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codeName="ThisWorkbook" defaultThemeVersion="124226"/>
  <bookViews>
    <workbookView xWindow="240" yWindow="480" windowWidth="16935" windowHeight="11475" tabRatio="903" activeTab="11"/>
  </bookViews>
  <sheets>
    <sheet name="加弹汇总表" sheetId="15" r:id="rId1"/>
    <sheet name="小圆机汇总表" sheetId="4" r:id="rId2"/>
    <sheet name="喷水汇总表" sheetId="22" r:id="rId3"/>
    <sheet name="jt" sheetId="16" r:id="rId4"/>
    <sheet name="yj" sheetId="5" r:id="rId5"/>
    <sheet name="ps" sheetId="21" r:id="rId6"/>
    <sheet name="plan" sheetId="7" r:id="rId7"/>
    <sheet name="圆机计划单汇总" sheetId="28" r:id="rId8"/>
    <sheet name="喷水计划单汇总" sheetId="30" r:id="rId9"/>
    <sheet name="四面弹库存" sheetId="8" r:id="rId10"/>
    <sheet name="四面弹import" sheetId="10" r:id="rId11"/>
    <sheet name="inventory" sheetId="37" r:id="rId12"/>
    <sheet name="原丝import" sheetId="18" r:id="rId13"/>
    <sheet name="setting" sheetId="6" r:id="rId14"/>
    <sheet name="各车间日况" sheetId="11" r:id="rId15"/>
    <sheet name="概况" sheetId="14" state="hidden" r:id="rId16"/>
    <sheet name="test" sheetId="26" state="hidden" r:id="rId17"/>
    <sheet name="QA" sheetId="29" r:id="rId18"/>
    <sheet name="经纬" sheetId="31" r:id="rId19"/>
    <sheet name="喷水布库存" sheetId="32" r:id="rId20"/>
    <sheet name="喷水import" sheetId="33" r:id="rId21"/>
    <sheet name="改机" sheetId="46" state="hidden" r:id="rId22"/>
    <sheet name="Sheet8" sheetId="48" state="hidden" r:id="rId23"/>
    <sheet name="Sheet9" sheetId="49" r:id="rId24"/>
    <sheet name="Sheet14" sheetId="54" r:id="rId25"/>
    <sheet name="Sheet18" sheetId="58" r:id="rId26"/>
    <sheet name="Sheet19" sheetId="59" r:id="rId27"/>
  </sheets>
  <definedNames>
    <definedName name="_xlnm._FilterDatabase" localSheetId="11" hidden="1">inventory!$A$1:$U$1</definedName>
    <definedName name="_xlnm._FilterDatabase" localSheetId="3" hidden="1">jt!$A$1:$R$1169</definedName>
    <definedName name="_xlnm._FilterDatabase" localSheetId="6" hidden="1">plan!$A$1:$AE$2596</definedName>
    <definedName name="_xlnm._FilterDatabase" localSheetId="5" hidden="1">ps!$A$1:$U$1906</definedName>
    <definedName name="_xlnm._FilterDatabase" localSheetId="24" hidden="1">Sheet14!$A$1:$M$37</definedName>
    <definedName name="_xlnm._FilterDatabase" localSheetId="16" hidden="1">test!$A$1:$U$161</definedName>
    <definedName name="_xlnm._FilterDatabase" localSheetId="4" hidden="1">yj!$A$1:$AF$1915</definedName>
    <definedName name="_xlnm._FilterDatabase" localSheetId="0" hidden="1">加弹汇总表!$A$2:$BS$58</definedName>
    <definedName name="_xlnm._FilterDatabase" localSheetId="18" hidden="1">经纬!$A$1:$O$321</definedName>
    <definedName name="_xlnm._FilterDatabase" localSheetId="20" hidden="1">喷水import!$A$1:$W$219</definedName>
    <definedName name="_xlnm._FilterDatabase" localSheetId="19" hidden="1">喷水布库存!$A$1:$W$147</definedName>
    <definedName name="_xlnm._FilterDatabase" localSheetId="8" hidden="1">喷水计划单汇总!$A$1:$Z$53</definedName>
    <definedName name="_xlnm._FilterDatabase" localSheetId="10" hidden="1">四面弹import!$A$1:$T$499</definedName>
    <definedName name="_xlnm._FilterDatabase" localSheetId="9" hidden="1">四面弹库存!$A$1:$U$529</definedName>
    <definedName name="_xlnm._FilterDatabase" localSheetId="1" hidden="1">小圆机汇总表!$A$14:$AQ$61</definedName>
    <definedName name="_xlnm._FilterDatabase" localSheetId="12" hidden="1">原丝import!$A$1:$R$487</definedName>
    <definedName name="_xlnm._FilterDatabase" localSheetId="7" hidden="1">圆机计划单汇总!$A$1:$AD$1</definedName>
    <definedName name="_xlnm.Print_Area" localSheetId="16">test!$A$1:$T$161</definedName>
    <definedName name="_xlnm.Print_Area" localSheetId="14">各车间日况!$B$10:$C$34</definedName>
    <definedName name="_xlnm.Print_Area" localSheetId="18">经纬!$C$1:$O$75</definedName>
    <definedName name="_xlnm.Print_Titles" localSheetId="16">test!$1:$1</definedName>
    <definedName name="_xlnm.Print_Titles" localSheetId="18">经纬!$1:$1</definedName>
    <definedName name="_xlnm.Print_Titles" localSheetId="7">圆机计划单汇总!$1:$1</definedName>
    <definedName name="yuanjicode">各车间日况!$B$108:$B$148</definedName>
    <definedName name="yuanjidaimachichun">setting!$F$34:$G$76</definedName>
    <definedName name="yuanjinumber">各车间日况!$G$108:$G$148</definedName>
    <definedName name="加弹规格">setting!$B$3:$B$22</definedName>
    <definedName name="年">setting!$D$120:$D$121</definedName>
    <definedName name="全局颜色">setting!$C$120:$C$121</definedName>
    <definedName name="显示">setting!$I$35:$I$36</definedName>
    <definedName name="圆机代码">setting!$F$35:$F$75</definedName>
    <definedName name="圆机机台排布">各车间日况!$B$108:$B$147</definedName>
    <definedName name="月">setting!$E$120:$E$131</definedName>
  </definedNames>
  <calcPr calcId="125725"/>
</workbook>
</file>

<file path=xl/calcChain.xml><?xml version="1.0" encoding="utf-8"?>
<calcChain xmlns="http://schemas.openxmlformats.org/spreadsheetml/2006/main">
  <c r="Y186" i="7"/>
  <c r="Y187"/>
  <c r="Y188"/>
  <c r="Y189"/>
  <c r="Y190"/>
  <c r="Y191"/>
  <c r="Y192"/>
  <c r="Y193"/>
  <c r="Y194"/>
  <c r="Y195"/>
  <c r="Y196"/>
  <c r="Y197"/>
  <c r="Y198"/>
  <c r="Y199"/>
  <c r="Y200"/>
  <c r="Y201"/>
  <c r="Y202"/>
  <c r="Y203"/>
  <c r="Y204"/>
  <c r="Y205"/>
  <c r="Y206"/>
  <c r="Y207"/>
  <c r="Y208"/>
  <c r="Y209"/>
  <c r="Y210"/>
  <c r="Y211"/>
  <c r="Y212"/>
  <c r="Y213"/>
  <c r="Y214"/>
  <c r="Y215"/>
  <c r="Y216"/>
  <c r="Y217"/>
  <c r="Y218"/>
  <c r="Y219"/>
  <c r="Y220"/>
  <c r="Y221"/>
  <c r="Y222"/>
  <c r="Y223"/>
  <c r="Y224"/>
  <c r="Y225"/>
  <c r="Y226"/>
  <c r="Y227"/>
  <c r="Y228"/>
  <c r="Y229"/>
  <c r="Y230"/>
  <c r="Y231"/>
  <c r="Y232"/>
  <c r="Y233"/>
  <c r="Y234"/>
  <c r="Y235"/>
  <c r="Y236"/>
  <c r="Y237"/>
  <c r="Y238"/>
  <c r="Y239"/>
  <c r="Y240"/>
  <c r="Y241"/>
  <c r="Y242"/>
  <c r="Y243"/>
  <c r="Y244"/>
  <c r="Y245"/>
  <c r="Y246"/>
  <c r="Y247"/>
  <c r="Y248"/>
  <c r="Y249"/>
  <c r="Y250"/>
  <c r="Y251"/>
  <c r="Y252"/>
  <c r="Y253"/>
  <c r="Y254"/>
  <c r="Y255"/>
  <c r="Y256"/>
  <c r="Y257"/>
  <c r="Y258"/>
  <c r="Y259"/>
  <c r="Y260"/>
  <c r="Y261"/>
  <c r="Y262"/>
  <c r="Y263"/>
  <c r="Y264"/>
  <c r="Y265"/>
  <c r="Y266"/>
  <c r="Y267"/>
  <c r="Y268"/>
  <c r="Y269"/>
  <c r="Y270"/>
  <c r="Y271"/>
  <c r="Y272"/>
  <c r="Y273"/>
  <c r="Y274"/>
  <c r="Y275"/>
  <c r="Y276"/>
  <c r="Y277"/>
  <c r="Y278"/>
  <c r="Y279"/>
  <c r="Y280"/>
  <c r="Y281"/>
  <c r="Y282"/>
  <c r="Y283"/>
  <c r="Y284"/>
  <c r="Y285"/>
  <c r="Y286"/>
  <c r="Y287"/>
  <c r="Y288"/>
  <c r="Y289"/>
  <c r="Y290"/>
  <c r="Y291"/>
  <c r="Y292"/>
  <c r="Y293"/>
  <c r="Y294"/>
  <c r="Y295"/>
  <c r="Y296"/>
  <c r="Y297"/>
  <c r="Y298"/>
  <c r="Y299"/>
  <c r="Y300"/>
  <c r="Y301"/>
  <c r="Y302"/>
  <c r="Y303"/>
  <c r="Y304"/>
  <c r="Y305"/>
  <c r="Y306"/>
  <c r="Y307"/>
  <c r="Y308"/>
  <c r="Y309"/>
  <c r="Y310"/>
  <c r="Y311"/>
  <c r="Y312"/>
  <c r="Y313"/>
  <c r="Y314"/>
  <c r="Y315"/>
  <c r="Y316"/>
  <c r="Y317"/>
  <c r="Y318"/>
  <c r="Y319"/>
  <c r="Y320"/>
  <c r="Y321"/>
  <c r="Y322"/>
  <c r="Y323"/>
  <c r="Y324"/>
  <c r="Y325"/>
  <c r="Y326"/>
  <c r="Y327"/>
  <c r="Y328"/>
  <c r="Y329"/>
  <c r="Y330"/>
  <c r="Y331"/>
  <c r="Y332"/>
  <c r="Y333"/>
  <c r="Y334"/>
  <c r="Y335"/>
  <c r="Y336"/>
  <c r="Y337"/>
  <c r="Y338"/>
  <c r="Y339"/>
  <c r="Y340"/>
  <c r="Y341"/>
  <c r="Y342"/>
  <c r="Y343"/>
  <c r="Y344"/>
  <c r="Y345"/>
  <c r="Y346"/>
  <c r="Y347"/>
  <c r="Y348"/>
  <c r="Y349"/>
  <c r="Y350"/>
  <c r="Y351"/>
  <c r="Y352"/>
  <c r="Y353"/>
  <c r="Y354"/>
  <c r="Y355"/>
  <c r="Y356"/>
  <c r="Y357"/>
  <c r="Y358"/>
  <c r="Y359"/>
  <c r="Y360"/>
  <c r="Y361"/>
  <c r="Y362"/>
  <c r="Y363"/>
  <c r="Y364"/>
  <c r="Y365"/>
  <c r="Y366"/>
  <c r="Y367"/>
  <c r="Y368"/>
  <c r="Y369"/>
  <c r="Y370"/>
  <c r="Y371"/>
  <c r="Y372"/>
  <c r="Y373"/>
  <c r="Y374"/>
  <c r="Y375"/>
  <c r="Y376"/>
  <c r="Y377"/>
  <c r="Y378"/>
  <c r="Y379"/>
  <c r="Y380"/>
  <c r="Y381"/>
  <c r="Y382"/>
  <c r="Y383"/>
  <c r="Y384"/>
  <c r="Y385"/>
  <c r="Y386"/>
  <c r="Y387"/>
  <c r="Y388"/>
  <c r="Y389"/>
  <c r="Y390"/>
  <c r="Y391"/>
  <c r="Y392"/>
  <c r="Y393"/>
  <c r="Y394"/>
  <c r="Y395"/>
  <c r="Y396"/>
  <c r="Y397"/>
  <c r="Y398"/>
  <c r="Y399"/>
  <c r="Y400"/>
  <c r="Y401"/>
  <c r="Y402"/>
  <c r="Y403"/>
  <c r="Y404"/>
  <c r="Y405"/>
  <c r="Y406"/>
  <c r="Y407"/>
  <c r="Y408"/>
  <c r="Y409"/>
  <c r="Y410"/>
  <c r="Y411"/>
  <c r="Y412"/>
  <c r="Y413"/>
  <c r="Y414"/>
  <c r="Y415"/>
  <c r="Y416"/>
  <c r="Y417"/>
  <c r="Y418"/>
  <c r="Y419"/>
  <c r="Y420"/>
  <c r="Y421"/>
  <c r="Y422"/>
  <c r="Y423"/>
  <c r="Y424"/>
  <c r="Y425"/>
  <c r="Y426"/>
  <c r="Y427"/>
  <c r="Y428"/>
  <c r="Y429"/>
  <c r="Y430"/>
  <c r="Y431"/>
  <c r="Y432"/>
  <c r="Y433"/>
  <c r="Y434"/>
  <c r="Y435"/>
  <c r="Y436"/>
  <c r="Y437"/>
  <c r="Y438"/>
  <c r="Y439"/>
  <c r="Y440"/>
  <c r="Y441"/>
  <c r="Y442"/>
  <c r="Y443"/>
  <c r="Y444"/>
  <c r="Y445"/>
  <c r="Y446"/>
  <c r="Y447"/>
  <c r="Y448"/>
  <c r="Y449"/>
  <c r="Y450"/>
  <c r="Y451"/>
  <c r="Y452"/>
  <c r="Y453"/>
  <c r="Y454"/>
  <c r="Y455"/>
  <c r="Y456"/>
  <c r="Y457"/>
  <c r="Y458"/>
  <c r="Y459"/>
  <c r="Y460"/>
  <c r="Y461"/>
  <c r="Y462"/>
  <c r="Y463"/>
  <c r="Y464"/>
  <c r="Y465"/>
  <c r="Y466"/>
  <c r="Y467"/>
  <c r="Y468"/>
  <c r="Y469"/>
  <c r="Y470"/>
  <c r="Y471"/>
  <c r="Y472"/>
  <c r="Y473"/>
  <c r="Y474"/>
  <c r="Y475"/>
  <c r="Y476"/>
  <c r="Y477"/>
  <c r="Y478"/>
  <c r="Y479"/>
  <c r="Y480"/>
  <c r="Y481"/>
  <c r="Y482"/>
  <c r="Y483"/>
  <c r="Y484"/>
  <c r="Y485"/>
  <c r="Y486"/>
  <c r="Y487"/>
  <c r="Y488"/>
  <c r="Y489"/>
  <c r="Y490"/>
  <c r="Y491"/>
  <c r="Y492"/>
  <c r="Y493"/>
  <c r="Y494"/>
  <c r="Y495"/>
  <c r="Y496"/>
  <c r="Y497"/>
  <c r="Y498"/>
  <c r="Y499"/>
  <c r="Y500"/>
  <c r="Y501"/>
  <c r="Y502"/>
  <c r="Y503"/>
  <c r="Y504"/>
  <c r="Y505"/>
  <c r="Y506"/>
  <c r="Y507"/>
  <c r="Y508"/>
  <c r="Y509"/>
  <c r="Y510"/>
  <c r="Y511"/>
  <c r="Y512"/>
  <c r="Y513"/>
  <c r="Y514"/>
  <c r="Y515"/>
  <c r="Y516"/>
  <c r="Y517"/>
  <c r="Y518"/>
  <c r="Y519"/>
  <c r="Y520"/>
  <c r="Y521"/>
  <c r="Y522"/>
  <c r="Y523"/>
  <c r="Y524"/>
  <c r="Y525"/>
  <c r="Y526"/>
  <c r="Y527"/>
  <c r="Y528"/>
  <c r="Y529"/>
  <c r="Y530"/>
  <c r="Y531"/>
  <c r="Y532"/>
  <c r="Y533"/>
  <c r="Y534"/>
  <c r="Y535"/>
  <c r="Y536"/>
  <c r="Y537"/>
  <c r="Y538"/>
  <c r="Y539"/>
  <c r="Y540"/>
  <c r="Y541"/>
  <c r="Y542"/>
  <c r="Y543"/>
  <c r="Y544"/>
  <c r="Y545"/>
  <c r="Y546"/>
  <c r="Y547"/>
  <c r="Y548"/>
  <c r="Y549"/>
  <c r="Y550"/>
  <c r="Y551"/>
  <c r="Y552"/>
  <c r="Y553"/>
  <c r="Y554"/>
  <c r="Y555"/>
  <c r="Y556"/>
  <c r="Y557"/>
  <c r="Y558"/>
  <c r="Y559"/>
  <c r="Y560"/>
  <c r="Y561"/>
  <c r="Y562"/>
  <c r="Y563"/>
  <c r="Y564"/>
  <c r="Y565"/>
  <c r="Y566"/>
  <c r="Y567"/>
  <c r="Y568"/>
  <c r="Y569"/>
  <c r="Y570"/>
  <c r="Y571"/>
  <c r="Y572"/>
  <c r="Y573"/>
  <c r="Y574"/>
  <c r="Y575"/>
  <c r="Y576"/>
  <c r="Y577"/>
  <c r="Y578"/>
  <c r="Y579"/>
  <c r="Y580"/>
  <c r="Y581"/>
  <c r="Y582"/>
  <c r="Y583"/>
  <c r="Y584"/>
  <c r="Y585"/>
  <c r="Y586"/>
  <c r="Y587"/>
  <c r="Y588"/>
  <c r="Y589"/>
  <c r="Y590"/>
  <c r="Y591"/>
  <c r="Y592"/>
  <c r="Y593"/>
  <c r="Y594"/>
  <c r="Y595"/>
  <c r="Y596"/>
  <c r="Y597"/>
  <c r="Y598"/>
  <c r="Y599"/>
  <c r="Y600"/>
  <c r="Y601"/>
  <c r="Y602"/>
  <c r="Y603"/>
  <c r="Y604"/>
  <c r="Y605"/>
  <c r="Y606"/>
  <c r="Y607"/>
  <c r="Y608"/>
  <c r="Y609"/>
  <c r="Y610"/>
  <c r="Y611"/>
  <c r="Y612"/>
  <c r="Y613"/>
  <c r="Y614"/>
  <c r="Y615"/>
  <c r="Y616"/>
  <c r="Y617"/>
  <c r="Y618"/>
  <c r="Y619"/>
  <c r="Y620"/>
  <c r="Y621"/>
  <c r="Y622"/>
  <c r="Y623"/>
  <c r="Y624"/>
  <c r="Y625"/>
  <c r="Y626"/>
  <c r="Y627"/>
  <c r="Y628"/>
  <c r="Y629"/>
  <c r="Y630"/>
  <c r="Y631"/>
  <c r="Y632"/>
  <c r="Y633"/>
  <c r="Y634"/>
  <c r="Y635"/>
  <c r="Y636"/>
  <c r="Y637"/>
  <c r="Y638"/>
  <c r="Y639"/>
  <c r="Y640"/>
  <c r="Y641"/>
  <c r="Y642"/>
  <c r="Y643"/>
  <c r="Y644"/>
  <c r="Y645"/>
  <c r="Y646"/>
  <c r="Y647"/>
  <c r="Y648"/>
  <c r="Y649"/>
  <c r="Y650"/>
  <c r="Y651"/>
  <c r="Y652"/>
  <c r="Y653"/>
  <c r="Y654"/>
  <c r="Y655"/>
  <c r="Y656"/>
  <c r="Y657"/>
  <c r="Y658"/>
  <c r="Y659"/>
  <c r="Y660"/>
  <c r="Y661"/>
  <c r="Y662"/>
  <c r="Y663"/>
  <c r="Y664"/>
  <c r="Y665"/>
  <c r="Y666"/>
  <c r="Y667"/>
  <c r="Y668"/>
  <c r="Y669"/>
  <c r="Y670"/>
  <c r="Y671"/>
  <c r="Y672"/>
  <c r="Y673"/>
  <c r="Y674"/>
  <c r="Y675"/>
  <c r="Y676"/>
  <c r="Y677"/>
  <c r="Y678"/>
  <c r="Y679"/>
  <c r="Y680"/>
  <c r="Y681"/>
  <c r="Y682"/>
  <c r="Y683"/>
  <c r="Y684"/>
  <c r="Y685"/>
  <c r="Y686"/>
  <c r="Y687"/>
  <c r="Y688"/>
  <c r="Y689"/>
  <c r="Y690"/>
  <c r="Y691"/>
  <c r="Y692"/>
  <c r="Y693"/>
  <c r="Y694"/>
  <c r="Y695"/>
  <c r="Y696"/>
  <c r="Y697"/>
  <c r="Y698"/>
  <c r="Y699"/>
  <c r="Y700"/>
  <c r="Y701"/>
  <c r="Y702"/>
  <c r="Y703"/>
  <c r="Y704"/>
  <c r="Y705"/>
  <c r="Y706"/>
  <c r="Y707"/>
  <c r="Y708"/>
  <c r="Y709"/>
  <c r="Y710"/>
  <c r="Y711"/>
  <c r="Y712"/>
  <c r="Y713"/>
  <c r="Y714"/>
  <c r="Y715"/>
  <c r="Y716"/>
  <c r="Y717"/>
  <c r="Y718"/>
  <c r="Y719"/>
  <c r="Y720"/>
  <c r="Y721"/>
  <c r="Y722"/>
  <c r="Y723"/>
  <c r="Y724"/>
  <c r="Y725"/>
  <c r="Y726"/>
  <c r="Y727"/>
  <c r="Y728"/>
  <c r="Y729"/>
  <c r="Y730"/>
  <c r="Y731"/>
  <c r="Y732"/>
  <c r="Y733"/>
  <c r="Y734"/>
  <c r="Y735"/>
  <c r="Y736"/>
  <c r="Y737"/>
  <c r="Y738"/>
  <c r="Y739"/>
  <c r="Y740"/>
  <c r="Y741"/>
  <c r="Y742"/>
  <c r="Y743"/>
  <c r="Y744"/>
  <c r="Y745"/>
  <c r="Y746"/>
  <c r="Y747"/>
  <c r="Y748"/>
  <c r="Y749"/>
  <c r="Y750"/>
  <c r="Y751"/>
  <c r="Y752"/>
  <c r="Y753"/>
  <c r="Y754"/>
  <c r="Y755"/>
  <c r="Y756"/>
  <c r="Y757"/>
  <c r="Y758"/>
  <c r="Y759"/>
  <c r="Y760"/>
  <c r="Y761"/>
  <c r="Y762"/>
  <c r="Y763"/>
  <c r="Y764"/>
  <c r="Y765"/>
  <c r="Y766"/>
  <c r="Y767"/>
  <c r="Y768"/>
  <c r="Y769"/>
  <c r="Y770"/>
  <c r="Y771"/>
  <c r="Y772"/>
  <c r="Y773"/>
  <c r="Y774"/>
  <c r="Y775"/>
  <c r="Y776"/>
  <c r="Y777"/>
  <c r="Y778"/>
  <c r="Y779"/>
  <c r="Y780"/>
  <c r="Y781"/>
  <c r="Y782"/>
  <c r="Y783"/>
  <c r="Y784"/>
  <c r="Y785"/>
  <c r="Y786"/>
  <c r="Y787"/>
  <c r="Y788"/>
  <c r="Y789"/>
  <c r="Y790"/>
  <c r="Y791"/>
  <c r="Y792"/>
  <c r="Y793"/>
  <c r="Y794"/>
  <c r="Y795"/>
  <c r="Y796"/>
  <c r="Y797"/>
  <c r="Y798"/>
  <c r="Y799"/>
  <c r="Y800"/>
  <c r="Y801"/>
  <c r="Y802"/>
  <c r="Y803"/>
  <c r="Y804"/>
  <c r="Y805"/>
  <c r="Y806"/>
  <c r="Y807"/>
  <c r="Y808"/>
  <c r="Y809"/>
  <c r="Y810"/>
  <c r="Y811"/>
  <c r="Y812"/>
  <c r="Y813"/>
  <c r="Y814"/>
  <c r="Y815"/>
  <c r="Y816"/>
  <c r="Y817"/>
  <c r="Y818"/>
  <c r="Y819"/>
  <c r="Y820"/>
  <c r="Y821"/>
  <c r="Y822"/>
  <c r="Y823"/>
  <c r="Y824"/>
  <c r="Y825"/>
  <c r="Y826"/>
  <c r="Y827"/>
  <c r="Y828"/>
  <c r="Y829"/>
  <c r="Y830"/>
  <c r="Y831"/>
  <c r="Y832"/>
  <c r="Y833"/>
  <c r="Y834"/>
  <c r="Y835"/>
  <c r="Y836"/>
  <c r="Y837"/>
  <c r="Y838"/>
  <c r="Y839"/>
  <c r="Y840"/>
  <c r="Y841"/>
  <c r="Y842"/>
  <c r="Y843"/>
  <c r="Y844"/>
  <c r="Y845"/>
  <c r="Y846"/>
  <c r="Y847"/>
  <c r="Y848"/>
  <c r="Y849"/>
  <c r="Y850"/>
  <c r="Y851"/>
  <c r="Y852"/>
  <c r="Y853"/>
  <c r="Y854"/>
  <c r="Y855"/>
  <c r="Y856"/>
  <c r="Y857"/>
  <c r="Y858"/>
  <c r="Y859"/>
  <c r="Y860"/>
  <c r="Y861"/>
  <c r="Y862"/>
  <c r="Y863"/>
  <c r="Y864"/>
  <c r="Y865"/>
  <c r="Y866"/>
  <c r="Y867"/>
  <c r="Y868"/>
  <c r="Y869"/>
  <c r="Y870"/>
  <c r="Y871"/>
  <c r="Y872"/>
  <c r="Y873"/>
  <c r="Y874"/>
  <c r="Y875"/>
  <c r="Y876"/>
  <c r="Y877"/>
  <c r="Y878"/>
  <c r="Y879"/>
  <c r="Y880"/>
  <c r="Y881"/>
  <c r="Y882"/>
  <c r="Y883"/>
  <c r="Y884"/>
  <c r="Y885"/>
  <c r="Y886"/>
  <c r="Y887"/>
  <c r="Y888"/>
  <c r="Y889"/>
  <c r="Y890"/>
  <c r="Y891"/>
  <c r="Y892"/>
  <c r="Y893"/>
  <c r="Y894"/>
  <c r="Y895"/>
  <c r="Y896"/>
  <c r="Y897"/>
  <c r="Y898"/>
  <c r="Y899"/>
  <c r="Y900"/>
  <c r="Y901"/>
  <c r="Y902"/>
  <c r="Y903"/>
  <c r="Y904"/>
  <c r="Y905"/>
  <c r="Y906"/>
  <c r="Y907"/>
  <c r="Y908"/>
  <c r="Y909"/>
  <c r="Y910"/>
  <c r="Y911"/>
  <c r="Y912"/>
  <c r="Y913"/>
  <c r="Y914"/>
  <c r="Y915"/>
  <c r="Y916"/>
  <c r="Y917"/>
  <c r="Y918"/>
  <c r="Y919"/>
  <c r="Y920"/>
  <c r="Y921"/>
  <c r="Y922"/>
  <c r="Y923"/>
  <c r="Y924"/>
  <c r="Y925"/>
  <c r="Y926"/>
  <c r="Y927"/>
  <c r="Y928"/>
  <c r="Y929"/>
  <c r="Y930"/>
  <c r="Y931"/>
  <c r="Y932"/>
  <c r="Y933"/>
  <c r="Y934"/>
  <c r="Y935"/>
  <c r="Y936"/>
  <c r="Y937"/>
  <c r="Y938"/>
  <c r="Y939"/>
  <c r="Y940"/>
  <c r="Y941"/>
  <c r="Y942"/>
  <c r="Y943"/>
  <c r="Y944"/>
  <c r="Y945"/>
  <c r="Y946"/>
  <c r="Y947"/>
  <c r="Y948"/>
  <c r="Y949"/>
  <c r="Y950"/>
  <c r="Y951"/>
  <c r="Y952"/>
  <c r="Y953"/>
  <c r="Y954"/>
  <c r="Y955"/>
  <c r="Y956"/>
  <c r="Y957"/>
  <c r="Y958"/>
  <c r="Y959"/>
  <c r="Y960"/>
  <c r="Y961"/>
  <c r="Y962"/>
  <c r="Y963"/>
  <c r="Y964"/>
  <c r="Y965"/>
  <c r="Y966"/>
  <c r="Y967"/>
  <c r="Y968"/>
  <c r="Y969"/>
  <c r="Y970"/>
  <c r="Y971"/>
  <c r="Y972"/>
  <c r="Y973"/>
  <c r="Y974"/>
  <c r="Y975"/>
  <c r="Y976"/>
  <c r="Y977"/>
  <c r="Y978"/>
  <c r="Y979"/>
  <c r="Y980"/>
  <c r="Y981"/>
  <c r="Y982"/>
  <c r="Y983"/>
  <c r="Y984"/>
  <c r="Y985"/>
  <c r="Y986"/>
  <c r="Y987"/>
  <c r="Y988"/>
  <c r="Y989"/>
  <c r="Y990"/>
  <c r="Y991"/>
  <c r="Y992"/>
  <c r="Y993"/>
  <c r="Y994"/>
  <c r="Y995"/>
  <c r="Y996"/>
  <c r="Y997"/>
  <c r="Y998"/>
  <c r="Y999"/>
  <c r="Y1000"/>
  <c r="Y1001"/>
  <c r="Y1002"/>
  <c r="Y1003"/>
  <c r="Y1004"/>
  <c r="Y1005"/>
  <c r="Y1006"/>
  <c r="Y1007"/>
  <c r="Y1008"/>
  <c r="Y1009"/>
  <c r="Y1010"/>
  <c r="Y1011"/>
  <c r="Y1012"/>
  <c r="Y1013"/>
  <c r="Y1014"/>
  <c r="Y1015"/>
  <c r="Y1016"/>
  <c r="Y1017"/>
  <c r="Y1018"/>
  <c r="Y1019"/>
  <c r="Y1020"/>
  <c r="Y1021"/>
  <c r="Y1022"/>
  <c r="Y1023"/>
  <c r="Y1024"/>
  <c r="Y1025"/>
  <c r="Y1026"/>
  <c r="Y1027"/>
  <c r="Y1028"/>
  <c r="Y1029"/>
  <c r="Y1030"/>
  <c r="Y1031"/>
  <c r="Y1032"/>
  <c r="Y1033"/>
  <c r="Y1034"/>
  <c r="Y1035"/>
  <c r="Y1036"/>
  <c r="Y1037"/>
  <c r="Y1038"/>
  <c r="Y1039"/>
  <c r="Y1040"/>
  <c r="Y1041"/>
  <c r="Y1042"/>
  <c r="Y1043"/>
  <c r="Y1044"/>
  <c r="Y1045"/>
  <c r="Y1046"/>
  <c r="Y1047"/>
  <c r="Y1048"/>
  <c r="Y1049"/>
  <c r="Y1050"/>
  <c r="Y1051"/>
  <c r="Y1052"/>
  <c r="Y1053"/>
  <c r="Y1054"/>
  <c r="Y1055"/>
  <c r="Y1056"/>
  <c r="Y1057"/>
  <c r="Y1058"/>
  <c r="Y1059"/>
  <c r="Y1060"/>
  <c r="Y1061"/>
  <c r="Y1062"/>
  <c r="Y1063"/>
  <c r="Y1064"/>
  <c r="Y1065"/>
  <c r="Y1066"/>
  <c r="Y1067"/>
  <c r="Y1068"/>
  <c r="Y1069"/>
  <c r="Y1070"/>
  <c r="Y1071"/>
  <c r="Y1072"/>
  <c r="Y1073"/>
  <c r="Y1074"/>
  <c r="Y1075"/>
  <c r="Y1076"/>
  <c r="Y1077"/>
  <c r="Y1078"/>
  <c r="Y1079"/>
  <c r="Y1080"/>
  <c r="Y1081"/>
  <c r="Y1082"/>
  <c r="Y1083"/>
  <c r="Y1084"/>
  <c r="Y1085"/>
  <c r="Y1086"/>
  <c r="Y1087"/>
  <c r="Y1088"/>
  <c r="Y1089"/>
  <c r="Y1090"/>
  <c r="Y1091"/>
  <c r="Y1092"/>
  <c r="Y1093"/>
  <c r="Y1094"/>
  <c r="Y1095"/>
  <c r="Y1096"/>
  <c r="Y1097"/>
  <c r="Y1098"/>
  <c r="Y1099"/>
  <c r="Y1100"/>
  <c r="Y1101"/>
  <c r="Y1102"/>
  <c r="Y1103"/>
  <c r="Y1104"/>
  <c r="Y1105"/>
  <c r="Y1106"/>
  <c r="Y1107"/>
  <c r="Y1108"/>
  <c r="Y1109"/>
  <c r="Y1110"/>
  <c r="Y1111"/>
  <c r="Y1112"/>
  <c r="Y1113"/>
  <c r="Y1114"/>
  <c r="Y1115"/>
  <c r="Y1116"/>
  <c r="Y1117"/>
  <c r="Y1118"/>
  <c r="Y1119"/>
  <c r="Y1120"/>
  <c r="Y1121"/>
  <c r="Y1122"/>
  <c r="Y1123"/>
  <c r="Y1124"/>
  <c r="Y1125"/>
  <c r="Y1126"/>
  <c r="Y1127"/>
  <c r="Y1128"/>
  <c r="Y1129"/>
  <c r="Y1130"/>
  <c r="Y1131"/>
  <c r="Y1132"/>
  <c r="Y1133"/>
  <c r="Y1134"/>
  <c r="Y1135"/>
  <c r="Y1136"/>
  <c r="Y1137"/>
  <c r="Y1138"/>
  <c r="Y1139"/>
  <c r="Y1140"/>
  <c r="Y1141"/>
  <c r="Y1142"/>
  <c r="Y1143"/>
  <c r="Y1144"/>
  <c r="Y1145"/>
  <c r="Y1146"/>
  <c r="Y1147"/>
  <c r="Y1148"/>
  <c r="Y1149"/>
  <c r="Y1150"/>
  <c r="Y1151"/>
  <c r="Y1152"/>
  <c r="Y1153"/>
  <c r="Y1154"/>
  <c r="Y1155"/>
  <c r="Y1156"/>
  <c r="Y1157"/>
  <c r="Y1158"/>
  <c r="Y1159"/>
  <c r="Y1160"/>
  <c r="Y1161"/>
  <c r="Y1162"/>
  <c r="Y1163"/>
  <c r="Y1164"/>
  <c r="Y1165"/>
  <c r="Y1166"/>
  <c r="Y1167"/>
  <c r="Y1168"/>
  <c r="Y1169"/>
  <c r="Y1170"/>
  <c r="Y1171"/>
  <c r="Y1172"/>
  <c r="Y1173"/>
  <c r="Y1174"/>
  <c r="Y1175"/>
  <c r="Y1176"/>
  <c r="Y1177"/>
  <c r="Y1178"/>
  <c r="Y1179"/>
  <c r="Y1180"/>
  <c r="Y1181"/>
  <c r="Y1182"/>
  <c r="Y1183"/>
  <c r="Y1184"/>
  <c r="Y1185"/>
  <c r="Y1186"/>
  <c r="Y1187"/>
  <c r="Y1188"/>
  <c r="Y1189"/>
  <c r="Y1190"/>
  <c r="Y1191"/>
  <c r="Y1192"/>
  <c r="Y1193"/>
  <c r="Y1194"/>
  <c r="Y1195"/>
  <c r="Y1196"/>
  <c r="Y1197"/>
  <c r="Y1198"/>
  <c r="Y1199"/>
  <c r="Y1200"/>
  <c r="Y1201"/>
  <c r="Y1202"/>
  <c r="Y1203"/>
  <c r="Y1204"/>
  <c r="Y1205"/>
  <c r="Y1206"/>
  <c r="Y1207"/>
  <c r="Y1208"/>
  <c r="Y1209"/>
  <c r="Y1210"/>
  <c r="Y1211"/>
  <c r="Y1212"/>
  <c r="Y1213"/>
  <c r="Y1214"/>
  <c r="Y1215"/>
  <c r="Y1216"/>
  <c r="Y1217"/>
  <c r="Y1218"/>
  <c r="Y1219"/>
  <c r="Y1220"/>
  <c r="Y1221"/>
  <c r="Y1222"/>
  <c r="Y1223"/>
  <c r="Y1224"/>
  <c r="Y1225"/>
  <c r="Y1226"/>
  <c r="Y1227"/>
  <c r="Y1228"/>
  <c r="Y1229"/>
  <c r="Y1230"/>
  <c r="Y1231"/>
  <c r="Y1232"/>
  <c r="Y1233"/>
  <c r="Y1234"/>
  <c r="Y1235"/>
  <c r="Y1236"/>
  <c r="Y1237"/>
  <c r="Y1238"/>
  <c r="Y1239"/>
  <c r="Y1240"/>
  <c r="Y1241"/>
  <c r="Y1242"/>
  <c r="Y1243"/>
  <c r="Y1244"/>
  <c r="Y1245"/>
  <c r="Y1246"/>
  <c r="Y1247"/>
  <c r="Y1248"/>
  <c r="Y1249"/>
  <c r="Y1250"/>
  <c r="Y1251"/>
  <c r="Y1252"/>
  <c r="Y1253"/>
  <c r="Y1254"/>
  <c r="Y1255"/>
  <c r="Y1256"/>
  <c r="Y1257"/>
  <c r="Y1258"/>
  <c r="Y1259"/>
  <c r="Y1260"/>
  <c r="Y1261"/>
  <c r="Y1262"/>
  <c r="Y1263"/>
  <c r="Y1264"/>
  <c r="Y1265"/>
  <c r="Y1266"/>
  <c r="Y1267"/>
  <c r="Y1268"/>
  <c r="Y1269"/>
  <c r="Y1270"/>
  <c r="Y1271"/>
  <c r="Y1272"/>
  <c r="Y1273"/>
  <c r="Y1274"/>
  <c r="Y1275"/>
  <c r="Y1276"/>
  <c r="Y1277"/>
  <c r="Y1278"/>
  <c r="Y1279"/>
  <c r="Y1280"/>
  <c r="Y1281"/>
  <c r="Y1282"/>
  <c r="Y1283"/>
  <c r="Y1284"/>
  <c r="Y1285"/>
  <c r="Y1286"/>
  <c r="Y1287"/>
  <c r="Y1288"/>
  <c r="Y1289"/>
  <c r="Y1290"/>
  <c r="Y1291"/>
  <c r="Y1292"/>
  <c r="Y1293"/>
  <c r="Y1294"/>
  <c r="Y1295"/>
  <c r="Y1296"/>
  <c r="Y1297"/>
  <c r="Y1298"/>
  <c r="Y1299"/>
  <c r="Y1300"/>
  <c r="Y1301"/>
  <c r="Y1302"/>
  <c r="Y1303"/>
  <c r="Y1304"/>
  <c r="Y1305"/>
  <c r="Y1306"/>
  <c r="Y1307"/>
  <c r="Y1308"/>
  <c r="Y1309"/>
  <c r="Y1310"/>
  <c r="Y1311"/>
  <c r="Y1312"/>
  <c r="Y1313"/>
  <c r="Y1314"/>
  <c r="Y1315"/>
  <c r="Y1316"/>
  <c r="Y1317"/>
  <c r="Y1318"/>
  <c r="Y1319"/>
  <c r="Y1320"/>
  <c r="Y1321"/>
  <c r="Y1322"/>
  <c r="Y1323"/>
  <c r="Y1324"/>
  <c r="Y1325"/>
  <c r="Y1326"/>
  <c r="Y1327"/>
  <c r="Y1328"/>
  <c r="Y1329"/>
  <c r="Y1330"/>
  <c r="Y1331"/>
  <c r="Y1332"/>
  <c r="Y1333"/>
  <c r="Y1334"/>
  <c r="Y1335"/>
  <c r="Y1336"/>
  <c r="Y1337"/>
  <c r="Y1338"/>
  <c r="Y1339"/>
  <c r="Y1340"/>
  <c r="Y1341"/>
  <c r="Y1342"/>
  <c r="Y1343"/>
  <c r="Y1344"/>
  <c r="Y1345"/>
  <c r="Y1346"/>
  <c r="Y1347"/>
  <c r="Y1348"/>
  <c r="Y1349"/>
  <c r="Y1350"/>
  <c r="Y1351"/>
  <c r="Y1352"/>
  <c r="Y1353"/>
  <c r="Y1354"/>
  <c r="Y1355"/>
  <c r="Y1356"/>
  <c r="Y1357"/>
  <c r="Y1358"/>
  <c r="Y1359"/>
  <c r="Y1360"/>
  <c r="Y1361"/>
  <c r="Y1362"/>
  <c r="Y1363"/>
  <c r="Y1364"/>
  <c r="Y1365"/>
  <c r="Y1366"/>
  <c r="Y1367"/>
  <c r="Y1368"/>
  <c r="Y1369"/>
  <c r="Y1370"/>
  <c r="Y1371"/>
  <c r="Y1372"/>
  <c r="Y1373"/>
  <c r="Y1374"/>
  <c r="Y1375"/>
  <c r="Y1376"/>
  <c r="Y1377"/>
  <c r="Y1378"/>
  <c r="Y1379"/>
  <c r="Y1380"/>
  <c r="Y1381"/>
  <c r="Y1382"/>
  <c r="Y1383"/>
  <c r="Y1384"/>
  <c r="Y1385"/>
  <c r="Y1386"/>
  <c r="Y1387"/>
  <c r="Y1388"/>
  <c r="Y1389"/>
  <c r="Y1390"/>
  <c r="Y1391"/>
  <c r="Y1392"/>
  <c r="Y1393"/>
  <c r="Y1394"/>
  <c r="Y1395"/>
  <c r="Y1396"/>
  <c r="Y1397"/>
  <c r="Y1398"/>
  <c r="Y1399"/>
  <c r="Y1400"/>
  <c r="Y1401"/>
  <c r="Y1402"/>
  <c r="Y1403"/>
  <c r="Y1404"/>
  <c r="Y1405"/>
  <c r="Y1406"/>
  <c r="Y1407"/>
  <c r="Y1408"/>
  <c r="Y1409"/>
  <c r="Y1410"/>
  <c r="Y1411"/>
  <c r="Y1412"/>
  <c r="Y1413"/>
  <c r="Y1414"/>
  <c r="Y1415"/>
  <c r="Y1416"/>
  <c r="Y1417"/>
  <c r="Y1418"/>
  <c r="Y1419"/>
  <c r="Y1420"/>
  <c r="Y1421"/>
  <c r="Y1422"/>
  <c r="Y1423"/>
  <c r="Y1424"/>
  <c r="Y1425"/>
  <c r="Y1426"/>
  <c r="Y1427"/>
  <c r="Y1428"/>
  <c r="Y1429"/>
  <c r="Y1430"/>
  <c r="Y1431"/>
  <c r="Y1432"/>
  <c r="Y1433"/>
  <c r="Y1434"/>
  <c r="Y1435"/>
  <c r="Y1436"/>
  <c r="Y1437"/>
  <c r="Y1438"/>
  <c r="Y1439"/>
  <c r="Y1440"/>
  <c r="Y1441"/>
  <c r="Y1442"/>
  <c r="Y1443"/>
  <c r="Y1444"/>
  <c r="Y1445"/>
  <c r="Y1446"/>
  <c r="Y1447"/>
  <c r="Y1448"/>
  <c r="Y1449"/>
  <c r="Y1450"/>
  <c r="Y1451"/>
  <c r="Y1452"/>
  <c r="Y1453"/>
  <c r="Y1454"/>
  <c r="Y1455"/>
  <c r="Y1456"/>
  <c r="Y1457"/>
  <c r="Y1458"/>
  <c r="Y1459"/>
  <c r="Y1460"/>
  <c r="Y1461"/>
  <c r="Y1462"/>
  <c r="Y1463"/>
  <c r="Y1464"/>
  <c r="Y1465"/>
  <c r="Y1466"/>
  <c r="Y1467"/>
  <c r="Y1468"/>
  <c r="Y1469"/>
  <c r="Y1470"/>
  <c r="Y1471"/>
  <c r="Y1472"/>
  <c r="Y1473"/>
  <c r="Y1474"/>
  <c r="Y1475"/>
  <c r="Y1476"/>
  <c r="Y1477"/>
  <c r="Y1478"/>
  <c r="Y1479"/>
  <c r="Y1480"/>
  <c r="Y1481"/>
  <c r="Y1482"/>
  <c r="Y1483"/>
  <c r="Y1484"/>
  <c r="Y1485"/>
  <c r="Y1486"/>
  <c r="Y1487"/>
  <c r="Y1488"/>
  <c r="Y1489"/>
  <c r="Y1490"/>
  <c r="Y1491"/>
  <c r="Y1492"/>
  <c r="Y1493"/>
  <c r="Y1494"/>
  <c r="Y1495"/>
  <c r="Y1496"/>
  <c r="Y1497"/>
  <c r="Y1498"/>
  <c r="Y1499"/>
  <c r="Y1500"/>
  <c r="Y1501"/>
  <c r="Y1502"/>
  <c r="Y1503"/>
  <c r="Y1504"/>
  <c r="Y1505"/>
  <c r="Y1506"/>
  <c r="Y1507"/>
  <c r="Y1508"/>
  <c r="Y1509"/>
  <c r="Y1510"/>
  <c r="Y1511"/>
  <c r="Y1512"/>
  <c r="Y1513"/>
  <c r="Y1514"/>
  <c r="Y1515"/>
  <c r="Y1516"/>
  <c r="Y1517"/>
  <c r="Y1518"/>
  <c r="Y1519"/>
  <c r="Y1520"/>
  <c r="Y1521"/>
  <c r="Y1522"/>
  <c r="Y1523"/>
  <c r="Y1524"/>
  <c r="Y1525"/>
  <c r="Y1526"/>
  <c r="Y1527"/>
  <c r="Y1528"/>
  <c r="Y1529"/>
  <c r="Y1530"/>
  <c r="Y1531"/>
  <c r="Y1532"/>
  <c r="Y1533"/>
  <c r="Y1534"/>
  <c r="Y1535"/>
  <c r="Y1536"/>
  <c r="Y1537"/>
  <c r="Y1538"/>
  <c r="Y1539"/>
  <c r="Y1540"/>
  <c r="Y1541"/>
  <c r="Y1542"/>
  <c r="Y1543"/>
  <c r="Y1544"/>
  <c r="Y1545"/>
  <c r="Y1546"/>
  <c r="Y1547"/>
  <c r="Y1548"/>
  <c r="Y1549"/>
  <c r="Y1550"/>
  <c r="Y1551"/>
  <c r="Y1552"/>
  <c r="Y1553"/>
  <c r="Y1554"/>
  <c r="Y1555"/>
  <c r="Y1556"/>
  <c r="Y1557"/>
  <c r="Y1558"/>
  <c r="Y1559"/>
  <c r="Y1560"/>
  <c r="Y1561"/>
  <c r="Y1562"/>
  <c r="Y1563"/>
  <c r="Y1564"/>
  <c r="Y1565"/>
  <c r="Y1566"/>
  <c r="Y1567"/>
  <c r="Y1568"/>
  <c r="Y1569"/>
  <c r="Y1570"/>
  <c r="Y1571"/>
  <c r="Y1572"/>
  <c r="Y1573"/>
  <c r="Y1574"/>
  <c r="Y1575"/>
  <c r="Y1576"/>
  <c r="Y1577"/>
  <c r="Y1578"/>
  <c r="Y1579"/>
  <c r="Y1580"/>
  <c r="Y1581"/>
  <c r="Y1582"/>
  <c r="Y1583"/>
  <c r="Y1584"/>
  <c r="Y1585"/>
  <c r="Y1586"/>
  <c r="Y1587"/>
  <c r="Y1588"/>
  <c r="Y1589"/>
  <c r="Y1590"/>
  <c r="Y1591"/>
  <c r="Y1592"/>
  <c r="Y1593"/>
  <c r="Y1594"/>
  <c r="Y1595"/>
  <c r="Y1596"/>
  <c r="Y1597"/>
  <c r="Y1598"/>
  <c r="Y1599"/>
  <c r="Y1600"/>
  <c r="Y1601"/>
  <c r="Y1602"/>
  <c r="Y1603"/>
  <c r="Y1604"/>
  <c r="Y1605"/>
  <c r="Y1606"/>
  <c r="Y1607"/>
  <c r="Y1608"/>
  <c r="Y1609"/>
  <c r="Y1610"/>
  <c r="Y1611"/>
  <c r="Y1612"/>
  <c r="Y1613"/>
  <c r="Y1614"/>
  <c r="Y1615"/>
  <c r="Y1616"/>
  <c r="Y1617"/>
  <c r="Y1618"/>
  <c r="Y1619"/>
  <c r="Y1620"/>
  <c r="Y1621"/>
  <c r="Y1622"/>
  <c r="Y1623"/>
  <c r="Y1624"/>
  <c r="Y1625"/>
  <c r="Y1626"/>
  <c r="Y1627"/>
  <c r="Y1628"/>
  <c r="Y1629"/>
  <c r="Y1630"/>
  <c r="Y1631"/>
  <c r="Y1632"/>
  <c r="Y1633"/>
  <c r="Y1634"/>
  <c r="Y1635"/>
  <c r="Y1636"/>
  <c r="Y1637"/>
  <c r="Y1638"/>
  <c r="Y1639"/>
  <c r="Y1640"/>
  <c r="Y1641"/>
  <c r="Y1642"/>
  <c r="Y1643"/>
  <c r="Y1644"/>
  <c r="Y1645"/>
  <c r="Y1646"/>
  <c r="Y1647"/>
  <c r="Y1648"/>
  <c r="Y1649"/>
  <c r="Y1650"/>
  <c r="Y1651"/>
  <c r="Y1652"/>
  <c r="Y1653"/>
  <c r="Y1654"/>
  <c r="Y1655"/>
  <c r="Y1656"/>
  <c r="Y1657"/>
  <c r="Y1658"/>
  <c r="Y1659"/>
  <c r="Y1660"/>
  <c r="Y1661"/>
  <c r="Y1662"/>
  <c r="Y1663"/>
  <c r="Y1664"/>
  <c r="Y1665"/>
  <c r="Y1666"/>
  <c r="Y1667"/>
  <c r="Y1668"/>
  <c r="Y1669"/>
  <c r="Y1670"/>
  <c r="Y1671"/>
  <c r="Y1672"/>
  <c r="Y1673"/>
  <c r="Y1674"/>
  <c r="Y1675"/>
  <c r="Y1676"/>
  <c r="Y1677"/>
  <c r="Y1678"/>
  <c r="Y1679"/>
  <c r="Y1680"/>
  <c r="Y1681"/>
  <c r="Y1682"/>
  <c r="Y1683"/>
  <c r="Y1684"/>
  <c r="Y1685"/>
  <c r="Y1686"/>
  <c r="Y1687"/>
  <c r="Y1688"/>
  <c r="Y1689"/>
  <c r="Y1690"/>
  <c r="Y1691"/>
  <c r="Y1692"/>
  <c r="Y1693"/>
  <c r="Y1694"/>
  <c r="Y1695"/>
  <c r="Y1696"/>
  <c r="Y1697"/>
  <c r="Y1698"/>
  <c r="Y1699"/>
  <c r="Y1700"/>
  <c r="Y1701"/>
  <c r="Y1702"/>
  <c r="Y1703"/>
  <c r="Y1704"/>
  <c r="Y1705"/>
  <c r="Y1706"/>
  <c r="Y1707"/>
  <c r="Y1708"/>
  <c r="Y1709"/>
  <c r="Y1710"/>
  <c r="Y1711"/>
  <c r="Y1712"/>
  <c r="Y1713"/>
  <c r="Y1714"/>
  <c r="Y1715"/>
  <c r="Y1716"/>
  <c r="Y1717"/>
  <c r="Y1718"/>
  <c r="Y1719"/>
  <c r="Y1720"/>
  <c r="Y1721"/>
  <c r="Y1722"/>
  <c r="Y1723"/>
  <c r="Y1724"/>
  <c r="Y1725"/>
  <c r="Y1726"/>
  <c r="Y1727"/>
  <c r="Y1728"/>
  <c r="Y1729"/>
  <c r="Y1730"/>
  <c r="Y1731"/>
  <c r="Y1732"/>
  <c r="Y1733"/>
  <c r="Y1734"/>
  <c r="Y1735"/>
  <c r="Y1736"/>
  <c r="Y1737"/>
  <c r="Y1738"/>
  <c r="Y1739"/>
  <c r="Y1740"/>
  <c r="Y1741"/>
  <c r="Y1742"/>
  <c r="Y1743"/>
  <c r="Y1744"/>
  <c r="Y1745"/>
  <c r="Y1746"/>
  <c r="Y1747"/>
  <c r="Y1748"/>
  <c r="Y1749"/>
  <c r="Y1750"/>
  <c r="Y1751"/>
  <c r="Y1752"/>
  <c r="Y1753"/>
  <c r="Y1754"/>
  <c r="Y1755"/>
  <c r="Y1756"/>
  <c r="Y1757"/>
  <c r="Y1758"/>
  <c r="Y1759"/>
  <c r="Y1760"/>
  <c r="Y1761"/>
  <c r="Y1762"/>
  <c r="Y1763"/>
  <c r="Y1764"/>
  <c r="Y1765"/>
  <c r="Y1766"/>
  <c r="Y1767"/>
  <c r="Y1768"/>
  <c r="Y1769"/>
  <c r="Y1770"/>
  <c r="Y1771"/>
  <c r="Y1772"/>
  <c r="Y1773"/>
  <c r="Y1774"/>
  <c r="Y1775"/>
  <c r="Y1776"/>
  <c r="Y1777"/>
  <c r="Y1778"/>
  <c r="Y1779"/>
  <c r="Y1780"/>
  <c r="Y1781"/>
  <c r="Y1782"/>
  <c r="Y1783"/>
  <c r="Y1784"/>
  <c r="Y1785"/>
  <c r="Y1786"/>
  <c r="Y1787"/>
  <c r="Y1788"/>
  <c r="Y1789"/>
  <c r="Y1790"/>
  <c r="Y1791"/>
  <c r="Y1792"/>
  <c r="Y1793"/>
  <c r="Y1794"/>
  <c r="Y1795"/>
  <c r="Y1796"/>
  <c r="Y1797"/>
  <c r="Y1798"/>
  <c r="Y1799"/>
  <c r="Y1800"/>
  <c r="Y1801"/>
  <c r="Y1802"/>
  <c r="Y1803"/>
  <c r="Y1804"/>
  <c r="Y1805"/>
  <c r="Y1806"/>
  <c r="Y1807"/>
  <c r="Y1808"/>
  <c r="Y1809"/>
  <c r="Y1810"/>
  <c r="Y1811"/>
  <c r="Y1812"/>
  <c r="Y1813"/>
  <c r="Y1814"/>
  <c r="Y1815"/>
  <c r="Y1816"/>
  <c r="Y1817"/>
  <c r="Y1818"/>
  <c r="Y1819"/>
  <c r="Y1820"/>
  <c r="Y1821"/>
  <c r="Y1822"/>
  <c r="Y1823"/>
  <c r="Y1824"/>
  <c r="Y1825"/>
  <c r="Y1826"/>
  <c r="Y1827"/>
  <c r="Y1828"/>
  <c r="Y1829"/>
  <c r="Y1830"/>
  <c r="Y1831"/>
  <c r="Y1832"/>
  <c r="Y1833"/>
  <c r="Y1834"/>
  <c r="Y1835"/>
  <c r="Y1836"/>
  <c r="Y1837"/>
  <c r="Y1838"/>
  <c r="Y1839"/>
  <c r="Y1840"/>
  <c r="Y1841"/>
  <c r="Y1842"/>
  <c r="Y1843"/>
  <c r="Y1844"/>
  <c r="Y1845"/>
  <c r="Y1846"/>
  <c r="Y1847"/>
  <c r="Y1848"/>
  <c r="Y1849"/>
  <c r="Y1850"/>
  <c r="Y1851"/>
  <c r="Y1852"/>
  <c r="Y1853"/>
  <c r="Y1854"/>
  <c r="Y1855"/>
  <c r="Y1856"/>
  <c r="Y1857"/>
  <c r="Y1858"/>
  <c r="Y1859"/>
  <c r="Y1860"/>
  <c r="Y1861"/>
  <c r="Y1862"/>
  <c r="Y1863"/>
  <c r="Y1864"/>
  <c r="Y1865"/>
  <c r="Y1866"/>
  <c r="Y1867"/>
  <c r="Y1868"/>
  <c r="Y1869"/>
  <c r="Y1870"/>
  <c r="Y1871"/>
  <c r="Y1872"/>
  <c r="Y1873"/>
  <c r="Y1874"/>
  <c r="Y1875"/>
  <c r="Y1876"/>
  <c r="Y1877"/>
  <c r="Y1878"/>
  <c r="Y1879"/>
  <c r="Y1880"/>
  <c r="Y1881"/>
  <c r="Y1882"/>
  <c r="Y1883"/>
  <c r="Y1884"/>
  <c r="Y1885"/>
  <c r="Y1886"/>
  <c r="Y1887"/>
  <c r="Y1888"/>
  <c r="Y1889"/>
  <c r="Y1890"/>
  <c r="Y1891"/>
  <c r="Y1892"/>
  <c r="Y1893"/>
  <c r="Y1894"/>
  <c r="Y1895"/>
  <c r="Y1896"/>
  <c r="Y1897"/>
  <c r="Y1898"/>
  <c r="Y1899"/>
  <c r="Y1900"/>
  <c r="Y1901"/>
  <c r="Y1902"/>
  <c r="Y1903"/>
  <c r="Y1904"/>
  <c r="Y1905"/>
  <c r="Y1906"/>
  <c r="Y1907"/>
  <c r="Y1908"/>
  <c r="Y1909"/>
  <c r="Y1910"/>
  <c r="Y1911"/>
  <c r="Y1912"/>
  <c r="Y1913"/>
  <c r="Y1914"/>
  <c r="Y1915"/>
  <c r="Y1916"/>
  <c r="Y1917"/>
  <c r="Y1918"/>
  <c r="Y1919"/>
  <c r="Y1920"/>
  <c r="Y1921"/>
  <c r="Y1922"/>
  <c r="Y1923"/>
  <c r="Y1924"/>
  <c r="Y1925"/>
  <c r="Y1926"/>
  <c r="Y1927"/>
  <c r="Y1928"/>
  <c r="Y1929"/>
  <c r="Y1930"/>
  <c r="Y1931"/>
  <c r="Y1932"/>
  <c r="Y1933"/>
  <c r="Y1934"/>
  <c r="Y1935"/>
  <c r="Y1936"/>
  <c r="Y1937"/>
  <c r="Y1938"/>
  <c r="Y1939"/>
  <c r="Y1940"/>
  <c r="Y1941"/>
  <c r="Y1942"/>
  <c r="Y1943"/>
  <c r="Y1944"/>
  <c r="Y1945"/>
  <c r="Y1946"/>
  <c r="Y1947"/>
  <c r="Y1948"/>
  <c r="Y1949"/>
  <c r="Y1950"/>
  <c r="Y1951"/>
  <c r="Y1952"/>
  <c r="Y1953"/>
  <c r="Y1954"/>
  <c r="Y1955"/>
  <c r="Y1956"/>
  <c r="Y1957"/>
  <c r="Y1958"/>
  <c r="Y1959"/>
  <c r="Y1960"/>
  <c r="Y1961"/>
  <c r="Y1962"/>
  <c r="Y1963"/>
  <c r="Y1964"/>
  <c r="Y1965"/>
  <c r="Y1966"/>
  <c r="Y1967"/>
  <c r="Y1968"/>
  <c r="Y1969"/>
  <c r="Y1970"/>
  <c r="Y1971"/>
  <c r="Y1972"/>
  <c r="Y1973"/>
  <c r="Y1974"/>
  <c r="Y1975"/>
  <c r="Y1976"/>
  <c r="Y1977"/>
  <c r="Y1978"/>
  <c r="Y1979"/>
  <c r="Y1980"/>
  <c r="Y1981"/>
  <c r="Y1982"/>
  <c r="Y1983"/>
  <c r="Y1984"/>
  <c r="Y1985"/>
  <c r="Y1986"/>
  <c r="Y1987"/>
  <c r="Y1988"/>
  <c r="Y1989"/>
  <c r="Y1990"/>
  <c r="Y1991"/>
  <c r="Y1992"/>
  <c r="Y1993"/>
  <c r="Y1994"/>
  <c r="Y1995"/>
  <c r="Y1996"/>
  <c r="Y1997"/>
  <c r="Y1998"/>
  <c r="Y1999"/>
  <c r="Y2000"/>
  <c r="Y2001"/>
  <c r="Y2002"/>
  <c r="Y2003"/>
  <c r="Y2004"/>
  <c r="Y2005"/>
  <c r="Y2006"/>
  <c r="Y2007"/>
  <c r="Y2008"/>
  <c r="Y2009"/>
  <c r="Y2010"/>
  <c r="Y2011"/>
  <c r="Y2012"/>
  <c r="Y2013"/>
  <c r="Y2014"/>
  <c r="Y2015"/>
  <c r="Y2016"/>
  <c r="Y2017"/>
  <c r="Y2018"/>
  <c r="Y2019"/>
  <c r="Y2020"/>
  <c r="Y2021"/>
  <c r="Y2022"/>
  <c r="Y2023"/>
  <c r="Y2024"/>
  <c r="Y2025"/>
  <c r="Y2026"/>
  <c r="Y2027"/>
  <c r="Y2028"/>
  <c r="Y2029"/>
  <c r="Y2030"/>
  <c r="Y2031"/>
  <c r="Y2032"/>
  <c r="Y2033"/>
  <c r="Y2034"/>
  <c r="Y2035"/>
  <c r="Y2036"/>
  <c r="Y2037"/>
  <c r="Y2038"/>
  <c r="Y2039"/>
  <c r="Y2040"/>
  <c r="Y2041"/>
  <c r="Y2042"/>
  <c r="Y2043"/>
  <c r="Y2044"/>
  <c r="Y2045"/>
  <c r="Y2046"/>
  <c r="Y2047"/>
  <c r="Y2048"/>
  <c r="Y2049"/>
  <c r="Y2050"/>
  <c r="Y2051"/>
  <c r="Y2052"/>
  <c r="Y2053"/>
  <c r="Y2054"/>
  <c r="Y2055"/>
  <c r="Y2056"/>
  <c r="Y2057"/>
  <c r="Y2058"/>
  <c r="Y2059"/>
  <c r="Y2060"/>
  <c r="Y2061"/>
  <c r="Y2062"/>
  <c r="Y2063"/>
  <c r="Y2064"/>
  <c r="Y2065"/>
  <c r="Y2066"/>
  <c r="Y2067"/>
  <c r="Y2068"/>
  <c r="Y2069"/>
  <c r="Y2070"/>
  <c r="Y2071"/>
  <c r="Y2072"/>
  <c r="Y2073"/>
  <c r="Y2074"/>
  <c r="Y2075"/>
  <c r="Y2076"/>
  <c r="Y2077"/>
  <c r="Y2078"/>
  <c r="Y2079"/>
  <c r="Y2080"/>
  <c r="Y2081"/>
  <c r="Y2082"/>
  <c r="Y2083"/>
  <c r="Y2084"/>
  <c r="Y2085"/>
  <c r="Y2086"/>
  <c r="Y2087"/>
  <c r="Y2088"/>
  <c r="Y2089"/>
  <c r="Y2090"/>
  <c r="Y2091"/>
  <c r="Y2092"/>
  <c r="Y2093"/>
  <c r="Y2094"/>
  <c r="Y2095"/>
  <c r="Y2096"/>
  <c r="Y2097"/>
  <c r="Y2098"/>
  <c r="Y2099"/>
  <c r="Y2100"/>
  <c r="Y2101"/>
  <c r="Y2102"/>
  <c r="Y2103"/>
  <c r="Y2104"/>
  <c r="Y2105"/>
  <c r="Y2106"/>
  <c r="Y2107"/>
  <c r="Y2108"/>
  <c r="Y2109"/>
  <c r="Y2110"/>
  <c r="Y2111"/>
  <c r="Y2112"/>
  <c r="Y2113"/>
  <c r="Y2114"/>
  <c r="Y2115"/>
  <c r="Y2116"/>
  <c r="Y2117"/>
  <c r="Y2118"/>
  <c r="Y2119"/>
  <c r="Y2120"/>
  <c r="Y2121"/>
  <c r="Y2122"/>
  <c r="Y2123"/>
  <c r="Y2124"/>
  <c r="Y2125"/>
  <c r="Y2126"/>
  <c r="Y2127"/>
  <c r="Y2128"/>
  <c r="Y2129"/>
  <c r="Y2130"/>
  <c r="Y2131"/>
  <c r="Y2132"/>
  <c r="Y2133"/>
  <c r="Y2134"/>
  <c r="Y2135"/>
  <c r="Y2136"/>
  <c r="Y2137"/>
  <c r="Y2138"/>
  <c r="Y2139"/>
  <c r="Y2140"/>
  <c r="Y2141"/>
  <c r="Y2142"/>
  <c r="Y2143"/>
  <c r="Y2144"/>
  <c r="Y2145"/>
  <c r="Y2146"/>
  <c r="Y2147"/>
  <c r="Y2148"/>
  <c r="Y2149"/>
  <c r="Y2150"/>
  <c r="Y2151"/>
  <c r="Y2152"/>
  <c r="Y2153"/>
  <c r="Y2154"/>
  <c r="Y2155"/>
  <c r="Y2156"/>
  <c r="Y2157"/>
  <c r="Y2158"/>
  <c r="Y2159"/>
  <c r="Y2160"/>
  <c r="Y2161"/>
  <c r="Y2162"/>
  <c r="Y2163"/>
  <c r="Y2164"/>
  <c r="Y2165"/>
  <c r="Y2166"/>
  <c r="Y2167"/>
  <c r="Y2168"/>
  <c r="Y2169"/>
  <c r="Y2170"/>
  <c r="Y2171"/>
  <c r="Y2172"/>
  <c r="Y2173"/>
  <c r="Y2174"/>
  <c r="Y2175"/>
  <c r="Y2176"/>
  <c r="Y2177"/>
  <c r="Y2178"/>
  <c r="Y2179"/>
  <c r="Y2180"/>
  <c r="Y2181"/>
  <c r="Y2182"/>
  <c r="Y2183"/>
  <c r="Y2184"/>
  <c r="Y2185"/>
  <c r="Y2186"/>
  <c r="Y2187"/>
  <c r="Y2188"/>
  <c r="Y2189"/>
  <c r="Y2190"/>
  <c r="Y2191"/>
  <c r="Y2192"/>
  <c r="Y2193"/>
  <c r="Y2194"/>
  <c r="Y2195"/>
  <c r="Y2196"/>
  <c r="Y2197"/>
  <c r="Y2198"/>
  <c r="Y2199"/>
  <c r="Y2200"/>
  <c r="Y2201"/>
  <c r="Y2202"/>
  <c r="Y2203"/>
  <c r="Y2204"/>
  <c r="Y2205"/>
  <c r="Y2206"/>
  <c r="Y2207"/>
  <c r="Y2208"/>
  <c r="Y2209"/>
  <c r="Y2210"/>
  <c r="Y2211"/>
  <c r="Y2212"/>
  <c r="Y2213"/>
  <c r="Y2214"/>
  <c r="Y2215"/>
  <c r="Y2216"/>
  <c r="Y2217"/>
  <c r="Y2218"/>
  <c r="Y2219"/>
  <c r="Y2220"/>
  <c r="Y2221"/>
  <c r="Y2222"/>
  <c r="Y2223"/>
  <c r="Y2224"/>
  <c r="Y2225"/>
  <c r="Y2226"/>
  <c r="Y2227"/>
  <c r="Y2228"/>
  <c r="Y2229"/>
  <c r="Y2230"/>
  <c r="Y2231"/>
  <c r="Y2232"/>
  <c r="Y2233"/>
  <c r="Y2234"/>
  <c r="Y2235"/>
  <c r="Y2236"/>
  <c r="Y2237"/>
  <c r="Y2238"/>
  <c r="Y2239"/>
  <c r="Y2240"/>
  <c r="Y2241"/>
  <c r="Y2242"/>
  <c r="Y2243"/>
  <c r="Y2244"/>
  <c r="Y2245"/>
  <c r="Y2246"/>
  <c r="Y2247"/>
  <c r="Y2248"/>
  <c r="Y2249"/>
  <c r="Y2250"/>
  <c r="Y2251"/>
  <c r="Y2252"/>
  <c r="Y2253"/>
  <c r="Y2254"/>
  <c r="Y2255"/>
  <c r="Y2256"/>
  <c r="Y2257"/>
  <c r="Y2258"/>
  <c r="Y2259"/>
  <c r="Y2260"/>
  <c r="Y2261"/>
  <c r="Y2262"/>
  <c r="Y2263"/>
  <c r="Y2264"/>
  <c r="Y2265"/>
  <c r="Y2266"/>
  <c r="Y2267"/>
  <c r="Y2268"/>
  <c r="Y2269"/>
  <c r="Y2270"/>
  <c r="Y2271"/>
  <c r="Y2272"/>
  <c r="Y2273"/>
  <c r="Y2274"/>
  <c r="Y2275"/>
  <c r="Y2276"/>
  <c r="Y2277"/>
  <c r="Y2278"/>
  <c r="Y2279"/>
  <c r="Y2280"/>
  <c r="Y2281"/>
  <c r="Y2282"/>
  <c r="Y2283"/>
  <c r="Y2284"/>
  <c r="Y2285"/>
  <c r="Y2286"/>
  <c r="Y2287"/>
  <c r="Y2288"/>
  <c r="Y2289"/>
  <c r="Y2290"/>
  <c r="Y2291"/>
  <c r="Y2292"/>
  <c r="Y2293"/>
  <c r="Y2294"/>
  <c r="Y2295"/>
  <c r="Y2296"/>
  <c r="Y2297"/>
  <c r="Y2298"/>
  <c r="Y2299"/>
  <c r="Y2300"/>
  <c r="Y2301"/>
  <c r="Y2302"/>
  <c r="Y2303"/>
  <c r="Y2304"/>
  <c r="Y2305"/>
  <c r="Y2306"/>
  <c r="Y2307"/>
  <c r="Y2308"/>
  <c r="Y2309"/>
  <c r="Y2310"/>
  <c r="Y2311"/>
  <c r="Y2312"/>
  <c r="Y2313"/>
  <c r="Y2314"/>
  <c r="Y2315"/>
  <c r="Y2316"/>
  <c r="Y2317"/>
  <c r="Y2318"/>
  <c r="Y2319"/>
  <c r="Y2320"/>
  <c r="Y2321"/>
  <c r="Y2322"/>
  <c r="Y2323"/>
  <c r="Y2324"/>
  <c r="Y2325"/>
  <c r="Y2326"/>
  <c r="Y2327"/>
  <c r="Y2328"/>
  <c r="Y2329"/>
  <c r="Y2330"/>
  <c r="Y2331"/>
  <c r="Y2332"/>
  <c r="Y2333"/>
  <c r="Y2334"/>
  <c r="Y2335"/>
  <c r="Y2336"/>
  <c r="Y2337"/>
  <c r="Y2338"/>
  <c r="Y2339"/>
  <c r="Y2340"/>
  <c r="Y2341"/>
  <c r="Y2342"/>
  <c r="Y2343"/>
  <c r="Y2344"/>
  <c r="Y2345"/>
  <c r="Y2346"/>
  <c r="Y2347"/>
  <c r="Y2348"/>
  <c r="Y2349"/>
  <c r="Y2350"/>
  <c r="Y2351"/>
  <c r="Y2352"/>
  <c r="Y2353"/>
  <c r="Y2354"/>
  <c r="Y2355"/>
  <c r="Y2356"/>
  <c r="Y2357"/>
  <c r="Y2358"/>
  <c r="Y2359"/>
  <c r="Y2360"/>
  <c r="Y2361"/>
  <c r="Y2362"/>
  <c r="Y2363"/>
  <c r="Y2364"/>
  <c r="Y2365"/>
  <c r="Y2366"/>
  <c r="Y2367"/>
  <c r="Y2368"/>
  <c r="Y2369"/>
  <c r="Y2370"/>
  <c r="Y2371"/>
  <c r="Y2372"/>
  <c r="Y2373"/>
  <c r="Y2374"/>
  <c r="Y2375"/>
  <c r="Y2376"/>
  <c r="Y2377"/>
  <c r="Y2378"/>
  <c r="Y2379"/>
  <c r="Y2380"/>
  <c r="Y2381"/>
  <c r="Y2382"/>
  <c r="Y2383"/>
  <c r="Y2384"/>
  <c r="Y2385"/>
  <c r="Y2386"/>
  <c r="Y2387"/>
  <c r="Y2388"/>
  <c r="Y2389"/>
  <c r="Y2390"/>
  <c r="Y2391"/>
  <c r="Y2392"/>
  <c r="Y2393"/>
  <c r="Y2394"/>
  <c r="Y2395"/>
  <c r="Y2396"/>
  <c r="Y2397"/>
  <c r="Y2398"/>
  <c r="Y2399"/>
  <c r="Y2400"/>
  <c r="Y2401"/>
  <c r="Y2402"/>
  <c r="Y2403"/>
  <c r="Y2404"/>
  <c r="Y2405"/>
  <c r="Y2406"/>
  <c r="Y2407"/>
  <c r="Y2408"/>
  <c r="Y2409"/>
  <c r="Y2410"/>
  <c r="Y2411"/>
  <c r="Y2412"/>
  <c r="Y2413"/>
  <c r="Y2414"/>
  <c r="Y2415"/>
  <c r="Y2416"/>
  <c r="Y2417"/>
  <c r="Y2418"/>
  <c r="Y2419"/>
  <c r="Y2420"/>
  <c r="Y2421"/>
  <c r="Y2422"/>
  <c r="Y2423"/>
  <c r="Y2424"/>
  <c r="Y2425"/>
  <c r="Y2426"/>
  <c r="Y2427"/>
  <c r="Y2428"/>
  <c r="Y2429"/>
  <c r="Y2430"/>
  <c r="Y2431"/>
  <c r="Y2432"/>
  <c r="Y2433"/>
  <c r="Y2434"/>
  <c r="Y2435"/>
  <c r="Y2436"/>
  <c r="Y2437"/>
  <c r="Y2438"/>
  <c r="Y2439"/>
  <c r="Y2440"/>
  <c r="Y2441"/>
  <c r="Y2442"/>
  <c r="Y2443"/>
  <c r="Y2444"/>
  <c r="Y2445"/>
  <c r="Y2446"/>
  <c r="Y2447"/>
  <c r="Y2448"/>
  <c r="Y2449"/>
  <c r="Y2450"/>
  <c r="Y2451"/>
  <c r="Y2452"/>
  <c r="Y2453"/>
  <c r="Y2454"/>
  <c r="Y2455"/>
  <c r="Y2456"/>
  <c r="Y2457"/>
  <c r="Y2458"/>
  <c r="Y2459"/>
  <c r="Y2460"/>
  <c r="Y2461"/>
  <c r="Y2462"/>
  <c r="Y2463"/>
  <c r="Y2464"/>
  <c r="Y2465"/>
  <c r="Y2466"/>
  <c r="Y2467"/>
  <c r="Y2468"/>
  <c r="Y2469"/>
  <c r="Y2470"/>
  <c r="Y2471"/>
  <c r="Y2472"/>
  <c r="Y2473"/>
  <c r="Y2474"/>
  <c r="Y2475"/>
  <c r="Y2476"/>
  <c r="Y2477"/>
  <c r="Y2478"/>
  <c r="Y2479"/>
  <c r="Y2480"/>
  <c r="Y2481"/>
  <c r="Y2482"/>
  <c r="Y2483"/>
  <c r="Y2484"/>
  <c r="Y2485"/>
  <c r="Y2486"/>
  <c r="Y2487"/>
  <c r="Y2488"/>
  <c r="Y2489"/>
  <c r="Y2490"/>
  <c r="Y2491"/>
  <c r="Y2492"/>
  <c r="Y2493"/>
  <c r="Y2494"/>
  <c r="Y2495"/>
  <c r="Y2496"/>
  <c r="Y2497"/>
  <c r="Y2498"/>
  <c r="Y2499"/>
  <c r="Y2500"/>
  <c r="Y2501"/>
  <c r="Y2502"/>
  <c r="Y2503"/>
  <c r="Y2504"/>
  <c r="Y2505"/>
  <c r="Y2506"/>
  <c r="Y2507"/>
  <c r="Y2508"/>
  <c r="Y2509"/>
  <c r="Y2510"/>
  <c r="Y2511"/>
  <c r="Y2512"/>
  <c r="Y2513"/>
  <c r="Y2514"/>
  <c r="Y2515"/>
  <c r="Y2516"/>
  <c r="Y2517"/>
  <c r="Y2518"/>
  <c r="Y2519"/>
  <c r="Y2520"/>
  <c r="Y2521"/>
  <c r="Y2522"/>
  <c r="Y2523"/>
  <c r="Y2524"/>
  <c r="Y2525"/>
  <c r="Y2526"/>
  <c r="Y2527"/>
  <c r="Y2528"/>
  <c r="Y2529"/>
  <c r="Y2530"/>
  <c r="Y2531"/>
  <c r="Y2532"/>
  <c r="Y2533"/>
  <c r="Y2534"/>
  <c r="Y2535"/>
  <c r="Y2536"/>
  <c r="Y2537"/>
  <c r="Y2538"/>
  <c r="Y2539"/>
  <c r="Y2540"/>
  <c r="Y2541"/>
  <c r="Y2542"/>
  <c r="Y2543"/>
  <c r="Y2544"/>
  <c r="Y2545"/>
  <c r="Y2546"/>
  <c r="Y2547"/>
  <c r="Y2548"/>
  <c r="Y2549"/>
  <c r="Y2550"/>
  <c r="Y2551"/>
  <c r="Y2552"/>
  <c r="Y2553"/>
  <c r="Y2554"/>
  <c r="Y2555"/>
  <c r="Y2556"/>
  <c r="Y2557"/>
  <c r="Y2558"/>
  <c r="Y2559"/>
  <c r="Y2560"/>
  <c r="Y2561"/>
  <c r="Y2562"/>
  <c r="Y2563"/>
  <c r="Y2564"/>
  <c r="Y2565"/>
  <c r="Y2566"/>
  <c r="Y2567"/>
  <c r="Y2568"/>
  <c r="Y2569"/>
  <c r="Y2570"/>
  <c r="Y2571"/>
  <c r="Y2572"/>
  <c r="Y2573"/>
  <c r="Y2574"/>
  <c r="Y2575"/>
  <c r="Y2576"/>
  <c r="Y2577"/>
  <c r="Y2578"/>
  <c r="Y2579"/>
  <c r="Y2580"/>
  <c r="Y2581"/>
  <c r="Y2582"/>
  <c r="Y2583"/>
  <c r="Y2584"/>
  <c r="Y2585"/>
  <c r="Y2586"/>
  <c r="Y2587"/>
  <c r="Y2588"/>
  <c r="Y2589"/>
  <c r="Y2590"/>
  <c r="Y2591"/>
  <c r="Y2592"/>
  <c r="Y2593"/>
  <c r="Y2594"/>
  <c r="Y2595"/>
  <c r="Y2596"/>
  <c r="X187"/>
  <c r="X188"/>
  <c r="X189"/>
  <c r="X190"/>
  <c r="X191"/>
  <c r="X192"/>
  <c r="X193"/>
  <c r="X194"/>
  <c r="X195"/>
  <c r="X196"/>
  <c r="X197"/>
  <c r="X198"/>
  <c r="X199"/>
  <c r="X200"/>
  <c r="X201"/>
  <c r="X202"/>
  <c r="X203"/>
  <c r="X204"/>
  <c r="X205"/>
  <c r="X206"/>
  <c r="X207"/>
  <c r="X208"/>
  <c r="X209"/>
  <c r="X210"/>
  <c r="X211"/>
  <c r="X212"/>
  <c r="X213"/>
  <c r="X214"/>
  <c r="X215"/>
  <c r="X216"/>
  <c r="X217"/>
  <c r="X218"/>
  <c r="X219"/>
  <c r="X220"/>
  <c r="X221"/>
  <c r="X222"/>
  <c r="X223"/>
  <c r="X224"/>
  <c r="X225"/>
  <c r="X226"/>
  <c r="X227"/>
  <c r="X228"/>
  <c r="X229"/>
  <c r="X230"/>
  <c r="X231"/>
  <c r="X232"/>
  <c r="X233"/>
  <c r="X234"/>
  <c r="X235"/>
  <c r="X236"/>
  <c r="X237"/>
  <c r="X238"/>
  <c r="X239"/>
  <c r="X240"/>
  <c r="X241"/>
  <c r="X242"/>
  <c r="X243"/>
  <c r="X244"/>
  <c r="X245"/>
  <c r="X246"/>
  <c r="X247"/>
  <c r="X248"/>
  <c r="X249"/>
  <c r="X250"/>
  <c r="X251"/>
  <c r="X252"/>
  <c r="X253"/>
  <c r="X254"/>
  <c r="X255"/>
  <c r="X256"/>
  <c r="X257"/>
  <c r="X258"/>
  <c r="X259"/>
  <c r="X260"/>
  <c r="X261"/>
  <c r="X262"/>
  <c r="X263"/>
  <c r="X264"/>
  <c r="X265"/>
  <c r="X266"/>
  <c r="X267"/>
  <c r="X268"/>
  <c r="X269"/>
  <c r="X270"/>
  <c r="X271"/>
  <c r="X272"/>
  <c r="X273"/>
  <c r="X274"/>
  <c r="X275"/>
  <c r="X276"/>
  <c r="X277"/>
  <c r="X278"/>
  <c r="X279"/>
  <c r="X280"/>
  <c r="X281"/>
  <c r="X282"/>
  <c r="X283"/>
  <c r="X284"/>
  <c r="X285"/>
  <c r="X286"/>
  <c r="X287"/>
  <c r="X288"/>
  <c r="X289"/>
  <c r="X290"/>
  <c r="X291"/>
  <c r="X292"/>
  <c r="X293"/>
  <c r="X294"/>
  <c r="X295"/>
  <c r="X296"/>
  <c r="X297"/>
  <c r="X298"/>
  <c r="X299"/>
  <c r="X300"/>
  <c r="X301"/>
  <c r="X302"/>
  <c r="X303"/>
  <c r="X304"/>
  <c r="X305"/>
  <c r="X306"/>
  <c r="X307"/>
  <c r="X308"/>
  <c r="X309"/>
  <c r="X310"/>
  <c r="X311"/>
  <c r="X312"/>
  <c r="X313"/>
  <c r="X314"/>
  <c r="X315"/>
  <c r="X316"/>
  <c r="X317"/>
  <c r="X318"/>
  <c r="X319"/>
  <c r="X320"/>
  <c r="X321"/>
  <c r="X322"/>
  <c r="X323"/>
  <c r="X324"/>
  <c r="X325"/>
  <c r="X326"/>
  <c r="X327"/>
  <c r="X328"/>
  <c r="X329"/>
  <c r="X330"/>
  <c r="X331"/>
  <c r="X332"/>
  <c r="X333"/>
  <c r="X334"/>
  <c r="X335"/>
  <c r="X336"/>
  <c r="X337"/>
  <c r="X338"/>
  <c r="X339"/>
  <c r="X340"/>
  <c r="X341"/>
  <c r="X342"/>
  <c r="X343"/>
  <c r="X344"/>
  <c r="X345"/>
  <c r="X346"/>
  <c r="X347"/>
  <c r="X348"/>
  <c r="X349"/>
  <c r="X350"/>
  <c r="X351"/>
  <c r="X352"/>
  <c r="X353"/>
  <c r="X354"/>
  <c r="X355"/>
  <c r="X356"/>
  <c r="X357"/>
  <c r="X358"/>
  <c r="X359"/>
  <c r="X360"/>
  <c r="X361"/>
  <c r="X362"/>
  <c r="X363"/>
  <c r="X364"/>
  <c r="X365"/>
  <c r="X366"/>
  <c r="X367"/>
  <c r="X368"/>
  <c r="X369"/>
  <c r="X370"/>
  <c r="X371"/>
  <c r="X372"/>
  <c r="X373"/>
  <c r="X374"/>
  <c r="X375"/>
  <c r="X376"/>
  <c r="X377"/>
  <c r="X378"/>
  <c r="X379"/>
  <c r="X380"/>
  <c r="X381"/>
  <c r="X382"/>
  <c r="X383"/>
  <c r="X384"/>
  <c r="X385"/>
  <c r="X386"/>
  <c r="X387"/>
  <c r="X388"/>
  <c r="X389"/>
  <c r="X390"/>
  <c r="X391"/>
  <c r="X392"/>
  <c r="X393"/>
  <c r="X394"/>
  <c r="X395"/>
  <c r="X396"/>
  <c r="X397"/>
  <c r="X398"/>
  <c r="X399"/>
  <c r="X400"/>
  <c r="X401"/>
  <c r="X402"/>
  <c r="X403"/>
  <c r="X404"/>
  <c r="X405"/>
  <c r="X406"/>
  <c r="X407"/>
  <c r="X408"/>
  <c r="X409"/>
  <c r="X410"/>
  <c r="X411"/>
  <c r="X412"/>
  <c r="X413"/>
  <c r="X414"/>
  <c r="X415"/>
  <c r="X416"/>
  <c r="X417"/>
  <c r="X418"/>
  <c r="X419"/>
  <c r="X420"/>
  <c r="X421"/>
  <c r="X422"/>
  <c r="X423"/>
  <c r="X424"/>
  <c r="X425"/>
  <c r="X426"/>
  <c r="X427"/>
  <c r="X428"/>
  <c r="X429"/>
  <c r="X430"/>
  <c r="X431"/>
  <c r="X432"/>
  <c r="X433"/>
  <c r="X434"/>
  <c r="X435"/>
  <c r="X436"/>
  <c r="X437"/>
  <c r="X438"/>
  <c r="X439"/>
  <c r="X440"/>
  <c r="X441"/>
  <c r="X442"/>
  <c r="X443"/>
  <c r="X444"/>
  <c r="X445"/>
  <c r="X446"/>
  <c r="X447"/>
  <c r="X448"/>
  <c r="X449"/>
  <c r="X450"/>
  <c r="X451"/>
  <c r="X452"/>
  <c r="X453"/>
  <c r="X454"/>
  <c r="X455"/>
  <c r="X456"/>
  <c r="X457"/>
  <c r="X458"/>
  <c r="X459"/>
  <c r="X460"/>
  <c r="X461"/>
  <c r="X462"/>
  <c r="X463"/>
  <c r="X464"/>
  <c r="X465"/>
  <c r="X466"/>
  <c r="X467"/>
  <c r="X468"/>
  <c r="X469"/>
  <c r="X470"/>
  <c r="X471"/>
  <c r="X472"/>
  <c r="X473"/>
  <c r="X474"/>
  <c r="X475"/>
  <c r="X476"/>
  <c r="X477"/>
  <c r="X478"/>
  <c r="X479"/>
  <c r="X480"/>
  <c r="X481"/>
  <c r="X482"/>
  <c r="X483"/>
  <c r="X484"/>
  <c r="X485"/>
  <c r="X486"/>
  <c r="X487"/>
  <c r="X488"/>
  <c r="X489"/>
  <c r="X490"/>
  <c r="X491"/>
  <c r="X492"/>
  <c r="X493"/>
  <c r="X494"/>
  <c r="X495"/>
  <c r="X496"/>
  <c r="X497"/>
  <c r="X498"/>
  <c r="X499"/>
  <c r="X500"/>
  <c r="X501"/>
  <c r="X502"/>
  <c r="X503"/>
  <c r="X504"/>
  <c r="X505"/>
  <c r="X506"/>
  <c r="X507"/>
  <c r="X508"/>
  <c r="X509"/>
  <c r="X510"/>
  <c r="X511"/>
  <c r="X512"/>
  <c r="X513"/>
  <c r="X514"/>
  <c r="X515"/>
  <c r="X516"/>
  <c r="X517"/>
  <c r="X518"/>
  <c r="X519"/>
  <c r="X520"/>
  <c r="X521"/>
  <c r="X522"/>
  <c r="X523"/>
  <c r="X524"/>
  <c r="X525"/>
  <c r="X526"/>
  <c r="X527"/>
  <c r="X528"/>
  <c r="X529"/>
  <c r="X530"/>
  <c r="X531"/>
  <c r="X532"/>
  <c r="X533"/>
  <c r="X534"/>
  <c r="X535"/>
  <c r="X536"/>
  <c r="X537"/>
  <c r="X538"/>
  <c r="X539"/>
  <c r="X540"/>
  <c r="X541"/>
  <c r="X542"/>
  <c r="X543"/>
  <c r="X544"/>
  <c r="X545"/>
  <c r="X546"/>
  <c r="X547"/>
  <c r="X548"/>
  <c r="X549"/>
  <c r="X550"/>
  <c r="X551"/>
  <c r="X552"/>
  <c r="X553"/>
  <c r="X554"/>
  <c r="X555"/>
  <c r="X556"/>
  <c r="X557"/>
  <c r="X558"/>
  <c r="X559"/>
  <c r="X560"/>
  <c r="X561"/>
  <c r="X562"/>
  <c r="X563"/>
  <c r="X564"/>
  <c r="X565"/>
  <c r="X566"/>
  <c r="X567"/>
  <c r="X568"/>
  <c r="X569"/>
  <c r="X570"/>
  <c r="X571"/>
  <c r="X572"/>
  <c r="X573"/>
  <c r="X574"/>
  <c r="X575"/>
  <c r="X576"/>
  <c r="X577"/>
  <c r="X578"/>
  <c r="X579"/>
  <c r="X580"/>
  <c r="X581"/>
  <c r="X582"/>
  <c r="X583"/>
  <c r="X584"/>
  <c r="X585"/>
  <c r="X586"/>
  <c r="X587"/>
  <c r="X588"/>
  <c r="X589"/>
  <c r="X590"/>
  <c r="X591"/>
  <c r="X592"/>
  <c r="X593"/>
  <c r="X594"/>
  <c r="X595"/>
  <c r="X596"/>
  <c r="X597"/>
  <c r="X598"/>
  <c r="X599"/>
  <c r="X600"/>
  <c r="X601"/>
  <c r="X602"/>
  <c r="X603"/>
  <c r="X604"/>
  <c r="X605"/>
  <c r="X606"/>
  <c r="X607"/>
  <c r="X608"/>
  <c r="X609"/>
  <c r="X610"/>
  <c r="X611"/>
  <c r="X612"/>
  <c r="X613"/>
  <c r="X614"/>
  <c r="X615"/>
  <c r="X616"/>
  <c r="X617"/>
  <c r="X618"/>
  <c r="X619"/>
  <c r="X620"/>
  <c r="X621"/>
  <c r="X622"/>
  <c r="X623"/>
  <c r="X624"/>
  <c r="X625"/>
  <c r="X626"/>
  <c r="X627"/>
  <c r="X628"/>
  <c r="X629"/>
  <c r="X630"/>
  <c r="X631"/>
  <c r="X632"/>
  <c r="X633"/>
  <c r="X634"/>
  <c r="X635"/>
  <c r="X636"/>
  <c r="X637"/>
  <c r="X638"/>
  <c r="X639"/>
  <c r="X640"/>
  <c r="X641"/>
  <c r="X642"/>
  <c r="X643"/>
  <c r="X644"/>
  <c r="X645"/>
  <c r="X646"/>
  <c r="X647"/>
  <c r="X648"/>
  <c r="X649"/>
  <c r="X650"/>
  <c r="X651"/>
  <c r="X652"/>
  <c r="X653"/>
  <c r="X654"/>
  <c r="X655"/>
  <c r="X656"/>
  <c r="X657"/>
  <c r="X658"/>
  <c r="X659"/>
  <c r="X660"/>
  <c r="X661"/>
  <c r="X662"/>
  <c r="X663"/>
  <c r="X664"/>
  <c r="X665"/>
  <c r="X666"/>
  <c r="X667"/>
  <c r="X668"/>
  <c r="X669"/>
  <c r="X670"/>
  <c r="X671"/>
  <c r="X672"/>
  <c r="X673"/>
  <c r="X674"/>
  <c r="X675"/>
  <c r="X676"/>
  <c r="X677"/>
  <c r="X678"/>
  <c r="X679"/>
  <c r="X680"/>
  <c r="X681"/>
  <c r="X682"/>
  <c r="X683"/>
  <c r="X684"/>
  <c r="X685"/>
  <c r="X686"/>
  <c r="X687"/>
  <c r="X688"/>
  <c r="X689"/>
  <c r="X690"/>
  <c r="X691"/>
  <c r="X692"/>
  <c r="X693"/>
  <c r="X694"/>
  <c r="X695"/>
  <c r="X696"/>
  <c r="X697"/>
  <c r="X698"/>
  <c r="X699"/>
  <c r="X700"/>
  <c r="X701"/>
  <c r="X702"/>
  <c r="X703"/>
  <c r="X704"/>
  <c r="X705"/>
  <c r="X706"/>
  <c r="X707"/>
  <c r="X708"/>
  <c r="X709"/>
  <c r="X710"/>
  <c r="X711"/>
  <c r="X712"/>
  <c r="X713"/>
  <c r="X714"/>
  <c r="X715"/>
  <c r="X716"/>
  <c r="X717"/>
  <c r="X718"/>
  <c r="X719"/>
  <c r="X720"/>
  <c r="X721"/>
  <c r="X722"/>
  <c r="X723"/>
  <c r="X724"/>
  <c r="X725"/>
  <c r="X726"/>
  <c r="X727"/>
  <c r="X728"/>
  <c r="X729"/>
  <c r="X730"/>
  <c r="X731"/>
  <c r="X732"/>
  <c r="X733"/>
  <c r="X734"/>
  <c r="X735"/>
  <c r="X736"/>
  <c r="X737"/>
  <c r="X738"/>
  <c r="X739"/>
  <c r="X740"/>
  <c r="X741"/>
  <c r="X742"/>
  <c r="X743"/>
  <c r="X744"/>
  <c r="X745"/>
  <c r="X746"/>
  <c r="X747"/>
  <c r="X748"/>
  <c r="X749"/>
  <c r="X750"/>
  <c r="X751"/>
  <c r="X752"/>
  <c r="X753"/>
  <c r="X754"/>
  <c r="X755"/>
  <c r="X756"/>
  <c r="X757"/>
  <c r="X758"/>
  <c r="X759"/>
  <c r="X760"/>
  <c r="X761"/>
  <c r="X762"/>
  <c r="X763"/>
  <c r="X764"/>
  <c r="X765"/>
  <c r="X766"/>
  <c r="X767"/>
  <c r="X768"/>
  <c r="X769"/>
  <c r="X770"/>
  <c r="X771"/>
  <c r="X772"/>
  <c r="X773"/>
  <c r="X774"/>
  <c r="X775"/>
  <c r="X776"/>
  <c r="X777"/>
  <c r="X778"/>
  <c r="X779"/>
  <c r="X780"/>
  <c r="X781"/>
  <c r="X782"/>
  <c r="X783"/>
  <c r="X784"/>
  <c r="X785"/>
  <c r="X786"/>
  <c r="X787"/>
  <c r="X788"/>
  <c r="X789"/>
  <c r="X790"/>
  <c r="X791"/>
  <c r="X792"/>
  <c r="X793"/>
  <c r="X794"/>
  <c r="X795"/>
  <c r="X796"/>
  <c r="X797"/>
  <c r="X798"/>
  <c r="X799"/>
  <c r="X800"/>
  <c r="X801"/>
  <c r="X802"/>
  <c r="X803"/>
  <c r="X804"/>
  <c r="X805"/>
  <c r="X806"/>
  <c r="X807"/>
  <c r="X808"/>
  <c r="X809"/>
  <c r="X810"/>
  <c r="X811"/>
  <c r="X812"/>
  <c r="X813"/>
  <c r="X814"/>
  <c r="X815"/>
  <c r="X816"/>
  <c r="X817"/>
  <c r="X818"/>
  <c r="X819"/>
  <c r="X820"/>
  <c r="X821"/>
  <c r="X822"/>
  <c r="X823"/>
  <c r="X824"/>
  <c r="X825"/>
  <c r="X826"/>
  <c r="X827"/>
  <c r="X828"/>
  <c r="X829"/>
  <c r="X830"/>
  <c r="X831"/>
  <c r="X832"/>
  <c r="X833"/>
  <c r="X834"/>
  <c r="X835"/>
  <c r="X836"/>
  <c r="X837"/>
  <c r="X838"/>
  <c r="X839"/>
  <c r="X840"/>
  <c r="X841"/>
  <c r="X842"/>
  <c r="X843"/>
  <c r="X844"/>
  <c r="X845"/>
  <c r="X846"/>
  <c r="X847"/>
  <c r="X848"/>
  <c r="X849"/>
  <c r="X850"/>
  <c r="X851"/>
  <c r="X852"/>
  <c r="X853"/>
  <c r="X854"/>
  <c r="X855"/>
  <c r="X856"/>
  <c r="X857"/>
  <c r="X858"/>
  <c r="X859"/>
  <c r="X860"/>
  <c r="X861"/>
  <c r="X862"/>
  <c r="X863"/>
  <c r="X864"/>
  <c r="X865"/>
  <c r="X866"/>
  <c r="X867"/>
  <c r="X868"/>
  <c r="X869"/>
  <c r="X870"/>
  <c r="X871"/>
  <c r="X872"/>
  <c r="X873"/>
  <c r="X874"/>
  <c r="X875"/>
  <c r="X876"/>
  <c r="X877"/>
  <c r="X878"/>
  <c r="X879"/>
  <c r="X880"/>
  <c r="X881"/>
  <c r="X882"/>
  <c r="X883"/>
  <c r="X884"/>
  <c r="X885"/>
  <c r="X886"/>
  <c r="X887"/>
  <c r="X888"/>
  <c r="X889"/>
  <c r="X890"/>
  <c r="X891"/>
  <c r="X892"/>
  <c r="X893"/>
  <c r="X894"/>
  <c r="X895"/>
  <c r="X896"/>
  <c r="X897"/>
  <c r="X898"/>
  <c r="X899"/>
  <c r="X900"/>
  <c r="X901"/>
  <c r="X902"/>
  <c r="X903"/>
  <c r="X904"/>
  <c r="X905"/>
  <c r="X906"/>
  <c r="X907"/>
  <c r="X908"/>
  <c r="X909"/>
  <c r="X910"/>
  <c r="X911"/>
  <c r="X912"/>
  <c r="X913"/>
  <c r="X914"/>
  <c r="X915"/>
  <c r="X916"/>
  <c r="X917"/>
  <c r="X918"/>
  <c r="X919"/>
  <c r="X920"/>
  <c r="X921"/>
  <c r="X922"/>
  <c r="X923"/>
  <c r="X924"/>
  <c r="X925"/>
  <c r="X926"/>
  <c r="X927"/>
  <c r="X928"/>
  <c r="X929"/>
  <c r="X930"/>
  <c r="X931"/>
  <c r="X932"/>
  <c r="X933"/>
  <c r="X934"/>
  <c r="X935"/>
  <c r="X936"/>
  <c r="X937"/>
  <c r="X938"/>
  <c r="X939"/>
  <c r="X940"/>
  <c r="X941"/>
  <c r="X942"/>
  <c r="X943"/>
  <c r="X944"/>
  <c r="X945"/>
  <c r="X946"/>
  <c r="X947"/>
  <c r="X948"/>
  <c r="X949"/>
  <c r="X950"/>
  <c r="X951"/>
  <c r="X952"/>
  <c r="X953"/>
  <c r="X954"/>
  <c r="X955"/>
  <c r="X956"/>
  <c r="X957"/>
  <c r="X958"/>
  <c r="X959"/>
  <c r="X960"/>
  <c r="X961"/>
  <c r="X962"/>
  <c r="X963"/>
  <c r="X964"/>
  <c r="X965"/>
  <c r="X966"/>
  <c r="X967"/>
  <c r="X968"/>
  <c r="X969"/>
  <c r="X970"/>
  <c r="X971"/>
  <c r="X972"/>
  <c r="X973"/>
  <c r="X974"/>
  <c r="X975"/>
  <c r="X976"/>
  <c r="X977"/>
  <c r="X978"/>
  <c r="X979"/>
  <c r="X980"/>
  <c r="X981"/>
  <c r="X982"/>
  <c r="X983"/>
  <c r="X984"/>
  <c r="X985"/>
  <c r="X986"/>
  <c r="X987"/>
  <c r="X988"/>
  <c r="X989"/>
  <c r="X990"/>
  <c r="X991"/>
  <c r="X992"/>
  <c r="X993"/>
  <c r="X994"/>
  <c r="X995"/>
  <c r="X996"/>
  <c r="X997"/>
  <c r="X998"/>
  <c r="X999"/>
  <c r="X1000"/>
  <c r="X1001"/>
  <c r="X1002"/>
  <c r="X1003"/>
  <c r="X1004"/>
  <c r="X1005"/>
  <c r="X1006"/>
  <c r="X1007"/>
  <c r="X1008"/>
  <c r="X1009"/>
  <c r="X1010"/>
  <c r="X1011"/>
  <c r="X1012"/>
  <c r="X1013"/>
  <c r="X1014"/>
  <c r="X1015"/>
  <c r="X1016"/>
  <c r="X1017"/>
  <c r="X1018"/>
  <c r="X1019"/>
  <c r="X1020"/>
  <c r="X1021"/>
  <c r="X1022"/>
  <c r="X1023"/>
  <c r="X1024"/>
  <c r="X1025"/>
  <c r="X1026"/>
  <c r="X1027"/>
  <c r="X1028"/>
  <c r="X1029"/>
  <c r="X1030"/>
  <c r="X1031"/>
  <c r="X1032"/>
  <c r="X1033"/>
  <c r="X1034"/>
  <c r="X1035"/>
  <c r="X1036"/>
  <c r="X1037"/>
  <c r="X1038"/>
  <c r="X1039"/>
  <c r="X1040"/>
  <c r="X1041"/>
  <c r="X1042"/>
  <c r="X1043"/>
  <c r="X1044"/>
  <c r="X1045"/>
  <c r="X1046"/>
  <c r="X1047"/>
  <c r="X1048"/>
  <c r="X1049"/>
  <c r="X1050"/>
  <c r="X1051"/>
  <c r="X1052"/>
  <c r="X1053"/>
  <c r="X1054"/>
  <c r="X1055"/>
  <c r="X1056"/>
  <c r="X1057"/>
  <c r="X1058"/>
  <c r="X1059"/>
  <c r="X1060"/>
  <c r="X1061"/>
  <c r="X1062"/>
  <c r="X1063"/>
  <c r="X1064"/>
  <c r="X1065"/>
  <c r="X1066"/>
  <c r="X1067"/>
  <c r="X1068"/>
  <c r="X1069"/>
  <c r="X1070"/>
  <c r="X1071"/>
  <c r="X1072"/>
  <c r="X1073"/>
  <c r="X1074"/>
  <c r="X1075"/>
  <c r="X1076"/>
  <c r="X1077"/>
  <c r="X1078"/>
  <c r="X1079"/>
  <c r="X1080"/>
  <c r="X1081"/>
  <c r="X1082"/>
  <c r="X1083"/>
  <c r="X1084"/>
  <c r="X1085"/>
  <c r="X1086"/>
  <c r="X1087"/>
  <c r="X1088"/>
  <c r="X1089"/>
  <c r="X1090"/>
  <c r="X1091"/>
  <c r="X1092"/>
  <c r="X1093"/>
  <c r="X1094"/>
  <c r="X1095"/>
  <c r="X1096"/>
  <c r="X1097"/>
  <c r="X1098"/>
  <c r="X1099"/>
  <c r="X1100"/>
  <c r="X1101"/>
  <c r="X1102"/>
  <c r="X1103"/>
  <c r="X1104"/>
  <c r="X1105"/>
  <c r="X1106"/>
  <c r="X1107"/>
  <c r="X1108"/>
  <c r="X1109"/>
  <c r="X1110"/>
  <c r="X1111"/>
  <c r="X1112"/>
  <c r="X1113"/>
  <c r="X1114"/>
  <c r="X1115"/>
  <c r="X1116"/>
  <c r="X1117"/>
  <c r="X1118"/>
  <c r="X1119"/>
  <c r="X1120"/>
  <c r="X1121"/>
  <c r="X1122"/>
  <c r="X1123"/>
  <c r="X1124"/>
  <c r="X1125"/>
  <c r="X1126"/>
  <c r="X1127"/>
  <c r="X1128"/>
  <c r="X1129"/>
  <c r="X1130"/>
  <c r="X1131"/>
  <c r="X1132"/>
  <c r="X1133"/>
  <c r="X1134"/>
  <c r="X1135"/>
  <c r="X1136"/>
  <c r="X1137"/>
  <c r="X1138"/>
  <c r="X1139"/>
  <c r="X1140"/>
  <c r="X1141"/>
  <c r="X1142"/>
  <c r="X1143"/>
  <c r="X1144"/>
  <c r="X1145"/>
  <c r="X1146"/>
  <c r="X1147"/>
  <c r="X1148"/>
  <c r="X1149"/>
  <c r="X1150"/>
  <c r="X1151"/>
  <c r="X1152"/>
  <c r="X1153"/>
  <c r="X1154"/>
  <c r="X1155"/>
  <c r="X1156"/>
  <c r="X1157"/>
  <c r="X1158"/>
  <c r="X1159"/>
  <c r="X1160"/>
  <c r="X1161"/>
  <c r="X1162"/>
  <c r="X1163"/>
  <c r="X1164"/>
  <c r="X1165"/>
  <c r="X1166"/>
  <c r="X1167"/>
  <c r="X1168"/>
  <c r="X1169"/>
  <c r="X1170"/>
  <c r="X1171"/>
  <c r="X1172"/>
  <c r="X1173"/>
  <c r="X1174"/>
  <c r="X1175"/>
  <c r="X1176"/>
  <c r="X1177"/>
  <c r="X1178"/>
  <c r="X1179"/>
  <c r="X1180"/>
  <c r="X1181"/>
  <c r="X1182"/>
  <c r="X1183"/>
  <c r="X1184"/>
  <c r="X1185"/>
  <c r="X1186"/>
  <c r="X1187"/>
  <c r="X1188"/>
  <c r="X1189"/>
  <c r="X1190"/>
  <c r="X1191"/>
  <c r="X1192"/>
  <c r="X1193"/>
  <c r="X1194"/>
  <c r="X1195"/>
  <c r="X1196"/>
  <c r="X1197"/>
  <c r="X1198"/>
  <c r="X1199"/>
  <c r="X1200"/>
  <c r="X1201"/>
  <c r="X1202"/>
  <c r="X1203"/>
  <c r="X1204"/>
  <c r="X1205"/>
  <c r="X1206"/>
  <c r="X1207"/>
  <c r="X1208"/>
  <c r="X1209"/>
  <c r="X1210"/>
  <c r="X1211"/>
  <c r="X1212"/>
  <c r="X1213"/>
  <c r="X1214"/>
  <c r="X1215"/>
  <c r="X1216"/>
  <c r="X1217"/>
  <c r="X1218"/>
  <c r="X1219"/>
  <c r="X1220"/>
  <c r="X1221"/>
  <c r="X1222"/>
  <c r="X1223"/>
  <c r="X1224"/>
  <c r="X1225"/>
  <c r="X1226"/>
  <c r="X1227"/>
  <c r="X1228"/>
  <c r="X1229"/>
  <c r="X1230"/>
  <c r="X1231"/>
  <c r="X1232"/>
  <c r="X1233"/>
  <c r="X1234"/>
  <c r="X1235"/>
  <c r="X1236"/>
  <c r="X1237"/>
  <c r="X1238"/>
  <c r="X1239"/>
  <c r="X1240"/>
  <c r="X1241"/>
  <c r="X1242"/>
  <c r="X1243"/>
  <c r="X1244"/>
  <c r="X1245"/>
  <c r="X1246"/>
  <c r="X1247"/>
  <c r="X1248"/>
  <c r="X1249"/>
  <c r="X1250"/>
  <c r="X1251"/>
  <c r="X1252"/>
  <c r="X1253"/>
  <c r="X1254"/>
  <c r="X1255"/>
  <c r="X1256"/>
  <c r="X1257"/>
  <c r="X1258"/>
  <c r="X1259"/>
  <c r="X1260"/>
  <c r="X1261"/>
  <c r="X1262"/>
  <c r="X1263"/>
  <c r="X1264"/>
  <c r="X1265"/>
  <c r="X1266"/>
  <c r="X1267"/>
  <c r="X1268"/>
  <c r="X1269"/>
  <c r="X1270"/>
  <c r="X1271"/>
  <c r="X1272"/>
  <c r="X1273"/>
  <c r="X1274"/>
  <c r="X1275"/>
  <c r="X1276"/>
  <c r="X1277"/>
  <c r="X1278"/>
  <c r="X1279"/>
  <c r="X1280"/>
  <c r="X1281"/>
  <c r="X1282"/>
  <c r="X1283"/>
  <c r="X1284"/>
  <c r="X1285"/>
  <c r="X1286"/>
  <c r="X1287"/>
  <c r="X1288"/>
  <c r="X1289"/>
  <c r="X1290"/>
  <c r="X1291"/>
  <c r="X1292"/>
  <c r="X1293"/>
  <c r="X1294"/>
  <c r="X1295"/>
  <c r="X1296"/>
  <c r="X1297"/>
  <c r="X1298"/>
  <c r="X1299"/>
  <c r="X1300"/>
  <c r="X1301"/>
  <c r="X1302"/>
  <c r="X1303"/>
  <c r="X1304"/>
  <c r="X1305"/>
  <c r="X1306"/>
  <c r="X1307"/>
  <c r="X1308"/>
  <c r="X1309"/>
  <c r="X1310"/>
  <c r="X1311"/>
  <c r="X1312"/>
  <c r="X1313"/>
  <c r="X1314"/>
  <c r="X1315"/>
  <c r="X1316"/>
  <c r="X1317"/>
  <c r="X1318"/>
  <c r="X1319"/>
  <c r="X1320"/>
  <c r="X1321"/>
  <c r="X1322"/>
  <c r="X1323"/>
  <c r="X1324"/>
  <c r="X1325"/>
  <c r="X1326"/>
  <c r="X1327"/>
  <c r="X1328"/>
  <c r="X1329"/>
  <c r="X1330"/>
  <c r="X1331"/>
  <c r="X1332"/>
  <c r="X1333"/>
  <c r="X1334"/>
  <c r="X1335"/>
  <c r="X1336"/>
  <c r="X1337"/>
  <c r="X1338"/>
  <c r="X1339"/>
  <c r="X1340"/>
  <c r="X1341"/>
  <c r="X1342"/>
  <c r="X1343"/>
  <c r="X1344"/>
  <c r="X1345"/>
  <c r="X1346"/>
  <c r="X1347"/>
  <c r="X1348"/>
  <c r="X1349"/>
  <c r="X1350"/>
  <c r="X1351"/>
  <c r="X1352"/>
  <c r="X1353"/>
  <c r="X1354"/>
  <c r="X1355"/>
  <c r="X1356"/>
  <c r="X1357"/>
  <c r="X1358"/>
  <c r="X1359"/>
  <c r="X1360"/>
  <c r="X1361"/>
  <c r="X1362"/>
  <c r="X1363"/>
  <c r="X1364"/>
  <c r="X1365"/>
  <c r="X1366"/>
  <c r="X1367"/>
  <c r="X1368"/>
  <c r="X1369"/>
  <c r="X1370"/>
  <c r="X1371"/>
  <c r="X1372"/>
  <c r="X1373"/>
  <c r="X1374"/>
  <c r="X1375"/>
  <c r="X1376"/>
  <c r="X1377"/>
  <c r="X1378"/>
  <c r="X1379"/>
  <c r="X1380"/>
  <c r="X1381"/>
  <c r="X1382"/>
  <c r="X1383"/>
  <c r="X1384"/>
  <c r="X1385"/>
  <c r="X1386"/>
  <c r="X1387"/>
  <c r="X1388"/>
  <c r="X1389"/>
  <c r="X1390"/>
  <c r="X1391"/>
  <c r="X1392"/>
  <c r="X1393"/>
  <c r="X1394"/>
  <c r="X1395"/>
  <c r="X1396"/>
  <c r="X1397"/>
  <c r="X1398"/>
  <c r="X1399"/>
  <c r="X1400"/>
  <c r="X1401"/>
  <c r="X1402"/>
  <c r="X1403"/>
  <c r="X1404"/>
  <c r="X1405"/>
  <c r="X1406"/>
  <c r="X1407"/>
  <c r="X1408"/>
  <c r="X1409"/>
  <c r="X1410"/>
  <c r="X1411"/>
  <c r="X1412"/>
  <c r="X1413"/>
  <c r="X1414"/>
  <c r="X1415"/>
  <c r="X1416"/>
  <c r="X1417"/>
  <c r="X1418"/>
  <c r="X1419"/>
  <c r="X1420"/>
  <c r="X1421"/>
  <c r="X1422"/>
  <c r="X1423"/>
  <c r="X1424"/>
  <c r="X1425"/>
  <c r="X1426"/>
  <c r="X1427"/>
  <c r="X1428"/>
  <c r="X1429"/>
  <c r="X1430"/>
  <c r="X1431"/>
  <c r="X1432"/>
  <c r="X1433"/>
  <c r="X1434"/>
  <c r="X1435"/>
  <c r="X1436"/>
  <c r="X1437"/>
  <c r="X1438"/>
  <c r="X1439"/>
  <c r="X1440"/>
  <c r="X1441"/>
  <c r="X1442"/>
  <c r="X1443"/>
  <c r="X1444"/>
  <c r="X1445"/>
  <c r="X1446"/>
  <c r="X1447"/>
  <c r="X1448"/>
  <c r="X1449"/>
  <c r="X1450"/>
  <c r="X1451"/>
  <c r="X1452"/>
  <c r="X1453"/>
  <c r="X1454"/>
  <c r="X1455"/>
  <c r="X1456"/>
  <c r="X1457"/>
  <c r="X1458"/>
  <c r="X1459"/>
  <c r="X1460"/>
  <c r="X1461"/>
  <c r="X1462"/>
  <c r="X1463"/>
  <c r="X1464"/>
  <c r="X1465"/>
  <c r="X1466"/>
  <c r="X1467"/>
  <c r="X1468"/>
  <c r="X1469"/>
  <c r="X1470"/>
  <c r="X1471"/>
  <c r="X1472"/>
  <c r="X1473"/>
  <c r="X1474"/>
  <c r="X1475"/>
  <c r="X1476"/>
  <c r="X1477"/>
  <c r="X1478"/>
  <c r="X1479"/>
  <c r="X1480"/>
  <c r="X1481"/>
  <c r="X1482"/>
  <c r="X1483"/>
  <c r="X1484"/>
  <c r="X1485"/>
  <c r="X1486"/>
  <c r="X1487"/>
  <c r="X1488"/>
  <c r="X1489"/>
  <c r="X1490"/>
  <c r="X1491"/>
  <c r="X1492"/>
  <c r="X1493"/>
  <c r="X1494"/>
  <c r="X1495"/>
  <c r="X1496"/>
  <c r="X1497"/>
  <c r="X1498"/>
  <c r="X1499"/>
  <c r="X1500"/>
  <c r="X1501"/>
  <c r="X1502"/>
  <c r="X1503"/>
  <c r="X1504"/>
  <c r="X1505"/>
  <c r="X1506"/>
  <c r="X1507"/>
  <c r="X1508"/>
  <c r="X1509"/>
  <c r="X1510"/>
  <c r="X1511"/>
  <c r="X1512"/>
  <c r="X1513"/>
  <c r="X1514"/>
  <c r="X1515"/>
  <c r="X1516"/>
  <c r="X1517"/>
  <c r="X1518"/>
  <c r="X1519"/>
  <c r="X1520"/>
  <c r="X1521"/>
  <c r="X1522"/>
  <c r="X1523"/>
  <c r="X1524"/>
  <c r="X1525"/>
  <c r="X1526"/>
  <c r="X1527"/>
  <c r="X1528"/>
  <c r="X1529"/>
  <c r="X1530"/>
  <c r="X1531"/>
  <c r="X1532"/>
  <c r="X1533"/>
  <c r="X1534"/>
  <c r="X1535"/>
  <c r="X1536"/>
  <c r="X1537"/>
  <c r="X1538"/>
  <c r="X1539"/>
  <c r="X1540"/>
  <c r="X1541"/>
  <c r="X1542"/>
  <c r="X1543"/>
  <c r="X1544"/>
  <c r="X1545"/>
  <c r="X1546"/>
  <c r="X1547"/>
  <c r="X1548"/>
  <c r="X1549"/>
  <c r="X1550"/>
  <c r="X1551"/>
  <c r="X1552"/>
  <c r="X1553"/>
  <c r="X1554"/>
  <c r="X1555"/>
  <c r="X1556"/>
  <c r="X1557"/>
  <c r="X1558"/>
  <c r="X1559"/>
  <c r="X1560"/>
  <c r="X1561"/>
  <c r="X1562"/>
  <c r="X1563"/>
  <c r="X1564"/>
  <c r="X1565"/>
  <c r="X1566"/>
  <c r="X1567"/>
  <c r="X1568"/>
  <c r="X1569"/>
  <c r="X1570"/>
  <c r="X1571"/>
  <c r="X1572"/>
  <c r="X1573"/>
  <c r="X1574"/>
  <c r="X1575"/>
  <c r="X1576"/>
  <c r="X1577"/>
  <c r="X1578"/>
  <c r="X1579"/>
  <c r="X1580"/>
  <c r="X1581"/>
  <c r="X1582"/>
  <c r="X1583"/>
  <c r="X1584"/>
  <c r="X1585"/>
  <c r="X1586"/>
  <c r="X1587"/>
  <c r="X1588"/>
  <c r="X1589"/>
  <c r="X1590"/>
  <c r="X1591"/>
  <c r="X1592"/>
  <c r="X1593"/>
  <c r="X1594"/>
  <c r="X1595"/>
  <c r="X1596"/>
  <c r="X1597"/>
  <c r="X1598"/>
  <c r="X1599"/>
  <c r="X1600"/>
  <c r="X1601"/>
  <c r="X1602"/>
  <c r="X1603"/>
  <c r="X1604"/>
  <c r="X1605"/>
  <c r="X1606"/>
  <c r="X1607"/>
  <c r="X1608"/>
  <c r="X1609"/>
  <c r="X1610"/>
  <c r="X1611"/>
  <c r="X1612"/>
  <c r="X1613"/>
  <c r="X1614"/>
  <c r="X1615"/>
  <c r="X1616"/>
  <c r="X1617"/>
  <c r="X1618"/>
  <c r="X1619"/>
  <c r="X1620"/>
  <c r="X1621"/>
  <c r="X1622"/>
  <c r="X1623"/>
  <c r="X1624"/>
  <c r="X1625"/>
  <c r="X1626"/>
  <c r="X1627"/>
  <c r="X1628"/>
  <c r="X1629"/>
  <c r="X1630"/>
  <c r="X1631"/>
  <c r="X1632"/>
  <c r="X1633"/>
  <c r="X1634"/>
  <c r="X1635"/>
  <c r="X1636"/>
  <c r="X1637"/>
  <c r="X1638"/>
  <c r="X1639"/>
  <c r="X1640"/>
  <c r="X1641"/>
  <c r="X1642"/>
  <c r="X1643"/>
  <c r="X1644"/>
  <c r="X1645"/>
  <c r="X1646"/>
  <c r="X1647"/>
  <c r="X1648"/>
  <c r="X1649"/>
  <c r="X1650"/>
  <c r="X1651"/>
  <c r="X1652"/>
  <c r="X1653"/>
  <c r="X1654"/>
  <c r="X1655"/>
  <c r="X1656"/>
  <c r="X1657"/>
  <c r="X1658"/>
  <c r="X1659"/>
  <c r="X1660"/>
  <c r="X1661"/>
  <c r="X1662"/>
  <c r="X1663"/>
  <c r="X1664"/>
  <c r="X1665"/>
  <c r="X1666"/>
  <c r="X1667"/>
  <c r="X1668"/>
  <c r="X1669"/>
  <c r="X1670"/>
  <c r="X1671"/>
  <c r="X1672"/>
  <c r="X1673"/>
  <c r="X1674"/>
  <c r="X1675"/>
  <c r="X1676"/>
  <c r="X1677"/>
  <c r="X1678"/>
  <c r="X1679"/>
  <c r="X1680"/>
  <c r="X1681"/>
  <c r="X1682"/>
  <c r="X1683"/>
  <c r="X1684"/>
  <c r="X1685"/>
  <c r="X1686"/>
  <c r="X1687"/>
  <c r="X1688"/>
  <c r="X1689"/>
  <c r="X1690"/>
  <c r="X1691"/>
  <c r="X1692"/>
  <c r="X1693"/>
  <c r="X1694"/>
  <c r="X1695"/>
  <c r="X1696"/>
  <c r="X1697"/>
  <c r="X1698"/>
  <c r="X1699"/>
  <c r="X1700"/>
  <c r="X1701"/>
  <c r="X1702"/>
  <c r="X1703"/>
  <c r="X1704"/>
  <c r="X1705"/>
  <c r="X1706"/>
  <c r="X1707"/>
  <c r="X1708"/>
  <c r="X1709"/>
  <c r="X1710"/>
  <c r="X1711"/>
  <c r="X1712"/>
  <c r="X1713"/>
  <c r="X1714"/>
  <c r="X1715"/>
  <c r="X1716"/>
  <c r="X1717"/>
  <c r="X1718"/>
  <c r="X1719"/>
  <c r="X1720"/>
  <c r="X1721"/>
  <c r="X1722"/>
  <c r="X1723"/>
  <c r="X1724"/>
  <c r="X1725"/>
  <c r="X1726"/>
  <c r="X1727"/>
  <c r="X1728"/>
  <c r="X1729"/>
  <c r="X1730"/>
  <c r="X1731"/>
  <c r="X1732"/>
  <c r="X1733"/>
  <c r="X1734"/>
  <c r="X1735"/>
  <c r="X1736"/>
  <c r="X1737"/>
  <c r="X1738"/>
  <c r="X1739"/>
  <c r="X1740"/>
  <c r="X1741"/>
  <c r="X1742"/>
  <c r="X1743"/>
  <c r="X1744"/>
  <c r="X1745"/>
  <c r="X1746"/>
  <c r="X1747"/>
  <c r="X1748"/>
  <c r="X1749"/>
  <c r="X1750"/>
  <c r="X1751"/>
  <c r="X1752"/>
  <c r="X1753"/>
  <c r="X1754"/>
  <c r="X1755"/>
  <c r="X1756"/>
  <c r="X1757"/>
  <c r="X1758"/>
  <c r="X1759"/>
  <c r="X1760"/>
  <c r="X1761"/>
  <c r="X1762"/>
  <c r="X1763"/>
  <c r="X1764"/>
  <c r="X1765"/>
  <c r="X1766"/>
  <c r="X1767"/>
  <c r="X1768"/>
  <c r="X1769"/>
  <c r="X1770"/>
  <c r="X1771"/>
  <c r="X1772"/>
  <c r="X1773"/>
  <c r="X1774"/>
  <c r="X1775"/>
  <c r="X1776"/>
  <c r="X1777"/>
  <c r="X1778"/>
  <c r="X1779"/>
  <c r="X1780"/>
  <c r="X1781"/>
  <c r="X1782"/>
  <c r="X1783"/>
  <c r="X1784"/>
  <c r="X1785"/>
  <c r="X1786"/>
  <c r="X1787"/>
  <c r="X1788"/>
  <c r="X1789"/>
  <c r="X1790"/>
  <c r="X1791"/>
  <c r="X1792"/>
  <c r="X1793"/>
  <c r="X1794"/>
  <c r="X1795"/>
  <c r="X1796"/>
  <c r="X1797"/>
  <c r="X1798"/>
  <c r="X1799"/>
  <c r="X1800"/>
  <c r="X1801"/>
  <c r="X1802"/>
  <c r="X1803"/>
  <c r="X1804"/>
  <c r="X1805"/>
  <c r="X1806"/>
  <c r="X1807"/>
  <c r="X1808"/>
  <c r="X1809"/>
  <c r="X1810"/>
  <c r="X1811"/>
  <c r="X1812"/>
  <c r="X1813"/>
  <c r="X1814"/>
  <c r="X1815"/>
  <c r="X1816"/>
  <c r="X1817"/>
  <c r="X1818"/>
  <c r="X1819"/>
  <c r="X1820"/>
  <c r="X1821"/>
  <c r="X1822"/>
  <c r="X1823"/>
  <c r="X1824"/>
  <c r="X1825"/>
  <c r="X1826"/>
  <c r="X1827"/>
  <c r="X1828"/>
  <c r="X1829"/>
  <c r="X1830"/>
  <c r="X1831"/>
  <c r="X1832"/>
  <c r="X1833"/>
  <c r="X1834"/>
  <c r="X1835"/>
  <c r="X1836"/>
  <c r="X1837"/>
  <c r="X1838"/>
  <c r="X1839"/>
  <c r="X1840"/>
  <c r="X1841"/>
  <c r="X1842"/>
  <c r="X1843"/>
  <c r="X1844"/>
  <c r="X1845"/>
  <c r="X1846"/>
  <c r="X1847"/>
  <c r="X1848"/>
  <c r="X1849"/>
  <c r="X1850"/>
  <c r="X1851"/>
  <c r="X1852"/>
  <c r="X1853"/>
  <c r="X1854"/>
  <c r="X1855"/>
  <c r="X1856"/>
  <c r="X1857"/>
  <c r="X1858"/>
  <c r="X1859"/>
  <c r="X1860"/>
  <c r="X1861"/>
  <c r="X1862"/>
  <c r="X1863"/>
  <c r="X1864"/>
  <c r="X1865"/>
  <c r="X1866"/>
  <c r="X1867"/>
  <c r="X1868"/>
  <c r="X1869"/>
  <c r="X1870"/>
  <c r="X1871"/>
  <c r="X1872"/>
  <c r="X1873"/>
  <c r="X1874"/>
  <c r="X1875"/>
  <c r="X1876"/>
  <c r="X1877"/>
  <c r="X1878"/>
  <c r="X1879"/>
  <c r="X1880"/>
  <c r="X1881"/>
  <c r="X1882"/>
  <c r="X1883"/>
  <c r="X1884"/>
  <c r="X1885"/>
  <c r="X1886"/>
  <c r="X1887"/>
  <c r="X1888"/>
  <c r="X1889"/>
  <c r="X1890"/>
  <c r="X1891"/>
  <c r="X1892"/>
  <c r="X1893"/>
  <c r="X1894"/>
  <c r="X1895"/>
  <c r="X1896"/>
  <c r="X1897"/>
  <c r="X1898"/>
  <c r="X1899"/>
  <c r="X1900"/>
  <c r="X1901"/>
  <c r="X1902"/>
  <c r="X1903"/>
  <c r="X1904"/>
  <c r="X1905"/>
  <c r="X1906"/>
  <c r="X1907"/>
  <c r="X1908"/>
  <c r="X1909"/>
  <c r="X1910"/>
  <c r="X1911"/>
  <c r="X1912"/>
  <c r="X1913"/>
  <c r="X1914"/>
  <c r="X1915"/>
  <c r="X1916"/>
  <c r="X1917"/>
  <c r="X1918"/>
  <c r="X1919"/>
  <c r="X1920"/>
  <c r="X1921"/>
  <c r="X1922"/>
  <c r="X1923"/>
  <c r="X1924"/>
  <c r="X1925"/>
  <c r="X1926"/>
  <c r="X1927"/>
  <c r="X1928"/>
  <c r="X1929"/>
  <c r="X1930"/>
  <c r="X1931"/>
  <c r="X1932"/>
  <c r="X1933"/>
  <c r="X1934"/>
  <c r="X1935"/>
  <c r="X1936"/>
  <c r="X1937"/>
  <c r="X1938"/>
  <c r="X1939"/>
  <c r="X1940"/>
  <c r="X1941"/>
  <c r="X1942"/>
  <c r="X1943"/>
  <c r="X1944"/>
  <c r="X1945"/>
  <c r="X1946"/>
  <c r="X1947"/>
  <c r="X1948"/>
  <c r="X1949"/>
  <c r="X1950"/>
  <c r="X1951"/>
  <c r="X1952"/>
  <c r="X1953"/>
  <c r="X1954"/>
  <c r="X1955"/>
  <c r="X1956"/>
  <c r="X1957"/>
  <c r="X1958"/>
  <c r="X1959"/>
  <c r="X1960"/>
  <c r="X1961"/>
  <c r="X1962"/>
  <c r="X1963"/>
  <c r="X1964"/>
  <c r="X1965"/>
  <c r="X1966"/>
  <c r="X1967"/>
  <c r="X1968"/>
  <c r="X1969"/>
  <c r="X1970"/>
  <c r="X1971"/>
  <c r="X1972"/>
  <c r="X1973"/>
  <c r="X1974"/>
  <c r="X1975"/>
  <c r="X1976"/>
  <c r="X1977"/>
  <c r="X1978"/>
  <c r="X1979"/>
  <c r="X1980"/>
  <c r="X1981"/>
  <c r="X1982"/>
  <c r="X1983"/>
  <c r="X1984"/>
  <c r="X1985"/>
  <c r="X1986"/>
  <c r="X1987"/>
  <c r="X1988"/>
  <c r="X1989"/>
  <c r="X1990"/>
  <c r="X1991"/>
  <c r="X1992"/>
  <c r="X1993"/>
  <c r="X1994"/>
  <c r="X1995"/>
  <c r="X1996"/>
  <c r="X1997"/>
  <c r="X1998"/>
  <c r="X1999"/>
  <c r="X2000"/>
  <c r="X2001"/>
  <c r="X2002"/>
  <c r="X2003"/>
  <c r="X2004"/>
  <c r="X2005"/>
  <c r="X2006"/>
  <c r="X2007"/>
  <c r="X2008"/>
  <c r="X2009"/>
  <c r="X2010"/>
  <c r="X2011"/>
  <c r="X2012"/>
  <c r="X2013"/>
  <c r="X2014"/>
  <c r="X2015"/>
  <c r="X2016"/>
  <c r="X2017"/>
  <c r="X2018"/>
  <c r="X2019"/>
  <c r="X2020"/>
  <c r="X2021"/>
  <c r="X2022"/>
  <c r="X2023"/>
  <c r="X2024"/>
  <c r="X2025"/>
  <c r="X2026"/>
  <c r="X2027"/>
  <c r="X2028"/>
  <c r="X2029"/>
  <c r="X2030"/>
  <c r="X2031"/>
  <c r="X2032"/>
  <c r="X2033"/>
  <c r="X2034"/>
  <c r="X2035"/>
  <c r="X2036"/>
  <c r="X2037"/>
  <c r="X2038"/>
  <c r="X2039"/>
  <c r="X2040"/>
  <c r="X2041"/>
  <c r="X2042"/>
  <c r="X2043"/>
  <c r="X2044"/>
  <c r="X2045"/>
  <c r="X2046"/>
  <c r="X2047"/>
  <c r="X2048"/>
  <c r="X2049"/>
  <c r="X2050"/>
  <c r="X2051"/>
  <c r="X2052"/>
  <c r="X2053"/>
  <c r="X2054"/>
  <c r="X2055"/>
  <c r="X2056"/>
  <c r="X2057"/>
  <c r="X2058"/>
  <c r="X2059"/>
  <c r="X2060"/>
  <c r="X2061"/>
  <c r="X2062"/>
  <c r="X2063"/>
  <c r="X2064"/>
  <c r="X2065"/>
  <c r="X2066"/>
  <c r="X2067"/>
  <c r="X2068"/>
  <c r="X2069"/>
  <c r="X2070"/>
  <c r="X2071"/>
  <c r="X2072"/>
  <c r="X2073"/>
  <c r="X2074"/>
  <c r="X2075"/>
  <c r="X2076"/>
  <c r="X2077"/>
  <c r="X2078"/>
  <c r="X2079"/>
  <c r="X2080"/>
  <c r="X2081"/>
  <c r="X2082"/>
  <c r="X2083"/>
  <c r="X2084"/>
  <c r="X2085"/>
  <c r="X2086"/>
  <c r="X2087"/>
  <c r="X2088"/>
  <c r="X2089"/>
  <c r="X2090"/>
  <c r="X2091"/>
  <c r="X2092"/>
  <c r="X2093"/>
  <c r="X2094"/>
  <c r="X2095"/>
  <c r="X2096"/>
  <c r="X2097"/>
  <c r="X2098"/>
  <c r="X2099"/>
  <c r="X2100"/>
  <c r="X2101"/>
  <c r="X2102"/>
  <c r="X2103"/>
  <c r="X2104"/>
  <c r="X2105"/>
  <c r="X2106"/>
  <c r="X2107"/>
  <c r="X2108"/>
  <c r="X2109"/>
  <c r="X2110"/>
  <c r="X2111"/>
  <c r="X2112"/>
  <c r="X2113"/>
  <c r="X2114"/>
  <c r="X2115"/>
  <c r="X2116"/>
  <c r="X2117"/>
  <c r="X2118"/>
  <c r="X2119"/>
  <c r="X2120"/>
  <c r="X2121"/>
  <c r="X2122"/>
  <c r="X2123"/>
  <c r="X2124"/>
  <c r="X2125"/>
  <c r="X2126"/>
  <c r="X2127"/>
  <c r="X2128"/>
  <c r="X2129"/>
  <c r="X2130"/>
  <c r="X2131"/>
  <c r="X2132"/>
  <c r="X2133"/>
  <c r="X2134"/>
  <c r="X2135"/>
  <c r="X2136"/>
  <c r="X2137"/>
  <c r="X2138"/>
  <c r="X2139"/>
  <c r="X2140"/>
  <c r="X2141"/>
  <c r="X2142"/>
  <c r="X2143"/>
  <c r="X2144"/>
  <c r="X2145"/>
  <c r="X2146"/>
  <c r="X2147"/>
  <c r="X2148"/>
  <c r="X2149"/>
  <c r="X2150"/>
  <c r="X2151"/>
  <c r="X2152"/>
  <c r="X2153"/>
  <c r="X2154"/>
  <c r="X2155"/>
  <c r="X2156"/>
  <c r="X2157"/>
  <c r="X2158"/>
  <c r="X2159"/>
  <c r="X2160"/>
  <c r="X2161"/>
  <c r="X2162"/>
  <c r="X2163"/>
  <c r="X2164"/>
  <c r="X2165"/>
  <c r="X2166"/>
  <c r="X2167"/>
  <c r="X2168"/>
  <c r="X2169"/>
  <c r="X2170"/>
  <c r="X2171"/>
  <c r="X2172"/>
  <c r="X2173"/>
  <c r="X2174"/>
  <c r="X2175"/>
  <c r="X2176"/>
  <c r="X2177"/>
  <c r="X2178"/>
  <c r="X2179"/>
  <c r="X2180"/>
  <c r="X2181"/>
  <c r="X2182"/>
  <c r="X2183"/>
  <c r="X2184"/>
  <c r="X2185"/>
  <c r="X2186"/>
  <c r="X2187"/>
  <c r="X2188"/>
  <c r="X2189"/>
  <c r="X2190"/>
  <c r="X2191"/>
  <c r="X2192"/>
  <c r="X2193"/>
  <c r="X2194"/>
  <c r="X2195"/>
  <c r="X2196"/>
  <c r="X2197"/>
  <c r="X2198"/>
  <c r="X2199"/>
  <c r="X2200"/>
  <c r="X2201"/>
  <c r="X2202"/>
  <c r="X2203"/>
  <c r="X2204"/>
  <c r="X2205"/>
  <c r="X2206"/>
  <c r="X2207"/>
  <c r="X2208"/>
  <c r="X2209"/>
  <c r="X2210"/>
  <c r="X2211"/>
  <c r="X2212"/>
  <c r="X2213"/>
  <c r="X2214"/>
  <c r="X2215"/>
  <c r="X2216"/>
  <c r="X2217"/>
  <c r="X2218"/>
  <c r="X2219"/>
  <c r="X2220"/>
  <c r="X2221"/>
  <c r="X2222"/>
  <c r="X2223"/>
  <c r="X2224"/>
  <c r="X2225"/>
  <c r="X2226"/>
  <c r="X2227"/>
  <c r="X2228"/>
  <c r="X2229"/>
  <c r="X2230"/>
  <c r="X2231"/>
  <c r="X2232"/>
  <c r="X2233"/>
  <c r="X2234"/>
  <c r="X2235"/>
  <c r="X2236"/>
  <c r="X2237"/>
  <c r="X2238"/>
  <c r="X2239"/>
  <c r="X2240"/>
  <c r="X2241"/>
  <c r="X2242"/>
  <c r="X2243"/>
  <c r="X2244"/>
  <c r="X2245"/>
  <c r="X2246"/>
  <c r="X2247"/>
  <c r="X2248"/>
  <c r="X2249"/>
  <c r="X2250"/>
  <c r="X2251"/>
  <c r="X2252"/>
  <c r="X2253"/>
  <c r="X2254"/>
  <c r="X2255"/>
  <c r="X2256"/>
  <c r="X2257"/>
  <c r="X2258"/>
  <c r="X2259"/>
  <c r="X2260"/>
  <c r="X2261"/>
  <c r="X2262"/>
  <c r="X2263"/>
  <c r="X2264"/>
  <c r="X2265"/>
  <c r="X2266"/>
  <c r="X2267"/>
  <c r="X2268"/>
  <c r="X2269"/>
  <c r="X2270"/>
  <c r="X2271"/>
  <c r="X2272"/>
  <c r="X2273"/>
  <c r="X2274"/>
  <c r="X2275"/>
  <c r="X2276"/>
  <c r="X2277"/>
  <c r="X2278"/>
  <c r="X2279"/>
  <c r="X2280"/>
  <c r="X2281"/>
  <c r="X2282"/>
  <c r="X2283"/>
  <c r="X2284"/>
  <c r="X2285"/>
  <c r="X2286"/>
  <c r="X2287"/>
  <c r="X2288"/>
  <c r="X2289"/>
  <c r="X2290"/>
  <c r="X2291"/>
  <c r="X2292"/>
  <c r="X2293"/>
  <c r="X2294"/>
  <c r="X2295"/>
  <c r="X2296"/>
  <c r="X2297"/>
  <c r="X2298"/>
  <c r="X2299"/>
  <c r="X2300"/>
  <c r="X2301"/>
  <c r="X2302"/>
  <c r="X2303"/>
  <c r="X2304"/>
  <c r="X2305"/>
  <c r="X2306"/>
  <c r="X2307"/>
  <c r="X2308"/>
  <c r="X2309"/>
  <c r="X2310"/>
  <c r="X2311"/>
  <c r="X2312"/>
  <c r="X2313"/>
  <c r="X2314"/>
  <c r="X2315"/>
  <c r="X2316"/>
  <c r="X2317"/>
  <c r="X2318"/>
  <c r="X2319"/>
  <c r="X2320"/>
  <c r="X2321"/>
  <c r="X2322"/>
  <c r="X2323"/>
  <c r="X2324"/>
  <c r="X2325"/>
  <c r="X2326"/>
  <c r="X2327"/>
  <c r="X2328"/>
  <c r="X2329"/>
  <c r="X2330"/>
  <c r="X2331"/>
  <c r="X2332"/>
  <c r="X2333"/>
  <c r="X2334"/>
  <c r="X2335"/>
  <c r="X2336"/>
  <c r="X2337"/>
  <c r="X2338"/>
  <c r="X2339"/>
  <c r="X2340"/>
  <c r="X2341"/>
  <c r="X2342"/>
  <c r="X2343"/>
  <c r="X2344"/>
  <c r="X2345"/>
  <c r="X2346"/>
  <c r="X2347"/>
  <c r="X2348"/>
  <c r="X2349"/>
  <c r="X2350"/>
  <c r="X2351"/>
  <c r="X2352"/>
  <c r="X2353"/>
  <c r="X2354"/>
  <c r="X2355"/>
  <c r="X2356"/>
  <c r="X2357"/>
  <c r="X2358"/>
  <c r="X2359"/>
  <c r="X2360"/>
  <c r="X2361"/>
  <c r="X2362"/>
  <c r="X2363"/>
  <c r="X2364"/>
  <c r="X2365"/>
  <c r="X2366"/>
  <c r="X2367"/>
  <c r="X2368"/>
  <c r="X2369"/>
  <c r="X2370"/>
  <c r="X2371"/>
  <c r="X2372"/>
  <c r="X2373"/>
  <c r="X2374"/>
  <c r="X2375"/>
  <c r="X2376"/>
  <c r="X2377"/>
  <c r="X2378"/>
  <c r="X2379"/>
  <c r="X2380"/>
  <c r="X2381"/>
  <c r="X2382"/>
  <c r="X2383"/>
  <c r="X2384"/>
  <c r="X2385"/>
  <c r="X2386"/>
  <c r="X2387"/>
  <c r="X2388"/>
  <c r="X2389"/>
  <c r="X2390"/>
  <c r="X2391"/>
  <c r="X2392"/>
  <c r="X2393"/>
  <c r="X2394"/>
  <c r="X2395"/>
  <c r="X2396"/>
  <c r="X2397"/>
  <c r="X2398"/>
  <c r="X2399"/>
  <c r="X2400"/>
  <c r="X2401"/>
  <c r="X2402"/>
  <c r="X2403"/>
  <c r="X2404"/>
  <c r="X2405"/>
  <c r="X2406"/>
  <c r="X2407"/>
  <c r="X2408"/>
  <c r="X2409"/>
  <c r="X2410"/>
  <c r="X2411"/>
  <c r="X2412"/>
  <c r="X2413"/>
  <c r="X2414"/>
  <c r="X2415"/>
  <c r="X2416"/>
  <c r="X2417"/>
  <c r="X2418"/>
  <c r="X2419"/>
  <c r="X2420"/>
  <c r="X2421"/>
  <c r="X2422"/>
  <c r="X2423"/>
  <c r="X2424"/>
  <c r="X2425"/>
  <c r="X2426"/>
  <c r="X2427"/>
  <c r="X2428"/>
  <c r="X2429"/>
  <c r="X2430"/>
  <c r="X2431"/>
  <c r="X2432"/>
  <c r="X2433"/>
  <c r="X2434"/>
  <c r="X2435"/>
  <c r="X2436"/>
  <c r="X2437"/>
  <c r="X2438"/>
  <c r="X2439"/>
  <c r="X2440"/>
  <c r="X2441"/>
  <c r="X2442"/>
  <c r="X2443"/>
  <c r="X2444"/>
  <c r="X2445"/>
  <c r="X2446"/>
  <c r="X2447"/>
  <c r="X2448"/>
  <c r="X2449"/>
  <c r="X2450"/>
  <c r="X2451"/>
  <c r="X2452"/>
  <c r="X2453"/>
  <c r="X2454"/>
  <c r="X2455"/>
  <c r="X2456"/>
  <c r="X2457"/>
  <c r="X2458"/>
  <c r="X2459"/>
  <c r="X2460"/>
  <c r="X2461"/>
  <c r="X2462"/>
  <c r="X2463"/>
  <c r="X2464"/>
  <c r="X2465"/>
  <c r="X2466"/>
  <c r="X2467"/>
  <c r="X2468"/>
  <c r="X2469"/>
  <c r="X2470"/>
  <c r="X2471"/>
  <c r="X2472"/>
  <c r="X2473"/>
  <c r="X2474"/>
  <c r="X2475"/>
  <c r="X2476"/>
  <c r="X2477"/>
  <c r="X2478"/>
  <c r="X2479"/>
  <c r="X2480"/>
  <c r="X2481"/>
  <c r="X2482"/>
  <c r="X2483"/>
  <c r="X2484"/>
  <c r="X2485"/>
  <c r="X2486"/>
  <c r="X2487"/>
  <c r="X2488"/>
  <c r="X2489"/>
  <c r="X2490"/>
  <c r="X2491"/>
  <c r="X2492"/>
  <c r="X2493"/>
  <c r="X2494"/>
  <c r="X2495"/>
  <c r="X2496"/>
  <c r="X2497"/>
  <c r="X2498"/>
  <c r="X2499"/>
  <c r="X2500"/>
  <c r="X2501"/>
  <c r="X2502"/>
  <c r="X2503"/>
  <c r="X2504"/>
  <c r="X2505"/>
  <c r="X2506"/>
  <c r="X2507"/>
  <c r="X2508"/>
  <c r="X2509"/>
  <c r="X2510"/>
  <c r="X2511"/>
  <c r="X2512"/>
  <c r="X2513"/>
  <c r="X2514"/>
  <c r="X2515"/>
  <c r="X2516"/>
  <c r="X2517"/>
  <c r="X2518"/>
  <c r="X2519"/>
  <c r="X2520"/>
  <c r="X2521"/>
  <c r="X2522"/>
  <c r="X2523"/>
  <c r="X2524"/>
  <c r="X2525"/>
  <c r="X2526"/>
  <c r="X2527"/>
  <c r="X2528"/>
  <c r="X2529"/>
  <c r="X2530"/>
  <c r="X2531"/>
  <c r="X2532"/>
  <c r="X2533"/>
  <c r="X2534"/>
  <c r="X2535"/>
  <c r="X2536"/>
  <c r="X2537"/>
  <c r="X2538"/>
  <c r="X2539"/>
  <c r="X2540"/>
  <c r="X2541"/>
  <c r="X2542"/>
  <c r="X2543"/>
  <c r="X2544"/>
  <c r="X2545"/>
  <c r="X2546"/>
  <c r="X2547"/>
  <c r="X2548"/>
  <c r="X2549"/>
  <c r="X2550"/>
  <c r="X2551"/>
  <c r="X2552"/>
  <c r="X2553"/>
  <c r="X2554"/>
  <c r="X2555"/>
  <c r="X2556"/>
  <c r="X2557"/>
  <c r="X2558"/>
  <c r="X2559"/>
  <c r="X2560"/>
  <c r="X2561"/>
  <c r="X2562"/>
  <c r="X2563"/>
  <c r="X2564"/>
  <c r="X2565"/>
  <c r="X2566"/>
  <c r="X2567"/>
  <c r="X2568"/>
  <c r="X2569"/>
  <c r="X2570"/>
  <c r="X2571"/>
  <c r="X2572"/>
  <c r="X2573"/>
  <c r="X2574"/>
  <c r="X2575"/>
  <c r="X2576"/>
  <c r="X2577"/>
  <c r="X2578"/>
  <c r="X2579"/>
  <c r="X2580"/>
  <c r="X2581"/>
  <c r="X2582"/>
  <c r="X2583"/>
  <c r="X2584"/>
  <c r="X2585"/>
  <c r="X2586"/>
  <c r="X2587"/>
  <c r="X2588"/>
  <c r="X2589"/>
  <c r="X2590"/>
  <c r="X2591"/>
  <c r="X2592"/>
  <c r="X2593"/>
  <c r="X2594"/>
  <c r="X2595"/>
  <c r="X2596"/>
  <c r="T186"/>
  <c r="T187"/>
  <c r="T188"/>
  <c r="T189"/>
  <c r="T190"/>
  <c r="T191"/>
  <c r="T192"/>
  <c r="T193"/>
  <c r="T194"/>
  <c r="T195"/>
  <c r="T196"/>
  <c r="T197"/>
  <c r="M187" a="1"/>
  <c r="M187"/>
  <c r="N187" s="1" a="1"/>
  <c r="N187" s="1"/>
  <c r="Z18" i="28"/>
  <c r="Z54"/>
  <c r="L13" i="4"/>
  <c r="J15" s="1"/>
  <c r="I620" i="5"/>
  <c r="B2" i="59"/>
  <c r="B3"/>
  <c r="B4"/>
  <c r="B5"/>
  <c r="B6"/>
  <c r="B7"/>
  <c r="B8"/>
  <c r="B9"/>
  <c r="B10"/>
  <c r="B11"/>
  <c r="B12"/>
  <c r="B13"/>
  <c r="B14"/>
  <c r="B1"/>
  <c r="M184" i="7" a="1"/>
  <c r="M184" s="1"/>
  <c r="N184" s="1" a="1"/>
  <c r="N184" s="1"/>
  <c r="M185" a="1"/>
  <c r="M185" s="1"/>
  <c r="N185" s="1" a="1"/>
  <c r="N185" s="1"/>
  <c r="E1" i="15"/>
  <c r="A4"/>
  <c r="A5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Y5" i="30"/>
  <c r="Z5"/>
  <c r="Y6"/>
  <c r="Z6"/>
  <c r="Y7"/>
  <c r="Z7"/>
  <c r="Y10"/>
  <c r="Z10"/>
  <c r="T5"/>
  <c r="U5"/>
  <c r="T6"/>
  <c r="U6"/>
  <c r="T7"/>
  <c r="U7"/>
  <c r="U8"/>
  <c r="U9"/>
  <c r="T10"/>
  <c r="U10"/>
  <c r="U11"/>
  <c r="E5"/>
  <c r="F5"/>
  <c r="G5"/>
  <c r="H5"/>
  <c r="I5"/>
  <c r="J5"/>
  <c r="E6"/>
  <c r="F6"/>
  <c r="G6"/>
  <c r="H6"/>
  <c r="I6"/>
  <c r="J6"/>
  <c r="J7" i="31"/>
  <c r="M7"/>
  <c r="N7"/>
  <c r="A8"/>
  <c r="A9"/>
  <c r="A7"/>
  <c r="F7"/>
  <c r="F8"/>
  <c r="N8" s="1"/>
  <c r="F9"/>
  <c r="F10"/>
  <c r="F11"/>
  <c r="F12"/>
  <c r="J8"/>
  <c r="M8"/>
  <c r="AB177" i="7"/>
  <c r="M181" a="1"/>
  <c r="M181"/>
  <c r="N181" s="1" a="1"/>
  <c r="N181" s="1"/>
  <c r="M182" a="1"/>
  <c r="M182" s="1"/>
  <c r="N182" s="1" a="1"/>
  <c r="N182" s="1"/>
  <c r="K77" i="37"/>
  <c r="K82"/>
  <c r="K84"/>
  <c r="K85"/>
  <c r="I414" i="16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I542"/>
  <c r="I543"/>
  <c r="I544"/>
  <c r="I545"/>
  <c r="I546"/>
  <c r="I547"/>
  <c r="I548"/>
  <c r="I549"/>
  <c r="I550"/>
  <c r="I551"/>
  <c r="I552"/>
  <c r="I553"/>
  <c r="I554"/>
  <c r="I555"/>
  <c r="I556"/>
  <c r="I557"/>
  <c r="I558"/>
  <c r="I559"/>
  <c r="I560"/>
  <c r="I561"/>
  <c r="I562"/>
  <c r="I563"/>
  <c r="I564"/>
  <c r="I565"/>
  <c r="I566"/>
  <c r="I567"/>
  <c r="I568"/>
  <c r="I569"/>
  <c r="A34" i="37"/>
  <c r="N3" i="28" a="1"/>
  <c r="N3"/>
  <c r="N4" a="1"/>
  <c r="N4"/>
  <c r="N5" a="1"/>
  <c r="N5"/>
  <c r="N6" a="1"/>
  <c r="N6"/>
  <c r="N7" a="1"/>
  <c r="N7"/>
  <c r="N8" a="1"/>
  <c r="N8"/>
  <c r="N9" a="1"/>
  <c r="N9"/>
  <c r="N10" a="1"/>
  <c r="N10"/>
  <c r="N11" a="1"/>
  <c r="N11"/>
  <c r="N12" a="1"/>
  <c r="N12"/>
  <c r="N13" a="1"/>
  <c r="N13"/>
  <c r="N14" a="1"/>
  <c r="N14"/>
  <c r="N15" a="1"/>
  <c r="N15"/>
  <c r="N16" a="1"/>
  <c r="N16"/>
  <c r="N17" a="1"/>
  <c r="N17"/>
  <c r="N18" a="1"/>
  <c r="N18"/>
  <c r="N19" a="1"/>
  <c r="N19"/>
  <c r="N20" a="1"/>
  <c r="N20"/>
  <c r="N21" a="1"/>
  <c r="N21"/>
  <c r="N22" a="1"/>
  <c r="N22"/>
  <c r="N23" a="1"/>
  <c r="N23"/>
  <c r="N24" a="1"/>
  <c r="N24"/>
  <c r="N25" a="1"/>
  <c r="N25"/>
  <c r="N26" a="1"/>
  <c r="N26"/>
  <c r="N27" a="1"/>
  <c r="N27"/>
  <c r="N28" a="1"/>
  <c r="N28"/>
  <c r="N29" a="1"/>
  <c r="N29"/>
  <c r="N30" a="1"/>
  <c r="N30"/>
  <c r="N31" a="1"/>
  <c r="N31"/>
  <c r="N32" a="1"/>
  <c r="N32"/>
  <c r="N33" a="1"/>
  <c r="N33"/>
  <c r="N34" a="1"/>
  <c r="N34" s="1"/>
  <c r="N35" a="1"/>
  <c r="N35" s="1"/>
  <c r="M35" s="1"/>
  <c r="N36" a="1"/>
  <c r="N36" s="1"/>
  <c r="N37" a="1"/>
  <c r="N37" s="1"/>
  <c r="N38" a="1"/>
  <c r="N38" s="1"/>
  <c r="N39" a="1"/>
  <c r="N39" s="1"/>
  <c r="N40" a="1"/>
  <c r="N40" s="1"/>
  <c r="N41" a="1"/>
  <c r="N41" s="1"/>
  <c r="N42" a="1"/>
  <c r="N42" s="1"/>
  <c r="N43" a="1"/>
  <c r="N43" s="1"/>
  <c r="N44" a="1"/>
  <c r="N44" s="1"/>
  <c r="N45" a="1"/>
  <c r="N45" s="1"/>
  <c r="N46" a="1"/>
  <c r="N46" s="1"/>
  <c r="N47" a="1"/>
  <c r="N47" s="1"/>
  <c r="N48" a="1"/>
  <c r="N48" s="1"/>
  <c r="N49" a="1"/>
  <c r="N49" s="1"/>
  <c r="N50" a="1"/>
  <c r="N50" s="1"/>
  <c r="N51" a="1"/>
  <c r="N51" s="1"/>
  <c r="N52" a="1"/>
  <c r="N52" s="1"/>
  <c r="N53" a="1"/>
  <c r="N53" s="1"/>
  <c r="N54" a="1"/>
  <c r="N54" s="1"/>
  <c r="N55" a="1"/>
  <c r="N55" s="1"/>
  <c r="N56" a="1"/>
  <c r="N56" s="1"/>
  <c r="N57" a="1"/>
  <c r="N57" s="1"/>
  <c r="N58" a="1"/>
  <c r="N58" s="1"/>
  <c r="N59" a="1"/>
  <c r="N59" s="1"/>
  <c r="N60" a="1"/>
  <c r="N60" s="1"/>
  <c r="N61" a="1"/>
  <c r="N61" s="1"/>
  <c r="N62" a="1"/>
  <c r="N62" s="1"/>
  <c r="N63" a="1"/>
  <c r="N63" s="1"/>
  <c r="N64" a="1"/>
  <c r="N64" s="1"/>
  <c r="N65" a="1"/>
  <c r="N65" s="1"/>
  <c r="N66" a="1"/>
  <c r="N66" s="1"/>
  <c r="N67" a="1"/>
  <c r="N67" s="1"/>
  <c r="N68" a="1"/>
  <c r="N68" s="1"/>
  <c r="N69" a="1"/>
  <c r="N69" s="1"/>
  <c r="N70" a="1"/>
  <c r="N70" s="1"/>
  <c r="N71" a="1"/>
  <c r="N71" s="1"/>
  <c r="N72" a="1"/>
  <c r="N72" s="1"/>
  <c r="N73" a="1"/>
  <c r="N73" s="1"/>
  <c r="N74" a="1"/>
  <c r="N74" s="1"/>
  <c r="N75" a="1"/>
  <c r="N75" s="1"/>
  <c r="N76" a="1"/>
  <c r="N76" s="1"/>
  <c r="N77" a="1"/>
  <c r="N77" s="1"/>
  <c r="N78" a="1"/>
  <c r="N78" s="1"/>
  <c r="M78" s="1"/>
  <c r="N79" a="1"/>
  <c r="N79" s="1"/>
  <c r="M79" s="1"/>
  <c r="N80" a="1"/>
  <c r="N80" s="1"/>
  <c r="M80" s="1"/>
  <c r="N81" a="1"/>
  <c r="N81" s="1"/>
  <c r="N82" a="1"/>
  <c r="N82" s="1"/>
  <c r="N83" a="1"/>
  <c r="N83" s="1"/>
  <c r="N84" a="1"/>
  <c r="N84" s="1"/>
  <c r="N2" a="1"/>
  <c r="N2"/>
  <c r="U3" i="30"/>
  <c r="U4"/>
  <c r="U12"/>
  <c r="U13"/>
  <c r="U20"/>
  <c r="U22"/>
  <c r="U23"/>
  <c r="U24"/>
  <c r="U25"/>
  <c r="U26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3"/>
  <c r="T30"/>
  <c r="T31"/>
  <c r="T32"/>
  <c r="T33"/>
  <c r="T34"/>
  <c r="T35"/>
  <c r="T36"/>
  <c r="T38"/>
  <c r="T39"/>
  <c r="T40"/>
  <c r="T42"/>
  <c r="T44"/>
  <c r="T46"/>
  <c r="T48"/>
  <c r="T49"/>
  <c r="T50"/>
  <c r="T52"/>
  <c r="R3"/>
  <c r="R4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2"/>
  <c r="T12"/>
  <c r="T13"/>
  <c r="T14"/>
  <c r="T15"/>
  <c r="T17"/>
  <c r="T19"/>
  <c r="T20"/>
  <c r="T21"/>
  <c r="T22"/>
  <c r="T23"/>
  <c r="T24"/>
  <c r="T25"/>
  <c r="T27"/>
  <c r="T28"/>
  <c r="T2"/>
  <c r="Q3" a="1"/>
  <c r="Q3" s="1"/>
  <c r="Q4" a="1"/>
  <c r="Q4" s="1"/>
  <c r="Q7" a="1"/>
  <c r="Q7" s="1"/>
  <c r="Q8" a="1"/>
  <c r="Q8" s="1"/>
  <c r="Q9" a="1"/>
  <c r="Q9" s="1"/>
  <c r="Q10" a="1"/>
  <c r="Q10" s="1"/>
  <c r="Q11" a="1"/>
  <c r="Q11" s="1"/>
  <c r="Q12" a="1"/>
  <c r="Q12" s="1"/>
  <c r="Q13" a="1"/>
  <c r="Q13" s="1"/>
  <c r="Q14" a="1"/>
  <c r="Q14" s="1"/>
  <c r="Q15" a="1"/>
  <c r="Q15" s="1"/>
  <c r="Q16" a="1"/>
  <c r="Q16" s="1"/>
  <c r="Q17" a="1"/>
  <c r="Q17" s="1"/>
  <c r="Q18" a="1"/>
  <c r="Q18" s="1"/>
  <c r="Q19" a="1"/>
  <c r="Q19" s="1"/>
  <c r="Q20" a="1"/>
  <c r="Q20" s="1"/>
  <c r="Q21" a="1"/>
  <c r="Q21" s="1"/>
  <c r="Q22" a="1"/>
  <c r="Q22" s="1"/>
  <c r="Q23" a="1"/>
  <c r="Q23" s="1"/>
  <c r="Q24" a="1"/>
  <c r="Q24" s="1"/>
  <c r="Q25" a="1"/>
  <c r="Q25" s="1"/>
  <c r="Q26" a="1"/>
  <c r="Q26" s="1"/>
  <c r="Q27" a="1"/>
  <c r="Q27" s="1"/>
  <c r="Q28" a="1"/>
  <c r="Q28" s="1"/>
  <c r="Q29" a="1"/>
  <c r="Q29" s="1"/>
  <c r="Q30" a="1"/>
  <c r="Q30" s="1"/>
  <c r="Q31" a="1"/>
  <c r="Q31" s="1"/>
  <c r="Q32" a="1"/>
  <c r="Q32" s="1"/>
  <c r="Q33" a="1"/>
  <c r="Q33" s="1"/>
  <c r="Q34" a="1"/>
  <c r="Q34" s="1"/>
  <c r="Q35" a="1"/>
  <c r="Q35" s="1"/>
  <c r="Q36" a="1"/>
  <c r="Q36" s="1"/>
  <c r="Q37" a="1"/>
  <c r="Q37" s="1"/>
  <c r="Q38" a="1"/>
  <c r="Q38" s="1"/>
  <c r="Q39" a="1"/>
  <c r="Q39" s="1"/>
  <c r="Q40" a="1"/>
  <c r="Q40" s="1"/>
  <c r="Q41" a="1"/>
  <c r="Q41" s="1"/>
  <c r="Q42" a="1"/>
  <c r="Q42" s="1"/>
  <c r="Q43" a="1"/>
  <c r="Q43" s="1"/>
  <c r="Q44" a="1"/>
  <c r="Q44" s="1"/>
  <c r="Q45" a="1"/>
  <c r="Q45" s="1"/>
  <c r="Q46" a="1"/>
  <c r="Q46" s="1"/>
  <c r="Q47" a="1"/>
  <c r="Q47" s="1"/>
  <c r="Q48" a="1"/>
  <c r="Q48" s="1"/>
  <c r="Q49" a="1"/>
  <c r="Q49" s="1"/>
  <c r="Q50" a="1"/>
  <c r="Q50" s="1"/>
  <c r="Q51" a="1"/>
  <c r="Q51" s="1"/>
  <c r="Q52" a="1"/>
  <c r="Q52" s="1"/>
  <c r="Q53" a="1"/>
  <c r="Q53" s="1"/>
  <c r="Q2" a="1"/>
  <c r="Q2" s="1"/>
  <c r="O2" a="1"/>
  <c r="O2" s="1"/>
  <c r="M180" i="7" a="1"/>
  <c r="M180" s="1"/>
  <c r="N180" s="1" a="1"/>
  <c r="N180" s="1"/>
  <c r="M183" a="1"/>
  <c r="M183" s="1"/>
  <c r="N183" s="1" a="1"/>
  <c r="N183" s="1"/>
  <c r="M186" a="1"/>
  <c r="M186" s="1"/>
  <c r="N186" s="1" a="1"/>
  <c r="N186" s="1"/>
  <c r="M188" a="1"/>
  <c r="M188" s="1"/>
  <c r="N188" s="1" a="1"/>
  <c r="N188" s="1"/>
  <c r="M189" a="1"/>
  <c r="M189" s="1"/>
  <c r="N189" s="1" a="1"/>
  <c r="N189" s="1"/>
  <c r="M190" a="1"/>
  <c r="M190" s="1"/>
  <c r="N190" s="1" a="1"/>
  <c r="N190" s="1"/>
  <c r="M191" a="1"/>
  <c r="M191" s="1"/>
  <c r="N191" s="1" a="1"/>
  <c r="N191" s="1"/>
  <c r="M192" a="1"/>
  <c r="M192" s="1"/>
  <c r="N192" s="1" a="1"/>
  <c r="N192" s="1"/>
  <c r="M193" a="1"/>
  <c r="M193" s="1"/>
  <c r="N193" s="1" a="1"/>
  <c r="N193" s="1"/>
  <c r="M194" a="1"/>
  <c r="M194" s="1"/>
  <c r="N194" s="1" a="1"/>
  <c r="N194" s="1"/>
  <c r="M195" a="1"/>
  <c r="M195" s="1"/>
  <c r="N195" s="1" a="1"/>
  <c r="N195" s="1"/>
  <c r="M196" a="1"/>
  <c r="M196" s="1"/>
  <c r="N196" s="1" a="1"/>
  <c r="N196" s="1"/>
  <c r="M197" a="1"/>
  <c r="M197" s="1"/>
  <c r="N197" s="1" a="1"/>
  <c r="N197" s="1"/>
  <c r="M198" a="1"/>
  <c r="M198" s="1"/>
  <c r="N198" s="1" a="1"/>
  <c r="N198" s="1"/>
  <c r="M199" a="1"/>
  <c r="M199" s="1"/>
  <c r="N199" s="1" a="1"/>
  <c r="N199" s="1"/>
  <c r="M200" a="1"/>
  <c r="M200" s="1"/>
  <c r="N200" s="1" a="1"/>
  <c r="N200" s="1"/>
  <c r="M201" a="1"/>
  <c r="M201" s="1"/>
  <c r="N201" s="1" a="1"/>
  <c r="N201" s="1"/>
  <c r="M202" a="1"/>
  <c r="M202" s="1"/>
  <c r="N202" s="1" a="1"/>
  <c r="M203" a="1"/>
  <c r="M203" s="1"/>
  <c r="N203" s="1" a="1"/>
  <c r="M204" a="1"/>
  <c r="M204" s="1"/>
  <c r="N204" s="1" a="1"/>
  <c r="M205" a="1"/>
  <c r="M205" s="1"/>
  <c r="N205" s="1" a="1"/>
  <c r="M206" a="1"/>
  <c r="M206" s="1"/>
  <c r="N206" s="1" a="1"/>
  <c r="M207" a="1"/>
  <c r="M207" s="1"/>
  <c r="N207" s="1" a="1"/>
  <c r="M208" a="1"/>
  <c r="M208" s="1"/>
  <c r="N208" s="1" a="1"/>
  <c r="M209" a="1"/>
  <c r="M209" s="1"/>
  <c r="N209" s="1" a="1"/>
  <c r="M210" a="1"/>
  <c r="M210" s="1"/>
  <c r="N210" s="1" a="1"/>
  <c r="M211" a="1"/>
  <c r="M211" s="1"/>
  <c r="N211" s="1" a="1"/>
  <c r="N211" s="1"/>
  <c r="M212" a="1"/>
  <c r="M212" s="1"/>
  <c r="N212" s="1" a="1"/>
  <c r="N212" s="1"/>
  <c r="M213" a="1"/>
  <c r="M213" s="1"/>
  <c r="N213" s="1" a="1"/>
  <c r="N213" s="1"/>
  <c r="M214" a="1"/>
  <c r="M214" s="1"/>
  <c r="N214" s="1" a="1"/>
  <c r="N214" s="1"/>
  <c r="M215" a="1"/>
  <c r="M215" s="1"/>
  <c r="N215" s="1" a="1"/>
  <c r="N215" s="1"/>
  <c r="M216" a="1"/>
  <c r="M216" s="1"/>
  <c r="N216" s="1" a="1"/>
  <c r="N216" s="1"/>
  <c r="M217" a="1"/>
  <c r="M217" s="1"/>
  <c r="N217" s="1" a="1"/>
  <c r="N217" s="1"/>
  <c r="M218" a="1"/>
  <c r="M218" s="1"/>
  <c r="N218" s="1" a="1"/>
  <c r="N218" s="1"/>
  <c r="M219" a="1"/>
  <c r="M219" s="1"/>
  <c r="N219" s="1" a="1"/>
  <c r="N219" s="1"/>
  <c r="M220" a="1"/>
  <c r="M220" s="1"/>
  <c r="N220" s="1" a="1"/>
  <c r="N220" s="1"/>
  <c r="M221" a="1"/>
  <c r="M221" s="1"/>
  <c r="N221" s="1" a="1"/>
  <c r="N221" s="1"/>
  <c r="M222" a="1"/>
  <c r="M222" s="1"/>
  <c r="N222" s="1" a="1"/>
  <c r="N222" s="1"/>
  <c r="M223" a="1"/>
  <c r="M223" s="1"/>
  <c r="N223" s="1" a="1"/>
  <c r="N223" s="1"/>
  <c r="M224" a="1"/>
  <c r="M224" s="1"/>
  <c r="N224" s="1" a="1"/>
  <c r="N224" s="1"/>
  <c r="M225" a="1"/>
  <c r="M225" s="1"/>
  <c r="N225" s="1" a="1"/>
  <c r="N225" s="1"/>
  <c r="M226" a="1"/>
  <c r="M226" s="1"/>
  <c r="N226" s="1" a="1"/>
  <c r="N226" s="1"/>
  <c r="M227" a="1"/>
  <c r="M227" s="1"/>
  <c r="N227" s="1" a="1"/>
  <c r="N227" s="1"/>
  <c r="M228" a="1"/>
  <c r="M228" s="1"/>
  <c r="N228" s="1" a="1"/>
  <c r="N228" s="1"/>
  <c r="M229" a="1"/>
  <c r="M229" s="1"/>
  <c r="N229" s="1" a="1"/>
  <c r="N229" s="1"/>
  <c r="M230" a="1"/>
  <c r="M230" s="1"/>
  <c r="N230" s="1" a="1"/>
  <c r="N230" s="1"/>
  <c r="M231" a="1"/>
  <c r="M231" s="1"/>
  <c r="N231" s="1" a="1"/>
  <c r="N231" s="1"/>
  <c r="M232" a="1"/>
  <c r="M232" s="1"/>
  <c r="N232" s="1" a="1"/>
  <c r="N232" s="1"/>
  <c r="M233" a="1"/>
  <c r="M233" s="1"/>
  <c r="N233" s="1" a="1"/>
  <c r="N233" s="1"/>
  <c r="M234" a="1"/>
  <c r="M234" s="1"/>
  <c r="N234" s="1" a="1"/>
  <c r="N234" s="1"/>
  <c r="M235" a="1"/>
  <c r="M235" s="1"/>
  <c r="N235" s="1" a="1"/>
  <c r="N235" s="1"/>
  <c r="M236" a="1"/>
  <c r="M236" s="1"/>
  <c r="N236" s="1" a="1"/>
  <c r="N236" s="1"/>
  <c r="M237" a="1"/>
  <c r="M237" s="1"/>
  <c r="N237" s="1" a="1"/>
  <c r="N237" s="1"/>
  <c r="M238" a="1"/>
  <c r="M238" s="1"/>
  <c r="N238" s="1" a="1"/>
  <c r="N238" s="1"/>
  <c r="M239" a="1"/>
  <c r="M239" s="1"/>
  <c r="N239" s="1" a="1"/>
  <c r="N239" s="1"/>
  <c r="M240" a="1"/>
  <c r="M240" s="1"/>
  <c r="N240" s="1" a="1"/>
  <c r="N240" s="1"/>
  <c r="M241" a="1"/>
  <c r="M241" s="1"/>
  <c r="N241" s="1" a="1"/>
  <c r="N241" s="1"/>
  <c r="M242" a="1"/>
  <c r="M242" s="1"/>
  <c r="N242" s="1" a="1"/>
  <c r="N242" s="1"/>
  <c r="M243" a="1"/>
  <c r="M243" s="1"/>
  <c r="N243" s="1" a="1"/>
  <c r="N243" s="1"/>
  <c r="M244" a="1"/>
  <c r="M244" s="1"/>
  <c r="N244" s="1" a="1"/>
  <c r="N244" s="1"/>
  <c r="M245" a="1"/>
  <c r="M245" s="1"/>
  <c r="N245" s="1" a="1"/>
  <c r="N245" s="1"/>
  <c r="M246" a="1"/>
  <c r="M246" s="1"/>
  <c r="N246" s="1" a="1"/>
  <c r="N246" s="1"/>
  <c r="M247" a="1"/>
  <c r="M247" s="1"/>
  <c r="N247" s="1" a="1"/>
  <c r="N247" s="1"/>
  <c r="M248" a="1"/>
  <c r="M248" s="1"/>
  <c r="N248" s="1" a="1"/>
  <c r="N248" s="1"/>
  <c r="M249" a="1"/>
  <c r="M249" s="1"/>
  <c r="N249" s="1" a="1"/>
  <c r="N249" s="1"/>
  <c r="M250" a="1"/>
  <c r="M250" s="1"/>
  <c r="N250" s="1" a="1"/>
  <c r="N250" s="1"/>
  <c r="M251" a="1"/>
  <c r="M251" s="1"/>
  <c r="N251" s="1" a="1"/>
  <c r="N251" s="1"/>
  <c r="M252" a="1"/>
  <c r="M252" s="1"/>
  <c r="N252" s="1" a="1"/>
  <c r="N252" s="1"/>
  <c r="M253" a="1"/>
  <c r="M253" s="1"/>
  <c r="N253" s="1" a="1"/>
  <c r="N253" s="1"/>
  <c r="M254" a="1"/>
  <c r="M254" s="1"/>
  <c r="N254" s="1" a="1"/>
  <c r="N254" s="1"/>
  <c r="M255" a="1"/>
  <c r="M255" s="1"/>
  <c r="N255" s="1" a="1"/>
  <c r="N255" s="1"/>
  <c r="M256" a="1"/>
  <c r="M256" s="1"/>
  <c r="N256" s="1" a="1"/>
  <c r="N256" s="1"/>
  <c r="M257" a="1"/>
  <c r="M257" s="1"/>
  <c r="N257" s="1" a="1"/>
  <c r="N257" s="1"/>
  <c r="M258" a="1"/>
  <c r="M258" s="1"/>
  <c r="N258" s="1" a="1"/>
  <c r="N258" s="1"/>
  <c r="M259" a="1"/>
  <c r="M259" s="1"/>
  <c r="N259" s="1" a="1"/>
  <c r="N259" s="1"/>
  <c r="M260" a="1"/>
  <c r="M260" s="1"/>
  <c r="N260" s="1" a="1"/>
  <c r="N260" s="1"/>
  <c r="M261" a="1"/>
  <c r="M261" s="1"/>
  <c r="N261" s="1" a="1"/>
  <c r="N261" s="1"/>
  <c r="M262" a="1"/>
  <c r="M262" s="1"/>
  <c r="N262" s="1" a="1"/>
  <c r="N262" s="1"/>
  <c r="M263" a="1"/>
  <c r="M263" s="1"/>
  <c r="N263" s="1" a="1"/>
  <c r="N263" s="1"/>
  <c r="M264" a="1"/>
  <c r="M264" s="1"/>
  <c r="N264" s="1" a="1"/>
  <c r="N264" s="1"/>
  <c r="M265" a="1"/>
  <c r="M265" s="1"/>
  <c r="N265" s="1" a="1"/>
  <c r="N265" s="1"/>
  <c r="M266" a="1"/>
  <c r="M266" s="1"/>
  <c r="N266" s="1" a="1"/>
  <c r="N266" s="1"/>
  <c r="M267" a="1"/>
  <c r="M267" s="1"/>
  <c r="N267" s="1" a="1"/>
  <c r="N267" s="1"/>
  <c r="M268" a="1"/>
  <c r="M268" s="1"/>
  <c r="N268" s="1" a="1"/>
  <c r="N268" s="1"/>
  <c r="M269" a="1"/>
  <c r="M269" s="1"/>
  <c r="N269" s="1" a="1"/>
  <c r="N269" s="1"/>
  <c r="M270" a="1"/>
  <c r="M270" s="1"/>
  <c r="N270" s="1" a="1"/>
  <c r="N270" s="1"/>
  <c r="M271" a="1"/>
  <c r="M271" s="1"/>
  <c r="N271" s="1" a="1"/>
  <c r="N271" s="1"/>
  <c r="M272" a="1"/>
  <c r="M272" s="1"/>
  <c r="N272" s="1" a="1"/>
  <c r="N272" s="1"/>
  <c r="M273" a="1"/>
  <c r="M273" s="1"/>
  <c r="N273" s="1" a="1"/>
  <c r="N273" s="1"/>
  <c r="M274" a="1"/>
  <c r="M274" s="1"/>
  <c r="N274" s="1" a="1"/>
  <c r="N274" s="1"/>
  <c r="M275" a="1"/>
  <c r="M275" s="1"/>
  <c r="N275" s="1" a="1"/>
  <c r="N275" s="1"/>
  <c r="M276" a="1"/>
  <c r="M276" s="1"/>
  <c r="N276" s="1" a="1"/>
  <c r="N276" s="1"/>
  <c r="M277" a="1"/>
  <c r="M277" s="1"/>
  <c r="N277" s="1" a="1"/>
  <c r="N277" s="1"/>
  <c r="M278" a="1"/>
  <c r="M278" s="1"/>
  <c r="N278" s="1" a="1"/>
  <c r="N278" s="1"/>
  <c r="M279" a="1"/>
  <c r="M279" s="1"/>
  <c r="N279" s="1" a="1"/>
  <c r="N279" s="1"/>
  <c r="M280" a="1"/>
  <c r="M280" s="1"/>
  <c r="N280" s="1" a="1"/>
  <c r="N280" s="1"/>
  <c r="M281" a="1"/>
  <c r="M281" s="1"/>
  <c r="N281" s="1" a="1"/>
  <c r="N281" s="1"/>
  <c r="M282" a="1"/>
  <c r="M282" s="1"/>
  <c r="N282" s="1" a="1"/>
  <c r="N282" s="1"/>
  <c r="M283" a="1"/>
  <c r="M283" s="1"/>
  <c r="N283" s="1" a="1"/>
  <c r="N283" s="1"/>
  <c r="M284" a="1"/>
  <c r="M284" s="1"/>
  <c r="N284" s="1" a="1"/>
  <c r="N284" s="1"/>
  <c r="M285" a="1"/>
  <c r="M285" s="1"/>
  <c r="N285" s="1" a="1"/>
  <c r="N285" s="1"/>
  <c r="M286" a="1"/>
  <c r="M286" s="1"/>
  <c r="N286" s="1" a="1"/>
  <c r="N286" s="1"/>
  <c r="M287" a="1"/>
  <c r="M287" s="1"/>
  <c r="N287" s="1" a="1"/>
  <c r="N287" s="1"/>
  <c r="M288" a="1"/>
  <c r="M288" s="1"/>
  <c r="N288" s="1" a="1"/>
  <c r="N288" s="1"/>
  <c r="M289" a="1"/>
  <c r="M289" s="1"/>
  <c r="N289" s="1" a="1"/>
  <c r="N289" s="1"/>
  <c r="M290" a="1"/>
  <c r="M290" s="1"/>
  <c r="N290" s="1" a="1"/>
  <c r="N290" s="1"/>
  <c r="M291" a="1"/>
  <c r="M291" s="1"/>
  <c r="N291" s="1" a="1"/>
  <c r="N291" s="1"/>
  <c r="M292" a="1"/>
  <c r="M292" s="1"/>
  <c r="N292" s="1" a="1"/>
  <c r="N292" s="1"/>
  <c r="M293" a="1"/>
  <c r="M293" s="1"/>
  <c r="N293" s="1" a="1"/>
  <c r="N293" s="1"/>
  <c r="M294" a="1"/>
  <c r="M294" s="1"/>
  <c r="N294" s="1" a="1"/>
  <c r="N294" s="1"/>
  <c r="M295" a="1"/>
  <c r="M295" s="1"/>
  <c r="N295" s="1" a="1"/>
  <c r="N295" s="1"/>
  <c r="M296" a="1"/>
  <c r="M296" s="1"/>
  <c r="N296" s="1" a="1"/>
  <c r="N296" s="1"/>
  <c r="M297" a="1"/>
  <c r="M297" s="1"/>
  <c r="N297" s="1" a="1"/>
  <c r="N297" s="1"/>
  <c r="M298" a="1"/>
  <c r="M298" s="1"/>
  <c r="N298" s="1" a="1"/>
  <c r="N298" s="1"/>
  <c r="M299" a="1"/>
  <c r="M299" s="1"/>
  <c r="N299" s="1" a="1"/>
  <c r="N299" s="1"/>
  <c r="M300" a="1"/>
  <c r="M300" s="1"/>
  <c r="N300" s="1" a="1"/>
  <c r="N300" s="1"/>
  <c r="M301" a="1"/>
  <c r="M301" s="1"/>
  <c r="N301" s="1" a="1"/>
  <c r="N301" s="1"/>
  <c r="M302" a="1"/>
  <c r="M302" s="1"/>
  <c r="N302" s="1" a="1"/>
  <c r="N302" s="1"/>
  <c r="M303" a="1"/>
  <c r="M303" s="1"/>
  <c r="N303" s="1" a="1"/>
  <c r="N303" s="1"/>
  <c r="M304" a="1"/>
  <c r="M304" s="1"/>
  <c r="N304" s="1" a="1"/>
  <c r="N304" s="1"/>
  <c r="M305" a="1"/>
  <c r="M305" s="1"/>
  <c r="N305" s="1" a="1"/>
  <c r="N305" s="1"/>
  <c r="M306" a="1"/>
  <c r="M306" s="1"/>
  <c r="N306" s="1" a="1"/>
  <c r="N306" s="1"/>
  <c r="M307" a="1"/>
  <c r="M307" s="1"/>
  <c r="N307" s="1" a="1"/>
  <c r="N307" s="1"/>
  <c r="M308" a="1"/>
  <c r="M308" s="1"/>
  <c r="N308" s="1" a="1"/>
  <c r="N308" s="1"/>
  <c r="M309" a="1"/>
  <c r="M309" s="1"/>
  <c r="N309" s="1" a="1"/>
  <c r="M310" a="1"/>
  <c r="M310" s="1"/>
  <c r="N310" s="1" a="1"/>
  <c r="M311" a="1"/>
  <c r="M311" s="1"/>
  <c r="N311" s="1" a="1"/>
  <c r="M312" a="1"/>
  <c r="M312" s="1"/>
  <c r="N312" s="1" a="1"/>
  <c r="M313" a="1"/>
  <c r="M313" s="1"/>
  <c r="N313" s="1" a="1"/>
  <c r="M314" a="1"/>
  <c r="M314" s="1"/>
  <c r="N314" s="1" a="1"/>
  <c r="M315" a="1"/>
  <c r="M315" s="1"/>
  <c r="N315" s="1" a="1"/>
  <c r="M316" a="1"/>
  <c r="M316" s="1"/>
  <c r="N316" s="1" a="1"/>
  <c r="M317" a="1"/>
  <c r="M317" s="1"/>
  <c r="N317" s="1" a="1"/>
  <c r="M318" a="1"/>
  <c r="M318" s="1"/>
  <c r="N318" s="1" a="1"/>
  <c r="M319" a="1"/>
  <c r="M319" s="1"/>
  <c r="N319" s="1" a="1"/>
  <c r="M320" a="1"/>
  <c r="M320" s="1"/>
  <c r="N320" s="1" a="1"/>
  <c r="M321" a="1"/>
  <c r="M321" s="1"/>
  <c r="N321" s="1" a="1"/>
  <c r="M322" a="1"/>
  <c r="M322" s="1"/>
  <c r="N322" s="1" a="1"/>
  <c r="M323" a="1"/>
  <c r="M323" s="1"/>
  <c r="N323" s="1" a="1"/>
  <c r="M324" a="1"/>
  <c r="M324" s="1"/>
  <c r="N324" s="1" a="1"/>
  <c r="M325" a="1"/>
  <c r="M325" s="1"/>
  <c r="N325" s="1" a="1"/>
  <c r="M326" a="1"/>
  <c r="M326" s="1"/>
  <c r="N326" s="1" a="1"/>
  <c r="M327" a="1"/>
  <c r="M327" s="1"/>
  <c r="N327" s="1" a="1"/>
  <c r="M328" a="1"/>
  <c r="M328" s="1"/>
  <c r="N328" s="1" a="1"/>
  <c r="M329" a="1"/>
  <c r="M329" s="1"/>
  <c r="N329" s="1" a="1"/>
  <c r="M330" a="1"/>
  <c r="M330" s="1"/>
  <c r="N330" s="1" a="1"/>
  <c r="M331" a="1"/>
  <c r="M331" s="1"/>
  <c r="N331" s="1" a="1"/>
  <c r="N331" s="1"/>
  <c r="M332" a="1"/>
  <c r="M332" s="1"/>
  <c r="N332" s="1" a="1"/>
  <c r="N332" s="1"/>
  <c r="M333" a="1"/>
  <c r="M333" s="1"/>
  <c r="N333" s="1" a="1"/>
  <c r="N333" s="1"/>
  <c r="M334" a="1"/>
  <c r="M334" s="1"/>
  <c r="N334" s="1" a="1"/>
  <c r="N334" s="1"/>
  <c r="M335" a="1"/>
  <c r="M335" s="1"/>
  <c r="N335" s="1" a="1"/>
  <c r="N335" s="1"/>
  <c r="M336" a="1"/>
  <c r="M336" s="1"/>
  <c r="N336" s="1" a="1"/>
  <c r="N336" s="1"/>
  <c r="M337" a="1"/>
  <c r="M337" s="1"/>
  <c r="N337" s="1" a="1"/>
  <c r="N337" s="1"/>
  <c r="M338" a="1"/>
  <c r="M338" s="1"/>
  <c r="N338" s="1" a="1"/>
  <c r="N338" s="1"/>
  <c r="M339" a="1"/>
  <c r="M339" s="1"/>
  <c r="N339" s="1" a="1"/>
  <c r="N339" s="1"/>
  <c r="M340" a="1"/>
  <c r="M340" s="1"/>
  <c r="N340" s="1" a="1"/>
  <c r="N340" s="1"/>
  <c r="M341" a="1"/>
  <c r="M341" s="1"/>
  <c r="N341" s="1" a="1"/>
  <c r="N341" s="1"/>
  <c r="M342" a="1"/>
  <c r="M342" s="1"/>
  <c r="N342" s="1" a="1"/>
  <c r="N342" s="1"/>
  <c r="M343" a="1"/>
  <c r="M343" s="1"/>
  <c r="N343" s="1" a="1"/>
  <c r="N343" s="1"/>
  <c r="M344" a="1"/>
  <c r="M344" s="1"/>
  <c r="N344" s="1" a="1"/>
  <c r="N344" s="1"/>
  <c r="M345" a="1"/>
  <c r="M345" s="1"/>
  <c r="N345" s="1" a="1"/>
  <c r="N345" s="1"/>
  <c r="M346" a="1"/>
  <c r="M346" s="1"/>
  <c r="N346" s="1" a="1"/>
  <c r="N346" s="1"/>
  <c r="M347" a="1"/>
  <c r="M347" s="1"/>
  <c r="N347" s="1" a="1"/>
  <c r="N347" s="1"/>
  <c r="M348" a="1"/>
  <c r="M348" s="1"/>
  <c r="N348" s="1" a="1"/>
  <c r="N348" s="1"/>
  <c r="M349" a="1"/>
  <c r="M349" s="1"/>
  <c r="N349" s="1" a="1"/>
  <c r="N349" s="1"/>
  <c r="M350" a="1"/>
  <c r="M350" s="1"/>
  <c r="N350" s="1" a="1"/>
  <c r="N350" s="1"/>
  <c r="M351" a="1"/>
  <c r="M351" s="1"/>
  <c r="N351" s="1" a="1"/>
  <c r="N351" s="1"/>
  <c r="M352" a="1"/>
  <c r="M352" s="1"/>
  <c r="N352" s="1" a="1"/>
  <c r="N352" s="1"/>
  <c r="M353" a="1"/>
  <c r="M353" s="1"/>
  <c r="N353" s="1" a="1"/>
  <c r="N353" s="1"/>
  <c r="M354" a="1"/>
  <c r="M354" s="1"/>
  <c r="N354" s="1" a="1"/>
  <c r="N354" s="1"/>
  <c r="M355" a="1"/>
  <c r="M355" s="1"/>
  <c r="N355" s="1" a="1"/>
  <c r="N355" s="1"/>
  <c r="M356" a="1"/>
  <c r="M356" s="1"/>
  <c r="N356" s="1" a="1"/>
  <c r="N356" s="1"/>
  <c r="M357" a="1"/>
  <c r="M357" s="1"/>
  <c r="N357" s="1" a="1"/>
  <c r="N357" s="1"/>
  <c r="M358" a="1"/>
  <c r="M358" s="1"/>
  <c r="N358" s="1" a="1"/>
  <c r="N358" s="1"/>
  <c r="M359" a="1"/>
  <c r="M359" s="1"/>
  <c r="N359" s="1" a="1"/>
  <c r="N359" s="1"/>
  <c r="M360" a="1"/>
  <c r="M360" s="1"/>
  <c r="N360" s="1" a="1"/>
  <c r="N360" s="1"/>
  <c r="M361" a="1"/>
  <c r="M361" s="1"/>
  <c r="N361" s="1" a="1"/>
  <c r="N361" s="1"/>
  <c r="M362" a="1"/>
  <c r="M362" s="1"/>
  <c r="N362" s="1" a="1"/>
  <c r="N362" s="1"/>
  <c r="M363" a="1"/>
  <c r="M363" s="1"/>
  <c r="N363" s="1" a="1"/>
  <c r="N363" s="1"/>
  <c r="M364" a="1"/>
  <c r="M364" s="1"/>
  <c r="N364" s="1" a="1"/>
  <c r="N364" s="1"/>
  <c r="M365" a="1"/>
  <c r="M365" s="1"/>
  <c r="N365" s="1" a="1"/>
  <c r="N365" s="1"/>
  <c r="M366" a="1"/>
  <c r="M366" s="1"/>
  <c r="N366" s="1" a="1"/>
  <c r="N366" s="1"/>
  <c r="M367" a="1"/>
  <c r="M367" s="1"/>
  <c r="N367" s="1" a="1"/>
  <c r="N367" s="1"/>
  <c r="M368" a="1"/>
  <c r="M368" s="1"/>
  <c r="N368" s="1" a="1"/>
  <c r="N368" s="1"/>
  <c r="M369" a="1"/>
  <c r="M369" s="1"/>
  <c r="N369" s="1" a="1"/>
  <c r="N369" s="1"/>
  <c r="M370" a="1"/>
  <c r="M370" s="1"/>
  <c r="N370" s="1" a="1"/>
  <c r="N370" s="1"/>
  <c r="M371" a="1"/>
  <c r="M371" s="1"/>
  <c r="N371" s="1" a="1"/>
  <c r="N371" s="1"/>
  <c r="M372" a="1"/>
  <c r="M372" s="1"/>
  <c r="N372" s="1" a="1"/>
  <c r="N372" s="1"/>
  <c r="M373" a="1"/>
  <c r="M373" s="1"/>
  <c r="N373" s="1" a="1"/>
  <c r="N373" s="1"/>
  <c r="M374" a="1"/>
  <c r="M374" s="1"/>
  <c r="N374" s="1" a="1"/>
  <c r="N374" s="1"/>
  <c r="M375" a="1"/>
  <c r="M375" s="1"/>
  <c r="N375" s="1" a="1"/>
  <c r="N375" s="1"/>
  <c r="M376" a="1"/>
  <c r="M376" s="1"/>
  <c r="N376" s="1" a="1"/>
  <c r="N376" s="1"/>
  <c r="M377" a="1"/>
  <c r="M377" s="1"/>
  <c r="N377" s="1" a="1"/>
  <c r="N377" s="1"/>
  <c r="M378" a="1"/>
  <c r="M378" s="1"/>
  <c r="N378" s="1" a="1"/>
  <c r="N378" s="1"/>
  <c r="M379" a="1"/>
  <c r="M379" s="1"/>
  <c r="N379" s="1" a="1"/>
  <c r="N379" s="1"/>
  <c r="M380" a="1"/>
  <c r="M380" s="1"/>
  <c r="N380" s="1" a="1"/>
  <c r="N380" s="1"/>
  <c r="M381" a="1"/>
  <c r="M381" s="1"/>
  <c r="N381" s="1" a="1"/>
  <c r="N381" s="1"/>
  <c r="M382" a="1"/>
  <c r="M382" s="1"/>
  <c r="N382" s="1" a="1"/>
  <c r="N382" s="1"/>
  <c r="M383" a="1"/>
  <c r="M383" s="1"/>
  <c r="N383" s="1" a="1"/>
  <c r="N383" s="1"/>
  <c r="M384" a="1"/>
  <c r="M384" s="1"/>
  <c r="N384" s="1" a="1"/>
  <c r="N384" s="1"/>
  <c r="M385" a="1"/>
  <c r="M385" s="1"/>
  <c r="N385" s="1" a="1"/>
  <c r="N385" s="1"/>
  <c r="M386" a="1"/>
  <c r="M386" s="1"/>
  <c r="N386" s="1" a="1"/>
  <c r="N386" s="1"/>
  <c r="M387" a="1"/>
  <c r="M387" s="1"/>
  <c r="N387" s="1" a="1"/>
  <c r="N387" s="1"/>
  <c r="M388" a="1"/>
  <c r="M388" s="1"/>
  <c r="N388" s="1" a="1"/>
  <c r="N388" s="1"/>
  <c r="M389" a="1"/>
  <c r="M389" s="1"/>
  <c r="N389" s="1" a="1"/>
  <c r="N389" s="1"/>
  <c r="M390" a="1"/>
  <c r="M390" s="1"/>
  <c r="N390" s="1" a="1"/>
  <c r="N390" s="1"/>
  <c r="M391" a="1"/>
  <c r="M391" s="1"/>
  <c r="N391" s="1" a="1"/>
  <c r="N391" s="1"/>
  <c r="M392" a="1"/>
  <c r="M392" s="1"/>
  <c r="N392" s="1" a="1"/>
  <c r="N392" s="1"/>
  <c r="M393" a="1"/>
  <c r="M393" s="1"/>
  <c r="N393" s="1" a="1"/>
  <c r="N393" s="1"/>
  <c r="M394" a="1"/>
  <c r="M394" s="1"/>
  <c r="N394" s="1" a="1"/>
  <c r="N394" s="1"/>
  <c r="M395" a="1"/>
  <c r="M395" s="1"/>
  <c r="N395" s="1" a="1"/>
  <c r="N395" s="1"/>
  <c r="M396" a="1"/>
  <c r="M396" s="1"/>
  <c r="N396" s="1" a="1"/>
  <c r="N396" s="1"/>
  <c r="M397" a="1"/>
  <c r="M397" s="1"/>
  <c r="N397" s="1" a="1"/>
  <c r="N397" s="1"/>
  <c r="M398" a="1"/>
  <c r="M398" s="1"/>
  <c r="N398" s="1" a="1"/>
  <c r="N398" s="1"/>
  <c r="M399" a="1"/>
  <c r="M399" s="1"/>
  <c r="N399" s="1" a="1"/>
  <c r="N399" s="1"/>
  <c r="M400" a="1"/>
  <c r="M400" s="1"/>
  <c r="N400" s="1" a="1"/>
  <c r="N400" s="1"/>
  <c r="M401" a="1"/>
  <c r="M401" s="1"/>
  <c r="N401" s="1" a="1"/>
  <c r="N401" s="1"/>
  <c r="M402" a="1"/>
  <c r="M402" s="1"/>
  <c r="N402" s="1" a="1"/>
  <c r="N402" s="1"/>
  <c r="M403" a="1"/>
  <c r="M403" s="1"/>
  <c r="N403" s="1" a="1"/>
  <c r="N403" s="1"/>
  <c r="M404" a="1"/>
  <c r="M404" s="1"/>
  <c r="N404" s="1" a="1"/>
  <c r="N404" s="1"/>
  <c r="M405" a="1"/>
  <c r="M405" s="1"/>
  <c r="N405" s="1" a="1"/>
  <c r="N405" s="1"/>
  <c r="M406" a="1"/>
  <c r="M406" s="1"/>
  <c r="N406" s="1" a="1"/>
  <c r="N406" s="1"/>
  <c r="M407" a="1"/>
  <c r="M407" s="1"/>
  <c r="N407" s="1" a="1"/>
  <c r="N407" s="1"/>
  <c r="M408" a="1"/>
  <c r="M408" s="1"/>
  <c r="N408" s="1" a="1"/>
  <c r="N408" s="1"/>
  <c r="M409" a="1"/>
  <c r="M409" s="1"/>
  <c r="N409" s="1" a="1"/>
  <c r="N409" s="1"/>
  <c r="M410" a="1"/>
  <c r="M410" s="1"/>
  <c r="N410" s="1" a="1"/>
  <c r="N410" s="1"/>
  <c r="M411" a="1"/>
  <c r="M411" s="1"/>
  <c r="N411" s="1" a="1"/>
  <c r="N411" s="1"/>
  <c r="M412" a="1"/>
  <c r="M412" s="1"/>
  <c r="N412" s="1" a="1"/>
  <c r="N412" s="1"/>
  <c r="M413" a="1"/>
  <c r="M413" s="1"/>
  <c r="N413" s="1" a="1"/>
  <c r="N413" s="1"/>
  <c r="M414" a="1"/>
  <c r="M414" s="1"/>
  <c r="N414" s="1" a="1"/>
  <c r="N414" s="1"/>
  <c r="M415" a="1"/>
  <c r="M415" s="1"/>
  <c r="N415" s="1" a="1"/>
  <c r="N415" s="1"/>
  <c r="M416" a="1"/>
  <c r="M416" s="1"/>
  <c r="N416" s="1" a="1"/>
  <c r="N416" s="1"/>
  <c r="M417" a="1"/>
  <c r="M417" s="1"/>
  <c r="N417" s="1" a="1"/>
  <c r="N417" s="1"/>
  <c r="M418" a="1"/>
  <c r="M418" s="1"/>
  <c r="N418" s="1" a="1"/>
  <c r="N418" s="1"/>
  <c r="M419" a="1"/>
  <c r="M419" s="1"/>
  <c r="N419" s="1" a="1"/>
  <c r="N419" s="1"/>
  <c r="M420" a="1"/>
  <c r="M420" s="1"/>
  <c r="N420" s="1" a="1"/>
  <c r="N420" s="1"/>
  <c r="M421" a="1"/>
  <c r="M421" s="1"/>
  <c r="N421" s="1" a="1"/>
  <c r="N421" s="1"/>
  <c r="M422" a="1"/>
  <c r="M422" s="1"/>
  <c r="N422" s="1" a="1"/>
  <c r="N422" s="1"/>
  <c r="M423" a="1"/>
  <c r="M423" s="1"/>
  <c r="N423" s="1" a="1"/>
  <c r="N423" s="1"/>
  <c r="M424" a="1"/>
  <c r="M424" s="1"/>
  <c r="N424" s="1" a="1"/>
  <c r="N424" s="1"/>
  <c r="M425" a="1"/>
  <c r="M425" s="1"/>
  <c r="N425" s="1" a="1"/>
  <c r="N425" s="1"/>
  <c r="M426" a="1"/>
  <c r="M426" s="1"/>
  <c r="N426" s="1" a="1"/>
  <c r="N426" s="1"/>
  <c r="M427" a="1"/>
  <c r="M427" s="1"/>
  <c r="N427" s="1" a="1"/>
  <c r="N427" s="1"/>
  <c r="M428" a="1"/>
  <c r="M428" s="1"/>
  <c r="N428" s="1" a="1"/>
  <c r="N428" s="1"/>
  <c r="M429" a="1"/>
  <c r="M429" s="1"/>
  <c r="N429" s="1" a="1"/>
  <c r="N429" s="1"/>
  <c r="M430" a="1"/>
  <c r="M430" s="1"/>
  <c r="N430" s="1" a="1"/>
  <c r="N430" s="1"/>
  <c r="M431" a="1"/>
  <c r="M431" s="1"/>
  <c r="N431" s="1" a="1"/>
  <c r="N431" s="1"/>
  <c r="M432" a="1"/>
  <c r="M432" s="1"/>
  <c r="N432" s="1" a="1"/>
  <c r="N432" s="1"/>
  <c r="M433" a="1"/>
  <c r="M433" s="1"/>
  <c r="N433" s="1" a="1"/>
  <c r="N433" s="1"/>
  <c r="M434" a="1"/>
  <c r="M434" s="1"/>
  <c r="N434" s="1" a="1"/>
  <c r="N434" s="1"/>
  <c r="M435" a="1"/>
  <c r="M435" s="1"/>
  <c r="N435" s="1" a="1"/>
  <c r="N435" s="1"/>
  <c r="M436" a="1"/>
  <c r="M436" s="1"/>
  <c r="N436" s="1" a="1"/>
  <c r="N436" s="1"/>
  <c r="M437" a="1"/>
  <c r="M437" s="1"/>
  <c r="N437" s="1" a="1"/>
  <c r="N437" s="1"/>
  <c r="M438" a="1"/>
  <c r="M438" s="1"/>
  <c r="N438" s="1" a="1"/>
  <c r="N438" s="1"/>
  <c r="M439" a="1"/>
  <c r="M439" s="1"/>
  <c r="N439" s="1" a="1"/>
  <c r="N439" s="1"/>
  <c r="M440" a="1"/>
  <c r="M440" s="1"/>
  <c r="N440" s="1" a="1"/>
  <c r="N440" s="1"/>
  <c r="M441" a="1"/>
  <c r="M441" s="1"/>
  <c r="N441" s="1" a="1"/>
  <c r="N441" s="1"/>
  <c r="M442" a="1"/>
  <c r="M442" s="1"/>
  <c r="N442" s="1" a="1"/>
  <c r="N442" s="1"/>
  <c r="M443" a="1"/>
  <c r="M443" s="1"/>
  <c r="N443" s="1" a="1"/>
  <c r="N443" s="1"/>
  <c r="M444" a="1"/>
  <c r="M444" s="1"/>
  <c r="N444" s="1" a="1"/>
  <c r="N444" s="1"/>
  <c r="M445" a="1"/>
  <c r="M445" s="1"/>
  <c r="N445" s="1" a="1"/>
  <c r="N445" s="1"/>
  <c r="M446" a="1"/>
  <c r="M446" s="1"/>
  <c r="N446" s="1" a="1"/>
  <c r="N446" s="1"/>
  <c r="M447" a="1"/>
  <c r="M447" s="1"/>
  <c r="N447" s="1" a="1"/>
  <c r="N447" s="1"/>
  <c r="M448" a="1"/>
  <c r="M448" s="1"/>
  <c r="N448" s="1" a="1"/>
  <c r="N448" s="1"/>
  <c r="M449" a="1"/>
  <c r="M449" s="1"/>
  <c r="N449" s="1" a="1"/>
  <c r="N449" s="1"/>
  <c r="M450" a="1"/>
  <c r="M450" s="1"/>
  <c r="N450" s="1" a="1"/>
  <c r="N450" s="1"/>
  <c r="M451" a="1"/>
  <c r="M451" s="1"/>
  <c r="N451" s="1" a="1"/>
  <c r="N451" s="1"/>
  <c r="M452" a="1"/>
  <c r="M452" s="1"/>
  <c r="N452" s="1" a="1"/>
  <c r="N452" s="1"/>
  <c r="M453" a="1"/>
  <c r="M453" s="1"/>
  <c r="N453" s="1" a="1"/>
  <c r="N453" s="1"/>
  <c r="M454" a="1"/>
  <c r="M454" s="1"/>
  <c r="N454" s="1" a="1"/>
  <c r="N454" s="1"/>
  <c r="M455" a="1"/>
  <c r="M455" s="1"/>
  <c r="N455" s="1" a="1"/>
  <c r="N455" s="1"/>
  <c r="M456" a="1"/>
  <c r="M456" s="1"/>
  <c r="N456" s="1" a="1"/>
  <c r="N456" s="1"/>
  <c r="M457" a="1"/>
  <c r="M457" s="1"/>
  <c r="N457" s="1" a="1"/>
  <c r="N457" s="1"/>
  <c r="M458" a="1"/>
  <c r="M458" s="1"/>
  <c r="N458" s="1" a="1"/>
  <c r="N458" s="1"/>
  <c r="M459" a="1"/>
  <c r="M459" s="1"/>
  <c r="N459" s="1" a="1"/>
  <c r="N459" s="1"/>
  <c r="M460" a="1"/>
  <c r="M460" s="1"/>
  <c r="N460" s="1" a="1"/>
  <c r="N460" s="1"/>
  <c r="M461" a="1"/>
  <c r="M461" s="1"/>
  <c r="N461" s="1" a="1"/>
  <c r="N461" s="1"/>
  <c r="M462" a="1"/>
  <c r="M462" s="1"/>
  <c r="N462" s="1" a="1"/>
  <c r="N462" s="1"/>
  <c r="M463" a="1"/>
  <c r="M463" s="1"/>
  <c r="N463" s="1" a="1"/>
  <c r="N463" s="1"/>
  <c r="M464" a="1"/>
  <c r="M464" s="1"/>
  <c r="N464" s="1" a="1"/>
  <c r="N464" s="1"/>
  <c r="M465" a="1"/>
  <c r="M465" s="1"/>
  <c r="N465" s="1" a="1"/>
  <c r="N465" s="1"/>
  <c r="M466" a="1"/>
  <c r="M466" s="1"/>
  <c r="N466" s="1" a="1"/>
  <c r="N466" s="1"/>
  <c r="M467" a="1"/>
  <c r="M467" s="1"/>
  <c r="N467" s="1" a="1"/>
  <c r="N467" s="1"/>
  <c r="M468" a="1"/>
  <c r="M468" s="1"/>
  <c r="N468" s="1" a="1"/>
  <c r="N468" s="1"/>
  <c r="M469" a="1"/>
  <c r="M469" s="1"/>
  <c r="N469" s="1" a="1"/>
  <c r="N469" s="1"/>
  <c r="M470" a="1"/>
  <c r="M470" s="1"/>
  <c r="N470" s="1" a="1"/>
  <c r="N470" s="1"/>
  <c r="M471" a="1"/>
  <c r="M471" s="1"/>
  <c r="N471" s="1" a="1"/>
  <c r="N471" s="1"/>
  <c r="M472" a="1"/>
  <c r="M472" s="1"/>
  <c r="N472" s="1" a="1"/>
  <c r="N472" s="1"/>
  <c r="M473" a="1"/>
  <c r="M473" s="1"/>
  <c r="N473" s="1" a="1"/>
  <c r="N473" s="1"/>
  <c r="M474" a="1"/>
  <c r="M474" s="1"/>
  <c r="N474" s="1" a="1"/>
  <c r="N474" s="1"/>
  <c r="M475" a="1"/>
  <c r="M475" s="1"/>
  <c r="N475" s="1" a="1"/>
  <c r="N475" s="1"/>
  <c r="M476" a="1"/>
  <c r="M476" s="1"/>
  <c r="N476" s="1" a="1"/>
  <c r="N476" s="1"/>
  <c r="M477" a="1"/>
  <c r="M477" s="1"/>
  <c r="N477" s="1" a="1"/>
  <c r="N477" s="1"/>
  <c r="M478" a="1"/>
  <c r="M478" s="1"/>
  <c r="N478" s="1" a="1"/>
  <c r="N478" s="1"/>
  <c r="M479" a="1"/>
  <c r="M479" s="1"/>
  <c r="N479" s="1" a="1"/>
  <c r="N479" s="1"/>
  <c r="M480" a="1"/>
  <c r="M480" s="1"/>
  <c r="N480" s="1" a="1"/>
  <c r="N480" s="1"/>
  <c r="M481" a="1"/>
  <c r="M481" s="1"/>
  <c r="N481" s="1" a="1"/>
  <c r="N481" s="1"/>
  <c r="M482" a="1"/>
  <c r="M482" s="1"/>
  <c r="N482" s="1" a="1"/>
  <c r="N482" s="1"/>
  <c r="M483" a="1"/>
  <c r="M483" s="1"/>
  <c r="N483" s="1" a="1"/>
  <c r="N483" s="1"/>
  <c r="M484" a="1"/>
  <c r="M484" s="1"/>
  <c r="N484" s="1" a="1"/>
  <c r="N484" s="1"/>
  <c r="M485" a="1"/>
  <c r="M485" s="1"/>
  <c r="N485" s="1" a="1"/>
  <c r="N485" s="1"/>
  <c r="M486" a="1"/>
  <c r="M486" s="1"/>
  <c r="N486" s="1" a="1"/>
  <c r="N486" s="1"/>
  <c r="M487" a="1"/>
  <c r="M487" s="1"/>
  <c r="N487" s="1" a="1"/>
  <c r="N487" s="1"/>
  <c r="M488" a="1"/>
  <c r="M488" s="1"/>
  <c r="N488" s="1" a="1"/>
  <c r="N488" s="1"/>
  <c r="M489" a="1"/>
  <c r="M489" s="1"/>
  <c r="N489" s="1" a="1"/>
  <c r="N489" s="1"/>
  <c r="M490" a="1"/>
  <c r="M490" s="1"/>
  <c r="N490" s="1" a="1"/>
  <c r="N490" s="1"/>
  <c r="M491" a="1"/>
  <c r="M491" s="1"/>
  <c r="N491" s="1" a="1"/>
  <c r="N491" s="1"/>
  <c r="M492" a="1"/>
  <c r="M492" s="1"/>
  <c r="N492" s="1" a="1"/>
  <c r="N492" s="1"/>
  <c r="M493" a="1"/>
  <c r="M493" s="1"/>
  <c r="N493" s="1" a="1"/>
  <c r="N493" s="1"/>
  <c r="M494" a="1"/>
  <c r="M494" s="1"/>
  <c r="N494" s="1" a="1"/>
  <c r="N494" s="1"/>
  <c r="M495" a="1"/>
  <c r="M495" s="1"/>
  <c r="N495" s="1" a="1"/>
  <c r="N495" s="1"/>
  <c r="M496" a="1"/>
  <c r="M496" s="1"/>
  <c r="N496" s="1" a="1"/>
  <c r="N496" s="1"/>
  <c r="M497" a="1"/>
  <c r="M497" s="1"/>
  <c r="N497" s="1" a="1"/>
  <c r="N497" s="1"/>
  <c r="M498" a="1"/>
  <c r="M498" s="1"/>
  <c r="N498" s="1" a="1"/>
  <c r="N498" s="1"/>
  <c r="M499" a="1"/>
  <c r="M499" s="1"/>
  <c r="N499" s="1" a="1"/>
  <c r="N499" s="1"/>
  <c r="M500" a="1"/>
  <c r="M500" s="1"/>
  <c r="N500" s="1" a="1"/>
  <c r="N500" s="1"/>
  <c r="M501" a="1"/>
  <c r="M501" s="1"/>
  <c r="N501" s="1" a="1"/>
  <c r="N501" s="1"/>
  <c r="M502" a="1"/>
  <c r="M502" s="1"/>
  <c r="N502" s="1" a="1"/>
  <c r="N502" s="1"/>
  <c r="M503" a="1"/>
  <c r="M503" s="1"/>
  <c r="N503" s="1" a="1"/>
  <c r="N503" s="1"/>
  <c r="M504" a="1"/>
  <c r="M504" s="1"/>
  <c r="N504" s="1" a="1"/>
  <c r="N504" s="1"/>
  <c r="M505" a="1"/>
  <c r="M505" s="1"/>
  <c r="N505" s="1" a="1"/>
  <c r="N505" s="1"/>
  <c r="M506" a="1"/>
  <c r="M506" s="1"/>
  <c r="N506" s="1" a="1"/>
  <c r="N506" s="1"/>
  <c r="M507" a="1"/>
  <c r="M507" s="1"/>
  <c r="N507" s="1" a="1"/>
  <c r="N507" s="1"/>
  <c r="M508" a="1"/>
  <c r="M508" s="1"/>
  <c r="N508" s="1" a="1"/>
  <c r="N508" s="1"/>
  <c r="M509" a="1"/>
  <c r="M509" s="1"/>
  <c r="N509" s="1" a="1"/>
  <c r="N509" s="1"/>
  <c r="M510" a="1"/>
  <c r="M510" s="1"/>
  <c r="N510" s="1" a="1"/>
  <c r="N510" s="1"/>
  <c r="M511" a="1"/>
  <c r="M511" s="1"/>
  <c r="N511" s="1" a="1"/>
  <c r="N511" s="1"/>
  <c r="M512" a="1"/>
  <c r="M512" s="1"/>
  <c r="N512" s="1" a="1"/>
  <c r="N512" s="1"/>
  <c r="M513" a="1"/>
  <c r="M513" s="1"/>
  <c r="N513" s="1" a="1"/>
  <c r="N513" s="1"/>
  <c r="M514" a="1"/>
  <c r="M514" s="1"/>
  <c r="N514" s="1" a="1"/>
  <c r="N514" s="1"/>
  <c r="M515" a="1"/>
  <c r="M515" s="1"/>
  <c r="N515" s="1" a="1"/>
  <c r="N515" s="1"/>
  <c r="M516" a="1"/>
  <c r="M516" s="1"/>
  <c r="N516" s="1" a="1"/>
  <c r="N516" s="1"/>
  <c r="M517" a="1"/>
  <c r="M517" s="1"/>
  <c r="N517" s="1" a="1"/>
  <c r="N517" s="1"/>
  <c r="M518" a="1"/>
  <c r="M518" s="1"/>
  <c r="N518" s="1" a="1"/>
  <c r="N518" s="1"/>
  <c r="M519" a="1"/>
  <c r="M519" s="1"/>
  <c r="N519" s="1" a="1"/>
  <c r="N519" s="1"/>
  <c r="M520" a="1"/>
  <c r="M520" s="1"/>
  <c r="N520" s="1" a="1"/>
  <c r="N520" s="1"/>
  <c r="M521" a="1"/>
  <c r="M521" s="1"/>
  <c r="N521" s="1" a="1"/>
  <c r="N521" s="1"/>
  <c r="M522" a="1"/>
  <c r="M522" s="1"/>
  <c r="N522" s="1" a="1"/>
  <c r="N522" s="1"/>
  <c r="M523" a="1"/>
  <c r="M523" s="1"/>
  <c r="N523" s="1" a="1"/>
  <c r="N523" s="1"/>
  <c r="M524" a="1"/>
  <c r="M524" s="1"/>
  <c r="N524" s="1" a="1"/>
  <c r="N524" s="1"/>
  <c r="M525" a="1"/>
  <c r="M525" s="1"/>
  <c r="N525" s="1" a="1"/>
  <c r="N525" s="1"/>
  <c r="M526" a="1"/>
  <c r="M526" s="1"/>
  <c r="N526" s="1" a="1"/>
  <c r="N526" s="1"/>
  <c r="M527" a="1"/>
  <c r="M527" s="1"/>
  <c r="N527" s="1" a="1"/>
  <c r="N527" s="1"/>
  <c r="M528" a="1"/>
  <c r="M528" s="1"/>
  <c r="N528" s="1" a="1"/>
  <c r="N528" s="1"/>
  <c r="M529" a="1"/>
  <c r="M529" s="1"/>
  <c r="N529" s="1" a="1"/>
  <c r="N529" s="1"/>
  <c r="M530" a="1"/>
  <c r="M530" s="1"/>
  <c r="N530" s="1" a="1"/>
  <c r="N530" s="1"/>
  <c r="M531" a="1"/>
  <c r="M531" s="1"/>
  <c r="N531" s="1" a="1"/>
  <c r="N531" s="1"/>
  <c r="M532" a="1"/>
  <c r="M532" s="1"/>
  <c r="N532" s="1" a="1"/>
  <c r="N532" s="1"/>
  <c r="M533" a="1"/>
  <c r="M533" s="1"/>
  <c r="N533" s="1" a="1"/>
  <c r="N533" s="1"/>
  <c r="M534" a="1"/>
  <c r="M534" s="1"/>
  <c r="N534" s="1" a="1"/>
  <c r="N534" s="1"/>
  <c r="M535" a="1"/>
  <c r="M535" s="1"/>
  <c r="N535" s="1" a="1"/>
  <c r="N535" s="1"/>
  <c r="M536" a="1"/>
  <c r="M536" s="1"/>
  <c r="N536" s="1" a="1"/>
  <c r="N536" s="1"/>
  <c r="M537" a="1"/>
  <c r="M537" s="1"/>
  <c r="N537" s="1" a="1"/>
  <c r="N537" s="1"/>
  <c r="M538" a="1"/>
  <c r="M538" s="1"/>
  <c r="N538" s="1" a="1"/>
  <c r="N538" s="1"/>
  <c r="M539" a="1"/>
  <c r="M539" s="1"/>
  <c r="N539" s="1" a="1"/>
  <c r="N539" s="1"/>
  <c r="M540" a="1"/>
  <c r="M540" s="1"/>
  <c r="N540" s="1" a="1"/>
  <c r="N540" s="1"/>
  <c r="M541" a="1"/>
  <c r="M541" s="1"/>
  <c r="N541" s="1" a="1"/>
  <c r="N541" s="1"/>
  <c r="M542" a="1"/>
  <c r="M542" s="1"/>
  <c r="N542" s="1" a="1"/>
  <c r="N542" s="1"/>
  <c r="M543" a="1"/>
  <c r="M543" s="1"/>
  <c r="N543" s="1" a="1"/>
  <c r="N543" s="1"/>
  <c r="M544" a="1"/>
  <c r="M544" s="1"/>
  <c r="N544" s="1" a="1"/>
  <c r="N544" s="1"/>
  <c r="M545" a="1"/>
  <c r="M545" s="1"/>
  <c r="N545" s="1" a="1"/>
  <c r="N545" s="1"/>
  <c r="M546" a="1"/>
  <c r="M546" s="1"/>
  <c r="N546" s="1" a="1"/>
  <c r="N546" s="1"/>
  <c r="M547" a="1"/>
  <c r="M547" s="1"/>
  <c r="N547" s="1" a="1"/>
  <c r="N547" s="1"/>
  <c r="M548" a="1"/>
  <c r="M548" s="1"/>
  <c r="N548" s="1" a="1"/>
  <c r="N548" s="1"/>
  <c r="M549" a="1"/>
  <c r="M549" s="1"/>
  <c r="N549" s="1" a="1"/>
  <c r="N549" s="1"/>
  <c r="M550" a="1"/>
  <c r="M550" s="1"/>
  <c r="N550" s="1" a="1"/>
  <c r="N550" s="1"/>
  <c r="M551" a="1"/>
  <c r="M551" s="1"/>
  <c r="N551" s="1" a="1"/>
  <c r="N551" s="1"/>
  <c r="M552" a="1"/>
  <c r="M552" s="1"/>
  <c r="N552" s="1" a="1"/>
  <c r="N552" s="1"/>
  <c r="M553" a="1"/>
  <c r="M553" s="1"/>
  <c r="N553" s="1" a="1"/>
  <c r="N553" s="1"/>
  <c r="M554" a="1"/>
  <c r="M554" s="1"/>
  <c r="N554" s="1" a="1"/>
  <c r="N554" s="1"/>
  <c r="M555" a="1"/>
  <c r="M555" s="1"/>
  <c r="N555" s="1" a="1"/>
  <c r="N555" s="1"/>
  <c r="M556" a="1"/>
  <c r="M556" s="1"/>
  <c r="N556" s="1" a="1"/>
  <c r="N556" s="1"/>
  <c r="M557" a="1"/>
  <c r="M557" s="1"/>
  <c r="N557" s="1" a="1"/>
  <c r="N557" s="1"/>
  <c r="M558" a="1"/>
  <c r="M558" s="1"/>
  <c r="N558" s="1" a="1"/>
  <c r="N558" s="1"/>
  <c r="M559" a="1"/>
  <c r="M559" s="1"/>
  <c r="N559" s="1" a="1"/>
  <c r="N559" s="1"/>
  <c r="M560" a="1"/>
  <c r="M560" s="1"/>
  <c r="N560" s="1" a="1"/>
  <c r="N560" s="1"/>
  <c r="M561" a="1"/>
  <c r="M561" s="1"/>
  <c r="N561" s="1" a="1"/>
  <c r="N561" s="1"/>
  <c r="M562" a="1"/>
  <c r="M562" s="1"/>
  <c r="N562" s="1" a="1"/>
  <c r="N562" s="1"/>
  <c r="M563" a="1"/>
  <c r="M563" s="1"/>
  <c r="N563" s="1" a="1"/>
  <c r="N563" s="1"/>
  <c r="M564" a="1"/>
  <c r="M564" s="1"/>
  <c r="N564" s="1" a="1"/>
  <c r="N564" s="1"/>
  <c r="M565" a="1"/>
  <c r="M565" s="1"/>
  <c r="N565" s="1" a="1"/>
  <c r="N565" s="1"/>
  <c r="M566" a="1"/>
  <c r="M566" s="1"/>
  <c r="N566" s="1" a="1"/>
  <c r="N566" s="1"/>
  <c r="M567" a="1"/>
  <c r="M567" s="1"/>
  <c r="N567" s="1" a="1"/>
  <c r="N567" s="1"/>
  <c r="M568" a="1"/>
  <c r="M568" s="1"/>
  <c r="N568" s="1" a="1"/>
  <c r="N568" s="1"/>
  <c r="M569" a="1"/>
  <c r="M569" s="1"/>
  <c r="N569" s="1" a="1"/>
  <c r="N569" s="1"/>
  <c r="M570" a="1"/>
  <c r="M570" s="1"/>
  <c r="N570" s="1" a="1"/>
  <c r="N570" s="1"/>
  <c r="M571" a="1"/>
  <c r="M571" s="1"/>
  <c r="N571" s="1" a="1"/>
  <c r="N571" s="1"/>
  <c r="M572" a="1"/>
  <c r="M572" s="1"/>
  <c r="N572" s="1" a="1"/>
  <c r="N572" s="1"/>
  <c r="M573" a="1"/>
  <c r="M573" s="1"/>
  <c r="N573" s="1" a="1"/>
  <c r="N573" s="1"/>
  <c r="M574" a="1"/>
  <c r="M574" s="1"/>
  <c r="N574" s="1" a="1"/>
  <c r="N574" s="1"/>
  <c r="M575" a="1"/>
  <c r="M575" s="1"/>
  <c r="N575" s="1" a="1"/>
  <c r="N575" s="1"/>
  <c r="M576" a="1"/>
  <c r="M576" s="1"/>
  <c r="N576" s="1" a="1"/>
  <c r="N576" s="1"/>
  <c r="M577" a="1"/>
  <c r="M577" s="1"/>
  <c r="N577" s="1" a="1"/>
  <c r="N577" s="1"/>
  <c r="M578" a="1"/>
  <c r="M578" s="1"/>
  <c r="N578" s="1" a="1"/>
  <c r="N578" s="1"/>
  <c r="M579" a="1"/>
  <c r="M579" s="1"/>
  <c r="N579" s="1" a="1"/>
  <c r="N579" s="1"/>
  <c r="M580" a="1"/>
  <c r="M580" s="1"/>
  <c r="N580" s="1" a="1"/>
  <c r="N580" s="1"/>
  <c r="M581" a="1"/>
  <c r="M581" s="1"/>
  <c r="N581" s="1" a="1"/>
  <c r="N581" s="1"/>
  <c r="M582" a="1"/>
  <c r="M582" s="1"/>
  <c r="N582" s="1" a="1"/>
  <c r="N582" s="1"/>
  <c r="M583" a="1"/>
  <c r="M583" s="1"/>
  <c r="N583" s="1" a="1"/>
  <c r="N583" s="1"/>
  <c r="M584" a="1"/>
  <c r="M584" s="1"/>
  <c r="N584" s="1" a="1"/>
  <c r="N584" s="1"/>
  <c r="M585" a="1"/>
  <c r="M585" s="1"/>
  <c r="N585" s="1" a="1"/>
  <c r="N585" s="1"/>
  <c r="M586" a="1"/>
  <c r="M586" s="1"/>
  <c r="N586" s="1" a="1"/>
  <c r="N586" s="1"/>
  <c r="M587" a="1"/>
  <c r="M587" s="1"/>
  <c r="N587" s="1" a="1"/>
  <c r="N587" s="1"/>
  <c r="M588" a="1"/>
  <c r="M588" s="1"/>
  <c r="N588" s="1" a="1"/>
  <c r="N588" s="1"/>
  <c r="M589" a="1"/>
  <c r="M589" s="1"/>
  <c r="N589" s="1" a="1"/>
  <c r="N589" s="1"/>
  <c r="M590" a="1"/>
  <c r="M590" s="1"/>
  <c r="N590" s="1" a="1"/>
  <c r="N590" s="1"/>
  <c r="M591" a="1"/>
  <c r="M591" s="1"/>
  <c r="N591" s="1" a="1"/>
  <c r="N591" s="1"/>
  <c r="M592" a="1"/>
  <c r="M592" s="1"/>
  <c r="N592" s="1" a="1"/>
  <c r="N592" s="1"/>
  <c r="M593" a="1"/>
  <c r="M593" s="1"/>
  <c r="N593" s="1" a="1"/>
  <c r="N593" s="1"/>
  <c r="M594" a="1"/>
  <c r="M594" s="1"/>
  <c r="N594" s="1" a="1"/>
  <c r="N594" s="1"/>
  <c r="M595" a="1"/>
  <c r="M595" s="1"/>
  <c r="N595" s="1" a="1"/>
  <c r="N595" s="1"/>
  <c r="M596" a="1"/>
  <c r="M596" s="1"/>
  <c r="N596" s="1" a="1"/>
  <c r="N596" s="1"/>
  <c r="M597" a="1"/>
  <c r="M597" s="1"/>
  <c r="N597" s="1" a="1"/>
  <c r="N597" s="1"/>
  <c r="M598" a="1"/>
  <c r="M598" s="1"/>
  <c r="N598" s="1" a="1"/>
  <c r="N598" s="1"/>
  <c r="M599" a="1"/>
  <c r="M599" s="1"/>
  <c r="N599" s="1" a="1"/>
  <c r="N599" s="1"/>
  <c r="M600" a="1"/>
  <c r="M600" s="1"/>
  <c r="N600" s="1" a="1"/>
  <c r="N600" s="1"/>
  <c r="M601" a="1"/>
  <c r="M601" s="1"/>
  <c r="N601" s="1" a="1"/>
  <c r="N601" s="1"/>
  <c r="M602" a="1"/>
  <c r="M602" s="1"/>
  <c r="N602" s="1" a="1"/>
  <c r="N602" s="1"/>
  <c r="M603" a="1"/>
  <c r="M603" s="1"/>
  <c r="N603" s="1" a="1"/>
  <c r="N603" s="1"/>
  <c r="M604" a="1"/>
  <c r="M604" s="1"/>
  <c r="N604" s="1" a="1"/>
  <c r="N604" s="1"/>
  <c r="M605" a="1"/>
  <c r="M605" s="1"/>
  <c r="N605" s="1" a="1"/>
  <c r="N605" s="1"/>
  <c r="M606" a="1"/>
  <c r="M606" s="1"/>
  <c r="N606" s="1" a="1"/>
  <c r="N606" s="1"/>
  <c r="M607" a="1"/>
  <c r="M607" s="1"/>
  <c r="N607" s="1" a="1"/>
  <c r="N607" s="1"/>
  <c r="M608" a="1"/>
  <c r="M608" s="1"/>
  <c r="N608" s="1" a="1"/>
  <c r="N608" s="1"/>
  <c r="M609" a="1"/>
  <c r="M609" s="1"/>
  <c r="N609" s="1" a="1"/>
  <c r="N609" s="1"/>
  <c r="M610" a="1"/>
  <c r="M610" s="1"/>
  <c r="N610" s="1" a="1"/>
  <c r="N610" s="1"/>
  <c r="M611" a="1"/>
  <c r="M611" s="1"/>
  <c r="N611" s="1" a="1"/>
  <c r="N611" s="1"/>
  <c r="M612" a="1"/>
  <c r="M612" s="1"/>
  <c r="N612" s="1" a="1"/>
  <c r="N612" s="1"/>
  <c r="M613" a="1"/>
  <c r="M613" s="1"/>
  <c r="N613" s="1" a="1"/>
  <c r="N613" s="1"/>
  <c r="M614" a="1"/>
  <c r="M614" s="1"/>
  <c r="N614" s="1" a="1"/>
  <c r="N614" s="1"/>
  <c r="M615" a="1"/>
  <c r="M615" s="1"/>
  <c r="N615" s="1" a="1"/>
  <c r="N615" s="1"/>
  <c r="M616" a="1"/>
  <c r="M616" s="1"/>
  <c r="N616" s="1" a="1"/>
  <c r="N616" s="1"/>
  <c r="M617" a="1"/>
  <c r="M617" s="1"/>
  <c r="N617" s="1" a="1"/>
  <c r="N617" s="1"/>
  <c r="M618" a="1"/>
  <c r="M618" s="1"/>
  <c r="N618" s="1" a="1"/>
  <c r="N618" s="1"/>
  <c r="M619" a="1"/>
  <c r="M619" s="1"/>
  <c r="N619" s="1" a="1"/>
  <c r="N619" s="1"/>
  <c r="M620" a="1"/>
  <c r="M620" s="1"/>
  <c r="N620" s="1" a="1"/>
  <c r="N620" s="1"/>
  <c r="M621" a="1"/>
  <c r="M621" s="1"/>
  <c r="N621" s="1" a="1"/>
  <c r="N621" s="1"/>
  <c r="M622" a="1"/>
  <c r="M622" s="1"/>
  <c r="N622" s="1" a="1"/>
  <c r="N622" s="1"/>
  <c r="M623" a="1"/>
  <c r="M623" s="1"/>
  <c r="N623" s="1" a="1"/>
  <c r="N623" s="1"/>
  <c r="M624" a="1"/>
  <c r="M624" s="1"/>
  <c r="N624" s="1" a="1"/>
  <c r="N624" s="1"/>
  <c r="M625" a="1"/>
  <c r="M625" s="1"/>
  <c r="N625" s="1" a="1"/>
  <c r="N625" s="1"/>
  <c r="M626" a="1"/>
  <c r="M626" s="1"/>
  <c r="N626" s="1" a="1"/>
  <c r="N626" s="1"/>
  <c r="M627" a="1"/>
  <c r="M627" s="1"/>
  <c r="N627" s="1" a="1"/>
  <c r="N627" s="1"/>
  <c r="M628" a="1"/>
  <c r="M628" s="1"/>
  <c r="N628" s="1" a="1"/>
  <c r="N628" s="1"/>
  <c r="M629" a="1"/>
  <c r="M629" s="1"/>
  <c r="N629" s="1" a="1"/>
  <c r="N629" s="1"/>
  <c r="M630" a="1"/>
  <c r="M630" s="1"/>
  <c r="N630" s="1" a="1"/>
  <c r="N630" s="1"/>
  <c r="M631" a="1"/>
  <c r="M631" s="1"/>
  <c r="N631" s="1" a="1"/>
  <c r="N631" s="1"/>
  <c r="M632" a="1"/>
  <c r="M632" s="1"/>
  <c r="N632" s="1" a="1"/>
  <c r="N632" s="1"/>
  <c r="M633" a="1"/>
  <c r="M633" s="1"/>
  <c r="N633" s="1" a="1"/>
  <c r="N633" s="1"/>
  <c r="M634" a="1"/>
  <c r="M634" s="1"/>
  <c r="N634" s="1" a="1"/>
  <c r="N634" s="1"/>
  <c r="M635" a="1"/>
  <c r="M635" s="1"/>
  <c r="N635" s="1" a="1"/>
  <c r="N635" s="1"/>
  <c r="M636" a="1"/>
  <c r="M636" s="1"/>
  <c r="N636" s="1" a="1"/>
  <c r="N636" s="1"/>
  <c r="M637" a="1"/>
  <c r="M637" s="1"/>
  <c r="N637" s="1" a="1"/>
  <c r="N637" s="1"/>
  <c r="M638" a="1"/>
  <c r="M638" s="1"/>
  <c r="N638" s="1" a="1"/>
  <c r="N638" s="1"/>
  <c r="M639" a="1"/>
  <c r="M639" s="1"/>
  <c r="N639" s="1" a="1"/>
  <c r="N639" s="1"/>
  <c r="M640" a="1"/>
  <c r="M640" s="1"/>
  <c r="N640" s="1" a="1"/>
  <c r="N640" s="1"/>
  <c r="M641" a="1"/>
  <c r="M641" s="1"/>
  <c r="N641" s="1" a="1"/>
  <c r="N641" s="1"/>
  <c r="M642" a="1"/>
  <c r="M642" s="1"/>
  <c r="N642" s="1" a="1"/>
  <c r="N642" s="1"/>
  <c r="M643" a="1"/>
  <c r="M643" s="1"/>
  <c r="N643" s="1" a="1"/>
  <c r="N643" s="1"/>
  <c r="M644" a="1"/>
  <c r="M644" s="1"/>
  <c r="N644" s="1" a="1"/>
  <c r="N644" s="1"/>
  <c r="M645" a="1"/>
  <c r="M645" s="1"/>
  <c r="N645" s="1" a="1"/>
  <c r="N645" s="1"/>
  <c r="M646" a="1"/>
  <c r="M646" s="1"/>
  <c r="N646" s="1" a="1"/>
  <c r="N646" s="1"/>
  <c r="M647" a="1"/>
  <c r="M647" s="1"/>
  <c r="N647" s="1" a="1"/>
  <c r="N647" s="1"/>
  <c r="M648" a="1"/>
  <c r="M648" s="1"/>
  <c r="N648" s="1" a="1"/>
  <c r="N648" s="1"/>
  <c r="M649" a="1"/>
  <c r="M649" s="1"/>
  <c r="N649" s="1" a="1"/>
  <c r="N649" s="1"/>
  <c r="M650" a="1"/>
  <c r="M650" s="1"/>
  <c r="N650" s="1" a="1"/>
  <c r="N650" s="1"/>
  <c r="M651" a="1"/>
  <c r="M651" s="1"/>
  <c r="N651" s="1" a="1"/>
  <c r="N651" s="1"/>
  <c r="M652" a="1"/>
  <c r="M652" s="1"/>
  <c r="N652" s="1" a="1"/>
  <c r="N652" s="1"/>
  <c r="M653" a="1"/>
  <c r="M653" s="1"/>
  <c r="N653" s="1" a="1"/>
  <c r="N653" s="1"/>
  <c r="M654" a="1"/>
  <c r="M654" s="1"/>
  <c r="N654" s="1" a="1"/>
  <c r="N654" s="1"/>
  <c r="M655" a="1"/>
  <c r="M655" s="1"/>
  <c r="N655" s="1" a="1"/>
  <c r="N655" s="1"/>
  <c r="M656" a="1"/>
  <c r="M656" s="1"/>
  <c r="N656" s="1" a="1"/>
  <c r="N656" s="1"/>
  <c r="M657" a="1"/>
  <c r="M657" s="1"/>
  <c r="N657" s="1" a="1"/>
  <c r="N657" s="1"/>
  <c r="M658" a="1"/>
  <c r="M658" s="1"/>
  <c r="N658" s="1" a="1"/>
  <c r="N658" s="1"/>
  <c r="M659" a="1"/>
  <c r="M659" s="1"/>
  <c r="N659" s="1" a="1"/>
  <c r="N659" s="1"/>
  <c r="M660" a="1"/>
  <c r="M660" s="1"/>
  <c r="N660" s="1" a="1"/>
  <c r="N660" s="1"/>
  <c r="M661" a="1"/>
  <c r="M661" s="1"/>
  <c r="N661" s="1" a="1"/>
  <c r="N661" s="1"/>
  <c r="M662" a="1"/>
  <c r="M662" s="1"/>
  <c r="N662" s="1" a="1"/>
  <c r="N662" s="1"/>
  <c r="M663" a="1"/>
  <c r="M663" s="1"/>
  <c r="N663" s="1" a="1"/>
  <c r="N663" s="1"/>
  <c r="M664" a="1"/>
  <c r="M664" s="1"/>
  <c r="N664" s="1" a="1"/>
  <c r="N664" s="1"/>
  <c r="M665" a="1"/>
  <c r="M665" s="1"/>
  <c r="N665" s="1" a="1"/>
  <c r="N665" s="1"/>
  <c r="M666" a="1"/>
  <c r="M666" s="1"/>
  <c r="N666" s="1" a="1"/>
  <c r="N666" s="1"/>
  <c r="M667" a="1"/>
  <c r="M667" s="1"/>
  <c r="N667" s="1" a="1"/>
  <c r="N667" s="1"/>
  <c r="M668" a="1"/>
  <c r="M668" s="1"/>
  <c r="N668" s="1" a="1"/>
  <c r="N668" s="1"/>
  <c r="M669" a="1"/>
  <c r="M669" s="1"/>
  <c r="N669" s="1" a="1"/>
  <c r="N669" s="1"/>
  <c r="M670" a="1"/>
  <c r="M670" s="1"/>
  <c r="N670" s="1" a="1"/>
  <c r="N670" s="1"/>
  <c r="M671" a="1"/>
  <c r="M671" s="1"/>
  <c r="N671" s="1" a="1"/>
  <c r="N671" s="1"/>
  <c r="M672" a="1"/>
  <c r="M672" s="1"/>
  <c r="N672" s="1" a="1"/>
  <c r="N672" s="1"/>
  <c r="M673" a="1"/>
  <c r="M673" s="1"/>
  <c r="N673" s="1" a="1"/>
  <c r="N673" s="1"/>
  <c r="M674" a="1"/>
  <c r="M674" s="1"/>
  <c r="N674" s="1" a="1"/>
  <c r="N674" s="1"/>
  <c r="M675" a="1"/>
  <c r="M675" s="1"/>
  <c r="N675" s="1" a="1"/>
  <c r="N675" s="1"/>
  <c r="M676" a="1"/>
  <c r="M676" s="1"/>
  <c r="N676" s="1" a="1"/>
  <c r="N676" s="1"/>
  <c r="M677" a="1"/>
  <c r="M677" s="1"/>
  <c r="N677" s="1" a="1"/>
  <c r="N677" s="1"/>
  <c r="M678" a="1"/>
  <c r="M678" s="1"/>
  <c r="N678" s="1" a="1"/>
  <c r="N678" s="1"/>
  <c r="M679" a="1"/>
  <c r="M679" s="1"/>
  <c r="N679" s="1" a="1"/>
  <c r="N679" s="1"/>
  <c r="M680" a="1"/>
  <c r="M680" s="1"/>
  <c r="N680" s="1" a="1"/>
  <c r="N680" s="1"/>
  <c r="M681" a="1"/>
  <c r="M681" s="1"/>
  <c r="N681" s="1" a="1"/>
  <c r="N681" s="1"/>
  <c r="M682" a="1"/>
  <c r="M682" s="1"/>
  <c r="N682" s="1" a="1"/>
  <c r="N682" s="1"/>
  <c r="M683" a="1"/>
  <c r="M683" s="1"/>
  <c r="N683" s="1" a="1"/>
  <c r="N683" s="1"/>
  <c r="M684" a="1"/>
  <c r="M684" s="1"/>
  <c r="N684" s="1" a="1"/>
  <c r="N684" s="1"/>
  <c r="M685" a="1"/>
  <c r="M685" s="1"/>
  <c r="N685" s="1" a="1"/>
  <c r="N685" s="1"/>
  <c r="M686" a="1"/>
  <c r="M686" s="1"/>
  <c r="N686" s="1" a="1"/>
  <c r="N686" s="1"/>
  <c r="M687" a="1"/>
  <c r="M687" s="1"/>
  <c r="N687" s="1" a="1"/>
  <c r="N687" s="1"/>
  <c r="M688" a="1"/>
  <c r="M688" s="1"/>
  <c r="N688" s="1" a="1"/>
  <c r="N688" s="1"/>
  <c r="M689" a="1"/>
  <c r="M689" s="1"/>
  <c r="N689" s="1" a="1"/>
  <c r="N689" s="1"/>
  <c r="M690" a="1"/>
  <c r="M690" s="1"/>
  <c r="N690" s="1" a="1"/>
  <c r="N690" s="1"/>
  <c r="M691" a="1"/>
  <c r="M691" s="1"/>
  <c r="N691" s="1" a="1"/>
  <c r="N691" s="1"/>
  <c r="M692" a="1"/>
  <c r="M692" s="1"/>
  <c r="N692" s="1" a="1"/>
  <c r="N692" s="1"/>
  <c r="M693" a="1"/>
  <c r="M693" s="1"/>
  <c r="N693" s="1" a="1"/>
  <c r="N693" s="1"/>
  <c r="M694" a="1"/>
  <c r="M694" s="1"/>
  <c r="N694" s="1" a="1"/>
  <c r="N694" s="1"/>
  <c r="M695" a="1"/>
  <c r="M695" s="1"/>
  <c r="N695" s="1" a="1"/>
  <c r="N695" s="1"/>
  <c r="M696" a="1"/>
  <c r="M696" s="1"/>
  <c r="N696" s="1" a="1"/>
  <c r="N696" s="1"/>
  <c r="M697" a="1"/>
  <c r="M697" s="1"/>
  <c r="N697" s="1" a="1"/>
  <c r="N697" s="1"/>
  <c r="M698" a="1"/>
  <c r="M698" s="1"/>
  <c r="N698" s="1" a="1"/>
  <c r="N698" s="1"/>
  <c r="M699" a="1"/>
  <c r="M699" s="1"/>
  <c r="N699" s="1" a="1"/>
  <c r="N699" s="1"/>
  <c r="M700" a="1"/>
  <c r="M700" s="1"/>
  <c r="N700" s="1" a="1"/>
  <c r="N700" s="1"/>
  <c r="M701" a="1"/>
  <c r="M701" s="1"/>
  <c r="N701" s="1" a="1"/>
  <c r="N701" s="1"/>
  <c r="M702" a="1"/>
  <c r="M702" s="1"/>
  <c r="N702" s="1" a="1"/>
  <c r="N702" s="1"/>
  <c r="M703" a="1"/>
  <c r="M703" s="1"/>
  <c r="N703" s="1" a="1"/>
  <c r="N703" s="1"/>
  <c r="M704" a="1"/>
  <c r="M704" s="1"/>
  <c r="N704" s="1" a="1"/>
  <c r="N704" s="1"/>
  <c r="M705" a="1"/>
  <c r="M705" s="1"/>
  <c r="N705" s="1" a="1"/>
  <c r="N705" s="1"/>
  <c r="M706" a="1"/>
  <c r="M706" s="1"/>
  <c r="N706" s="1" a="1"/>
  <c r="N706" s="1"/>
  <c r="M707" a="1"/>
  <c r="M707" s="1"/>
  <c r="N707" s="1" a="1"/>
  <c r="N707" s="1"/>
  <c r="M708" a="1"/>
  <c r="M708" s="1"/>
  <c r="N708" s="1" a="1"/>
  <c r="N708" s="1"/>
  <c r="M709" a="1"/>
  <c r="M709" s="1"/>
  <c r="N709" s="1" a="1"/>
  <c r="N709" s="1"/>
  <c r="M710" a="1"/>
  <c r="M710" s="1"/>
  <c r="N710" s="1" a="1"/>
  <c r="N710" s="1"/>
  <c r="M711" a="1"/>
  <c r="M711" s="1"/>
  <c r="N711" s="1" a="1"/>
  <c r="N711" s="1"/>
  <c r="M712" a="1"/>
  <c r="M712" s="1"/>
  <c r="N712" s="1" a="1"/>
  <c r="N712" s="1"/>
  <c r="M713" a="1"/>
  <c r="M713" s="1"/>
  <c r="N713" s="1" a="1"/>
  <c r="N713" s="1"/>
  <c r="M714" a="1"/>
  <c r="M714" s="1"/>
  <c r="N714" s="1" a="1"/>
  <c r="N714" s="1"/>
  <c r="M715" a="1"/>
  <c r="M715" s="1"/>
  <c r="N715" s="1" a="1"/>
  <c r="N715" s="1"/>
  <c r="M716" a="1"/>
  <c r="M716" s="1"/>
  <c r="N716" s="1" a="1"/>
  <c r="N716" s="1"/>
  <c r="M717" a="1"/>
  <c r="M717" s="1"/>
  <c r="N717" s="1" a="1"/>
  <c r="N717" s="1"/>
  <c r="M718" a="1"/>
  <c r="M718" s="1"/>
  <c r="N718" s="1" a="1"/>
  <c r="N718" s="1"/>
  <c r="M719" a="1"/>
  <c r="M719" s="1"/>
  <c r="N719" s="1" a="1"/>
  <c r="N719" s="1"/>
  <c r="M720" a="1"/>
  <c r="M720" s="1"/>
  <c r="N720" s="1" a="1"/>
  <c r="N720" s="1"/>
  <c r="M721" a="1"/>
  <c r="M721" s="1"/>
  <c r="N721" s="1" a="1"/>
  <c r="N721" s="1"/>
  <c r="M722" a="1"/>
  <c r="M722" s="1"/>
  <c r="N722" s="1" a="1"/>
  <c r="N722" s="1"/>
  <c r="M723" a="1"/>
  <c r="M723" s="1"/>
  <c r="N723" s="1" a="1"/>
  <c r="N723" s="1"/>
  <c r="M724" a="1"/>
  <c r="M724" s="1"/>
  <c r="N724" s="1" a="1"/>
  <c r="N724" s="1"/>
  <c r="M725" a="1"/>
  <c r="M725" s="1"/>
  <c r="N725" s="1" a="1"/>
  <c r="N725" s="1"/>
  <c r="M726" a="1"/>
  <c r="M726" s="1"/>
  <c r="N726" s="1" a="1"/>
  <c r="N726" s="1"/>
  <c r="M727" a="1"/>
  <c r="M727" s="1"/>
  <c r="N727" s="1" a="1"/>
  <c r="N727" s="1"/>
  <c r="M728" a="1"/>
  <c r="M728" s="1"/>
  <c r="N728" s="1" a="1"/>
  <c r="N728" s="1"/>
  <c r="M729" a="1"/>
  <c r="M729" s="1"/>
  <c r="N729" s="1" a="1"/>
  <c r="N729" s="1"/>
  <c r="M730" a="1"/>
  <c r="M730" s="1"/>
  <c r="N730" s="1" a="1"/>
  <c r="N730" s="1"/>
  <c r="M731" a="1"/>
  <c r="M731" s="1"/>
  <c r="N731" s="1" a="1"/>
  <c r="N731" s="1"/>
  <c r="M732" a="1"/>
  <c r="M732" s="1"/>
  <c r="N732" s="1" a="1"/>
  <c r="N732" s="1"/>
  <c r="M733" a="1"/>
  <c r="M733" s="1"/>
  <c r="N733" s="1" a="1"/>
  <c r="N733" s="1"/>
  <c r="M734" a="1"/>
  <c r="M734" s="1"/>
  <c r="N734" s="1" a="1"/>
  <c r="N734" s="1"/>
  <c r="M735" a="1"/>
  <c r="M735" s="1"/>
  <c r="N735" s="1" a="1"/>
  <c r="N735" s="1"/>
  <c r="M736" a="1"/>
  <c r="M736" s="1"/>
  <c r="N736" s="1" a="1"/>
  <c r="N736" s="1"/>
  <c r="M737" a="1"/>
  <c r="M737" s="1"/>
  <c r="N737" s="1" a="1"/>
  <c r="N737" s="1"/>
  <c r="M738" a="1"/>
  <c r="M738" s="1"/>
  <c r="N738" s="1" a="1"/>
  <c r="N738" s="1"/>
  <c r="M739" a="1"/>
  <c r="M739" s="1"/>
  <c r="N739" s="1" a="1"/>
  <c r="N739" s="1"/>
  <c r="M740" a="1"/>
  <c r="M740" s="1"/>
  <c r="N740" s="1" a="1"/>
  <c r="N740" s="1"/>
  <c r="M741" a="1"/>
  <c r="M741" s="1"/>
  <c r="N741" s="1" a="1"/>
  <c r="N741" s="1"/>
  <c r="M742" a="1"/>
  <c r="M742" s="1"/>
  <c r="N742" s="1" a="1"/>
  <c r="N742" s="1"/>
  <c r="M743" a="1"/>
  <c r="M743" s="1"/>
  <c r="N743" s="1" a="1"/>
  <c r="N743" s="1"/>
  <c r="M744" a="1"/>
  <c r="M744" s="1"/>
  <c r="N744" s="1" a="1"/>
  <c r="N744" s="1"/>
  <c r="M745" a="1"/>
  <c r="M745" s="1"/>
  <c r="N745" s="1" a="1"/>
  <c r="N745" s="1"/>
  <c r="M746" a="1"/>
  <c r="M746" s="1"/>
  <c r="N746" s="1" a="1"/>
  <c r="N746" s="1"/>
  <c r="M747" a="1"/>
  <c r="M747" s="1"/>
  <c r="N747" s="1" a="1"/>
  <c r="N747" s="1"/>
  <c r="M748" a="1"/>
  <c r="M748" s="1"/>
  <c r="N748" s="1" a="1"/>
  <c r="N748" s="1"/>
  <c r="M749" a="1"/>
  <c r="M749" s="1"/>
  <c r="N749" s="1" a="1"/>
  <c r="N749" s="1"/>
  <c r="M750" a="1"/>
  <c r="M750" s="1"/>
  <c r="N750" s="1" a="1"/>
  <c r="N750" s="1"/>
  <c r="M751" a="1"/>
  <c r="M751" s="1"/>
  <c r="N751" s="1" a="1"/>
  <c r="N751" s="1"/>
  <c r="M752" a="1"/>
  <c r="M752" s="1"/>
  <c r="N752" s="1" a="1"/>
  <c r="N752" s="1"/>
  <c r="M753" a="1"/>
  <c r="M753" s="1"/>
  <c r="N753" s="1" a="1"/>
  <c r="N753" s="1"/>
  <c r="M754" a="1"/>
  <c r="M754" s="1"/>
  <c r="N754" s="1" a="1"/>
  <c r="N754" s="1"/>
  <c r="M755" a="1"/>
  <c r="M755" s="1"/>
  <c r="N755" s="1" a="1"/>
  <c r="N755" s="1"/>
  <c r="M756" a="1"/>
  <c r="M756" s="1"/>
  <c r="N756" s="1" a="1"/>
  <c r="N756" s="1"/>
  <c r="M757" a="1"/>
  <c r="M757" s="1"/>
  <c r="N757" s="1" a="1"/>
  <c r="N757" s="1"/>
  <c r="M758" a="1"/>
  <c r="M758" s="1"/>
  <c r="N758" s="1" a="1"/>
  <c r="N758" s="1"/>
  <c r="M759" a="1"/>
  <c r="M759" s="1"/>
  <c r="N759" s="1" a="1"/>
  <c r="N759" s="1"/>
  <c r="M760" a="1"/>
  <c r="M760" s="1"/>
  <c r="N760" s="1" a="1"/>
  <c r="N760" s="1"/>
  <c r="M761" a="1"/>
  <c r="M761" s="1"/>
  <c r="N761" s="1" a="1"/>
  <c r="N761" s="1"/>
  <c r="M762" a="1"/>
  <c r="M762" s="1"/>
  <c r="N762" s="1" a="1"/>
  <c r="N762" s="1"/>
  <c r="M763" a="1"/>
  <c r="M763" s="1"/>
  <c r="N763" s="1" a="1"/>
  <c r="N763" s="1"/>
  <c r="M764" a="1"/>
  <c r="M764" s="1"/>
  <c r="N764" s="1" a="1"/>
  <c r="N764" s="1"/>
  <c r="M765" a="1"/>
  <c r="M765" s="1"/>
  <c r="N765" s="1" a="1"/>
  <c r="N765" s="1"/>
  <c r="M766" a="1"/>
  <c r="M766" s="1"/>
  <c r="N766" s="1" a="1"/>
  <c r="N766" s="1"/>
  <c r="M767" a="1"/>
  <c r="M767" s="1"/>
  <c r="N767" s="1" a="1"/>
  <c r="N767" s="1"/>
  <c r="M768" a="1"/>
  <c r="M768" s="1"/>
  <c r="N768" s="1" a="1"/>
  <c r="N768" s="1"/>
  <c r="M769" a="1"/>
  <c r="M769" s="1"/>
  <c r="N769" s="1" a="1"/>
  <c r="N769" s="1"/>
  <c r="M770" a="1"/>
  <c r="M770" s="1"/>
  <c r="N770" s="1" a="1"/>
  <c r="N770" s="1"/>
  <c r="M771" a="1"/>
  <c r="M771" s="1"/>
  <c r="N771" s="1" a="1"/>
  <c r="N771" s="1"/>
  <c r="M772" a="1"/>
  <c r="M772" s="1"/>
  <c r="N772" s="1" a="1"/>
  <c r="N772" s="1"/>
  <c r="M773" a="1"/>
  <c r="M773" s="1"/>
  <c r="N773" s="1" a="1"/>
  <c r="N773" s="1"/>
  <c r="M774" a="1"/>
  <c r="M774" s="1"/>
  <c r="N774" s="1" a="1"/>
  <c r="N774" s="1"/>
  <c r="M775" a="1"/>
  <c r="M775" s="1"/>
  <c r="N775" s="1" a="1"/>
  <c r="N775" s="1"/>
  <c r="M776" a="1"/>
  <c r="M776" s="1"/>
  <c r="N776" s="1" a="1"/>
  <c r="N776" s="1"/>
  <c r="M777" a="1"/>
  <c r="M777" s="1"/>
  <c r="N777" s="1" a="1"/>
  <c r="N777" s="1"/>
  <c r="M778" a="1"/>
  <c r="M778" s="1"/>
  <c r="N778" s="1" a="1"/>
  <c r="N778" s="1"/>
  <c r="M779" a="1"/>
  <c r="M779" s="1"/>
  <c r="N779" s="1" a="1"/>
  <c r="N779" s="1"/>
  <c r="M780" a="1"/>
  <c r="M780" s="1"/>
  <c r="N780" s="1" a="1"/>
  <c r="N780" s="1"/>
  <c r="M781" a="1"/>
  <c r="M781" s="1"/>
  <c r="N781" s="1" a="1"/>
  <c r="N781" s="1"/>
  <c r="M782" a="1"/>
  <c r="M782" s="1"/>
  <c r="N782" s="1" a="1"/>
  <c r="N782" s="1"/>
  <c r="M783" a="1"/>
  <c r="M783" s="1"/>
  <c r="N783" s="1" a="1"/>
  <c r="N783" s="1"/>
  <c r="M784" a="1"/>
  <c r="M784" s="1"/>
  <c r="N784" s="1" a="1"/>
  <c r="N784" s="1"/>
  <c r="M785" a="1"/>
  <c r="M785" s="1"/>
  <c r="N785" s="1" a="1"/>
  <c r="N785" s="1"/>
  <c r="M786" a="1"/>
  <c r="M786" s="1"/>
  <c r="N786" s="1" a="1"/>
  <c r="N786" s="1"/>
  <c r="M787" a="1"/>
  <c r="M787" s="1"/>
  <c r="N787" s="1" a="1"/>
  <c r="N787" s="1"/>
  <c r="M788" a="1"/>
  <c r="M788" s="1"/>
  <c r="N788" s="1" a="1"/>
  <c r="N788" s="1"/>
  <c r="M789" a="1"/>
  <c r="M789" s="1"/>
  <c r="N789" s="1" a="1"/>
  <c r="N789" s="1"/>
  <c r="M790" a="1"/>
  <c r="M790" s="1"/>
  <c r="N790" s="1" a="1"/>
  <c r="N790" s="1"/>
  <c r="M791" a="1"/>
  <c r="M791" s="1"/>
  <c r="N791" s="1" a="1"/>
  <c r="N791" s="1"/>
  <c r="M792" a="1"/>
  <c r="M792" s="1"/>
  <c r="N792" s="1" a="1"/>
  <c r="N792" s="1"/>
  <c r="M793" a="1"/>
  <c r="M793" s="1"/>
  <c r="N793" s="1" a="1"/>
  <c r="N793" s="1"/>
  <c r="M794" a="1"/>
  <c r="M794" s="1"/>
  <c r="N794" s="1" a="1"/>
  <c r="N794" s="1"/>
  <c r="M795" a="1"/>
  <c r="M795" s="1"/>
  <c r="N795" s="1" a="1"/>
  <c r="N795" s="1"/>
  <c r="M796" a="1"/>
  <c r="M796" s="1"/>
  <c r="N796" s="1" a="1"/>
  <c r="N796" s="1"/>
  <c r="M797" a="1"/>
  <c r="M797" s="1"/>
  <c r="N797" s="1" a="1"/>
  <c r="N797" s="1"/>
  <c r="M798" a="1"/>
  <c r="M798" s="1"/>
  <c r="N798" s="1" a="1"/>
  <c r="N798" s="1"/>
  <c r="M799" a="1"/>
  <c r="M799" s="1"/>
  <c r="N799" s="1" a="1"/>
  <c r="N799" s="1"/>
  <c r="M800" a="1"/>
  <c r="M800" s="1"/>
  <c r="N800" s="1" a="1"/>
  <c r="N800" s="1"/>
  <c r="M801" a="1"/>
  <c r="M801" s="1"/>
  <c r="N801" s="1" a="1"/>
  <c r="N801" s="1"/>
  <c r="M802" a="1"/>
  <c r="M802" s="1"/>
  <c r="N802" s="1" a="1"/>
  <c r="N802" s="1"/>
  <c r="M803" a="1"/>
  <c r="M803" s="1"/>
  <c r="N803" s="1" a="1"/>
  <c r="N803" s="1"/>
  <c r="M804" a="1"/>
  <c r="M804" s="1"/>
  <c r="N804" s="1" a="1"/>
  <c r="N804" s="1"/>
  <c r="M805" a="1"/>
  <c r="M805" s="1"/>
  <c r="N805" s="1" a="1"/>
  <c r="N805" s="1"/>
  <c r="M806" a="1"/>
  <c r="M806" s="1"/>
  <c r="N806" s="1" a="1"/>
  <c r="N806" s="1"/>
  <c r="M807" a="1"/>
  <c r="M807" s="1"/>
  <c r="N807" s="1" a="1"/>
  <c r="N807" s="1"/>
  <c r="M808" a="1"/>
  <c r="M808" s="1"/>
  <c r="N808" s="1" a="1"/>
  <c r="N808" s="1"/>
  <c r="M809" a="1"/>
  <c r="M809" s="1"/>
  <c r="N809" s="1" a="1"/>
  <c r="N809" s="1"/>
  <c r="M810" a="1"/>
  <c r="M810" s="1"/>
  <c r="N810" s="1" a="1"/>
  <c r="N810" s="1"/>
  <c r="M811" a="1"/>
  <c r="M811" s="1"/>
  <c r="N811" s="1" a="1"/>
  <c r="N811" s="1"/>
  <c r="M812" a="1"/>
  <c r="M812" s="1"/>
  <c r="N812" s="1" a="1"/>
  <c r="N812" s="1"/>
  <c r="M813" a="1"/>
  <c r="M813" s="1"/>
  <c r="N813" s="1" a="1"/>
  <c r="N813" s="1"/>
  <c r="M814" a="1"/>
  <c r="M814" s="1"/>
  <c r="N814" s="1" a="1"/>
  <c r="N814" s="1"/>
  <c r="M815" a="1"/>
  <c r="M815" s="1"/>
  <c r="N815" s="1" a="1"/>
  <c r="N815" s="1"/>
  <c r="M816" a="1"/>
  <c r="M816" s="1"/>
  <c r="N816" s="1" a="1"/>
  <c r="N816" s="1"/>
  <c r="M817" a="1"/>
  <c r="M817" s="1"/>
  <c r="N817" s="1" a="1"/>
  <c r="N817" s="1"/>
  <c r="M818" a="1"/>
  <c r="M818" s="1"/>
  <c r="N818" s="1" a="1"/>
  <c r="N818" s="1"/>
  <c r="M819" a="1"/>
  <c r="M819" s="1"/>
  <c r="N819" s="1" a="1"/>
  <c r="N819" s="1"/>
  <c r="M820" a="1"/>
  <c r="M820" s="1"/>
  <c r="N820" s="1" a="1"/>
  <c r="N820" s="1"/>
  <c r="M821" a="1"/>
  <c r="M821" s="1"/>
  <c r="N821" s="1" a="1"/>
  <c r="N821" s="1"/>
  <c r="M822" a="1"/>
  <c r="M822" s="1"/>
  <c r="N822" s="1" a="1"/>
  <c r="N822" s="1"/>
  <c r="M823" a="1"/>
  <c r="M823" s="1"/>
  <c r="N823" s="1" a="1"/>
  <c r="N823" s="1"/>
  <c r="M824" a="1"/>
  <c r="M824" s="1"/>
  <c r="N824" s="1" a="1"/>
  <c r="N824" s="1"/>
  <c r="M825" a="1"/>
  <c r="M825" s="1"/>
  <c r="N825" s="1" a="1"/>
  <c r="N825" s="1"/>
  <c r="M826" a="1"/>
  <c r="M826" s="1"/>
  <c r="N826" s="1" a="1"/>
  <c r="N826" s="1"/>
  <c r="M827" a="1"/>
  <c r="M827" s="1"/>
  <c r="N827" s="1" a="1"/>
  <c r="N827" s="1"/>
  <c r="M828" a="1"/>
  <c r="M828" s="1"/>
  <c r="N828" s="1" a="1"/>
  <c r="N828" s="1"/>
  <c r="M829" a="1"/>
  <c r="M829" s="1"/>
  <c r="N829" s="1" a="1"/>
  <c r="N829" s="1"/>
  <c r="M830" a="1"/>
  <c r="M830" s="1"/>
  <c r="N830" s="1" a="1"/>
  <c r="N830" s="1"/>
  <c r="M831" a="1"/>
  <c r="M831" s="1"/>
  <c r="N831" s="1" a="1"/>
  <c r="N831" s="1"/>
  <c r="M832" a="1"/>
  <c r="M832" s="1"/>
  <c r="N832" s="1" a="1"/>
  <c r="N832" s="1"/>
  <c r="M833" a="1"/>
  <c r="M833" s="1"/>
  <c r="N833" s="1" a="1"/>
  <c r="N833" s="1"/>
  <c r="M834" a="1"/>
  <c r="M834" s="1"/>
  <c r="N834" s="1" a="1"/>
  <c r="N834" s="1"/>
  <c r="M835" a="1"/>
  <c r="M835" s="1"/>
  <c r="N835" s="1" a="1"/>
  <c r="N835" s="1"/>
  <c r="M836" a="1"/>
  <c r="M836" s="1"/>
  <c r="N836" s="1" a="1"/>
  <c r="N836" s="1"/>
  <c r="M837" a="1"/>
  <c r="M837" s="1"/>
  <c r="N837" s="1" a="1"/>
  <c r="N837" s="1"/>
  <c r="M838" a="1"/>
  <c r="M838" s="1"/>
  <c r="N838" s="1" a="1"/>
  <c r="N838" s="1"/>
  <c r="M839" a="1"/>
  <c r="M839" s="1"/>
  <c r="N839" s="1" a="1"/>
  <c r="N839" s="1"/>
  <c r="M840" a="1"/>
  <c r="M840" s="1"/>
  <c r="N840" s="1" a="1"/>
  <c r="N840" s="1"/>
  <c r="M841" a="1"/>
  <c r="M841" s="1"/>
  <c r="N841" s="1" a="1"/>
  <c r="N841" s="1"/>
  <c r="M842" a="1"/>
  <c r="M842" s="1"/>
  <c r="N842" s="1" a="1"/>
  <c r="N842" s="1"/>
  <c r="M843" a="1"/>
  <c r="M843" s="1"/>
  <c r="N843" s="1" a="1"/>
  <c r="N843" s="1"/>
  <c r="M844" a="1"/>
  <c r="M844" s="1"/>
  <c r="N844" s="1" a="1"/>
  <c r="N844" s="1"/>
  <c r="M845" a="1"/>
  <c r="M845" s="1"/>
  <c r="N845" s="1" a="1"/>
  <c r="N845" s="1"/>
  <c r="M846" a="1"/>
  <c r="M846" s="1"/>
  <c r="N846" s="1" a="1"/>
  <c r="N846" s="1"/>
  <c r="M847" a="1"/>
  <c r="M847" s="1"/>
  <c r="N847" s="1" a="1"/>
  <c r="N847" s="1"/>
  <c r="M848" a="1"/>
  <c r="M848" s="1"/>
  <c r="N848" s="1" a="1"/>
  <c r="N848" s="1"/>
  <c r="M849" a="1"/>
  <c r="M849" s="1"/>
  <c r="N849" s="1" a="1"/>
  <c r="N849" s="1"/>
  <c r="M850" a="1"/>
  <c r="M850" s="1"/>
  <c r="N850" s="1" a="1"/>
  <c r="N850" s="1"/>
  <c r="M851" a="1"/>
  <c r="M851" s="1"/>
  <c r="N851" s="1" a="1"/>
  <c r="N851" s="1"/>
  <c r="M852" a="1"/>
  <c r="M852" s="1"/>
  <c r="N852" s="1" a="1"/>
  <c r="N852" s="1"/>
  <c r="M853" a="1"/>
  <c r="M853" s="1"/>
  <c r="N853" s="1" a="1"/>
  <c r="N853" s="1"/>
  <c r="M854" a="1"/>
  <c r="M854" s="1"/>
  <c r="N854" s="1" a="1"/>
  <c r="N854" s="1"/>
  <c r="M855" a="1"/>
  <c r="M855" s="1"/>
  <c r="N855" s="1" a="1"/>
  <c r="N855" s="1"/>
  <c r="M856" a="1"/>
  <c r="M856" s="1"/>
  <c r="N856" s="1" a="1"/>
  <c r="N856" s="1"/>
  <c r="M857" a="1"/>
  <c r="M857" s="1"/>
  <c r="N857" s="1" a="1"/>
  <c r="N857" s="1"/>
  <c r="M858" a="1"/>
  <c r="M858" s="1"/>
  <c r="N858" s="1" a="1"/>
  <c r="N858" s="1"/>
  <c r="M859" a="1"/>
  <c r="M859" s="1"/>
  <c r="N859" s="1" a="1"/>
  <c r="N859" s="1"/>
  <c r="M860" a="1"/>
  <c r="M860" s="1"/>
  <c r="N860" s="1" a="1"/>
  <c r="N860" s="1"/>
  <c r="M861" a="1"/>
  <c r="M861" s="1"/>
  <c r="N861" s="1" a="1"/>
  <c r="N861" s="1"/>
  <c r="M862" a="1"/>
  <c r="M862" s="1"/>
  <c r="N862" s="1" a="1"/>
  <c r="N862" s="1"/>
  <c r="M863" a="1"/>
  <c r="M863" s="1"/>
  <c r="N863" s="1" a="1"/>
  <c r="N863" s="1"/>
  <c r="M864" a="1"/>
  <c r="M864" s="1"/>
  <c r="N864" s="1" a="1"/>
  <c r="N864" s="1"/>
  <c r="M865" a="1"/>
  <c r="M865" s="1"/>
  <c r="N865" s="1" a="1"/>
  <c r="N865" s="1"/>
  <c r="M866" a="1"/>
  <c r="M866" s="1"/>
  <c r="N866" s="1" a="1"/>
  <c r="N866" s="1"/>
  <c r="M867" a="1"/>
  <c r="M867" s="1"/>
  <c r="N867" s="1" a="1"/>
  <c r="N867" s="1"/>
  <c r="M868" a="1"/>
  <c r="M868" s="1"/>
  <c r="N868" s="1" a="1"/>
  <c r="N868" s="1"/>
  <c r="M869" a="1"/>
  <c r="M869" s="1"/>
  <c r="N869" s="1" a="1"/>
  <c r="N869" s="1"/>
  <c r="M870" a="1"/>
  <c r="M870" s="1"/>
  <c r="N870" s="1" a="1"/>
  <c r="N870" s="1"/>
  <c r="M871" a="1"/>
  <c r="M871" s="1"/>
  <c r="N871" s="1" a="1"/>
  <c r="N871" s="1"/>
  <c r="M872" a="1"/>
  <c r="M872" s="1"/>
  <c r="N872" s="1" a="1"/>
  <c r="N872" s="1"/>
  <c r="M873" a="1"/>
  <c r="M873" s="1"/>
  <c r="N873" s="1" a="1"/>
  <c r="N873" s="1"/>
  <c r="M874" a="1"/>
  <c r="M874" s="1"/>
  <c r="N874" s="1" a="1"/>
  <c r="N874" s="1"/>
  <c r="M875" a="1"/>
  <c r="M875" s="1"/>
  <c r="N875" s="1" a="1"/>
  <c r="N875" s="1"/>
  <c r="M876" a="1"/>
  <c r="M876" s="1"/>
  <c r="N876" s="1" a="1"/>
  <c r="N876" s="1"/>
  <c r="M877" a="1"/>
  <c r="M877" s="1"/>
  <c r="N877" s="1" a="1"/>
  <c r="N877" s="1"/>
  <c r="M878" a="1"/>
  <c r="M878" s="1"/>
  <c r="N878" s="1" a="1"/>
  <c r="N878" s="1"/>
  <c r="M879" a="1"/>
  <c r="M879" s="1"/>
  <c r="N879" s="1" a="1"/>
  <c r="N879" s="1"/>
  <c r="M880" a="1"/>
  <c r="M880" s="1"/>
  <c r="N880" s="1" a="1"/>
  <c r="N880" s="1"/>
  <c r="M881" a="1"/>
  <c r="M881" s="1"/>
  <c r="N881" s="1" a="1"/>
  <c r="N881" s="1"/>
  <c r="M882" a="1"/>
  <c r="M882" s="1"/>
  <c r="N882" s="1" a="1"/>
  <c r="N882" s="1"/>
  <c r="M883" a="1"/>
  <c r="M883" s="1"/>
  <c r="N883" s="1" a="1"/>
  <c r="N883" s="1"/>
  <c r="M884" a="1"/>
  <c r="M884" s="1"/>
  <c r="N884" s="1" a="1"/>
  <c r="N884" s="1"/>
  <c r="M885" a="1"/>
  <c r="M885" s="1"/>
  <c r="N885" s="1" a="1"/>
  <c r="N885" s="1"/>
  <c r="M886" a="1"/>
  <c r="M886" s="1"/>
  <c r="N886" s="1" a="1"/>
  <c r="N886" s="1"/>
  <c r="M887" a="1"/>
  <c r="M887" s="1"/>
  <c r="N887" s="1" a="1"/>
  <c r="N887" s="1"/>
  <c r="M888" a="1"/>
  <c r="M888" s="1"/>
  <c r="N888" s="1" a="1"/>
  <c r="N888" s="1"/>
  <c r="M889" a="1"/>
  <c r="M889" s="1"/>
  <c r="N889" s="1" a="1"/>
  <c r="N889" s="1"/>
  <c r="M890" a="1"/>
  <c r="M890" s="1"/>
  <c r="N890" s="1" a="1"/>
  <c r="N890" s="1"/>
  <c r="M891" a="1"/>
  <c r="M891" s="1"/>
  <c r="N891" s="1" a="1"/>
  <c r="N891" s="1"/>
  <c r="M892" a="1"/>
  <c r="M892" s="1"/>
  <c r="N892" s="1" a="1"/>
  <c r="N892" s="1"/>
  <c r="M893" a="1"/>
  <c r="M893" s="1"/>
  <c r="N893" s="1" a="1"/>
  <c r="N893" s="1"/>
  <c r="M894" a="1"/>
  <c r="M894" s="1"/>
  <c r="N894" s="1" a="1"/>
  <c r="N894" s="1"/>
  <c r="M895" a="1"/>
  <c r="M895" s="1"/>
  <c r="N895" s="1" a="1"/>
  <c r="N895" s="1"/>
  <c r="M896" a="1"/>
  <c r="M896" s="1"/>
  <c r="N896" s="1" a="1"/>
  <c r="N896" s="1"/>
  <c r="M897" a="1"/>
  <c r="M897" s="1"/>
  <c r="N897" s="1" a="1"/>
  <c r="N897" s="1"/>
  <c r="M898" a="1"/>
  <c r="M898" s="1"/>
  <c r="N898" s="1" a="1"/>
  <c r="N898" s="1"/>
  <c r="M899" a="1"/>
  <c r="M899" s="1"/>
  <c r="N899" s="1" a="1"/>
  <c r="N899" s="1"/>
  <c r="M900" a="1"/>
  <c r="M900" s="1"/>
  <c r="N900" s="1" a="1"/>
  <c r="N900" s="1"/>
  <c r="M901" a="1"/>
  <c r="M901" s="1"/>
  <c r="N901" s="1" a="1"/>
  <c r="N901" s="1"/>
  <c r="M902" a="1"/>
  <c r="M902" s="1"/>
  <c r="N902" s="1" a="1"/>
  <c r="N902" s="1"/>
  <c r="M903" a="1"/>
  <c r="M903" s="1"/>
  <c r="N903" s="1" a="1"/>
  <c r="N903" s="1"/>
  <c r="M904" a="1"/>
  <c r="M904" s="1"/>
  <c r="N904" s="1" a="1"/>
  <c r="N904" s="1"/>
  <c r="M905" a="1"/>
  <c r="M905" s="1"/>
  <c r="N905" s="1" a="1"/>
  <c r="N905" s="1"/>
  <c r="M906" a="1"/>
  <c r="M906" s="1"/>
  <c r="N906" s="1" a="1"/>
  <c r="N906" s="1"/>
  <c r="M907" a="1"/>
  <c r="M907" s="1"/>
  <c r="N907" s="1" a="1"/>
  <c r="N907" s="1"/>
  <c r="M908" a="1"/>
  <c r="M908" s="1"/>
  <c r="N908" s="1" a="1"/>
  <c r="N908" s="1"/>
  <c r="M909" a="1"/>
  <c r="M909" s="1"/>
  <c r="N909" s="1" a="1"/>
  <c r="N909" s="1"/>
  <c r="M910" a="1"/>
  <c r="M910" s="1"/>
  <c r="N910" s="1" a="1"/>
  <c r="N910" s="1"/>
  <c r="M911" a="1"/>
  <c r="M911" s="1"/>
  <c r="N911" s="1" a="1"/>
  <c r="N911" s="1"/>
  <c r="M912" a="1"/>
  <c r="M912" s="1"/>
  <c r="N912" s="1" a="1"/>
  <c r="N912" s="1"/>
  <c r="M913" a="1"/>
  <c r="M913" s="1"/>
  <c r="N913" s="1" a="1"/>
  <c r="N913" s="1"/>
  <c r="M914" a="1"/>
  <c r="M914" s="1"/>
  <c r="N914" s="1" a="1"/>
  <c r="N914" s="1"/>
  <c r="M915" a="1"/>
  <c r="M915" s="1"/>
  <c r="N915" s="1" a="1"/>
  <c r="N915" s="1"/>
  <c r="M916" a="1"/>
  <c r="M916" s="1"/>
  <c r="N916" s="1" a="1"/>
  <c r="N916" s="1"/>
  <c r="M917" a="1"/>
  <c r="M917" s="1"/>
  <c r="N917" s="1" a="1"/>
  <c r="N917" s="1"/>
  <c r="M918" a="1"/>
  <c r="M918" s="1"/>
  <c r="N918" s="1" a="1"/>
  <c r="N918" s="1"/>
  <c r="M919" a="1"/>
  <c r="M919" s="1"/>
  <c r="N919" s="1" a="1"/>
  <c r="N919" s="1"/>
  <c r="M920" a="1"/>
  <c r="M920" s="1"/>
  <c r="N920" s="1" a="1"/>
  <c r="N920" s="1"/>
  <c r="M921" a="1"/>
  <c r="M921" s="1"/>
  <c r="N921" s="1" a="1"/>
  <c r="N921" s="1"/>
  <c r="M922" a="1"/>
  <c r="M922" s="1"/>
  <c r="N922" s="1" a="1"/>
  <c r="N922" s="1"/>
  <c r="M923" a="1"/>
  <c r="M923" s="1"/>
  <c r="N923" s="1" a="1"/>
  <c r="N923" s="1"/>
  <c r="M924" a="1"/>
  <c r="M924" s="1"/>
  <c r="N924" s="1" a="1"/>
  <c r="N924" s="1"/>
  <c r="M925" a="1"/>
  <c r="M925" s="1"/>
  <c r="N925" s="1" a="1"/>
  <c r="N925" s="1"/>
  <c r="M926" a="1"/>
  <c r="M926" s="1"/>
  <c r="N926" s="1" a="1"/>
  <c r="N926" s="1"/>
  <c r="M927" a="1"/>
  <c r="M927" s="1"/>
  <c r="N927" s="1" a="1"/>
  <c r="N927" s="1"/>
  <c r="M928" a="1"/>
  <c r="M928" s="1"/>
  <c r="N928" s="1" a="1"/>
  <c r="N928" s="1"/>
  <c r="M929" a="1"/>
  <c r="M929" s="1"/>
  <c r="N929" s="1" a="1"/>
  <c r="N929" s="1"/>
  <c r="M930" a="1"/>
  <c r="M930" s="1"/>
  <c r="N930" s="1" a="1"/>
  <c r="N930" s="1"/>
  <c r="M931" a="1"/>
  <c r="M931" s="1"/>
  <c r="N931" s="1" a="1"/>
  <c r="N931" s="1"/>
  <c r="M932" a="1"/>
  <c r="M932" s="1"/>
  <c r="N932" s="1" a="1"/>
  <c r="N932" s="1"/>
  <c r="M933" a="1"/>
  <c r="M933" s="1"/>
  <c r="N933" s="1" a="1"/>
  <c r="N933" s="1"/>
  <c r="M934" a="1"/>
  <c r="M934" s="1"/>
  <c r="N934" s="1" a="1"/>
  <c r="N934" s="1"/>
  <c r="M935" a="1"/>
  <c r="M935" s="1"/>
  <c r="N935" s="1" a="1"/>
  <c r="N935" s="1"/>
  <c r="M936" a="1"/>
  <c r="M936"/>
  <c r="N936" s="1" a="1"/>
  <c r="N936" s="1"/>
  <c r="M937" a="1"/>
  <c r="M937"/>
  <c r="N937" s="1" a="1"/>
  <c r="N937" s="1"/>
  <c r="M938" a="1"/>
  <c r="M938"/>
  <c r="N938" s="1" a="1"/>
  <c r="N938" s="1"/>
  <c r="M939" a="1"/>
  <c r="M939"/>
  <c r="N939" s="1" a="1"/>
  <c r="N939" s="1"/>
  <c r="M940" a="1"/>
  <c r="M940"/>
  <c r="N940" s="1" a="1"/>
  <c r="N940" s="1"/>
  <c r="M941" a="1"/>
  <c r="M941"/>
  <c r="N941" s="1" a="1"/>
  <c r="N941" s="1"/>
  <c r="M942" a="1"/>
  <c r="M942"/>
  <c r="N942" s="1" a="1"/>
  <c r="N942" s="1"/>
  <c r="M943" a="1"/>
  <c r="M943"/>
  <c r="N943" s="1" a="1"/>
  <c r="N943" s="1"/>
  <c r="M944" a="1"/>
  <c r="M944"/>
  <c r="N944" s="1" a="1"/>
  <c r="N944" s="1"/>
  <c r="M945" a="1"/>
  <c r="M945"/>
  <c r="N945" s="1" a="1"/>
  <c r="N945" s="1"/>
  <c r="M946" a="1"/>
  <c r="M946"/>
  <c r="N946" s="1" a="1"/>
  <c r="N946" s="1"/>
  <c r="M947" a="1"/>
  <c r="M947"/>
  <c r="N947" s="1" a="1"/>
  <c r="N947" s="1"/>
  <c r="M948" a="1"/>
  <c r="M948"/>
  <c r="N948" s="1" a="1"/>
  <c r="N948" s="1"/>
  <c r="M949" a="1"/>
  <c r="M949"/>
  <c r="N949" s="1" a="1"/>
  <c r="N949" s="1"/>
  <c r="M950" a="1"/>
  <c r="M950"/>
  <c r="N950" s="1" a="1"/>
  <c r="N950" s="1"/>
  <c r="M951" a="1"/>
  <c r="M951"/>
  <c r="N951" s="1" a="1"/>
  <c r="N951" s="1"/>
  <c r="M952" a="1"/>
  <c r="M952"/>
  <c r="N952" s="1" a="1"/>
  <c r="N952" s="1"/>
  <c r="M953" a="1"/>
  <c r="M953"/>
  <c r="N953" s="1" a="1"/>
  <c r="N953" s="1"/>
  <c r="M954" a="1"/>
  <c r="M954"/>
  <c r="N954" s="1" a="1"/>
  <c r="N954" s="1"/>
  <c r="M955" a="1"/>
  <c r="M955"/>
  <c r="N955" s="1" a="1"/>
  <c r="N955" s="1"/>
  <c r="M956" a="1"/>
  <c r="M956"/>
  <c r="N956" s="1" a="1"/>
  <c r="N956" s="1"/>
  <c r="M957" a="1"/>
  <c r="M957"/>
  <c r="N957" s="1" a="1"/>
  <c r="N957" s="1"/>
  <c r="M958" a="1"/>
  <c r="M958"/>
  <c r="N958" s="1" a="1"/>
  <c r="N958" s="1"/>
  <c r="M959" a="1"/>
  <c r="M959"/>
  <c r="N959" s="1" a="1"/>
  <c r="N959" s="1"/>
  <c r="M960" a="1"/>
  <c r="M960"/>
  <c r="N960" s="1" a="1"/>
  <c r="N960" s="1"/>
  <c r="M961" a="1"/>
  <c r="M961"/>
  <c r="N961" s="1" a="1"/>
  <c r="N961" s="1"/>
  <c r="M962" a="1"/>
  <c r="M962"/>
  <c r="N962" s="1" a="1"/>
  <c r="N962" s="1"/>
  <c r="M963" a="1"/>
  <c r="M963"/>
  <c r="N963" s="1" a="1"/>
  <c r="N963" s="1"/>
  <c r="M964" a="1"/>
  <c r="M964"/>
  <c r="N964" s="1" a="1"/>
  <c r="N964" s="1"/>
  <c r="M965" a="1"/>
  <c r="M965"/>
  <c r="N965" s="1" a="1"/>
  <c r="N965" s="1"/>
  <c r="M966" a="1"/>
  <c r="M966"/>
  <c r="N966" s="1" a="1"/>
  <c r="N966" s="1"/>
  <c r="M967" a="1"/>
  <c r="M967"/>
  <c r="N967" s="1" a="1"/>
  <c r="N967" s="1"/>
  <c r="M968" a="1"/>
  <c r="M968"/>
  <c r="N968" s="1" a="1"/>
  <c r="N968" s="1"/>
  <c r="M969" a="1"/>
  <c r="M969"/>
  <c r="N969" s="1" a="1"/>
  <c r="N969" s="1"/>
  <c r="M970" a="1"/>
  <c r="M970"/>
  <c r="N970" s="1" a="1"/>
  <c r="N970" s="1"/>
  <c r="M971" a="1"/>
  <c r="M971"/>
  <c r="N971" s="1" a="1"/>
  <c r="N971" s="1"/>
  <c r="M972" a="1"/>
  <c r="M972"/>
  <c r="N972" s="1" a="1"/>
  <c r="N972" s="1"/>
  <c r="M973" a="1"/>
  <c r="M973"/>
  <c r="N973" s="1" a="1"/>
  <c r="N973" s="1"/>
  <c r="M974" a="1"/>
  <c r="M974"/>
  <c r="N974" s="1" a="1"/>
  <c r="N974" s="1"/>
  <c r="M975" a="1"/>
  <c r="M975"/>
  <c r="N975" s="1" a="1"/>
  <c r="N975" s="1"/>
  <c r="M976" a="1"/>
  <c r="M976"/>
  <c r="N976" s="1" a="1"/>
  <c r="N976" s="1"/>
  <c r="M977" a="1"/>
  <c r="M977"/>
  <c r="N977" s="1" a="1"/>
  <c r="N977" s="1"/>
  <c r="M978" a="1"/>
  <c r="M978"/>
  <c r="N978" s="1" a="1"/>
  <c r="N978" s="1"/>
  <c r="M979" a="1"/>
  <c r="M979"/>
  <c r="N979" s="1" a="1"/>
  <c r="N979" s="1"/>
  <c r="M980" a="1"/>
  <c r="M980"/>
  <c r="N980" s="1" a="1"/>
  <c r="N980" s="1"/>
  <c r="M981" a="1"/>
  <c r="M981"/>
  <c r="N981" s="1" a="1"/>
  <c r="N981" s="1"/>
  <c r="M982" a="1"/>
  <c r="M982"/>
  <c r="N982" s="1" a="1"/>
  <c r="N982" s="1"/>
  <c r="M983" a="1"/>
  <c r="M983"/>
  <c r="N983" s="1" a="1"/>
  <c r="N983" s="1"/>
  <c r="M984" a="1"/>
  <c r="M984"/>
  <c r="N984" s="1" a="1"/>
  <c r="N984" s="1"/>
  <c r="M985" a="1"/>
  <c r="M985"/>
  <c r="N985" s="1" a="1"/>
  <c r="N985" s="1"/>
  <c r="M986" a="1"/>
  <c r="M986"/>
  <c r="N986" s="1" a="1"/>
  <c r="N986" s="1"/>
  <c r="M987" a="1"/>
  <c r="M987"/>
  <c r="N987" s="1" a="1"/>
  <c r="N987" s="1"/>
  <c r="M988" a="1"/>
  <c r="M988"/>
  <c r="N988" s="1" a="1"/>
  <c r="N988" s="1"/>
  <c r="M989" a="1"/>
  <c r="M989"/>
  <c r="N989" s="1" a="1"/>
  <c r="N989" s="1"/>
  <c r="M990" a="1"/>
  <c r="M990"/>
  <c r="N990" s="1" a="1"/>
  <c r="N990" s="1"/>
  <c r="M991" a="1"/>
  <c r="M991"/>
  <c r="N991" s="1" a="1"/>
  <c r="N991" s="1"/>
  <c r="M992" a="1"/>
  <c r="M992"/>
  <c r="N992" s="1" a="1"/>
  <c r="N992" s="1"/>
  <c r="M993" a="1"/>
  <c r="M993"/>
  <c r="N993" s="1" a="1"/>
  <c r="N993" s="1"/>
  <c r="M994" a="1"/>
  <c r="M994"/>
  <c r="N994" s="1" a="1"/>
  <c r="N994" s="1"/>
  <c r="M995" a="1"/>
  <c r="M995"/>
  <c r="N995" s="1" a="1"/>
  <c r="N995" s="1"/>
  <c r="M996" a="1"/>
  <c r="M996"/>
  <c r="N996" s="1" a="1"/>
  <c r="N996" s="1"/>
  <c r="M997" a="1"/>
  <c r="M997"/>
  <c r="N997" s="1" a="1"/>
  <c r="N997" s="1"/>
  <c r="M998" a="1"/>
  <c r="M998"/>
  <c r="N998" s="1" a="1"/>
  <c r="N998" s="1"/>
  <c r="M999" a="1"/>
  <c r="M999"/>
  <c r="N999" s="1" a="1"/>
  <c r="N999" s="1"/>
  <c r="M1000" a="1"/>
  <c r="M1000"/>
  <c r="N1000" s="1" a="1"/>
  <c r="N1000" s="1"/>
  <c r="M1001" a="1"/>
  <c r="M1001"/>
  <c r="N1001" s="1" a="1"/>
  <c r="N1001" s="1"/>
  <c r="M1002" a="1"/>
  <c r="M1002"/>
  <c r="N1002" s="1" a="1"/>
  <c r="N1002" s="1"/>
  <c r="M1003" a="1"/>
  <c r="M1003"/>
  <c r="N1003" s="1" a="1"/>
  <c r="N1003" s="1"/>
  <c r="M1004" a="1"/>
  <c r="M1004"/>
  <c r="N1004" s="1" a="1"/>
  <c r="N1004" s="1"/>
  <c r="M1005" a="1"/>
  <c r="M1005"/>
  <c r="N1005" s="1" a="1"/>
  <c r="N1005" s="1"/>
  <c r="M1006" a="1"/>
  <c r="M1006"/>
  <c r="N1006" s="1" a="1"/>
  <c r="N1006" s="1"/>
  <c r="M1007" a="1"/>
  <c r="M1007"/>
  <c r="N1007" s="1" a="1"/>
  <c r="N1007" s="1"/>
  <c r="M1008" a="1"/>
  <c r="M1008"/>
  <c r="N1008" s="1" a="1"/>
  <c r="N1008" s="1"/>
  <c r="M1009" a="1"/>
  <c r="M1009"/>
  <c r="N1009" s="1" a="1"/>
  <c r="N1009" s="1"/>
  <c r="M1010" a="1"/>
  <c r="M1010"/>
  <c r="N1010" s="1" a="1"/>
  <c r="N1010" s="1"/>
  <c r="M1011" a="1"/>
  <c r="M1011"/>
  <c r="N1011" s="1" a="1"/>
  <c r="N1011" s="1"/>
  <c r="M1012" a="1"/>
  <c r="M1012"/>
  <c r="N1012" s="1" a="1"/>
  <c r="N1012" s="1"/>
  <c r="M1013" a="1"/>
  <c r="M1013"/>
  <c r="N1013" s="1" a="1"/>
  <c r="N1013" s="1"/>
  <c r="M1014" a="1"/>
  <c r="M1014"/>
  <c r="N1014" s="1" a="1"/>
  <c r="N1014" s="1"/>
  <c r="M1015" a="1"/>
  <c r="M1015"/>
  <c r="N1015" s="1" a="1"/>
  <c r="N1015" s="1"/>
  <c r="M1016" a="1"/>
  <c r="M1016"/>
  <c r="N1016" s="1" a="1"/>
  <c r="N1016" s="1"/>
  <c r="M1017" a="1"/>
  <c r="M1017"/>
  <c r="N1017" s="1" a="1"/>
  <c r="N1017" s="1"/>
  <c r="M1018" a="1"/>
  <c r="M1018"/>
  <c r="N1018" s="1" a="1"/>
  <c r="N1018" s="1"/>
  <c r="M1019" a="1"/>
  <c r="M1019"/>
  <c r="N1019" s="1" a="1"/>
  <c r="N1019" s="1"/>
  <c r="M1020" a="1"/>
  <c r="M1020"/>
  <c r="N1020" s="1" a="1"/>
  <c r="N1020" s="1"/>
  <c r="M1021" a="1"/>
  <c r="M1021"/>
  <c r="N1021" s="1" a="1"/>
  <c r="N1021" s="1"/>
  <c r="M1022" a="1"/>
  <c r="M1022"/>
  <c r="N1022" s="1" a="1"/>
  <c r="N1022" s="1"/>
  <c r="M1023" a="1"/>
  <c r="M1023"/>
  <c r="N1023" s="1" a="1"/>
  <c r="N1023" s="1"/>
  <c r="M1024" a="1"/>
  <c r="M1024"/>
  <c r="N1024" s="1" a="1"/>
  <c r="N1024" s="1"/>
  <c r="M1025" a="1"/>
  <c r="M1025"/>
  <c r="N1025" s="1" a="1"/>
  <c r="N1025" s="1"/>
  <c r="M1026" a="1"/>
  <c r="M1026"/>
  <c r="N1026" s="1" a="1"/>
  <c r="N1026" s="1"/>
  <c r="M1027" a="1"/>
  <c r="M1027"/>
  <c r="N1027" s="1" a="1"/>
  <c r="N1027" s="1"/>
  <c r="M1028" a="1"/>
  <c r="M1028"/>
  <c r="N1028" s="1" a="1"/>
  <c r="N1028" s="1"/>
  <c r="M1029" a="1"/>
  <c r="M1029"/>
  <c r="N1029" s="1" a="1"/>
  <c r="N1029" s="1"/>
  <c r="M1030" a="1"/>
  <c r="M1030"/>
  <c r="N1030" s="1" a="1"/>
  <c r="N1030" s="1"/>
  <c r="M1031" a="1"/>
  <c r="M1031"/>
  <c r="N1031" s="1" a="1"/>
  <c r="N1031" s="1"/>
  <c r="M1032" a="1"/>
  <c r="M1032"/>
  <c r="N1032" s="1" a="1"/>
  <c r="N1032" s="1"/>
  <c r="M1033" a="1"/>
  <c r="M1033"/>
  <c r="N1033" s="1" a="1"/>
  <c r="N1033" s="1"/>
  <c r="M1034" a="1"/>
  <c r="M1034"/>
  <c r="N1034" s="1" a="1"/>
  <c r="N1034" s="1"/>
  <c r="M1035" a="1"/>
  <c r="M1035"/>
  <c r="N1035" s="1" a="1"/>
  <c r="N1035" s="1"/>
  <c r="M1036" a="1"/>
  <c r="M1036"/>
  <c r="N1036" s="1" a="1"/>
  <c r="N1036" s="1"/>
  <c r="M1037" a="1"/>
  <c r="M1037"/>
  <c r="N1037" s="1" a="1"/>
  <c r="N1037" s="1"/>
  <c r="M1038" a="1"/>
  <c r="M1038"/>
  <c r="N1038" s="1" a="1"/>
  <c r="N1038" s="1"/>
  <c r="M1039" a="1"/>
  <c r="M1039"/>
  <c r="N1039" s="1" a="1"/>
  <c r="N1039" s="1"/>
  <c r="M1040" a="1"/>
  <c r="M1040"/>
  <c r="N1040" s="1" a="1"/>
  <c r="N1040" s="1"/>
  <c r="M1041" a="1"/>
  <c r="M1041"/>
  <c r="N1041" s="1" a="1"/>
  <c r="N1041" s="1"/>
  <c r="M1042" a="1"/>
  <c r="M1042"/>
  <c r="N1042" s="1" a="1"/>
  <c r="N1042" s="1"/>
  <c r="M1043" a="1"/>
  <c r="M1043"/>
  <c r="N1043" s="1" a="1"/>
  <c r="N1043" s="1"/>
  <c r="M1044" a="1"/>
  <c r="M1044"/>
  <c r="N1044" s="1" a="1"/>
  <c r="N1044" s="1"/>
  <c r="M1045" a="1"/>
  <c r="M1045"/>
  <c r="N1045" s="1" a="1"/>
  <c r="N1045" s="1"/>
  <c r="M1046" a="1"/>
  <c r="M1046"/>
  <c r="N1046" s="1" a="1"/>
  <c r="N1046" s="1"/>
  <c r="M1047" a="1"/>
  <c r="M1047"/>
  <c r="N1047" s="1" a="1"/>
  <c r="N1047" s="1"/>
  <c r="M1048" a="1"/>
  <c r="M1048"/>
  <c r="N1048" s="1" a="1"/>
  <c r="N1048" s="1"/>
  <c r="M1049" a="1"/>
  <c r="M1049"/>
  <c r="N1049" s="1" a="1"/>
  <c r="N1049" s="1"/>
  <c r="M1050" a="1"/>
  <c r="M1050"/>
  <c r="N1050" s="1" a="1"/>
  <c r="N1050" s="1"/>
  <c r="M1051" a="1"/>
  <c r="M1051"/>
  <c r="N1051" s="1" a="1"/>
  <c r="N1051" s="1"/>
  <c r="M1052" a="1"/>
  <c r="M1052"/>
  <c r="N1052" s="1" a="1"/>
  <c r="N1052" s="1"/>
  <c r="M1053" a="1"/>
  <c r="M1053"/>
  <c r="N1053" s="1" a="1"/>
  <c r="N1053" s="1"/>
  <c r="M1054" a="1"/>
  <c r="M1054"/>
  <c r="N1054" s="1" a="1"/>
  <c r="N1054" s="1"/>
  <c r="M1055" a="1"/>
  <c r="M1055"/>
  <c r="N1055" s="1" a="1"/>
  <c r="N1055" s="1"/>
  <c r="M1056" a="1"/>
  <c r="M1056"/>
  <c r="N1056" s="1" a="1"/>
  <c r="N1056" s="1"/>
  <c r="M1057" a="1"/>
  <c r="M1057"/>
  <c r="N1057" s="1" a="1"/>
  <c r="N1057" s="1"/>
  <c r="M1058" a="1"/>
  <c r="M1058"/>
  <c r="N1058" s="1" a="1"/>
  <c r="N1058" s="1"/>
  <c r="M1059" a="1"/>
  <c r="M1059"/>
  <c r="N1059" s="1" a="1"/>
  <c r="N1059" s="1"/>
  <c r="M1060" a="1"/>
  <c r="M1060"/>
  <c r="N1060" s="1" a="1"/>
  <c r="N1060" s="1"/>
  <c r="M1061" a="1"/>
  <c r="M1061"/>
  <c r="N1061" s="1" a="1"/>
  <c r="N1061" s="1"/>
  <c r="M1062" a="1"/>
  <c r="M1062"/>
  <c r="N1062" s="1" a="1"/>
  <c r="N1062" s="1"/>
  <c r="M1063" a="1"/>
  <c r="M1063"/>
  <c r="N1063" s="1" a="1"/>
  <c r="N1063" s="1"/>
  <c r="M1064" a="1"/>
  <c r="M1064"/>
  <c r="N1064" s="1" a="1"/>
  <c r="N1064" s="1"/>
  <c r="M1065" a="1"/>
  <c r="M1065"/>
  <c r="N1065" s="1" a="1"/>
  <c r="N1065" s="1"/>
  <c r="M1066" a="1"/>
  <c r="M1066"/>
  <c r="N1066" s="1" a="1"/>
  <c r="N1066" s="1"/>
  <c r="M1067" a="1"/>
  <c r="M1067"/>
  <c r="N1067" s="1" a="1"/>
  <c r="N1067" s="1"/>
  <c r="M1068" a="1"/>
  <c r="M1068"/>
  <c r="N1068" s="1" a="1"/>
  <c r="N1068" s="1"/>
  <c r="M1069" a="1"/>
  <c r="M1069"/>
  <c r="N1069" s="1" a="1"/>
  <c r="N1069" s="1"/>
  <c r="M1070" a="1"/>
  <c r="M1070"/>
  <c r="N1070" s="1" a="1"/>
  <c r="N1070" s="1"/>
  <c r="M1071" a="1"/>
  <c r="M1071"/>
  <c r="N1071" s="1" a="1"/>
  <c r="N1071" s="1"/>
  <c r="M1072" a="1"/>
  <c r="M1072"/>
  <c r="N1072" s="1" a="1"/>
  <c r="N1072" s="1"/>
  <c r="M1073" a="1"/>
  <c r="M1073"/>
  <c r="N1073" s="1" a="1"/>
  <c r="N1073" s="1"/>
  <c r="M1074" a="1"/>
  <c r="M1074"/>
  <c r="N1074" s="1" a="1"/>
  <c r="N1074" s="1"/>
  <c r="M1075" a="1"/>
  <c r="M1075"/>
  <c r="N1075" s="1" a="1"/>
  <c r="N1075" s="1"/>
  <c r="M1076" a="1"/>
  <c r="M1076"/>
  <c r="N1076" s="1" a="1"/>
  <c r="N1076" s="1"/>
  <c r="M1077" a="1"/>
  <c r="M1077"/>
  <c r="N1077" s="1" a="1"/>
  <c r="N1077" s="1"/>
  <c r="M1078" a="1"/>
  <c r="M1078"/>
  <c r="N1078" s="1" a="1"/>
  <c r="N1078" s="1"/>
  <c r="M1079" a="1"/>
  <c r="M1079"/>
  <c r="N1079" s="1" a="1"/>
  <c r="N1079" s="1"/>
  <c r="M1080" a="1"/>
  <c r="M1080"/>
  <c r="N1080" s="1" a="1"/>
  <c r="N1080" s="1"/>
  <c r="M1081" a="1"/>
  <c r="M1081" s="1"/>
  <c r="N1081" s="1" a="1"/>
  <c r="N1081" s="1"/>
  <c r="M1082" a="1"/>
  <c r="M1082" s="1"/>
  <c r="N1082" s="1" a="1"/>
  <c r="N1082" s="1"/>
  <c r="M1083" a="1"/>
  <c r="M1083" s="1"/>
  <c r="N1083" s="1" a="1"/>
  <c r="N1083" s="1"/>
  <c r="M1084" a="1"/>
  <c r="M1084" s="1"/>
  <c r="N1084" s="1" a="1"/>
  <c r="N1084" s="1"/>
  <c r="M1085" a="1"/>
  <c r="M1085" s="1"/>
  <c r="N1085" s="1" a="1"/>
  <c r="N1085" s="1"/>
  <c r="M1086" a="1"/>
  <c r="M1086" s="1"/>
  <c r="N1086" s="1" a="1"/>
  <c r="N1086" s="1"/>
  <c r="M1087" a="1"/>
  <c r="M1087" s="1"/>
  <c r="N1087" s="1" a="1"/>
  <c r="N1087" s="1"/>
  <c r="M1088" a="1"/>
  <c r="M1088" s="1"/>
  <c r="N1088" s="1" a="1"/>
  <c r="N1088" s="1"/>
  <c r="M1089" a="1"/>
  <c r="M1089" s="1"/>
  <c r="N1089" s="1" a="1"/>
  <c r="N1089" s="1"/>
  <c r="M1090" a="1"/>
  <c r="M1090" s="1"/>
  <c r="N1090" s="1" a="1"/>
  <c r="N1090" s="1"/>
  <c r="M1091" a="1"/>
  <c r="M1091" s="1"/>
  <c r="N1091" s="1" a="1"/>
  <c r="N1091" s="1"/>
  <c r="M1092" a="1"/>
  <c r="M1092" s="1"/>
  <c r="N1092" s="1" a="1"/>
  <c r="N1092" s="1"/>
  <c r="M1093" a="1"/>
  <c r="M1093" s="1"/>
  <c r="N1093" s="1" a="1"/>
  <c r="N1093" s="1"/>
  <c r="M1094" a="1"/>
  <c r="M1094" s="1"/>
  <c r="N1094" s="1" a="1"/>
  <c r="N1094" s="1"/>
  <c r="M1095" a="1"/>
  <c r="M1095" s="1"/>
  <c r="N1095" s="1" a="1"/>
  <c r="N1095" s="1"/>
  <c r="M1096" a="1"/>
  <c r="M1096" s="1"/>
  <c r="N1096" s="1" a="1"/>
  <c r="N1096" s="1"/>
  <c r="M1097" a="1"/>
  <c r="M1097" s="1"/>
  <c r="N1097" s="1" a="1"/>
  <c r="N1097" s="1"/>
  <c r="M1098" a="1"/>
  <c r="M1098" s="1"/>
  <c r="N1098" s="1" a="1"/>
  <c r="N1098" s="1"/>
  <c r="M1099" a="1"/>
  <c r="M1099" s="1"/>
  <c r="N1099" s="1" a="1"/>
  <c r="N1099" s="1"/>
  <c r="M1100" a="1"/>
  <c r="M1100" s="1"/>
  <c r="N1100" s="1" a="1"/>
  <c r="N1100" s="1"/>
  <c r="M1101" a="1"/>
  <c r="M1101" s="1"/>
  <c r="N1101" s="1" a="1"/>
  <c r="N1101" s="1"/>
  <c r="M1102" a="1"/>
  <c r="M1102" s="1"/>
  <c r="N1102" s="1" a="1"/>
  <c r="N1102" s="1"/>
  <c r="M1103" a="1"/>
  <c r="M1103" s="1"/>
  <c r="N1103" s="1" a="1"/>
  <c r="N1103" s="1"/>
  <c r="M1104" a="1"/>
  <c r="M1104" s="1"/>
  <c r="N1104" s="1" a="1"/>
  <c r="N1104" s="1"/>
  <c r="M1105" a="1"/>
  <c r="M1105" s="1"/>
  <c r="N1105" s="1" a="1"/>
  <c r="N1105" s="1"/>
  <c r="M1106" a="1"/>
  <c r="M1106" s="1"/>
  <c r="N1106" s="1" a="1"/>
  <c r="N1106" s="1"/>
  <c r="M1107" a="1"/>
  <c r="M1107" s="1"/>
  <c r="N1107" s="1" a="1"/>
  <c r="N1107" s="1"/>
  <c r="M1108" a="1"/>
  <c r="M1108" s="1"/>
  <c r="N1108" s="1" a="1"/>
  <c r="N1108" s="1"/>
  <c r="M1109" a="1"/>
  <c r="M1109" s="1"/>
  <c r="N1109" s="1" a="1"/>
  <c r="N1109" s="1"/>
  <c r="M1110" a="1"/>
  <c r="M1110" s="1"/>
  <c r="N1110" s="1" a="1"/>
  <c r="N1110" s="1"/>
  <c r="M1111" a="1"/>
  <c r="M1111" s="1"/>
  <c r="N1111" s="1" a="1"/>
  <c r="N1111" s="1"/>
  <c r="M1112" a="1"/>
  <c r="M1112" s="1"/>
  <c r="N1112" s="1" a="1"/>
  <c r="N1112" s="1"/>
  <c r="M1113" a="1"/>
  <c r="M1113" s="1"/>
  <c r="N1113" s="1" a="1"/>
  <c r="N1113" s="1"/>
  <c r="M1114" a="1"/>
  <c r="M1114" s="1"/>
  <c r="N1114" s="1" a="1"/>
  <c r="N1114" s="1"/>
  <c r="M1115" a="1"/>
  <c r="M1115" s="1"/>
  <c r="N1115" s="1" a="1"/>
  <c r="N1115" s="1"/>
  <c r="M1116" a="1"/>
  <c r="M1116" s="1"/>
  <c r="N1116" s="1" a="1"/>
  <c r="N1116" s="1"/>
  <c r="M1117" a="1"/>
  <c r="M1117" s="1"/>
  <c r="N1117" s="1" a="1"/>
  <c r="N1117" s="1"/>
  <c r="M1118" a="1"/>
  <c r="M1118" s="1"/>
  <c r="N1118" s="1" a="1"/>
  <c r="N1118" s="1"/>
  <c r="M1119" a="1"/>
  <c r="M1119" s="1"/>
  <c r="N1119" s="1" a="1"/>
  <c r="N1119" s="1"/>
  <c r="M1120" a="1"/>
  <c r="M1120" s="1"/>
  <c r="N1120" s="1" a="1"/>
  <c r="N1120" s="1"/>
  <c r="M1121" a="1"/>
  <c r="M1121" s="1"/>
  <c r="N1121" s="1" a="1"/>
  <c r="N1121" s="1"/>
  <c r="M1122" a="1"/>
  <c r="M1122" s="1"/>
  <c r="N1122" s="1" a="1"/>
  <c r="N1122" s="1"/>
  <c r="M1123" a="1"/>
  <c r="M1123" s="1"/>
  <c r="N1123" s="1" a="1"/>
  <c r="N1123" s="1"/>
  <c r="M1124" a="1"/>
  <c r="M1124" s="1"/>
  <c r="N1124" s="1" a="1"/>
  <c r="N1124" s="1"/>
  <c r="M1125" a="1"/>
  <c r="M1125" s="1"/>
  <c r="N1125" s="1" a="1"/>
  <c r="N1125" s="1"/>
  <c r="M1126" a="1"/>
  <c r="M1126" s="1"/>
  <c r="N1126" s="1" a="1"/>
  <c r="N1126" s="1"/>
  <c r="M1127" a="1"/>
  <c r="M1127" s="1"/>
  <c r="N1127" s="1" a="1"/>
  <c r="N1127" s="1"/>
  <c r="M1128" a="1"/>
  <c r="M1128" s="1"/>
  <c r="N1128" s="1" a="1"/>
  <c r="N1128" s="1"/>
  <c r="M1129" a="1"/>
  <c r="M1129" s="1"/>
  <c r="N1129" s="1" a="1"/>
  <c r="N1129" s="1"/>
  <c r="M1130" a="1"/>
  <c r="M1130" s="1"/>
  <c r="N1130" s="1" a="1"/>
  <c r="N1130" s="1"/>
  <c r="M1131" a="1"/>
  <c r="M1131" s="1"/>
  <c r="N1131" s="1" a="1"/>
  <c r="N1131" s="1"/>
  <c r="M1132" a="1"/>
  <c r="M1132" s="1"/>
  <c r="N1132" s="1" a="1"/>
  <c r="N1132" s="1"/>
  <c r="M1133" a="1"/>
  <c r="M1133" s="1"/>
  <c r="N1133" s="1" a="1"/>
  <c r="N1133" s="1"/>
  <c r="M1134" a="1"/>
  <c r="M1134" s="1"/>
  <c r="N1134" s="1" a="1"/>
  <c r="N1134" s="1"/>
  <c r="M1135" a="1"/>
  <c r="M1135" s="1"/>
  <c r="N1135" s="1" a="1"/>
  <c r="N1135" s="1"/>
  <c r="M1136" a="1"/>
  <c r="M1136" s="1"/>
  <c r="N1136" s="1" a="1"/>
  <c r="N1136" s="1"/>
  <c r="M1137" a="1"/>
  <c r="M1137" s="1"/>
  <c r="N1137" s="1" a="1"/>
  <c r="N1137" s="1"/>
  <c r="M1138" a="1"/>
  <c r="M1138" s="1"/>
  <c r="N1138" s="1" a="1"/>
  <c r="N1138" s="1"/>
  <c r="M1139" a="1"/>
  <c r="M1139" s="1"/>
  <c r="N1139" s="1" a="1"/>
  <c r="N1139" s="1"/>
  <c r="M1140" a="1"/>
  <c r="M1140" s="1"/>
  <c r="N1140" s="1" a="1"/>
  <c r="N1140" s="1"/>
  <c r="M1141" a="1"/>
  <c r="M1141" s="1"/>
  <c r="N1141" s="1" a="1"/>
  <c r="N1141" s="1"/>
  <c r="M1142" a="1"/>
  <c r="M1142" s="1"/>
  <c r="N1142" s="1" a="1"/>
  <c r="N1142" s="1"/>
  <c r="M1143" a="1"/>
  <c r="M1143" s="1"/>
  <c r="N1143" s="1" a="1"/>
  <c r="N1143" s="1"/>
  <c r="M1144" a="1"/>
  <c r="M1144" s="1"/>
  <c r="N1144" s="1" a="1"/>
  <c r="N1144" s="1"/>
  <c r="M1145" a="1"/>
  <c r="M1145" s="1"/>
  <c r="N1145" s="1" a="1"/>
  <c r="N1145" s="1"/>
  <c r="M1146" a="1"/>
  <c r="M1146" s="1"/>
  <c r="N1146" s="1" a="1"/>
  <c r="N1146" s="1"/>
  <c r="M1147" a="1"/>
  <c r="M1147" s="1"/>
  <c r="N1147" s="1" a="1"/>
  <c r="N1147" s="1"/>
  <c r="M1148" a="1"/>
  <c r="M1148" s="1"/>
  <c r="N1148" s="1" a="1"/>
  <c r="N1148" s="1"/>
  <c r="M1149" a="1"/>
  <c r="M1149" s="1"/>
  <c r="N1149" s="1" a="1"/>
  <c r="N1149" s="1"/>
  <c r="M1150" a="1"/>
  <c r="M1150" s="1"/>
  <c r="N1150" s="1" a="1"/>
  <c r="N1150" s="1"/>
  <c r="M1151" a="1"/>
  <c r="M1151" s="1"/>
  <c r="N1151" s="1" a="1"/>
  <c r="N1151" s="1"/>
  <c r="M1152" a="1"/>
  <c r="M1152" s="1"/>
  <c r="N1152" s="1" a="1"/>
  <c r="N1152" s="1"/>
  <c r="M1153" a="1"/>
  <c r="M1153" s="1"/>
  <c r="N1153" s="1" a="1"/>
  <c r="N1153" s="1"/>
  <c r="M1154" a="1"/>
  <c r="M1154" s="1"/>
  <c r="N1154" s="1" a="1"/>
  <c r="N1154" s="1"/>
  <c r="M1155" a="1"/>
  <c r="M1155" s="1"/>
  <c r="N1155" s="1" a="1"/>
  <c r="N1155" s="1"/>
  <c r="M1156" a="1"/>
  <c r="M1156" s="1"/>
  <c r="N1156" s="1" a="1"/>
  <c r="N1156" s="1"/>
  <c r="M1157" a="1"/>
  <c r="M1157" s="1"/>
  <c r="N1157" s="1" a="1"/>
  <c r="N1157" s="1"/>
  <c r="M1158" a="1"/>
  <c r="M1158" s="1"/>
  <c r="N1158" s="1" a="1"/>
  <c r="N1158" s="1"/>
  <c r="M1159" a="1"/>
  <c r="M1159" s="1"/>
  <c r="N1159" s="1" a="1"/>
  <c r="N1159" s="1"/>
  <c r="M1160" a="1"/>
  <c r="M1160" s="1"/>
  <c r="N1160" s="1" a="1"/>
  <c r="N1160" s="1"/>
  <c r="M1161" a="1"/>
  <c r="M1161" s="1"/>
  <c r="N1161" s="1" a="1"/>
  <c r="N1161" s="1"/>
  <c r="M1162" a="1"/>
  <c r="M1162" s="1"/>
  <c r="N1162" s="1" a="1"/>
  <c r="N1162" s="1"/>
  <c r="M1163" a="1"/>
  <c r="M1163" s="1"/>
  <c r="N1163" s="1" a="1"/>
  <c r="N1163" s="1"/>
  <c r="M1164" a="1"/>
  <c r="M1164" s="1"/>
  <c r="N1164" s="1" a="1"/>
  <c r="N1164" s="1"/>
  <c r="M1165" a="1"/>
  <c r="M1165" s="1"/>
  <c r="N1165" s="1" a="1"/>
  <c r="N1165" s="1"/>
  <c r="M1166" a="1"/>
  <c r="M1166" s="1"/>
  <c r="N1166" s="1" a="1"/>
  <c r="N1166" s="1"/>
  <c r="M1167" a="1"/>
  <c r="M1167" s="1"/>
  <c r="N1167" s="1" a="1"/>
  <c r="N1167" s="1"/>
  <c r="M1168" a="1"/>
  <c r="M1168" s="1"/>
  <c r="N1168" s="1" a="1"/>
  <c r="N1168" s="1"/>
  <c r="M1169" a="1"/>
  <c r="M1169" s="1"/>
  <c r="N1169" s="1" a="1"/>
  <c r="N1169" s="1"/>
  <c r="M1170" a="1"/>
  <c r="M1170" s="1"/>
  <c r="N1170" s="1" a="1"/>
  <c r="N1170" s="1"/>
  <c r="M1171" a="1"/>
  <c r="M1171" s="1"/>
  <c r="N1171" s="1" a="1"/>
  <c r="N1171" s="1"/>
  <c r="M1172" a="1"/>
  <c r="M1172" s="1"/>
  <c r="N1172" s="1" a="1"/>
  <c r="N1172" s="1"/>
  <c r="M1173" a="1"/>
  <c r="M1173" s="1"/>
  <c r="N1173" s="1" a="1"/>
  <c r="N1173" s="1"/>
  <c r="M1174" a="1"/>
  <c r="M1174" s="1"/>
  <c r="N1174" s="1" a="1"/>
  <c r="N1174" s="1"/>
  <c r="M1175" a="1"/>
  <c r="M1175" s="1"/>
  <c r="N1175" s="1" a="1"/>
  <c r="N1175" s="1"/>
  <c r="M1176" a="1"/>
  <c r="M1176" s="1"/>
  <c r="N1176" s="1" a="1"/>
  <c r="N1176" s="1"/>
  <c r="M1177" a="1"/>
  <c r="M1177" s="1"/>
  <c r="N1177" s="1" a="1"/>
  <c r="N1177" s="1"/>
  <c r="M1178" a="1"/>
  <c r="M1178" s="1"/>
  <c r="N1178" s="1" a="1"/>
  <c r="N1178" s="1"/>
  <c r="M1179" a="1"/>
  <c r="M1179" s="1"/>
  <c r="N1179" s="1" a="1"/>
  <c r="N1179" s="1"/>
  <c r="M1180" a="1"/>
  <c r="M1180" s="1"/>
  <c r="N1180" s="1" a="1"/>
  <c r="N1180" s="1"/>
  <c r="M1181" a="1"/>
  <c r="M1181" s="1"/>
  <c r="N1181" s="1" a="1"/>
  <c r="N1181" s="1"/>
  <c r="M1182" a="1"/>
  <c r="M1182" s="1"/>
  <c r="N1182" s="1" a="1"/>
  <c r="N1182" s="1"/>
  <c r="M1183" a="1"/>
  <c r="M1183" s="1"/>
  <c r="N1183" s="1" a="1"/>
  <c r="N1183" s="1"/>
  <c r="M1184" a="1"/>
  <c r="M1184" s="1"/>
  <c r="N1184" s="1" a="1"/>
  <c r="N1184" s="1"/>
  <c r="M1185" a="1"/>
  <c r="M1185" s="1"/>
  <c r="N1185" s="1" a="1"/>
  <c r="N1185" s="1"/>
  <c r="M1186" a="1"/>
  <c r="M1186" s="1"/>
  <c r="N1186" s="1" a="1"/>
  <c r="N1186" s="1"/>
  <c r="M1187" a="1"/>
  <c r="M1187" s="1"/>
  <c r="N1187" s="1" a="1"/>
  <c r="N1187" s="1"/>
  <c r="M1188" a="1"/>
  <c r="M1188" s="1"/>
  <c r="N1188" s="1" a="1"/>
  <c r="N1188" s="1"/>
  <c r="M1189" a="1"/>
  <c r="M1189" s="1"/>
  <c r="N1189" s="1" a="1"/>
  <c r="N1189" s="1"/>
  <c r="M1190" a="1"/>
  <c r="M1190" s="1"/>
  <c r="N1190" s="1" a="1"/>
  <c r="N1190" s="1"/>
  <c r="M1191" a="1"/>
  <c r="M1191" s="1"/>
  <c r="N1191" s="1" a="1"/>
  <c r="N1191" s="1"/>
  <c r="M1192" a="1"/>
  <c r="M1192" s="1"/>
  <c r="N1192" s="1" a="1"/>
  <c r="N1192" s="1"/>
  <c r="M1193" a="1"/>
  <c r="M1193" s="1"/>
  <c r="N1193" s="1" a="1"/>
  <c r="N1193" s="1"/>
  <c r="M1194" a="1"/>
  <c r="M1194" s="1"/>
  <c r="N1194" s="1" a="1"/>
  <c r="N1194" s="1"/>
  <c r="M1195" a="1"/>
  <c r="M1195" s="1"/>
  <c r="N1195" s="1" a="1"/>
  <c r="N1195" s="1"/>
  <c r="M1196" a="1"/>
  <c r="M1196" s="1"/>
  <c r="N1196" s="1" a="1"/>
  <c r="N1196" s="1"/>
  <c r="M1197" a="1"/>
  <c r="M1197" s="1"/>
  <c r="N1197" s="1" a="1"/>
  <c r="N1197" s="1"/>
  <c r="M1198" a="1"/>
  <c r="M1198" s="1"/>
  <c r="N1198" s="1" a="1"/>
  <c r="N1198" s="1"/>
  <c r="M1199" a="1"/>
  <c r="M1199" s="1"/>
  <c r="N1199" s="1" a="1"/>
  <c r="N1199" s="1"/>
  <c r="M1200" a="1"/>
  <c r="M1200" s="1"/>
  <c r="N1200" s="1" a="1"/>
  <c r="N1200" s="1"/>
  <c r="M1201" a="1"/>
  <c r="M1201" s="1"/>
  <c r="N1201" s="1" a="1"/>
  <c r="N1201" s="1"/>
  <c r="M1202" a="1"/>
  <c r="M1202" s="1"/>
  <c r="N1202" s="1" a="1"/>
  <c r="N1202" s="1"/>
  <c r="M1203" a="1"/>
  <c r="M1203" s="1"/>
  <c r="N1203" s="1" a="1"/>
  <c r="N1203" s="1"/>
  <c r="M1204" a="1"/>
  <c r="M1204" s="1"/>
  <c r="N1204" s="1" a="1"/>
  <c r="N1204" s="1"/>
  <c r="M1205" a="1"/>
  <c r="M1205" s="1"/>
  <c r="N1205" s="1" a="1"/>
  <c r="N1205" s="1"/>
  <c r="M1206" a="1"/>
  <c r="M1206" s="1"/>
  <c r="N1206" s="1" a="1"/>
  <c r="N1206" s="1"/>
  <c r="M1207" a="1"/>
  <c r="M1207" s="1"/>
  <c r="N1207" s="1" a="1"/>
  <c r="N1207" s="1"/>
  <c r="M1208" a="1"/>
  <c r="M1208" s="1"/>
  <c r="N1208" s="1" a="1"/>
  <c r="N1208" s="1"/>
  <c r="M1209" a="1"/>
  <c r="M1209" s="1"/>
  <c r="N1209" s="1" a="1"/>
  <c r="N1209" s="1"/>
  <c r="M1210" a="1"/>
  <c r="M1210" s="1"/>
  <c r="N1210" s="1" a="1"/>
  <c r="N1210" s="1"/>
  <c r="M1211" a="1"/>
  <c r="M1211" s="1"/>
  <c r="N1211" s="1" a="1"/>
  <c r="N1211" s="1"/>
  <c r="M1212" a="1"/>
  <c r="M1212" s="1"/>
  <c r="N1212" s="1" a="1"/>
  <c r="N1212" s="1"/>
  <c r="M1213" a="1"/>
  <c r="M1213" s="1"/>
  <c r="N1213" s="1" a="1"/>
  <c r="N1213" s="1"/>
  <c r="M1214" a="1"/>
  <c r="M1214" s="1"/>
  <c r="N1214" s="1" a="1"/>
  <c r="N1214" s="1"/>
  <c r="M1215" a="1"/>
  <c r="M1215" s="1"/>
  <c r="N1215" s="1" a="1"/>
  <c r="N1215" s="1"/>
  <c r="M1216" a="1"/>
  <c r="M1216" s="1"/>
  <c r="N1216" s="1" a="1"/>
  <c r="N1216" s="1"/>
  <c r="M1217" a="1"/>
  <c r="M1217" s="1"/>
  <c r="N1217" s="1" a="1"/>
  <c r="N1217" s="1"/>
  <c r="M1218" a="1"/>
  <c r="M1218" s="1"/>
  <c r="N1218" s="1" a="1"/>
  <c r="N1218" s="1"/>
  <c r="M1219" a="1"/>
  <c r="M1219" s="1"/>
  <c r="N1219" s="1" a="1"/>
  <c r="N1219" s="1"/>
  <c r="M1220" a="1"/>
  <c r="M1220" s="1"/>
  <c r="N1220" s="1" a="1"/>
  <c r="N1220" s="1"/>
  <c r="M1221" a="1"/>
  <c r="M1221" s="1"/>
  <c r="N1221" s="1" a="1"/>
  <c r="N1221" s="1"/>
  <c r="M1222" a="1"/>
  <c r="M1222" s="1"/>
  <c r="N1222" s="1" a="1"/>
  <c r="N1222" s="1"/>
  <c r="M1223" a="1"/>
  <c r="M1223" s="1"/>
  <c r="N1223" s="1" a="1"/>
  <c r="N1223" s="1"/>
  <c r="M1224" a="1"/>
  <c r="M1224" s="1"/>
  <c r="N1224" s="1" a="1"/>
  <c r="N1224" s="1"/>
  <c r="M1225" a="1"/>
  <c r="M1225" s="1"/>
  <c r="N1225" s="1" a="1"/>
  <c r="N1225" s="1"/>
  <c r="M1226" a="1"/>
  <c r="M1226" s="1"/>
  <c r="N1226" s="1" a="1"/>
  <c r="N1226" s="1"/>
  <c r="M1227" a="1"/>
  <c r="M1227" s="1"/>
  <c r="N1227" s="1" a="1"/>
  <c r="N1227" s="1"/>
  <c r="M1228" a="1"/>
  <c r="M1228" s="1"/>
  <c r="N1228" s="1" a="1"/>
  <c r="N1228" s="1"/>
  <c r="M1229" a="1"/>
  <c r="M1229" s="1"/>
  <c r="N1229" s="1" a="1"/>
  <c r="N1229" s="1"/>
  <c r="M1230" a="1"/>
  <c r="M1230" s="1"/>
  <c r="N1230" s="1" a="1"/>
  <c r="N1230" s="1"/>
  <c r="M1231" a="1"/>
  <c r="M1231" s="1"/>
  <c r="N1231" s="1" a="1"/>
  <c r="N1231" s="1"/>
  <c r="M1232" a="1"/>
  <c r="M1232" s="1"/>
  <c r="N1232" s="1" a="1"/>
  <c r="N1232" s="1"/>
  <c r="M1233" a="1"/>
  <c r="M1233" s="1"/>
  <c r="N1233" s="1" a="1"/>
  <c r="N1233" s="1"/>
  <c r="M1234" a="1"/>
  <c r="M1234" s="1"/>
  <c r="N1234" s="1" a="1"/>
  <c r="N1234" s="1"/>
  <c r="M1235" a="1"/>
  <c r="M1235" s="1"/>
  <c r="N1235" s="1" a="1"/>
  <c r="N1235" s="1"/>
  <c r="M1236" a="1"/>
  <c r="M1236" s="1"/>
  <c r="N1236" s="1" a="1"/>
  <c r="N1236" s="1"/>
  <c r="M1237" a="1"/>
  <c r="M1237" s="1"/>
  <c r="N1237" s="1" a="1"/>
  <c r="N1237" s="1"/>
  <c r="M1238" a="1"/>
  <c r="M1238" s="1"/>
  <c r="N1238" s="1" a="1"/>
  <c r="N1238" s="1"/>
  <c r="M1239" a="1"/>
  <c r="M1239" s="1"/>
  <c r="N1239" s="1" a="1"/>
  <c r="N1239" s="1"/>
  <c r="M1240" a="1"/>
  <c r="M1240" s="1"/>
  <c r="N1240" s="1" a="1"/>
  <c r="N1240" s="1"/>
  <c r="M1241" a="1"/>
  <c r="M1241" s="1"/>
  <c r="N1241" s="1" a="1"/>
  <c r="N1241" s="1"/>
  <c r="M1242" a="1"/>
  <c r="M1242" s="1"/>
  <c r="N1242" s="1" a="1"/>
  <c r="N1242" s="1"/>
  <c r="M1243" a="1"/>
  <c r="M1243" s="1"/>
  <c r="N1243" s="1" a="1"/>
  <c r="N1243" s="1"/>
  <c r="M1244" a="1"/>
  <c r="M1244" s="1"/>
  <c r="N1244" s="1" a="1"/>
  <c r="N1244" s="1"/>
  <c r="M1245" a="1"/>
  <c r="M1245" s="1"/>
  <c r="N1245" s="1" a="1"/>
  <c r="N1245" s="1"/>
  <c r="M1246" a="1"/>
  <c r="M1246" s="1"/>
  <c r="N1246" s="1" a="1"/>
  <c r="N1246" s="1"/>
  <c r="M1247" a="1"/>
  <c r="M1247" s="1"/>
  <c r="N1247" s="1" a="1"/>
  <c r="N1247" s="1"/>
  <c r="M1248" a="1"/>
  <c r="M1248" s="1"/>
  <c r="N1248" s="1" a="1"/>
  <c r="N1248" s="1"/>
  <c r="M1249" a="1"/>
  <c r="M1249" s="1"/>
  <c r="N1249" s="1" a="1"/>
  <c r="N1249" s="1"/>
  <c r="M1250" a="1"/>
  <c r="M1250" s="1"/>
  <c r="N1250" s="1" a="1"/>
  <c r="N1250" s="1"/>
  <c r="M1251" a="1"/>
  <c r="M1251" s="1"/>
  <c r="N1251" s="1" a="1"/>
  <c r="N1251" s="1"/>
  <c r="M1252" a="1"/>
  <c r="M1252" s="1"/>
  <c r="N1252" s="1" a="1"/>
  <c r="N1252" s="1"/>
  <c r="M1253" a="1"/>
  <c r="M1253" s="1"/>
  <c r="N1253" s="1" a="1"/>
  <c r="N1253" s="1"/>
  <c r="M1254" a="1"/>
  <c r="M1254" s="1"/>
  <c r="N1254" s="1" a="1"/>
  <c r="N1254" s="1"/>
  <c r="M1255" a="1"/>
  <c r="M1255" s="1"/>
  <c r="N1255" s="1" a="1"/>
  <c r="N1255" s="1"/>
  <c r="M1256" a="1"/>
  <c r="M1256" s="1"/>
  <c r="N1256" s="1" a="1"/>
  <c r="N1256" s="1"/>
  <c r="M1257" a="1"/>
  <c r="M1257" s="1"/>
  <c r="N1257" s="1" a="1"/>
  <c r="N1257" s="1"/>
  <c r="M1258" a="1"/>
  <c r="M1258" s="1"/>
  <c r="N1258" s="1" a="1"/>
  <c r="N1258" s="1"/>
  <c r="M1259" a="1"/>
  <c r="M1259" s="1"/>
  <c r="N1259" s="1" a="1"/>
  <c r="N1259" s="1"/>
  <c r="M1260" a="1"/>
  <c r="M1260" s="1"/>
  <c r="N1260" s="1" a="1"/>
  <c r="N1260" s="1"/>
  <c r="M1261" a="1"/>
  <c r="M1261" s="1"/>
  <c r="N1261" s="1" a="1"/>
  <c r="N1261" s="1"/>
  <c r="M1262" a="1"/>
  <c r="M1262" s="1"/>
  <c r="N1262" s="1" a="1"/>
  <c r="N1262" s="1"/>
  <c r="M1263" a="1"/>
  <c r="M1263" s="1"/>
  <c r="N1263" s="1" a="1"/>
  <c r="N1263" s="1"/>
  <c r="M1264" a="1"/>
  <c r="M1264" s="1"/>
  <c r="N1264" s="1" a="1"/>
  <c r="N1264" s="1"/>
  <c r="M1265" a="1"/>
  <c r="M1265" s="1"/>
  <c r="N1265" s="1" a="1"/>
  <c r="N1265" s="1"/>
  <c r="M1266" a="1"/>
  <c r="M1266" s="1"/>
  <c r="N1266" s="1" a="1"/>
  <c r="N1266" s="1"/>
  <c r="M1267" a="1"/>
  <c r="M1267" s="1"/>
  <c r="N1267" s="1" a="1"/>
  <c r="N1267" s="1"/>
  <c r="M1268" a="1"/>
  <c r="M1268" s="1"/>
  <c r="N1268" s="1" a="1"/>
  <c r="N1268" s="1"/>
  <c r="M1269" a="1"/>
  <c r="M1269" s="1"/>
  <c r="N1269" s="1" a="1"/>
  <c r="N1269" s="1"/>
  <c r="M1270" a="1"/>
  <c r="M1270" s="1"/>
  <c r="N1270" s="1" a="1"/>
  <c r="N1270" s="1"/>
  <c r="M1271" a="1"/>
  <c r="M1271" s="1"/>
  <c r="N1271" s="1" a="1"/>
  <c r="N1271" s="1"/>
  <c r="M1272" a="1"/>
  <c r="M1272" s="1"/>
  <c r="N1272" s="1" a="1"/>
  <c r="N1272" s="1"/>
  <c r="M1273" a="1"/>
  <c r="M1273" s="1"/>
  <c r="N1273" s="1" a="1"/>
  <c r="N1273" s="1"/>
  <c r="M1274" a="1"/>
  <c r="M1274" s="1"/>
  <c r="N1274" s="1" a="1"/>
  <c r="N1274" s="1"/>
  <c r="M1275" a="1"/>
  <c r="M1275" s="1"/>
  <c r="N1275" s="1" a="1"/>
  <c r="N1275" s="1"/>
  <c r="M1276" a="1"/>
  <c r="M1276" s="1"/>
  <c r="N1276" s="1" a="1"/>
  <c r="N1276" s="1"/>
  <c r="M1277" a="1"/>
  <c r="M1277" s="1"/>
  <c r="N1277" s="1" a="1"/>
  <c r="N1277" s="1"/>
  <c r="M1278" a="1"/>
  <c r="M1278" s="1"/>
  <c r="N1278" s="1" a="1"/>
  <c r="N1278" s="1"/>
  <c r="M1279" a="1"/>
  <c r="M1279" s="1"/>
  <c r="N1279" s="1" a="1"/>
  <c r="N1279" s="1"/>
  <c r="M1280" a="1"/>
  <c r="M1280" s="1"/>
  <c r="N1280" s="1" a="1"/>
  <c r="N1280" s="1"/>
  <c r="M1281" a="1"/>
  <c r="M1281" s="1"/>
  <c r="N1281" s="1" a="1"/>
  <c r="N1281" s="1"/>
  <c r="M1282" a="1"/>
  <c r="M1282" s="1"/>
  <c r="N1282" s="1" a="1"/>
  <c r="N1282" s="1"/>
  <c r="M1283" a="1"/>
  <c r="M1283" s="1"/>
  <c r="N1283" s="1" a="1"/>
  <c r="N1283" s="1"/>
  <c r="M1284" a="1"/>
  <c r="M1284" s="1"/>
  <c r="N1284" s="1" a="1"/>
  <c r="N1284" s="1"/>
  <c r="M1285" a="1"/>
  <c r="M1285" s="1"/>
  <c r="N1285" s="1" a="1"/>
  <c r="N1285" s="1"/>
  <c r="M1286" a="1"/>
  <c r="M1286" s="1"/>
  <c r="N1286" s="1" a="1"/>
  <c r="N1286" s="1"/>
  <c r="M1287" a="1"/>
  <c r="M1287" s="1"/>
  <c r="N1287" s="1" a="1"/>
  <c r="N1287" s="1"/>
  <c r="M1288" a="1"/>
  <c r="M1288" s="1"/>
  <c r="N1288" s="1" a="1"/>
  <c r="N1288" s="1"/>
  <c r="M1289" a="1"/>
  <c r="M1289" s="1"/>
  <c r="N1289" s="1" a="1"/>
  <c r="N1289" s="1"/>
  <c r="M1290" a="1"/>
  <c r="M1290" s="1"/>
  <c r="N1290" s="1" a="1"/>
  <c r="N1290" s="1"/>
  <c r="M1291" a="1"/>
  <c r="M1291" s="1"/>
  <c r="N1291" s="1" a="1"/>
  <c r="N1291" s="1"/>
  <c r="M1292" a="1"/>
  <c r="M1292" s="1"/>
  <c r="N1292" s="1" a="1"/>
  <c r="N1292" s="1"/>
  <c r="M1293" a="1"/>
  <c r="M1293" s="1"/>
  <c r="N1293" s="1" a="1"/>
  <c r="N1293" s="1"/>
  <c r="M1294" a="1"/>
  <c r="M1294" s="1"/>
  <c r="N1294" s="1" a="1"/>
  <c r="N1294" s="1"/>
  <c r="M1295" a="1"/>
  <c r="M1295" s="1"/>
  <c r="N1295" s="1" a="1"/>
  <c r="N1295" s="1"/>
  <c r="M1296" a="1"/>
  <c r="M1296" s="1"/>
  <c r="N1296" s="1" a="1"/>
  <c r="N1296" s="1"/>
  <c r="M1297" a="1"/>
  <c r="M1297" s="1"/>
  <c r="N1297" s="1" a="1"/>
  <c r="N1297" s="1"/>
  <c r="M1298" a="1"/>
  <c r="M1298" s="1"/>
  <c r="N1298" s="1" a="1"/>
  <c r="N1298" s="1"/>
  <c r="M1299" a="1"/>
  <c r="M1299" s="1"/>
  <c r="N1299" s="1" a="1"/>
  <c r="N1299" s="1"/>
  <c r="M1300" a="1"/>
  <c r="M1300" s="1"/>
  <c r="N1300" s="1" a="1"/>
  <c r="N1300" s="1"/>
  <c r="M1301" a="1"/>
  <c r="M1301" s="1"/>
  <c r="N1301" s="1" a="1"/>
  <c r="N1301" s="1"/>
  <c r="M1302" a="1"/>
  <c r="M1302" s="1"/>
  <c r="N1302" s="1" a="1"/>
  <c r="N1302" s="1"/>
  <c r="M1303" a="1"/>
  <c r="M1303" s="1"/>
  <c r="N1303" s="1" a="1"/>
  <c r="N1303" s="1"/>
  <c r="M1304" a="1"/>
  <c r="M1304" s="1"/>
  <c r="N1304" s="1" a="1"/>
  <c r="N1304" s="1"/>
  <c r="M1305" a="1"/>
  <c r="M1305" s="1"/>
  <c r="N1305" s="1" a="1"/>
  <c r="N1305" s="1"/>
  <c r="M1306" a="1"/>
  <c r="M1306" s="1"/>
  <c r="N1306" s="1" a="1"/>
  <c r="N1306" s="1"/>
  <c r="M1307" a="1"/>
  <c r="M1307" s="1"/>
  <c r="N1307" s="1" a="1"/>
  <c r="N1307" s="1"/>
  <c r="M1308" a="1"/>
  <c r="M1308" s="1"/>
  <c r="N1308" s="1" a="1"/>
  <c r="N1308" s="1"/>
  <c r="M1309" a="1"/>
  <c r="M1309" s="1"/>
  <c r="N1309" s="1" a="1"/>
  <c r="N1309" s="1"/>
  <c r="M1310" a="1"/>
  <c r="M1310" s="1"/>
  <c r="N1310" s="1" a="1"/>
  <c r="N1310" s="1"/>
  <c r="M1311" a="1"/>
  <c r="M1311" s="1"/>
  <c r="N1311" s="1" a="1"/>
  <c r="N1311" s="1"/>
  <c r="M1312" a="1"/>
  <c r="M1312" s="1"/>
  <c r="N1312" s="1" a="1"/>
  <c r="N1312" s="1"/>
  <c r="M1313" a="1"/>
  <c r="M1313" s="1"/>
  <c r="N1313" s="1" a="1"/>
  <c r="N1313" s="1"/>
  <c r="M1314" a="1"/>
  <c r="M1314" s="1"/>
  <c r="N1314" s="1" a="1"/>
  <c r="N1314" s="1"/>
  <c r="M1315" a="1"/>
  <c r="M1315" s="1"/>
  <c r="N1315" s="1" a="1"/>
  <c r="N1315" s="1"/>
  <c r="M1316" a="1"/>
  <c r="M1316" s="1"/>
  <c r="N1316" s="1" a="1"/>
  <c r="N1316" s="1"/>
  <c r="M1317" a="1"/>
  <c r="M1317" s="1"/>
  <c r="N1317" s="1" a="1"/>
  <c r="N1317" s="1"/>
  <c r="M1318" a="1"/>
  <c r="M1318" s="1"/>
  <c r="N1318" s="1" a="1"/>
  <c r="N1318" s="1"/>
  <c r="M1319" a="1"/>
  <c r="M1319" s="1"/>
  <c r="N1319" s="1" a="1"/>
  <c r="N1319" s="1"/>
  <c r="M1320" a="1"/>
  <c r="M1320" s="1"/>
  <c r="N1320" s="1" a="1"/>
  <c r="N1320" s="1"/>
  <c r="M1321" a="1"/>
  <c r="M1321" s="1"/>
  <c r="N1321" s="1" a="1"/>
  <c r="N1321" s="1"/>
  <c r="M1322" a="1"/>
  <c r="M1322" s="1"/>
  <c r="N1322" s="1" a="1"/>
  <c r="N1322" s="1"/>
  <c r="M1323" a="1"/>
  <c r="M1323" s="1"/>
  <c r="N1323" s="1" a="1"/>
  <c r="N1323" s="1"/>
  <c r="M1324" a="1"/>
  <c r="M1324" s="1"/>
  <c r="N1324" s="1" a="1"/>
  <c r="N1324" s="1"/>
  <c r="M1325" a="1"/>
  <c r="M1325" s="1"/>
  <c r="N1325" s="1" a="1"/>
  <c r="N1325" s="1"/>
  <c r="M1326" a="1"/>
  <c r="M1326" s="1"/>
  <c r="N1326" s="1" a="1"/>
  <c r="N1326" s="1"/>
  <c r="M1327" a="1"/>
  <c r="M1327" s="1"/>
  <c r="N1327" s="1" a="1"/>
  <c r="N1327" s="1"/>
  <c r="M1328" a="1"/>
  <c r="M1328" s="1"/>
  <c r="N1328" s="1" a="1"/>
  <c r="N1328" s="1"/>
  <c r="M1329" a="1"/>
  <c r="M1329" s="1"/>
  <c r="N1329" s="1" a="1"/>
  <c r="N1329" s="1"/>
  <c r="M1330" a="1"/>
  <c r="M1330" s="1"/>
  <c r="N1330" s="1" a="1"/>
  <c r="N1330" s="1"/>
  <c r="M1331" a="1"/>
  <c r="M1331" s="1"/>
  <c r="N1331" s="1" a="1"/>
  <c r="N1331" s="1"/>
  <c r="M1332" a="1"/>
  <c r="M1332" s="1"/>
  <c r="N1332" s="1" a="1"/>
  <c r="N1332" s="1"/>
  <c r="M1333" a="1"/>
  <c r="M1333" s="1"/>
  <c r="N1333" s="1" a="1"/>
  <c r="N1333" s="1"/>
  <c r="M1334" a="1"/>
  <c r="M1334" s="1"/>
  <c r="N1334" s="1" a="1"/>
  <c r="N1334" s="1"/>
  <c r="M1335" a="1"/>
  <c r="M1335" s="1"/>
  <c r="N1335" s="1" a="1"/>
  <c r="N1335" s="1"/>
  <c r="M1336" a="1"/>
  <c r="M1336" s="1"/>
  <c r="N1336" s="1" a="1"/>
  <c r="N1336" s="1"/>
  <c r="M1337" a="1"/>
  <c r="M1337" s="1"/>
  <c r="N1337" s="1" a="1"/>
  <c r="N1337" s="1"/>
  <c r="M1338" a="1"/>
  <c r="M1338" s="1"/>
  <c r="N1338" s="1" a="1"/>
  <c r="N1338" s="1"/>
  <c r="M1339" a="1"/>
  <c r="M1339" s="1"/>
  <c r="N1339" s="1" a="1"/>
  <c r="N1339" s="1"/>
  <c r="M1340" a="1"/>
  <c r="M1340" s="1"/>
  <c r="N1340" s="1" a="1"/>
  <c r="N1340" s="1"/>
  <c r="M1341" a="1"/>
  <c r="M1341" s="1"/>
  <c r="N1341" s="1" a="1"/>
  <c r="N1341" s="1"/>
  <c r="M1342" a="1"/>
  <c r="M1342" s="1"/>
  <c r="N1342" s="1" a="1"/>
  <c r="N1342" s="1"/>
  <c r="M1343" a="1"/>
  <c r="M1343" s="1"/>
  <c r="N1343" s="1" a="1"/>
  <c r="N1343" s="1"/>
  <c r="M1344" a="1"/>
  <c r="M1344" s="1"/>
  <c r="N1344" s="1" a="1"/>
  <c r="N1344" s="1"/>
  <c r="M1345" a="1"/>
  <c r="M1345" s="1"/>
  <c r="N1345" s="1" a="1"/>
  <c r="N1345" s="1"/>
  <c r="M1346" a="1"/>
  <c r="M1346" s="1"/>
  <c r="N1346" s="1" a="1"/>
  <c r="N1346" s="1"/>
  <c r="M1347" a="1"/>
  <c r="M1347" s="1"/>
  <c r="N1347" s="1" a="1"/>
  <c r="N1347" s="1"/>
  <c r="M1348" a="1"/>
  <c r="M1348" s="1"/>
  <c r="N1348" s="1" a="1"/>
  <c r="N1348" s="1"/>
  <c r="M1349" a="1"/>
  <c r="M1349" s="1"/>
  <c r="N1349" s="1" a="1"/>
  <c r="N1349" s="1"/>
  <c r="M1350" a="1"/>
  <c r="M1350" s="1"/>
  <c r="N1350" s="1" a="1"/>
  <c r="N1350" s="1"/>
  <c r="M1351" a="1"/>
  <c r="M1351" s="1"/>
  <c r="N1351" s="1" a="1"/>
  <c r="N1351" s="1"/>
  <c r="M1352" a="1"/>
  <c r="M1352" s="1"/>
  <c r="N1352" s="1" a="1"/>
  <c r="N1352" s="1"/>
  <c r="M1353" a="1"/>
  <c r="M1353" s="1"/>
  <c r="N1353" s="1" a="1"/>
  <c r="N1353" s="1"/>
  <c r="M1354" a="1"/>
  <c r="M1354" s="1"/>
  <c r="N1354" s="1" a="1"/>
  <c r="N1354" s="1"/>
  <c r="M1355" a="1"/>
  <c r="M1355" s="1"/>
  <c r="N1355" s="1" a="1"/>
  <c r="N1355" s="1"/>
  <c r="M1356" a="1"/>
  <c r="M1356" s="1"/>
  <c r="N1356" s="1" a="1"/>
  <c r="N1356" s="1"/>
  <c r="M1357" a="1"/>
  <c r="M1357" s="1"/>
  <c r="N1357" s="1" a="1"/>
  <c r="N1357" s="1"/>
  <c r="M1358" a="1"/>
  <c r="M1358" s="1"/>
  <c r="N1358" s="1" a="1"/>
  <c r="N1358" s="1"/>
  <c r="M1359" a="1"/>
  <c r="M1359" s="1"/>
  <c r="N1359" s="1" a="1"/>
  <c r="N1359" s="1"/>
  <c r="M1360" a="1"/>
  <c r="M1360" s="1"/>
  <c r="N1360" s="1" a="1"/>
  <c r="N1360" s="1"/>
  <c r="M1361" a="1"/>
  <c r="M1361" s="1"/>
  <c r="N1361" s="1" a="1"/>
  <c r="N1361" s="1"/>
  <c r="M1362" a="1"/>
  <c r="M1362" s="1"/>
  <c r="N1362" s="1" a="1"/>
  <c r="N1362" s="1"/>
  <c r="M1363" a="1"/>
  <c r="M1363" s="1"/>
  <c r="N1363" s="1" a="1"/>
  <c r="N1363" s="1"/>
  <c r="M1364" a="1"/>
  <c r="M1364" s="1"/>
  <c r="N1364" s="1" a="1"/>
  <c r="N1364" s="1"/>
  <c r="M1365" a="1"/>
  <c r="M1365" s="1"/>
  <c r="N1365" s="1" a="1"/>
  <c r="N1365" s="1"/>
  <c r="M1366" a="1"/>
  <c r="M1366" s="1"/>
  <c r="N1366" s="1" a="1"/>
  <c r="N1366" s="1"/>
  <c r="M1367" a="1"/>
  <c r="M1367" s="1"/>
  <c r="N1367" s="1" a="1"/>
  <c r="N1367" s="1"/>
  <c r="M1368" a="1"/>
  <c r="M1368" s="1"/>
  <c r="N1368" s="1" a="1"/>
  <c r="N1368" s="1"/>
  <c r="M1369" a="1"/>
  <c r="M1369" s="1"/>
  <c r="N1369" s="1" a="1"/>
  <c r="N1369" s="1"/>
  <c r="M1370" a="1"/>
  <c r="M1370" s="1"/>
  <c r="N1370" s="1" a="1"/>
  <c r="N1370" s="1"/>
  <c r="M1371" a="1"/>
  <c r="M1371" s="1"/>
  <c r="N1371" s="1" a="1"/>
  <c r="N1371" s="1"/>
  <c r="M1372" a="1"/>
  <c r="M1372" s="1"/>
  <c r="N1372" s="1" a="1"/>
  <c r="N1372" s="1"/>
  <c r="M1373" a="1"/>
  <c r="M1373" s="1"/>
  <c r="N1373" s="1" a="1"/>
  <c r="N1373" s="1"/>
  <c r="M1374" a="1"/>
  <c r="M1374" s="1"/>
  <c r="N1374" s="1" a="1"/>
  <c r="N1374" s="1"/>
  <c r="M1375" a="1"/>
  <c r="M1375" s="1"/>
  <c r="N1375" s="1" a="1"/>
  <c r="N1375" s="1"/>
  <c r="M1376" a="1"/>
  <c r="M1376" s="1"/>
  <c r="N1376" s="1" a="1"/>
  <c r="N1376" s="1"/>
  <c r="M1377" a="1"/>
  <c r="M1377" s="1"/>
  <c r="N1377" s="1" a="1"/>
  <c r="N1377" s="1"/>
  <c r="M1378" a="1"/>
  <c r="M1378" s="1"/>
  <c r="N1378" s="1" a="1"/>
  <c r="N1378" s="1"/>
  <c r="M1379" a="1"/>
  <c r="M1379" s="1"/>
  <c r="N1379" s="1" a="1"/>
  <c r="N1379" s="1"/>
  <c r="M1380" a="1"/>
  <c r="M1380" s="1"/>
  <c r="N1380" s="1" a="1"/>
  <c r="N1380" s="1"/>
  <c r="M1381" a="1"/>
  <c r="M1381" s="1"/>
  <c r="N1381" s="1" a="1"/>
  <c r="N1381" s="1"/>
  <c r="M1382" a="1"/>
  <c r="M1382" s="1"/>
  <c r="N1382" s="1" a="1"/>
  <c r="N1382" s="1"/>
  <c r="M1383" a="1"/>
  <c r="M1383" s="1"/>
  <c r="N1383" s="1" a="1"/>
  <c r="N1383" s="1"/>
  <c r="M1384" a="1"/>
  <c r="M1384" s="1"/>
  <c r="N1384" s="1" a="1"/>
  <c r="N1384" s="1"/>
  <c r="M1385" a="1"/>
  <c r="M1385" s="1"/>
  <c r="N1385" s="1" a="1"/>
  <c r="N1385" s="1"/>
  <c r="M1386" a="1"/>
  <c r="M1386" s="1"/>
  <c r="N1386" s="1" a="1"/>
  <c r="N1386" s="1"/>
  <c r="M1387" a="1"/>
  <c r="M1387" s="1"/>
  <c r="N1387" s="1" a="1"/>
  <c r="N1387" s="1"/>
  <c r="M1388" a="1"/>
  <c r="M1388" s="1"/>
  <c r="N1388" s="1" a="1"/>
  <c r="N1388" s="1"/>
  <c r="M1389" a="1"/>
  <c r="M1389" s="1"/>
  <c r="N1389" s="1" a="1"/>
  <c r="N1389" s="1"/>
  <c r="M1390" a="1"/>
  <c r="M1390" s="1"/>
  <c r="N1390" s="1" a="1"/>
  <c r="N1390" s="1"/>
  <c r="M1391" a="1"/>
  <c r="M1391" s="1"/>
  <c r="N1391" s="1" a="1"/>
  <c r="N1391" s="1"/>
  <c r="M1392" a="1"/>
  <c r="M1392" s="1"/>
  <c r="N1392" s="1" a="1"/>
  <c r="N1392" s="1"/>
  <c r="M1393" a="1"/>
  <c r="M1393" s="1"/>
  <c r="N1393" s="1" a="1"/>
  <c r="N1393" s="1"/>
  <c r="M1394" a="1"/>
  <c r="M1394" s="1"/>
  <c r="N1394" s="1" a="1"/>
  <c r="N1394" s="1"/>
  <c r="M1395" a="1"/>
  <c r="M1395" s="1"/>
  <c r="N1395" s="1" a="1"/>
  <c r="N1395" s="1"/>
  <c r="M1396" a="1"/>
  <c r="M1396" s="1"/>
  <c r="N1396" s="1" a="1"/>
  <c r="N1396" s="1"/>
  <c r="M1397" a="1"/>
  <c r="M1397" s="1"/>
  <c r="N1397" s="1" a="1"/>
  <c r="N1397" s="1"/>
  <c r="M1398" a="1"/>
  <c r="M1398" s="1"/>
  <c r="N1398" s="1" a="1"/>
  <c r="N1398" s="1"/>
  <c r="M1399" a="1"/>
  <c r="M1399" s="1"/>
  <c r="N1399" s="1" a="1"/>
  <c r="N1399" s="1"/>
  <c r="M1400" a="1"/>
  <c r="M1400" s="1"/>
  <c r="N1400" s="1" a="1"/>
  <c r="N1400" s="1"/>
  <c r="M1401" a="1"/>
  <c r="M1401" s="1"/>
  <c r="N1401" s="1" a="1"/>
  <c r="N1401" s="1"/>
  <c r="M1402" a="1"/>
  <c r="M1402" s="1"/>
  <c r="N1402" s="1" a="1"/>
  <c r="N1402" s="1"/>
  <c r="M1403" a="1"/>
  <c r="M1403" s="1"/>
  <c r="N1403" s="1" a="1"/>
  <c r="N1403" s="1"/>
  <c r="M1404" a="1"/>
  <c r="M1404" s="1"/>
  <c r="N1404" s="1" a="1"/>
  <c r="N1404" s="1"/>
  <c r="M1405" a="1"/>
  <c r="M1405" s="1"/>
  <c r="N1405" s="1" a="1"/>
  <c r="N1405" s="1"/>
  <c r="M1406" a="1"/>
  <c r="M1406" s="1"/>
  <c r="N1406" s="1" a="1"/>
  <c r="N1406" s="1"/>
  <c r="M1407" a="1"/>
  <c r="M1407" s="1"/>
  <c r="N1407" s="1" a="1"/>
  <c r="N1407" s="1"/>
  <c r="M1408" a="1"/>
  <c r="M1408" s="1"/>
  <c r="N1408" s="1" a="1"/>
  <c r="N1408" s="1"/>
  <c r="M1409" a="1"/>
  <c r="M1409" s="1"/>
  <c r="N1409" s="1" a="1"/>
  <c r="N1409" s="1"/>
  <c r="M1410" a="1"/>
  <c r="M1410" s="1"/>
  <c r="N1410" s="1" a="1"/>
  <c r="N1410" s="1"/>
  <c r="M1411" a="1"/>
  <c r="M1411" s="1"/>
  <c r="N1411" s="1" a="1"/>
  <c r="N1411" s="1"/>
  <c r="M1412" a="1"/>
  <c r="M1412" s="1"/>
  <c r="N1412" s="1" a="1"/>
  <c r="N1412" s="1"/>
  <c r="M1413" a="1"/>
  <c r="M1413" s="1"/>
  <c r="N1413" s="1" a="1"/>
  <c r="N1413" s="1"/>
  <c r="M1414" a="1"/>
  <c r="M1414" s="1"/>
  <c r="N1414" s="1" a="1"/>
  <c r="N1414" s="1"/>
  <c r="M1415" a="1"/>
  <c r="M1415" s="1"/>
  <c r="N1415" s="1" a="1"/>
  <c r="N1415" s="1"/>
  <c r="M1416" a="1"/>
  <c r="M1416" s="1"/>
  <c r="N1416" s="1" a="1"/>
  <c r="N1416" s="1"/>
  <c r="M1417" a="1"/>
  <c r="M1417" s="1"/>
  <c r="N1417" s="1" a="1"/>
  <c r="N1417" s="1"/>
  <c r="M1418" a="1"/>
  <c r="M1418" s="1"/>
  <c r="N1418" s="1" a="1"/>
  <c r="N1418" s="1"/>
  <c r="M1419" a="1"/>
  <c r="M1419" s="1"/>
  <c r="N1419" s="1" a="1"/>
  <c r="N1419" s="1"/>
  <c r="M1420" a="1"/>
  <c r="M1420" s="1"/>
  <c r="N1420" s="1" a="1"/>
  <c r="N1420" s="1"/>
  <c r="M1421" a="1"/>
  <c r="M1421" s="1"/>
  <c r="N1421" s="1" a="1"/>
  <c r="N1421" s="1"/>
  <c r="M1422" a="1"/>
  <c r="M1422" s="1"/>
  <c r="N1422" s="1" a="1"/>
  <c r="N1422" s="1"/>
  <c r="M1423" a="1"/>
  <c r="M1423" s="1"/>
  <c r="N1423" s="1" a="1"/>
  <c r="N1423" s="1"/>
  <c r="M1424" a="1"/>
  <c r="M1424" s="1"/>
  <c r="N1424" s="1" a="1"/>
  <c r="N1424" s="1"/>
  <c r="M1425" a="1"/>
  <c r="M1425" s="1"/>
  <c r="N1425" s="1" a="1"/>
  <c r="N1425" s="1"/>
  <c r="M1426" a="1"/>
  <c r="M1426" s="1"/>
  <c r="N1426" s="1" a="1"/>
  <c r="N1426" s="1"/>
  <c r="M1427" a="1"/>
  <c r="M1427" s="1"/>
  <c r="N1427" s="1" a="1"/>
  <c r="N1427" s="1"/>
  <c r="M1428" a="1"/>
  <c r="M1428" s="1"/>
  <c r="N1428" s="1" a="1"/>
  <c r="N1428" s="1"/>
  <c r="M1429" a="1"/>
  <c r="M1429" s="1"/>
  <c r="N1429" s="1" a="1"/>
  <c r="N1429" s="1"/>
  <c r="M1430" a="1"/>
  <c r="M1430" s="1"/>
  <c r="N1430" s="1" a="1"/>
  <c r="N1430" s="1"/>
  <c r="M1431" a="1"/>
  <c r="M1431" s="1"/>
  <c r="N1431" s="1" a="1"/>
  <c r="N1431" s="1"/>
  <c r="M1432" a="1"/>
  <c r="M1432" s="1"/>
  <c r="N1432" s="1" a="1"/>
  <c r="N1432" s="1"/>
  <c r="M1433" a="1"/>
  <c r="M1433" s="1"/>
  <c r="N1433" s="1" a="1"/>
  <c r="N1433" s="1"/>
  <c r="M1434" a="1"/>
  <c r="M1434" s="1"/>
  <c r="N1434" s="1" a="1"/>
  <c r="N1434" s="1"/>
  <c r="M1435" a="1"/>
  <c r="M1435" s="1"/>
  <c r="N1435" s="1" a="1"/>
  <c r="N1435" s="1"/>
  <c r="M1436" a="1"/>
  <c r="M1436" s="1"/>
  <c r="N1436" s="1" a="1"/>
  <c r="N1436" s="1"/>
  <c r="M1437" a="1"/>
  <c r="M1437" s="1"/>
  <c r="N1437" s="1" a="1"/>
  <c r="N1437" s="1"/>
  <c r="M1438" a="1"/>
  <c r="M1438" s="1"/>
  <c r="N1438" s="1" a="1"/>
  <c r="N1438" s="1"/>
  <c r="M1439" a="1"/>
  <c r="M1439" s="1"/>
  <c r="N1439" s="1" a="1"/>
  <c r="N1439" s="1"/>
  <c r="M1440" a="1"/>
  <c r="M1440" s="1"/>
  <c r="N1440" s="1" a="1"/>
  <c r="N1440" s="1"/>
  <c r="M1441" a="1"/>
  <c r="M1441" s="1"/>
  <c r="N1441" s="1" a="1"/>
  <c r="N1441" s="1"/>
  <c r="M1442" a="1"/>
  <c r="M1442" s="1"/>
  <c r="N1442" s="1" a="1"/>
  <c r="N1442" s="1"/>
  <c r="M1443" a="1"/>
  <c r="M1443" s="1"/>
  <c r="N1443" s="1" a="1"/>
  <c r="N1443" s="1"/>
  <c r="M1444" a="1"/>
  <c r="M1444" s="1"/>
  <c r="N1444" s="1" a="1"/>
  <c r="N1444" s="1"/>
  <c r="M1445" a="1"/>
  <c r="M1445" s="1"/>
  <c r="N1445" s="1" a="1"/>
  <c r="N1445" s="1"/>
  <c r="M1446" a="1"/>
  <c r="M1446" s="1"/>
  <c r="N1446" s="1" a="1"/>
  <c r="N1446" s="1"/>
  <c r="M1447" a="1"/>
  <c r="M1447" s="1"/>
  <c r="N1447" s="1" a="1"/>
  <c r="N1447" s="1"/>
  <c r="M1448" a="1"/>
  <c r="M1448" s="1"/>
  <c r="N1448" s="1" a="1"/>
  <c r="N1448" s="1"/>
  <c r="M1449" a="1"/>
  <c r="M1449" s="1"/>
  <c r="N1449" s="1" a="1"/>
  <c r="N1449" s="1"/>
  <c r="M1450" a="1"/>
  <c r="M1450" s="1"/>
  <c r="N1450" s="1" a="1"/>
  <c r="N1450" s="1"/>
  <c r="M1451" a="1"/>
  <c r="M1451" s="1"/>
  <c r="N1451" s="1" a="1"/>
  <c r="N1451" s="1"/>
  <c r="M1452" a="1"/>
  <c r="M1452" s="1"/>
  <c r="N1452" s="1" a="1"/>
  <c r="N1452" s="1"/>
  <c r="M1453" a="1"/>
  <c r="M1453" s="1"/>
  <c r="N1453" s="1" a="1"/>
  <c r="N1453" s="1"/>
  <c r="M1454" a="1"/>
  <c r="M1454" s="1"/>
  <c r="N1454" s="1" a="1"/>
  <c r="N1454" s="1"/>
  <c r="M1455" a="1"/>
  <c r="M1455" s="1"/>
  <c r="N1455" s="1" a="1"/>
  <c r="N1455" s="1"/>
  <c r="M1456" a="1"/>
  <c r="M1456" s="1"/>
  <c r="N1456" s="1" a="1"/>
  <c r="N1456" s="1"/>
  <c r="M1457" a="1"/>
  <c r="M1457" s="1"/>
  <c r="N1457" s="1" a="1"/>
  <c r="N1457" s="1"/>
  <c r="M1458" a="1"/>
  <c r="M1458" s="1"/>
  <c r="N1458" s="1" a="1"/>
  <c r="N1458" s="1"/>
  <c r="M1459" a="1"/>
  <c r="M1459" s="1"/>
  <c r="N1459" s="1" a="1"/>
  <c r="N1459" s="1"/>
  <c r="M1460" a="1"/>
  <c r="M1460" s="1"/>
  <c r="N1460" s="1" a="1"/>
  <c r="N1460" s="1"/>
  <c r="M1461" a="1"/>
  <c r="M1461" s="1"/>
  <c r="N1461" s="1" a="1"/>
  <c r="N1461" s="1"/>
  <c r="M1462" a="1"/>
  <c r="M1462" s="1"/>
  <c r="N1462" s="1" a="1"/>
  <c r="N1462" s="1"/>
  <c r="M1463" a="1"/>
  <c r="M1463" s="1"/>
  <c r="N1463" s="1" a="1"/>
  <c r="N1463" s="1"/>
  <c r="M1464" a="1"/>
  <c r="M1464" s="1"/>
  <c r="N1464" s="1" a="1"/>
  <c r="N1464" s="1"/>
  <c r="M1465" a="1"/>
  <c r="M1465" s="1"/>
  <c r="N1465" s="1" a="1"/>
  <c r="N1465" s="1"/>
  <c r="M1466" a="1"/>
  <c r="M1466" s="1"/>
  <c r="N1466" s="1" a="1"/>
  <c r="N1466" s="1"/>
  <c r="M1467" a="1"/>
  <c r="M1467" s="1"/>
  <c r="N1467" s="1" a="1"/>
  <c r="N1467" s="1"/>
  <c r="M1468" a="1"/>
  <c r="M1468" s="1"/>
  <c r="N1468" s="1" a="1"/>
  <c r="N1468" s="1"/>
  <c r="M1469" a="1"/>
  <c r="M1469" s="1"/>
  <c r="N1469" s="1" a="1"/>
  <c r="N1469" s="1"/>
  <c r="M1470" a="1"/>
  <c r="M1470" s="1"/>
  <c r="N1470" s="1" a="1"/>
  <c r="N1470" s="1"/>
  <c r="M1471" a="1"/>
  <c r="M1471" s="1"/>
  <c r="N1471" s="1" a="1"/>
  <c r="N1471" s="1"/>
  <c r="M1472" a="1"/>
  <c r="M1472" s="1"/>
  <c r="N1472" s="1" a="1"/>
  <c r="N1472" s="1"/>
  <c r="M1473" a="1"/>
  <c r="M1473" s="1"/>
  <c r="N1473" s="1" a="1"/>
  <c r="N1473" s="1"/>
  <c r="M1474" a="1"/>
  <c r="M1474" s="1"/>
  <c r="N1474" s="1" a="1"/>
  <c r="N1474" s="1"/>
  <c r="M1475" a="1"/>
  <c r="M1475" s="1"/>
  <c r="N1475" s="1" a="1"/>
  <c r="N1475" s="1"/>
  <c r="M1476" a="1"/>
  <c r="M1476" s="1"/>
  <c r="N1476" s="1" a="1"/>
  <c r="N1476" s="1"/>
  <c r="M1477" a="1"/>
  <c r="M1477" s="1"/>
  <c r="N1477" s="1" a="1"/>
  <c r="N1477" s="1"/>
  <c r="M1478" a="1"/>
  <c r="M1478" s="1"/>
  <c r="N1478" s="1" a="1"/>
  <c r="N1478" s="1"/>
  <c r="M1479" a="1"/>
  <c r="M1479" s="1"/>
  <c r="N1479" s="1" a="1"/>
  <c r="N1479" s="1"/>
  <c r="M1480" a="1"/>
  <c r="M1480" s="1"/>
  <c r="N1480" s="1" a="1"/>
  <c r="N1480" s="1"/>
  <c r="M1481" a="1"/>
  <c r="M1481" s="1"/>
  <c r="N1481" s="1" a="1"/>
  <c r="N1481" s="1"/>
  <c r="M1482" a="1"/>
  <c r="M1482" s="1"/>
  <c r="N1482" s="1" a="1"/>
  <c r="N1482" s="1"/>
  <c r="M1483" a="1"/>
  <c r="M1483" s="1"/>
  <c r="N1483" s="1" a="1"/>
  <c r="N1483" s="1"/>
  <c r="M1484" a="1"/>
  <c r="M1484" s="1"/>
  <c r="N1484" s="1" a="1"/>
  <c r="N1484" s="1"/>
  <c r="M1485" a="1"/>
  <c r="M1485" s="1"/>
  <c r="N1485" s="1" a="1"/>
  <c r="N1485" s="1"/>
  <c r="M1486" a="1"/>
  <c r="M1486" s="1"/>
  <c r="N1486" s="1" a="1"/>
  <c r="N1486" s="1"/>
  <c r="M1487" a="1"/>
  <c r="M1487" s="1"/>
  <c r="N1487" s="1" a="1"/>
  <c r="N1487" s="1"/>
  <c r="M1488" a="1"/>
  <c r="M1488" s="1"/>
  <c r="N1488" s="1" a="1"/>
  <c r="N1488" s="1"/>
  <c r="M1489" a="1"/>
  <c r="M1489" s="1"/>
  <c r="N1489" s="1" a="1"/>
  <c r="N1489" s="1"/>
  <c r="M1490" a="1"/>
  <c r="M1490" s="1"/>
  <c r="N1490" s="1" a="1"/>
  <c r="N1490" s="1"/>
  <c r="M1491" a="1"/>
  <c r="M1491" s="1"/>
  <c r="N1491" s="1" a="1"/>
  <c r="N1491" s="1"/>
  <c r="M1492" a="1"/>
  <c r="M1492" s="1"/>
  <c r="N1492" s="1" a="1"/>
  <c r="N1492" s="1"/>
  <c r="M1493" a="1"/>
  <c r="M1493" s="1"/>
  <c r="N1493" s="1" a="1"/>
  <c r="N1493" s="1"/>
  <c r="M1494" a="1"/>
  <c r="M1494" s="1"/>
  <c r="N1494" s="1" a="1"/>
  <c r="N1494" s="1"/>
  <c r="M1495" a="1"/>
  <c r="M1495" s="1"/>
  <c r="N1495" s="1" a="1"/>
  <c r="N1495" s="1"/>
  <c r="M1496" a="1"/>
  <c r="M1496" s="1"/>
  <c r="N1496" s="1" a="1"/>
  <c r="N1496" s="1"/>
  <c r="M1497" a="1"/>
  <c r="M1497" s="1"/>
  <c r="N1497" s="1" a="1"/>
  <c r="N1497" s="1"/>
  <c r="M1498" a="1"/>
  <c r="M1498" s="1"/>
  <c r="N1498" s="1" a="1"/>
  <c r="N1498" s="1"/>
  <c r="M1499" a="1"/>
  <c r="M1499" s="1"/>
  <c r="N1499" s="1" a="1"/>
  <c r="N1499" s="1"/>
  <c r="M1500" a="1"/>
  <c r="M1500" s="1"/>
  <c r="N1500" s="1" a="1"/>
  <c r="N1500" s="1"/>
  <c r="M1501" a="1"/>
  <c r="M1501" s="1"/>
  <c r="N1501" s="1" a="1"/>
  <c r="N1501" s="1"/>
  <c r="M1502" a="1"/>
  <c r="M1502" s="1"/>
  <c r="N1502" s="1" a="1"/>
  <c r="N1502" s="1"/>
  <c r="M1503" a="1"/>
  <c r="M1503" s="1"/>
  <c r="N1503" s="1" a="1"/>
  <c r="N1503" s="1"/>
  <c r="M1504" a="1"/>
  <c r="M1504" s="1"/>
  <c r="N1504" s="1" a="1"/>
  <c r="N1504" s="1"/>
  <c r="M1505" a="1"/>
  <c r="M1505" s="1"/>
  <c r="N1505" s="1" a="1"/>
  <c r="N1505" s="1"/>
  <c r="M1506" a="1"/>
  <c r="M1506" s="1"/>
  <c r="N1506" s="1" a="1"/>
  <c r="N1506" s="1"/>
  <c r="M1507" a="1"/>
  <c r="M1507" s="1"/>
  <c r="N1507" s="1" a="1"/>
  <c r="N1507" s="1"/>
  <c r="M1508" a="1"/>
  <c r="M1508" s="1"/>
  <c r="N1508" s="1" a="1"/>
  <c r="N1508" s="1"/>
  <c r="M1509" a="1"/>
  <c r="M1509" s="1"/>
  <c r="N1509" s="1" a="1"/>
  <c r="N1509" s="1"/>
  <c r="M1510" a="1"/>
  <c r="M1510" s="1"/>
  <c r="N1510" s="1" a="1"/>
  <c r="N1510" s="1"/>
  <c r="M1511" a="1"/>
  <c r="M1511" s="1"/>
  <c r="N1511" s="1" a="1"/>
  <c r="N1511" s="1"/>
  <c r="M1512" a="1"/>
  <c r="M1512" s="1"/>
  <c r="N1512" s="1" a="1"/>
  <c r="N1512" s="1"/>
  <c r="M1513" a="1"/>
  <c r="M1513" s="1"/>
  <c r="N1513" s="1" a="1"/>
  <c r="N1513" s="1"/>
  <c r="M1514" a="1"/>
  <c r="M1514" s="1"/>
  <c r="N1514" s="1" a="1"/>
  <c r="N1514" s="1"/>
  <c r="M1515" a="1"/>
  <c r="M1515" s="1"/>
  <c r="N1515" s="1" a="1"/>
  <c r="N1515" s="1"/>
  <c r="M1516" a="1"/>
  <c r="M1516" s="1"/>
  <c r="N1516" s="1" a="1"/>
  <c r="N1516" s="1"/>
  <c r="M1517" a="1"/>
  <c r="M1517" s="1"/>
  <c r="N1517" s="1" a="1"/>
  <c r="N1517" s="1"/>
  <c r="M1518" a="1"/>
  <c r="M1518" s="1"/>
  <c r="N1518" s="1" a="1"/>
  <c r="N1518" s="1"/>
  <c r="M1519" a="1"/>
  <c r="M1519" s="1"/>
  <c r="N1519" s="1" a="1"/>
  <c r="N1519" s="1"/>
  <c r="M1520" a="1"/>
  <c r="M1520" s="1"/>
  <c r="N1520" s="1" a="1"/>
  <c r="N1520" s="1"/>
  <c r="M1521" a="1"/>
  <c r="M1521" s="1"/>
  <c r="N1521" s="1" a="1"/>
  <c r="N1521" s="1"/>
  <c r="M1522" a="1"/>
  <c r="M1522" s="1"/>
  <c r="N1522" s="1" a="1"/>
  <c r="N1522" s="1"/>
  <c r="M1523" a="1"/>
  <c r="M1523" s="1"/>
  <c r="N1523" s="1" a="1"/>
  <c r="N1523" s="1"/>
  <c r="M1524" a="1"/>
  <c r="M1524" s="1"/>
  <c r="N1524" s="1" a="1"/>
  <c r="N1524" s="1"/>
  <c r="M1525" a="1"/>
  <c r="M1525" s="1"/>
  <c r="N1525" s="1" a="1"/>
  <c r="N1525" s="1"/>
  <c r="M1526" a="1"/>
  <c r="M1526" s="1"/>
  <c r="N1526" s="1" a="1"/>
  <c r="N1526" s="1"/>
  <c r="M1527" a="1"/>
  <c r="M1527" s="1"/>
  <c r="N1527" s="1" a="1"/>
  <c r="N1527" s="1"/>
  <c r="M1528" a="1"/>
  <c r="M1528" s="1"/>
  <c r="N1528" s="1" a="1"/>
  <c r="N1528" s="1"/>
  <c r="M1529" a="1"/>
  <c r="M1529" s="1"/>
  <c r="N1529" s="1" a="1"/>
  <c r="N1529" s="1"/>
  <c r="M1530" a="1"/>
  <c r="M1530" s="1"/>
  <c r="N1530" s="1" a="1"/>
  <c r="N1530" s="1"/>
  <c r="M1531" a="1"/>
  <c r="M1531" s="1"/>
  <c r="N1531" s="1" a="1"/>
  <c r="N1531" s="1"/>
  <c r="M1532" a="1"/>
  <c r="M1532" s="1"/>
  <c r="N1532" s="1" a="1"/>
  <c r="N1532" s="1"/>
  <c r="M1533" a="1"/>
  <c r="M1533" s="1"/>
  <c r="N1533" s="1" a="1"/>
  <c r="N1533" s="1"/>
  <c r="M1534" a="1"/>
  <c r="M1534" s="1"/>
  <c r="N1534" s="1" a="1"/>
  <c r="N1534" s="1"/>
  <c r="M1535" a="1"/>
  <c r="M1535" s="1"/>
  <c r="N1535" s="1" a="1"/>
  <c r="N1535" s="1"/>
  <c r="M1536" a="1"/>
  <c r="M1536" s="1"/>
  <c r="N1536" s="1" a="1"/>
  <c r="N1536" s="1"/>
  <c r="M1537" a="1"/>
  <c r="M1537" s="1"/>
  <c r="N1537" s="1" a="1"/>
  <c r="N1537" s="1"/>
  <c r="M1538" a="1"/>
  <c r="M1538" s="1"/>
  <c r="N1538" s="1" a="1"/>
  <c r="N1538" s="1"/>
  <c r="M1539" a="1"/>
  <c r="M1539" s="1"/>
  <c r="N1539" s="1" a="1"/>
  <c r="N1539" s="1"/>
  <c r="M1540" a="1"/>
  <c r="M1540" s="1"/>
  <c r="N1540" s="1" a="1"/>
  <c r="N1540" s="1"/>
  <c r="M1541" a="1"/>
  <c r="M1541" s="1"/>
  <c r="N1541" s="1" a="1"/>
  <c r="N1541" s="1"/>
  <c r="M1542" a="1"/>
  <c r="M1542" s="1"/>
  <c r="N1542" s="1" a="1"/>
  <c r="N1542" s="1"/>
  <c r="M1543" a="1"/>
  <c r="M1543" s="1"/>
  <c r="N1543" s="1" a="1"/>
  <c r="N1543" s="1"/>
  <c r="M1544" a="1"/>
  <c r="M1544" s="1"/>
  <c r="N1544" s="1" a="1"/>
  <c r="N1544" s="1"/>
  <c r="M1545" a="1"/>
  <c r="M1545" s="1"/>
  <c r="N1545" s="1" a="1"/>
  <c r="N1545" s="1"/>
  <c r="M1546" a="1"/>
  <c r="M1546" s="1"/>
  <c r="N1546" s="1" a="1"/>
  <c r="N1546" s="1"/>
  <c r="M1547" a="1"/>
  <c r="M1547" s="1"/>
  <c r="N1547" s="1" a="1"/>
  <c r="N1547" s="1"/>
  <c r="M1548" a="1"/>
  <c r="M1548" s="1"/>
  <c r="N1548" s="1" a="1"/>
  <c r="N1548" s="1"/>
  <c r="M1549" a="1"/>
  <c r="M1549" s="1"/>
  <c r="N1549" s="1" a="1"/>
  <c r="N1549" s="1"/>
  <c r="M1550" a="1"/>
  <c r="M1550" s="1"/>
  <c r="N1550" s="1" a="1"/>
  <c r="N1550" s="1"/>
  <c r="M1551" a="1"/>
  <c r="M1551" s="1"/>
  <c r="N1551" s="1" a="1"/>
  <c r="N1551" s="1"/>
  <c r="M1552" a="1"/>
  <c r="M1552" s="1"/>
  <c r="N1552" s="1" a="1"/>
  <c r="N1552" s="1"/>
  <c r="M1553" a="1"/>
  <c r="M1553" s="1"/>
  <c r="N1553" s="1" a="1"/>
  <c r="N1553" s="1"/>
  <c r="M1554" a="1"/>
  <c r="M1554" s="1"/>
  <c r="N1554" s="1" a="1"/>
  <c r="N1554" s="1"/>
  <c r="M1555" a="1"/>
  <c r="M1555" s="1"/>
  <c r="N1555" s="1" a="1"/>
  <c r="N1555" s="1"/>
  <c r="M1556" a="1"/>
  <c r="M1556" s="1"/>
  <c r="N1556" s="1" a="1"/>
  <c r="N1556" s="1"/>
  <c r="M1557" a="1"/>
  <c r="M1557" s="1"/>
  <c r="N1557" s="1" a="1"/>
  <c r="N1557" s="1"/>
  <c r="M1558" a="1"/>
  <c r="M1558" s="1"/>
  <c r="N1558" s="1" a="1"/>
  <c r="N1558" s="1"/>
  <c r="M1559" a="1"/>
  <c r="M1559" s="1"/>
  <c r="N1559" s="1" a="1"/>
  <c r="N1559" s="1"/>
  <c r="M1560" a="1"/>
  <c r="M1560" s="1"/>
  <c r="N1560" s="1" a="1"/>
  <c r="N1560" s="1"/>
  <c r="M1561" a="1"/>
  <c r="M1561" s="1"/>
  <c r="N1561" s="1" a="1"/>
  <c r="N1561" s="1"/>
  <c r="M1562" a="1"/>
  <c r="M1562" s="1"/>
  <c r="N1562" s="1" a="1"/>
  <c r="N1562" s="1"/>
  <c r="M1563" a="1"/>
  <c r="M1563" s="1"/>
  <c r="N1563" s="1" a="1"/>
  <c r="N1563" s="1"/>
  <c r="M1564" a="1"/>
  <c r="M1564" s="1"/>
  <c r="N1564" s="1" a="1"/>
  <c r="N1564" s="1"/>
  <c r="M1565" a="1"/>
  <c r="M1565" s="1"/>
  <c r="N1565" s="1" a="1"/>
  <c r="N1565" s="1"/>
  <c r="M1566" a="1"/>
  <c r="M1566" s="1"/>
  <c r="N1566" s="1" a="1"/>
  <c r="N1566" s="1"/>
  <c r="M1567" a="1"/>
  <c r="M1567" s="1"/>
  <c r="N1567" s="1" a="1"/>
  <c r="N1567" s="1"/>
  <c r="M1568" a="1"/>
  <c r="M1568" s="1"/>
  <c r="N1568" s="1" a="1"/>
  <c r="N1568" s="1"/>
  <c r="M1569" a="1"/>
  <c r="M1569" s="1"/>
  <c r="N1569" s="1" a="1"/>
  <c r="N1569" s="1"/>
  <c r="M1570" a="1"/>
  <c r="M1570" s="1"/>
  <c r="N1570" s="1" a="1"/>
  <c r="N1570" s="1"/>
  <c r="M1571" a="1"/>
  <c r="M1571" s="1"/>
  <c r="N1571" s="1" a="1"/>
  <c r="N1571" s="1"/>
  <c r="M1572" a="1"/>
  <c r="M1572" s="1"/>
  <c r="N1572" s="1" a="1"/>
  <c r="N1572" s="1"/>
  <c r="M1573" a="1"/>
  <c r="M1573" s="1"/>
  <c r="N1573" s="1" a="1"/>
  <c r="N1573" s="1"/>
  <c r="M1574" a="1"/>
  <c r="M1574" s="1"/>
  <c r="N1574" s="1" a="1"/>
  <c r="N1574" s="1"/>
  <c r="M1575" a="1"/>
  <c r="M1575" s="1"/>
  <c r="N1575" s="1" a="1"/>
  <c r="N1575" s="1"/>
  <c r="M1576" a="1"/>
  <c r="M1576" s="1"/>
  <c r="N1576" s="1" a="1"/>
  <c r="N1576" s="1"/>
  <c r="M1577" a="1"/>
  <c r="M1577" s="1"/>
  <c r="N1577" s="1" a="1"/>
  <c r="N1577" s="1"/>
  <c r="M1578" a="1"/>
  <c r="M1578" s="1"/>
  <c r="N1578" s="1" a="1"/>
  <c r="N1578" s="1"/>
  <c r="M1579" a="1"/>
  <c r="M1579" s="1"/>
  <c r="N1579" s="1" a="1"/>
  <c r="N1579" s="1"/>
  <c r="M1580" a="1"/>
  <c r="M1580" s="1"/>
  <c r="N1580" s="1" a="1"/>
  <c r="N1580" s="1"/>
  <c r="M1581" a="1"/>
  <c r="M1581" s="1"/>
  <c r="N1581" s="1" a="1"/>
  <c r="N1581" s="1"/>
  <c r="M1582" a="1"/>
  <c r="M1582" s="1"/>
  <c r="N1582" s="1" a="1"/>
  <c r="N1582" s="1"/>
  <c r="M1583" a="1"/>
  <c r="M1583" s="1"/>
  <c r="N1583" s="1" a="1"/>
  <c r="N1583" s="1"/>
  <c r="M1584" a="1"/>
  <c r="M1584" s="1"/>
  <c r="N1584" s="1" a="1"/>
  <c r="N1584" s="1"/>
  <c r="M1585" a="1"/>
  <c r="M1585" s="1"/>
  <c r="N1585" s="1" a="1"/>
  <c r="N1585" s="1"/>
  <c r="M1586" a="1"/>
  <c r="M1586" s="1"/>
  <c r="N1586" s="1" a="1"/>
  <c r="N1586" s="1"/>
  <c r="M1587" a="1"/>
  <c r="M1587" s="1"/>
  <c r="N1587" s="1" a="1"/>
  <c r="N1587" s="1"/>
  <c r="M1588" a="1"/>
  <c r="M1588" s="1"/>
  <c r="N1588" s="1" a="1"/>
  <c r="N1588" s="1"/>
  <c r="M1589" a="1"/>
  <c r="M1589" s="1"/>
  <c r="N1589" s="1" a="1"/>
  <c r="N1589" s="1"/>
  <c r="M1590" a="1"/>
  <c r="M1590" s="1"/>
  <c r="N1590" s="1" a="1"/>
  <c r="N1590" s="1"/>
  <c r="M1591" a="1"/>
  <c r="M1591" s="1"/>
  <c r="N1591" s="1" a="1"/>
  <c r="N1591" s="1"/>
  <c r="M1592" a="1"/>
  <c r="M1592" s="1"/>
  <c r="N1592" s="1" a="1"/>
  <c r="N1592" s="1"/>
  <c r="M1593" a="1"/>
  <c r="M1593" s="1"/>
  <c r="N1593" s="1" a="1"/>
  <c r="N1593" s="1"/>
  <c r="M1594" a="1"/>
  <c r="M1594" s="1"/>
  <c r="N1594" s="1" a="1"/>
  <c r="N1594" s="1"/>
  <c r="M1595" a="1"/>
  <c r="M1595" s="1"/>
  <c r="N1595" s="1" a="1"/>
  <c r="N1595" s="1"/>
  <c r="M1596" a="1"/>
  <c r="M1596" s="1"/>
  <c r="N1596" s="1" a="1"/>
  <c r="N1596" s="1"/>
  <c r="M1597" a="1"/>
  <c r="M1597" s="1"/>
  <c r="N1597" s="1" a="1"/>
  <c r="N1597" s="1"/>
  <c r="M1598" a="1"/>
  <c r="M1598" s="1"/>
  <c r="N1598" s="1" a="1"/>
  <c r="N1598" s="1"/>
  <c r="M1599" a="1"/>
  <c r="M1599" s="1"/>
  <c r="N1599" s="1" a="1"/>
  <c r="N1599" s="1"/>
  <c r="M1600" a="1"/>
  <c r="M1600" s="1"/>
  <c r="N1600" s="1" a="1"/>
  <c r="N1600" s="1"/>
  <c r="M1601" a="1"/>
  <c r="M1601" s="1"/>
  <c r="N1601" s="1" a="1"/>
  <c r="N1601" s="1"/>
  <c r="M1602" a="1"/>
  <c r="M1602" s="1"/>
  <c r="N1602" s="1" a="1"/>
  <c r="N1602" s="1"/>
  <c r="M1603" a="1"/>
  <c r="M1603" s="1"/>
  <c r="N1603" s="1" a="1"/>
  <c r="N1603" s="1"/>
  <c r="M1604" a="1"/>
  <c r="M1604" s="1"/>
  <c r="N1604" s="1" a="1"/>
  <c r="N1604" s="1"/>
  <c r="M1605" a="1"/>
  <c r="M1605" s="1"/>
  <c r="N1605" s="1" a="1"/>
  <c r="N1605" s="1"/>
  <c r="M1606" a="1"/>
  <c r="M1606" s="1"/>
  <c r="N1606" s="1" a="1"/>
  <c r="N1606" s="1"/>
  <c r="M1607" a="1"/>
  <c r="M1607" s="1"/>
  <c r="N1607" s="1" a="1"/>
  <c r="N1607" s="1"/>
  <c r="M1608" a="1"/>
  <c r="M1608" s="1"/>
  <c r="N1608" s="1" a="1"/>
  <c r="N1608" s="1"/>
  <c r="M1609" a="1"/>
  <c r="M1609" s="1"/>
  <c r="N1609" s="1" a="1"/>
  <c r="N1609" s="1"/>
  <c r="M1610" a="1"/>
  <c r="M1610" s="1"/>
  <c r="N1610" s="1" a="1"/>
  <c r="N1610" s="1"/>
  <c r="M1611" a="1"/>
  <c r="M1611" s="1"/>
  <c r="N1611" s="1" a="1"/>
  <c r="N1611" s="1"/>
  <c r="M1612" a="1"/>
  <c r="M1612" s="1"/>
  <c r="N1612" s="1" a="1"/>
  <c r="N1612" s="1"/>
  <c r="M1613" a="1"/>
  <c r="M1613" s="1"/>
  <c r="N1613" s="1" a="1"/>
  <c r="N1613" s="1"/>
  <c r="M1614" a="1"/>
  <c r="M1614" s="1"/>
  <c r="N1614" s="1" a="1"/>
  <c r="N1614" s="1"/>
  <c r="M1615" a="1"/>
  <c r="M1615" s="1"/>
  <c r="N1615" s="1" a="1"/>
  <c r="N1615" s="1"/>
  <c r="M1616" a="1"/>
  <c r="M1616" s="1"/>
  <c r="N1616" s="1" a="1"/>
  <c r="N1616" s="1"/>
  <c r="M1617" a="1"/>
  <c r="M1617" s="1"/>
  <c r="N1617" s="1" a="1"/>
  <c r="N1617" s="1"/>
  <c r="M1618" a="1"/>
  <c r="M1618" s="1"/>
  <c r="N1618" s="1" a="1"/>
  <c r="N1618" s="1"/>
  <c r="M1619" a="1"/>
  <c r="M1619" s="1"/>
  <c r="N1619" s="1" a="1"/>
  <c r="N1619" s="1"/>
  <c r="M1620" a="1"/>
  <c r="M1620" s="1"/>
  <c r="N1620" s="1" a="1"/>
  <c r="N1620" s="1"/>
  <c r="M1621" a="1"/>
  <c r="M1621" s="1"/>
  <c r="N1621" s="1" a="1"/>
  <c r="N1621" s="1"/>
  <c r="M1622" a="1"/>
  <c r="M1622" s="1"/>
  <c r="N1622" s="1" a="1"/>
  <c r="N1622" s="1"/>
  <c r="M1623" a="1"/>
  <c r="M1623" s="1"/>
  <c r="N1623" s="1" a="1"/>
  <c r="N1623" s="1"/>
  <c r="M1624" a="1"/>
  <c r="M1624" s="1"/>
  <c r="N1624" s="1" a="1"/>
  <c r="N1624" s="1"/>
  <c r="M1625" a="1"/>
  <c r="M1625" s="1"/>
  <c r="N1625" s="1" a="1"/>
  <c r="N1625" s="1"/>
  <c r="M1626" a="1"/>
  <c r="M1626" s="1"/>
  <c r="N1626" s="1" a="1"/>
  <c r="N1626" s="1"/>
  <c r="M1627" a="1"/>
  <c r="M1627" s="1"/>
  <c r="N1627" s="1" a="1"/>
  <c r="N1627" s="1"/>
  <c r="M1628" a="1"/>
  <c r="M1628" s="1"/>
  <c r="N1628" s="1" a="1"/>
  <c r="N1628" s="1"/>
  <c r="M1629" a="1"/>
  <c r="M1629" s="1"/>
  <c r="N1629" s="1" a="1"/>
  <c r="N1629" s="1"/>
  <c r="M1630" a="1"/>
  <c r="M1630" s="1"/>
  <c r="N1630" s="1" a="1"/>
  <c r="N1630" s="1"/>
  <c r="M1631" a="1"/>
  <c r="M1631" s="1"/>
  <c r="N1631" s="1" a="1"/>
  <c r="N1631" s="1"/>
  <c r="M1632" a="1"/>
  <c r="M1632" s="1"/>
  <c r="N1632" s="1" a="1"/>
  <c r="N1632" s="1"/>
  <c r="M1633" a="1"/>
  <c r="M1633" s="1"/>
  <c r="N1633" s="1" a="1"/>
  <c r="N1633" s="1"/>
  <c r="M1634" a="1"/>
  <c r="M1634" s="1"/>
  <c r="N1634" s="1" a="1"/>
  <c r="N1634" s="1"/>
  <c r="M1635" a="1"/>
  <c r="M1635" s="1"/>
  <c r="N1635" s="1" a="1"/>
  <c r="N1635" s="1"/>
  <c r="M1636" a="1"/>
  <c r="M1636" s="1"/>
  <c r="N1636" s="1" a="1"/>
  <c r="N1636" s="1"/>
  <c r="M1637" a="1"/>
  <c r="M1637" s="1"/>
  <c r="N1637" s="1" a="1"/>
  <c r="N1637" s="1"/>
  <c r="M1638" a="1"/>
  <c r="M1638" s="1"/>
  <c r="N1638" s="1" a="1"/>
  <c r="N1638" s="1"/>
  <c r="M1639" a="1"/>
  <c r="M1639" s="1"/>
  <c r="N1639" s="1" a="1"/>
  <c r="N1639" s="1"/>
  <c r="M1640" a="1"/>
  <c r="M1640" s="1"/>
  <c r="N1640" s="1" a="1"/>
  <c r="N1640" s="1"/>
  <c r="M1641" a="1"/>
  <c r="M1641" s="1"/>
  <c r="N1641" s="1" a="1"/>
  <c r="N1641" s="1"/>
  <c r="M1642" a="1"/>
  <c r="M1642" s="1"/>
  <c r="N1642" s="1" a="1"/>
  <c r="N1642" s="1"/>
  <c r="M1643" a="1"/>
  <c r="M1643" s="1"/>
  <c r="N1643" s="1" a="1"/>
  <c r="N1643" s="1"/>
  <c r="M1644" a="1"/>
  <c r="M1644" s="1"/>
  <c r="N1644" s="1" a="1"/>
  <c r="N1644" s="1"/>
  <c r="M1645" a="1"/>
  <c r="M1645" s="1"/>
  <c r="N1645" s="1" a="1"/>
  <c r="N1645" s="1"/>
  <c r="M1646" a="1"/>
  <c r="M1646" s="1"/>
  <c r="N1646" s="1" a="1"/>
  <c r="N1646" s="1"/>
  <c r="M1647" a="1"/>
  <c r="M1647" s="1"/>
  <c r="N1647" s="1" a="1"/>
  <c r="N1647" s="1"/>
  <c r="M1648" a="1"/>
  <c r="M1648" s="1"/>
  <c r="N1648" s="1" a="1"/>
  <c r="N1648" s="1"/>
  <c r="M1649" a="1"/>
  <c r="M1649" s="1"/>
  <c r="N1649" s="1" a="1"/>
  <c r="N1649" s="1"/>
  <c r="M1650" a="1"/>
  <c r="M1650" s="1"/>
  <c r="N1650" s="1" a="1"/>
  <c r="N1650" s="1"/>
  <c r="M1651" a="1"/>
  <c r="M1651" s="1"/>
  <c r="N1651" s="1" a="1"/>
  <c r="N1651" s="1"/>
  <c r="M1652" a="1"/>
  <c r="M1652" s="1"/>
  <c r="N1652" s="1" a="1"/>
  <c r="N1652" s="1"/>
  <c r="M1653" a="1"/>
  <c r="M1653" s="1"/>
  <c r="N1653" s="1" a="1"/>
  <c r="N1653" s="1"/>
  <c r="M1654" a="1"/>
  <c r="M1654" s="1"/>
  <c r="N1654" s="1" a="1"/>
  <c r="N1654" s="1"/>
  <c r="M1655" a="1"/>
  <c r="M1655" s="1"/>
  <c r="N1655" s="1" a="1"/>
  <c r="N1655" s="1"/>
  <c r="M1656" a="1"/>
  <c r="M1656" s="1"/>
  <c r="N1656" s="1" a="1"/>
  <c r="N1656" s="1"/>
  <c r="M1657" a="1"/>
  <c r="M1657" s="1"/>
  <c r="N1657" s="1" a="1"/>
  <c r="N1657" s="1"/>
  <c r="M1658" a="1"/>
  <c r="M1658" s="1"/>
  <c r="N1658" s="1" a="1"/>
  <c r="N1658" s="1"/>
  <c r="M1659" a="1"/>
  <c r="M1659" s="1"/>
  <c r="N1659" s="1" a="1"/>
  <c r="N1659" s="1"/>
  <c r="M1660" a="1"/>
  <c r="M1660" s="1"/>
  <c r="N1660" s="1" a="1"/>
  <c r="N1660" s="1"/>
  <c r="M1661" a="1"/>
  <c r="M1661" s="1"/>
  <c r="N1661" s="1" a="1"/>
  <c r="N1661" s="1"/>
  <c r="M1662" a="1"/>
  <c r="M1662" s="1"/>
  <c r="N1662" s="1" a="1"/>
  <c r="N1662" s="1"/>
  <c r="M1663" a="1"/>
  <c r="M1663" s="1"/>
  <c r="N1663" s="1" a="1"/>
  <c r="N1663" s="1"/>
  <c r="M1664" a="1"/>
  <c r="M1664" s="1"/>
  <c r="N1664" s="1" a="1"/>
  <c r="N1664" s="1"/>
  <c r="M1665" a="1"/>
  <c r="M1665" s="1"/>
  <c r="N1665" s="1" a="1"/>
  <c r="N1665" s="1"/>
  <c r="M1666" a="1"/>
  <c r="M1666" s="1"/>
  <c r="N1666" s="1" a="1"/>
  <c r="N1666" s="1"/>
  <c r="M1667" a="1"/>
  <c r="M1667" s="1"/>
  <c r="N1667" s="1" a="1"/>
  <c r="N1667" s="1"/>
  <c r="M1668" a="1"/>
  <c r="M1668" s="1"/>
  <c r="N1668" s="1" a="1"/>
  <c r="N1668" s="1"/>
  <c r="M1669" a="1"/>
  <c r="M1669" s="1"/>
  <c r="N1669" s="1" a="1"/>
  <c r="N1669" s="1"/>
  <c r="M1670" a="1"/>
  <c r="M1670" s="1"/>
  <c r="N1670" s="1" a="1"/>
  <c r="N1670" s="1"/>
  <c r="M1671" a="1"/>
  <c r="M1671" s="1"/>
  <c r="N1671" s="1" a="1"/>
  <c r="N1671" s="1"/>
  <c r="M1672" a="1"/>
  <c r="M1672" s="1"/>
  <c r="N1672" s="1" a="1"/>
  <c r="N1672" s="1"/>
  <c r="M1673" a="1"/>
  <c r="M1673" s="1"/>
  <c r="N1673" s="1" a="1"/>
  <c r="N1673" s="1"/>
  <c r="M1674" a="1"/>
  <c r="M1674" s="1"/>
  <c r="N1674" s="1" a="1"/>
  <c r="N1674" s="1"/>
  <c r="M1675" a="1"/>
  <c r="M1675" s="1"/>
  <c r="N1675" s="1" a="1"/>
  <c r="N1675" s="1"/>
  <c r="M1676" a="1"/>
  <c r="M1676" s="1"/>
  <c r="N1676" s="1" a="1"/>
  <c r="N1676" s="1"/>
  <c r="M1677" a="1"/>
  <c r="M1677" s="1"/>
  <c r="N1677" s="1" a="1"/>
  <c r="N1677" s="1"/>
  <c r="M1678" a="1"/>
  <c r="M1678" s="1"/>
  <c r="N1678" s="1" a="1"/>
  <c r="N1678" s="1"/>
  <c r="M1679" a="1"/>
  <c r="M1679" s="1"/>
  <c r="N1679" s="1" a="1"/>
  <c r="N1679" s="1"/>
  <c r="M1680" a="1"/>
  <c r="M1680" s="1"/>
  <c r="N1680" s="1" a="1"/>
  <c r="N1680" s="1"/>
  <c r="M1681" a="1"/>
  <c r="M1681" s="1"/>
  <c r="N1681" s="1" a="1"/>
  <c r="N1681" s="1"/>
  <c r="M1682" a="1"/>
  <c r="M1682" s="1"/>
  <c r="N1682" s="1" a="1"/>
  <c r="N1682" s="1"/>
  <c r="M1683" a="1"/>
  <c r="M1683" s="1"/>
  <c r="N1683" s="1" a="1"/>
  <c r="N1683" s="1"/>
  <c r="M1684" a="1"/>
  <c r="M1684" s="1"/>
  <c r="N1684" s="1" a="1"/>
  <c r="N1684" s="1"/>
  <c r="M1685" a="1"/>
  <c r="M1685" s="1"/>
  <c r="N1685" s="1" a="1"/>
  <c r="N1685" s="1"/>
  <c r="M1686" a="1"/>
  <c r="M1686" s="1"/>
  <c r="N1686" s="1" a="1"/>
  <c r="N1686" s="1"/>
  <c r="M1687" a="1"/>
  <c r="M1687" s="1"/>
  <c r="N1687" s="1" a="1"/>
  <c r="N1687" s="1"/>
  <c r="M1688" a="1"/>
  <c r="M1688" s="1"/>
  <c r="N1688" s="1" a="1"/>
  <c r="N1688" s="1"/>
  <c r="M1689" a="1"/>
  <c r="M1689" s="1"/>
  <c r="N1689" s="1" a="1"/>
  <c r="N1689" s="1"/>
  <c r="M1690" a="1"/>
  <c r="M1690" s="1"/>
  <c r="N1690" s="1" a="1"/>
  <c r="N1690" s="1"/>
  <c r="M1691" a="1"/>
  <c r="M1691" s="1"/>
  <c r="N1691" s="1" a="1"/>
  <c r="N1691" s="1"/>
  <c r="M1692" a="1"/>
  <c r="M1692" s="1"/>
  <c r="N1692" s="1" a="1"/>
  <c r="N1692" s="1"/>
  <c r="M1693" a="1"/>
  <c r="M1693" s="1"/>
  <c r="N1693" s="1" a="1"/>
  <c r="N1693" s="1"/>
  <c r="M1694" a="1"/>
  <c r="M1694" s="1"/>
  <c r="N1694" s="1" a="1"/>
  <c r="N1694" s="1"/>
  <c r="M1695" a="1"/>
  <c r="M1695" s="1"/>
  <c r="N1695" s="1" a="1"/>
  <c r="N1695" s="1"/>
  <c r="M1696" a="1"/>
  <c r="M1696" s="1"/>
  <c r="N1696" s="1" a="1"/>
  <c r="N1696" s="1"/>
  <c r="M1697" a="1"/>
  <c r="M1697" s="1"/>
  <c r="N1697" s="1" a="1"/>
  <c r="N1697" s="1"/>
  <c r="M1698" a="1"/>
  <c r="M1698" s="1"/>
  <c r="N1698" s="1" a="1"/>
  <c r="N1698" s="1"/>
  <c r="M1699" a="1"/>
  <c r="M1699" s="1"/>
  <c r="N1699" s="1" a="1"/>
  <c r="N1699" s="1"/>
  <c r="M1700" a="1"/>
  <c r="M1700" s="1"/>
  <c r="N1700" s="1" a="1"/>
  <c r="N1700" s="1"/>
  <c r="M1701" a="1"/>
  <c r="M1701" s="1"/>
  <c r="N1701" s="1" a="1"/>
  <c r="N1701" s="1"/>
  <c r="M1702" a="1"/>
  <c r="M1702" s="1"/>
  <c r="N1702" s="1" a="1"/>
  <c r="N1702" s="1"/>
  <c r="M1703" a="1"/>
  <c r="M1703" s="1"/>
  <c r="N1703" s="1" a="1"/>
  <c r="N1703" s="1"/>
  <c r="M1704" a="1"/>
  <c r="M1704" s="1"/>
  <c r="N1704" s="1" a="1"/>
  <c r="N1704" s="1"/>
  <c r="M1705" a="1"/>
  <c r="M1705" s="1"/>
  <c r="N1705" s="1" a="1"/>
  <c r="N1705" s="1"/>
  <c r="M1706" a="1"/>
  <c r="M1706" s="1"/>
  <c r="N1706" s="1" a="1"/>
  <c r="N1706" s="1"/>
  <c r="M1707" a="1"/>
  <c r="M1707" s="1"/>
  <c r="N1707" s="1" a="1"/>
  <c r="N1707" s="1"/>
  <c r="M1708" a="1"/>
  <c r="M1708" s="1"/>
  <c r="N1708" s="1" a="1"/>
  <c r="N1708" s="1"/>
  <c r="M1709" a="1"/>
  <c r="M1709" s="1"/>
  <c r="N1709" s="1" a="1"/>
  <c r="N1709" s="1"/>
  <c r="M1710" a="1"/>
  <c r="M1710" s="1"/>
  <c r="N1710" s="1" a="1"/>
  <c r="N1710" s="1"/>
  <c r="M1711" a="1"/>
  <c r="M1711" s="1"/>
  <c r="N1711" s="1" a="1"/>
  <c r="N1711" s="1"/>
  <c r="M1712" a="1"/>
  <c r="M1712" s="1"/>
  <c r="N1712" s="1" a="1"/>
  <c r="N1712" s="1"/>
  <c r="M1713" a="1"/>
  <c r="M1713" s="1"/>
  <c r="N1713" s="1" a="1"/>
  <c r="N1713" s="1"/>
  <c r="M1714" a="1"/>
  <c r="M1714" s="1"/>
  <c r="N1714" s="1" a="1"/>
  <c r="N1714" s="1"/>
  <c r="M1715" a="1"/>
  <c r="M1715" s="1"/>
  <c r="N1715" s="1" a="1"/>
  <c r="N1715" s="1"/>
  <c r="M1716" a="1"/>
  <c r="M1716" s="1"/>
  <c r="N1716" s="1" a="1"/>
  <c r="N1716" s="1"/>
  <c r="M1717" a="1"/>
  <c r="M1717" s="1"/>
  <c r="N1717" s="1" a="1"/>
  <c r="N1717" s="1"/>
  <c r="M1718" a="1"/>
  <c r="M1718" s="1"/>
  <c r="N1718" s="1" a="1"/>
  <c r="N1718" s="1"/>
  <c r="M1719" a="1"/>
  <c r="M1719" s="1"/>
  <c r="N1719" s="1" a="1"/>
  <c r="N1719" s="1"/>
  <c r="M1720" a="1"/>
  <c r="M1720" s="1"/>
  <c r="N1720" s="1" a="1"/>
  <c r="N1720" s="1"/>
  <c r="M1721" a="1"/>
  <c r="M1721" s="1"/>
  <c r="N1721" s="1" a="1"/>
  <c r="N1721" s="1"/>
  <c r="M1722" a="1"/>
  <c r="M1722" s="1"/>
  <c r="N1722" s="1" a="1"/>
  <c r="N1722" s="1"/>
  <c r="M1723" a="1"/>
  <c r="M1723" s="1"/>
  <c r="N1723" s="1" a="1"/>
  <c r="N1723" s="1"/>
  <c r="M1724" a="1"/>
  <c r="M1724" s="1"/>
  <c r="N1724" s="1" a="1"/>
  <c r="N1724" s="1"/>
  <c r="M1725" a="1"/>
  <c r="M1725" s="1"/>
  <c r="N1725" s="1" a="1"/>
  <c r="N1725" s="1"/>
  <c r="M1726" a="1"/>
  <c r="M1726" s="1"/>
  <c r="N1726" s="1" a="1"/>
  <c r="N1726" s="1"/>
  <c r="M1727" a="1"/>
  <c r="M1727" s="1"/>
  <c r="N1727" s="1" a="1"/>
  <c r="N1727" s="1"/>
  <c r="M1728" a="1"/>
  <c r="M1728" s="1"/>
  <c r="N1728" s="1" a="1"/>
  <c r="N1728" s="1"/>
  <c r="M1729" a="1"/>
  <c r="M1729" s="1"/>
  <c r="N1729" s="1" a="1"/>
  <c r="N1729" s="1"/>
  <c r="M1730" a="1"/>
  <c r="M1730" s="1"/>
  <c r="N1730" s="1" a="1"/>
  <c r="N1730" s="1"/>
  <c r="M1731" a="1"/>
  <c r="M1731" s="1"/>
  <c r="N1731" s="1" a="1"/>
  <c r="N1731" s="1"/>
  <c r="M1732" a="1"/>
  <c r="M1732" s="1"/>
  <c r="N1732" s="1" a="1"/>
  <c r="N1732" s="1"/>
  <c r="M1733" a="1"/>
  <c r="M1733" s="1"/>
  <c r="N1733" s="1" a="1"/>
  <c r="N1733" s="1"/>
  <c r="M1734" a="1"/>
  <c r="M1734" s="1"/>
  <c r="N1734" s="1" a="1"/>
  <c r="N1734" s="1"/>
  <c r="M1735" a="1"/>
  <c r="M1735" s="1"/>
  <c r="N1735" s="1" a="1"/>
  <c r="N1735" s="1"/>
  <c r="M1736" a="1"/>
  <c r="M1736" s="1"/>
  <c r="N1736" s="1" a="1"/>
  <c r="N1736" s="1"/>
  <c r="M1737" a="1"/>
  <c r="M1737" s="1"/>
  <c r="N1737" s="1" a="1"/>
  <c r="N1737" s="1"/>
  <c r="M1738" a="1"/>
  <c r="M1738" s="1"/>
  <c r="N1738" s="1" a="1"/>
  <c r="N1738" s="1"/>
  <c r="M1739" a="1"/>
  <c r="M1739" s="1"/>
  <c r="N1739" s="1" a="1"/>
  <c r="N1739" s="1"/>
  <c r="M1740" a="1"/>
  <c r="M1740" s="1"/>
  <c r="N1740" s="1" a="1"/>
  <c r="N1740" s="1"/>
  <c r="M1741" a="1"/>
  <c r="M1741" s="1"/>
  <c r="N1741" s="1" a="1"/>
  <c r="N1741" s="1"/>
  <c r="M1742" a="1"/>
  <c r="M1742" s="1"/>
  <c r="N1742" s="1" a="1"/>
  <c r="N1742" s="1"/>
  <c r="M1743" a="1"/>
  <c r="M1743" s="1"/>
  <c r="N1743" s="1" a="1"/>
  <c r="N1743" s="1"/>
  <c r="M1744" a="1"/>
  <c r="M1744" s="1"/>
  <c r="N1744" s="1" a="1"/>
  <c r="N1744" s="1"/>
  <c r="M1745" a="1"/>
  <c r="M1745" s="1"/>
  <c r="N1745" s="1" a="1"/>
  <c r="N1745" s="1"/>
  <c r="M1746" a="1"/>
  <c r="M1746" s="1"/>
  <c r="N1746" s="1" a="1"/>
  <c r="N1746" s="1"/>
  <c r="M1747" a="1"/>
  <c r="M1747" s="1"/>
  <c r="N1747" s="1" a="1"/>
  <c r="N1747" s="1"/>
  <c r="M1748" a="1"/>
  <c r="M1748" s="1"/>
  <c r="N1748" s="1" a="1"/>
  <c r="N1748" s="1"/>
  <c r="M1749" a="1"/>
  <c r="M1749" s="1"/>
  <c r="N1749" s="1" a="1"/>
  <c r="N1749" s="1"/>
  <c r="M1750" a="1"/>
  <c r="M1750" s="1"/>
  <c r="N1750" s="1" a="1"/>
  <c r="N1750" s="1"/>
  <c r="M1751" a="1"/>
  <c r="M1751" s="1"/>
  <c r="N1751" s="1" a="1"/>
  <c r="N1751" s="1"/>
  <c r="M1752" a="1"/>
  <c r="M1752" s="1"/>
  <c r="N1752" s="1" a="1"/>
  <c r="N1752" s="1"/>
  <c r="M1753" a="1"/>
  <c r="M1753" s="1"/>
  <c r="N1753" s="1" a="1"/>
  <c r="N1753" s="1"/>
  <c r="M1754" a="1"/>
  <c r="M1754" s="1"/>
  <c r="N1754" s="1" a="1"/>
  <c r="N1754" s="1"/>
  <c r="M1755" a="1"/>
  <c r="M1755" s="1"/>
  <c r="N1755" s="1" a="1"/>
  <c r="N1755" s="1"/>
  <c r="M1756" a="1"/>
  <c r="M1756" s="1"/>
  <c r="N1756" s="1" a="1"/>
  <c r="N1756" s="1"/>
  <c r="M1757" a="1"/>
  <c r="M1757" s="1"/>
  <c r="N1757" s="1" a="1"/>
  <c r="N1757" s="1"/>
  <c r="M1758" a="1"/>
  <c r="M1758" s="1"/>
  <c r="N1758" s="1" a="1"/>
  <c r="N1758" s="1"/>
  <c r="M1759" a="1"/>
  <c r="M1759" s="1"/>
  <c r="N1759" s="1" a="1"/>
  <c r="N1759" s="1"/>
  <c r="M1760" a="1"/>
  <c r="M1760" s="1"/>
  <c r="N1760" s="1" a="1"/>
  <c r="N1760" s="1"/>
  <c r="M1761" a="1"/>
  <c r="M1761" s="1"/>
  <c r="N1761" s="1" a="1"/>
  <c r="N1761" s="1"/>
  <c r="M1762" a="1"/>
  <c r="M1762" s="1"/>
  <c r="N1762" s="1" a="1"/>
  <c r="N1762" s="1"/>
  <c r="M1763" a="1"/>
  <c r="M1763" s="1"/>
  <c r="N1763" s="1" a="1"/>
  <c r="N1763" s="1"/>
  <c r="M1764" a="1"/>
  <c r="M1764" s="1"/>
  <c r="N1764" s="1" a="1"/>
  <c r="N1764" s="1"/>
  <c r="M1765" a="1"/>
  <c r="M1765" s="1"/>
  <c r="N1765" s="1" a="1"/>
  <c r="N1765" s="1"/>
  <c r="M1766" a="1"/>
  <c r="M1766" s="1"/>
  <c r="N1766" s="1" a="1"/>
  <c r="N1766" s="1"/>
  <c r="M1767" a="1"/>
  <c r="M1767" s="1"/>
  <c r="N1767" s="1" a="1"/>
  <c r="N1767" s="1"/>
  <c r="M1768" a="1"/>
  <c r="M1768" s="1"/>
  <c r="N1768" s="1" a="1"/>
  <c r="N1768" s="1"/>
  <c r="M1769" a="1"/>
  <c r="M1769" s="1"/>
  <c r="N1769" s="1" a="1"/>
  <c r="N1769" s="1"/>
  <c r="M1770" a="1"/>
  <c r="M1770" s="1"/>
  <c r="N1770" s="1" a="1"/>
  <c r="N1770" s="1"/>
  <c r="M1771" a="1"/>
  <c r="M1771" s="1"/>
  <c r="N1771" s="1" a="1"/>
  <c r="N1771" s="1"/>
  <c r="M1772" a="1"/>
  <c r="M1772" s="1"/>
  <c r="N1772" s="1" a="1"/>
  <c r="N1772" s="1"/>
  <c r="M1773" a="1"/>
  <c r="M1773" s="1"/>
  <c r="N1773" s="1" a="1"/>
  <c r="N1773" s="1"/>
  <c r="M1774" a="1"/>
  <c r="M1774" s="1"/>
  <c r="N1774" s="1" a="1"/>
  <c r="N1774" s="1"/>
  <c r="M1775" a="1"/>
  <c r="M1775" s="1"/>
  <c r="N1775" s="1" a="1"/>
  <c r="N1775" s="1"/>
  <c r="M1776" a="1"/>
  <c r="M1776" s="1"/>
  <c r="N1776" s="1" a="1"/>
  <c r="N1776" s="1"/>
  <c r="M1777" a="1"/>
  <c r="M1777" s="1"/>
  <c r="N1777" s="1" a="1"/>
  <c r="N1777" s="1"/>
  <c r="M1778" a="1"/>
  <c r="M1778" s="1"/>
  <c r="N1778" s="1" a="1"/>
  <c r="N1778" s="1"/>
  <c r="M1779" a="1"/>
  <c r="M1779" s="1"/>
  <c r="N1779" s="1" a="1"/>
  <c r="N1779" s="1"/>
  <c r="M1780" a="1"/>
  <c r="M1780" s="1"/>
  <c r="N1780" s="1" a="1"/>
  <c r="N1780" s="1"/>
  <c r="M1781" a="1"/>
  <c r="M1781" s="1"/>
  <c r="N1781" s="1" a="1"/>
  <c r="N1781" s="1"/>
  <c r="M1782" a="1"/>
  <c r="M1782" s="1"/>
  <c r="N1782" s="1" a="1"/>
  <c r="N1782" s="1"/>
  <c r="M1783" a="1"/>
  <c r="M1783" s="1"/>
  <c r="N1783" s="1" a="1"/>
  <c r="N1783" s="1"/>
  <c r="M1784" a="1"/>
  <c r="M1784" s="1"/>
  <c r="N1784" s="1" a="1"/>
  <c r="N1784" s="1"/>
  <c r="M1785" a="1"/>
  <c r="M1785" s="1"/>
  <c r="N1785" s="1" a="1"/>
  <c r="N1785" s="1"/>
  <c r="M1786" a="1"/>
  <c r="M1786" s="1"/>
  <c r="N1786" s="1" a="1"/>
  <c r="N1786" s="1"/>
  <c r="M1787" a="1"/>
  <c r="M1787" s="1"/>
  <c r="N1787" s="1" a="1"/>
  <c r="N1787" s="1"/>
  <c r="M1788" a="1"/>
  <c r="M1788" s="1"/>
  <c r="N1788" s="1" a="1"/>
  <c r="N1788" s="1"/>
  <c r="M1789" a="1"/>
  <c r="M1789" s="1"/>
  <c r="N1789" s="1" a="1"/>
  <c r="N1789" s="1"/>
  <c r="M1790" a="1"/>
  <c r="M1790" s="1"/>
  <c r="N1790" s="1" a="1"/>
  <c r="N1790" s="1"/>
  <c r="M1791" a="1"/>
  <c r="M1791" s="1"/>
  <c r="N1791" s="1" a="1"/>
  <c r="N1791" s="1"/>
  <c r="M1792" a="1"/>
  <c r="M1792" s="1"/>
  <c r="N1792" s="1" a="1"/>
  <c r="N1792" s="1"/>
  <c r="M1793" a="1"/>
  <c r="M1793" s="1"/>
  <c r="N1793" s="1" a="1"/>
  <c r="N1793" s="1"/>
  <c r="M1794" a="1"/>
  <c r="M1794" s="1"/>
  <c r="N1794" s="1" a="1"/>
  <c r="N1794" s="1"/>
  <c r="M1795" a="1"/>
  <c r="M1795" s="1"/>
  <c r="N1795" s="1" a="1"/>
  <c r="N1795" s="1"/>
  <c r="M1796" a="1"/>
  <c r="M1796" s="1"/>
  <c r="N1796" s="1" a="1"/>
  <c r="N1796" s="1"/>
  <c r="M1797" a="1"/>
  <c r="M1797" s="1"/>
  <c r="N1797" s="1" a="1"/>
  <c r="N1797" s="1"/>
  <c r="M1798" a="1"/>
  <c r="M1798" s="1"/>
  <c r="N1798" s="1" a="1"/>
  <c r="N1798" s="1"/>
  <c r="M1799" a="1"/>
  <c r="M1799" s="1"/>
  <c r="N1799" s="1" a="1"/>
  <c r="N1799" s="1"/>
  <c r="M1800" a="1"/>
  <c r="M1800" s="1"/>
  <c r="N1800" s="1" a="1"/>
  <c r="N1800" s="1"/>
  <c r="M1801" a="1"/>
  <c r="M1801" s="1"/>
  <c r="N1801" s="1" a="1"/>
  <c r="N1801" s="1"/>
  <c r="M1802" a="1"/>
  <c r="M1802" s="1"/>
  <c r="N1802" s="1" a="1"/>
  <c r="N1802" s="1"/>
  <c r="M1803" a="1"/>
  <c r="M1803" s="1"/>
  <c r="N1803" s="1" a="1"/>
  <c r="N1803" s="1"/>
  <c r="M1804" a="1"/>
  <c r="M1804" s="1"/>
  <c r="N1804" s="1" a="1"/>
  <c r="N1804" s="1"/>
  <c r="M1805" a="1"/>
  <c r="M1805" s="1"/>
  <c r="N1805" s="1" a="1"/>
  <c r="N1805" s="1"/>
  <c r="M1806" a="1"/>
  <c r="M1806" s="1"/>
  <c r="N1806" s="1" a="1"/>
  <c r="N1806" s="1"/>
  <c r="M1807" a="1"/>
  <c r="M1807" s="1"/>
  <c r="N1807" s="1" a="1"/>
  <c r="N1807" s="1"/>
  <c r="M1808" a="1"/>
  <c r="M1808" s="1"/>
  <c r="N1808" s="1" a="1"/>
  <c r="N1808" s="1"/>
  <c r="M1809" a="1"/>
  <c r="M1809" s="1"/>
  <c r="N1809" s="1" a="1"/>
  <c r="N1809" s="1"/>
  <c r="M1810" a="1"/>
  <c r="M1810" s="1"/>
  <c r="N1810" s="1" a="1"/>
  <c r="N1810" s="1"/>
  <c r="M1811" a="1"/>
  <c r="M1811" s="1"/>
  <c r="N1811" s="1" a="1"/>
  <c r="N1811" s="1"/>
  <c r="M1812" a="1"/>
  <c r="M1812" s="1"/>
  <c r="N1812" s="1" a="1"/>
  <c r="N1812" s="1"/>
  <c r="M1813" a="1"/>
  <c r="M1813" s="1"/>
  <c r="N1813" s="1" a="1"/>
  <c r="N1813" s="1"/>
  <c r="M1814" a="1"/>
  <c r="M1814" s="1"/>
  <c r="N1814" s="1" a="1"/>
  <c r="N1814" s="1"/>
  <c r="M1815" a="1"/>
  <c r="M1815" s="1"/>
  <c r="N1815" s="1" a="1"/>
  <c r="N1815" s="1"/>
  <c r="M1816" a="1"/>
  <c r="M1816" s="1"/>
  <c r="N1816" s="1" a="1"/>
  <c r="N1816" s="1"/>
  <c r="M1817" a="1"/>
  <c r="M1817" s="1"/>
  <c r="N1817" s="1" a="1"/>
  <c r="N1817" s="1"/>
  <c r="M1818" a="1"/>
  <c r="M1818" s="1"/>
  <c r="N1818" s="1" a="1"/>
  <c r="N1818" s="1"/>
  <c r="M1819" a="1"/>
  <c r="M1819" s="1"/>
  <c r="N1819" s="1" a="1"/>
  <c r="N1819" s="1"/>
  <c r="M1820" a="1"/>
  <c r="M1820" s="1"/>
  <c r="N1820" s="1" a="1"/>
  <c r="N1820" s="1"/>
  <c r="M1821" a="1"/>
  <c r="M1821" s="1"/>
  <c r="N1821" s="1" a="1"/>
  <c r="N1821" s="1"/>
  <c r="M1822" a="1"/>
  <c r="M1822" s="1"/>
  <c r="N1822" s="1" a="1"/>
  <c r="N1822" s="1"/>
  <c r="M1823" a="1"/>
  <c r="M1823" s="1"/>
  <c r="N1823" s="1" a="1"/>
  <c r="N1823" s="1"/>
  <c r="M1824" a="1"/>
  <c r="M1824" s="1"/>
  <c r="N1824" s="1" a="1"/>
  <c r="N1824" s="1"/>
  <c r="M1825" a="1"/>
  <c r="M1825" s="1"/>
  <c r="N1825" s="1" a="1"/>
  <c r="N1825" s="1"/>
  <c r="M1826" a="1"/>
  <c r="M1826" s="1"/>
  <c r="N1826" s="1" a="1"/>
  <c r="N1826" s="1"/>
  <c r="M1827" a="1"/>
  <c r="M1827" s="1"/>
  <c r="N1827" s="1" a="1"/>
  <c r="N1827" s="1"/>
  <c r="M1828" a="1"/>
  <c r="M1828" s="1"/>
  <c r="N1828" s="1" a="1"/>
  <c r="N1828" s="1"/>
  <c r="M1829" a="1"/>
  <c r="M1829" s="1"/>
  <c r="N1829" s="1" a="1"/>
  <c r="N1829" s="1"/>
  <c r="M1830" a="1"/>
  <c r="M1830" s="1"/>
  <c r="N1830" s="1" a="1"/>
  <c r="N1830" s="1"/>
  <c r="M1831" a="1"/>
  <c r="M1831" s="1"/>
  <c r="N1831" s="1" a="1"/>
  <c r="N1831" s="1"/>
  <c r="M1832" a="1"/>
  <c r="M1832" s="1"/>
  <c r="N1832" s="1" a="1"/>
  <c r="N1832" s="1"/>
  <c r="M1833" a="1"/>
  <c r="M1833" s="1"/>
  <c r="N1833" s="1" a="1"/>
  <c r="N1833" s="1"/>
  <c r="M1834" a="1"/>
  <c r="M1834" s="1"/>
  <c r="N1834" s="1" a="1"/>
  <c r="N1834" s="1"/>
  <c r="M1835" a="1"/>
  <c r="M1835" s="1"/>
  <c r="N1835" s="1" a="1"/>
  <c r="N1835" s="1"/>
  <c r="M1836" a="1"/>
  <c r="M1836" s="1"/>
  <c r="N1836" s="1" a="1"/>
  <c r="N1836" s="1"/>
  <c r="M1837" a="1"/>
  <c r="M1837" s="1"/>
  <c r="N1837" s="1" a="1"/>
  <c r="N1837" s="1"/>
  <c r="M1838" a="1"/>
  <c r="M1838" s="1"/>
  <c r="N1838" s="1" a="1"/>
  <c r="N1838" s="1"/>
  <c r="M1839" a="1"/>
  <c r="M1839" s="1"/>
  <c r="N1839" s="1" a="1"/>
  <c r="N1839" s="1"/>
  <c r="M1840" a="1"/>
  <c r="M1840" s="1"/>
  <c r="N1840" s="1" a="1"/>
  <c r="N1840" s="1"/>
  <c r="M1841" a="1"/>
  <c r="M1841" s="1"/>
  <c r="N1841" s="1" a="1"/>
  <c r="N1841" s="1"/>
  <c r="M1842" a="1"/>
  <c r="M1842" s="1"/>
  <c r="N1842" s="1" a="1"/>
  <c r="N1842" s="1"/>
  <c r="M1843" a="1"/>
  <c r="M1843" s="1"/>
  <c r="N1843" s="1" a="1"/>
  <c r="N1843" s="1"/>
  <c r="M1844" a="1"/>
  <c r="M1844" s="1"/>
  <c r="N1844" s="1" a="1"/>
  <c r="N1844" s="1"/>
  <c r="M1845" a="1"/>
  <c r="M1845" s="1"/>
  <c r="N1845" s="1" a="1"/>
  <c r="N1845" s="1"/>
  <c r="M1846" a="1"/>
  <c r="M1846" s="1"/>
  <c r="N1846" s="1" a="1"/>
  <c r="N1846" s="1"/>
  <c r="M1847" a="1"/>
  <c r="M1847" s="1"/>
  <c r="N1847" s="1" a="1"/>
  <c r="N1847" s="1"/>
  <c r="M1848" a="1"/>
  <c r="M1848" s="1"/>
  <c r="N1848" s="1" a="1"/>
  <c r="N1848" s="1"/>
  <c r="M1849" a="1"/>
  <c r="M1849" s="1"/>
  <c r="N1849" s="1" a="1"/>
  <c r="N1849" s="1"/>
  <c r="M1850" a="1"/>
  <c r="M1850" s="1"/>
  <c r="N1850" s="1" a="1"/>
  <c r="N1850" s="1"/>
  <c r="M1851" a="1"/>
  <c r="M1851" s="1"/>
  <c r="N1851" s="1" a="1"/>
  <c r="N1851" s="1"/>
  <c r="M1852" a="1"/>
  <c r="M1852" s="1"/>
  <c r="N1852" s="1" a="1"/>
  <c r="N1852" s="1"/>
  <c r="M1853" a="1"/>
  <c r="M1853" s="1"/>
  <c r="N1853" s="1" a="1"/>
  <c r="N1853" s="1"/>
  <c r="M1854" a="1"/>
  <c r="M1854" s="1"/>
  <c r="N1854" s="1" a="1"/>
  <c r="N1854" s="1"/>
  <c r="M1855" a="1"/>
  <c r="M1855" s="1"/>
  <c r="N1855" s="1" a="1"/>
  <c r="N1855" s="1"/>
  <c r="M1856" a="1"/>
  <c r="M1856" s="1"/>
  <c r="N1856" s="1" a="1"/>
  <c r="N1856" s="1"/>
  <c r="M1857" a="1"/>
  <c r="M1857" s="1"/>
  <c r="N1857" s="1" a="1"/>
  <c r="N1857" s="1"/>
  <c r="M1858" a="1"/>
  <c r="M1858" s="1"/>
  <c r="N1858" s="1" a="1"/>
  <c r="N1858" s="1"/>
  <c r="M1859" a="1"/>
  <c r="M1859" s="1"/>
  <c r="N1859" s="1" a="1"/>
  <c r="N1859" s="1"/>
  <c r="M1860" a="1"/>
  <c r="M1860" s="1"/>
  <c r="N1860" s="1" a="1"/>
  <c r="N1860" s="1"/>
  <c r="M1861" a="1"/>
  <c r="M1861" s="1"/>
  <c r="N1861" s="1" a="1"/>
  <c r="N1861" s="1"/>
  <c r="M1862" a="1"/>
  <c r="M1862" s="1"/>
  <c r="N1862" s="1" a="1"/>
  <c r="N1862" s="1"/>
  <c r="M1863" a="1"/>
  <c r="M1863" s="1"/>
  <c r="N1863" s="1" a="1"/>
  <c r="N1863" s="1"/>
  <c r="M1864" a="1"/>
  <c r="M1864" s="1"/>
  <c r="N1864" s="1" a="1"/>
  <c r="N1864" s="1"/>
  <c r="M1865" a="1"/>
  <c r="M1865" s="1"/>
  <c r="N1865" s="1" a="1"/>
  <c r="N1865" s="1"/>
  <c r="M1866" a="1"/>
  <c r="M1866" s="1"/>
  <c r="N1866" s="1" a="1"/>
  <c r="N1866" s="1"/>
  <c r="M1867" a="1"/>
  <c r="M1867" s="1"/>
  <c r="N1867" s="1" a="1"/>
  <c r="N1867" s="1"/>
  <c r="M1868" a="1"/>
  <c r="M1868" s="1"/>
  <c r="N1868" s="1" a="1"/>
  <c r="N1868" s="1"/>
  <c r="M1869" a="1"/>
  <c r="M1869" s="1"/>
  <c r="N1869" s="1" a="1"/>
  <c r="N1869" s="1"/>
  <c r="M1870" a="1"/>
  <c r="M1870" s="1"/>
  <c r="N1870" s="1" a="1"/>
  <c r="N1870" s="1"/>
  <c r="M1871" a="1"/>
  <c r="M1871" s="1"/>
  <c r="N1871" s="1" a="1"/>
  <c r="N1871" s="1"/>
  <c r="M1872" a="1"/>
  <c r="M1872" s="1"/>
  <c r="N1872" s="1" a="1"/>
  <c r="N1872" s="1"/>
  <c r="M1873" a="1"/>
  <c r="M1873" s="1"/>
  <c r="N1873" s="1" a="1"/>
  <c r="N1873" s="1"/>
  <c r="M1874" a="1"/>
  <c r="M1874" s="1"/>
  <c r="N1874" s="1" a="1"/>
  <c r="N1874" s="1"/>
  <c r="M1875" a="1"/>
  <c r="M1875" s="1"/>
  <c r="N1875" s="1" a="1"/>
  <c r="N1875" s="1"/>
  <c r="M1876" a="1"/>
  <c r="M1876" s="1"/>
  <c r="N1876" s="1" a="1"/>
  <c r="N1876" s="1"/>
  <c r="M1877" a="1"/>
  <c r="M1877" s="1"/>
  <c r="N1877" s="1" a="1"/>
  <c r="N1877" s="1"/>
  <c r="M1878" a="1"/>
  <c r="M1878" s="1"/>
  <c r="N1878" s="1" a="1"/>
  <c r="N1878" s="1"/>
  <c r="M1879" a="1"/>
  <c r="M1879" s="1"/>
  <c r="N1879" s="1" a="1"/>
  <c r="N1879" s="1"/>
  <c r="M1880" a="1"/>
  <c r="M1880" s="1"/>
  <c r="N1880" s="1" a="1"/>
  <c r="N1880" s="1"/>
  <c r="M1881" a="1"/>
  <c r="M1881" s="1"/>
  <c r="N1881" s="1" a="1"/>
  <c r="N1881" s="1"/>
  <c r="M1882" a="1"/>
  <c r="M1882" s="1"/>
  <c r="N1882" s="1" a="1"/>
  <c r="N1882" s="1"/>
  <c r="M1883" a="1"/>
  <c r="M1883" s="1"/>
  <c r="N1883" s="1" a="1"/>
  <c r="N1883" s="1"/>
  <c r="M1884" a="1"/>
  <c r="M1884" s="1"/>
  <c r="N1884" s="1" a="1"/>
  <c r="N1884" s="1"/>
  <c r="M1885" a="1"/>
  <c r="M1885" s="1"/>
  <c r="N1885" s="1" a="1"/>
  <c r="N1885" s="1"/>
  <c r="M1886" a="1"/>
  <c r="M1886" s="1"/>
  <c r="N1886" s="1" a="1"/>
  <c r="N1886" s="1"/>
  <c r="M1887" a="1"/>
  <c r="M1887" s="1"/>
  <c r="N1887" s="1" a="1"/>
  <c r="N1887" s="1"/>
  <c r="M1888" a="1"/>
  <c r="M1888" s="1"/>
  <c r="N1888" s="1" a="1"/>
  <c r="N1888" s="1"/>
  <c r="M1889" a="1"/>
  <c r="M1889" s="1"/>
  <c r="N1889" s="1" a="1"/>
  <c r="N1889" s="1"/>
  <c r="M1890" a="1"/>
  <c r="M1890" s="1"/>
  <c r="N1890" s="1" a="1"/>
  <c r="N1890" s="1"/>
  <c r="M1891" a="1"/>
  <c r="M1891" s="1"/>
  <c r="N1891" s="1" a="1"/>
  <c r="N1891" s="1"/>
  <c r="M1892" a="1"/>
  <c r="M1892" s="1"/>
  <c r="N1892" s="1" a="1"/>
  <c r="N1892" s="1"/>
  <c r="M1893" a="1"/>
  <c r="M1893" s="1"/>
  <c r="N1893" s="1" a="1"/>
  <c r="N1893" s="1"/>
  <c r="M1894" a="1"/>
  <c r="M1894" s="1"/>
  <c r="N1894" s="1" a="1"/>
  <c r="N1894" s="1"/>
  <c r="M1895" a="1"/>
  <c r="M1895" s="1"/>
  <c r="N1895" s="1" a="1"/>
  <c r="N1895" s="1"/>
  <c r="M1896" a="1"/>
  <c r="M1896" s="1"/>
  <c r="N1896" s="1" a="1"/>
  <c r="N1896" s="1"/>
  <c r="M1897" a="1"/>
  <c r="M1897" s="1"/>
  <c r="N1897" s="1" a="1"/>
  <c r="N1897" s="1"/>
  <c r="M1898" a="1"/>
  <c r="M1898" s="1"/>
  <c r="N1898" s="1" a="1"/>
  <c r="N1898" s="1"/>
  <c r="M1899" a="1"/>
  <c r="M1899" s="1"/>
  <c r="N1899" s="1" a="1"/>
  <c r="N1899" s="1"/>
  <c r="M1900" a="1"/>
  <c r="M1900" s="1"/>
  <c r="N1900" s="1" a="1"/>
  <c r="N1900" s="1"/>
  <c r="M1901" a="1"/>
  <c r="M1901" s="1"/>
  <c r="N1901" s="1" a="1"/>
  <c r="N1901" s="1"/>
  <c r="M1902" a="1"/>
  <c r="M1902" s="1"/>
  <c r="N1902" s="1" a="1"/>
  <c r="N1902" s="1"/>
  <c r="M1903" a="1"/>
  <c r="M1903" s="1"/>
  <c r="N1903" s="1" a="1"/>
  <c r="N1903" s="1"/>
  <c r="M1904" a="1"/>
  <c r="M1904" s="1"/>
  <c r="N1904" s="1" a="1"/>
  <c r="N1904" s="1"/>
  <c r="M1905" a="1"/>
  <c r="M1905" s="1"/>
  <c r="N1905" s="1" a="1"/>
  <c r="N1905" s="1"/>
  <c r="M1906" a="1"/>
  <c r="M1906" s="1"/>
  <c r="N1906" s="1" a="1"/>
  <c r="N1906" s="1"/>
  <c r="M1907" a="1"/>
  <c r="M1907" s="1"/>
  <c r="N1907" s="1" a="1"/>
  <c r="N1907" s="1"/>
  <c r="M1908" a="1"/>
  <c r="M1908" s="1"/>
  <c r="N1908" s="1" a="1"/>
  <c r="N1908" s="1"/>
  <c r="M1909" a="1"/>
  <c r="M1909" s="1"/>
  <c r="N1909" s="1" a="1"/>
  <c r="N1909" s="1"/>
  <c r="M1910" a="1"/>
  <c r="M1910" s="1"/>
  <c r="N1910" s="1" a="1"/>
  <c r="N1910" s="1"/>
  <c r="M1911" a="1"/>
  <c r="M1911" s="1"/>
  <c r="N1911" s="1" a="1"/>
  <c r="N1911" s="1"/>
  <c r="M1912" a="1"/>
  <c r="M1912" s="1"/>
  <c r="N1912" s="1" a="1"/>
  <c r="N1912" s="1"/>
  <c r="M1913" a="1"/>
  <c r="M1913" s="1"/>
  <c r="N1913" s="1" a="1"/>
  <c r="N1913" s="1"/>
  <c r="M1914" a="1"/>
  <c r="M1914" s="1"/>
  <c r="N1914" s="1" a="1"/>
  <c r="N1914" s="1"/>
  <c r="M1915" a="1"/>
  <c r="M1915" s="1"/>
  <c r="N1915" s="1" a="1"/>
  <c r="N1915" s="1"/>
  <c r="M1916" a="1"/>
  <c r="M1916" s="1"/>
  <c r="N1916" s="1" a="1"/>
  <c r="N1916" s="1"/>
  <c r="M1917" a="1"/>
  <c r="M1917" s="1"/>
  <c r="N1917" s="1" a="1"/>
  <c r="N1917" s="1"/>
  <c r="M1918" a="1"/>
  <c r="M1918" s="1"/>
  <c r="N1918" s="1" a="1"/>
  <c r="N1918" s="1"/>
  <c r="M1919" a="1"/>
  <c r="M1919" s="1"/>
  <c r="N1919" s="1" a="1"/>
  <c r="N1919" s="1"/>
  <c r="M1920" a="1"/>
  <c r="M1920" s="1"/>
  <c r="N1920" s="1" a="1"/>
  <c r="N1920" s="1"/>
  <c r="M1921" a="1"/>
  <c r="M1921" s="1"/>
  <c r="N1921" s="1" a="1"/>
  <c r="N1921" s="1"/>
  <c r="M1922" a="1"/>
  <c r="M1922" s="1"/>
  <c r="N1922" s="1" a="1"/>
  <c r="N1922" s="1"/>
  <c r="M1923" a="1"/>
  <c r="M1923" s="1"/>
  <c r="N1923" s="1" a="1"/>
  <c r="N1923" s="1"/>
  <c r="M1924" a="1"/>
  <c r="M1924" s="1"/>
  <c r="N1924" s="1" a="1"/>
  <c r="N1924" s="1"/>
  <c r="M1925" a="1"/>
  <c r="M1925" s="1"/>
  <c r="N1925" s="1" a="1"/>
  <c r="N1925" s="1"/>
  <c r="M1926" a="1"/>
  <c r="M1926" s="1"/>
  <c r="N1926" s="1" a="1"/>
  <c r="N1926" s="1"/>
  <c r="M1927" a="1"/>
  <c r="M1927" s="1"/>
  <c r="N1927" s="1" a="1"/>
  <c r="N1927" s="1"/>
  <c r="M1928" a="1"/>
  <c r="M1928" s="1"/>
  <c r="N1928" s="1" a="1"/>
  <c r="N1928" s="1"/>
  <c r="M1929" a="1"/>
  <c r="M1929" s="1"/>
  <c r="N1929" s="1" a="1"/>
  <c r="N1929" s="1"/>
  <c r="M1930" a="1"/>
  <c r="M1930" s="1"/>
  <c r="N1930" s="1" a="1"/>
  <c r="N1930" s="1"/>
  <c r="M1931" a="1"/>
  <c r="M1931" s="1"/>
  <c r="N1931" s="1" a="1"/>
  <c r="N1931" s="1"/>
  <c r="M1932" a="1"/>
  <c r="M1932" s="1"/>
  <c r="N1932" s="1" a="1"/>
  <c r="N1932" s="1"/>
  <c r="M1933" a="1"/>
  <c r="M1933" s="1"/>
  <c r="N1933" s="1" a="1"/>
  <c r="N1933" s="1"/>
  <c r="M1934" a="1"/>
  <c r="M1934" s="1"/>
  <c r="N1934" s="1" a="1"/>
  <c r="N1934" s="1"/>
  <c r="M1935" a="1"/>
  <c r="M1935" s="1"/>
  <c r="N1935" s="1" a="1"/>
  <c r="N1935" s="1"/>
  <c r="M1936" a="1"/>
  <c r="M1936" s="1"/>
  <c r="N1936" s="1" a="1"/>
  <c r="N1936" s="1"/>
  <c r="M1937" a="1"/>
  <c r="M1937" s="1"/>
  <c r="N1937" s="1" a="1"/>
  <c r="N1937" s="1"/>
  <c r="M1938" a="1"/>
  <c r="M1938" s="1"/>
  <c r="N1938" s="1" a="1"/>
  <c r="N1938" s="1"/>
  <c r="M1939" a="1"/>
  <c r="M1939" s="1"/>
  <c r="N1939" s="1" a="1"/>
  <c r="N1939" s="1"/>
  <c r="M1940" a="1"/>
  <c r="M1940" s="1"/>
  <c r="N1940" s="1" a="1"/>
  <c r="N1940" s="1"/>
  <c r="M1941" a="1"/>
  <c r="M1941" s="1"/>
  <c r="N1941" s="1" a="1"/>
  <c r="N1941" s="1"/>
  <c r="M1942" a="1"/>
  <c r="M1942" s="1"/>
  <c r="N1942" s="1" a="1"/>
  <c r="N1942" s="1"/>
  <c r="M1943" a="1"/>
  <c r="M1943" s="1"/>
  <c r="N1943" s="1" a="1"/>
  <c r="N1943" s="1"/>
  <c r="M1944" a="1"/>
  <c r="M1944" s="1"/>
  <c r="N1944" s="1" a="1"/>
  <c r="N1944" s="1"/>
  <c r="M1945" a="1"/>
  <c r="M1945" s="1"/>
  <c r="N1945" s="1" a="1"/>
  <c r="N1945" s="1"/>
  <c r="M1946" a="1"/>
  <c r="M1946" s="1"/>
  <c r="N1946" s="1" a="1"/>
  <c r="N1946" s="1"/>
  <c r="M1947" a="1"/>
  <c r="M1947" s="1"/>
  <c r="N1947" s="1" a="1"/>
  <c r="N1947" s="1"/>
  <c r="M1948" a="1"/>
  <c r="M1948" s="1"/>
  <c r="N1948" s="1" a="1"/>
  <c r="N1948" s="1"/>
  <c r="M1949" a="1"/>
  <c r="M1949" s="1"/>
  <c r="N1949" s="1" a="1"/>
  <c r="N1949" s="1"/>
  <c r="M1950" a="1"/>
  <c r="M1950" s="1"/>
  <c r="N1950" s="1" a="1"/>
  <c r="N1950" s="1"/>
  <c r="M1951" a="1"/>
  <c r="M1951" s="1"/>
  <c r="N1951" s="1" a="1"/>
  <c r="N1951" s="1"/>
  <c r="M1952" a="1"/>
  <c r="M1952" s="1"/>
  <c r="N1952" s="1" a="1"/>
  <c r="N1952" s="1"/>
  <c r="M1953" a="1"/>
  <c r="M1953" s="1"/>
  <c r="N1953" s="1" a="1"/>
  <c r="N1953" s="1"/>
  <c r="M1954" a="1"/>
  <c r="M1954" s="1"/>
  <c r="N1954" s="1" a="1"/>
  <c r="N1954" s="1"/>
  <c r="M1955" a="1"/>
  <c r="M1955" s="1"/>
  <c r="N1955" s="1" a="1"/>
  <c r="N1955" s="1"/>
  <c r="M1956" a="1"/>
  <c r="M1956" s="1"/>
  <c r="N1956" s="1" a="1"/>
  <c r="N1956" s="1"/>
  <c r="M1957" a="1"/>
  <c r="M1957" s="1"/>
  <c r="N1957" s="1" a="1"/>
  <c r="N1957" s="1"/>
  <c r="M1958" a="1"/>
  <c r="M1958" s="1"/>
  <c r="N1958" s="1" a="1"/>
  <c r="N1958" s="1"/>
  <c r="M1959" a="1"/>
  <c r="M1959" s="1"/>
  <c r="N1959" s="1" a="1"/>
  <c r="N1959" s="1"/>
  <c r="M1960" a="1"/>
  <c r="M1960" s="1"/>
  <c r="N1960" s="1" a="1"/>
  <c r="N1960" s="1"/>
  <c r="M1961" a="1"/>
  <c r="M1961" s="1"/>
  <c r="N1961" s="1" a="1"/>
  <c r="N1961" s="1"/>
  <c r="M1962" a="1"/>
  <c r="M1962" s="1"/>
  <c r="N1962" s="1" a="1"/>
  <c r="N1962" s="1"/>
  <c r="M1963" a="1"/>
  <c r="M1963" s="1"/>
  <c r="N1963" s="1" a="1"/>
  <c r="N1963" s="1"/>
  <c r="M1964" a="1"/>
  <c r="M1964" s="1"/>
  <c r="N1964" s="1" a="1"/>
  <c r="N1964" s="1"/>
  <c r="M1965" a="1"/>
  <c r="M1965" s="1"/>
  <c r="N1965" s="1" a="1"/>
  <c r="N1965" s="1"/>
  <c r="M1966" a="1"/>
  <c r="M1966" s="1"/>
  <c r="N1966" s="1" a="1"/>
  <c r="N1966" s="1"/>
  <c r="M1967" a="1"/>
  <c r="M1967" s="1"/>
  <c r="N1967" s="1" a="1"/>
  <c r="N1967" s="1"/>
  <c r="M1968" a="1"/>
  <c r="M1968" s="1"/>
  <c r="N1968" s="1" a="1"/>
  <c r="N1968" s="1"/>
  <c r="M1969" a="1"/>
  <c r="M1969" s="1"/>
  <c r="N1969" s="1" a="1"/>
  <c r="N1969" s="1"/>
  <c r="M1970" a="1"/>
  <c r="M1970" s="1"/>
  <c r="N1970" s="1" a="1"/>
  <c r="N1970" s="1"/>
  <c r="M1971" a="1"/>
  <c r="M1971" s="1"/>
  <c r="N1971" s="1" a="1"/>
  <c r="N1971" s="1"/>
  <c r="M1972" a="1"/>
  <c r="M1972" s="1"/>
  <c r="N1972" s="1" a="1"/>
  <c r="N1972" s="1"/>
  <c r="M1973" a="1"/>
  <c r="M1973" s="1"/>
  <c r="N1973" s="1" a="1"/>
  <c r="N1973" s="1"/>
  <c r="M1974" a="1"/>
  <c r="M1974" s="1"/>
  <c r="N1974" s="1" a="1"/>
  <c r="N1974" s="1"/>
  <c r="M1975" a="1"/>
  <c r="M1975" s="1"/>
  <c r="N1975" s="1" a="1"/>
  <c r="N1975" s="1"/>
  <c r="M1976" a="1"/>
  <c r="M1976" s="1"/>
  <c r="N1976" s="1" a="1"/>
  <c r="N1976" s="1"/>
  <c r="M1977" a="1"/>
  <c r="M1977" s="1"/>
  <c r="N1977" s="1" a="1"/>
  <c r="N1977" s="1"/>
  <c r="M1978" a="1"/>
  <c r="M1978" s="1"/>
  <c r="N1978" s="1" a="1"/>
  <c r="N1978" s="1"/>
  <c r="M1979" a="1"/>
  <c r="M1979" s="1"/>
  <c r="N1979" s="1" a="1"/>
  <c r="N1979" s="1"/>
  <c r="M1980" a="1"/>
  <c r="M1980" s="1"/>
  <c r="N1980" s="1" a="1"/>
  <c r="N1980" s="1"/>
  <c r="M1981" a="1"/>
  <c r="M1981" s="1"/>
  <c r="N1981" s="1" a="1"/>
  <c r="N1981" s="1"/>
  <c r="M1982" a="1"/>
  <c r="M1982" s="1"/>
  <c r="N1982" s="1" a="1"/>
  <c r="N1982" s="1"/>
  <c r="M1983" a="1"/>
  <c r="M1983" s="1"/>
  <c r="N1983" s="1" a="1"/>
  <c r="N1983" s="1"/>
  <c r="M1984" a="1"/>
  <c r="M1984" s="1"/>
  <c r="N1984" s="1" a="1"/>
  <c r="N1984" s="1"/>
  <c r="M1985" a="1"/>
  <c r="M1985" s="1"/>
  <c r="N1985" s="1" a="1"/>
  <c r="N1985" s="1"/>
  <c r="M1986" a="1"/>
  <c r="M1986" s="1"/>
  <c r="N1986" s="1" a="1"/>
  <c r="N1986" s="1"/>
  <c r="M1987" a="1"/>
  <c r="M1987" s="1"/>
  <c r="N1987" s="1" a="1"/>
  <c r="N1987" s="1"/>
  <c r="M1988" a="1"/>
  <c r="M1988" s="1"/>
  <c r="N1988" s="1" a="1"/>
  <c r="N1988" s="1"/>
  <c r="M1989" a="1"/>
  <c r="M1989" s="1"/>
  <c r="N1989" s="1" a="1"/>
  <c r="N1989" s="1"/>
  <c r="M1990" a="1"/>
  <c r="M1990" s="1"/>
  <c r="N1990" s="1" a="1"/>
  <c r="N1990" s="1"/>
  <c r="M1991" a="1"/>
  <c r="M1991" s="1"/>
  <c r="N1991" s="1" a="1"/>
  <c r="N1991" s="1"/>
  <c r="M1992" a="1"/>
  <c r="M1992" s="1"/>
  <c r="N1992" s="1" a="1"/>
  <c r="N1992" s="1"/>
  <c r="M1993" a="1"/>
  <c r="M1993" s="1"/>
  <c r="N1993" s="1" a="1"/>
  <c r="N1993" s="1"/>
  <c r="M1994" a="1"/>
  <c r="M1994" s="1"/>
  <c r="N1994" s="1" a="1"/>
  <c r="N1994" s="1"/>
  <c r="M1995" a="1"/>
  <c r="M1995" s="1"/>
  <c r="N1995" s="1" a="1"/>
  <c r="N1995" s="1"/>
  <c r="M1996" a="1"/>
  <c r="M1996" s="1"/>
  <c r="N1996" s="1" a="1"/>
  <c r="N1996" s="1"/>
  <c r="M1997" a="1"/>
  <c r="M1997" s="1"/>
  <c r="N1997" s="1" a="1"/>
  <c r="N1997" s="1"/>
  <c r="M1998" a="1"/>
  <c r="M1998" s="1"/>
  <c r="N1998" s="1" a="1"/>
  <c r="N1998" s="1"/>
  <c r="M1999" a="1"/>
  <c r="M1999" s="1"/>
  <c r="N1999" s="1" a="1"/>
  <c r="N1999" s="1"/>
  <c r="M2000" a="1"/>
  <c r="M2000" s="1"/>
  <c r="N2000" s="1" a="1"/>
  <c r="N2000" s="1"/>
  <c r="M2001" a="1"/>
  <c r="M2001" s="1"/>
  <c r="N2001" s="1" a="1"/>
  <c r="N2001" s="1"/>
  <c r="M2002" a="1"/>
  <c r="M2002" s="1"/>
  <c r="N2002" s="1" a="1"/>
  <c r="N2002" s="1"/>
  <c r="M2003" a="1"/>
  <c r="M2003" s="1"/>
  <c r="N2003" s="1" a="1"/>
  <c r="N2003" s="1"/>
  <c r="M2004" a="1"/>
  <c r="M2004" s="1"/>
  <c r="N2004" s="1" a="1"/>
  <c r="N2004" s="1"/>
  <c r="M2005" a="1"/>
  <c r="M2005" s="1"/>
  <c r="N2005" s="1" a="1"/>
  <c r="N2005" s="1"/>
  <c r="M2006" a="1"/>
  <c r="M2006" s="1"/>
  <c r="N2006" s="1" a="1"/>
  <c r="N2006" s="1"/>
  <c r="M2007" a="1"/>
  <c r="M2007" s="1"/>
  <c r="N2007" s="1" a="1"/>
  <c r="N2007" s="1"/>
  <c r="M2008" a="1"/>
  <c r="M2008" s="1"/>
  <c r="N2008" s="1" a="1"/>
  <c r="N2008" s="1"/>
  <c r="M2009" a="1"/>
  <c r="M2009" s="1"/>
  <c r="N2009" s="1" a="1"/>
  <c r="N2009" s="1"/>
  <c r="M2010" a="1"/>
  <c r="M2010" s="1"/>
  <c r="N2010" s="1" a="1"/>
  <c r="N2010" s="1"/>
  <c r="M2011" a="1"/>
  <c r="M2011" s="1"/>
  <c r="N2011" s="1" a="1"/>
  <c r="N2011" s="1"/>
  <c r="M2012" a="1"/>
  <c r="M2012" s="1"/>
  <c r="N2012" s="1" a="1"/>
  <c r="N2012" s="1"/>
  <c r="M2013" a="1"/>
  <c r="M2013" s="1"/>
  <c r="N2013" s="1" a="1"/>
  <c r="N2013" s="1"/>
  <c r="M2014" a="1"/>
  <c r="M2014" s="1"/>
  <c r="N2014" s="1" a="1"/>
  <c r="N2014" s="1"/>
  <c r="M2015" a="1"/>
  <c r="M2015" s="1"/>
  <c r="N2015" s="1" a="1"/>
  <c r="N2015" s="1"/>
  <c r="M2016" a="1"/>
  <c r="M2016" s="1"/>
  <c r="N2016" s="1" a="1"/>
  <c r="N2016" s="1"/>
  <c r="M2017" a="1"/>
  <c r="M2017" s="1"/>
  <c r="N2017" s="1" a="1"/>
  <c r="N2017" s="1"/>
  <c r="M2018" a="1"/>
  <c r="M2018" s="1"/>
  <c r="N2018" s="1" a="1"/>
  <c r="N2018" s="1"/>
  <c r="M2019" a="1"/>
  <c r="M2019" s="1"/>
  <c r="N2019" s="1" a="1"/>
  <c r="N2019" s="1"/>
  <c r="M2020" a="1"/>
  <c r="M2020" s="1"/>
  <c r="N2020" s="1" a="1"/>
  <c r="N2020" s="1"/>
  <c r="M2021" a="1"/>
  <c r="M2021" s="1"/>
  <c r="N2021" s="1" a="1"/>
  <c r="N2021" s="1"/>
  <c r="M2022" a="1"/>
  <c r="M2022" s="1"/>
  <c r="N2022" s="1" a="1"/>
  <c r="N2022" s="1"/>
  <c r="M2023" a="1"/>
  <c r="M2023" s="1"/>
  <c r="N2023" s="1" a="1"/>
  <c r="N2023" s="1"/>
  <c r="M2024" a="1"/>
  <c r="M2024" s="1"/>
  <c r="N2024" s="1" a="1"/>
  <c r="N2024" s="1"/>
  <c r="M2025" a="1"/>
  <c r="M2025" s="1"/>
  <c r="N2025" s="1" a="1"/>
  <c r="N2025" s="1"/>
  <c r="M2026" a="1"/>
  <c r="M2026" s="1"/>
  <c r="N2026" s="1" a="1"/>
  <c r="N2026" s="1"/>
  <c r="M2027" a="1"/>
  <c r="M2027" s="1"/>
  <c r="N2027" s="1" a="1"/>
  <c r="N2027" s="1"/>
  <c r="M2028" a="1"/>
  <c r="M2028" s="1"/>
  <c r="N2028" s="1" a="1"/>
  <c r="N2028" s="1"/>
  <c r="M2029" a="1"/>
  <c r="M2029" s="1"/>
  <c r="N2029" s="1" a="1"/>
  <c r="N2029" s="1"/>
  <c r="M2030" a="1"/>
  <c r="M2030" s="1"/>
  <c r="N2030" s="1" a="1"/>
  <c r="N2030" s="1"/>
  <c r="M2031" a="1"/>
  <c r="M2031" s="1"/>
  <c r="N2031" s="1" a="1"/>
  <c r="N2031" s="1"/>
  <c r="M2032" a="1"/>
  <c r="M2032" s="1"/>
  <c r="N2032" s="1" a="1"/>
  <c r="N2032" s="1"/>
  <c r="M2033" a="1"/>
  <c r="M2033" s="1"/>
  <c r="N2033" s="1" a="1"/>
  <c r="N2033" s="1"/>
  <c r="M2034" a="1"/>
  <c r="M2034" s="1"/>
  <c r="N2034" s="1" a="1"/>
  <c r="N2034" s="1"/>
  <c r="M2035" a="1"/>
  <c r="M2035" s="1"/>
  <c r="N2035" s="1" a="1"/>
  <c r="N2035" s="1"/>
  <c r="M2036" a="1"/>
  <c r="M2036" s="1"/>
  <c r="N2036" s="1" a="1"/>
  <c r="N2036" s="1"/>
  <c r="M2037" a="1"/>
  <c r="M2037" s="1"/>
  <c r="N2037" s="1" a="1"/>
  <c r="N2037" s="1"/>
  <c r="M2038" a="1"/>
  <c r="M2038" s="1"/>
  <c r="N2038" s="1" a="1"/>
  <c r="N2038" s="1"/>
  <c r="M2039" a="1"/>
  <c r="M2039" s="1"/>
  <c r="N2039" s="1" a="1"/>
  <c r="N2039" s="1"/>
  <c r="M2040" a="1"/>
  <c r="M2040" s="1"/>
  <c r="N2040" s="1" a="1"/>
  <c r="N2040" s="1"/>
  <c r="M2041" a="1"/>
  <c r="M2041" s="1"/>
  <c r="N2041" s="1" a="1"/>
  <c r="N2041" s="1"/>
  <c r="M2042" a="1"/>
  <c r="M2042" s="1"/>
  <c r="N2042" s="1" a="1"/>
  <c r="N2042" s="1"/>
  <c r="M2043" a="1"/>
  <c r="M2043" s="1"/>
  <c r="N2043" s="1" a="1"/>
  <c r="N2043" s="1"/>
  <c r="M2044" a="1"/>
  <c r="M2044" s="1"/>
  <c r="N2044" s="1" a="1"/>
  <c r="N2044" s="1"/>
  <c r="M2045" a="1"/>
  <c r="M2045" s="1"/>
  <c r="N2045" s="1" a="1"/>
  <c r="N2045" s="1"/>
  <c r="M2046" a="1"/>
  <c r="M2046" s="1"/>
  <c r="N2046" s="1" a="1"/>
  <c r="N2046" s="1"/>
  <c r="M2047" a="1"/>
  <c r="M2047" s="1"/>
  <c r="N2047" s="1" a="1"/>
  <c r="N2047" s="1"/>
  <c r="M2048" a="1"/>
  <c r="M2048" s="1"/>
  <c r="N2048" s="1" a="1"/>
  <c r="N2048" s="1"/>
  <c r="M2049" a="1"/>
  <c r="M2049" s="1"/>
  <c r="N2049" s="1" a="1"/>
  <c r="N2049" s="1"/>
  <c r="M2050" a="1"/>
  <c r="M2050" s="1"/>
  <c r="N2050" s="1" a="1"/>
  <c r="N2050" s="1"/>
  <c r="M2051" a="1"/>
  <c r="M2051" s="1"/>
  <c r="N2051" s="1" a="1"/>
  <c r="N2051" s="1"/>
  <c r="M2052" a="1"/>
  <c r="M2052" s="1"/>
  <c r="N2052" s="1" a="1"/>
  <c r="N2052" s="1"/>
  <c r="M2053" a="1"/>
  <c r="M2053" s="1"/>
  <c r="N2053" s="1" a="1"/>
  <c r="N2053" s="1"/>
  <c r="M2054" a="1"/>
  <c r="M2054" s="1"/>
  <c r="N2054" s="1" a="1"/>
  <c r="N2054" s="1"/>
  <c r="M2055" a="1"/>
  <c r="M2055" s="1"/>
  <c r="N2055" s="1" a="1"/>
  <c r="N2055" s="1"/>
  <c r="M2056" a="1"/>
  <c r="M2056" s="1"/>
  <c r="N2056" s="1" a="1"/>
  <c r="N2056" s="1"/>
  <c r="M2057" a="1"/>
  <c r="M2057" s="1"/>
  <c r="N2057" s="1" a="1"/>
  <c r="N2057" s="1"/>
  <c r="M2058" a="1"/>
  <c r="M2058" s="1"/>
  <c r="N2058" s="1" a="1"/>
  <c r="N2058" s="1"/>
  <c r="M2059" a="1"/>
  <c r="M2059" s="1"/>
  <c r="N2059" s="1" a="1"/>
  <c r="N2059" s="1"/>
  <c r="M2060" a="1"/>
  <c r="M2060" s="1"/>
  <c r="N2060" s="1" a="1"/>
  <c r="N2060" s="1"/>
  <c r="M2061" a="1"/>
  <c r="M2061" s="1"/>
  <c r="N2061" s="1" a="1"/>
  <c r="N2061" s="1"/>
  <c r="M2062" a="1"/>
  <c r="M2062" s="1"/>
  <c r="N2062" s="1" a="1"/>
  <c r="N2062" s="1"/>
  <c r="M2063" a="1"/>
  <c r="M2063" s="1"/>
  <c r="N2063" s="1" a="1"/>
  <c r="N2063" s="1"/>
  <c r="M2064" a="1"/>
  <c r="M2064" s="1"/>
  <c r="N2064" s="1" a="1"/>
  <c r="N2064" s="1"/>
  <c r="M2065" a="1"/>
  <c r="M2065" s="1"/>
  <c r="N2065" s="1" a="1"/>
  <c r="N2065" s="1"/>
  <c r="M2066" a="1"/>
  <c r="M2066" s="1"/>
  <c r="N2066" s="1" a="1"/>
  <c r="N2066" s="1"/>
  <c r="M2067" a="1"/>
  <c r="M2067" s="1"/>
  <c r="N2067" s="1" a="1"/>
  <c r="N2067" s="1"/>
  <c r="M2068" a="1"/>
  <c r="M2068" s="1"/>
  <c r="N2068" s="1" a="1"/>
  <c r="N2068" s="1"/>
  <c r="M2069" a="1"/>
  <c r="M2069" s="1"/>
  <c r="N2069" s="1" a="1"/>
  <c r="N2069" s="1"/>
  <c r="M2070" a="1"/>
  <c r="M2070" s="1"/>
  <c r="N2070" s="1" a="1"/>
  <c r="N2070" s="1"/>
  <c r="M2071" a="1"/>
  <c r="M2071" s="1"/>
  <c r="N2071" s="1" a="1"/>
  <c r="N2071" s="1"/>
  <c r="M2072" a="1"/>
  <c r="M2072" s="1"/>
  <c r="N2072" s="1" a="1"/>
  <c r="N2072" s="1"/>
  <c r="M2073" a="1"/>
  <c r="M2073" s="1"/>
  <c r="N2073" s="1" a="1"/>
  <c r="N2073" s="1"/>
  <c r="M2074" a="1"/>
  <c r="M2074" s="1"/>
  <c r="N2074" s="1" a="1"/>
  <c r="N2074" s="1"/>
  <c r="M2075" a="1"/>
  <c r="M2075" s="1"/>
  <c r="N2075" s="1" a="1"/>
  <c r="N2075" s="1"/>
  <c r="M2076" a="1"/>
  <c r="M2076" s="1"/>
  <c r="N2076" s="1" a="1"/>
  <c r="N2076" s="1"/>
  <c r="M2077" a="1"/>
  <c r="M2077" s="1"/>
  <c r="N2077" s="1" a="1"/>
  <c r="N2077" s="1"/>
  <c r="M2078" a="1"/>
  <c r="M2078" s="1"/>
  <c r="N2078" s="1" a="1"/>
  <c r="N2078" s="1"/>
  <c r="M2079" a="1"/>
  <c r="M2079" s="1"/>
  <c r="N2079" s="1" a="1"/>
  <c r="N2079" s="1"/>
  <c r="M2080" a="1"/>
  <c r="M2080" s="1"/>
  <c r="N2080" s="1" a="1"/>
  <c r="N2080" s="1"/>
  <c r="M2081" a="1"/>
  <c r="M2081" s="1"/>
  <c r="N2081" s="1" a="1"/>
  <c r="N2081" s="1"/>
  <c r="M2082" a="1"/>
  <c r="M2082" s="1"/>
  <c r="N2082" s="1" a="1"/>
  <c r="N2082" s="1"/>
  <c r="M2083" a="1"/>
  <c r="M2083" s="1"/>
  <c r="N2083" s="1" a="1"/>
  <c r="N2083" s="1"/>
  <c r="M2084" a="1"/>
  <c r="M2084" s="1"/>
  <c r="N2084" s="1" a="1"/>
  <c r="N2084" s="1"/>
  <c r="M2085" a="1"/>
  <c r="M2085" s="1"/>
  <c r="N2085" s="1" a="1"/>
  <c r="N2085" s="1"/>
  <c r="M2086" a="1"/>
  <c r="M2086" s="1"/>
  <c r="N2086" s="1" a="1"/>
  <c r="N2086" s="1"/>
  <c r="M2087" a="1"/>
  <c r="M2087" s="1"/>
  <c r="N2087" s="1" a="1"/>
  <c r="N2087" s="1"/>
  <c r="M2088" a="1"/>
  <c r="M2088" s="1"/>
  <c r="N2088" s="1" a="1"/>
  <c r="N2088" s="1"/>
  <c r="M2089" a="1"/>
  <c r="M2089" s="1"/>
  <c r="N2089" s="1" a="1"/>
  <c r="N2089" s="1"/>
  <c r="M2090" a="1"/>
  <c r="M2090" s="1"/>
  <c r="N2090" s="1" a="1"/>
  <c r="N2090" s="1"/>
  <c r="M2091" a="1"/>
  <c r="M2091" s="1"/>
  <c r="N2091" s="1" a="1"/>
  <c r="N2091" s="1"/>
  <c r="M2092" a="1"/>
  <c r="M2092" s="1"/>
  <c r="N2092" s="1" a="1"/>
  <c r="N2092" s="1"/>
  <c r="M2093" a="1"/>
  <c r="M2093" s="1"/>
  <c r="N2093" s="1" a="1"/>
  <c r="N2093" s="1"/>
  <c r="M2094" a="1"/>
  <c r="M2094" s="1"/>
  <c r="N2094" s="1" a="1"/>
  <c r="N2094" s="1"/>
  <c r="M2095" a="1"/>
  <c r="M2095" s="1"/>
  <c r="N2095" s="1" a="1"/>
  <c r="N2095" s="1"/>
  <c r="M2096" a="1"/>
  <c r="M2096" s="1"/>
  <c r="N2096" s="1" a="1"/>
  <c r="N2096" s="1"/>
  <c r="M2097" a="1"/>
  <c r="M2097" s="1"/>
  <c r="N2097" s="1" a="1"/>
  <c r="N2097" s="1"/>
  <c r="M2098" a="1"/>
  <c r="M2098" s="1"/>
  <c r="N2098" s="1" a="1"/>
  <c r="N2098" s="1"/>
  <c r="M2099" a="1"/>
  <c r="M2099" s="1"/>
  <c r="N2099" s="1" a="1"/>
  <c r="N2099" s="1"/>
  <c r="M2100" a="1"/>
  <c r="M2100" s="1"/>
  <c r="N2100" s="1" a="1"/>
  <c r="N2100" s="1"/>
  <c r="M2101" a="1"/>
  <c r="M2101" s="1"/>
  <c r="N2101" s="1" a="1"/>
  <c r="N2101" s="1"/>
  <c r="M2102" a="1"/>
  <c r="M2102" s="1"/>
  <c r="N2102" s="1" a="1"/>
  <c r="N2102" s="1"/>
  <c r="M2103" a="1"/>
  <c r="M2103" s="1"/>
  <c r="N2103" s="1" a="1"/>
  <c r="N2103" s="1"/>
  <c r="M2104" a="1"/>
  <c r="M2104" s="1"/>
  <c r="N2104" s="1" a="1"/>
  <c r="N2104" s="1"/>
  <c r="M2105" a="1"/>
  <c r="M2105" s="1"/>
  <c r="N2105" s="1" a="1"/>
  <c r="N2105" s="1"/>
  <c r="M2106" a="1"/>
  <c r="M2106" s="1"/>
  <c r="N2106" s="1" a="1"/>
  <c r="N2106" s="1"/>
  <c r="M2107" a="1"/>
  <c r="M2107" s="1"/>
  <c r="N2107" s="1" a="1"/>
  <c r="N2107" s="1"/>
  <c r="M2108" a="1"/>
  <c r="M2108" s="1"/>
  <c r="N2108" s="1" a="1"/>
  <c r="N2108" s="1"/>
  <c r="M2109" a="1"/>
  <c r="M2109" s="1"/>
  <c r="N2109" s="1" a="1"/>
  <c r="N2109" s="1"/>
  <c r="M2110" a="1"/>
  <c r="M2110" s="1"/>
  <c r="N2110" s="1" a="1"/>
  <c r="N2110" s="1"/>
  <c r="M2111" a="1"/>
  <c r="M2111" s="1"/>
  <c r="N2111" s="1" a="1"/>
  <c r="N2111" s="1"/>
  <c r="M2112" a="1"/>
  <c r="M2112" s="1"/>
  <c r="N2112" s="1" a="1"/>
  <c r="N2112" s="1"/>
  <c r="M2113" a="1"/>
  <c r="M2113" s="1"/>
  <c r="N2113" s="1" a="1"/>
  <c r="N2113" s="1"/>
  <c r="M2114" a="1"/>
  <c r="M2114" s="1"/>
  <c r="N2114" s="1" a="1"/>
  <c r="N2114" s="1"/>
  <c r="M2115" a="1"/>
  <c r="M2115" s="1"/>
  <c r="N2115" s="1" a="1"/>
  <c r="N2115" s="1"/>
  <c r="M2116" a="1"/>
  <c r="M2116" s="1"/>
  <c r="N2116" s="1" a="1"/>
  <c r="N2116" s="1"/>
  <c r="M2117" a="1"/>
  <c r="M2117" s="1"/>
  <c r="N2117" s="1" a="1"/>
  <c r="N2117" s="1"/>
  <c r="M2118" a="1"/>
  <c r="M2118" s="1"/>
  <c r="N2118" s="1" a="1"/>
  <c r="N2118" s="1"/>
  <c r="M2119" a="1"/>
  <c r="M2119" s="1"/>
  <c r="N2119" s="1" a="1"/>
  <c r="N2119" s="1"/>
  <c r="M2120" a="1"/>
  <c r="M2120" s="1"/>
  <c r="N2120" s="1" a="1"/>
  <c r="N2120" s="1"/>
  <c r="M2121" a="1"/>
  <c r="M2121" s="1"/>
  <c r="N2121" s="1" a="1"/>
  <c r="N2121" s="1"/>
  <c r="M2122" a="1"/>
  <c r="M2122" s="1"/>
  <c r="N2122" s="1" a="1"/>
  <c r="N2122" s="1"/>
  <c r="M2123" a="1"/>
  <c r="M2123" s="1"/>
  <c r="N2123" s="1" a="1"/>
  <c r="N2123" s="1"/>
  <c r="M2124" a="1"/>
  <c r="M2124" s="1"/>
  <c r="N2124" s="1" a="1"/>
  <c r="N2124" s="1"/>
  <c r="M2125" a="1"/>
  <c r="M2125" s="1"/>
  <c r="N2125" s="1" a="1"/>
  <c r="N2125" s="1"/>
  <c r="M2126" a="1"/>
  <c r="M2126" s="1"/>
  <c r="N2126" s="1" a="1"/>
  <c r="N2126" s="1"/>
  <c r="M2127" a="1"/>
  <c r="M2127" s="1"/>
  <c r="N2127" s="1" a="1"/>
  <c r="N2127" s="1"/>
  <c r="M2128" a="1"/>
  <c r="M2128" s="1"/>
  <c r="N2128" s="1" a="1"/>
  <c r="N2128" s="1"/>
  <c r="M2129" a="1"/>
  <c r="M2129" s="1"/>
  <c r="N2129" s="1" a="1"/>
  <c r="N2129" s="1"/>
  <c r="M2130" a="1"/>
  <c r="M2130" s="1"/>
  <c r="N2130" s="1" a="1"/>
  <c r="N2130" s="1"/>
  <c r="M2131" a="1"/>
  <c r="M2131" s="1"/>
  <c r="N2131" s="1" a="1"/>
  <c r="N2131" s="1"/>
  <c r="M2132" a="1"/>
  <c r="M2132" s="1"/>
  <c r="N2132" s="1" a="1"/>
  <c r="N2132" s="1"/>
  <c r="M2133" a="1"/>
  <c r="M2133" s="1"/>
  <c r="N2133" s="1" a="1"/>
  <c r="N2133" s="1"/>
  <c r="M2134" a="1"/>
  <c r="M2134" s="1"/>
  <c r="N2134" s="1" a="1"/>
  <c r="N2134" s="1"/>
  <c r="M2135" a="1"/>
  <c r="M2135" s="1"/>
  <c r="N2135" s="1" a="1"/>
  <c r="N2135" s="1"/>
  <c r="M2136" a="1"/>
  <c r="M2136" s="1"/>
  <c r="N2136" s="1" a="1"/>
  <c r="N2136" s="1"/>
  <c r="M2137" a="1"/>
  <c r="M2137" s="1"/>
  <c r="N2137" s="1" a="1"/>
  <c r="N2137" s="1"/>
  <c r="M2138" a="1"/>
  <c r="M2138" s="1"/>
  <c r="N2138" s="1" a="1"/>
  <c r="N2138" s="1"/>
  <c r="M2139" a="1"/>
  <c r="M2139" s="1"/>
  <c r="N2139" s="1" a="1"/>
  <c r="N2139" s="1"/>
  <c r="M2140" a="1"/>
  <c r="M2140" s="1"/>
  <c r="N2140" s="1" a="1"/>
  <c r="N2140" s="1"/>
  <c r="M2141" a="1"/>
  <c r="M2141" s="1"/>
  <c r="N2141" s="1" a="1"/>
  <c r="N2141" s="1"/>
  <c r="M2142" a="1"/>
  <c r="M2142" s="1"/>
  <c r="N2142" s="1" a="1"/>
  <c r="N2142" s="1"/>
  <c r="M2143" a="1"/>
  <c r="M2143" s="1"/>
  <c r="N2143" s="1" a="1"/>
  <c r="N2143" s="1"/>
  <c r="M2144" a="1"/>
  <c r="M2144" s="1"/>
  <c r="N2144" s="1" a="1"/>
  <c r="N2144" s="1"/>
  <c r="M2145" a="1"/>
  <c r="M2145" s="1"/>
  <c r="N2145" s="1" a="1"/>
  <c r="N2145" s="1"/>
  <c r="M2146" a="1"/>
  <c r="M2146" s="1"/>
  <c r="N2146" s="1" a="1"/>
  <c r="N2146" s="1"/>
  <c r="M2147" a="1"/>
  <c r="M2147" s="1"/>
  <c r="N2147" s="1" a="1"/>
  <c r="N2147" s="1"/>
  <c r="M2148" a="1"/>
  <c r="M2148" s="1"/>
  <c r="N2148" s="1" a="1"/>
  <c r="N2148" s="1"/>
  <c r="M2149" a="1"/>
  <c r="M2149" s="1"/>
  <c r="N2149" s="1" a="1"/>
  <c r="N2149" s="1"/>
  <c r="M2150" a="1"/>
  <c r="M2150" s="1"/>
  <c r="N2150" s="1" a="1"/>
  <c r="N2150" s="1"/>
  <c r="M2151" a="1"/>
  <c r="M2151" s="1"/>
  <c r="N2151" s="1" a="1"/>
  <c r="N2151" s="1"/>
  <c r="M2152" a="1"/>
  <c r="M2152" s="1"/>
  <c r="N2152" s="1" a="1"/>
  <c r="N2152" s="1"/>
  <c r="M2153" a="1"/>
  <c r="M2153" s="1"/>
  <c r="N2153" s="1" a="1"/>
  <c r="N2153" s="1"/>
  <c r="M2154" a="1"/>
  <c r="M2154" s="1"/>
  <c r="N2154" s="1" a="1"/>
  <c r="N2154" s="1"/>
  <c r="M2155" a="1"/>
  <c r="M2155" s="1"/>
  <c r="N2155" s="1" a="1"/>
  <c r="N2155" s="1"/>
  <c r="M2156" a="1"/>
  <c r="M2156" s="1"/>
  <c r="N2156" s="1" a="1"/>
  <c r="N2156" s="1"/>
  <c r="M2157" a="1"/>
  <c r="M2157" s="1"/>
  <c r="N2157" s="1" a="1"/>
  <c r="N2157" s="1"/>
  <c r="M2158" a="1"/>
  <c r="M2158" s="1"/>
  <c r="N2158" s="1" a="1"/>
  <c r="N2158" s="1"/>
  <c r="M2159" a="1"/>
  <c r="M2159" s="1"/>
  <c r="N2159" s="1" a="1"/>
  <c r="N2159" s="1"/>
  <c r="M2160" a="1"/>
  <c r="M2160" s="1"/>
  <c r="N2160" s="1" a="1"/>
  <c r="N2160" s="1"/>
  <c r="M2161" a="1"/>
  <c r="M2161" s="1"/>
  <c r="N2161" s="1" a="1"/>
  <c r="N2161" s="1"/>
  <c r="M2162" a="1"/>
  <c r="M2162" s="1"/>
  <c r="N2162" s="1" a="1"/>
  <c r="N2162" s="1"/>
  <c r="M2163" a="1"/>
  <c r="M2163" s="1"/>
  <c r="N2163" s="1" a="1"/>
  <c r="N2163" s="1"/>
  <c r="M2164" a="1"/>
  <c r="M2164" s="1"/>
  <c r="N2164" s="1" a="1"/>
  <c r="N2164" s="1"/>
  <c r="M2165" a="1"/>
  <c r="M2165" s="1"/>
  <c r="N2165" s="1" a="1"/>
  <c r="N2165" s="1"/>
  <c r="M2166" a="1"/>
  <c r="M2166" s="1"/>
  <c r="N2166" s="1" a="1"/>
  <c r="N2166" s="1"/>
  <c r="M2167" a="1"/>
  <c r="M2167" s="1"/>
  <c r="N2167" s="1" a="1"/>
  <c r="N2167" s="1"/>
  <c r="M2168" a="1"/>
  <c r="M2168" s="1"/>
  <c r="N2168" s="1" a="1"/>
  <c r="N2168" s="1"/>
  <c r="M2169" a="1"/>
  <c r="M2169" s="1"/>
  <c r="N2169" s="1" a="1"/>
  <c r="N2169" s="1"/>
  <c r="M2170" a="1"/>
  <c r="M2170" s="1"/>
  <c r="N2170" s="1" a="1"/>
  <c r="N2170" s="1"/>
  <c r="M2171" a="1"/>
  <c r="M2171" s="1"/>
  <c r="N2171" s="1" a="1"/>
  <c r="N2171" s="1"/>
  <c r="M2172" a="1"/>
  <c r="M2172" s="1"/>
  <c r="N2172" s="1" a="1"/>
  <c r="N2172" s="1"/>
  <c r="M2173" a="1"/>
  <c r="M2173" s="1"/>
  <c r="N2173" s="1" a="1"/>
  <c r="N2173" s="1"/>
  <c r="M2174" a="1"/>
  <c r="M2174" s="1"/>
  <c r="N2174" s="1" a="1"/>
  <c r="N2174" s="1"/>
  <c r="M2175" a="1"/>
  <c r="M2175" s="1"/>
  <c r="N2175" s="1" a="1"/>
  <c r="N2175" s="1"/>
  <c r="M2176" a="1"/>
  <c r="M2176" s="1"/>
  <c r="N2176" s="1" a="1"/>
  <c r="N2176" s="1"/>
  <c r="M2177" a="1"/>
  <c r="M2177" s="1"/>
  <c r="N2177" s="1" a="1"/>
  <c r="N2177" s="1"/>
  <c r="M2178" a="1"/>
  <c r="M2178" s="1"/>
  <c r="N2178" s="1" a="1"/>
  <c r="N2178" s="1"/>
  <c r="M2179" a="1"/>
  <c r="M2179" s="1"/>
  <c r="N2179" s="1" a="1"/>
  <c r="N2179" s="1"/>
  <c r="M2180" a="1"/>
  <c r="M2180" s="1"/>
  <c r="N2180" s="1" a="1"/>
  <c r="N2180" s="1"/>
  <c r="M2181" a="1"/>
  <c r="M2181" s="1"/>
  <c r="N2181" s="1" a="1"/>
  <c r="N2181" s="1"/>
  <c r="M2182" a="1"/>
  <c r="M2182" s="1"/>
  <c r="N2182" s="1" a="1"/>
  <c r="N2182" s="1"/>
  <c r="M2183" a="1"/>
  <c r="M2183" s="1"/>
  <c r="N2183" s="1" a="1"/>
  <c r="N2183" s="1"/>
  <c r="M2184" a="1"/>
  <c r="M2184" s="1"/>
  <c r="N2184" s="1" a="1"/>
  <c r="N2184" s="1"/>
  <c r="M2185" a="1"/>
  <c r="M2185" s="1"/>
  <c r="N2185" s="1" a="1"/>
  <c r="N2185" s="1"/>
  <c r="M2186" a="1"/>
  <c r="M2186" s="1"/>
  <c r="N2186" s="1" a="1"/>
  <c r="N2186" s="1"/>
  <c r="M2187" a="1"/>
  <c r="M2187" s="1"/>
  <c r="N2187" s="1" a="1"/>
  <c r="N2187" s="1"/>
  <c r="M2188" a="1"/>
  <c r="M2188" s="1"/>
  <c r="N2188" s="1" a="1"/>
  <c r="N2188" s="1"/>
  <c r="M2189" a="1"/>
  <c r="M2189" s="1"/>
  <c r="N2189" s="1" a="1"/>
  <c r="N2189" s="1"/>
  <c r="M2190" a="1"/>
  <c r="M2190" s="1"/>
  <c r="N2190" s="1" a="1"/>
  <c r="N2190" s="1"/>
  <c r="M2191" a="1"/>
  <c r="M2191" s="1"/>
  <c r="N2191" s="1" a="1"/>
  <c r="N2191" s="1"/>
  <c r="M2192" a="1"/>
  <c r="M2192" s="1"/>
  <c r="N2192" s="1" a="1"/>
  <c r="N2192" s="1"/>
  <c r="M2193" a="1"/>
  <c r="M2193" s="1"/>
  <c r="N2193" s="1" a="1"/>
  <c r="N2193" s="1"/>
  <c r="M2194" a="1"/>
  <c r="M2194" s="1"/>
  <c r="N2194" s="1" a="1"/>
  <c r="N2194" s="1"/>
  <c r="M2195" a="1"/>
  <c r="M2195" s="1"/>
  <c r="N2195" s="1" a="1"/>
  <c r="N2195" s="1"/>
  <c r="M2196" a="1"/>
  <c r="M2196" s="1"/>
  <c r="N2196" s="1" a="1"/>
  <c r="N2196" s="1"/>
  <c r="M2197" a="1"/>
  <c r="M2197" s="1"/>
  <c r="N2197" s="1" a="1"/>
  <c r="N2197" s="1"/>
  <c r="M2198" a="1"/>
  <c r="M2198" s="1"/>
  <c r="N2198" s="1" a="1"/>
  <c r="N2198" s="1"/>
  <c r="M2199" a="1"/>
  <c r="M2199" s="1"/>
  <c r="N2199" s="1" a="1"/>
  <c r="N2199" s="1"/>
  <c r="M2200" a="1"/>
  <c r="M2200" s="1"/>
  <c r="N2200" s="1" a="1"/>
  <c r="N2200" s="1"/>
  <c r="M2201" a="1"/>
  <c r="M2201" s="1"/>
  <c r="N2201" s="1" a="1"/>
  <c r="N2201" s="1"/>
  <c r="M2202" a="1"/>
  <c r="M2202" s="1"/>
  <c r="N2202" s="1" a="1"/>
  <c r="N2202" s="1"/>
  <c r="M2203" a="1"/>
  <c r="M2203" s="1"/>
  <c r="N2203" s="1" a="1"/>
  <c r="N2203" s="1"/>
  <c r="M2204" a="1"/>
  <c r="M2204" s="1"/>
  <c r="N2204" s="1" a="1"/>
  <c r="N2204" s="1"/>
  <c r="M2205" a="1"/>
  <c r="M2205" s="1"/>
  <c r="N2205" s="1" a="1"/>
  <c r="N2205" s="1"/>
  <c r="M2206" a="1"/>
  <c r="M2206" s="1"/>
  <c r="N2206" s="1" a="1"/>
  <c r="N2206" s="1"/>
  <c r="M2207" a="1"/>
  <c r="M2207" s="1"/>
  <c r="N2207" s="1" a="1"/>
  <c r="N2207" s="1"/>
  <c r="M2208" a="1"/>
  <c r="M2208" s="1"/>
  <c r="N2208" s="1" a="1"/>
  <c r="N2208" s="1"/>
  <c r="M2209" a="1"/>
  <c r="M2209" s="1"/>
  <c r="N2209" s="1" a="1"/>
  <c r="N2209" s="1"/>
  <c r="M2210" a="1"/>
  <c r="M2210" s="1"/>
  <c r="N2210" s="1" a="1"/>
  <c r="N2210" s="1"/>
  <c r="M2211" a="1"/>
  <c r="M2211" s="1"/>
  <c r="N2211" s="1" a="1"/>
  <c r="N2211" s="1"/>
  <c r="M2212" a="1"/>
  <c r="M2212" s="1"/>
  <c r="N2212" s="1" a="1"/>
  <c r="N2212" s="1"/>
  <c r="M2213" a="1"/>
  <c r="M2213" s="1"/>
  <c r="N2213" s="1" a="1"/>
  <c r="N2213" s="1"/>
  <c r="M2214" a="1"/>
  <c r="M2214" s="1"/>
  <c r="N2214" s="1" a="1"/>
  <c r="N2214" s="1"/>
  <c r="M2215" a="1"/>
  <c r="M2215" s="1"/>
  <c r="N2215" s="1" a="1"/>
  <c r="N2215" s="1"/>
  <c r="M2216" a="1"/>
  <c r="M2216" s="1"/>
  <c r="N2216" s="1" a="1"/>
  <c r="N2216" s="1"/>
  <c r="M2217" a="1"/>
  <c r="M2217" s="1"/>
  <c r="N2217" s="1" a="1"/>
  <c r="N2217" s="1"/>
  <c r="M2218" a="1"/>
  <c r="M2218" s="1"/>
  <c r="N2218" s="1" a="1"/>
  <c r="N2218" s="1"/>
  <c r="M2219" a="1"/>
  <c r="M2219" s="1"/>
  <c r="N2219" s="1" a="1"/>
  <c r="N2219" s="1"/>
  <c r="M2220" a="1"/>
  <c r="M2220" s="1"/>
  <c r="N2220" s="1" a="1"/>
  <c r="N2220" s="1"/>
  <c r="M2221" a="1"/>
  <c r="M2221" s="1"/>
  <c r="N2221" s="1" a="1"/>
  <c r="N2221" s="1"/>
  <c r="M2222" a="1"/>
  <c r="M2222" s="1"/>
  <c r="N2222" s="1" a="1"/>
  <c r="N2222" s="1"/>
  <c r="M2223" a="1"/>
  <c r="M2223" s="1"/>
  <c r="N2223" s="1" a="1"/>
  <c r="N2223" s="1"/>
  <c r="M2224" a="1"/>
  <c r="M2224" s="1"/>
  <c r="N2224" s="1" a="1"/>
  <c r="N2224" s="1"/>
  <c r="M2225" a="1"/>
  <c r="M2225" s="1"/>
  <c r="N2225" s="1" a="1"/>
  <c r="N2225" s="1"/>
  <c r="M2226" a="1"/>
  <c r="M2226" s="1"/>
  <c r="N2226" s="1" a="1"/>
  <c r="N2226" s="1"/>
  <c r="M2227" a="1"/>
  <c r="M2227" s="1"/>
  <c r="N2227" s="1" a="1"/>
  <c r="N2227" s="1"/>
  <c r="M2228" a="1"/>
  <c r="M2228" s="1"/>
  <c r="N2228" s="1" a="1"/>
  <c r="N2228" s="1"/>
  <c r="M2229" a="1"/>
  <c r="M2229" s="1"/>
  <c r="N2229" s="1" a="1"/>
  <c r="N2229" s="1"/>
  <c r="M2230" a="1"/>
  <c r="M2230" s="1"/>
  <c r="N2230" s="1" a="1"/>
  <c r="N2230" s="1"/>
  <c r="M2231" a="1"/>
  <c r="M2231" s="1"/>
  <c r="N2231" s="1" a="1"/>
  <c r="N2231" s="1"/>
  <c r="M2232" a="1"/>
  <c r="M2232" s="1"/>
  <c r="N2232" s="1" a="1"/>
  <c r="N2232" s="1"/>
  <c r="M2233" a="1"/>
  <c r="M2233" s="1"/>
  <c r="N2233" s="1" a="1"/>
  <c r="N2233" s="1"/>
  <c r="M2234" a="1"/>
  <c r="M2234" s="1"/>
  <c r="N2234" s="1" a="1"/>
  <c r="N2234" s="1"/>
  <c r="M2235" a="1"/>
  <c r="M2235" s="1"/>
  <c r="N2235" s="1" a="1"/>
  <c r="N2235" s="1"/>
  <c r="M2236" a="1"/>
  <c r="M2236" s="1"/>
  <c r="N2236" s="1" a="1"/>
  <c r="N2236" s="1"/>
  <c r="M2237" a="1"/>
  <c r="M2237" s="1"/>
  <c r="N2237" s="1" a="1"/>
  <c r="N2237" s="1"/>
  <c r="M2238" a="1"/>
  <c r="M2238" s="1"/>
  <c r="N2238" s="1" a="1"/>
  <c r="N2238" s="1"/>
  <c r="M2239" a="1"/>
  <c r="M2239" s="1"/>
  <c r="N2239" s="1" a="1"/>
  <c r="N2239" s="1"/>
  <c r="M2240" a="1"/>
  <c r="M2240" s="1"/>
  <c r="N2240" s="1" a="1"/>
  <c r="N2240" s="1"/>
  <c r="M2241" a="1"/>
  <c r="M2241" s="1"/>
  <c r="N2241" s="1" a="1"/>
  <c r="N2241" s="1"/>
  <c r="M2242" a="1"/>
  <c r="M2242" s="1"/>
  <c r="N2242" s="1" a="1"/>
  <c r="N2242" s="1"/>
  <c r="M2243" a="1"/>
  <c r="M2243" s="1"/>
  <c r="N2243" s="1" a="1"/>
  <c r="N2243" s="1"/>
  <c r="M2244" a="1"/>
  <c r="M2244" s="1"/>
  <c r="N2244" s="1" a="1"/>
  <c r="N2244" s="1"/>
  <c r="M2245" a="1"/>
  <c r="M2245" s="1"/>
  <c r="N2245" s="1" a="1"/>
  <c r="N2245" s="1"/>
  <c r="M2246" a="1"/>
  <c r="M2246" s="1"/>
  <c r="N2246" s="1" a="1"/>
  <c r="N2246" s="1"/>
  <c r="M2247" a="1"/>
  <c r="M2247" s="1"/>
  <c r="N2247" s="1" a="1"/>
  <c r="N2247" s="1"/>
  <c r="M2248" a="1"/>
  <c r="M2248" s="1"/>
  <c r="N2248" s="1" a="1"/>
  <c r="N2248" s="1"/>
  <c r="M2249" a="1"/>
  <c r="M2249" s="1"/>
  <c r="N2249" s="1" a="1"/>
  <c r="N2249" s="1"/>
  <c r="M2250" a="1"/>
  <c r="M2250" s="1"/>
  <c r="N2250" s="1" a="1"/>
  <c r="N2250" s="1"/>
  <c r="M2251" a="1"/>
  <c r="M2251" s="1"/>
  <c r="N2251" s="1" a="1"/>
  <c r="N2251" s="1"/>
  <c r="M2252" a="1"/>
  <c r="M2252" s="1"/>
  <c r="N2252" s="1" a="1"/>
  <c r="N2252" s="1"/>
  <c r="M2253" a="1"/>
  <c r="M2253" s="1"/>
  <c r="N2253" s="1" a="1"/>
  <c r="N2253" s="1"/>
  <c r="M2254" a="1"/>
  <c r="M2254" s="1"/>
  <c r="N2254" s="1" a="1"/>
  <c r="N2254" s="1"/>
  <c r="M2255" a="1"/>
  <c r="M2255" s="1"/>
  <c r="N2255" s="1" a="1"/>
  <c r="N2255" s="1"/>
  <c r="M2256" a="1"/>
  <c r="M2256" s="1"/>
  <c r="N2256" s="1" a="1"/>
  <c r="N2256" s="1"/>
  <c r="M2257" a="1"/>
  <c r="M2257" s="1"/>
  <c r="N2257" s="1" a="1"/>
  <c r="N2257" s="1"/>
  <c r="M2258" a="1"/>
  <c r="M2258" s="1"/>
  <c r="N2258" s="1" a="1"/>
  <c r="N2258" s="1"/>
  <c r="M2259" a="1"/>
  <c r="M2259" s="1"/>
  <c r="N2259" s="1" a="1"/>
  <c r="N2259" s="1"/>
  <c r="M2260" a="1"/>
  <c r="M2260" s="1"/>
  <c r="N2260" s="1" a="1"/>
  <c r="N2260" s="1"/>
  <c r="M2261" a="1"/>
  <c r="M2261" s="1"/>
  <c r="N2261" s="1" a="1"/>
  <c r="N2261" s="1"/>
  <c r="M2262" a="1"/>
  <c r="M2262" s="1"/>
  <c r="N2262" s="1" a="1"/>
  <c r="N2262" s="1"/>
  <c r="M2263" a="1"/>
  <c r="M2263" s="1"/>
  <c r="N2263" s="1" a="1"/>
  <c r="N2263" s="1"/>
  <c r="M2264" a="1"/>
  <c r="M2264" s="1"/>
  <c r="N2264" s="1" a="1"/>
  <c r="N2264" s="1"/>
  <c r="M2265" a="1"/>
  <c r="M2265" s="1"/>
  <c r="N2265" s="1" a="1"/>
  <c r="N2265" s="1"/>
  <c r="M2266" a="1"/>
  <c r="M2266" s="1"/>
  <c r="N2266" s="1" a="1"/>
  <c r="N2266" s="1"/>
  <c r="M2267" a="1"/>
  <c r="M2267" s="1"/>
  <c r="N2267" s="1" a="1"/>
  <c r="N2267" s="1"/>
  <c r="M2268" a="1"/>
  <c r="M2268" s="1"/>
  <c r="N2268" s="1" a="1"/>
  <c r="N2268" s="1"/>
  <c r="M2269" a="1"/>
  <c r="M2269" s="1"/>
  <c r="N2269" s="1" a="1"/>
  <c r="N2269" s="1"/>
  <c r="M2270" a="1"/>
  <c r="M2270" s="1"/>
  <c r="N2270" s="1" a="1"/>
  <c r="N2270" s="1"/>
  <c r="M2271" a="1"/>
  <c r="M2271" s="1"/>
  <c r="N2271" s="1" a="1"/>
  <c r="N2271" s="1"/>
  <c r="M2272" a="1"/>
  <c r="M2272" s="1"/>
  <c r="N2272" s="1" a="1"/>
  <c r="N2272" s="1"/>
  <c r="M2273" a="1"/>
  <c r="M2273" s="1"/>
  <c r="N2273" s="1" a="1"/>
  <c r="N2273" s="1"/>
  <c r="M2274" a="1"/>
  <c r="M2274" s="1"/>
  <c r="N2274" s="1" a="1"/>
  <c r="N2274" s="1"/>
  <c r="M2275" a="1"/>
  <c r="M2275" s="1"/>
  <c r="N2275" s="1" a="1"/>
  <c r="N2275" s="1"/>
  <c r="M2276" a="1"/>
  <c r="M2276" s="1"/>
  <c r="N2276" s="1" a="1"/>
  <c r="N2276" s="1"/>
  <c r="M2277" a="1"/>
  <c r="M2277" s="1"/>
  <c r="N2277" s="1" a="1"/>
  <c r="N2277" s="1"/>
  <c r="M2278" a="1"/>
  <c r="M2278" s="1"/>
  <c r="N2278" s="1" a="1"/>
  <c r="N2278" s="1"/>
  <c r="M2279" a="1"/>
  <c r="M2279" s="1"/>
  <c r="N2279" s="1" a="1"/>
  <c r="N2279" s="1"/>
  <c r="M2280" a="1"/>
  <c r="M2280" s="1"/>
  <c r="N2280" s="1" a="1"/>
  <c r="N2280" s="1"/>
  <c r="M2281" a="1"/>
  <c r="M2281" s="1"/>
  <c r="N2281" s="1" a="1"/>
  <c r="N2281" s="1"/>
  <c r="M2282" a="1"/>
  <c r="M2282" s="1"/>
  <c r="N2282" s="1" a="1"/>
  <c r="N2282" s="1"/>
  <c r="M2283" a="1"/>
  <c r="M2283" s="1"/>
  <c r="N2283" s="1" a="1"/>
  <c r="N2283" s="1"/>
  <c r="M2284" a="1"/>
  <c r="M2284" s="1"/>
  <c r="N2284" s="1" a="1"/>
  <c r="N2284" s="1"/>
  <c r="M2285" a="1"/>
  <c r="M2285" s="1"/>
  <c r="N2285" s="1" a="1"/>
  <c r="N2285" s="1"/>
  <c r="M2286" a="1"/>
  <c r="M2286" s="1"/>
  <c r="N2286" s="1" a="1"/>
  <c r="N2286" s="1"/>
  <c r="M2287" a="1"/>
  <c r="M2287" s="1"/>
  <c r="N2287" s="1" a="1"/>
  <c r="N2287" s="1"/>
  <c r="M2288" a="1"/>
  <c r="M2288" s="1"/>
  <c r="N2288" s="1" a="1"/>
  <c r="N2288" s="1"/>
  <c r="M2289" a="1"/>
  <c r="M2289" s="1"/>
  <c r="N2289" s="1" a="1"/>
  <c r="N2289" s="1"/>
  <c r="M2290" a="1"/>
  <c r="M2290" s="1"/>
  <c r="N2290" s="1" a="1"/>
  <c r="N2290" s="1"/>
  <c r="M2291" a="1"/>
  <c r="M2291" s="1"/>
  <c r="N2291" s="1" a="1"/>
  <c r="N2291" s="1"/>
  <c r="M2292" a="1"/>
  <c r="M2292" s="1"/>
  <c r="N2292" s="1" a="1"/>
  <c r="N2292" s="1"/>
  <c r="M2293" a="1"/>
  <c r="M2293" s="1"/>
  <c r="N2293" s="1" a="1"/>
  <c r="N2293" s="1"/>
  <c r="M2294" a="1"/>
  <c r="M2294" s="1"/>
  <c r="N2294" s="1" a="1"/>
  <c r="N2294" s="1"/>
  <c r="M2295" a="1"/>
  <c r="M2295" s="1"/>
  <c r="N2295" s="1" a="1"/>
  <c r="N2295" s="1"/>
  <c r="M2296" a="1"/>
  <c r="M2296" s="1"/>
  <c r="N2296" s="1" a="1"/>
  <c r="N2296" s="1"/>
  <c r="M2297" a="1"/>
  <c r="M2297" s="1"/>
  <c r="N2297" s="1" a="1"/>
  <c r="N2297" s="1"/>
  <c r="M2298" a="1"/>
  <c r="M2298" s="1"/>
  <c r="N2298" s="1" a="1"/>
  <c r="N2298" s="1"/>
  <c r="M2299" a="1"/>
  <c r="M2299" s="1"/>
  <c r="N2299" s="1" a="1"/>
  <c r="N2299" s="1"/>
  <c r="M2300" a="1"/>
  <c r="M2300" s="1"/>
  <c r="N2300" s="1" a="1"/>
  <c r="N2300" s="1"/>
  <c r="M2301" a="1"/>
  <c r="M2301" s="1"/>
  <c r="N2301" s="1" a="1"/>
  <c r="N2301" s="1"/>
  <c r="M2302" a="1"/>
  <c r="M2302" s="1"/>
  <c r="N2302" s="1" a="1"/>
  <c r="N2302" s="1"/>
  <c r="M2303" a="1"/>
  <c r="M2303" s="1"/>
  <c r="N2303" s="1" a="1"/>
  <c r="N2303" s="1"/>
  <c r="M2304" a="1"/>
  <c r="M2304" s="1"/>
  <c r="N2304" s="1" a="1"/>
  <c r="N2304" s="1"/>
  <c r="M2305" a="1"/>
  <c r="M2305" s="1"/>
  <c r="N2305" s="1" a="1"/>
  <c r="N2305" s="1"/>
  <c r="M2306" a="1"/>
  <c r="M2306" s="1"/>
  <c r="N2306" s="1" a="1"/>
  <c r="N2306" s="1"/>
  <c r="M2307" a="1"/>
  <c r="M2307" s="1"/>
  <c r="N2307" s="1" a="1"/>
  <c r="N2307" s="1"/>
  <c r="M2308" a="1"/>
  <c r="M2308" s="1"/>
  <c r="N2308" s="1" a="1"/>
  <c r="N2308" s="1"/>
  <c r="M2309" a="1"/>
  <c r="M2309" s="1"/>
  <c r="N2309" s="1" a="1"/>
  <c r="N2309" s="1"/>
  <c r="M2310" a="1"/>
  <c r="M2310" s="1"/>
  <c r="N2310" s="1" a="1"/>
  <c r="N2310" s="1"/>
  <c r="M2311" a="1"/>
  <c r="M2311" s="1"/>
  <c r="N2311" s="1" a="1"/>
  <c r="N2311" s="1"/>
  <c r="M2312" a="1"/>
  <c r="M2312" s="1"/>
  <c r="N2312" s="1" a="1"/>
  <c r="N2312" s="1"/>
  <c r="M2313" a="1"/>
  <c r="M2313" s="1"/>
  <c r="N2313" s="1" a="1"/>
  <c r="N2313" s="1"/>
  <c r="M2314" a="1"/>
  <c r="M2314" s="1"/>
  <c r="N2314" s="1" a="1"/>
  <c r="N2314" s="1"/>
  <c r="M2315" a="1"/>
  <c r="M2315" s="1"/>
  <c r="N2315" s="1" a="1"/>
  <c r="N2315" s="1"/>
  <c r="M2316" a="1"/>
  <c r="M2316" s="1"/>
  <c r="N2316" s="1" a="1"/>
  <c r="N2316" s="1"/>
  <c r="M2317" a="1"/>
  <c r="M2317" s="1"/>
  <c r="N2317" s="1" a="1"/>
  <c r="N2317" s="1"/>
  <c r="M2318" a="1"/>
  <c r="M2318" s="1"/>
  <c r="N2318" s="1" a="1"/>
  <c r="N2318" s="1"/>
  <c r="M2319" a="1"/>
  <c r="M2319" s="1"/>
  <c r="N2319" s="1" a="1"/>
  <c r="N2319" s="1"/>
  <c r="M2320" a="1"/>
  <c r="M2320" s="1"/>
  <c r="N2320" s="1" a="1"/>
  <c r="N2320" s="1"/>
  <c r="M2321" a="1"/>
  <c r="M2321" s="1"/>
  <c r="N2321" s="1" a="1"/>
  <c r="N2321" s="1"/>
  <c r="M2322" a="1"/>
  <c r="M2322" s="1"/>
  <c r="N2322" s="1" a="1"/>
  <c r="N2322" s="1"/>
  <c r="M2323" a="1"/>
  <c r="M2323" s="1"/>
  <c r="N2323" s="1" a="1"/>
  <c r="N2323" s="1"/>
  <c r="M2324" a="1"/>
  <c r="M2324" s="1"/>
  <c r="N2324" s="1" a="1"/>
  <c r="N2324" s="1"/>
  <c r="M2325" a="1"/>
  <c r="M2325" s="1"/>
  <c r="N2325" s="1" a="1"/>
  <c r="N2325" s="1"/>
  <c r="M2326" a="1"/>
  <c r="M2326" s="1"/>
  <c r="N2326" s="1" a="1"/>
  <c r="N2326" s="1"/>
  <c r="M2327" a="1"/>
  <c r="M2327" s="1"/>
  <c r="N2327" s="1" a="1"/>
  <c r="N2327" s="1"/>
  <c r="M2328" a="1"/>
  <c r="M2328" s="1"/>
  <c r="N2328" s="1" a="1"/>
  <c r="N2328" s="1"/>
  <c r="M2329" a="1"/>
  <c r="M2329" s="1"/>
  <c r="N2329" s="1" a="1"/>
  <c r="N2329" s="1"/>
  <c r="M2330" a="1"/>
  <c r="M2330" s="1"/>
  <c r="N2330" s="1" a="1"/>
  <c r="N2330" s="1"/>
  <c r="M2331" a="1"/>
  <c r="M2331" s="1"/>
  <c r="N2331" s="1" a="1"/>
  <c r="N2331" s="1"/>
  <c r="M2332" a="1"/>
  <c r="M2332" s="1"/>
  <c r="N2332" s="1" a="1"/>
  <c r="N2332" s="1"/>
  <c r="M2333" a="1"/>
  <c r="M2333" s="1"/>
  <c r="N2333" s="1" a="1"/>
  <c r="N2333" s="1"/>
  <c r="M2334" a="1"/>
  <c r="M2334" s="1"/>
  <c r="N2334" s="1" a="1"/>
  <c r="N2334" s="1"/>
  <c r="M2335" a="1"/>
  <c r="M2335" s="1"/>
  <c r="N2335" s="1" a="1"/>
  <c r="N2335" s="1"/>
  <c r="M2336" a="1"/>
  <c r="M2336" s="1"/>
  <c r="N2336" s="1" a="1"/>
  <c r="N2336" s="1"/>
  <c r="M2337" a="1"/>
  <c r="M2337" s="1"/>
  <c r="N2337" s="1" a="1"/>
  <c r="N2337" s="1"/>
  <c r="M2338" a="1"/>
  <c r="M2338" s="1"/>
  <c r="N2338" s="1" a="1"/>
  <c r="N2338" s="1"/>
  <c r="M2339" a="1"/>
  <c r="M2339" s="1"/>
  <c r="N2339" s="1" a="1"/>
  <c r="N2339" s="1"/>
  <c r="M2340" a="1"/>
  <c r="M2340" s="1"/>
  <c r="N2340" s="1" a="1"/>
  <c r="N2340" s="1"/>
  <c r="M2341" a="1"/>
  <c r="M2341" s="1"/>
  <c r="N2341" s="1" a="1"/>
  <c r="N2341" s="1"/>
  <c r="M2342" a="1"/>
  <c r="M2342" s="1"/>
  <c r="N2342" s="1" a="1"/>
  <c r="N2342" s="1"/>
  <c r="M2343" a="1"/>
  <c r="M2343" s="1"/>
  <c r="N2343" s="1" a="1"/>
  <c r="N2343" s="1"/>
  <c r="M2344" a="1"/>
  <c r="M2344" s="1"/>
  <c r="N2344" s="1" a="1"/>
  <c r="N2344" s="1"/>
  <c r="M2345" a="1"/>
  <c r="M2345" s="1"/>
  <c r="N2345" s="1" a="1"/>
  <c r="N2345" s="1"/>
  <c r="M2346" a="1"/>
  <c r="M2346" s="1"/>
  <c r="N2346" s="1" a="1"/>
  <c r="N2346" s="1"/>
  <c r="M2347" a="1"/>
  <c r="M2347" s="1"/>
  <c r="N2347" s="1" a="1"/>
  <c r="N2347" s="1"/>
  <c r="M2348" a="1"/>
  <c r="M2348" s="1"/>
  <c r="N2348" s="1" a="1"/>
  <c r="N2348" s="1"/>
  <c r="M2349" a="1"/>
  <c r="M2349" s="1"/>
  <c r="N2349" s="1" a="1"/>
  <c r="N2349" s="1"/>
  <c r="M2350" a="1"/>
  <c r="M2350" s="1"/>
  <c r="N2350" s="1" a="1"/>
  <c r="N2350" s="1"/>
  <c r="M2351" a="1"/>
  <c r="M2351" s="1"/>
  <c r="N2351" s="1" a="1"/>
  <c r="N2351" s="1"/>
  <c r="M2352" a="1"/>
  <c r="M2352" s="1"/>
  <c r="N2352" s="1" a="1"/>
  <c r="N2352" s="1"/>
  <c r="M2353" a="1"/>
  <c r="M2353" s="1"/>
  <c r="N2353" s="1" a="1"/>
  <c r="N2353" s="1"/>
  <c r="M2354" a="1"/>
  <c r="M2354" s="1"/>
  <c r="N2354" s="1" a="1"/>
  <c r="N2354" s="1"/>
  <c r="M2355" a="1"/>
  <c r="M2355" s="1"/>
  <c r="N2355" s="1" a="1"/>
  <c r="N2355" s="1"/>
  <c r="M2356" a="1"/>
  <c r="M2356" s="1"/>
  <c r="N2356" s="1" a="1"/>
  <c r="N2356" s="1"/>
  <c r="M2357" a="1"/>
  <c r="M2357" s="1"/>
  <c r="N2357" s="1" a="1"/>
  <c r="N2357" s="1"/>
  <c r="M2358" a="1"/>
  <c r="M2358" s="1"/>
  <c r="N2358" s="1" a="1"/>
  <c r="N2358" s="1"/>
  <c r="M2359" a="1"/>
  <c r="M2359" s="1"/>
  <c r="N2359" s="1" a="1"/>
  <c r="N2359" s="1"/>
  <c r="M2360" a="1"/>
  <c r="M2360" s="1"/>
  <c r="N2360" s="1" a="1"/>
  <c r="N2360" s="1"/>
  <c r="M2361" a="1"/>
  <c r="M2361" s="1"/>
  <c r="N2361" s="1" a="1"/>
  <c r="N2361" s="1"/>
  <c r="M2362" a="1"/>
  <c r="M2362" s="1"/>
  <c r="N2362" s="1" a="1"/>
  <c r="N2362" s="1"/>
  <c r="M2363" a="1"/>
  <c r="M2363" s="1"/>
  <c r="N2363" s="1" a="1"/>
  <c r="N2363" s="1"/>
  <c r="M2364" a="1"/>
  <c r="M2364" s="1"/>
  <c r="N2364" s="1" a="1"/>
  <c r="N2364" s="1"/>
  <c r="M2365" a="1"/>
  <c r="M2365" s="1"/>
  <c r="N2365" s="1" a="1"/>
  <c r="N2365" s="1"/>
  <c r="M2366" a="1"/>
  <c r="M2366" s="1"/>
  <c r="N2366" s="1" a="1"/>
  <c r="N2366" s="1"/>
  <c r="M2367" a="1"/>
  <c r="M2367" s="1"/>
  <c r="N2367" s="1" a="1"/>
  <c r="N2367" s="1"/>
  <c r="M2368" a="1"/>
  <c r="M2368" s="1"/>
  <c r="N2368" s="1" a="1"/>
  <c r="N2368" s="1"/>
  <c r="M2369" a="1"/>
  <c r="M2369" s="1"/>
  <c r="N2369" s="1" a="1"/>
  <c r="N2369" s="1"/>
  <c r="M2370" a="1"/>
  <c r="M2370" s="1"/>
  <c r="N2370" s="1" a="1"/>
  <c r="N2370" s="1"/>
  <c r="M2371" a="1"/>
  <c r="M2371" s="1"/>
  <c r="N2371" s="1" a="1"/>
  <c r="N2371" s="1"/>
  <c r="M2372" a="1"/>
  <c r="M2372" s="1"/>
  <c r="N2372" s="1" a="1"/>
  <c r="N2372" s="1"/>
  <c r="M2373" a="1"/>
  <c r="M2373" s="1"/>
  <c r="N2373" s="1" a="1"/>
  <c r="N2373" s="1"/>
  <c r="M2374" a="1"/>
  <c r="M2374" s="1"/>
  <c r="N2374" s="1" a="1"/>
  <c r="N2374" s="1"/>
  <c r="M2375" a="1"/>
  <c r="M2375" s="1"/>
  <c r="N2375" s="1" a="1"/>
  <c r="N2375" s="1"/>
  <c r="M2376" a="1"/>
  <c r="M2376" s="1"/>
  <c r="N2376" s="1" a="1"/>
  <c r="N2376" s="1"/>
  <c r="M2377" a="1"/>
  <c r="M2377" s="1"/>
  <c r="N2377" s="1" a="1"/>
  <c r="N2377" s="1"/>
  <c r="M2378" a="1"/>
  <c r="M2378" s="1"/>
  <c r="N2378" s="1" a="1"/>
  <c r="N2378" s="1"/>
  <c r="M2379" a="1"/>
  <c r="M2379" s="1"/>
  <c r="N2379" s="1" a="1"/>
  <c r="N2379" s="1"/>
  <c r="M2380" a="1"/>
  <c r="M2380" s="1"/>
  <c r="N2380" s="1" a="1"/>
  <c r="N2380" s="1"/>
  <c r="M2381" a="1"/>
  <c r="M2381" s="1"/>
  <c r="N2381" s="1" a="1"/>
  <c r="N2381" s="1"/>
  <c r="M2382" a="1"/>
  <c r="M2382" s="1"/>
  <c r="N2382" s="1" a="1"/>
  <c r="N2382" s="1"/>
  <c r="M2383" a="1"/>
  <c r="M2383" s="1"/>
  <c r="N2383" s="1" a="1"/>
  <c r="N2383" s="1"/>
  <c r="M2384" a="1"/>
  <c r="M2384" s="1"/>
  <c r="N2384" s="1" a="1"/>
  <c r="N2384" s="1"/>
  <c r="M2385" a="1"/>
  <c r="M2385" s="1"/>
  <c r="N2385" s="1" a="1"/>
  <c r="N2385" s="1"/>
  <c r="M2386" a="1"/>
  <c r="M2386" s="1"/>
  <c r="N2386" s="1" a="1"/>
  <c r="N2386" s="1"/>
  <c r="M2387" a="1"/>
  <c r="M2387" s="1"/>
  <c r="N2387" s="1" a="1"/>
  <c r="N2387" s="1"/>
  <c r="M2388" a="1"/>
  <c r="M2388" s="1"/>
  <c r="N2388" s="1" a="1"/>
  <c r="N2388" s="1"/>
  <c r="M2389" a="1"/>
  <c r="M2389" s="1"/>
  <c r="N2389" s="1" a="1"/>
  <c r="N2389" s="1"/>
  <c r="M2390" a="1"/>
  <c r="M2390" s="1"/>
  <c r="N2390" s="1" a="1"/>
  <c r="N2390" s="1"/>
  <c r="M2391" a="1"/>
  <c r="M2391" s="1"/>
  <c r="N2391" s="1" a="1"/>
  <c r="N2391" s="1"/>
  <c r="M2392" a="1"/>
  <c r="M2392" s="1"/>
  <c r="N2392" s="1" a="1"/>
  <c r="N2392" s="1"/>
  <c r="M2393" a="1"/>
  <c r="M2393" s="1"/>
  <c r="N2393" s="1" a="1"/>
  <c r="N2393" s="1"/>
  <c r="M2394" a="1"/>
  <c r="M2394" s="1"/>
  <c r="N2394" s="1" a="1"/>
  <c r="N2394" s="1"/>
  <c r="M2395" a="1"/>
  <c r="M2395" s="1"/>
  <c r="N2395" s="1" a="1"/>
  <c r="N2395" s="1"/>
  <c r="M2396" a="1"/>
  <c r="M2396" s="1"/>
  <c r="N2396" s="1" a="1"/>
  <c r="N2396" s="1"/>
  <c r="M2397" a="1"/>
  <c r="M2397" s="1"/>
  <c r="N2397" s="1" a="1"/>
  <c r="N2397" s="1"/>
  <c r="M2398" a="1"/>
  <c r="M2398" s="1"/>
  <c r="N2398" s="1" a="1"/>
  <c r="N2398" s="1"/>
  <c r="M2399" a="1"/>
  <c r="M2399" s="1"/>
  <c r="N2399" s="1" a="1"/>
  <c r="N2399" s="1"/>
  <c r="M2400" a="1"/>
  <c r="M2400" s="1"/>
  <c r="N2400" s="1" a="1"/>
  <c r="N2400" s="1"/>
  <c r="M2401" a="1"/>
  <c r="M2401" s="1"/>
  <c r="N2401" s="1" a="1"/>
  <c r="N2401" s="1"/>
  <c r="M2402" a="1"/>
  <c r="M2402" s="1"/>
  <c r="N2402" s="1" a="1"/>
  <c r="N2402" s="1"/>
  <c r="M2403" a="1"/>
  <c r="M2403" s="1"/>
  <c r="N2403" s="1" a="1"/>
  <c r="N2403" s="1"/>
  <c r="M2404" a="1"/>
  <c r="M2404" s="1"/>
  <c r="N2404" s="1" a="1"/>
  <c r="N2404" s="1"/>
  <c r="M2405" a="1"/>
  <c r="M2405" s="1"/>
  <c r="N2405" s="1" a="1"/>
  <c r="N2405" s="1"/>
  <c r="M2406" a="1"/>
  <c r="M2406" s="1"/>
  <c r="N2406" s="1" a="1"/>
  <c r="N2406" s="1"/>
  <c r="M2407" a="1"/>
  <c r="M2407" s="1"/>
  <c r="N2407" s="1" a="1"/>
  <c r="N2407" s="1"/>
  <c r="M2408" a="1"/>
  <c r="M2408" s="1"/>
  <c r="N2408" s="1" a="1"/>
  <c r="N2408" s="1"/>
  <c r="M2409" a="1"/>
  <c r="M2409" s="1"/>
  <c r="N2409" s="1" a="1"/>
  <c r="N2409" s="1"/>
  <c r="M2410" a="1"/>
  <c r="M2410" s="1"/>
  <c r="N2410" s="1" a="1"/>
  <c r="N2410" s="1"/>
  <c r="M2411" a="1"/>
  <c r="M2411" s="1"/>
  <c r="N2411" s="1" a="1"/>
  <c r="N2411" s="1"/>
  <c r="M2412" a="1"/>
  <c r="M2412" s="1"/>
  <c r="N2412" s="1" a="1"/>
  <c r="N2412" s="1"/>
  <c r="M2413" a="1"/>
  <c r="M2413" s="1"/>
  <c r="N2413" s="1" a="1"/>
  <c r="N2413" s="1"/>
  <c r="M2414" a="1"/>
  <c r="M2414" s="1"/>
  <c r="N2414" s="1" a="1"/>
  <c r="N2414" s="1"/>
  <c r="M2415" a="1"/>
  <c r="M2415" s="1"/>
  <c r="N2415" s="1" a="1"/>
  <c r="N2415" s="1"/>
  <c r="M2416" a="1"/>
  <c r="M2416" s="1"/>
  <c r="N2416" s="1" a="1"/>
  <c r="N2416" s="1"/>
  <c r="M2417" a="1"/>
  <c r="M2417" s="1"/>
  <c r="N2417" s="1" a="1"/>
  <c r="N2417" s="1"/>
  <c r="M2418" a="1"/>
  <c r="M2418" s="1"/>
  <c r="N2418" s="1" a="1"/>
  <c r="N2418" s="1"/>
  <c r="M2419" a="1"/>
  <c r="M2419" s="1"/>
  <c r="N2419" s="1" a="1"/>
  <c r="N2419" s="1"/>
  <c r="M2420" a="1"/>
  <c r="M2420" s="1"/>
  <c r="N2420" s="1" a="1"/>
  <c r="N2420" s="1"/>
  <c r="M2421" a="1"/>
  <c r="M2421" s="1"/>
  <c r="N2421" s="1" a="1"/>
  <c r="N2421" s="1"/>
  <c r="M2422" a="1"/>
  <c r="M2422" s="1"/>
  <c r="N2422" s="1" a="1"/>
  <c r="N2422" s="1"/>
  <c r="M2423" a="1"/>
  <c r="M2423" s="1"/>
  <c r="N2423" s="1" a="1"/>
  <c r="N2423" s="1"/>
  <c r="M2424" a="1"/>
  <c r="M2424" s="1"/>
  <c r="N2424" s="1" a="1"/>
  <c r="N2424" s="1"/>
  <c r="M2425" a="1"/>
  <c r="M2425" s="1"/>
  <c r="N2425" s="1" a="1"/>
  <c r="N2425" s="1"/>
  <c r="M2426" a="1"/>
  <c r="M2426" s="1"/>
  <c r="N2426" s="1" a="1"/>
  <c r="N2426" s="1"/>
  <c r="M2427" a="1"/>
  <c r="M2427" s="1"/>
  <c r="N2427" s="1" a="1"/>
  <c r="N2427" s="1"/>
  <c r="M2428" a="1"/>
  <c r="M2428" s="1"/>
  <c r="N2428" s="1" a="1"/>
  <c r="N2428" s="1"/>
  <c r="M2429" a="1"/>
  <c r="M2429" s="1"/>
  <c r="N2429" s="1" a="1"/>
  <c r="N2429" s="1"/>
  <c r="M2430" a="1"/>
  <c r="M2430" s="1"/>
  <c r="N2430" s="1" a="1"/>
  <c r="N2430" s="1"/>
  <c r="M2431" a="1"/>
  <c r="M2431" s="1"/>
  <c r="N2431" s="1" a="1"/>
  <c r="N2431" s="1"/>
  <c r="M2432" a="1"/>
  <c r="M2432" s="1"/>
  <c r="N2432" s="1" a="1"/>
  <c r="N2432" s="1"/>
  <c r="M2433" a="1"/>
  <c r="M2433" s="1"/>
  <c r="N2433" s="1" a="1"/>
  <c r="N2433" s="1"/>
  <c r="M2434" a="1"/>
  <c r="M2434" s="1"/>
  <c r="N2434" s="1" a="1"/>
  <c r="N2434" s="1"/>
  <c r="M2435" a="1"/>
  <c r="M2435" s="1"/>
  <c r="N2435" s="1" a="1"/>
  <c r="N2435" s="1"/>
  <c r="M2436" a="1"/>
  <c r="M2436" s="1"/>
  <c r="N2436" s="1" a="1"/>
  <c r="N2436" s="1"/>
  <c r="M2437" a="1"/>
  <c r="M2437" s="1"/>
  <c r="N2437" s="1" a="1"/>
  <c r="N2437" s="1"/>
  <c r="M2438" a="1"/>
  <c r="M2438" s="1"/>
  <c r="N2438" s="1" a="1"/>
  <c r="N2438" s="1"/>
  <c r="M2439" a="1"/>
  <c r="M2439" s="1"/>
  <c r="N2439" s="1" a="1"/>
  <c r="N2439" s="1"/>
  <c r="M2440" a="1"/>
  <c r="M2440" s="1"/>
  <c r="N2440" s="1" a="1"/>
  <c r="N2440" s="1"/>
  <c r="M2441" a="1"/>
  <c r="M2441" s="1"/>
  <c r="N2441" s="1" a="1"/>
  <c r="N2441" s="1"/>
  <c r="M2442" a="1"/>
  <c r="M2442" s="1"/>
  <c r="N2442" s="1" a="1"/>
  <c r="N2442" s="1"/>
  <c r="M2443" a="1"/>
  <c r="M2443" s="1"/>
  <c r="N2443" s="1" a="1"/>
  <c r="N2443" s="1"/>
  <c r="M2444" a="1"/>
  <c r="M2444" s="1"/>
  <c r="N2444" s="1" a="1"/>
  <c r="N2444" s="1"/>
  <c r="M2445" a="1"/>
  <c r="M2445" s="1"/>
  <c r="N2445" s="1" a="1"/>
  <c r="N2445" s="1"/>
  <c r="M2446" a="1"/>
  <c r="M2446" s="1"/>
  <c r="N2446" s="1" a="1"/>
  <c r="N2446" s="1"/>
  <c r="M2447" a="1"/>
  <c r="M2447" s="1"/>
  <c r="N2447" s="1" a="1"/>
  <c r="N2447" s="1"/>
  <c r="M2448" a="1"/>
  <c r="M2448" s="1"/>
  <c r="N2448" s="1" a="1"/>
  <c r="N2448" s="1"/>
  <c r="M2449" a="1"/>
  <c r="M2449" s="1"/>
  <c r="N2449" s="1" a="1"/>
  <c r="N2449" s="1"/>
  <c r="M2450" a="1"/>
  <c r="M2450" s="1"/>
  <c r="N2450" s="1" a="1"/>
  <c r="N2450" s="1"/>
  <c r="M2451" a="1"/>
  <c r="M2451" s="1"/>
  <c r="N2451" s="1" a="1"/>
  <c r="N2451" s="1"/>
  <c r="M2452" a="1"/>
  <c r="M2452" s="1"/>
  <c r="N2452" s="1" a="1"/>
  <c r="N2452" s="1"/>
  <c r="M2453" a="1"/>
  <c r="M2453" s="1"/>
  <c r="N2453" s="1" a="1"/>
  <c r="N2453" s="1"/>
  <c r="M2454" a="1"/>
  <c r="M2454" s="1"/>
  <c r="N2454" s="1" a="1"/>
  <c r="N2454" s="1"/>
  <c r="M2455" a="1"/>
  <c r="M2455" s="1"/>
  <c r="N2455" s="1" a="1"/>
  <c r="N2455" s="1"/>
  <c r="M2456" a="1"/>
  <c r="M2456" s="1"/>
  <c r="N2456" s="1" a="1"/>
  <c r="N2456" s="1"/>
  <c r="M2457" a="1"/>
  <c r="M2457" s="1"/>
  <c r="N2457" s="1" a="1"/>
  <c r="N2457" s="1"/>
  <c r="M2458" a="1"/>
  <c r="M2458" s="1"/>
  <c r="N2458" s="1" a="1"/>
  <c r="N2458" s="1"/>
  <c r="M2459" a="1"/>
  <c r="M2459" s="1"/>
  <c r="N2459" s="1" a="1"/>
  <c r="N2459" s="1"/>
  <c r="M2460" a="1"/>
  <c r="M2460" s="1"/>
  <c r="N2460" s="1" a="1"/>
  <c r="N2460" s="1"/>
  <c r="M2461" a="1"/>
  <c r="M2461" s="1"/>
  <c r="N2461" s="1" a="1"/>
  <c r="N2461" s="1"/>
  <c r="M2462" a="1"/>
  <c r="M2462" s="1"/>
  <c r="N2462" s="1" a="1"/>
  <c r="N2462" s="1"/>
  <c r="M2463" a="1"/>
  <c r="M2463" s="1"/>
  <c r="N2463" s="1" a="1"/>
  <c r="N2463" s="1"/>
  <c r="M2464" a="1"/>
  <c r="M2464" s="1"/>
  <c r="N2464" s="1" a="1"/>
  <c r="N2464" s="1"/>
  <c r="M2465" a="1"/>
  <c r="M2465" s="1"/>
  <c r="N2465" s="1" a="1"/>
  <c r="N2465" s="1"/>
  <c r="M2466" a="1"/>
  <c r="M2466" s="1"/>
  <c r="N2466" s="1" a="1"/>
  <c r="N2466" s="1"/>
  <c r="M2467" a="1"/>
  <c r="M2467" s="1"/>
  <c r="N2467" s="1" a="1"/>
  <c r="N2467" s="1"/>
  <c r="M2468" a="1"/>
  <c r="M2468" s="1"/>
  <c r="N2468" s="1" a="1"/>
  <c r="N2468" s="1"/>
  <c r="M2469" a="1"/>
  <c r="M2469" s="1"/>
  <c r="N2469" s="1" a="1"/>
  <c r="N2469" s="1"/>
  <c r="M2470" a="1"/>
  <c r="M2470" s="1"/>
  <c r="N2470" s="1" a="1"/>
  <c r="N2470" s="1"/>
  <c r="M2471" a="1"/>
  <c r="M2471" s="1"/>
  <c r="N2471" s="1" a="1"/>
  <c r="N2471" s="1"/>
  <c r="M2472" a="1"/>
  <c r="M2472" s="1"/>
  <c r="N2472" s="1" a="1"/>
  <c r="N2472" s="1"/>
  <c r="M2473" a="1"/>
  <c r="M2473" s="1"/>
  <c r="N2473" s="1" a="1"/>
  <c r="N2473" s="1"/>
  <c r="M2474" a="1"/>
  <c r="M2474" s="1"/>
  <c r="N2474" s="1" a="1"/>
  <c r="N2474" s="1"/>
  <c r="M2475" a="1"/>
  <c r="M2475" s="1"/>
  <c r="N2475" s="1" a="1"/>
  <c r="N2475" s="1"/>
  <c r="M2476" a="1"/>
  <c r="M2476" s="1"/>
  <c r="N2476" s="1" a="1"/>
  <c r="N2476" s="1"/>
  <c r="M2477" a="1"/>
  <c r="M2477" s="1"/>
  <c r="N2477" s="1" a="1"/>
  <c r="N2477" s="1"/>
  <c r="M2478" a="1"/>
  <c r="M2478" s="1"/>
  <c r="N2478" s="1" a="1"/>
  <c r="N2478" s="1"/>
  <c r="M2479" a="1"/>
  <c r="M2479" s="1"/>
  <c r="N2479" s="1" a="1"/>
  <c r="N2479" s="1"/>
  <c r="M2480" a="1"/>
  <c r="M2480" s="1"/>
  <c r="N2480" s="1" a="1"/>
  <c r="N2480" s="1"/>
  <c r="M2481" a="1"/>
  <c r="M2481" s="1"/>
  <c r="N2481" s="1" a="1"/>
  <c r="N2481" s="1"/>
  <c r="M2482" a="1"/>
  <c r="M2482" s="1"/>
  <c r="N2482" s="1" a="1"/>
  <c r="N2482" s="1"/>
  <c r="M2483" a="1"/>
  <c r="M2483" s="1"/>
  <c r="N2483" s="1" a="1"/>
  <c r="N2483" s="1"/>
  <c r="M2484" a="1"/>
  <c r="M2484" s="1"/>
  <c r="N2484" s="1" a="1"/>
  <c r="N2484" s="1"/>
  <c r="M2485" a="1"/>
  <c r="M2485" s="1"/>
  <c r="N2485" s="1" a="1"/>
  <c r="N2485" s="1"/>
  <c r="M2486" a="1"/>
  <c r="M2486" s="1"/>
  <c r="N2486" s="1" a="1"/>
  <c r="N2486" s="1"/>
  <c r="M2487" a="1"/>
  <c r="M2487" s="1"/>
  <c r="N2487" s="1" a="1"/>
  <c r="N2487" s="1"/>
  <c r="M2488" a="1"/>
  <c r="M2488" s="1"/>
  <c r="N2488" s="1" a="1"/>
  <c r="N2488" s="1"/>
  <c r="M2489" a="1"/>
  <c r="M2489" s="1"/>
  <c r="N2489" s="1" a="1"/>
  <c r="N2489" s="1"/>
  <c r="M2490" a="1"/>
  <c r="M2490" s="1"/>
  <c r="N2490" s="1" a="1"/>
  <c r="N2490" s="1"/>
  <c r="M2491" a="1"/>
  <c r="M2491" s="1"/>
  <c r="N2491" s="1" a="1"/>
  <c r="N2491" s="1"/>
  <c r="M2492" a="1"/>
  <c r="M2492" s="1"/>
  <c r="N2492" s="1" a="1"/>
  <c r="N2492" s="1"/>
  <c r="M2493" a="1"/>
  <c r="M2493" s="1"/>
  <c r="N2493" s="1" a="1"/>
  <c r="N2493" s="1"/>
  <c r="M2494" a="1"/>
  <c r="M2494" s="1"/>
  <c r="N2494" s="1" a="1"/>
  <c r="N2494" s="1"/>
  <c r="M2495" a="1"/>
  <c r="M2495" s="1"/>
  <c r="N2495" s="1" a="1"/>
  <c r="N2495" s="1"/>
  <c r="M2496" a="1"/>
  <c r="M2496" s="1"/>
  <c r="N2496" s="1" a="1"/>
  <c r="N2496" s="1"/>
  <c r="M2497" a="1"/>
  <c r="M2497" s="1"/>
  <c r="N2497" s="1" a="1"/>
  <c r="N2497" s="1"/>
  <c r="M2498" a="1"/>
  <c r="M2498" s="1"/>
  <c r="N2498" s="1" a="1"/>
  <c r="N2498" s="1"/>
  <c r="M2499" a="1"/>
  <c r="M2499" s="1"/>
  <c r="N2499" s="1" a="1"/>
  <c r="N2499" s="1"/>
  <c r="M2500" a="1"/>
  <c r="M2500" s="1"/>
  <c r="N2500" s="1" a="1"/>
  <c r="N2500" s="1"/>
  <c r="M2501" a="1"/>
  <c r="M2501" s="1"/>
  <c r="N2501" s="1" a="1"/>
  <c r="N2501" s="1"/>
  <c r="M2502" a="1"/>
  <c r="M2502" s="1"/>
  <c r="N2502" s="1" a="1"/>
  <c r="N2502" s="1"/>
  <c r="M2503" a="1"/>
  <c r="M2503" s="1"/>
  <c r="N2503" s="1" a="1"/>
  <c r="N2503" s="1"/>
  <c r="M2504" a="1"/>
  <c r="M2504" s="1"/>
  <c r="N2504" s="1" a="1"/>
  <c r="N2504" s="1"/>
  <c r="M2505" a="1"/>
  <c r="M2505" s="1"/>
  <c r="N2505" s="1" a="1"/>
  <c r="N2505" s="1"/>
  <c r="M2506" a="1"/>
  <c r="M2506" s="1"/>
  <c r="N2506" s="1" a="1"/>
  <c r="N2506" s="1"/>
  <c r="M2507" a="1"/>
  <c r="M2507" s="1"/>
  <c r="N2507" s="1" a="1"/>
  <c r="N2507" s="1"/>
  <c r="M2508" a="1"/>
  <c r="M2508" s="1"/>
  <c r="N2508" s="1" a="1"/>
  <c r="N2508" s="1"/>
  <c r="M2509" a="1"/>
  <c r="M2509" s="1"/>
  <c r="N2509" s="1" a="1"/>
  <c r="N2509" s="1"/>
  <c r="M2510" a="1"/>
  <c r="M2510" s="1"/>
  <c r="N2510" s="1" a="1"/>
  <c r="N2510" s="1"/>
  <c r="M2511" a="1"/>
  <c r="M2511" s="1"/>
  <c r="N2511" s="1" a="1"/>
  <c r="N2511" s="1"/>
  <c r="M2512" a="1"/>
  <c r="M2512" s="1"/>
  <c r="N2512" s="1" a="1"/>
  <c r="N2512" s="1"/>
  <c r="M2513" a="1"/>
  <c r="M2513" s="1"/>
  <c r="N2513" s="1" a="1"/>
  <c r="N2513" s="1"/>
  <c r="M2514" a="1"/>
  <c r="M2514" s="1"/>
  <c r="N2514" s="1" a="1"/>
  <c r="N2514" s="1"/>
  <c r="M2515" a="1"/>
  <c r="M2515" s="1"/>
  <c r="N2515" s="1" a="1"/>
  <c r="N2515" s="1"/>
  <c r="M2516" a="1"/>
  <c r="M2516" s="1"/>
  <c r="N2516" s="1" a="1"/>
  <c r="N2516" s="1"/>
  <c r="M2517" a="1"/>
  <c r="M2517" s="1"/>
  <c r="N2517" s="1" a="1"/>
  <c r="N2517" s="1"/>
  <c r="M2518" a="1"/>
  <c r="M2518" s="1"/>
  <c r="N2518" s="1" a="1"/>
  <c r="N2518" s="1"/>
  <c r="M2519" a="1"/>
  <c r="M2519" s="1"/>
  <c r="N2519" s="1" a="1"/>
  <c r="N2519" s="1"/>
  <c r="M2520" a="1"/>
  <c r="M2520" s="1"/>
  <c r="N2520" s="1" a="1"/>
  <c r="N2520" s="1"/>
  <c r="M2521" a="1"/>
  <c r="M2521" s="1"/>
  <c r="N2521" s="1" a="1"/>
  <c r="N2521" s="1"/>
  <c r="M2522" a="1"/>
  <c r="M2522" s="1"/>
  <c r="N2522" s="1" a="1"/>
  <c r="N2522" s="1"/>
  <c r="M2523" a="1"/>
  <c r="M2523" s="1"/>
  <c r="N2523" s="1" a="1"/>
  <c r="N2523" s="1"/>
  <c r="M2524" a="1"/>
  <c r="M2524" s="1"/>
  <c r="N2524" s="1" a="1"/>
  <c r="N2524" s="1"/>
  <c r="M2525" a="1"/>
  <c r="M2525" s="1"/>
  <c r="N2525" s="1" a="1"/>
  <c r="N2525" s="1"/>
  <c r="M2526" a="1"/>
  <c r="M2526" s="1"/>
  <c r="N2526" s="1" a="1"/>
  <c r="N2526" s="1"/>
  <c r="M2527" a="1"/>
  <c r="M2527" s="1"/>
  <c r="N2527" s="1" a="1"/>
  <c r="N2527" s="1"/>
  <c r="M2528" a="1"/>
  <c r="M2528" s="1"/>
  <c r="N2528" s="1" a="1"/>
  <c r="N2528" s="1"/>
  <c r="M2529" a="1"/>
  <c r="M2529" s="1"/>
  <c r="N2529" s="1" a="1"/>
  <c r="N2529" s="1"/>
  <c r="M2530" a="1"/>
  <c r="M2530" s="1"/>
  <c r="N2530" s="1" a="1"/>
  <c r="N2530" s="1"/>
  <c r="M2531" a="1"/>
  <c r="M2531" s="1"/>
  <c r="N2531" s="1" a="1"/>
  <c r="N2531" s="1"/>
  <c r="M2532" a="1"/>
  <c r="M2532" s="1"/>
  <c r="N2532" s="1" a="1"/>
  <c r="N2532" s="1"/>
  <c r="M2533" a="1"/>
  <c r="M2533" s="1"/>
  <c r="N2533" s="1" a="1"/>
  <c r="N2533" s="1"/>
  <c r="M2534" a="1"/>
  <c r="M2534" s="1"/>
  <c r="N2534" s="1" a="1"/>
  <c r="N2534" s="1"/>
  <c r="M2535" a="1"/>
  <c r="M2535" s="1"/>
  <c r="N2535" s="1" a="1"/>
  <c r="N2535" s="1"/>
  <c r="M2536" a="1"/>
  <c r="M2536" s="1"/>
  <c r="N2536" s="1" a="1"/>
  <c r="N2536" s="1"/>
  <c r="M2537" a="1"/>
  <c r="M2537" s="1"/>
  <c r="N2537" s="1" a="1"/>
  <c r="N2537" s="1"/>
  <c r="M2538" a="1"/>
  <c r="M2538" s="1"/>
  <c r="N2538" s="1" a="1"/>
  <c r="N2538" s="1"/>
  <c r="M2539" a="1"/>
  <c r="M2539" s="1"/>
  <c r="N2539" s="1" a="1"/>
  <c r="N2539" s="1"/>
  <c r="M2540" a="1"/>
  <c r="M2540" s="1"/>
  <c r="N2540" s="1" a="1"/>
  <c r="N2540" s="1"/>
  <c r="M2541" a="1"/>
  <c r="M2541" s="1"/>
  <c r="N2541" s="1" a="1"/>
  <c r="N2541" s="1"/>
  <c r="M2542" a="1"/>
  <c r="M2542" s="1"/>
  <c r="N2542" s="1" a="1"/>
  <c r="N2542" s="1"/>
  <c r="M2543" a="1"/>
  <c r="M2543" s="1"/>
  <c r="N2543" s="1" a="1"/>
  <c r="N2543" s="1"/>
  <c r="M2544" a="1"/>
  <c r="M2544" s="1"/>
  <c r="N2544" s="1" a="1"/>
  <c r="N2544" s="1"/>
  <c r="M2545" a="1"/>
  <c r="M2545" s="1"/>
  <c r="N2545" s="1" a="1"/>
  <c r="N2545" s="1"/>
  <c r="M2546" a="1"/>
  <c r="M2546" s="1"/>
  <c r="N2546" s="1" a="1"/>
  <c r="N2546" s="1"/>
  <c r="M2547" a="1"/>
  <c r="M2547" s="1"/>
  <c r="N2547" s="1" a="1"/>
  <c r="N2547" s="1"/>
  <c r="M2548" a="1"/>
  <c r="M2548" s="1"/>
  <c r="N2548" s="1" a="1"/>
  <c r="N2548" s="1"/>
  <c r="M2549" a="1"/>
  <c r="M2549" s="1"/>
  <c r="N2549" s="1" a="1"/>
  <c r="N2549" s="1"/>
  <c r="M2550" a="1"/>
  <c r="M2550" s="1"/>
  <c r="N2550" s="1" a="1"/>
  <c r="N2550" s="1"/>
  <c r="M2551" a="1"/>
  <c r="M2551" s="1"/>
  <c r="N2551" s="1" a="1"/>
  <c r="N2551" s="1"/>
  <c r="M2552" a="1"/>
  <c r="M2552" s="1"/>
  <c r="N2552" s="1" a="1"/>
  <c r="N2552" s="1"/>
  <c r="M2553" a="1"/>
  <c r="M2553" s="1"/>
  <c r="N2553" s="1" a="1"/>
  <c r="N2553" s="1"/>
  <c r="M2554" a="1"/>
  <c r="M2554" s="1"/>
  <c r="N2554" s="1" a="1"/>
  <c r="N2554" s="1"/>
  <c r="M2555" a="1"/>
  <c r="M2555" s="1"/>
  <c r="N2555" s="1" a="1"/>
  <c r="N2555" s="1"/>
  <c r="M2556" a="1"/>
  <c r="M2556" s="1"/>
  <c r="N2556" s="1" a="1"/>
  <c r="N2556" s="1"/>
  <c r="M2557" a="1"/>
  <c r="M2557" s="1"/>
  <c r="N2557" s="1" a="1"/>
  <c r="N2557" s="1"/>
  <c r="M2558" a="1"/>
  <c r="M2558" s="1"/>
  <c r="N2558" s="1" a="1"/>
  <c r="N2558" s="1"/>
  <c r="M2559" a="1"/>
  <c r="M2559" s="1"/>
  <c r="N2559" s="1" a="1"/>
  <c r="N2559" s="1"/>
  <c r="M2560" a="1"/>
  <c r="M2560" s="1"/>
  <c r="N2560" s="1" a="1"/>
  <c r="N2560" s="1"/>
  <c r="M2561" a="1"/>
  <c r="M2561" s="1"/>
  <c r="N2561" s="1" a="1"/>
  <c r="N2561" s="1"/>
  <c r="M2562" a="1"/>
  <c r="M2562" s="1"/>
  <c r="N2562" s="1" a="1"/>
  <c r="N2562" s="1"/>
  <c r="M2563" a="1"/>
  <c r="M2563" s="1"/>
  <c r="N2563" s="1" a="1"/>
  <c r="N2563" s="1"/>
  <c r="M2564" a="1"/>
  <c r="M2564" s="1"/>
  <c r="N2564" s="1" a="1"/>
  <c r="N2564" s="1"/>
  <c r="M2565" a="1"/>
  <c r="M2565" s="1"/>
  <c r="N2565" s="1" a="1"/>
  <c r="N2565" s="1"/>
  <c r="M2566" a="1"/>
  <c r="M2566" s="1"/>
  <c r="N2566" s="1" a="1"/>
  <c r="N2566" s="1"/>
  <c r="M2567" a="1"/>
  <c r="M2567" s="1"/>
  <c r="N2567" s="1" a="1"/>
  <c r="N2567" s="1"/>
  <c r="M2568" a="1"/>
  <c r="M2568" s="1"/>
  <c r="N2568" s="1" a="1"/>
  <c r="N2568" s="1"/>
  <c r="M2569" a="1"/>
  <c r="M2569" s="1"/>
  <c r="N2569" s="1" a="1"/>
  <c r="N2569" s="1"/>
  <c r="M2570" a="1"/>
  <c r="M2570" s="1"/>
  <c r="N2570" s="1" a="1"/>
  <c r="N2570" s="1"/>
  <c r="M2571" a="1"/>
  <c r="M2571" s="1"/>
  <c r="N2571" s="1" a="1"/>
  <c r="N2571" s="1"/>
  <c r="M2572" a="1"/>
  <c r="M2572" s="1"/>
  <c r="N2572" s="1" a="1"/>
  <c r="N2572" s="1"/>
  <c r="M2573" a="1"/>
  <c r="M2573" s="1"/>
  <c r="N2573" s="1" a="1"/>
  <c r="N2573" s="1"/>
  <c r="M2574" a="1"/>
  <c r="M2574" s="1"/>
  <c r="N2574" s="1" a="1"/>
  <c r="N2574" s="1"/>
  <c r="M2575" a="1"/>
  <c r="M2575" s="1"/>
  <c r="N2575" s="1" a="1"/>
  <c r="N2575" s="1"/>
  <c r="M2576" a="1"/>
  <c r="M2576" s="1"/>
  <c r="N2576" s="1" a="1"/>
  <c r="N2576" s="1"/>
  <c r="M2577" a="1"/>
  <c r="M2577" s="1"/>
  <c r="N2577" s="1" a="1"/>
  <c r="N2577" s="1"/>
  <c r="M2578" a="1"/>
  <c r="M2578" s="1"/>
  <c r="N2578" s="1" a="1"/>
  <c r="N2578" s="1"/>
  <c r="M2579" a="1"/>
  <c r="M2579" s="1"/>
  <c r="N2579" s="1" a="1"/>
  <c r="N2579" s="1"/>
  <c r="M2580" a="1"/>
  <c r="M2580" s="1"/>
  <c r="N2580" s="1" a="1"/>
  <c r="N2580" s="1"/>
  <c r="M2581" a="1"/>
  <c r="M2581" s="1"/>
  <c r="N2581" s="1" a="1"/>
  <c r="N2581" s="1"/>
  <c r="M2582" a="1"/>
  <c r="M2582" s="1"/>
  <c r="N2582" s="1" a="1"/>
  <c r="N2582" s="1"/>
  <c r="M2583" a="1"/>
  <c r="M2583" s="1"/>
  <c r="N2583" s="1" a="1"/>
  <c r="N2583" s="1"/>
  <c r="M2584" a="1"/>
  <c r="M2584" s="1"/>
  <c r="N2584" s="1" a="1"/>
  <c r="N2584" s="1"/>
  <c r="M2585" a="1"/>
  <c r="M2585" s="1"/>
  <c r="N2585" s="1" a="1"/>
  <c r="N2585" s="1"/>
  <c r="M2586" a="1"/>
  <c r="M2586" s="1"/>
  <c r="N2586" s="1" a="1"/>
  <c r="N2586" s="1"/>
  <c r="M2587" a="1"/>
  <c r="M2587" s="1"/>
  <c r="N2587" s="1" a="1"/>
  <c r="N2587" s="1"/>
  <c r="M2588" a="1"/>
  <c r="M2588" s="1"/>
  <c r="N2588" s="1" a="1"/>
  <c r="N2588" s="1"/>
  <c r="M2589" a="1"/>
  <c r="M2589" s="1"/>
  <c r="N2589" s="1" a="1"/>
  <c r="N2589" s="1"/>
  <c r="M2590" a="1"/>
  <c r="M2590" s="1"/>
  <c r="N2590" s="1" a="1"/>
  <c r="N2590" s="1"/>
  <c r="M2591" a="1"/>
  <c r="M2591" s="1"/>
  <c r="N2591" s="1" a="1"/>
  <c r="N2591" s="1"/>
  <c r="M2592" a="1"/>
  <c r="M2592" s="1"/>
  <c r="N2592" s="1" a="1"/>
  <c r="N2592" s="1"/>
  <c r="I606" i="5"/>
  <c r="M5" i="28" a="1"/>
  <c r="M5" s="1"/>
  <c r="O5" a="1"/>
  <c r="O5" s="1"/>
  <c r="P5" a="1"/>
  <c r="P5" s="1"/>
  <c r="Q5" a="1"/>
  <c r="Q5" s="1"/>
  <c r="R5" a="1"/>
  <c r="R5" s="1"/>
  <c r="S5"/>
  <c r="V5" s="1"/>
  <c r="M6" a="1"/>
  <c r="M6" s="1"/>
  <c r="O6" a="1"/>
  <c r="O6" s="1"/>
  <c r="P6" a="1"/>
  <c r="P6" s="1"/>
  <c r="Q6" a="1"/>
  <c r="Q6" s="1"/>
  <c r="R6" a="1"/>
  <c r="R6" s="1"/>
  <c r="S6"/>
  <c r="V6" s="1"/>
  <c r="T6"/>
  <c r="U6"/>
  <c r="M178" i="7" a="1"/>
  <c r="M178" s="1"/>
  <c r="N178" s="1" a="1"/>
  <c r="N178" s="1"/>
  <c r="M179" a="1"/>
  <c r="M179" s="1"/>
  <c r="N179" s="1" a="1"/>
  <c r="N179" s="1"/>
  <c r="M3" a="1"/>
  <c r="M3" s="1"/>
  <c r="AE3" s="1"/>
  <c r="M4" a="1"/>
  <c r="M4" s="1"/>
  <c r="AE4" s="1"/>
  <c r="M5" a="1"/>
  <c r="M5" s="1"/>
  <c r="M6" a="1"/>
  <c r="M6" s="1"/>
  <c r="AE6" s="1"/>
  <c r="M7" a="1"/>
  <c r="M7" s="1"/>
  <c r="N7" s="1" a="1"/>
  <c r="M8" a="1"/>
  <c r="M8" s="1"/>
  <c r="AE8" s="1"/>
  <c r="M9" a="1"/>
  <c r="M9" s="1"/>
  <c r="N9" s="1" a="1"/>
  <c r="M10" a="1"/>
  <c r="M10" s="1"/>
  <c r="AE10" s="1"/>
  <c r="M11" a="1"/>
  <c r="M11" s="1"/>
  <c r="N11" s="1" a="1"/>
  <c r="M12" a="1"/>
  <c r="M12" s="1"/>
  <c r="N12" s="1" a="1"/>
  <c r="M13" a="1"/>
  <c r="M13" s="1"/>
  <c r="AE13" s="1"/>
  <c r="M14" a="1"/>
  <c r="M14" s="1"/>
  <c r="N14" s="1" a="1"/>
  <c r="M15" a="1"/>
  <c r="M15" s="1"/>
  <c r="N15" s="1" a="1"/>
  <c r="M16" a="1"/>
  <c r="M16" s="1"/>
  <c r="AE16" s="1"/>
  <c r="M17" a="1"/>
  <c r="M17" s="1"/>
  <c r="N17" s="1" a="1"/>
  <c r="M18" a="1"/>
  <c r="M18" s="1"/>
  <c r="AE18" s="1"/>
  <c r="M19" a="1"/>
  <c r="M19" s="1"/>
  <c r="N19" s="1" a="1"/>
  <c r="M20" a="1"/>
  <c r="M20" s="1"/>
  <c r="N20" s="1" a="1"/>
  <c r="M21" a="1"/>
  <c r="M21" s="1"/>
  <c r="N21" s="1" a="1"/>
  <c r="M22" a="1"/>
  <c r="M22" s="1"/>
  <c r="AE22" s="1"/>
  <c r="M23" a="1"/>
  <c r="M23" s="1"/>
  <c r="AE23" s="1"/>
  <c r="M24" a="1"/>
  <c r="M24" s="1"/>
  <c r="N24" s="1" a="1"/>
  <c r="M25" a="1"/>
  <c r="M25" s="1"/>
  <c r="N25" s="1" a="1"/>
  <c r="M26" a="1"/>
  <c r="M26" s="1"/>
  <c r="N26" s="1" a="1"/>
  <c r="M27" a="1"/>
  <c r="M27" s="1"/>
  <c r="N27" s="1" a="1"/>
  <c r="M28" a="1"/>
  <c r="M28" s="1"/>
  <c r="N28" s="1" a="1"/>
  <c r="M29" a="1"/>
  <c r="M29" s="1"/>
  <c r="N29" s="1" a="1"/>
  <c r="M30" a="1"/>
  <c r="M30" s="1"/>
  <c r="N30" s="1" a="1"/>
  <c r="M31" a="1"/>
  <c r="M31" s="1"/>
  <c r="N31" s="1" a="1"/>
  <c r="M32" a="1"/>
  <c r="M32" s="1"/>
  <c r="N32" s="1" a="1"/>
  <c r="M33" a="1"/>
  <c r="M33" s="1"/>
  <c r="N33" s="1" a="1"/>
  <c r="M34" a="1"/>
  <c r="M34" s="1"/>
  <c r="N34" s="1" a="1"/>
  <c r="M35" a="1"/>
  <c r="M35" s="1"/>
  <c r="N35" s="1" a="1"/>
  <c r="M36" a="1"/>
  <c r="M36" s="1"/>
  <c r="N36" s="1" a="1"/>
  <c r="M37" a="1"/>
  <c r="M37" s="1"/>
  <c r="AE37" s="1"/>
  <c r="M38" a="1"/>
  <c r="M38" s="1"/>
  <c r="N38" s="1" a="1"/>
  <c r="M39" a="1"/>
  <c r="M39" s="1"/>
  <c r="N39" s="1" a="1"/>
  <c r="M40" a="1"/>
  <c r="M40" s="1"/>
  <c r="N40" s="1" a="1"/>
  <c r="M41" a="1"/>
  <c r="M41" s="1"/>
  <c r="N41" s="1" a="1"/>
  <c r="M42" a="1"/>
  <c r="M42" s="1"/>
  <c r="N42" s="1" a="1"/>
  <c r="M43" a="1"/>
  <c r="M43" s="1"/>
  <c r="N43" s="1" a="1"/>
  <c r="M44" a="1"/>
  <c r="M44" s="1"/>
  <c r="N44" s="1" a="1"/>
  <c r="M45" a="1"/>
  <c r="M45" s="1"/>
  <c r="AE45" s="1"/>
  <c r="M46" a="1"/>
  <c r="M46" s="1"/>
  <c r="N46" s="1" a="1"/>
  <c r="M47" a="1"/>
  <c r="M47" s="1"/>
  <c r="AE47" s="1"/>
  <c r="M48" a="1"/>
  <c r="M48" s="1"/>
  <c r="N48" s="1" a="1"/>
  <c r="M49" a="1"/>
  <c r="M49" s="1"/>
  <c r="N49" s="1" a="1"/>
  <c r="M50" a="1"/>
  <c r="M50" s="1"/>
  <c r="N50" s="1" a="1"/>
  <c r="M51" a="1"/>
  <c r="M51" s="1"/>
  <c r="AE51" s="1"/>
  <c r="AE52" s="1"/>
  <c r="M52" a="1"/>
  <c r="M52" s="1"/>
  <c r="N52" s="1" a="1"/>
  <c r="M53" a="1"/>
  <c r="M53" s="1"/>
  <c r="AE53" s="1"/>
  <c r="AE54" s="1"/>
  <c r="M54" a="1"/>
  <c r="M54" s="1"/>
  <c r="N54" s="1" a="1"/>
  <c r="M55" a="1"/>
  <c r="M55" s="1"/>
  <c r="AE55" s="1"/>
  <c r="AE56" s="1"/>
  <c r="M56" a="1"/>
  <c r="M56" s="1"/>
  <c r="N56" s="1" a="1"/>
  <c r="M57" a="1"/>
  <c r="M57" s="1"/>
  <c r="AE57" s="1"/>
  <c r="AE58" s="1"/>
  <c r="M58" a="1"/>
  <c r="M58" s="1"/>
  <c r="N58" s="1" a="1"/>
  <c r="M59" a="1"/>
  <c r="M59" s="1"/>
  <c r="AE59" s="1"/>
  <c r="AE148" s="1"/>
  <c r="M60" a="1"/>
  <c r="M60" s="1"/>
  <c r="N60" s="1" a="1"/>
  <c r="M61" a="1"/>
  <c r="M61" s="1"/>
  <c r="N61" s="1" a="1"/>
  <c r="M62" a="1"/>
  <c r="M62" s="1"/>
  <c r="N62" s="1" a="1"/>
  <c r="M63" a="1"/>
  <c r="M63" s="1"/>
  <c r="AE63" s="1"/>
  <c r="AE64" s="1"/>
  <c r="M64" a="1"/>
  <c r="M64" s="1"/>
  <c r="N64" s="1" a="1"/>
  <c r="M65" a="1"/>
  <c r="M65" s="1"/>
  <c r="AE65" s="1"/>
  <c r="AE66" s="1"/>
  <c r="AE94" s="1"/>
  <c r="M66" a="1"/>
  <c r="M66" s="1"/>
  <c r="N66" s="1" a="1"/>
  <c r="M67" a="1"/>
  <c r="M67" s="1"/>
  <c r="AE67" s="1"/>
  <c r="AE68" s="1"/>
  <c r="AE96" s="1"/>
  <c r="M68" a="1"/>
  <c r="M68" s="1"/>
  <c r="N68" s="1" a="1"/>
  <c r="M69" a="1"/>
  <c r="M69" s="1"/>
  <c r="AE69" s="1"/>
  <c r="AE70" s="1"/>
  <c r="M70" a="1"/>
  <c r="M70" s="1"/>
  <c r="N70" s="1" a="1"/>
  <c r="M71" a="1"/>
  <c r="M71" s="1"/>
  <c r="AE71" s="1"/>
  <c r="AE72" s="1"/>
  <c r="AE80" s="1"/>
  <c r="AE90" s="1"/>
  <c r="M72" a="1"/>
  <c r="M72" s="1"/>
  <c r="N72" s="1" a="1"/>
  <c r="M73" a="1"/>
  <c r="M73" s="1"/>
  <c r="AE73" s="1"/>
  <c r="M74" a="1"/>
  <c r="M74" s="1"/>
  <c r="N74" s="1" a="1"/>
  <c r="M75" a="1"/>
  <c r="M75" s="1"/>
  <c r="AE75" s="1"/>
  <c r="AE86" s="1"/>
  <c r="M76" a="1"/>
  <c r="M76" s="1"/>
  <c r="N76" s="1" a="1"/>
  <c r="M77" a="1"/>
  <c r="M77" s="1"/>
  <c r="AE77" s="1"/>
  <c r="AE78" s="1"/>
  <c r="M78" a="1"/>
  <c r="M78" s="1"/>
  <c r="N78" s="1" a="1"/>
  <c r="M79" a="1"/>
  <c r="M79" s="1"/>
  <c r="N79" s="1" a="1"/>
  <c r="M80" a="1"/>
  <c r="M80" s="1"/>
  <c r="N80" s="1" a="1"/>
  <c r="M81" a="1"/>
  <c r="M81" s="1"/>
  <c r="N81" s="1" a="1"/>
  <c r="M82" a="1"/>
  <c r="M82" s="1"/>
  <c r="AE82" s="1"/>
  <c r="M83" a="1"/>
  <c r="M83" s="1"/>
  <c r="N83" s="1" a="1"/>
  <c r="M84" a="1"/>
  <c r="M84" s="1"/>
  <c r="N84" s="1" a="1"/>
  <c r="M85" a="1"/>
  <c r="M85" s="1"/>
  <c r="N85" s="1" a="1"/>
  <c r="M86" a="1"/>
  <c r="M86" s="1"/>
  <c r="N86" s="1" a="1"/>
  <c r="M87" a="1"/>
  <c r="M87" s="1"/>
  <c r="AE87" s="1"/>
  <c r="M88" a="1"/>
  <c r="M88" s="1"/>
  <c r="N88" s="1" a="1"/>
  <c r="M89" a="1"/>
  <c r="M89" s="1"/>
  <c r="N89" s="1" a="1"/>
  <c r="M90" a="1"/>
  <c r="M90" s="1"/>
  <c r="N90" s="1" a="1"/>
  <c r="M91" a="1"/>
  <c r="M91" s="1"/>
  <c r="N91" s="1" a="1"/>
  <c r="M92" a="1"/>
  <c r="M92" s="1"/>
  <c r="N92" s="1" a="1"/>
  <c r="M93" a="1"/>
  <c r="M93" s="1"/>
  <c r="N93" s="1" a="1"/>
  <c r="M94" a="1"/>
  <c r="M94" s="1"/>
  <c r="N94" s="1" a="1"/>
  <c r="M95" a="1"/>
  <c r="M95" s="1"/>
  <c r="N95" s="1" a="1"/>
  <c r="M96" a="1"/>
  <c r="M96" s="1"/>
  <c r="N96" s="1" a="1"/>
  <c r="M97" a="1"/>
  <c r="M97" s="1"/>
  <c r="N97" s="1" a="1"/>
  <c r="M98" a="1"/>
  <c r="M98" s="1"/>
  <c r="AE98" s="1"/>
  <c r="M99" a="1"/>
  <c r="M99" s="1"/>
  <c r="AE99" s="1"/>
  <c r="M100" a="1"/>
  <c r="M100" s="1"/>
  <c r="N100" s="1" a="1"/>
  <c r="M101" a="1"/>
  <c r="M101" s="1"/>
  <c r="N101" s="1" a="1"/>
  <c r="M102" a="1"/>
  <c r="M102" s="1"/>
  <c r="N102" s="1" a="1"/>
  <c r="M103" a="1"/>
  <c r="M103" s="1"/>
  <c r="AE103" s="1"/>
  <c r="AE104" s="1"/>
  <c r="M104" a="1"/>
  <c r="M104" s="1"/>
  <c r="N104" s="1" a="1"/>
  <c r="M105" a="1"/>
  <c r="M105" s="1"/>
  <c r="N105" s="1" a="1"/>
  <c r="M106" a="1"/>
  <c r="M106" s="1"/>
  <c r="N106" s="1" a="1"/>
  <c r="M107" a="1"/>
  <c r="M107" s="1"/>
  <c r="N107" s="1" a="1"/>
  <c r="M108" a="1"/>
  <c r="M108" s="1"/>
  <c r="N108" s="1" a="1"/>
  <c r="M109" a="1"/>
  <c r="M109" s="1"/>
  <c r="N109" s="1" a="1"/>
  <c r="M110" a="1"/>
  <c r="M110" s="1"/>
  <c r="N110" s="1" a="1"/>
  <c r="M111" a="1"/>
  <c r="M111" s="1"/>
  <c r="N111" s="1" a="1"/>
  <c r="M112" a="1"/>
  <c r="M112" s="1"/>
  <c r="N112" s="1" a="1"/>
  <c r="M113" a="1"/>
  <c r="M113" s="1"/>
  <c r="AE113" s="1"/>
  <c r="AE114" s="1"/>
  <c r="M114" a="1"/>
  <c r="M114" s="1"/>
  <c r="N114" s="1" a="1"/>
  <c r="M115" a="1"/>
  <c r="M115" s="1"/>
  <c r="N115" s="1" a="1"/>
  <c r="M116" a="1"/>
  <c r="M116" s="1"/>
  <c r="AE116" s="1"/>
  <c r="M117" a="1"/>
  <c r="M117" s="1"/>
  <c r="N117" s="1" a="1"/>
  <c r="M118" a="1"/>
  <c r="M118" s="1"/>
  <c r="N118" s="1" a="1"/>
  <c r="M119" a="1"/>
  <c r="M119" s="1"/>
  <c r="N119" s="1" a="1"/>
  <c r="M120" a="1"/>
  <c r="M120" s="1"/>
  <c r="N120" s="1" a="1"/>
  <c r="M121" a="1"/>
  <c r="M121" s="1"/>
  <c r="AE121" s="1"/>
  <c r="M122" a="1"/>
  <c r="M122" s="1"/>
  <c r="N122" s="1" a="1"/>
  <c r="M123" a="1"/>
  <c r="M123" s="1"/>
  <c r="N123" s="1" a="1"/>
  <c r="M124" a="1"/>
  <c r="M124" s="1"/>
  <c r="N124" s="1" a="1"/>
  <c r="M125" a="1"/>
  <c r="M125" s="1"/>
  <c r="N125" s="1" a="1"/>
  <c r="M126" a="1"/>
  <c r="M126" s="1"/>
  <c r="N126" s="1" a="1"/>
  <c r="M127" a="1"/>
  <c r="M127" s="1"/>
  <c r="AE127" s="1"/>
  <c r="M128" a="1"/>
  <c r="M128" s="1"/>
  <c r="N128" s="1" a="1"/>
  <c r="M129" a="1"/>
  <c r="M129" s="1"/>
  <c r="AE129" s="1"/>
  <c r="AE130" s="1"/>
  <c r="M130" a="1"/>
  <c r="M130" s="1"/>
  <c r="N130" s="1" a="1"/>
  <c r="M131" a="1"/>
  <c r="M131" s="1"/>
  <c r="N131" s="1" a="1"/>
  <c r="M132" a="1"/>
  <c r="M132" s="1"/>
  <c r="N132" s="1" a="1"/>
  <c r="M133" a="1"/>
  <c r="M133" s="1"/>
  <c r="N133" s="1" a="1"/>
  <c r="M134" a="1"/>
  <c r="M134" s="1"/>
  <c r="N134" s="1" a="1"/>
  <c r="M135" a="1"/>
  <c r="M135" s="1"/>
  <c r="AE135" s="1"/>
  <c r="AE136" s="1"/>
  <c r="M136" a="1"/>
  <c r="M136" s="1"/>
  <c r="N136" s="1" a="1"/>
  <c r="M137" a="1"/>
  <c r="M137" s="1"/>
  <c r="N137" s="1" a="1"/>
  <c r="M138" a="1"/>
  <c r="M138" s="1"/>
  <c r="N138" s="1" a="1"/>
  <c r="M139" a="1"/>
  <c r="M139" s="1"/>
  <c r="N139" s="1" a="1"/>
  <c r="M140" a="1"/>
  <c r="M140" s="1"/>
  <c r="N140" s="1" a="1"/>
  <c r="M141" a="1"/>
  <c r="M141" s="1"/>
  <c r="N141" s="1" a="1"/>
  <c r="M142" a="1"/>
  <c r="M142" s="1"/>
  <c r="N142" s="1" a="1"/>
  <c r="M143" a="1"/>
  <c r="M143" s="1"/>
  <c r="N143" s="1" a="1"/>
  <c r="M144" a="1"/>
  <c r="M144" s="1"/>
  <c r="N144" s="1" a="1"/>
  <c r="M145" a="1"/>
  <c r="M145" s="1"/>
  <c r="N145" s="1" a="1"/>
  <c r="M146" a="1"/>
  <c r="M146" s="1"/>
  <c r="N146" s="1" a="1"/>
  <c r="M147" a="1"/>
  <c r="M147" s="1"/>
  <c r="N147" s="1" a="1"/>
  <c r="M148" a="1"/>
  <c r="M148" s="1"/>
  <c r="N148" s="1" a="1"/>
  <c r="M149" a="1"/>
  <c r="M149" s="1"/>
  <c r="N149" s="1" a="1"/>
  <c r="M150" a="1"/>
  <c r="M150" s="1"/>
  <c r="N150" s="1" a="1"/>
  <c r="M151" a="1"/>
  <c r="M151" s="1"/>
  <c r="N151" s="1" a="1"/>
  <c r="M152" a="1"/>
  <c r="M152" s="1"/>
  <c r="N152" s="1" a="1"/>
  <c r="M153" a="1"/>
  <c r="M153" s="1"/>
  <c r="N153" s="1" a="1"/>
  <c r="M154" a="1"/>
  <c r="M154" s="1"/>
  <c r="N154" s="1" a="1"/>
  <c r="M155" a="1"/>
  <c r="M155" s="1"/>
  <c r="N155" s="1" a="1"/>
  <c r="M156" a="1"/>
  <c r="M156" s="1"/>
  <c r="N156" s="1" a="1"/>
  <c r="M157" a="1"/>
  <c r="M157" s="1"/>
  <c r="N157" s="1" a="1"/>
  <c r="M158" a="1"/>
  <c r="M158" s="1"/>
  <c r="N158" s="1" a="1"/>
  <c r="M159" a="1"/>
  <c r="M159" s="1"/>
  <c r="AE159" s="1"/>
  <c r="AE160" s="1"/>
  <c r="M160" a="1"/>
  <c r="M160" s="1"/>
  <c r="N160" s="1" a="1"/>
  <c r="M161" a="1"/>
  <c r="M161" s="1"/>
  <c r="N161" s="1" a="1"/>
  <c r="M162" a="1"/>
  <c r="M162" s="1"/>
  <c r="N162" s="1" a="1"/>
  <c r="M163" a="1"/>
  <c r="M163" s="1"/>
  <c r="N163" s="1" a="1"/>
  <c r="M164" a="1"/>
  <c r="M164" s="1"/>
  <c r="N164" s="1" a="1"/>
  <c r="M165" a="1"/>
  <c r="M165" s="1"/>
  <c r="N165" s="1" a="1"/>
  <c r="M166" a="1"/>
  <c r="M166" s="1"/>
  <c r="N166" s="1" a="1"/>
  <c r="M167" a="1"/>
  <c r="M167" s="1"/>
  <c r="N167" s="1" a="1"/>
  <c r="M168" a="1"/>
  <c r="M168" s="1"/>
  <c r="N168" s="1" a="1"/>
  <c r="M169" a="1"/>
  <c r="M169" s="1"/>
  <c r="AE169" s="1"/>
  <c r="M170" a="1"/>
  <c r="M170" s="1"/>
  <c r="N170" s="1" a="1"/>
  <c r="M171" a="1"/>
  <c r="M171" s="1"/>
  <c r="N171" s="1" a="1"/>
  <c r="M172" a="1"/>
  <c r="M172" s="1"/>
  <c r="AE172" s="1"/>
  <c r="M173" a="1"/>
  <c r="M173" s="1"/>
  <c r="N173" s="1" a="1"/>
  <c r="M174" a="1"/>
  <c r="M174" s="1"/>
  <c r="N174" s="1" a="1"/>
  <c r="M175" a="1"/>
  <c r="M175" s="1"/>
  <c r="N175" s="1" a="1"/>
  <c r="M176" a="1"/>
  <c r="M176" s="1"/>
  <c r="N176" s="1" a="1"/>
  <c r="M177" a="1"/>
  <c r="M177" s="1"/>
  <c r="N177" s="1" a="1"/>
  <c r="M2" a="1"/>
  <c r="M2" s="1"/>
  <c r="AE2" s="1"/>
  <c r="AB18"/>
  <c r="M58" i="28" a="1"/>
  <c r="O58" a="1"/>
  <c r="O58" s="1"/>
  <c r="P58" a="1"/>
  <c r="P58" s="1"/>
  <c r="Q58" a="1"/>
  <c r="Q58" s="1"/>
  <c r="R58" a="1"/>
  <c r="R58" s="1"/>
  <c r="S58"/>
  <c r="V58" s="1"/>
  <c r="AB58"/>
  <c r="AC58"/>
  <c r="D58"/>
  <c r="W188" i="7"/>
  <c r="W189"/>
  <c r="W190"/>
  <c r="W191"/>
  <c r="W192"/>
  <c r="W193"/>
  <c r="W194"/>
  <c r="W195"/>
  <c r="W196"/>
  <c r="W197"/>
  <c r="W198"/>
  <c r="W199"/>
  <c r="W200"/>
  <c r="W201"/>
  <c r="W202"/>
  <c r="W203"/>
  <c r="W204"/>
  <c r="W205"/>
  <c r="W206"/>
  <c r="W207"/>
  <c r="W208"/>
  <c r="W209"/>
  <c r="W210"/>
  <c r="W211"/>
  <c r="W212"/>
  <c r="W213"/>
  <c r="W214"/>
  <c r="W215"/>
  <c r="W216"/>
  <c r="W217"/>
  <c r="W218"/>
  <c r="W219"/>
  <c r="W220"/>
  <c r="W221"/>
  <c r="W222"/>
  <c r="W223"/>
  <c r="W224"/>
  <c r="W225"/>
  <c r="W226"/>
  <c r="W227"/>
  <c r="W228"/>
  <c r="W229"/>
  <c r="W230"/>
  <c r="W231"/>
  <c r="W232"/>
  <c r="W233"/>
  <c r="W234"/>
  <c r="W235"/>
  <c r="W236"/>
  <c r="W237"/>
  <c r="W238"/>
  <c r="W239"/>
  <c r="W240"/>
  <c r="W241"/>
  <c r="W242"/>
  <c r="W243"/>
  <c r="W244"/>
  <c r="W245"/>
  <c r="W246"/>
  <c r="W247"/>
  <c r="W248"/>
  <c r="W249"/>
  <c r="W250"/>
  <c r="W251"/>
  <c r="W252"/>
  <c r="W253"/>
  <c r="W254"/>
  <c r="W255"/>
  <c r="W256"/>
  <c r="W257"/>
  <c r="W258"/>
  <c r="W259"/>
  <c r="W260"/>
  <c r="W261"/>
  <c r="W262"/>
  <c r="W263"/>
  <c r="W264"/>
  <c r="W265"/>
  <c r="W266"/>
  <c r="W267"/>
  <c r="W268"/>
  <c r="W269"/>
  <c r="W270"/>
  <c r="W271"/>
  <c r="W272"/>
  <c r="W273"/>
  <c r="W274"/>
  <c r="W275"/>
  <c r="W276"/>
  <c r="W277"/>
  <c r="W278"/>
  <c r="W279"/>
  <c r="W280"/>
  <c r="W281"/>
  <c r="W282"/>
  <c r="W283"/>
  <c r="W284"/>
  <c r="W285"/>
  <c r="W286"/>
  <c r="W287"/>
  <c r="W288"/>
  <c r="W289"/>
  <c r="W290"/>
  <c r="W291"/>
  <c r="W292"/>
  <c r="W293"/>
  <c r="W294"/>
  <c r="W295"/>
  <c r="W296"/>
  <c r="W297"/>
  <c r="W298"/>
  <c r="W299"/>
  <c r="W300"/>
  <c r="W301"/>
  <c r="W302"/>
  <c r="W303"/>
  <c r="W304"/>
  <c r="W305"/>
  <c r="W306"/>
  <c r="W307"/>
  <c r="W308"/>
  <c r="W309"/>
  <c r="W310"/>
  <c r="W311"/>
  <c r="W312"/>
  <c r="W313"/>
  <c r="W314"/>
  <c r="W315"/>
  <c r="W316"/>
  <c r="W317"/>
  <c r="W318"/>
  <c r="W319"/>
  <c r="W320"/>
  <c r="W321"/>
  <c r="W322"/>
  <c r="W323"/>
  <c r="W324"/>
  <c r="W325"/>
  <c r="W326"/>
  <c r="W327"/>
  <c r="W328"/>
  <c r="W329"/>
  <c r="W330"/>
  <c r="W331"/>
  <c r="W332"/>
  <c r="W333"/>
  <c r="W334"/>
  <c r="W335"/>
  <c r="W336"/>
  <c r="W337"/>
  <c r="W338"/>
  <c r="W339"/>
  <c r="W340"/>
  <c r="W341"/>
  <c r="W342"/>
  <c r="W343"/>
  <c r="W344"/>
  <c r="W345"/>
  <c r="W346"/>
  <c r="W347"/>
  <c r="W348"/>
  <c r="W349"/>
  <c r="W350"/>
  <c r="W351"/>
  <c r="W352"/>
  <c r="W353"/>
  <c r="W354"/>
  <c r="W355"/>
  <c r="W356"/>
  <c r="W357"/>
  <c r="W358"/>
  <c r="W359"/>
  <c r="W360"/>
  <c r="W361"/>
  <c r="W362"/>
  <c r="W363"/>
  <c r="W364"/>
  <c r="W365"/>
  <c r="W366"/>
  <c r="W367"/>
  <c r="W368"/>
  <c r="W369"/>
  <c r="W370"/>
  <c r="W371"/>
  <c r="W372"/>
  <c r="W373"/>
  <c r="W374"/>
  <c r="W375"/>
  <c r="W376"/>
  <c r="W377"/>
  <c r="W378"/>
  <c r="W379"/>
  <c r="W380"/>
  <c r="W381"/>
  <c r="W382"/>
  <c r="W383"/>
  <c r="W384"/>
  <c r="W385"/>
  <c r="W386"/>
  <c r="W387"/>
  <c r="W388"/>
  <c r="W389"/>
  <c r="W390"/>
  <c r="W391"/>
  <c r="W392"/>
  <c r="W393"/>
  <c r="W394"/>
  <c r="W395"/>
  <c r="W396"/>
  <c r="W397"/>
  <c r="W398"/>
  <c r="W399"/>
  <c r="W400"/>
  <c r="W401"/>
  <c r="W402"/>
  <c r="W403"/>
  <c r="W404"/>
  <c r="W405"/>
  <c r="W406"/>
  <c r="W407"/>
  <c r="W408"/>
  <c r="W409"/>
  <c r="W410"/>
  <c r="W411"/>
  <c r="W412"/>
  <c r="W413"/>
  <c r="W414"/>
  <c r="W415"/>
  <c r="W416"/>
  <c r="W417"/>
  <c r="W418"/>
  <c r="W419"/>
  <c r="W420"/>
  <c r="W421"/>
  <c r="W422"/>
  <c r="W423"/>
  <c r="W424"/>
  <c r="W425"/>
  <c r="W426"/>
  <c r="W427"/>
  <c r="W428"/>
  <c r="W429"/>
  <c r="W430"/>
  <c r="W431"/>
  <c r="W432"/>
  <c r="W433"/>
  <c r="W434"/>
  <c r="W435"/>
  <c r="W436"/>
  <c r="W437"/>
  <c r="W438"/>
  <c r="W439"/>
  <c r="W440"/>
  <c r="W441"/>
  <c r="W442"/>
  <c r="W443"/>
  <c r="W444"/>
  <c r="W445"/>
  <c r="W446"/>
  <c r="W447"/>
  <c r="W448"/>
  <c r="W449"/>
  <c r="W450"/>
  <c r="W451"/>
  <c r="W452"/>
  <c r="W453"/>
  <c r="W454"/>
  <c r="W455"/>
  <c r="W456"/>
  <c r="W457"/>
  <c r="W458"/>
  <c r="W459"/>
  <c r="W460"/>
  <c r="W461"/>
  <c r="W462"/>
  <c r="W463"/>
  <c r="W464"/>
  <c r="W465"/>
  <c r="W466"/>
  <c r="W467"/>
  <c r="W468"/>
  <c r="W469"/>
  <c r="W470"/>
  <c r="W471"/>
  <c r="W472"/>
  <c r="W473"/>
  <c r="W474"/>
  <c r="W475"/>
  <c r="W476"/>
  <c r="W477"/>
  <c r="W478"/>
  <c r="W479"/>
  <c r="W480"/>
  <c r="W481"/>
  <c r="W482"/>
  <c r="W483"/>
  <c r="W484"/>
  <c r="W485"/>
  <c r="W486"/>
  <c r="W487"/>
  <c r="W488"/>
  <c r="W489"/>
  <c r="W490"/>
  <c r="W491"/>
  <c r="W492"/>
  <c r="W493"/>
  <c r="W494"/>
  <c r="W495"/>
  <c r="W496"/>
  <c r="W497"/>
  <c r="W498"/>
  <c r="W499"/>
  <c r="W500"/>
  <c r="W501"/>
  <c r="W502"/>
  <c r="W503"/>
  <c r="W504"/>
  <c r="W505"/>
  <c r="W506"/>
  <c r="W507"/>
  <c r="W508"/>
  <c r="W509"/>
  <c r="W510"/>
  <c r="W511"/>
  <c r="W512"/>
  <c r="W513"/>
  <c r="W514"/>
  <c r="W515"/>
  <c r="W516"/>
  <c r="W517"/>
  <c r="W518"/>
  <c r="W519"/>
  <c r="W520"/>
  <c r="W521"/>
  <c r="W522"/>
  <c r="W523"/>
  <c r="W524"/>
  <c r="W525"/>
  <c r="W526"/>
  <c r="W527"/>
  <c r="W528"/>
  <c r="W529"/>
  <c r="W530"/>
  <c r="W531"/>
  <c r="W532"/>
  <c r="W533"/>
  <c r="W534"/>
  <c r="W535"/>
  <c r="W536"/>
  <c r="W537"/>
  <c r="W538"/>
  <c r="W539"/>
  <c r="W540"/>
  <c r="W541"/>
  <c r="W542"/>
  <c r="W543"/>
  <c r="W544"/>
  <c r="W545"/>
  <c r="W546"/>
  <c r="W547"/>
  <c r="W548"/>
  <c r="W549"/>
  <c r="W550"/>
  <c r="W551"/>
  <c r="W552"/>
  <c r="W553"/>
  <c r="W554"/>
  <c r="W555"/>
  <c r="W556"/>
  <c r="W557"/>
  <c r="W558"/>
  <c r="W559"/>
  <c r="W560"/>
  <c r="W561"/>
  <c r="W562"/>
  <c r="W563"/>
  <c r="W564"/>
  <c r="W565"/>
  <c r="W566"/>
  <c r="W567"/>
  <c r="W568"/>
  <c r="W569"/>
  <c r="W570"/>
  <c r="W571"/>
  <c r="W572"/>
  <c r="W573"/>
  <c r="W574"/>
  <c r="W575"/>
  <c r="W576"/>
  <c r="W577"/>
  <c r="W578"/>
  <c r="W579"/>
  <c r="W580"/>
  <c r="W581"/>
  <c r="W582"/>
  <c r="W583"/>
  <c r="W584"/>
  <c r="W585"/>
  <c r="W586"/>
  <c r="W587"/>
  <c r="W588"/>
  <c r="W589"/>
  <c r="W590"/>
  <c r="W591"/>
  <c r="W592"/>
  <c r="W593"/>
  <c r="W594"/>
  <c r="W595"/>
  <c r="W596"/>
  <c r="W597"/>
  <c r="W598"/>
  <c r="W599"/>
  <c r="W600"/>
  <c r="W601"/>
  <c r="W602"/>
  <c r="W603"/>
  <c r="W604"/>
  <c r="W605"/>
  <c r="W606"/>
  <c r="W607"/>
  <c r="W608"/>
  <c r="W609"/>
  <c r="W610"/>
  <c r="W611"/>
  <c r="W612"/>
  <c r="W613"/>
  <c r="W614"/>
  <c r="W615"/>
  <c r="W616"/>
  <c r="W617"/>
  <c r="W618"/>
  <c r="W619"/>
  <c r="W620"/>
  <c r="W621"/>
  <c r="W622"/>
  <c r="W623"/>
  <c r="W624"/>
  <c r="W625"/>
  <c r="W626"/>
  <c r="W627"/>
  <c r="W628"/>
  <c r="W629"/>
  <c r="W630"/>
  <c r="W631"/>
  <c r="W632"/>
  <c r="W633"/>
  <c r="W634"/>
  <c r="W635"/>
  <c r="W636"/>
  <c r="W637"/>
  <c r="W638"/>
  <c r="W639"/>
  <c r="W640"/>
  <c r="W641"/>
  <c r="U176"/>
  <c r="U179"/>
  <c r="U184"/>
  <c r="U186"/>
  <c r="U187"/>
  <c r="U188"/>
  <c r="U189"/>
  <c r="U190"/>
  <c r="U191"/>
  <c r="U192"/>
  <c r="U193"/>
  <c r="U194"/>
  <c r="U195"/>
  <c r="U196"/>
  <c r="U197"/>
  <c r="U198"/>
  <c r="U199"/>
  <c r="U200"/>
  <c r="U201"/>
  <c r="U202"/>
  <c r="U203"/>
  <c r="U204"/>
  <c r="U205"/>
  <c r="U206"/>
  <c r="U207"/>
  <c r="U208"/>
  <c r="U209"/>
  <c r="U210"/>
  <c r="U211"/>
  <c r="U212"/>
  <c r="U213"/>
  <c r="U214"/>
  <c r="U215"/>
  <c r="U216"/>
  <c r="U217"/>
  <c r="U218"/>
  <c r="U219"/>
  <c r="L3" i="54"/>
  <c r="L6"/>
  <c r="L8"/>
  <c r="L9"/>
  <c r="L12"/>
  <c r="L13"/>
  <c r="L17"/>
  <c r="L19"/>
  <c r="L20"/>
  <c r="L21"/>
  <c r="L24"/>
  <c r="L25"/>
  <c r="L26"/>
  <c r="L27"/>
  <c r="L31"/>
  <c r="L33"/>
  <c r="L34"/>
  <c r="L35"/>
  <c r="L37"/>
  <c r="L2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30"/>
  <c r="K31"/>
  <c r="K32"/>
  <c r="K33"/>
  <c r="K34"/>
  <c r="K35"/>
  <c r="K36"/>
  <c r="K37"/>
  <c r="K2"/>
  <c r="F2"/>
  <c r="E2"/>
  <c r="W4" i="7"/>
  <c r="W5"/>
  <c r="W6"/>
  <c r="W8"/>
  <c r="W9"/>
  <c r="W10"/>
  <c r="W11"/>
  <c r="W12"/>
  <c r="W13"/>
  <c r="W15"/>
  <c r="W16"/>
  <c r="W17"/>
  <c r="W20"/>
  <c r="W21"/>
  <c r="W22"/>
  <c r="W23"/>
  <c r="W24"/>
  <c r="W25"/>
  <c r="W27"/>
  <c r="W29"/>
  <c r="W31"/>
  <c r="W32"/>
  <c r="W33"/>
  <c r="W34"/>
  <c r="W35"/>
  <c r="W36"/>
  <c r="W37"/>
  <c r="W38"/>
  <c r="W39"/>
  <c r="W40"/>
  <c r="W42"/>
  <c r="W43"/>
  <c r="W45"/>
  <c r="W46"/>
  <c r="W47"/>
  <c r="W48"/>
  <c r="W49"/>
  <c r="W50"/>
  <c r="W57"/>
  <c r="W58"/>
  <c r="W59"/>
  <c r="W61"/>
  <c r="W63"/>
  <c r="W64"/>
  <c r="W65"/>
  <c r="W66"/>
  <c r="W67"/>
  <c r="W68"/>
  <c r="W69"/>
  <c r="W70"/>
  <c r="W71"/>
  <c r="W72"/>
  <c r="W73"/>
  <c r="W74"/>
  <c r="W75"/>
  <c r="W76"/>
  <c r="W77"/>
  <c r="W78"/>
  <c r="W79"/>
  <c r="W80"/>
  <c r="W81"/>
  <c r="W92"/>
  <c r="W93"/>
  <c r="W94"/>
  <c r="W95"/>
  <c r="W96"/>
  <c r="W97"/>
  <c r="W98"/>
  <c r="W106"/>
  <c r="W107"/>
  <c r="W111"/>
  <c r="W112"/>
  <c r="W113"/>
  <c r="W114"/>
  <c r="W115"/>
  <c r="W117"/>
  <c r="W118"/>
  <c r="W122"/>
  <c r="W123"/>
  <c r="W125"/>
  <c r="W126"/>
  <c r="W127"/>
  <c r="W128"/>
  <c r="W129"/>
  <c r="W130"/>
  <c r="W144"/>
  <c r="W150"/>
  <c r="W151"/>
  <c r="W154"/>
  <c r="W156"/>
  <c r="W157"/>
  <c r="W158"/>
  <c r="W159"/>
  <c r="W169"/>
  <c r="W170"/>
  <c r="W2"/>
  <c r="P66" i="28" a="1"/>
  <c r="P66" s="1"/>
  <c r="P67" a="1"/>
  <c r="P67" s="1"/>
  <c r="P68" a="1"/>
  <c r="P68" s="1"/>
  <c r="P69" a="1"/>
  <c r="P69" s="1"/>
  <c r="P70" a="1"/>
  <c r="P70" s="1"/>
  <c r="P71" a="1"/>
  <c r="P71" s="1"/>
  <c r="P72" a="1"/>
  <c r="P72" s="1"/>
  <c r="P73" a="1"/>
  <c r="P73" s="1"/>
  <c r="P74" a="1"/>
  <c r="P74" s="1"/>
  <c r="P75" a="1"/>
  <c r="P75" s="1"/>
  <c r="P76" a="1"/>
  <c r="P76" s="1"/>
  <c r="P77" a="1"/>
  <c r="P77" s="1"/>
  <c r="P78" a="1"/>
  <c r="P78" s="1"/>
  <c r="P79" a="1"/>
  <c r="P79" s="1"/>
  <c r="P80" a="1"/>
  <c r="P80" s="1"/>
  <c r="P81" a="1"/>
  <c r="P81" s="1"/>
  <c r="P82" a="1"/>
  <c r="P82" s="1"/>
  <c r="P83" a="1"/>
  <c r="P83" s="1"/>
  <c r="P84" a="1"/>
  <c r="P84" s="1"/>
  <c r="U10" i="7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115"/>
  <c r="U119"/>
  <c r="U127"/>
  <c r="U129"/>
  <c r="U130"/>
  <c r="U133"/>
  <c r="U134"/>
  <c r="U137"/>
  <c r="U138"/>
  <c r="U139"/>
  <c r="U140"/>
  <c r="U141"/>
  <c r="U142"/>
  <c r="U143"/>
  <c r="U148"/>
  <c r="U149"/>
  <c r="U150"/>
  <c r="U151"/>
  <c r="U152"/>
  <c r="U153"/>
  <c r="U154"/>
  <c r="U156"/>
  <c r="U157"/>
  <c r="U158"/>
  <c r="U159"/>
  <c r="U160"/>
  <c r="U161"/>
  <c r="U162"/>
  <c r="U163"/>
  <c r="U164"/>
  <c r="U165"/>
  <c r="U166"/>
  <c r="U167"/>
  <c r="U168"/>
  <c r="U169"/>
  <c r="U170"/>
  <c r="I592" i="5"/>
  <c r="I577"/>
  <c r="AB120" i="7"/>
  <c r="V18" i="28"/>
  <c r="V54"/>
  <c r="U26" i="37"/>
  <c r="U27"/>
  <c r="U29"/>
  <c r="U30"/>
  <c r="U31"/>
  <c r="U35"/>
  <c r="U38"/>
  <c r="U40"/>
  <c r="U41"/>
  <c r="U42"/>
  <c r="U43"/>
  <c r="U44"/>
  <c r="U45"/>
  <c r="U46"/>
  <c r="U47"/>
  <c r="U48"/>
  <c r="U49"/>
  <c r="U50"/>
  <c r="U51"/>
  <c r="U52"/>
  <c r="U54"/>
  <c r="U55"/>
  <c r="U56"/>
  <c r="U57"/>
  <c r="U58"/>
  <c r="U59"/>
  <c r="U61"/>
  <c r="U67"/>
  <c r="U68"/>
  <c r="F3" i="8"/>
  <c r="F4"/>
  <c r="F5"/>
  <c r="F6"/>
  <c r="F7"/>
  <c r="F8"/>
  <c r="F9"/>
  <c r="F10"/>
  <c r="F11"/>
  <c r="F12"/>
  <c r="F13"/>
  <c r="F14"/>
  <c r="F16"/>
  <c r="F17"/>
  <c r="F21"/>
  <c r="F24"/>
  <c r="F26"/>
  <c r="F27"/>
  <c r="F28"/>
  <c r="F29"/>
  <c r="F33"/>
  <c r="F34"/>
  <c r="F38"/>
  <c r="F46"/>
  <c r="F52"/>
  <c r="F54"/>
  <c r="F56"/>
  <c r="F58"/>
  <c r="F59"/>
  <c r="F61"/>
  <c r="F66"/>
  <c r="F70"/>
  <c r="F71"/>
  <c r="F72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E3"/>
  <c r="E4"/>
  <c r="E5"/>
  <c r="E6"/>
  <c r="E7"/>
  <c r="E8"/>
  <c r="E9"/>
  <c r="E10"/>
  <c r="E11"/>
  <c r="E12"/>
  <c r="E13"/>
  <c r="E14"/>
  <c r="E16"/>
  <c r="E17"/>
  <c r="E21"/>
  <c r="E24"/>
  <c r="E26"/>
  <c r="E27"/>
  <c r="E28"/>
  <c r="E29"/>
  <c r="E33"/>
  <c r="E34"/>
  <c r="E38"/>
  <c r="E46"/>
  <c r="E52"/>
  <c r="E54"/>
  <c r="E56"/>
  <c r="E58"/>
  <c r="E59"/>
  <c r="E61"/>
  <c r="E66"/>
  <c r="E70"/>
  <c r="E71"/>
  <c r="E72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23" i="10"/>
  <c r="A10"/>
  <c r="A3"/>
  <c r="A4"/>
  <c r="A5"/>
  <c r="A6"/>
  <c r="A7"/>
  <c r="A8"/>
  <c r="A9"/>
  <c r="A11"/>
  <c r="A12"/>
  <c r="A13"/>
  <c r="A14"/>
  <c r="A15"/>
  <c r="A16"/>
  <c r="A17"/>
  <c r="A18"/>
  <c r="A19"/>
  <c r="A20"/>
  <c r="A21"/>
  <c r="A22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A62" i="28"/>
  <c r="AA63"/>
  <c r="AA64"/>
  <c r="R66" a="1"/>
  <c r="R66" s="1"/>
  <c r="R67" a="1"/>
  <c r="R67" s="1"/>
  <c r="R68" a="1"/>
  <c r="R68" s="1"/>
  <c r="R69" a="1"/>
  <c r="R69" s="1"/>
  <c r="R70" a="1"/>
  <c r="R70" s="1"/>
  <c r="R71" a="1"/>
  <c r="R71" s="1"/>
  <c r="R72" a="1"/>
  <c r="R72" s="1"/>
  <c r="R73" a="1"/>
  <c r="R73" s="1"/>
  <c r="R74" a="1"/>
  <c r="R74" s="1"/>
  <c r="R75" a="1"/>
  <c r="R75" s="1"/>
  <c r="R76" a="1"/>
  <c r="R76" s="1"/>
  <c r="R77" a="1"/>
  <c r="R77" s="1"/>
  <c r="R78" a="1"/>
  <c r="R78" s="1"/>
  <c r="R79" a="1"/>
  <c r="R79" s="1"/>
  <c r="R80" a="1"/>
  <c r="R80" s="1"/>
  <c r="R81" a="1"/>
  <c r="R81" s="1"/>
  <c r="R82" a="1"/>
  <c r="R82" s="1"/>
  <c r="R83" a="1"/>
  <c r="R83" s="1"/>
  <c r="R84" a="1"/>
  <c r="R84" s="1"/>
  <c r="AA21"/>
  <c r="AA20"/>
  <c r="AA13"/>
  <c r="A25" i="37"/>
  <c r="H7" i="22"/>
  <c r="I7"/>
  <c r="J7"/>
  <c r="K7"/>
  <c r="L7"/>
  <c r="M7"/>
  <c r="N7"/>
  <c r="H8"/>
  <c r="I8"/>
  <c r="J8"/>
  <c r="K8"/>
  <c r="L8"/>
  <c r="M8"/>
  <c r="N8"/>
  <c r="H9"/>
  <c r="I9"/>
  <c r="J9"/>
  <c r="K9"/>
  <c r="L9"/>
  <c r="M9"/>
  <c r="N9"/>
  <c r="H10"/>
  <c r="I10"/>
  <c r="J10"/>
  <c r="K10"/>
  <c r="L10"/>
  <c r="M10"/>
  <c r="N10"/>
  <c r="H11"/>
  <c r="I11"/>
  <c r="J11"/>
  <c r="K11"/>
  <c r="L11"/>
  <c r="M11"/>
  <c r="N11"/>
  <c r="H12"/>
  <c r="I12"/>
  <c r="J12"/>
  <c r="K12"/>
  <c r="L12"/>
  <c r="M12"/>
  <c r="N12"/>
  <c r="H13"/>
  <c r="I13"/>
  <c r="J13"/>
  <c r="K13"/>
  <c r="L13"/>
  <c r="M13"/>
  <c r="N13"/>
  <c r="H14"/>
  <c r="I14"/>
  <c r="J14"/>
  <c r="K14"/>
  <c r="L14"/>
  <c r="M14"/>
  <c r="N14"/>
  <c r="H15"/>
  <c r="I15"/>
  <c r="J15"/>
  <c r="K15"/>
  <c r="L15"/>
  <c r="M15"/>
  <c r="N15"/>
  <c r="H16"/>
  <c r="I16"/>
  <c r="J16"/>
  <c r="K16"/>
  <c r="L16"/>
  <c r="M16"/>
  <c r="N16"/>
  <c r="H17"/>
  <c r="I17"/>
  <c r="J17"/>
  <c r="K17"/>
  <c r="L17"/>
  <c r="M17"/>
  <c r="N17"/>
  <c r="H18"/>
  <c r="I18"/>
  <c r="J18"/>
  <c r="K18"/>
  <c r="L18"/>
  <c r="M18"/>
  <c r="N18"/>
  <c r="H19"/>
  <c r="I19"/>
  <c r="J19"/>
  <c r="K19"/>
  <c r="L19"/>
  <c r="M19"/>
  <c r="N19"/>
  <c r="H20"/>
  <c r="I20"/>
  <c r="J20"/>
  <c r="K20"/>
  <c r="L20"/>
  <c r="M20"/>
  <c r="N20"/>
  <c r="H21"/>
  <c r="I21"/>
  <c r="J21"/>
  <c r="K21"/>
  <c r="L21"/>
  <c r="M21"/>
  <c r="N21"/>
  <c r="H22"/>
  <c r="I22"/>
  <c r="J22"/>
  <c r="K22"/>
  <c r="L22"/>
  <c r="M22"/>
  <c r="N22"/>
  <c r="H23"/>
  <c r="I23"/>
  <c r="J23"/>
  <c r="K23"/>
  <c r="L23"/>
  <c r="M23"/>
  <c r="N23"/>
  <c r="H24"/>
  <c r="I24"/>
  <c r="J24"/>
  <c r="K24"/>
  <c r="L24"/>
  <c r="M24"/>
  <c r="N24"/>
  <c r="H25"/>
  <c r="I25"/>
  <c r="J25"/>
  <c r="K25"/>
  <c r="L25"/>
  <c r="M25"/>
  <c r="N25"/>
  <c r="H26"/>
  <c r="I26"/>
  <c r="J26"/>
  <c r="K26"/>
  <c r="L26"/>
  <c r="M26"/>
  <c r="N26"/>
  <c r="H27"/>
  <c r="I27"/>
  <c r="J27"/>
  <c r="K27"/>
  <c r="L27"/>
  <c r="M27"/>
  <c r="N27"/>
  <c r="H28"/>
  <c r="I28"/>
  <c r="J28"/>
  <c r="K28"/>
  <c r="L28"/>
  <c r="M28"/>
  <c r="N28"/>
  <c r="H29"/>
  <c r="I29"/>
  <c r="J29"/>
  <c r="K29"/>
  <c r="L29"/>
  <c r="M29"/>
  <c r="N29"/>
  <c r="H30"/>
  <c r="I30"/>
  <c r="J30"/>
  <c r="K30"/>
  <c r="L30"/>
  <c r="M30"/>
  <c r="N30"/>
  <c r="I6"/>
  <c r="J6"/>
  <c r="K6"/>
  <c r="L6"/>
  <c r="M6"/>
  <c r="N6"/>
  <c r="H6"/>
  <c r="E7"/>
  <c r="F7"/>
  <c r="G7"/>
  <c r="E8"/>
  <c r="F8"/>
  <c r="G8"/>
  <c r="E9"/>
  <c r="F9"/>
  <c r="G9"/>
  <c r="E10"/>
  <c r="F10"/>
  <c r="G10"/>
  <c r="E11"/>
  <c r="F11"/>
  <c r="G11"/>
  <c r="E12"/>
  <c r="F12"/>
  <c r="G12"/>
  <c r="E13"/>
  <c r="F13"/>
  <c r="G13"/>
  <c r="E14"/>
  <c r="F14"/>
  <c r="G14"/>
  <c r="E15"/>
  <c r="F15"/>
  <c r="G15"/>
  <c r="E16"/>
  <c r="F16"/>
  <c r="G16"/>
  <c r="E17"/>
  <c r="F17"/>
  <c r="G17"/>
  <c r="E18"/>
  <c r="F18"/>
  <c r="G18"/>
  <c r="E19"/>
  <c r="F19"/>
  <c r="G19"/>
  <c r="E20"/>
  <c r="F20"/>
  <c r="G20"/>
  <c r="E21"/>
  <c r="F21"/>
  <c r="G21"/>
  <c r="E22"/>
  <c r="F22"/>
  <c r="G22"/>
  <c r="E23"/>
  <c r="F23"/>
  <c r="G23"/>
  <c r="E24"/>
  <c r="F24"/>
  <c r="G24"/>
  <c r="E25"/>
  <c r="F25"/>
  <c r="G25"/>
  <c r="E26"/>
  <c r="F26"/>
  <c r="G26"/>
  <c r="E27"/>
  <c r="F27"/>
  <c r="G27"/>
  <c r="E28"/>
  <c r="F28"/>
  <c r="G28"/>
  <c r="E29"/>
  <c r="F29"/>
  <c r="G29"/>
  <c r="E30"/>
  <c r="F30"/>
  <c r="G30"/>
  <c r="F6"/>
  <c r="G6"/>
  <c r="E6"/>
  <c r="Y20"/>
  <c r="Z20"/>
  <c r="AA20"/>
  <c r="AB20"/>
  <c r="AC20"/>
  <c r="AD20"/>
  <c r="AE20"/>
  <c r="AF20"/>
  <c r="AG20"/>
  <c r="AH20"/>
  <c r="AI20"/>
  <c r="AJ20"/>
  <c r="AK20"/>
  <c r="AL20"/>
  <c r="AM20"/>
  <c r="AN20"/>
  <c r="AO20"/>
  <c r="AP20"/>
  <c r="AQ20"/>
  <c r="AR20"/>
  <c r="AS20"/>
  <c r="AT20"/>
  <c r="AU20"/>
  <c r="AV20"/>
  <c r="AW20"/>
  <c r="AX20"/>
  <c r="AY20"/>
  <c r="AZ20"/>
  <c r="BA20"/>
  <c r="BB20"/>
  <c r="BC20"/>
  <c r="B20"/>
  <c r="D20"/>
  <c r="J42" i="31"/>
  <c r="M42"/>
  <c r="N42"/>
  <c r="F42"/>
  <c r="A42"/>
  <c r="P390" i="16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425"/>
  <c r="P426"/>
  <c r="P427"/>
  <c r="P428"/>
  <c r="P429"/>
  <c r="P430"/>
  <c r="P431"/>
  <c r="P432"/>
  <c r="P433"/>
  <c r="P434"/>
  <c r="P435"/>
  <c r="P436"/>
  <c r="P437"/>
  <c r="P438"/>
  <c r="P439"/>
  <c r="P440"/>
  <c r="P441"/>
  <c r="P442"/>
  <c r="P443"/>
  <c r="P444"/>
  <c r="P445"/>
  <c r="P446"/>
  <c r="P447"/>
  <c r="P448"/>
  <c r="P449"/>
  <c r="P450"/>
  <c r="P451"/>
  <c r="P452"/>
  <c r="P453"/>
  <c r="P454"/>
  <c r="P455"/>
  <c r="P456"/>
  <c r="P457"/>
  <c r="P458"/>
  <c r="P459"/>
  <c r="P460"/>
  <c r="P461"/>
  <c r="P462"/>
  <c r="P463"/>
  <c r="P464"/>
  <c r="P465"/>
  <c r="P466"/>
  <c r="P467"/>
  <c r="P468"/>
  <c r="P469"/>
  <c r="P470"/>
  <c r="P471"/>
  <c r="P472"/>
  <c r="P473"/>
  <c r="P474"/>
  <c r="P475"/>
  <c r="P476"/>
  <c r="P477"/>
  <c r="P478"/>
  <c r="P479"/>
  <c r="P480"/>
  <c r="P481"/>
  <c r="P482"/>
  <c r="P483"/>
  <c r="P484"/>
  <c r="P485"/>
  <c r="P486"/>
  <c r="P487"/>
  <c r="P488"/>
  <c r="P489"/>
  <c r="P490"/>
  <c r="P491"/>
  <c r="P492"/>
  <c r="P493"/>
  <c r="P494"/>
  <c r="P495"/>
  <c r="P496"/>
  <c r="P497"/>
  <c r="P498"/>
  <c r="P499"/>
  <c r="P500"/>
  <c r="P501"/>
  <c r="P502"/>
  <c r="P503"/>
  <c r="P504"/>
  <c r="P505"/>
  <c r="P506"/>
  <c r="P507"/>
  <c r="P508"/>
  <c r="P509"/>
  <c r="P510"/>
  <c r="P511"/>
  <c r="P512"/>
  <c r="P513"/>
  <c r="P514"/>
  <c r="P515"/>
  <c r="P516"/>
  <c r="P517"/>
  <c r="P518"/>
  <c r="P519"/>
  <c r="P520"/>
  <c r="P521"/>
  <c r="P522"/>
  <c r="P523"/>
  <c r="P524"/>
  <c r="P525"/>
  <c r="P526"/>
  <c r="P527"/>
  <c r="P528"/>
  <c r="P529"/>
  <c r="P530"/>
  <c r="P531"/>
  <c r="P532"/>
  <c r="P533"/>
  <c r="P534"/>
  <c r="P535"/>
  <c r="P536"/>
  <c r="P537"/>
  <c r="P538"/>
  <c r="P539"/>
  <c r="P540"/>
  <c r="P541"/>
  <c r="P542"/>
  <c r="P543"/>
  <c r="P544"/>
  <c r="P545"/>
  <c r="P546"/>
  <c r="P547"/>
  <c r="P548"/>
  <c r="P549"/>
  <c r="P550"/>
  <c r="P551"/>
  <c r="P552"/>
  <c r="P553"/>
  <c r="P554"/>
  <c r="P555"/>
  <c r="P556"/>
  <c r="P557"/>
  <c r="P558"/>
  <c r="P559"/>
  <c r="P560"/>
  <c r="P561"/>
  <c r="P562"/>
  <c r="P563"/>
  <c r="P564"/>
  <c r="P565"/>
  <c r="P566"/>
  <c r="P567"/>
  <c r="P568"/>
  <c r="P569"/>
  <c r="P570"/>
  <c r="P571"/>
  <c r="P572"/>
  <c r="P573"/>
  <c r="P574"/>
  <c r="P575"/>
  <c r="P576"/>
  <c r="P577"/>
  <c r="P578"/>
  <c r="P579"/>
  <c r="P580"/>
  <c r="P581"/>
  <c r="P582"/>
  <c r="P583"/>
  <c r="P584"/>
  <c r="P585"/>
  <c r="P586"/>
  <c r="P587"/>
  <c r="P588"/>
  <c r="P589"/>
  <c r="P590"/>
  <c r="P591"/>
  <c r="P592"/>
  <c r="P593"/>
  <c r="P594"/>
  <c r="P595"/>
  <c r="P596"/>
  <c r="P597"/>
  <c r="P598"/>
  <c r="P599"/>
  <c r="P600"/>
  <c r="P601"/>
  <c r="P602"/>
  <c r="P603"/>
  <c r="P604"/>
  <c r="P605"/>
  <c r="P606"/>
  <c r="P607"/>
  <c r="P608"/>
  <c r="P609"/>
  <c r="P610"/>
  <c r="P611"/>
  <c r="P612"/>
  <c r="P613"/>
  <c r="P614"/>
  <c r="P615"/>
  <c r="P616"/>
  <c r="P617"/>
  <c r="P618"/>
  <c r="P619"/>
  <c r="P620"/>
  <c r="P621"/>
  <c r="P622"/>
  <c r="P623"/>
  <c r="P624"/>
  <c r="P625"/>
  <c r="P626"/>
  <c r="P627"/>
  <c r="P628"/>
  <c r="P629"/>
  <c r="P630"/>
  <c r="P631"/>
  <c r="P632"/>
  <c r="P633"/>
  <c r="P634"/>
  <c r="P635"/>
  <c r="P636"/>
  <c r="P637"/>
  <c r="P638"/>
  <c r="P639"/>
  <c r="P640"/>
  <c r="P641"/>
  <c r="P642"/>
  <c r="P643"/>
  <c r="P644"/>
  <c r="P645"/>
  <c r="P646"/>
  <c r="P647"/>
  <c r="P648"/>
  <c r="P649"/>
  <c r="P650"/>
  <c r="P651"/>
  <c r="P652"/>
  <c r="P653"/>
  <c r="P654"/>
  <c r="P655"/>
  <c r="P656"/>
  <c r="P657"/>
  <c r="P658"/>
  <c r="P659"/>
  <c r="P660"/>
  <c r="P661"/>
  <c r="P662"/>
  <c r="P663"/>
  <c r="P664"/>
  <c r="P665"/>
  <c r="P666"/>
  <c r="P667"/>
  <c r="P668"/>
  <c r="P669"/>
  <c r="P670"/>
  <c r="P671"/>
  <c r="P672"/>
  <c r="P673"/>
  <c r="P674"/>
  <c r="P675"/>
  <c r="P676"/>
  <c r="P677"/>
  <c r="P678"/>
  <c r="P679"/>
  <c r="P680"/>
  <c r="P681"/>
  <c r="P682"/>
  <c r="P683"/>
  <c r="P684"/>
  <c r="P685"/>
  <c r="P686"/>
  <c r="P687"/>
  <c r="P688"/>
  <c r="P689"/>
  <c r="P690"/>
  <c r="P691"/>
  <c r="P692"/>
  <c r="P693"/>
  <c r="P694"/>
  <c r="P695"/>
  <c r="P696"/>
  <c r="P697"/>
  <c r="P698"/>
  <c r="P699"/>
  <c r="P700"/>
  <c r="P701"/>
  <c r="P702"/>
  <c r="P703"/>
  <c r="P704"/>
  <c r="P705"/>
  <c r="P706"/>
  <c r="P707"/>
  <c r="P708"/>
  <c r="P709"/>
  <c r="P710"/>
  <c r="P711"/>
  <c r="P712"/>
  <c r="P713"/>
  <c r="P714"/>
  <c r="P715"/>
  <c r="P716"/>
  <c r="P717"/>
  <c r="P718"/>
  <c r="P719"/>
  <c r="P720"/>
  <c r="P721"/>
  <c r="P722"/>
  <c r="P723"/>
  <c r="P724"/>
  <c r="P725"/>
  <c r="P726"/>
  <c r="P727"/>
  <c r="P728"/>
  <c r="P729"/>
  <c r="P730"/>
  <c r="P731"/>
  <c r="P732"/>
  <c r="P733"/>
  <c r="P734"/>
  <c r="P735"/>
  <c r="P736"/>
  <c r="P737"/>
  <c r="P738"/>
  <c r="P739"/>
  <c r="P740"/>
  <c r="P387"/>
  <c r="P388"/>
  <c r="P389"/>
  <c r="O3" i="28" a="1"/>
  <c r="O3" s="1"/>
  <c r="O4" a="1"/>
  <c r="O4" s="1"/>
  <c r="O7" a="1"/>
  <c r="O7" s="1"/>
  <c r="O8" a="1"/>
  <c r="O8" s="1"/>
  <c r="O9" a="1"/>
  <c r="O9" s="1"/>
  <c r="O10" a="1"/>
  <c r="O10" s="1"/>
  <c r="O11" a="1"/>
  <c r="O11" s="1"/>
  <c r="O12" a="1"/>
  <c r="O12" s="1"/>
  <c r="O13" a="1"/>
  <c r="O13" s="1"/>
  <c r="O14" a="1"/>
  <c r="O14" s="1"/>
  <c r="O15" a="1"/>
  <c r="O15" s="1"/>
  <c r="O16" a="1"/>
  <c r="O16" s="1"/>
  <c r="O17" a="1"/>
  <c r="O17" s="1"/>
  <c r="O18" a="1"/>
  <c r="O18" s="1"/>
  <c r="O19" a="1"/>
  <c r="O19" s="1"/>
  <c r="O20" a="1"/>
  <c r="O20" s="1"/>
  <c r="O21" a="1"/>
  <c r="O21" s="1"/>
  <c r="O22" a="1"/>
  <c r="O22" s="1"/>
  <c r="O23" a="1"/>
  <c r="O23" s="1"/>
  <c r="O24" a="1"/>
  <c r="O24" s="1"/>
  <c r="O25" a="1"/>
  <c r="O25" s="1"/>
  <c r="O26" a="1"/>
  <c r="O26" s="1"/>
  <c r="O27" a="1"/>
  <c r="O27" s="1"/>
  <c r="O28" a="1"/>
  <c r="O28" s="1"/>
  <c r="O29" a="1"/>
  <c r="O29" s="1"/>
  <c r="O30" a="1"/>
  <c r="O30" s="1"/>
  <c r="O31" a="1"/>
  <c r="O31" s="1"/>
  <c r="O32" a="1"/>
  <c r="O32" s="1"/>
  <c r="O33" a="1"/>
  <c r="O33" s="1"/>
  <c r="O34" a="1"/>
  <c r="O34" s="1"/>
  <c r="O35" a="1"/>
  <c r="O35" s="1"/>
  <c r="O36" a="1"/>
  <c r="O36" s="1"/>
  <c r="O37" a="1"/>
  <c r="O37" s="1"/>
  <c r="O38" a="1"/>
  <c r="O38" s="1"/>
  <c r="O39" a="1"/>
  <c r="O39" s="1"/>
  <c r="O40" a="1"/>
  <c r="O40" s="1"/>
  <c r="O41" a="1"/>
  <c r="O41" s="1"/>
  <c r="O42" a="1"/>
  <c r="O42" s="1"/>
  <c r="O43" a="1"/>
  <c r="O43" s="1"/>
  <c r="O44" a="1"/>
  <c r="O44" s="1"/>
  <c r="O45" a="1"/>
  <c r="O45" s="1"/>
  <c r="O46" a="1"/>
  <c r="O46" s="1"/>
  <c r="O47" a="1"/>
  <c r="O47" s="1"/>
  <c r="O48" a="1"/>
  <c r="O48" s="1"/>
  <c r="O49" a="1"/>
  <c r="O49" s="1"/>
  <c r="O50" a="1"/>
  <c r="O50" s="1"/>
  <c r="O51" a="1"/>
  <c r="O51" s="1"/>
  <c r="O52" a="1"/>
  <c r="O52" s="1"/>
  <c r="O53" a="1"/>
  <c r="O53" s="1"/>
  <c r="O54" a="1"/>
  <c r="O54" s="1"/>
  <c r="O55" a="1"/>
  <c r="O55" s="1"/>
  <c r="O56" a="1"/>
  <c r="O56" s="1"/>
  <c r="O57" a="1"/>
  <c r="O57" s="1"/>
  <c r="O59" a="1"/>
  <c r="O59" s="1"/>
  <c r="O60" a="1"/>
  <c r="O60" s="1"/>
  <c r="O61" a="1"/>
  <c r="O61" s="1"/>
  <c r="O62" a="1"/>
  <c r="O62" s="1"/>
  <c r="O63" a="1"/>
  <c r="O63" s="1"/>
  <c r="O64" a="1"/>
  <c r="O64" s="1"/>
  <c r="O65" a="1"/>
  <c r="O65" s="1"/>
  <c r="O66" a="1"/>
  <c r="O66" s="1"/>
  <c r="O67" a="1"/>
  <c r="O67" s="1"/>
  <c r="O68" a="1"/>
  <c r="O68" s="1"/>
  <c r="O69" a="1"/>
  <c r="O69" s="1"/>
  <c r="O70" a="1"/>
  <c r="O70" s="1"/>
  <c r="O71" a="1"/>
  <c r="O71" s="1"/>
  <c r="O72" a="1"/>
  <c r="O72" s="1"/>
  <c r="O73" a="1"/>
  <c r="O73" s="1"/>
  <c r="O74" a="1"/>
  <c r="O74" s="1"/>
  <c r="O75" a="1"/>
  <c r="O75" s="1"/>
  <c r="O76" a="1"/>
  <c r="O76" s="1"/>
  <c r="O77" a="1"/>
  <c r="O77" s="1"/>
  <c r="O78" a="1"/>
  <c r="O78" s="1"/>
  <c r="O79" a="1"/>
  <c r="O79" s="1"/>
  <c r="O80" a="1"/>
  <c r="O80" s="1"/>
  <c r="O81" a="1"/>
  <c r="O81" s="1"/>
  <c r="O82" a="1"/>
  <c r="O82" s="1"/>
  <c r="O83" a="1"/>
  <c r="O83" s="1"/>
  <c r="O84" a="1"/>
  <c r="O84" s="1"/>
  <c r="O2" a="1"/>
  <c r="O2" s="1"/>
  <c r="M53" a="1"/>
  <c r="P53" a="1"/>
  <c r="P53" s="1"/>
  <c r="Q53" a="1"/>
  <c r="Q53" s="1"/>
  <c r="R53" a="1"/>
  <c r="R53" s="1"/>
  <c r="S53"/>
  <c r="V53" s="1"/>
  <c r="A32" i="31"/>
  <c r="J32"/>
  <c r="M32"/>
  <c r="N32"/>
  <c r="J31"/>
  <c r="M31"/>
  <c r="N31"/>
  <c r="A31"/>
  <c r="S65" i="28"/>
  <c r="M65" a="1"/>
  <c r="P65" a="1"/>
  <c r="P65" s="1"/>
  <c r="Q65" a="1"/>
  <c r="Q65" s="1"/>
  <c r="R65" a="1"/>
  <c r="R65" s="1"/>
  <c r="G2" i="46"/>
  <c r="R285" i="21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4"/>
  <c r="R535"/>
  <c r="R536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4"/>
  <c r="R555"/>
  <c r="R556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07"/>
  <c r="R608"/>
  <c r="R609"/>
  <c r="R610"/>
  <c r="R611"/>
  <c r="R612"/>
  <c r="R613"/>
  <c r="R614"/>
  <c r="R615"/>
  <c r="R616"/>
  <c r="R617"/>
  <c r="R618"/>
  <c r="R619"/>
  <c r="R620"/>
  <c r="R621"/>
  <c r="R622"/>
  <c r="R623"/>
  <c r="R624"/>
  <c r="R625"/>
  <c r="R626"/>
  <c r="R627"/>
  <c r="R628"/>
  <c r="R629"/>
  <c r="R630"/>
  <c r="R631"/>
  <c r="R632"/>
  <c r="R633"/>
  <c r="R634"/>
  <c r="R635"/>
  <c r="R636"/>
  <c r="R637"/>
  <c r="R638"/>
  <c r="R639"/>
  <c r="R640"/>
  <c r="R641"/>
  <c r="R642"/>
  <c r="R643"/>
  <c r="R644"/>
  <c r="R645"/>
  <c r="R646"/>
  <c r="R647"/>
  <c r="R648"/>
  <c r="R649"/>
  <c r="R650"/>
  <c r="R651"/>
  <c r="R652"/>
  <c r="R653"/>
  <c r="R654"/>
  <c r="R655"/>
  <c r="R656"/>
  <c r="R657"/>
  <c r="R658"/>
  <c r="R659"/>
  <c r="R660"/>
  <c r="R661"/>
  <c r="R662"/>
  <c r="R663"/>
  <c r="R664"/>
  <c r="R665"/>
  <c r="R666"/>
  <c r="R667"/>
  <c r="R668"/>
  <c r="R669"/>
  <c r="R670"/>
  <c r="R671"/>
  <c r="R672"/>
  <c r="R673"/>
  <c r="R674"/>
  <c r="R675"/>
  <c r="R676"/>
  <c r="R677"/>
  <c r="R678"/>
  <c r="R679"/>
  <c r="R680"/>
  <c r="R681"/>
  <c r="R682"/>
  <c r="R683"/>
  <c r="R684"/>
  <c r="R685"/>
  <c r="R686"/>
  <c r="R687"/>
  <c r="R688"/>
  <c r="R689"/>
  <c r="R690"/>
  <c r="R691"/>
  <c r="R692"/>
  <c r="R693"/>
  <c r="R694"/>
  <c r="R695"/>
  <c r="R696"/>
  <c r="R697"/>
  <c r="R698"/>
  <c r="R699"/>
  <c r="R700"/>
  <c r="R701"/>
  <c r="R702"/>
  <c r="R703"/>
  <c r="R704"/>
  <c r="R705"/>
  <c r="R706"/>
  <c r="R707"/>
  <c r="R708"/>
  <c r="R709"/>
  <c r="R710"/>
  <c r="R711"/>
  <c r="R712"/>
  <c r="R713"/>
  <c r="R714"/>
  <c r="R715"/>
  <c r="R716"/>
  <c r="R717"/>
  <c r="R718"/>
  <c r="R719"/>
  <c r="R720"/>
  <c r="R721"/>
  <c r="R722"/>
  <c r="R723"/>
  <c r="R724"/>
  <c r="R725"/>
  <c r="R726"/>
  <c r="R727"/>
  <c r="R728"/>
  <c r="R729"/>
  <c r="R730"/>
  <c r="R731"/>
  <c r="R732"/>
  <c r="R733"/>
  <c r="R734"/>
  <c r="R735"/>
  <c r="R736"/>
  <c r="R737"/>
  <c r="R738"/>
  <c r="R739"/>
  <c r="R740"/>
  <c r="R741"/>
  <c r="R742"/>
  <c r="R743"/>
  <c r="R744"/>
  <c r="R745"/>
  <c r="R746"/>
  <c r="R747"/>
  <c r="R748"/>
  <c r="R749"/>
  <c r="R750"/>
  <c r="R751"/>
  <c r="R752"/>
  <c r="R753"/>
  <c r="R754"/>
  <c r="R755"/>
  <c r="R756"/>
  <c r="R757"/>
  <c r="R758"/>
  <c r="R759"/>
  <c r="R760"/>
  <c r="R761"/>
  <c r="R762"/>
  <c r="R763"/>
  <c r="R764"/>
  <c r="R765"/>
  <c r="R766"/>
  <c r="R767"/>
  <c r="R768"/>
  <c r="R769"/>
  <c r="R770"/>
  <c r="R771"/>
  <c r="R772"/>
  <c r="R773"/>
  <c r="R774"/>
  <c r="R775"/>
  <c r="R776"/>
  <c r="R777"/>
  <c r="R778"/>
  <c r="R779"/>
  <c r="R780"/>
  <c r="R781"/>
  <c r="R782"/>
  <c r="R783"/>
  <c r="R784"/>
  <c r="R785"/>
  <c r="R786"/>
  <c r="R787"/>
  <c r="R788"/>
  <c r="R789"/>
  <c r="R790"/>
  <c r="R791"/>
  <c r="R792"/>
  <c r="R793"/>
  <c r="R794"/>
  <c r="R795"/>
  <c r="R796"/>
  <c r="R797"/>
  <c r="R798"/>
  <c r="R799"/>
  <c r="R800"/>
  <c r="R801"/>
  <c r="R802"/>
  <c r="R803"/>
  <c r="R804"/>
  <c r="R805"/>
  <c r="R806"/>
  <c r="R807"/>
  <c r="R808"/>
  <c r="R809"/>
  <c r="R810"/>
  <c r="R811"/>
  <c r="R812"/>
  <c r="R813"/>
  <c r="R814"/>
  <c r="R815"/>
  <c r="R816"/>
  <c r="R817"/>
  <c r="R818"/>
  <c r="R819"/>
  <c r="R820"/>
  <c r="R821"/>
  <c r="R822"/>
  <c r="R823"/>
  <c r="R824"/>
  <c r="R825"/>
  <c r="R826"/>
  <c r="R827"/>
  <c r="R828"/>
  <c r="R829"/>
  <c r="R830"/>
  <c r="R831"/>
  <c r="R832"/>
  <c r="R833"/>
  <c r="R834"/>
  <c r="R835"/>
  <c r="R836"/>
  <c r="R837"/>
  <c r="R838"/>
  <c r="R839"/>
  <c r="R840"/>
  <c r="R841"/>
  <c r="R842"/>
  <c r="R843"/>
  <c r="R844"/>
  <c r="R845"/>
  <c r="R846"/>
  <c r="R847"/>
  <c r="R848"/>
  <c r="R849"/>
  <c r="R850"/>
  <c r="R851"/>
  <c r="R852"/>
  <c r="R853"/>
  <c r="R854"/>
  <c r="R855"/>
  <c r="R856"/>
  <c r="R857"/>
  <c r="R858"/>
  <c r="R859"/>
  <c r="R860"/>
  <c r="R861"/>
  <c r="R862"/>
  <c r="R863"/>
  <c r="R864"/>
  <c r="R865"/>
  <c r="R866"/>
  <c r="R867"/>
  <c r="R868"/>
  <c r="R869"/>
  <c r="R870"/>
  <c r="R871"/>
  <c r="R872"/>
  <c r="R873"/>
  <c r="R874"/>
  <c r="R875"/>
  <c r="R876"/>
  <c r="R877"/>
  <c r="R878"/>
  <c r="R879"/>
  <c r="R880"/>
  <c r="R881"/>
  <c r="R882"/>
  <c r="R883"/>
  <c r="R884"/>
  <c r="R885"/>
  <c r="R886"/>
  <c r="R887"/>
  <c r="R888"/>
  <c r="R889"/>
  <c r="R890"/>
  <c r="R891"/>
  <c r="R892"/>
  <c r="R893"/>
  <c r="R894"/>
  <c r="R895"/>
  <c r="R896"/>
  <c r="R897"/>
  <c r="R898"/>
  <c r="R899"/>
  <c r="R900"/>
  <c r="R901"/>
  <c r="R902"/>
  <c r="R903"/>
  <c r="R904"/>
  <c r="R905"/>
  <c r="R906"/>
  <c r="R907"/>
  <c r="R908"/>
  <c r="R909"/>
  <c r="R910"/>
  <c r="R911"/>
  <c r="R912"/>
  <c r="R913"/>
  <c r="R914"/>
  <c r="R915"/>
  <c r="R916"/>
  <c r="R917"/>
  <c r="R918"/>
  <c r="R919"/>
  <c r="R920"/>
  <c r="R921"/>
  <c r="R922"/>
  <c r="R923"/>
  <c r="R924"/>
  <c r="R925"/>
  <c r="R926"/>
  <c r="R927"/>
  <c r="R928"/>
  <c r="R929"/>
  <c r="R930"/>
  <c r="R931"/>
  <c r="R932"/>
  <c r="R933"/>
  <c r="R934"/>
  <c r="R935"/>
  <c r="R936"/>
  <c r="R937"/>
  <c r="R938"/>
  <c r="R939"/>
  <c r="R940"/>
  <c r="R941"/>
  <c r="R942"/>
  <c r="R943"/>
  <c r="R944"/>
  <c r="R945"/>
  <c r="R946"/>
  <c r="R947"/>
  <c r="R948"/>
  <c r="R949"/>
  <c r="R950"/>
  <c r="R951"/>
  <c r="R952"/>
  <c r="R953"/>
  <c r="R954"/>
  <c r="R955"/>
  <c r="R956"/>
  <c r="R957"/>
  <c r="R958"/>
  <c r="R959"/>
  <c r="R960"/>
  <c r="R961"/>
  <c r="R962"/>
  <c r="R963"/>
  <c r="R964"/>
  <c r="R965"/>
  <c r="R966"/>
  <c r="R967"/>
  <c r="R968"/>
  <c r="R969"/>
  <c r="R970"/>
  <c r="R971"/>
  <c r="R972"/>
  <c r="R973"/>
  <c r="R974"/>
  <c r="R975"/>
  <c r="R976"/>
  <c r="R977"/>
  <c r="R978"/>
  <c r="R979"/>
  <c r="R980"/>
  <c r="R981"/>
  <c r="R982"/>
  <c r="R983"/>
  <c r="R984"/>
  <c r="R985"/>
  <c r="R986"/>
  <c r="R987"/>
  <c r="R988"/>
  <c r="R989"/>
  <c r="R990"/>
  <c r="R991"/>
  <c r="R992"/>
  <c r="R993"/>
  <c r="R994"/>
  <c r="R995"/>
  <c r="R996"/>
  <c r="R997"/>
  <c r="R998"/>
  <c r="R999"/>
  <c r="R1000"/>
  <c r="R1001"/>
  <c r="R1002"/>
  <c r="R1003"/>
  <c r="R1004"/>
  <c r="R1005"/>
  <c r="R1006"/>
  <c r="R1007"/>
  <c r="R1008"/>
  <c r="R1009"/>
  <c r="R1010"/>
  <c r="R1011"/>
  <c r="R1012"/>
  <c r="R1013"/>
  <c r="R1014"/>
  <c r="R1015"/>
  <c r="R1016"/>
  <c r="R1017"/>
  <c r="R1018"/>
  <c r="R1019"/>
  <c r="R1020"/>
  <c r="R1021"/>
  <c r="R1022"/>
  <c r="R1023"/>
  <c r="R1024"/>
  <c r="R1025"/>
  <c r="R1026"/>
  <c r="R1027"/>
  <c r="R1028"/>
  <c r="R1029"/>
  <c r="R1030"/>
  <c r="R1031"/>
  <c r="R1032"/>
  <c r="R1033"/>
  <c r="R1034"/>
  <c r="R1035"/>
  <c r="R1036"/>
  <c r="R1037"/>
  <c r="R1038"/>
  <c r="R1039"/>
  <c r="R1040"/>
  <c r="R1041"/>
  <c r="R1042"/>
  <c r="R1043"/>
  <c r="R1044"/>
  <c r="R1045"/>
  <c r="R1046"/>
  <c r="R1047"/>
  <c r="R1048"/>
  <c r="R1049"/>
  <c r="R1050"/>
  <c r="R1051"/>
  <c r="R1052"/>
  <c r="R1053"/>
  <c r="R1054"/>
  <c r="R1055"/>
  <c r="R1056"/>
  <c r="R1057"/>
  <c r="R1058"/>
  <c r="R1059"/>
  <c r="R1060"/>
  <c r="R1061"/>
  <c r="R1062"/>
  <c r="R1063"/>
  <c r="R1064"/>
  <c r="R1065"/>
  <c r="R1066"/>
  <c r="R1067"/>
  <c r="R1068"/>
  <c r="R1069"/>
  <c r="R1070"/>
  <c r="R1071"/>
  <c r="R1072"/>
  <c r="R1073"/>
  <c r="R1074"/>
  <c r="R1075"/>
  <c r="R1076"/>
  <c r="R1077"/>
  <c r="R1078"/>
  <c r="R1079"/>
  <c r="R1080"/>
  <c r="R1081"/>
  <c r="R1082"/>
  <c r="R1083"/>
  <c r="R1084"/>
  <c r="R1085"/>
  <c r="R1086"/>
  <c r="R1087"/>
  <c r="R1088"/>
  <c r="R1089"/>
  <c r="R1090"/>
  <c r="R1091"/>
  <c r="R1092"/>
  <c r="R1093"/>
  <c r="R1094"/>
  <c r="R1095"/>
  <c r="R1096"/>
  <c r="R1097"/>
  <c r="R1098"/>
  <c r="R1099"/>
  <c r="R1100"/>
  <c r="R1101"/>
  <c r="R1102"/>
  <c r="R1103"/>
  <c r="R1104"/>
  <c r="R1105"/>
  <c r="R1106"/>
  <c r="R1107"/>
  <c r="R1108"/>
  <c r="R1109"/>
  <c r="R1110"/>
  <c r="R1111"/>
  <c r="R1112"/>
  <c r="R1113"/>
  <c r="R1114"/>
  <c r="R1115"/>
  <c r="R1116"/>
  <c r="R1117"/>
  <c r="R1118"/>
  <c r="R1119"/>
  <c r="R1120"/>
  <c r="R1121"/>
  <c r="R1122"/>
  <c r="R1123"/>
  <c r="R1124"/>
  <c r="R1125"/>
  <c r="R1126"/>
  <c r="R1127"/>
  <c r="R1128"/>
  <c r="R1129"/>
  <c r="R1130"/>
  <c r="R1131"/>
  <c r="R1132"/>
  <c r="R1133"/>
  <c r="R1134"/>
  <c r="R1135"/>
  <c r="R1136"/>
  <c r="R1137"/>
  <c r="R1138"/>
  <c r="R1139"/>
  <c r="R1140"/>
  <c r="R1141"/>
  <c r="R1142"/>
  <c r="R1143"/>
  <c r="R1144"/>
  <c r="R1145"/>
  <c r="R1146"/>
  <c r="R1147"/>
  <c r="R1148"/>
  <c r="R1149"/>
  <c r="R1150"/>
  <c r="R1151"/>
  <c r="R1152"/>
  <c r="R1153"/>
  <c r="R1154"/>
  <c r="R1155"/>
  <c r="R1156"/>
  <c r="R1157"/>
  <c r="R1158"/>
  <c r="R1159"/>
  <c r="R1160"/>
  <c r="R1161"/>
  <c r="R1162"/>
  <c r="R1163"/>
  <c r="R1164"/>
  <c r="R1165"/>
  <c r="R1166"/>
  <c r="R1167"/>
  <c r="R1168"/>
  <c r="R1169"/>
  <c r="R1170"/>
  <c r="R1171"/>
  <c r="R1172"/>
  <c r="R1173"/>
  <c r="R1174"/>
  <c r="R1175"/>
  <c r="R1176"/>
  <c r="R1177"/>
  <c r="R1178"/>
  <c r="R1179"/>
  <c r="R1180"/>
  <c r="R1181"/>
  <c r="R1182"/>
  <c r="R1183"/>
  <c r="R1184"/>
  <c r="R1185"/>
  <c r="R1186"/>
  <c r="R1187"/>
  <c r="R1188"/>
  <c r="R1189"/>
  <c r="R1190"/>
  <c r="R1191"/>
  <c r="R1192"/>
  <c r="R1193"/>
  <c r="R1194"/>
  <c r="R1195"/>
  <c r="R1196"/>
  <c r="R1197"/>
  <c r="R1198"/>
  <c r="R1199"/>
  <c r="R1200"/>
  <c r="R1201"/>
  <c r="R1202"/>
  <c r="R1203"/>
  <c r="R1204"/>
  <c r="R1205"/>
  <c r="R1206"/>
  <c r="R1207"/>
  <c r="R1208"/>
  <c r="R1209"/>
  <c r="R1210"/>
  <c r="R1211"/>
  <c r="R1212"/>
  <c r="R1213"/>
  <c r="R1214"/>
  <c r="R1215"/>
  <c r="R1216"/>
  <c r="R1217"/>
  <c r="R1218"/>
  <c r="R1219"/>
  <c r="R1220"/>
  <c r="R1221"/>
  <c r="R1222"/>
  <c r="R1223"/>
  <c r="R1224"/>
  <c r="R1225"/>
  <c r="R1226"/>
  <c r="R1227"/>
  <c r="R1228"/>
  <c r="R1229"/>
  <c r="R1230"/>
  <c r="R1231"/>
  <c r="R1232"/>
  <c r="R1233"/>
  <c r="R1234"/>
  <c r="R1235"/>
  <c r="R1236"/>
  <c r="R1237"/>
  <c r="R1238"/>
  <c r="R1239"/>
  <c r="R1240"/>
  <c r="R1241"/>
  <c r="R1242"/>
  <c r="R1243"/>
  <c r="R1244"/>
  <c r="R1245"/>
  <c r="R1246"/>
  <c r="R1247"/>
  <c r="R1248"/>
  <c r="R1249"/>
  <c r="R1250"/>
  <c r="R1251"/>
  <c r="R1252"/>
  <c r="R1253"/>
  <c r="R1254"/>
  <c r="R1255"/>
  <c r="R1256"/>
  <c r="R1257"/>
  <c r="R1258"/>
  <c r="R1259"/>
  <c r="R1260"/>
  <c r="R1261"/>
  <c r="R1262"/>
  <c r="R1263"/>
  <c r="R1264"/>
  <c r="R1265"/>
  <c r="R1266"/>
  <c r="R1267"/>
  <c r="R1268"/>
  <c r="R1269"/>
  <c r="R1270"/>
  <c r="R1271"/>
  <c r="R1272"/>
  <c r="R1273"/>
  <c r="R1274"/>
  <c r="R1275"/>
  <c r="R1276"/>
  <c r="R1277"/>
  <c r="R1278"/>
  <c r="R1279"/>
  <c r="R1280"/>
  <c r="R1281"/>
  <c r="R1282"/>
  <c r="R1283"/>
  <c r="R1284"/>
  <c r="R1285"/>
  <c r="R1286"/>
  <c r="R1287"/>
  <c r="R1288"/>
  <c r="R1289"/>
  <c r="R1290"/>
  <c r="R1291"/>
  <c r="R1292"/>
  <c r="R1293"/>
  <c r="R1294"/>
  <c r="R1295"/>
  <c r="R1296"/>
  <c r="R1297"/>
  <c r="R1298"/>
  <c r="R1299"/>
  <c r="R1300"/>
  <c r="R1301"/>
  <c r="R1302"/>
  <c r="R1303"/>
  <c r="R1304"/>
  <c r="R1305"/>
  <c r="R1306"/>
  <c r="R1307"/>
  <c r="R1308"/>
  <c r="R1309"/>
  <c r="R1310"/>
  <c r="R1311"/>
  <c r="R1312"/>
  <c r="R1313"/>
  <c r="R1314"/>
  <c r="R1315"/>
  <c r="R1316"/>
  <c r="R1317"/>
  <c r="R1318"/>
  <c r="R1319"/>
  <c r="R1320"/>
  <c r="R1321"/>
  <c r="R1322"/>
  <c r="R1323"/>
  <c r="R1324"/>
  <c r="R1325"/>
  <c r="R1326"/>
  <c r="R1327"/>
  <c r="R1328"/>
  <c r="R1329"/>
  <c r="R1330"/>
  <c r="R1331"/>
  <c r="R1332"/>
  <c r="R1333"/>
  <c r="R1334"/>
  <c r="R1335"/>
  <c r="R1336"/>
  <c r="R1337"/>
  <c r="R1338"/>
  <c r="R1339"/>
  <c r="R1340"/>
  <c r="R1341"/>
  <c r="R1342"/>
  <c r="R1343"/>
  <c r="R1344"/>
  <c r="R1345"/>
  <c r="R1346"/>
  <c r="R1347"/>
  <c r="R1348"/>
  <c r="R1349"/>
  <c r="R1350"/>
  <c r="R1351"/>
  <c r="R1352"/>
  <c r="R1353"/>
  <c r="R1354"/>
  <c r="R1355"/>
  <c r="R1356"/>
  <c r="R1357"/>
  <c r="R1358"/>
  <c r="R1359"/>
  <c r="R1360"/>
  <c r="R1361"/>
  <c r="R1362"/>
  <c r="R1363"/>
  <c r="R1364"/>
  <c r="R1365"/>
  <c r="R1366"/>
  <c r="R1367"/>
  <c r="R1368"/>
  <c r="R1369"/>
  <c r="R1370"/>
  <c r="R1371"/>
  <c r="R1372"/>
  <c r="R1373"/>
  <c r="R1374"/>
  <c r="R1375"/>
  <c r="R1376"/>
  <c r="R1377"/>
  <c r="R1378"/>
  <c r="R1379"/>
  <c r="R1380"/>
  <c r="R1381"/>
  <c r="R1382"/>
  <c r="R1383"/>
  <c r="R1384"/>
  <c r="R1385"/>
  <c r="R1386"/>
  <c r="R1387"/>
  <c r="R1388"/>
  <c r="R1389"/>
  <c r="R1390"/>
  <c r="R1391"/>
  <c r="R1392"/>
  <c r="R1393"/>
  <c r="R1394"/>
  <c r="R1395"/>
  <c r="R1396"/>
  <c r="R1397"/>
  <c r="R1398"/>
  <c r="R1399"/>
  <c r="R1400"/>
  <c r="R1401"/>
  <c r="R1402"/>
  <c r="R1403"/>
  <c r="R1404"/>
  <c r="R1405"/>
  <c r="R1406"/>
  <c r="R1407"/>
  <c r="R1408"/>
  <c r="R1409"/>
  <c r="R1410"/>
  <c r="R1411"/>
  <c r="R1412"/>
  <c r="R1413"/>
  <c r="R1414"/>
  <c r="R1415"/>
  <c r="R1416"/>
  <c r="R1417"/>
  <c r="R1418"/>
  <c r="R1419"/>
  <c r="R1420"/>
  <c r="R1421"/>
  <c r="R1422"/>
  <c r="R1423"/>
  <c r="R1424"/>
  <c r="R1425"/>
  <c r="R1426"/>
  <c r="R1427"/>
  <c r="R1428"/>
  <c r="R1429"/>
  <c r="R1430"/>
  <c r="R1431"/>
  <c r="R1432"/>
  <c r="R1433"/>
  <c r="R1434"/>
  <c r="R1435"/>
  <c r="R1436"/>
  <c r="R1437"/>
  <c r="R1438"/>
  <c r="R1439"/>
  <c r="R1440"/>
  <c r="R1441"/>
  <c r="R1442"/>
  <c r="R1443"/>
  <c r="R1444"/>
  <c r="R1445"/>
  <c r="R1446"/>
  <c r="R1447"/>
  <c r="R1448"/>
  <c r="R1449"/>
  <c r="R1450"/>
  <c r="R1451"/>
  <c r="R1452"/>
  <c r="R1453"/>
  <c r="R1454"/>
  <c r="R1455"/>
  <c r="R1456"/>
  <c r="R1457"/>
  <c r="R1458"/>
  <c r="R1459"/>
  <c r="R1460"/>
  <c r="R1461"/>
  <c r="R1462"/>
  <c r="R1463"/>
  <c r="R1464"/>
  <c r="R1465"/>
  <c r="R1466"/>
  <c r="R1467"/>
  <c r="R1468"/>
  <c r="R1469"/>
  <c r="R1470"/>
  <c r="R1471"/>
  <c r="R1472"/>
  <c r="R1473"/>
  <c r="R1474"/>
  <c r="R1475"/>
  <c r="R1476"/>
  <c r="R1477"/>
  <c r="R1478"/>
  <c r="R1479"/>
  <c r="R1480"/>
  <c r="R1481"/>
  <c r="R1482"/>
  <c r="R1483"/>
  <c r="R1484"/>
  <c r="R1485"/>
  <c r="R1486"/>
  <c r="R1487"/>
  <c r="R1488"/>
  <c r="R1489"/>
  <c r="R1490"/>
  <c r="R1491"/>
  <c r="R1492"/>
  <c r="R1493"/>
  <c r="R1494"/>
  <c r="R1495"/>
  <c r="R1496"/>
  <c r="R1497"/>
  <c r="R1498"/>
  <c r="R1499"/>
  <c r="R1500"/>
  <c r="R1501"/>
  <c r="R1502"/>
  <c r="R1503"/>
  <c r="R1504"/>
  <c r="R1505"/>
  <c r="R1506"/>
  <c r="R1507"/>
  <c r="R1508"/>
  <c r="R1509"/>
  <c r="R1510"/>
  <c r="R1511"/>
  <c r="R1512"/>
  <c r="R1513"/>
  <c r="R1514"/>
  <c r="R1515"/>
  <c r="R1516"/>
  <c r="R1517"/>
  <c r="R1518"/>
  <c r="R1519"/>
  <c r="R1520"/>
  <c r="R1521"/>
  <c r="R1522"/>
  <c r="R1523"/>
  <c r="R1524"/>
  <c r="R1525"/>
  <c r="R1526"/>
  <c r="R1527"/>
  <c r="R1528"/>
  <c r="R1529"/>
  <c r="R1530"/>
  <c r="R1531"/>
  <c r="R1532"/>
  <c r="R1533"/>
  <c r="R1534"/>
  <c r="R1535"/>
  <c r="R1536"/>
  <c r="R1537"/>
  <c r="R1538"/>
  <c r="R1539"/>
  <c r="R1540"/>
  <c r="R1541"/>
  <c r="R1542"/>
  <c r="R1543"/>
  <c r="R1544"/>
  <c r="R1545"/>
  <c r="R1546"/>
  <c r="R1547"/>
  <c r="R1548"/>
  <c r="R1549"/>
  <c r="R1550"/>
  <c r="R1551"/>
  <c r="R1552"/>
  <c r="R1553"/>
  <c r="R1554"/>
  <c r="R1555"/>
  <c r="R1556"/>
  <c r="R1557"/>
  <c r="R1558"/>
  <c r="R1559"/>
  <c r="R1560"/>
  <c r="R1561"/>
  <c r="R1562"/>
  <c r="R1563"/>
  <c r="R1564"/>
  <c r="R1565"/>
  <c r="R1566"/>
  <c r="R1567"/>
  <c r="R1568"/>
  <c r="R1569"/>
  <c r="R1570"/>
  <c r="R1571"/>
  <c r="R1572"/>
  <c r="R1573"/>
  <c r="R1574"/>
  <c r="R1575"/>
  <c r="R1576"/>
  <c r="R1577"/>
  <c r="R1578"/>
  <c r="R1579"/>
  <c r="R1580"/>
  <c r="R1581"/>
  <c r="R1582"/>
  <c r="R1583"/>
  <c r="R1584"/>
  <c r="R1585"/>
  <c r="R1586"/>
  <c r="R1587"/>
  <c r="R1588"/>
  <c r="R1589"/>
  <c r="R1590"/>
  <c r="R1591"/>
  <c r="R1592"/>
  <c r="R1593"/>
  <c r="R1594"/>
  <c r="R1595"/>
  <c r="R1596"/>
  <c r="R1597"/>
  <c r="R1598"/>
  <c r="R1599"/>
  <c r="R1600"/>
  <c r="R1601"/>
  <c r="R1602"/>
  <c r="R1603"/>
  <c r="R1604"/>
  <c r="R1605"/>
  <c r="R1606"/>
  <c r="R1607"/>
  <c r="R1608"/>
  <c r="R1609"/>
  <c r="R1610"/>
  <c r="R1611"/>
  <c r="R1612"/>
  <c r="R1613"/>
  <c r="R1614"/>
  <c r="R1615"/>
  <c r="R1616"/>
  <c r="R1617"/>
  <c r="R1618"/>
  <c r="R1619"/>
  <c r="R1620"/>
  <c r="R1621"/>
  <c r="R1622"/>
  <c r="R1623"/>
  <c r="R1624"/>
  <c r="R1625"/>
  <c r="R1626"/>
  <c r="R1627"/>
  <c r="R1628"/>
  <c r="R1629"/>
  <c r="R1630"/>
  <c r="R1631"/>
  <c r="R1632"/>
  <c r="R1633"/>
  <c r="R1634"/>
  <c r="R1635"/>
  <c r="R1636"/>
  <c r="R1637"/>
  <c r="R1638"/>
  <c r="R1639"/>
  <c r="R1640"/>
  <c r="R1641"/>
  <c r="R1642"/>
  <c r="R1643"/>
  <c r="R1644"/>
  <c r="R1645"/>
  <c r="R1646"/>
  <c r="R1647"/>
  <c r="R1648"/>
  <c r="R1649"/>
  <c r="R1650"/>
  <c r="R1651"/>
  <c r="R1652"/>
  <c r="R1653"/>
  <c r="R1654"/>
  <c r="R1655"/>
  <c r="R1656"/>
  <c r="R1657"/>
  <c r="R1658"/>
  <c r="R1659"/>
  <c r="R1660"/>
  <c r="R1661"/>
  <c r="R1662"/>
  <c r="R1663"/>
  <c r="R1664"/>
  <c r="R1665"/>
  <c r="R1666"/>
  <c r="R1667"/>
  <c r="R1668"/>
  <c r="R1669"/>
  <c r="R1670"/>
  <c r="R1671"/>
  <c r="R1672"/>
  <c r="R1673"/>
  <c r="R1674"/>
  <c r="R1675"/>
  <c r="R1676"/>
  <c r="R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"/>
  <c r="AB114" i="7"/>
  <c r="AB7"/>
  <c r="J55" i="31"/>
  <c r="M55"/>
  <c r="N55"/>
  <c r="J54"/>
  <c r="N54"/>
  <c r="M54"/>
  <c r="AB156" i="7"/>
  <c r="AB22"/>
  <c r="B90"/>
  <c r="C90" s="1"/>
  <c r="B91"/>
  <c r="C91" s="1"/>
  <c r="Z579"/>
  <c r="AA579"/>
  <c r="Z580"/>
  <c r="AA580"/>
  <c r="Z581"/>
  <c r="AA581"/>
  <c r="Z582"/>
  <c r="AA582"/>
  <c r="Z583"/>
  <c r="AA583"/>
  <c r="Z584"/>
  <c r="AA584"/>
  <c r="Z585"/>
  <c r="AA585"/>
  <c r="Z586"/>
  <c r="AA586"/>
  <c r="Z587"/>
  <c r="AA587"/>
  <c r="Z588"/>
  <c r="AA588"/>
  <c r="Z589"/>
  <c r="AA589"/>
  <c r="Z590"/>
  <c r="AA590"/>
  <c r="Z591"/>
  <c r="AA591"/>
  <c r="Z592"/>
  <c r="AA592"/>
  <c r="Z593"/>
  <c r="AA593"/>
  <c r="Z594"/>
  <c r="AA594"/>
  <c r="Z595"/>
  <c r="AA595"/>
  <c r="Z596"/>
  <c r="AA596"/>
  <c r="Z597"/>
  <c r="AA597"/>
  <c r="Z598"/>
  <c r="AA598"/>
  <c r="Z599"/>
  <c r="AA599"/>
  <c r="Z600"/>
  <c r="AA600"/>
  <c r="Z601"/>
  <c r="AA601"/>
  <c r="Z602"/>
  <c r="AA602"/>
  <c r="Z603"/>
  <c r="AA603"/>
  <c r="Z604"/>
  <c r="AA604"/>
  <c r="Z605"/>
  <c r="AA605"/>
  <c r="Z606"/>
  <c r="AA606"/>
  <c r="Z607"/>
  <c r="AA607"/>
  <c r="Z608"/>
  <c r="AA608"/>
  <c r="Z609"/>
  <c r="AA609"/>
  <c r="Z610"/>
  <c r="AA610"/>
  <c r="Z611"/>
  <c r="AA611"/>
  <c r="Z612"/>
  <c r="AA612"/>
  <c r="Z613"/>
  <c r="AA613"/>
  <c r="Z614"/>
  <c r="AA614"/>
  <c r="Z615"/>
  <c r="AA615"/>
  <c r="Z616"/>
  <c r="AA616"/>
  <c r="Z617"/>
  <c r="AA617"/>
  <c r="Z618"/>
  <c r="AA618"/>
  <c r="Z619"/>
  <c r="AA619"/>
  <c r="Z620"/>
  <c r="AA620"/>
  <c r="Z621"/>
  <c r="AA621"/>
  <c r="Z622"/>
  <c r="AA622"/>
  <c r="Z623"/>
  <c r="AA623"/>
  <c r="Z624"/>
  <c r="AA624"/>
  <c r="Z625"/>
  <c r="AA625"/>
  <c r="Z626"/>
  <c r="AA626"/>
  <c r="Z627"/>
  <c r="AA627"/>
  <c r="Z628"/>
  <c r="AA628"/>
  <c r="Z629"/>
  <c r="AA629"/>
  <c r="Z630"/>
  <c r="AA630"/>
  <c r="Z631"/>
  <c r="AA631"/>
  <c r="Z632"/>
  <c r="AA632"/>
  <c r="Z633"/>
  <c r="AA633"/>
  <c r="Z634"/>
  <c r="AA634"/>
  <c r="Z635"/>
  <c r="AA635"/>
  <c r="Z636"/>
  <c r="AA636"/>
  <c r="Z637"/>
  <c r="AA637"/>
  <c r="Z638"/>
  <c r="AA638"/>
  <c r="Z639"/>
  <c r="AA639"/>
  <c r="Z640"/>
  <c r="AA640"/>
  <c r="Z641"/>
  <c r="AA641"/>
  <c r="Z642"/>
  <c r="AA642"/>
  <c r="Z643"/>
  <c r="AA643"/>
  <c r="Z644"/>
  <c r="AA644"/>
  <c r="Z645"/>
  <c r="AA645"/>
  <c r="Z646"/>
  <c r="AA646"/>
  <c r="Z647"/>
  <c r="AA647"/>
  <c r="Z648"/>
  <c r="AA648"/>
  <c r="Z649"/>
  <c r="AA649"/>
  <c r="Z650"/>
  <c r="AA650"/>
  <c r="Z651"/>
  <c r="AA651"/>
  <c r="Z652"/>
  <c r="AA652"/>
  <c r="Z653"/>
  <c r="AA653"/>
  <c r="Z654"/>
  <c r="AA654"/>
  <c r="Z655"/>
  <c r="AA655"/>
  <c r="Z656"/>
  <c r="AA656"/>
  <c r="Z657"/>
  <c r="AA657"/>
  <c r="Z658"/>
  <c r="AA658"/>
  <c r="Z659"/>
  <c r="AA659"/>
  <c r="Z660"/>
  <c r="AA660"/>
  <c r="Z661"/>
  <c r="AA661"/>
  <c r="Z662"/>
  <c r="AA662"/>
  <c r="Z663"/>
  <c r="AA663"/>
  <c r="Z664"/>
  <c r="AA664"/>
  <c r="Z665"/>
  <c r="AA665"/>
  <c r="Z666"/>
  <c r="AA666"/>
  <c r="Z667"/>
  <c r="AA667"/>
  <c r="Z668"/>
  <c r="AA668"/>
  <c r="Z669"/>
  <c r="AA669"/>
  <c r="Z670"/>
  <c r="AA670"/>
  <c r="Z671"/>
  <c r="AA671"/>
  <c r="Z672"/>
  <c r="AA672"/>
  <c r="Z673"/>
  <c r="AA673"/>
  <c r="Z674"/>
  <c r="AA674"/>
  <c r="Z675"/>
  <c r="AA675"/>
  <c r="Z676"/>
  <c r="AA676"/>
  <c r="Z677"/>
  <c r="AA677"/>
  <c r="Z678"/>
  <c r="AA678"/>
  <c r="Z679"/>
  <c r="AA679"/>
  <c r="Z680"/>
  <c r="AA680"/>
  <c r="Z681"/>
  <c r="AA681"/>
  <c r="Z682"/>
  <c r="AA682"/>
  <c r="Z683"/>
  <c r="AA683"/>
  <c r="Z684"/>
  <c r="AA684"/>
  <c r="Z685"/>
  <c r="AA685"/>
  <c r="Z686"/>
  <c r="AA686"/>
  <c r="Z687"/>
  <c r="AA687"/>
  <c r="Z688"/>
  <c r="AA688"/>
  <c r="Z689"/>
  <c r="AA689"/>
  <c r="Z690"/>
  <c r="AA690"/>
  <c r="Z691"/>
  <c r="AA691"/>
  <c r="Z692"/>
  <c r="AA692"/>
  <c r="Z693"/>
  <c r="AA693"/>
  <c r="Z694"/>
  <c r="AA694"/>
  <c r="Z695"/>
  <c r="AA695"/>
  <c r="Z696"/>
  <c r="AA696"/>
  <c r="Z697"/>
  <c r="AA697"/>
  <c r="Z698"/>
  <c r="AA698"/>
  <c r="Z699"/>
  <c r="AA699"/>
  <c r="Z700"/>
  <c r="AA700"/>
  <c r="Z701"/>
  <c r="AA701"/>
  <c r="Z702"/>
  <c r="AA702"/>
  <c r="Z703"/>
  <c r="AA703"/>
  <c r="Z704"/>
  <c r="AA704"/>
  <c r="Z705"/>
  <c r="AA705"/>
  <c r="Z706"/>
  <c r="AA706"/>
  <c r="Z707"/>
  <c r="AA707"/>
  <c r="Z708"/>
  <c r="AA708"/>
  <c r="Z709"/>
  <c r="AA709"/>
  <c r="Z710"/>
  <c r="AA710"/>
  <c r="Z711"/>
  <c r="AA711"/>
  <c r="Z712"/>
  <c r="AA712"/>
  <c r="Z713"/>
  <c r="AA713"/>
  <c r="Z714"/>
  <c r="AA714"/>
  <c r="Z715"/>
  <c r="AA715"/>
  <c r="Z716"/>
  <c r="AA716"/>
  <c r="Z717"/>
  <c r="AA717"/>
  <c r="Z718"/>
  <c r="AA718"/>
  <c r="Z719"/>
  <c r="AA719"/>
  <c r="Z720"/>
  <c r="AA720"/>
  <c r="Z721"/>
  <c r="AA721"/>
  <c r="Z722"/>
  <c r="AA722"/>
  <c r="Z723"/>
  <c r="AA723"/>
  <c r="Z724"/>
  <c r="AA724"/>
  <c r="Z725"/>
  <c r="AA725"/>
  <c r="Z726"/>
  <c r="AA726"/>
  <c r="Z727"/>
  <c r="AA727"/>
  <c r="Z728"/>
  <c r="AA728"/>
  <c r="Z729"/>
  <c r="AA729"/>
  <c r="Z730"/>
  <c r="AA730"/>
  <c r="Z731"/>
  <c r="AA731"/>
  <c r="Z732"/>
  <c r="AA732"/>
  <c r="Z733"/>
  <c r="AA733"/>
  <c r="Z734"/>
  <c r="AA734"/>
  <c r="Z735"/>
  <c r="AA735"/>
  <c r="Z736"/>
  <c r="AA736"/>
  <c r="Z737"/>
  <c r="AA737"/>
  <c r="Z738"/>
  <c r="AA738"/>
  <c r="Z739"/>
  <c r="AA739"/>
  <c r="Z740"/>
  <c r="AA740"/>
  <c r="Z741"/>
  <c r="AA741"/>
  <c r="Z742"/>
  <c r="AA742"/>
  <c r="Z743"/>
  <c r="AA743"/>
  <c r="Z744"/>
  <c r="AA744"/>
  <c r="Z745"/>
  <c r="AA745"/>
  <c r="Z746"/>
  <c r="AA746"/>
  <c r="Z747"/>
  <c r="AA747"/>
  <c r="Z748"/>
  <c r="AA748"/>
  <c r="Z749"/>
  <c r="AA749"/>
  <c r="Z750"/>
  <c r="AA750"/>
  <c r="Z751"/>
  <c r="AA751"/>
  <c r="Z752"/>
  <c r="AA752"/>
  <c r="Z753"/>
  <c r="AA753"/>
  <c r="Z754"/>
  <c r="AA754"/>
  <c r="Z755"/>
  <c r="AA755"/>
  <c r="Z756"/>
  <c r="AA756"/>
  <c r="Z757"/>
  <c r="AA757"/>
  <c r="Z758"/>
  <c r="AA758"/>
  <c r="Z759"/>
  <c r="AA759"/>
  <c r="Z760"/>
  <c r="AA760"/>
  <c r="Z761"/>
  <c r="AA761"/>
  <c r="Z762"/>
  <c r="AA762"/>
  <c r="Z763"/>
  <c r="AA763"/>
  <c r="Z764"/>
  <c r="AA764"/>
  <c r="Z765"/>
  <c r="AA765"/>
  <c r="Z766"/>
  <c r="AA766"/>
  <c r="Z767"/>
  <c r="AA767"/>
  <c r="Z768"/>
  <c r="AA768"/>
  <c r="Z769"/>
  <c r="AA769"/>
  <c r="Z770"/>
  <c r="AA770"/>
  <c r="Z771"/>
  <c r="AA771"/>
  <c r="Z772"/>
  <c r="AA772"/>
  <c r="Z773"/>
  <c r="AA773"/>
  <c r="Z774"/>
  <c r="AA774"/>
  <c r="Z775"/>
  <c r="AA775"/>
  <c r="Z776"/>
  <c r="AA776"/>
  <c r="Z777"/>
  <c r="AA777"/>
  <c r="Z778"/>
  <c r="AA778"/>
  <c r="Z779"/>
  <c r="AA779"/>
  <c r="Z780"/>
  <c r="AA780"/>
  <c r="Z781"/>
  <c r="AA781"/>
  <c r="Z782"/>
  <c r="AA782"/>
  <c r="Z783"/>
  <c r="AA783"/>
  <c r="Z784"/>
  <c r="AA784"/>
  <c r="Z785"/>
  <c r="AA785"/>
  <c r="Z786"/>
  <c r="AA786"/>
  <c r="Z787"/>
  <c r="AA787"/>
  <c r="Z788"/>
  <c r="AA788"/>
  <c r="Z789"/>
  <c r="AA789"/>
  <c r="Z790"/>
  <c r="AA790"/>
  <c r="Z791"/>
  <c r="AA791"/>
  <c r="Z792"/>
  <c r="AA792"/>
  <c r="Z793"/>
  <c r="AA793"/>
  <c r="Z794"/>
  <c r="AA794"/>
  <c r="Z795"/>
  <c r="AA795"/>
  <c r="Z796"/>
  <c r="AA796"/>
  <c r="Z797"/>
  <c r="AA797"/>
  <c r="Z798"/>
  <c r="AA798"/>
  <c r="Z799"/>
  <c r="AA799"/>
  <c r="Z800"/>
  <c r="AA800"/>
  <c r="Z801"/>
  <c r="AA801"/>
  <c r="Z802"/>
  <c r="AA802"/>
  <c r="Z803"/>
  <c r="AA803"/>
  <c r="Z804"/>
  <c r="AA804"/>
  <c r="Z805"/>
  <c r="AA805"/>
  <c r="Z806"/>
  <c r="AA806"/>
  <c r="Z807"/>
  <c r="AA807"/>
  <c r="Z808"/>
  <c r="AA808"/>
  <c r="Z809"/>
  <c r="AA809"/>
  <c r="Z810"/>
  <c r="AA810"/>
  <c r="Z811"/>
  <c r="AA811"/>
  <c r="Z812"/>
  <c r="AA812"/>
  <c r="Z813"/>
  <c r="AA813"/>
  <c r="Z814"/>
  <c r="AA814"/>
  <c r="Z815"/>
  <c r="AA815"/>
  <c r="Z816"/>
  <c r="AA816"/>
  <c r="Z817"/>
  <c r="AA817"/>
  <c r="Z818"/>
  <c r="AA818"/>
  <c r="Z819"/>
  <c r="AA819"/>
  <c r="Z820"/>
  <c r="AA820"/>
  <c r="Z821"/>
  <c r="AA821"/>
  <c r="Z822"/>
  <c r="AA822"/>
  <c r="Z823"/>
  <c r="AA823"/>
  <c r="Z824"/>
  <c r="AA824"/>
  <c r="Z825"/>
  <c r="AA825"/>
  <c r="Z826"/>
  <c r="AA826"/>
  <c r="Z827"/>
  <c r="AA827"/>
  <c r="Z828"/>
  <c r="AA828"/>
  <c r="Z829"/>
  <c r="AA829"/>
  <c r="Z830"/>
  <c r="AA830"/>
  <c r="Z831"/>
  <c r="AA831"/>
  <c r="Z832"/>
  <c r="AA832"/>
  <c r="Z833"/>
  <c r="AA833"/>
  <c r="Z834"/>
  <c r="AA834"/>
  <c r="Z835"/>
  <c r="AA835"/>
  <c r="Z836"/>
  <c r="AA836"/>
  <c r="Z837"/>
  <c r="AA837"/>
  <c r="Z838"/>
  <c r="AA838"/>
  <c r="Z839"/>
  <c r="AA839"/>
  <c r="Z840"/>
  <c r="AA840"/>
  <c r="Z841"/>
  <c r="AA841"/>
  <c r="Z842"/>
  <c r="AA842"/>
  <c r="Z843"/>
  <c r="AA843"/>
  <c r="Z844"/>
  <c r="AA844"/>
  <c r="Z845"/>
  <c r="AA845"/>
  <c r="Z846"/>
  <c r="AA846"/>
  <c r="Z847"/>
  <c r="AA847"/>
  <c r="Z848"/>
  <c r="AA848"/>
  <c r="Z849"/>
  <c r="AA849"/>
  <c r="Z850"/>
  <c r="AA850"/>
  <c r="Z851"/>
  <c r="AA851"/>
  <c r="Z852"/>
  <c r="AA852"/>
  <c r="Z853"/>
  <c r="AA853"/>
  <c r="Z854"/>
  <c r="AA854"/>
  <c r="Z855"/>
  <c r="AA855"/>
  <c r="Z856"/>
  <c r="AA856"/>
  <c r="Z857"/>
  <c r="AA857"/>
  <c r="Z858"/>
  <c r="AA858"/>
  <c r="Z859"/>
  <c r="AA859"/>
  <c r="Z860"/>
  <c r="AA860"/>
  <c r="Z861"/>
  <c r="AA861"/>
  <c r="Z862"/>
  <c r="AA862"/>
  <c r="Z863"/>
  <c r="AA863"/>
  <c r="Z864"/>
  <c r="AA864"/>
  <c r="Z865"/>
  <c r="AA865"/>
  <c r="Z866"/>
  <c r="AA866"/>
  <c r="Z867"/>
  <c r="AA867"/>
  <c r="Z868"/>
  <c r="AA868"/>
  <c r="Z869"/>
  <c r="AA869"/>
  <c r="Z870"/>
  <c r="AA870"/>
  <c r="Z871"/>
  <c r="AA871"/>
  <c r="Z872"/>
  <c r="AA872"/>
  <c r="Z873"/>
  <c r="AA873"/>
  <c r="Z874"/>
  <c r="AA874"/>
  <c r="Z875"/>
  <c r="AA875"/>
  <c r="Z876"/>
  <c r="AA876"/>
  <c r="Z877"/>
  <c r="AA877"/>
  <c r="Z878"/>
  <c r="AA878"/>
  <c r="Z879"/>
  <c r="AA879"/>
  <c r="Z880"/>
  <c r="AA880"/>
  <c r="Z881"/>
  <c r="AA881"/>
  <c r="Z882"/>
  <c r="AA882"/>
  <c r="Z883"/>
  <c r="AA883"/>
  <c r="Z884"/>
  <c r="AA884"/>
  <c r="Z885"/>
  <c r="AA885"/>
  <c r="Z886"/>
  <c r="AA886"/>
  <c r="Z887"/>
  <c r="AA887"/>
  <c r="Z888"/>
  <c r="AA888"/>
  <c r="Z889"/>
  <c r="AA889"/>
  <c r="Z890"/>
  <c r="AA890"/>
  <c r="Z891"/>
  <c r="AA891"/>
  <c r="Z892"/>
  <c r="AA892"/>
  <c r="Z893"/>
  <c r="AA893"/>
  <c r="Z894"/>
  <c r="AA894"/>
  <c r="Z895"/>
  <c r="AA895"/>
  <c r="Z896"/>
  <c r="AA896"/>
  <c r="Z897"/>
  <c r="AA897"/>
  <c r="Z898"/>
  <c r="AA898"/>
  <c r="Z899"/>
  <c r="AA899"/>
  <c r="Z900"/>
  <c r="AA900"/>
  <c r="Z901"/>
  <c r="AA901"/>
  <c r="Z902"/>
  <c r="AA902"/>
  <c r="Z903"/>
  <c r="AA903"/>
  <c r="Z904"/>
  <c r="AA904"/>
  <c r="Z905"/>
  <c r="AA905"/>
  <c r="Z906"/>
  <c r="AA906"/>
  <c r="Z907"/>
  <c r="AA907"/>
  <c r="Z908"/>
  <c r="AA908"/>
  <c r="Z909"/>
  <c r="AA909"/>
  <c r="Z910"/>
  <c r="AA910"/>
  <c r="Z911"/>
  <c r="AA911"/>
  <c r="Z912"/>
  <c r="AA912"/>
  <c r="Z913"/>
  <c r="AA913"/>
  <c r="Z914"/>
  <c r="AA914"/>
  <c r="Z915"/>
  <c r="AA915"/>
  <c r="Z916"/>
  <c r="AA916"/>
  <c r="Z917"/>
  <c r="AA917"/>
  <c r="Z918"/>
  <c r="AA918"/>
  <c r="Z919"/>
  <c r="AA919"/>
  <c r="Z920"/>
  <c r="AA920"/>
  <c r="Z921"/>
  <c r="AA921"/>
  <c r="Z922"/>
  <c r="AA922"/>
  <c r="Z923"/>
  <c r="AA923"/>
  <c r="Z924"/>
  <c r="AA924"/>
  <c r="Z925"/>
  <c r="AA925"/>
  <c r="Z926"/>
  <c r="AA926"/>
  <c r="Z927"/>
  <c r="AA927"/>
  <c r="Z928"/>
  <c r="AA928"/>
  <c r="Z929"/>
  <c r="AA929"/>
  <c r="Z930"/>
  <c r="AA930"/>
  <c r="Z931"/>
  <c r="AA931"/>
  <c r="Z932"/>
  <c r="AA932"/>
  <c r="Z933"/>
  <c r="AA933"/>
  <c r="Z934"/>
  <c r="AA934"/>
  <c r="Z935"/>
  <c r="AA935"/>
  <c r="Z936"/>
  <c r="AA936"/>
  <c r="Z937"/>
  <c r="AA937"/>
  <c r="Z938"/>
  <c r="AA938"/>
  <c r="Z939"/>
  <c r="AA939"/>
  <c r="Z940"/>
  <c r="AA940"/>
  <c r="Z941"/>
  <c r="AA941"/>
  <c r="Z942"/>
  <c r="AA942"/>
  <c r="Z943"/>
  <c r="AA943"/>
  <c r="Z944"/>
  <c r="AA944"/>
  <c r="Z945"/>
  <c r="AA945"/>
  <c r="Z946"/>
  <c r="AA946"/>
  <c r="Z947"/>
  <c r="AA947"/>
  <c r="Z948"/>
  <c r="AA948"/>
  <c r="Z949"/>
  <c r="AA949"/>
  <c r="Z950"/>
  <c r="AA950"/>
  <c r="Z951"/>
  <c r="AA951"/>
  <c r="Z952"/>
  <c r="AA952"/>
  <c r="Z953"/>
  <c r="AA953"/>
  <c r="Z954"/>
  <c r="AA954"/>
  <c r="Z955"/>
  <c r="AA955"/>
  <c r="Z956"/>
  <c r="AA956"/>
  <c r="Z957"/>
  <c r="AA957"/>
  <c r="Z958"/>
  <c r="AA958"/>
  <c r="Z959"/>
  <c r="AA959"/>
  <c r="Z960"/>
  <c r="AA960"/>
  <c r="Z961"/>
  <c r="AA961"/>
  <c r="Z962"/>
  <c r="AA962"/>
  <c r="Z963"/>
  <c r="AA963"/>
  <c r="Z964"/>
  <c r="AA964"/>
  <c r="Z965"/>
  <c r="AA965"/>
  <c r="Z966"/>
  <c r="AA966"/>
  <c r="Z967"/>
  <c r="AA967"/>
  <c r="Z968"/>
  <c r="AA968"/>
  <c r="Z969"/>
  <c r="AA969"/>
  <c r="Z970"/>
  <c r="AA970"/>
  <c r="Z971"/>
  <c r="AA971"/>
  <c r="Z972"/>
  <c r="AA972"/>
  <c r="Z973"/>
  <c r="AA973"/>
  <c r="Z974"/>
  <c r="AA974"/>
  <c r="Z975"/>
  <c r="AA975"/>
  <c r="Z976"/>
  <c r="AA976"/>
  <c r="Z977"/>
  <c r="AA977"/>
  <c r="Z978"/>
  <c r="AA978"/>
  <c r="Z979"/>
  <c r="AA979"/>
  <c r="Z980"/>
  <c r="AA980"/>
  <c r="Z981"/>
  <c r="AA981"/>
  <c r="Z982"/>
  <c r="AA982"/>
  <c r="Z983"/>
  <c r="AA983"/>
  <c r="Z984"/>
  <c r="AA984"/>
  <c r="Z985"/>
  <c r="AA985"/>
  <c r="Z986"/>
  <c r="AA986"/>
  <c r="Z987"/>
  <c r="AA987"/>
  <c r="Z988"/>
  <c r="AA988"/>
  <c r="Z989"/>
  <c r="AA989"/>
  <c r="Z990"/>
  <c r="AA990"/>
  <c r="Z991"/>
  <c r="AA991"/>
  <c r="Z992"/>
  <c r="AA992"/>
  <c r="Z993"/>
  <c r="AA993"/>
  <c r="Z994"/>
  <c r="AA994"/>
  <c r="Z995"/>
  <c r="AA995"/>
  <c r="Z996"/>
  <c r="AA996"/>
  <c r="Z997"/>
  <c r="AA997"/>
  <c r="Z998"/>
  <c r="AA998"/>
  <c r="Z999"/>
  <c r="AA999"/>
  <c r="Z1000"/>
  <c r="AA1000"/>
  <c r="Z1001"/>
  <c r="AA1001"/>
  <c r="Z1002"/>
  <c r="AA1002"/>
  <c r="Z1003"/>
  <c r="AA1003"/>
  <c r="Z1004"/>
  <c r="AA1004"/>
  <c r="Z1005"/>
  <c r="AA1005"/>
  <c r="Z1006"/>
  <c r="AA1006"/>
  <c r="Z1007"/>
  <c r="AA1007"/>
  <c r="Z1008"/>
  <c r="AA1008"/>
  <c r="Z1009"/>
  <c r="AA1009"/>
  <c r="Z1010"/>
  <c r="AA1010"/>
  <c r="Z1011"/>
  <c r="AA1011"/>
  <c r="Z1012"/>
  <c r="AA1012"/>
  <c r="Z1013"/>
  <c r="AA1013"/>
  <c r="Z1014"/>
  <c r="AA1014"/>
  <c r="Z1015"/>
  <c r="AA1015"/>
  <c r="Z1016"/>
  <c r="AA1016"/>
  <c r="Z1017"/>
  <c r="AA1017"/>
  <c r="Z1018"/>
  <c r="AA1018"/>
  <c r="Z1019"/>
  <c r="AA1019"/>
  <c r="Z1020"/>
  <c r="AA1020"/>
  <c r="Z1021"/>
  <c r="AA1021"/>
  <c r="Z1022"/>
  <c r="AA1022"/>
  <c r="Z1023"/>
  <c r="AA1023"/>
  <c r="Z1024"/>
  <c r="AA1024"/>
  <c r="Z1025"/>
  <c r="AA1025"/>
  <c r="Z1026"/>
  <c r="AA1026"/>
  <c r="Z1027"/>
  <c r="AA1027"/>
  <c r="Z1028"/>
  <c r="AA1028"/>
  <c r="Z1029"/>
  <c r="AA1029"/>
  <c r="Z1030"/>
  <c r="AA1030"/>
  <c r="Z1031"/>
  <c r="AA1031"/>
  <c r="Z1032"/>
  <c r="AA1032"/>
  <c r="Z1033"/>
  <c r="AA1033"/>
  <c r="Z1034"/>
  <c r="AA1034"/>
  <c r="Z1035"/>
  <c r="AA1035"/>
  <c r="Z1036"/>
  <c r="AA1036"/>
  <c r="Z1037"/>
  <c r="AA1037"/>
  <c r="Z1038"/>
  <c r="AA1038"/>
  <c r="Z1039"/>
  <c r="AA1039"/>
  <c r="Z1040"/>
  <c r="AA1040"/>
  <c r="Z1041"/>
  <c r="AA1041"/>
  <c r="Z1042"/>
  <c r="AA1042"/>
  <c r="Z1043"/>
  <c r="AA1043"/>
  <c r="Z1044"/>
  <c r="AA1044"/>
  <c r="Z1045"/>
  <c r="AA1045"/>
  <c r="Z1046"/>
  <c r="AA1046"/>
  <c r="Z1047"/>
  <c r="AA1047"/>
  <c r="Z1048"/>
  <c r="AA1048"/>
  <c r="Z1049"/>
  <c r="AA1049"/>
  <c r="Z1050"/>
  <c r="AA1050"/>
  <c r="Z1051"/>
  <c r="AA1051"/>
  <c r="Z1052"/>
  <c r="AA1052"/>
  <c r="Z1053"/>
  <c r="AA1053"/>
  <c r="Z1054"/>
  <c r="AA1054"/>
  <c r="Z1055"/>
  <c r="AA1055"/>
  <c r="Z1056"/>
  <c r="AA1056"/>
  <c r="Z1057"/>
  <c r="AA1057"/>
  <c r="Z1058"/>
  <c r="AA1058"/>
  <c r="Z1059"/>
  <c r="AA1059"/>
  <c r="Z1060"/>
  <c r="AA1060"/>
  <c r="Z1061"/>
  <c r="AA1061"/>
  <c r="Z1062"/>
  <c r="AA1062"/>
  <c r="Z1063"/>
  <c r="AA1063"/>
  <c r="Z1064"/>
  <c r="AA1064"/>
  <c r="Z1065"/>
  <c r="AA1065"/>
  <c r="Z1066"/>
  <c r="AA1066"/>
  <c r="Z1067"/>
  <c r="AA1067"/>
  <c r="Z1068"/>
  <c r="AA1068"/>
  <c r="Z1069"/>
  <c r="AA1069"/>
  <c r="Z1070"/>
  <c r="AA1070"/>
  <c r="Z1071"/>
  <c r="AA1071"/>
  <c r="Z1072"/>
  <c r="AA1072"/>
  <c r="Z1073"/>
  <c r="AA1073"/>
  <c r="Z1074"/>
  <c r="AA1074"/>
  <c r="Z1075"/>
  <c r="AA1075"/>
  <c r="Z1076"/>
  <c r="AA1076"/>
  <c r="Z1077"/>
  <c r="AA1077"/>
  <c r="Z1078"/>
  <c r="AA1078"/>
  <c r="Z1079"/>
  <c r="AA1079"/>
  <c r="Z1080"/>
  <c r="AA1080"/>
  <c r="Z1081"/>
  <c r="AA1081"/>
  <c r="Z1082"/>
  <c r="AA1082"/>
  <c r="Z1083"/>
  <c r="AA1083"/>
  <c r="Z1084"/>
  <c r="AA1084"/>
  <c r="Z1085"/>
  <c r="AA1085"/>
  <c r="Z1086"/>
  <c r="AA1086"/>
  <c r="Z1087"/>
  <c r="AA1087"/>
  <c r="Z1088"/>
  <c r="AA1088"/>
  <c r="Z1089"/>
  <c r="AA1089"/>
  <c r="Z1090"/>
  <c r="AA1090"/>
  <c r="Z1091"/>
  <c r="AA1091"/>
  <c r="Z1092"/>
  <c r="AA1092"/>
  <c r="Z1093"/>
  <c r="AA1093"/>
  <c r="Z1094"/>
  <c r="AA1094"/>
  <c r="Z1095"/>
  <c r="AA1095"/>
  <c r="Z1096"/>
  <c r="AA1096"/>
  <c r="Z1097"/>
  <c r="AA1097"/>
  <c r="Z1098"/>
  <c r="AA1098"/>
  <c r="Z1099"/>
  <c r="AA1099"/>
  <c r="Z1100"/>
  <c r="AA1100"/>
  <c r="Z1101"/>
  <c r="AA1101"/>
  <c r="Z1102"/>
  <c r="AA1102"/>
  <c r="Z1103"/>
  <c r="AA1103"/>
  <c r="Z1104"/>
  <c r="AA1104"/>
  <c r="Z1105"/>
  <c r="AA1105"/>
  <c r="Z1106"/>
  <c r="AA1106"/>
  <c r="Z1107"/>
  <c r="AA1107"/>
  <c r="Z1108"/>
  <c r="AA1108"/>
  <c r="Z1109"/>
  <c r="AA1109"/>
  <c r="Z1110"/>
  <c r="AA1110"/>
  <c r="Z1111"/>
  <c r="AA1111"/>
  <c r="Z1112"/>
  <c r="AA1112"/>
  <c r="Z1113"/>
  <c r="AA1113"/>
  <c r="Z1114"/>
  <c r="AA1114"/>
  <c r="Z1115"/>
  <c r="AA1115"/>
  <c r="Z1116"/>
  <c r="AA1116"/>
  <c r="Z1117"/>
  <c r="AA1117"/>
  <c r="Z1118"/>
  <c r="AA1118"/>
  <c r="Z1119"/>
  <c r="AA1119"/>
  <c r="Z1120"/>
  <c r="AA1120"/>
  <c r="Z1121"/>
  <c r="AA1121"/>
  <c r="Z1122"/>
  <c r="AA1122"/>
  <c r="Z1123"/>
  <c r="AA1123"/>
  <c r="Z1124"/>
  <c r="AA1124"/>
  <c r="Z1125"/>
  <c r="AA1125"/>
  <c r="Z1126"/>
  <c r="AA1126"/>
  <c r="Z1127"/>
  <c r="AA1127"/>
  <c r="Z1128"/>
  <c r="AA1128"/>
  <c r="Z1129"/>
  <c r="AA1129"/>
  <c r="Z1130"/>
  <c r="AA1130"/>
  <c r="Z1131"/>
  <c r="AA1131"/>
  <c r="Z1132"/>
  <c r="AA1132"/>
  <c r="Z1133"/>
  <c r="AA1133"/>
  <c r="Z1134"/>
  <c r="AA1134"/>
  <c r="Z1135"/>
  <c r="AA1135"/>
  <c r="Z1136"/>
  <c r="AA1136"/>
  <c r="Z1137"/>
  <c r="AA1137"/>
  <c r="Z1138"/>
  <c r="AA1138"/>
  <c r="Z1139"/>
  <c r="AA1139"/>
  <c r="Z1140"/>
  <c r="AA1140"/>
  <c r="Z1141"/>
  <c r="AA1141"/>
  <c r="Z1142"/>
  <c r="AA1142"/>
  <c r="Z1143"/>
  <c r="AA1143"/>
  <c r="Z1144"/>
  <c r="AA1144"/>
  <c r="Z1145"/>
  <c r="AA1145"/>
  <c r="Z1146"/>
  <c r="AA1146"/>
  <c r="Z1147"/>
  <c r="AA1147"/>
  <c r="Z1148"/>
  <c r="AA1148"/>
  <c r="Z1149"/>
  <c r="AA1149"/>
  <c r="Z1150"/>
  <c r="AA1150"/>
  <c r="Z1151"/>
  <c r="AA1151"/>
  <c r="Z1152"/>
  <c r="AA1152"/>
  <c r="Z1153"/>
  <c r="AA1153"/>
  <c r="Z1154"/>
  <c r="AA1154"/>
  <c r="Z1155"/>
  <c r="AA1155"/>
  <c r="Z1156"/>
  <c r="AA1156"/>
  <c r="Z1157"/>
  <c r="AA1157"/>
  <c r="Z1158"/>
  <c r="AA1158"/>
  <c r="Z1159"/>
  <c r="AA1159"/>
  <c r="Z1160"/>
  <c r="AA1160"/>
  <c r="Z1161"/>
  <c r="AA1161"/>
  <c r="Z1162"/>
  <c r="AA1162"/>
  <c r="Z1163"/>
  <c r="AA1163"/>
  <c r="Z1164"/>
  <c r="AA1164"/>
  <c r="Z1165"/>
  <c r="AA1165"/>
  <c r="Z1166"/>
  <c r="AA1166"/>
  <c r="Z1167"/>
  <c r="AA1167"/>
  <c r="Z1168"/>
  <c r="AA1168"/>
  <c r="Z1169"/>
  <c r="AA1169"/>
  <c r="Z1170"/>
  <c r="AA1170"/>
  <c r="Z1171"/>
  <c r="AA1171"/>
  <c r="Z1172"/>
  <c r="AA1172"/>
  <c r="Z1173"/>
  <c r="AA1173"/>
  <c r="Z1174"/>
  <c r="AA1174"/>
  <c r="Z1175"/>
  <c r="AA1175"/>
  <c r="Z1176"/>
  <c r="AA1176"/>
  <c r="Z1177"/>
  <c r="AA1177"/>
  <c r="Z1178"/>
  <c r="AA1178"/>
  <c r="Z1179"/>
  <c r="AA1179"/>
  <c r="Z1180"/>
  <c r="AA1180"/>
  <c r="Z1181"/>
  <c r="AA1181"/>
  <c r="Z1182"/>
  <c r="AA1182"/>
  <c r="Z1183"/>
  <c r="AA1183"/>
  <c r="Z1184"/>
  <c r="AA1184"/>
  <c r="Z1185"/>
  <c r="AA1185"/>
  <c r="Z1186"/>
  <c r="AA1186"/>
  <c r="Z1187"/>
  <c r="AA1187"/>
  <c r="Z1188"/>
  <c r="AA1188"/>
  <c r="Z1189"/>
  <c r="AA1189"/>
  <c r="Z1190"/>
  <c r="AA1190"/>
  <c r="Z1191"/>
  <c r="AA1191"/>
  <c r="Z1192"/>
  <c r="AA1192"/>
  <c r="Z1193"/>
  <c r="AA1193"/>
  <c r="Z1194"/>
  <c r="AA1194"/>
  <c r="Z1195"/>
  <c r="AA1195"/>
  <c r="Z1196"/>
  <c r="AA1196"/>
  <c r="Z1197"/>
  <c r="AA1197"/>
  <c r="Z1198"/>
  <c r="AA1198"/>
  <c r="Z1199"/>
  <c r="AA1199"/>
  <c r="Z1200"/>
  <c r="AA1200"/>
  <c r="Z1201"/>
  <c r="AA1201"/>
  <c r="Z1202"/>
  <c r="AA1202"/>
  <c r="Z1203"/>
  <c r="AA1203"/>
  <c r="Z1204"/>
  <c r="AA1204"/>
  <c r="Z1205"/>
  <c r="AA1205"/>
  <c r="Z1206"/>
  <c r="AA1206"/>
  <c r="Z1207"/>
  <c r="AA1207"/>
  <c r="Z1208"/>
  <c r="AA1208"/>
  <c r="Z1209"/>
  <c r="AA1209"/>
  <c r="Z1210"/>
  <c r="AA1210"/>
  <c r="Z1211"/>
  <c r="AA1211"/>
  <c r="Z1212"/>
  <c r="AA1212"/>
  <c r="Z1213"/>
  <c r="AA1213"/>
  <c r="Z1214"/>
  <c r="AA1214"/>
  <c r="Z1215"/>
  <c r="AA1215"/>
  <c r="Z1216"/>
  <c r="AA1216"/>
  <c r="Z1217"/>
  <c r="AA1217"/>
  <c r="Z1218"/>
  <c r="AA1218"/>
  <c r="Z1219"/>
  <c r="AA1219"/>
  <c r="Z1220"/>
  <c r="AA1220"/>
  <c r="Z1221"/>
  <c r="AA1221"/>
  <c r="Z1222"/>
  <c r="AA1222"/>
  <c r="Z1223"/>
  <c r="AA1223"/>
  <c r="Z1224"/>
  <c r="AA1224"/>
  <c r="Z1225"/>
  <c r="AA1225"/>
  <c r="Z1226"/>
  <c r="AA1226"/>
  <c r="Z1227"/>
  <c r="AA1227"/>
  <c r="Z1228"/>
  <c r="AA1228"/>
  <c r="Z1229"/>
  <c r="AA1229"/>
  <c r="Z1230"/>
  <c r="AA1230"/>
  <c r="Z1231"/>
  <c r="AA1231"/>
  <c r="Z1232"/>
  <c r="AA1232"/>
  <c r="Z1233"/>
  <c r="AA1233"/>
  <c r="Z1234"/>
  <c r="AA1234"/>
  <c r="Z1235"/>
  <c r="AA1235"/>
  <c r="Z1236"/>
  <c r="AA1236"/>
  <c r="Z1237"/>
  <c r="AA1237"/>
  <c r="Z1238"/>
  <c r="AA1238"/>
  <c r="Z1239"/>
  <c r="AA1239"/>
  <c r="Z1240"/>
  <c r="AA1240"/>
  <c r="Z1241"/>
  <c r="AA1241"/>
  <c r="Z1242"/>
  <c r="AA1242"/>
  <c r="Z1243"/>
  <c r="AA1243"/>
  <c r="Z1244"/>
  <c r="AA1244"/>
  <c r="Z1245"/>
  <c r="AA1245"/>
  <c r="Z1246"/>
  <c r="AA1246"/>
  <c r="Z1247"/>
  <c r="AA1247"/>
  <c r="Z1248"/>
  <c r="AA1248"/>
  <c r="Z1249"/>
  <c r="AA1249"/>
  <c r="Z1250"/>
  <c r="AA1250"/>
  <c r="Z1251"/>
  <c r="AA1251"/>
  <c r="Z1252"/>
  <c r="AA1252"/>
  <c r="Z1253"/>
  <c r="AA1253"/>
  <c r="Z1254"/>
  <c r="AA1254"/>
  <c r="Z1255"/>
  <c r="AA1255"/>
  <c r="Z1256"/>
  <c r="AA1256"/>
  <c r="Z1257"/>
  <c r="AA1257"/>
  <c r="Z1258"/>
  <c r="AA1258"/>
  <c r="Z1259"/>
  <c r="AA1259"/>
  <c r="Z1260"/>
  <c r="AA1260"/>
  <c r="Z1261"/>
  <c r="AA1261"/>
  <c r="Z1262"/>
  <c r="AA1262"/>
  <c r="Z1263"/>
  <c r="AA1263"/>
  <c r="Z1264"/>
  <c r="AA1264"/>
  <c r="Z1265"/>
  <c r="AA1265"/>
  <c r="Z1266"/>
  <c r="AA1266"/>
  <c r="Z1267"/>
  <c r="AA1267"/>
  <c r="Z1268"/>
  <c r="AA1268"/>
  <c r="Z1269"/>
  <c r="AA1269"/>
  <c r="Z1270"/>
  <c r="AA1270"/>
  <c r="Z1271"/>
  <c r="AA1271"/>
  <c r="Z1272"/>
  <c r="AA1272"/>
  <c r="Z1273"/>
  <c r="AA1273"/>
  <c r="Z1274"/>
  <c r="AA1274"/>
  <c r="Z1275"/>
  <c r="AA1275"/>
  <c r="Z1276"/>
  <c r="AA1276"/>
  <c r="Z1277"/>
  <c r="AA1277"/>
  <c r="Z1278"/>
  <c r="AA1278"/>
  <c r="Z1279"/>
  <c r="AA1279"/>
  <c r="Z1280"/>
  <c r="AA1280"/>
  <c r="Z1281"/>
  <c r="AA1281"/>
  <c r="Z1282"/>
  <c r="AA1282"/>
  <c r="Z1283"/>
  <c r="AA1283"/>
  <c r="Z1284"/>
  <c r="AA1284"/>
  <c r="Z1285"/>
  <c r="AA1285"/>
  <c r="Z1286"/>
  <c r="AA1286"/>
  <c r="Z1287"/>
  <c r="AA1287"/>
  <c r="Z1288"/>
  <c r="AA1288"/>
  <c r="Z1289"/>
  <c r="AA1289"/>
  <c r="Z1290"/>
  <c r="AA1290"/>
  <c r="Z1291"/>
  <c r="AA1291"/>
  <c r="Z1292"/>
  <c r="AA1292"/>
  <c r="Z1293"/>
  <c r="AA1293"/>
  <c r="Z1294"/>
  <c r="AA1294"/>
  <c r="Z1295"/>
  <c r="AA1295"/>
  <c r="Z1296"/>
  <c r="AA1296"/>
  <c r="Z1297"/>
  <c r="AA1297"/>
  <c r="Z1298"/>
  <c r="AA1298"/>
  <c r="Z1299"/>
  <c r="AA1299"/>
  <c r="Z1300"/>
  <c r="AA1300"/>
  <c r="Z1301"/>
  <c r="AA1301"/>
  <c r="Z1302"/>
  <c r="AA1302"/>
  <c r="Z1303"/>
  <c r="AA1303"/>
  <c r="Z1304"/>
  <c r="AA1304"/>
  <c r="Z1305"/>
  <c r="AA1305"/>
  <c r="Z1306"/>
  <c r="AA1306"/>
  <c r="Z1307"/>
  <c r="AA1307"/>
  <c r="Z1308"/>
  <c r="AA1308"/>
  <c r="Z1309"/>
  <c r="AA1309"/>
  <c r="Z1310"/>
  <c r="AA1310"/>
  <c r="Z1311"/>
  <c r="AA1311"/>
  <c r="Z1312"/>
  <c r="AA1312"/>
  <c r="Z1313"/>
  <c r="AA1313"/>
  <c r="Z1314"/>
  <c r="AA1314"/>
  <c r="Z1315"/>
  <c r="AA1315"/>
  <c r="Z1316"/>
  <c r="AA1316"/>
  <c r="Z1317"/>
  <c r="AA1317"/>
  <c r="Z1318"/>
  <c r="AA1318"/>
  <c r="Z1319"/>
  <c r="AA1319"/>
  <c r="Z1320"/>
  <c r="AA1320"/>
  <c r="Z1321"/>
  <c r="AA1321"/>
  <c r="Z1322"/>
  <c r="AA1322"/>
  <c r="Z1323"/>
  <c r="AA1323"/>
  <c r="Z1324"/>
  <c r="AA1324"/>
  <c r="Z1325"/>
  <c r="AA1325"/>
  <c r="Z1326"/>
  <c r="AA1326"/>
  <c r="Z1327"/>
  <c r="AA1327"/>
  <c r="Z1328"/>
  <c r="AA1328"/>
  <c r="Z1329"/>
  <c r="AA1329"/>
  <c r="Z1330"/>
  <c r="AA1330"/>
  <c r="Z1331"/>
  <c r="AA1331"/>
  <c r="Z1332"/>
  <c r="AA1332"/>
  <c r="Z1333"/>
  <c r="AA1333"/>
  <c r="Z1334"/>
  <c r="AA1334"/>
  <c r="Z1335"/>
  <c r="AA1335"/>
  <c r="Z1336"/>
  <c r="AA1336"/>
  <c r="Z1337"/>
  <c r="AA1337"/>
  <c r="Z1338"/>
  <c r="AA1338"/>
  <c r="Z1339"/>
  <c r="AA1339"/>
  <c r="Z1340"/>
  <c r="AA1340"/>
  <c r="Z1341"/>
  <c r="AA1341"/>
  <c r="Z1342"/>
  <c r="AA1342"/>
  <c r="Z1343"/>
  <c r="AA1343"/>
  <c r="Z1344"/>
  <c r="AA1344"/>
  <c r="Z1345"/>
  <c r="AA1345"/>
  <c r="Z1346"/>
  <c r="AA1346"/>
  <c r="Z1347"/>
  <c r="AA1347"/>
  <c r="Z1348"/>
  <c r="AA1348"/>
  <c r="Z1349"/>
  <c r="AA1349"/>
  <c r="Z1350"/>
  <c r="AA1350"/>
  <c r="Z1351"/>
  <c r="AA1351"/>
  <c r="Z1352"/>
  <c r="AA1352"/>
  <c r="Z1353"/>
  <c r="AA1353"/>
  <c r="Z1354"/>
  <c r="AA1354"/>
  <c r="Z1355"/>
  <c r="AA1355"/>
  <c r="Z1356"/>
  <c r="AA1356"/>
  <c r="Z1357"/>
  <c r="AA1357"/>
  <c r="Z1358"/>
  <c r="AA1358"/>
  <c r="Z1359"/>
  <c r="AA1359"/>
  <c r="Z1360"/>
  <c r="AA1360"/>
  <c r="Z1361"/>
  <c r="AA1361"/>
  <c r="Z1362"/>
  <c r="AA1362"/>
  <c r="Z1363"/>
  <c r="AA1363"/>
  <c r="Z1364"/>
  <c r="AA1364"/>
  <c r="Z1365"/>
  <c r="AA1365"/>
  <c r="Z1366"/>
  <c r="AA1366"/>
  <c r="Z1367"/>
  <c r="AA1367"/>
  <c r="Z1368"/>
  <c r="AA1368"/>
  <c r="Z1369"/>
  <c r="AA1369"/>
  <c r="Z1370"/>
  <c r="AA1370"/>
  <c r="Z1371"/>
  <c r="AA1371"/>
  <c r="Z1372"/>
  <c r="AA1372"/>
  <c r="Z1373"/>
  <c r="AA1373"/>
  <c r="Z1374"/>
  <c r="AA1374"/>
  <c r="Z1375"/>
  <c r="AA1375"/>
  <c r="Z1376"/>
  <c r="AA1376"/>
  <c r="Z1377"/>
  <c r="AA1377"/>
  <c r="Z1378"/>
  <c r="AA1378"/>
  <c r="Z1379"/>
  <c r="AA1379"/>
  <c r="Z1380"/>
  <c r="AA1380"/>
  <c r="Z1381"/>
  <c r="AA1381"/>
  <c r="Z1382"/>
  <c r="AA1382"/>
  <c r="Z1383"/>
  <c r="AA1383"/>
  <c r="Z1384"/>
  <c r="AA1384"/>
  <c r="Z1385"/>
  <c r="AA1385"/>
  <c r="Z1386"/>
  <c r="AA1386"/>
  <c r="Z1387"/>
  <c r="AA1387"/>
  <c r="Z1388"/>
  <c r="AA1388"/>
  <c r="Z1389"/>
  <c r="AA1389"/>
  <c r="Z1390"/>
  <c r="AA1390"/>
  <c r="Z1391"/>
  <c r="AA1391"/>
  <c r="Z1392"/>
  <c r="AA1392"/>
  <c r="Z1393"/>
  <c r="AA1393"/>
  <c r="Z1394"/>
  <c r="AA1394"/>
  <c r="Z1395"/>
  <c r="AA1395"/>
  <c r="Z1396"/>
  <c r="AA1396"/>
  <c r="Z1397"/>
  <c r="AA1397"/>
  <c r="Z1398"/>
  <c r="AA1398"/>
  <c r="Z1399"/>
  <c r="AA1399"/>
  <c r="Z1400"/>
  <c r="AA1400"/>
  <c r="Z1401"/>
  <c r="AA1401"/>
  <c r="Z1402"/>
  <c r="AA1402"/>
  <c r="Z1403"/>
  <c r="AA1403"/>
  <c r="Z1404"/>
  <c r="AA1404"/>
  <c r="Z1405"/>
  <c r="AA1405"/>
  <c r="Z1406"/>
  <c r="AA1406"/>
  <c r="Z1407"/>
  <c r="AA1407"/>
  <c r="Z1408"/>
  <c r="AA1408"/>
  <c r="Z1409"/>
  <c r="AA1409"/>
  <c r="Z1410"/>
  <c r="AA1410"/>
  <c r="Z1411"/>
  <c r="AA1411"/>
  <c r="Z1412"/>
  <c r="AA1412"/>
  <c r="Z1413"/>
  <c r="AA1413"/>
  <c r="Z1414"/>
  <c r="AA1414"/>
  <c r="Z1415"/>
  <c r="AA1415"/>
  <c r="Z1416"/>
  <c r="AA1416"/>
  <c r="Z1417"/>
  <c r="AA1417"/>
  <c r="Z1418"/>
  <c r="AA1418"/>
  <c r="Z1419"/>
  <c r="AA1419"/>
  <c r="Z1420"/>
  <c r="AA1420"/>
  <c r="Z1421"/>
  <c r="AA1421"/>
  <c r="Z1422"/>
  <c r="AA1422"/>
  <c r="Z1423"/>
  <c r="AA1423"/>
  <c r="Z1424"/>
  <c r="AA1424"/>
  <c r="Z1425"/>
  <c r="AA1425"/>
  <c r="Z1426"/>
  <c r="AA1426"/>
  <c r="Z1427"/>
  <c r="AA1427"/>
  <c r="Z1428"/>
  <c r="AA1428"/>
  <c r="Z1429"/>
  <c r="AA1429"/>
  <c r="Z1430"/>
  <c r="AA1430"/>
  <c r="Z1431"/>
  <c r="AA1431"/>
  <c r="Z1432"/>
  <c r="AA1432"/>
  <c r="Z1433"/>
  <c r="AA1433"/>
  <c r="Z1434"/>
  <c r="AA1434"/>
  <c r="Z1435"/>
  <c r="AA1435"/>
  <c r="Z1436"/>
  <c r="AA1436"/>
  <c r="Z1437"/>
  <c r="AA1437"/>
  <c r="Z1438"/>
  <c r="AA1438"/>
  <c r="Z1439"/>
  <c r="AA1439"/>
  <c r="Z1440"/>
  <c r="AA1440"/>
  <c r="Z1441"/>
  <c r="AA1441"/>
  <c r="Z1442"/>
  <c r="AA1442"/>
  <c r="Z1443"/>
  <c r="AA1443"/>
  <c r="Z1444"/>
  <c r="AA1444"/>
  <c r="Z1445"/>
  <c r="AA1445"/>
  <c r="Z1446"/>
  <c r="AA1446"/>
  <c r="Z1447"/>
  <c r="AA1447"/>
  <c r="Z1448"/>
  <c r="AA1448"/>
  <c r="Z1449"/>
  <c r="AA1449"/>
  <c r="Z1450"/>
  <c r="AA1450"/>
  <c r="Z1451"/>
  <c r="AA1451"/>
  <c r="Z1452"/>
  <c r="AA1452"/>
  <c r="Z1453"/>
  <c r="AA1453"/>
  <c r="Z1454"/>
  <c r="AA1454"/>
  <c r="Z1455"/>
  <c r="AA1455"/>
  <c r="Z1456"/>
  <c r="AA1456"/>
  <c r="Z1457"/>
  <c r="AA1457"/>
  <c r="Z1458"/>
  <c r="AA1458"/>
  <c r="Z1459"/>
  <c r="AA1459"/>
  <c r="Z1460"/>
  <c r="AA1460"/>
  <c r="Z1461"/>
  <c r="AA1461"/>
  <c r="Z1462"/>
  <c r="AA1462"/>
  <c r="Z1463"/>
  <c r="AA1463"/>
  <c r="Z1464"/>
  <c r="AA1464"/>
  <c r="Z1465"/>
  <c r="AA1465"/>
  <c r="Z1466"/>
  <c r="AA1466"/>
  <c r="Z1467"/>
  <c r="AA1467"/>
  <c r="Z1468"/>
  <c r="AA1468"/>
  <c r="Z1469"/>
  <c r="AA1469"/>
  <c r="Z1470"/>
  <c r="AA1470"/>
  <c r="Z1471"/>
  <c r="AA1471"/>
  <c r="Z1472"/>
  <c r="AA1472"/>
  <c r="Z1473"/>
  <c r="AA1473"/>
  <c r="Z1474"/>
  <c r="AA1474"/>
  <c r="Z1475"/>
  <c r="AA1475"/>
  <c r="Z1476"/>
  <c r="AA1476"/>
  <c r="Z1477"/>
  <c r="AA1477"/>
  <c r="Z1478"/>
  <c r="AA1478"/>
  <c r="Z1479"/>
  <c r="AA1479"/>
  <c r="Z1480"/>
  <c r="AA1480"/>
  <c r="Z1481"/>
  <c r="AA1481"/>
  <c r="Z1482"/>
  <c r="AA1482"/>
  <c r="Z1483"/>
  <c r="AA1483"/>
  <c r="Z1484"/>
  <c r="AA1484"/>
  <c r="Z1485"/>
  <c r="AA1485"/>
  <c r="Z1486"/>
  <c r="AA1486"/>
  <c r="Z1487"/>
  <c r="AA1487"/>
  <c r="Z1488"/>
  <c r="AA1488"/>
  <c r="Z1489"/>
  <c r="AA1489"/>
  <c r="Z1490"/>
  <c r="AA1490"/>
  <c r="Z1491"/>
  <c r="AA1491"/>
  <c r="Z1492"/>
  <c r="AA1492"/>
  <c r="Z1493"/>
  <c r="AA1493"/>
  <c r="Z1494"/>
  <c r="AA1494"/>
  <c r="Z1495"/>
  <c r="AA1495"/>
  <c r="Z1496"/>
  <c r="AA1496"/>
  <c r="Z1497"/>
  <c r="AA1497"/>
  <c r="Z1498"/>
  <c r="AA1498"/>
  <c r="Z1499"/>
  <c r="AA1499"/>
  <c r="Z1500"/>
  <c r="AA1500"/>
  <c r="Z1501"/>
  <c r="AA1501"/>
  <c r="Z1502"/>
  <c r="AA1502"/>
  <c r="Z1503"/>
  <c r="AA1503"/>
  <c r="Z1504"/>
  <c r="AA1504"/>
  <c r="Z1505"/>
  <c r="AA1505"/>
  <c r="Z1506"/>
  <c r="AA1506"/>
  <c r="Z1507"/>
  <c r="AA1507"/>
  <c r="Z1508"/>
  <c r="AA1508"/>
  <c r="Z1509"/>
  <c r="AA1509"/>
  <c r="Z1510"/>
  <c r="AA1510"/>
  <c r="Z1511"/>
  <c r="AA1511"/>
  <c r="Z1512"/>
  <c r="AA1512"/>
  <c r="Z1513"/>
  <c r="AA1513"/>
  <c r="Z1514"/>
  <c r="AA1514"/>
  <c r="Z1515"/>
  <c r="AA1515"/>
  <c r="Z1516"/>
  <c r="AA1516"/>
  <c r="Z1517"/>
  <c r="AA1517"/>
  <c r="Z1518"/>
  <c r="AA1518"/>
  <c r="Z1519"/>
  <c r="AA1519"/>
  <c r="Z1520"/>
  <c r="AA1520"/>
  <c r="Z1521"/>
  <c r="AA1521"/>
  <c r="Z1522"/>
  <c r="AA1522"/>
  <c r="Z1523"/>
  <c r="AA1523"/>
  <c r="Z1524"/>
  <c r="AA1524"/>
  <c r="Z1525"/>
  <c r="AA1525"/>
  <c r="Z1526"/>
  <c r="AA1526"/>
  <c r="Z1527"/>
  <c r="AA1527"/>
  <c r="Z1528"/>
  <c r="AA1528"/>
  <c r="Z1529"/>
  <c r="AA1529"/>
  <c r="Z1530"/>
  <c r="AA1530"/>
  <c r="Z1531"/>
  <c r="AA1531"/>
  <c r="Z1532"/>
  <c r="AA1532"/>
  <c r="Z1533"/>
  <c r="AA1533"/>
  <c r="Z1534"/>
  <c r="AA1534"/>
  <c r="Z1535"/>
  <c r="AA1535"/>
  <c r="Z1536"/>
  <c r="AA1536"/>
  <c r="Z1537"/>
  <c r="AA1537"/>
  <c r="Z1538"/>
  <c r="AA1538"/>
  <c r="Z1539"/>
  <c r="AA1539"/>
  <c r="Z1540"/>
  <c r="AA1540"/>
  <c r="Z1541"/>
  <c r="AA1541"/>
  <c r="Z1542"/>
  <c r="AA1542"/>
  <c r="Z1543"/>
  <c r="AA1543"/>
  <c r="Z1544"/>
  <c r="AA1544"/>
  <c r="Z1545"/>
  <c r="AA1545"/>
  <c r="Z1546"/>
  <c r="AA1546"/>
  <c r="Z1547"/>
  <c r="AA1547"/>
  <c r="Z1548"/>
  <c r="AA1548"/>
  <c r="Z1549"/>
  <c r="AA1549"/>
  <c r="Z1550"/>
  <c r="AA1550"/>
  <c r="Z1551"/>
  <c r="AA1551"/>
  <c r="Z1552"/>
  <c r="AA1552"/>
  <c r="Z1553"/>
  <c r="AA1553"/>
  <c r="Z1554"/>
  <c r="AA1554"/>
  <c r="Z1555"/>
  <c r="AA1555"/>
  <c r="Z1556"/>
  <c r="AA1556"/>
  <c r="Z1557"/>
  <c r="AA1557"/>
  <c r="Z1558"/>
  <c r="AA1558"/>
  <c r="Z1559"/>
  <c r="AA1559"/>
  <c r="Z1560"/>
  <c r="AA1560"/>
  <c r="Z1561"/>
  <c r="AA1561"/>
  <c r="Z1562"/>
  <c r="AA1562"/>
  <c r="Z1563"/>
  <c r="AA1563"/>
  <c r="Z1564"/>
  <c r="AA1564"/>
  <c r="Z1565"/>
  <c r="AA1565"/>
  <c r="Z1566"/>
  <c r="AA1566"/>
  <c r="Z1567"/>
  <c r="AA1567"/>
  <c r="Z1568"/>
  <c r="AA1568"/>
  <c r="Z1569"/>
  <c r="AA1569"/>
  <c r="Z1570"/>
  <c r="AA1570"/>
  <c r="Z1571"/>
  <c r="AA1571"/>
  <c r="Z1572"/>
  <c r="AA1572"/>
  <c r="Z1573"/>
  <c r="AA1573"/>
  <c r="Z1574"/>
  <c r="AA1574"/>
  <c r="Z1575"/>
  <c r="AA1575"/>
  <c r="Z1576"/>
  <c r="AA1576"/>
  <c r="Z1577"/>
  <c r="AA1577"/>
  <c r="Z1578"/>
  <c r="AA1578"/>
  <c r="Z1579"/>
  <c r="AA1579"/>
  <c r="Z1580"/>
  <c r="AA1580"/>
  <c r="Z1581"/>
  <c r="AA1581"/>
  <c r="Z1582"/>
  <c r="AA1582"/>
  <c r="Z1583"/>
  <c r="AA1583"/>
  <c r="Z1584"/>
  <c r="AA1584"/>
  <c r="Z1585"/>
  <c r="AA1585"/>
  <c r="Z1586"/>
  <c r="AA1586"/>
  <c r="Z1587"/>
  <c r="AA1587"/>
  <c r="Z1588"/>
  <c r="AA1588"/>
  <c r="Z1589"/>
  <c r="AA1589"/>
  <c r="Z1590"/>
  <c r="AA1590"/>
  <c r="Z1591"/>
  <c r="AA1591"/>
  <c r="Z1592"/>
  <c r="AA1592"/>
  <c r="Z1593"/>
  <c r="AA1593"/>
  <c r="Z1594"/>
  <c r="AA1594"/>
  <c r="Z1595"/>
  <c r="AA1595"/>
  <c r="Z1596"/>
  <c r="AA1596"/>
  <c r="Z1597"/>
  <c r="AA1597"/>
  <c r="Z1598"/>
  <c r="AA1598"/>
  <c r="Z1599"/>
  <c r="AA1599"/>
  <c r="Z1600"/>
  <c r="AA1600"/>
  <c r="Z1601"/>
  <c r="AA1601"/>
  <c r="Z1602"/>
  <c r="AA1602"/>
  <c r="Z1603"/>
  <c r="AA1603"/>
  <c r="Z1604"/>
  <c r="AA1604"/>
  <c r="Z1605"/>
  <c r="AA1605"/>
  <c r="Z1606"/>
  <c r="AA1606"/>
  <c r="Z1607"/>
  <c r="AA1607"/>
  <c r="Z1608"/>
  <c r="AA1608"/>
  <c r="Z1609"/>
  <c r="AA1609"/>
  <c r="Z1610"/>
  <c r="AA1610"/>
  <c r="Z1611"/>
  <c r="AA1611"/>
  <c r="Z1612"/>
  <c r="AA1612"/>
  <c r="Z1613"/>
  <c r="AA1613"/>
  <c r="Z1614"/>
  <c r="AA1614"/>
  <c r="Z1615"/>
  <c r="AA1615"/>
  <c r="Z1616"/>
  <c r="AA1616"/>
  <c r="Z1617"/>
  <c r="AA1617"/>
  <c r="Z1618"/>
  <c r="AA1618"/>
  <c r="Z1619"/>
  <c r="AA1619"/>
  <c r="Z1620"/>
  <c r="AA1620"/>
  <c r="Z1621"/>
  <c r="AA1621"/>
  <c r="Z1622"/>
  <c r="AA1622"/>
  <c r="Z1623"/>
  <c r="AA1623"/>
  <c r="Z1624"/>
  <c r="AA1624"/>
  <c r="Z1625"/>
  <c r="AA1625"/>
  <c r="Z1626"/>
  <c r="AA1626"/>
  <c r="Z1627"/>
  <c r="AA1627"/>
  <c r="Z1628"/>
  <c r="AA1628"/>
  <c r="Z1629"/>
  <c r="AA1629"/>
  <c r="Z1630"/>
  <c r="AA1630"/>
  <c r="Z1631"/>
  <c r="AA1631"/>
  <c r="Z1632"/>
  <c r="AA1632"/>
  <c r="Z1633"/>
  <c r="AA1633"/>
  <c r="Z1634"/>
  <c r="AA1634"/>
  <c r="Z1635"/>
  <c r="AA1635"/>
  <c r="Z1636"/>
  <c r="AA1636"/>
  <c r="Z1637"/>
  <c r="AA1637"/>
  <c r="Z1638"/>
  <c r="AA1638"/>
  <c r="Z1639"/>
  <c r="AA1639"/>
  <c r="Z1640"/>
  <c r="AA1640"/>
  <c r="Z1641"/>
  <c r="AA1641"/>
  <c r="Z1642"/>
  <c r="AA1642"/>
  <c r="Z1643"/>
  <c r="AA1643"/>
  <c r="Z1644"/>
  <c r="AA1644"/>
  <c r="Z1645"/>
  <c r="AA1645"/>
  <c r="Z1646"/>
  <c r="AA1646"/>
  <c r="Z1647"/>
  <c r="AA1647"/>
  <c r="Z1648"/>
  <c r="AA1648"/>
  <c r="Z1649"/>
  <c r="AA1649"/>
  <c r="Z1650"/>
  <c r="AA1650"/>
  <c r="Z1651"/>
  <c r="AA1651"/>
  <c r="Z1652"/>
  <c r="AA1652"/>
  <c r="Z1653"/>
  <c r="AA1653"/>
  <c r="Z1654"/>
  <c r="AA1654"/>
  <c r="Z1655"/>
  <c r="AA1655"/>
  <c r="Z1656"/>
  <c r="AA1656"/>
  <c r="Z1657"/>
  <c r="AA1657"/>
  <c r="Z1658"/>
  <c r="AA1658"/>
  <c r="Z1659"/>
  <c r="AA1659"/>
  <c r="Z1660"/>
  <c r="AA1660"/>
  <c r="Z1661"/>
  <c r="AA1661"/>
  <c r="Z1662"/>
  <c r="AA1662"/>
  <c r="Z1663"/>
  <c r="AA1663"/>
  <c r="Z1664"/>
  <c r="AA1664"/>
  <c r="Z1665"/>
  <c r="AA1665"/>
  <c r="Z1666"/>
  <c r="AA1666"/>
  <c r="Z1667"/>
  <c r="AA1667"/>
  <c r="Z1668"/>
  <c r="AA1668"/>
  <c r="Z1669"/>
  <c r="AA1669"/>
  <c r="Z1670"/>
  <c r="AA1670"/>
  <c r="Z1671"/>
  <c r="AA1671"/>
  <c r="Z1672"/>
  <c r="AA1672"/>
  <c r="Z1673"/>
  <c r="AA1673"/>
  <c r="Z1674"/>
  <c r="AA1674"/>
  <c r="Z1675"/>
  <c r="AA1675"/>
  <c r="Z1676"/>
  <c r="AA1676"/>
  <c r="Z1677"/>
  <c r="AA1677"/>
  <c r="Z1678"/>
  <c r="AA1678"/>
  <c r="Z1679"/>
  <c r="AA1679"/>
  <c r="Z1680"/>
  <c r="AA1680"/>
  <c r="Z1681"/>
  <c r="AA1681"/>
  <c r="Z1682"/>
  <c r="AA1682"/>
  <c r="Z1683"/>
  <c r="AA1683"/>
  <c r="Z1684"/>
  <c r="AA1684"/>
  <c r="Z1685"/>
  <c r="AA1685"/>
  <c r="Z1686"/>
  <c r="AA1686"/>
  <c r="Z1687"/>
  <c r="AA1687"/>
  <c r="Z1688"/>
  <c r="AA1688"/>
  <c r="Z1689"/>
  <c r="AA1689"/>
  <c r="Z1690"/>
  <c r="AA1690"/>
  <c r="Z1691"/>
  <c r="AA1691"/>
  <c r="Z1692"/>
  <c r="AA1692"/>
  <c r="Z1693"/>
  <c r="AA1693"/>
  <c r="Z1694"/>
  <c r="AA1694"/>
  <c r="Z1695"/>
  <c r="AA1695"/>
  <c r="Z1696"/>
  <c r="AA1696"/>
  <c r="Z1697"/>
  <c r="AA1697"/>
  <c r="Z1698"/>
  <c r="AA1698"/>
  <c r="Z1699"/>
  <c r="AA1699"/>
  <c r="Z1700"/>
  <c r="AA1700"/>
  <c r="Z1701"/>
  <c r="AA1701"/>
  <c r="Z1702"/>
  <c r="AA1702"/>
  <c r="Z1703"/>
  <c r="AA1703"/>
  <c r="Z1704"/>
  <c r="AA1704"/>
  <c r="Z1705"/>
  <c r="AA1705"/>
  <c r="Z1706"/>
  <c r="AA1706"/>
  <c r="Z1707"/>
  <c r="AA1707"/>
  <c r="Z1708"/>
  <c r="AA1708"/>
  <c r="Z1709"/>
  <c r="AA1709"/>
  <c r="Z1710"/>
  <c r="AA1710"/>
  <c r="Z1711"/>
  <c r="AA1711"/>
  <c r="Z1712"/>
  <c r="AA1712"/>
  <c r="Z1713"/>
  <c r="AA1713"/>
  <c r="Z1714"/>
  <c r="AA1714"/>
  <c r="Z1715"/>
  <c r="AA1715"/>
  <c r="Z1716"/>
  <c r="AA1716"/>
  <c r="Z1717"/>
  <c r="AA1717"/>
  <c r="Z1718"/>
  <c r="AA1718"/>
  <c r="Z1719"/>
  <c r="AA1719"/>
  <c r="Z1720"/>
  <c r="AA1720"/>
  <c r="Z1721"/>
  <c r="AA1721"/>
  <c r="Z1722"/>
  <c r="AA1722"/>
  <c r="Z1723"/>
  <c r="AA1723"/>
  <c r="Z1724"/>
  <c r="AA1724"/>
  <c r="Z1725"/>
  <c r="AA1725"/>
  <c r="Z1726"/>
  <c r="AA1726"/>
  <c r="Z1727"/>
  <c r="AA1727"/>
  <c r="Z1728"/>
  <c r="AA1728"/>
  <c r="Z1729"/>
  <c r="AA1729"/>
  <c r="Z1730"/>
  <c r="AA1730"/>
  <c r="Z1731"/>
  <c r="AA1731"/>
  <c r="Z1732"/>
  <c r="AA1732"/>
  <c r="Z1733"/>
  <c r="AA1733"/>
  <c r="Z1734"/>
  <c r="AA1734"/>
  <c r="Z1735"/>
  <c r="AA1735"/>
  <c r="Z1736"/>
  <c r="AA1736"/>
  <c r="Z1737"/>
  <c r="AA1737"/>
  <c r="Z1738"/>
  <c r="AA1738"/>
  <c r="Z1739"/>
  <c r="AA1739"/>
  <c r="Z1740"/>
  <c r="AA1740"/>
  <c r="Z1741"/>
  <c r="AA1741"/>
  <c r="Z1742"/>
  <c r="AA1742"/>
  <c r="Z1743"/>
  <c r="AA1743"/>
  <c r="Z1744"/>
  <c r="AA1744"/>
  <c r="Z1745"/>
  <c r="AA1745"/>
  <c r="Z1746"/>
  <c r="AA1746"/>
  <c r="Z1747"/>
  <c r="AA1747"/>
  <c r="Z1748"/>
  <c r="AA1748"/>
  <c r="Z1749"/>
  <c r="AA1749"/>
  <c r="Z1750"/>
  <c r="AA1750"/>
  <c r="Z1751"/>
  <c r="AA1751"/>
  <c r="Z1752"/>
  <c r="AA1752"/>
  <c r="Z1753"/>
  <c r="AA1753"/>
  <c r="Z1754"/>
  <c r="AA1754"/>
  <c r="Z1755"/>
  <c r="AA1755"/>
  <c r="Z1756"/>
  <c r="AA1756"/>
  <c r="Z1757"/>
  <c r="AA1757"/>
  <c r="Z1758"/>
  <c r="AA1758"/>
  <c r="Z1759"/>
  <c r="AA1759"/>
  <c r="Z1760"/>
  <c r="AA1760"/>
  <c r="Z1761"/>
  <c r="AA1761"/>
  <c r="Z1762"/>
  <c r="AA1762"/>
  <c r="Z1763"/>
  <c r="AA1763"/>
  <c r="Z1764"/>
  <c r="AA1764"/>
  <c r="Z1765"/>
  <c r="AA1765"/>
  <c r="Z1766"/>
  <c r="AA1766"/>
  <c r="Z1767"/>
  <c r="AA1767"/>
  <c r="Z1768"/>
  <c r="AA1768"/>
  <c r="Z1769"/>
  <c r="AA1769"/>
  <c r="Z1770"/>
  <c r="AA1770"/>
  <c r="Z1771"/>
  <c r="AA1771"/>
  <c r="Z1772"/>
  <c r="AA1772"/>
  <c r="Z1773"/>
  <c r="AA1773"/>
  <c r="Z1774"/>
  <c r="AA1774"/>
  <c r="Z1775"/>
  <c r="AA1775"/>
  <c r="Z1776"/>
  <c r="AA1776"/>
  <c r="Z1777"/>
  <c r="AA1777"/>
  <c r="Z1778"/>
  <c r="AA1778"/>
  <c r="Z1779"/>
  <c r="AA1779"/>
  <c r="Z1780"/>
  <c r="AA1780"/>
  <c r="Z1781"/>
  <c r="AA1781"/>
  <c r="Z1782"/>
  <c r="AA1782"/>
  <c r="Z1783"/>
  <c r="AA1783"/>
  <c r="Z1784"/>
  <c r="AA1784"/>
  <c r="Z1785"/>
  <c r="AA1785"/>
  <c r="Z1786"/>
  <c r="AA1786"/>
  <c r="Z1787"/>
  <c r="AA1787"/>
  <c r="Z1788"/>
  <c r="AA1788"/>
  <c r="Z1789"/>
  <c r="AA1789"/>
  <c r="Z1790"/>
  <c r="AA1790"/>
  <c r="Z1791"/>
  <c r="AA1791"/>
  <c r="Z1792"/>
  <c r="AA1792"/>
  <c r="Z1793"/>
  <c r="AA1793"/>
  <c r="Z1794"/>
  <c r="AA1794"/>
  <c r="Z1795"/>
  <c r="AA1795"/>
  <c r="Z1796"/>
  <c r="AA1796"/>
  <c r="Z1797"/>
  <c r="AA1797"/>
  <c r="Z1798"/>
  <c r="AA1798"/>
  <c r="Z1799"/>
  <c r="AA1799"/>
  <c r="Z1800"/>
  <c r="AA1800"/>
  <c r="Z1801"/>
  <c r="AA1801"/>
  <c r="Z1802"/>
  <c r="AA1802"/>
  <c r="Z1803"/>
  <c r="AA1803"/>
  <c r="Z1804"/>
  <c r="AA1804"/>
  <c r="Z1805"/>
  <c r="AA1805"/>
  <c r="Z1806"/>
  <c r="AA1806"/>
  <c r="Z1807"/>
  <c r="AA1807"/>
  <c r="Z1808"/>
  <c r="AA1808"/>
  <c r="Z1809"/>
  <c r="AA1809"/>
  <c r="Z1810"/>
  <c r="AA1810"/>
  <c r="Z1811"/>
  <c r="AA1811"/>
  <c r="Z1812"/>
  <c r="AA1812"/>
  <c r="Z1813"/>
  <c r="AA1813"/>
  <c r="Z1814"/>
  <c r="AA1814"/>
  <c r="Z1815"/>
  <c r="AA1815"/>
  <c r="Z1816"/>
  <c r="AA1816"/>
  <c r="Z1817"/>
  <c r="AA1817"/>
  <c r="Z1818"/>
  <c r="AA1818"/>
  <c r="Z1819"/>
  <c r="AA1819"/>
  <c r="Z1820"/>
  <c r="AA1820"/>
  <c r="Z1821"/>
  <c r="AA1821"/>
  <c r="Z1822"/>
  <c r="AA1822"/>
  <c r="Z1823"/>
  <c r="AA1823"/>
  <c r="Z1824"/>
  <c r="AA1824"/>
  <c r="Z1825"/>
  <c r="AA1825"/>
  <c r="Z1826"/>
  <c r="AA1826"/>
  <c r="Z1827"/>
  <c r="AA1827"/>
  <c r="Z1828"/>
  <c r="AA1828"/>
  <c r="Z1829"/>
  <c r="AA1829"/>
  <c r="Z1830"/>
  <c r="AA1830"/>
  <c r="Z1831"/>
  <c r="AA1831"/>
  <c r="Z1832"/>
  <c r="AA1832"/>
  <c r="Z1833"/>
  <c r="AA1833"/>
  <c r="Z1834"/>
  <c r="AA1834"/>
  <c r="Z1835"/>
  <c r="AA1835"/>
  <c r="Z1836"/>
  <c r="AA1836"/>
  <c r="Z1837"/>
  <c r="AA1837"/>
  <c r="Z1838"/>
  <c r="AA1838"/>
  <c r="Z1839"/>
  <c r="AA1839"/>
  <c r="Z1840"/>
  <c r="AA1840"/>
  <c r="Z1841"/>
  <c r="AA1841"/>
  <c r="Z1842"/>
  <c r="AA1842"/>
  <c r="Z1843"/>
  <c r="AA1843"/>
  <c r="Z1844"/>
  <c r="AA1844"/>
  <c r="Z1845"/>
  <c r="AA1845"/>
  <c r="Z1846"/>
  <c r="AA1846"/>
  <c r="Z1847"/>
  <c r="AA1847"/>
  <c r="Z1848"/>
  <c r="AA1848"/>
  <c r="Z1849"/>
  <c r="AA1849"/>
  <c r="Z1850"/>
  <c r="AA1850"/>
  <c r="Z1851"/>
  <c r="AA1851"/>
  <c r="Z1852"/>
  <c r="AA1852"/>
  <c r="Z1853"/>
  <c r="AA1853"/>
  <c r="Z1854"/>
  <c r="AA1854"/>
  <c r="Z1855"/>
  <c r="AA1855"/>
  <c r="Z1856"/>
  <c r="AA1856"/>
  <c r="Z1857"/>
  <c r="AA1857"/>
  <c r="Z1858"/>
  <c r="AA1858"/>
  <c r="Z1859"/>
  <c r="AA1859"/>
  <c r="Z1860"/>
  <c r="AA1860"/>
  <c r="Z1861"/>
  <c r="AA1861"/>
  <c r="Z1862"/>
  <c r="AA1862"/>
  <c r="Z1863"/>
  <c r="AA1863"/>
  <c r="Z1864"/>
  <c r="AA1864"/>
  <c r="Z1865"/>
  <c r="AA1865"/>
  <c r="Z1866"/>
  <c r="AA1866"/>
  <c r="Z1867"/>
  <c r="AA1867"/>
  <c r="Z1868"/>
  <c r="AA1868"/>
  <c r="Z1869"/>
  <c r="AA1869"/>
  <c r="Z1870"/>
  <c r="AA1870"/>
  <c r="Z1871"/>
  <c r="AA1871"/>
  <c r="Z1872"/>
  <c r="AA1872"/>
  <c r="Z1873"/>
  <c r="AA1873"/>
  <c r="Z1874"/>
  <c r="AA1874"/>
  <c r="Z1875"/>
  <c r="AA1875"/>
  <c r="Z1876"/>
  <c r="AA1876"/>
  <c r="Z1877"/>
  <c r="AA1877"/>
  <c r="Z1878"/>
  <c r="AA1878"/>
  <c r="Z1879"/>
  <c r="AA1879"/>
  <c r="Z1880"/>
  <c r="AA1880"/>
  <c r="Z1881"/>
  <c r="AA1881"/>
  <c r="Z1882"/>
  <c r="AA1882"/>
  <c r="Z1883"/>
  <c r="AA1883"/>
  <c r="Z1884"/>
  <c r="AA1884"/>
  <c r="Z1885"/>
  <c r="AA1885"/>
  <c r="Z1886"/>
  <c r="AA1886"/>
  <c r="Z1887"/>
  <c r="AA1887"/>
  <c r="Z1888"/>
  <c r="AA1888"/>
  <c r="Z1889"/>
  <c r="AA1889"/>
  <c r="Z1890"/>
  <c r="AA1890"/>
  <c r="Z1891"/>
  <c r="AA1891"/>
  <c r="Z1892"/>
  <c r="AA1892"/>
  <c r="Z1893"/>
  <c r="AA1893"/>
  <c r="Z1894"/>
  <c r="AA1894"/>
  <c r="Z1895"/>
  <c r="AA1895"/>
  <c r="Z1896"/>
  <c r="AA1896"/>
  <c r="Z1897"/>
  <c r="AA1897"/>
  <c r="Z1898"/>
  <c r="AA1898"/>
  <c r="Z1899"/>
  <c r="AA1899"/>
  <c r="Z1900"/>
  <c r="AA1900"/>
  <c r="Z1901"/>
  <c r="AA1901"/>
  <c r="Z1902"/>
  <c r="AA1902"/>
  <c r="Z1903"/>
  <c r="AA1903"/>
  <c r="Z1904"/>
  <c r="AA1904"/>
  <c r="Z1905"/>
  <c r="AA1905"/>
  <c r="Z1906"/>
  <c r="AA1906"/>
  <c r="Z1907"/>
  <c r="AA1907"/>
  <c r="Z1908"/>
  <c r="AA1908"/>
  <c r="Z1909"/>
  <c r="AA1909"/>
  <c r="Z1910"/>
  <c r="AA1910"/>
  <c r="Z1911"/>
  <c r="AA1911"/>
  <c r="Z1912"/>
  <c r="AA1912"/>
  <c r="Z1913"/>
  <c r="AA1913"/>
  <c r="Z1914"/>
  <c r="AA1914"/>
  <c r="Z1915"/>
  <c r="AA1915"/>
  <c r="Z1916"/>
  <c r="AA1916"/>
  <c r="Z1917"/>
  <c r="AA1917"/>
  <c r="Z1918"/>
  <c r="AA1918"/>
  <c r="Z1919"/>
  <c r="AA1919"/>
  <c r="Z1920"/>
  <c r="AA1920"/>
  <c r="Z1921"/>
  <c r="AA1921"/>
  <c r="Z1922"/>
  <c r="AA1922"/>
  <c r="Z1923"/>
  <c r="AA1923"/>
  <c r="Z1924"/>
  <c r="AA1924"/>
  <c r="Z1925"/>
  <c r="AA1925"/>
  <c r="Z1926"/>
  <c r="AA1926"/>
  <c r="Z1927"/>
  <c r="AA1927"/>
  <c r="Z1928"/>
  <c r="AA1928"/>
  <c r="Z1929"/>
  <c r="AA1929"/>
  <c r="Z1930"/>
  <c r="AA1930"/>
  <c r="Z1931"/>
  <c r="AA1931"/>
  <c r="Z1932"/>
  <c r="AA1932"/>
  <c r="Z1933"/>
  <c r="AA1933"/>
  <c r="Z1934"/>
  <c r="AA1934"/>
  <c r="Z1935"/>
  <c r="AA1935"/>
  <c r="Z1936"/>
  <c r="AA1936"/>
  <c r="Z1937"/>
  <c r="AA1937"/>
  <c r="Z1938"/>
  <c r="AA1938"/>
  <c r="Z1939"/>
  <c r="AA1939"/>
  <c r="Z1940"/>
  <c r="AA1940"/>
  <c r="Z1941"/>
  <c r="AA1941"/>
  <c r="Z1942"/>
  <c r="AA1942"/>
  <c r="Z1943"/>
  <c r="AA1943"/>
  <c r="Z1944"/>
  <c r="AA1944"/>
  <c r="Z1945"/>
  <c r="AA1945"/>
  <c r="Z1946"/>
  <c r="AA1946"/>
  <c r="Z1947"/>
  <c r="AA1947"/>
  <c r="Z1948"/>
  <c r="AA1948"/>
  <c r="Z1949"/>
  <c r="AA1949"/>
  <c r="Z1950"/>
  <c r="AA1950"/>
  <c r="Z1951"/>
  <c r="AA1951"/>
  <c r="Z1952"/>
  <c r="AA1952"/>
  <c r="Z1953"/>
  <c r="AA1953"/>
  <c r="Z1954"/>
  <c r="AA1954"/>
  <c r="Z1955"/>
  <c r="AA1955"/>
  <c r="Z1956"/>
  <c r="AA1956"/>
  <c r="Z1957"/>
  <c r="AA1957"/>
  <c r="Z1958"/>
  <c r="AA1958"/>
  <c r="Z1959"/>
  <c r="AA1959"/>
  <c r="Z1960"/>
  <c r="AA1960"/>
  <c r="Z1961"/>
  <c r="AA1961"/>
  <c r="Z1962"/>
  <c r="AA1962"/>
  <c r="Z1963"/>
  <c r="AA1963"/>
  <c r="Z1964"/>
  <c r="AA1964"/>
  <c r="Z1965"/>
  <c r="AA1965"/>
  <c r="Z1966"/>
  <c r="AA1966"/>
  <c r="Z1967"/>
  <c r="AA1967"/>
  <c r="Z1968"/>
  <c r="AA1968"/>
  <c r="Z1969"/>
  <c r="AA1969"/>
  <c r="Z1970"/>
  <c r="AA1970"/>
  <c r="Z1971"/>
  <c r="AA1971"/>
  <c r="Z1972"/>
  <c r="AA1972"/>
  <c r="Z1973"/>
  <c r="AA1973"/>
  <c r="Z1974"/>
  <c r="AA1974"/>
  <c r="Z1975"/>
  <c r="AA1975"/>
  <c r="Z1976"/>
  <c r="AA1976"/>
  <c r="Z1977"/>
  <c r="AA1977"/>
  <c r="Z1978"/>
  <c r="AA1978"/>
  <c r="Z1979"/>
  <c r="AA1979"/>
  <c r="Z1980"/>
  <c r="AA1980"/>
  <c r="Z1981"/>
  <c r="AA1981"/>
  <c r="Z1982"/>
  <c r="AA1982"/>
  <c r="Z1983"/>
  <c r="AA1983"/>
  <c r="Z1984"/>
  <c r="AA1984"/>
  <c r="Z1985"/>
  <c r="AA1985"/>
  <c r="Z1986"/>
  <c r="AA1986"/>
  <c r="Z1987"/>
  <c r="AA1987"/>
  <c r="Z1988"/>
  <c r="AA1988"/>
  <c r="Z1989"/>
  <c r="AA1989"/>
  <c r="Z1990"/>
  <c r="AA1990"/>
  <c r="Z1991"/>
  <c r="AA1991"/>
  <c r="Z1992"/>
  <c r="AA1992"/>
  <c r="Z1993"/>
  <c r="AA1993"/>
  <c r="Z1994"/>
  <c r="AA1994"/>
  <c r="Z1995"/>
  <c r="AA1995"/>
  <c r="Z1996"/>
  <c r="AA1996"/>
  <c r="Z1997"/>
  <c r="AA1997"/>
  <c r="Z1998"/>
  <c r="AA1998"/>
  <c r="Z1999"/>
  <c r="AA1999"/>
  <c r="Z2000"/>
  <c r="AA2000"/>
  <c r="Z2001"/>
  <c r="AA2001"/>
  <c r="Z2002"/>
  <c r="AA2002"/>
  <c r="Z2003"/>
  <c r="AA2003"/>
  <c r="Z2004"/>
  <c r="AA2004"/>
  <c r="Z2005"/>
  <c r="AA2005"/>
  <c r="Z2006"/>
  <c r="AA2006"/>
  <c r="Z2007"/>
  <c r="AA2007"/>
  <c r="Z2008"/>
  <c r="AA2008"/>
  <c r="Z2009"/>
  <c r="AA2009"/>
  <c r="Z2010"/>
  <c r="AA2010"/>
  <c r="Z2011"/>
  <c r="AA2011"/>
  <c r="Z2012"/>
  <c r="AA2012"/>
  <c r="Z2013"/>
  <c r="AA2013"/>
  <c r="Z2014"/>
  <c r="AA2014"/>
  <c r="Z2015"/>
  <c r="AA2015"/>
  <c r="Z2016"/>
  <c r="AA2016"/>
  <c r="Z2017"/>
  <c r="AA2017"/>
  <c r="Z2018"/>
  <c r="AA2018"/>
  <c r="Z2019"/>
  <c r="AA2019"/>
  <c r="Z2020"/>
  <c r="AA2020"/>
  <c r="Z2021"/>
  <c r="AA2021"/>
  <c r="Z2022"/>
  <c r="AA2022"/>
  <c r="Z2023"/>
  <c r="AA2023"/>
  <c r="Z2024"/>
  <c r="AA2024"/>
  <c r="Z2025"/>
  <c r="AA2025"/>
  <c r="Z2026"/>
  <c r="AA2026"/>
  <c r="Z2027"/>
  <c r="AA2027"/>
  <c r="Z2028"/>
  <c r="AA2028"/>
  <c r="Z2029"/>
  <c r="AA2029"/>
  <c r="Z2030"/>
  <c r="AA2030"/>
  <c r="Z2031"/>
  <c r="AA2031"/>
  <c r="Z2032"/>
  <c r="AA2032"/>
  <c r="Z2033"/>
  <c r="AA2033"/>
  <c r="Z2034"/>
  <c r="AA2034"/>
  <c r="Z2035"/>
  <c r="AA2035"/>
  <c r="Z2036"/>
  <c r="AA2036"/>
  <c r="Z2037"/>
  <c r="AA2037"/>
  <c r="Z2038"/>
  <c r="AA2038"/>
  <c r="Z2039"/>
  <c r="AA2039"/>
  <c r="Z2040"/>
  <c r="AA2040"/>
  <c r="Z2041"/>
  <c r="AA2041"/>
  <c r="Z2042"/>
  <c r="AA2042"/>
  <c r="Z2043"/>
  <c r="AA2043"/>
  <c r="Z2044"/>
  <c r="AA2044"/>
  <c r="Z2045"/>
  <c r="AA2045"/>
  <c r="Z2046"/>
  <c r="AA2046"/>
  <c r="Z2047"/>
  <c r="AA2047"/>
  <c r="Z2048"/>
  <c r="AA2048"/>
  <c r="Z2049"/>
  <c r="AA2049"/>
  <c r="Z2050"/>
  <c r="AA2050"/>
  <c r="Z2051"/>
  <c r="AA2051"/>
  <c r="Z2052"/>
  <c r="AA2052"/>
  <c r="Z2053"/>
  <c r="AA2053"/>
  <c r="Z2054"/>
  <c r="AA2054"/>
  <c r="Z2055"/>
  <c r="AA2055"/>
  <c r="Z2056"/>
  <c r="AA2056"/>
  <c r="Z2057"/>
  <c r="AA2057"/>
  <c r="Z2058"/>
  <c r="AA2058"/>
  <c r="Z2059"/>
  <c r="AA2059"/>
  <c r="Z2060"/>
  <c r="AA2060"/>
  <c r="Z2061"/>
  <c r="AA2061"/>
  <c r="Z2062"/>
  <c r="AA2062"/>
  <c r="Z2063"/>
  <c r="AA2063"/>
  <c r="Z2064"/>
  <c r="AA2064"/>
  <c r="Z2065"/>
  <c r="AA2065"/>
  <c r="Z2066"/>
  <c r="AA2066"/>
  <c r="Z2067"/>
  <c r="AA2067"/>
  <c r="Z2068"/>
  <c r="AA2068"/>
  <c r="Z2069"/>
  <c r="AA2069"/>
  <c r="Z2070"/>
  <c r="AA2070"/>
  <c r="Z2071"/>
  <c r="AA2071"/>
  <c r="Z2072"/>
  <c r="AA2072"/>
  <c r="Z2073"/>
  <c r="AA2073"/>
  <c r="Z2074"/>
  <c r="AA2074"/>
  <c r="Z2075"/>
  <c r="AA2075"/>
  <c r="Z2076"/>
  <c r="AA2076"/>
  <c r="Z2077"/>
  <c r="AA2077"/>
  <c r="Z2078"/>
  <c r="AA2078"/>
  <c r="Z2079"/>
  <c r="AA2079"/>
  <c r="Z2080"/>
  <c r="AA2080"/>
  <c r="Z2081"/>
  <c r="AA2081"/>
  <c r="Z2082"/>
  <c r="AA2082"/>
  <c r="Z2083"/>
  <c r="AA2083"/>
  <c r="Z2084"/>
  <c r="AA2084"/>
  <c r="Z2085"/>
  <c r="AA2085"/>
  <c r="Z2086"/>
  <c r="AA2086"/>
  <c r="Z2087"/>
  <c r="AA2087"/>
  <c r="Z2088"/>
  <c r="AA2088"/>
  <c r="Z2089"/>
  <c r="AA2089"/>
  <c r="Z2090"/>
  <c r="AA2090"/>
  <c r="Z2091"/>
  <c r="AA2091"/>
  <c r="Z2092"/>
  <c r="AA2092"/>
  <c r="Z2093"/>
  <c r="AA2093"/>
  <c r="Z2094"/>
  <c r="AA2094"/>
  <c r="Z2095"/>
  <c r="AA2095"/>
  <c r="Z2096"/>
  <c r="AA2096"/>
  <c r="Z2097"/>
  <c r="AA2097"/>
  <c r="Z2098"/>
  <c r="AA2098"/>
  <c r="Z2099"/>
  <c r="AA2099"/>
  <c r="Z2100"/>
  <c r="AA2100"/>
  <c r="Z2101"/>
  <c r="AA2101"/>
  <c r="Z2102"/>
  <c r="AA2102"/>
  <c r="Z2103"/>
  <c r="AA2103"/>
  <c r="Z2104"/>
  <c r="AA2104"/>
  <c r="Z2105"/>
  <c r="AA2105"/>
  <c r="Z2106"/>
  <c r="AA2106"/>
  <c r="Z2107"/>
  <c r="AA2107"/>
  <c r="Z2108"/>
  <c r="AA2108"/>
  <c r="Z2109"/>
  <c r="AA2109"/>
  <c r="Z2110"/>
  <c r="AA2110"/>
  <c r="Z2111"/>
  <c r="AA2111"/>
  <c r="Z2112"/>
  <c r="AA2112"/>
  <c r="Z2113"/>
  <c r="AA2113"/>
  <c r="Z2114"/>
  <c r="AA2114"/>
  <c r="Z2115"/>
  <c r="AA2115"/>
  <c r="Z2116"/>
  <c r="AA2116"/>
  <c r="Z2117"/>
  <c r="AA2117"/>
  <c r="Z2118"/>
  <c r="AA2118"/>
  <c r="Z2119"/>
  <c r="AA2119"/>
  <c r="Z2120"/>
  <c r="AA2120"/>
  <c r="Z2121"/>
  <c r="AA2121"/>
  <c r="Z2122"/>
  <c r="AA2122"/>
  <c r="Z2123"/>
  <c r="AA2123"/>
  <c r="Z2124"/>
  <c r="AA2124"/>
  <c r="Z2125"/>
  <c r="AA2125"/>
  <c r="Z2126"/>
  <c r="AA2126"/>
  <c r="Z2127"/>
  <c r="AA2127"/>
  <c r="Z2128"/>
  <c r="AA2128"/>
  <c r="Z2129"/>
  <c r="AA2129"/>
  <c r="Z2130"/>
  <c r="AA2130"/>
  <c r="Z2131"/>
  <c r="AA2131"/>
  <c r="Z2132"/>
  <c r="AA2132"/>
  <c r="Z2133"/>
  <c r="AA2133"/>
  <c r="Z2134"/>
  <c r="AA2134"/>
  <c r="Z2135"/>
  <c r="AA2135"/>
  <c r="Z2136"/>
  <c r="AA2136"/>
  <c r="Z2137"/>
  <c r="AA2137"/>
  <c r="Z2138"/>
  <c r="AA2138"/>
  <c r="Z2139"/>
  <c r="AA2139"/>
  <c r="Z2140"/>
  <c r="AA2140"/>
  <c r="Z2141"/>
  <c r="AA2141"/>
  <c r="Z2142"/>
  <c r="AA2142"/>
  <c r="Z2143"/>
  <c r="AA2143"/>
  <c r="Z2144"/>
  <c r="AA2144"/>
  <c r="Z2145"/>
  <c r="AA2145"/>
  <c r="Z2146"/>
  <c r="AA2146"/>
  <c r="Z2147"/>
  <c r="AA2147"/>
  <c r="Z2148"/>
  <c r="AA2148"/>
  <c r="Z2149"/>
  <c r="AA2149"/>
  <c r="Z2150"/>
  <c r="AA2150"/>
  <c r="Z2151"/>
  <c r="AA2151"/>
  <c r="Z2152"/>
  <c r="AA2152"/>
  <c r="Z2153"/>
  <c r="AA2153"/>
  <c r="Z2154"/>
  <c r="AA2154"/>
  <c r="Z2155"/>
  <c r="AA2155"/>
  <c r="Z2156"/>
  <c r="AA2156"/>
  <c r="Z2157"/>
  <c r="AA2157"/>
  <c r="Z2158"/>
  <c r="AA2158"/>
  <c r="Z2159"/>
  <c r="AA2159"/>
  <c r="Z2160"/>
  <c r="AA2160"/>
  <c r="Z2161"/>
  <c r="AA2161"/>
  <c r="Z2162"/>
  <c r="AA2162"/>
  <c r="Z2163"/>
  <c r="AA2163"/>
  <c r="Z2164"/>
  <c r="AA2164"/>
  <c r="Z2165"/>
  <c r="AA2165"/>
  <c r="Z2166"/>
  <c r="AA2166"/>
  <c r="Z2167"/>
  <c r="AA2167"/>
  <c r="Z2168"/>
  <c r="AA2168"/>
  <c r="Z2169"/>
  <c r="AA2169"/>
  <c r="Z2170"/>
  <c r="AA2170"/>
  <c r="Z2171"/>
  <c r="AA2171"/>
  <c r="Z2172"/>
  <c r="AA2172"/>
  <c r="Z2173"/>
  <c r="AA2173"/>
  <c r="Z2174"/>
  <c r="AA2174"/>
  <c r="Z2175"/>
  <c r="AA2175"/>
  <c r="Z2176"/>
  <c r="AA2176"/>
  <c r="Z2177"/>
  <c r="AA2177"/>
  <c r="Z2178"/>
  <c r="AA2178"/>
  <c r="Z2179"/>
  <c r="AA2179"/>
  <c r="Z2180"/>
  <c r="AA2180"/>
  <c r="Z2181"/>
  <c r="AA2181"/>
  <c r="Z2182"/>
  <c r="AA2182"/>
  <c r="Z2183"/>
  <c r="AA2183"/>
  <c r="Z2184"/>
  <c r="AA2184"/>
  <c r="Z2185"/>
  <c r="AA2185"/>
  <c r="Z2186"/>
  <c r="AA2186"/>
  <c r="Z2187"/>
  <c r="AA2187"/>
  <c r="Z2188"/>
  <c r="AA2188"/>
  <c r="Z2189"/>
  <c r="AA2189"/>
  <c r="Z2190"/>
  <c r="AA2190"/>
  <c r="Z2191"/>
  <c r="AA2191"/>
  <c r="Z2192"/>
  <c r="AA2192"/>
  <c r="Z2193"/>
  <c r="AA2193"/>
  <c r="Z2194"/>
  <c r="AA2194"/>
  <c r="Z2195"/>
  <c r="AA2195"/>
  <c r="Z2196"/>
  <c r="AA2196"/>
  <c r="Z2197"/>
  <c r="AA2197"/>
  <c r="Z2198"/>
  <c r="AA2198"/>
  <c r="Z2199"/>
  <c r="AA2199"/>
  <c r="Z2200"/>
  <c r="AA2200"/>
  <c r="Z2201"/>
  <c r="AA2201"/>
  <c r="Z2202"/>
  <c r="AA2202"/>
  <c r="Z2203"/>
  <c r="AA2203"/>
  <c r="Z2204"/>
  <c r="AA2204"/>
  <c r="Z2205"/>
  <c r="AA2205"/>
  <c r="Z2206"/>
  <c r="AA2206"/>
  <c r="Z2207"/>
  <c r="AA2207"/>
  <c r="Z2208"/>
  <c r="AA2208"/>
  <c r="Z2209"/>
  <c r="AA2209"/>
  <c r="Z2210"/>
  <c r="AA2210"/>
  <c r="AB170"/>
  <c r="F3" i="11"/>
  <c r="F4"/>
  <c r="F5"/>
  <c r="C28" s="1"/>
  <c r="F6"/>
  <c r="F7"/>
  <c r="F8"/>
  <c r="F9"/>
  <c r="F2"/>
  <c r="D3"/>
  <c r="D4"/>
  <c r="D5"/>
  <c r="D6"/>
  <c r="D7"/>
  <c r="D8"/>
  <c r="D9"/>
  <c r="D2"/>
  <c r="AO29" i="15"/>
  <c r="AP29"/>
  <c r="AQ29"/>
  <c r="AR29"/>
  <c r="AS29"/>
  <c r="AT29"/>
  <c r="AU29"/>
  <c r="AV29"/>
  <c r="AW29"/>
  <c r="AX29"/>
  <c r="AY29"/>
  <c r="AZ29"/>
  <c r="BA29"/>
  <c r="BB29"/>
  <c r="BC29"/>
  <c r="BD29"/>
  <c r="BE29"/>
  <c r="BF29"/>
  <c r="BG29"/>
  <c r="BH29"/>
  <c r="BI29"/>
  <c r="BJ29"/>
  <c r="BK29"/>
  <c r="BL29"/>
  <c r="BM29"/>
  <c r="BN29"/>
  <c r="BO29"/>
  <c r="BP29"/>
  <c r="BQ29"/>
  <c r="BR29"/>
  <c r="BS29"/>
  <c r="A3" i="18"/>
  <c r="A4"/>
  <c r="A5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B151" i="7"/>
  <c r="I559" i="5"/>
  <c r="M33" i="4"/>
  <c r="N33"/>
  <c r="O33"/>
  <c r="P33"/>
  <c r="Q33"/>
  <c r="R33"/>
  <c r="S33"/>
  <c r="T33"/>
  <c r="U33"/>
  <c r="V33"/>
  <c r="W33"/>
  <c r="X33"/>
  <c r="Y33"/>
  <c r="Z33"/>
  <c r="AA33"/>
  <c r="AB33"/>
  <c r="AC33"/>
  <c r="AD33"/>
  <c r="AE33"/>
  <c r="AF33"/>
  <c r="AG33"/>
  <c r="AH33"/>
  <c r="AI33"/>
  <c r="AJ33"/>
  <c r="AK33"/>
  <c r="AL33"/>
  <c r="AM33"/>
  <c r="AN33"/>
  <c r="AO33"/>
  <c r="AP33"/>
  <c r="AQ33"/>
  <c r="AB154" i="7"/>
  <c r="AB158"/>
  <c r="B70"/>
  <c r="B71"/>
  <c r="B72"/>
  <c r="B73"/>
  <c r="L52" i="30" a="1"/>
  <c r="L52" s="1"/>
  <c r="M52" s="1" a="1"/>
  <c r="M52" s="1"/>
  <c r="N52" a="1"/>
  <c r="N52" s="1"/>
  <c r="O52" a="1"/>
  <c r="O52" s="1"/>
  <c r="E52"/>
  <c r="F52"/>
  <c r="G52"/>
  <c r="H52"/>
  <c r="J52"/>
  <c r="A147" i="32"/>
  <c r="A146"/>
  <c r="A145"/>
  <c r="A144"/>
  <c r="A143"/>
  <c r="A142"/>
  <c r="A141"/>
  <c r="A140"/>
  <c r="A139"/>
  <c r="A138"/>
  <c r="A137"/>
  <c r="A136"/>
  <c r="A135"/>
  <c r="A134"/>
  <c r="A133"/>
  <c r="A132"/>
  <c r="A131"/>
  <c r="A130"/>
  <c r="A129"/>
  <c r="A128"/>
  <c r="A127"/>
  <c r="A126"/>
  <c r="A125"/>
  <c r="A124"/>
  <c r="A123"/>
  <c r="A122"/>
  <c r="A121"/>
  <c r="A120"/>
  <c r="A119"/>
  <c r="A118"/>
  <c r="A117"/>
  <c r="A116"/>
  <c r="A115"/>
  <c r="A114"/>
  <c r="A113"/>
  <c r="A112"/>
  <c r="A111"/>
  <c r="A110"/>
  <c r="A109"/>
  <c r="A108"/>
  <c r="A107"/>
  <c r="A106"/>
  <c r="A105"/>
  <c r="A104"/>
  <c r="A103"/>
  <c r="A102"/>
  <c r="A101"/>
  <c r="A100"/>
  <c r="A99"/>
  <c r="A98"/>
  <c r="A97"/>
  <c r="A96"/>
  <c r="A95"/>
  <c r="A94"/>
  <c r="A93"/>
  <c r="A92"/>
  <c r="A91"/>
  <c r="A90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A9"/>
  <c r="A8"/>
  <c r="A7"/>
  <c r="A6"/>
  <c r="A5"/>
  <c r="A4"/>
  <c r="A3"/>
  <c r="A2"/>
  <c r="A219" i="33"/>
  <c r="A218"/>
  <c r="A217"/>
  <c r="A216"/>
  <c r="A215"/>
  <c r="A214"/>
  <c r="A213"/>
  <c r="A212"/>
  <c r="A211"/>
  <c r="A210"/>
  <c r="A209"/>
  <c r="A208"/>
  <c r="A207"/>
  <c r="A206"/>
  <c r="A205"/>
  <c r="A204"/>
  <c r="A203"/>
  <c r="A202"/>
  <c r="A201"/>
  <c r="A200"/>
  <c r="A199"/>
  <c r="A198"/>
  <c r="A197"/>
  <c r="A196"/>
  <c r="A195"/>
  <c r="A194"/>
  <c r="A193"/>
  <c r="A192"/>
  <c r="A191"/>
  <c r="A190"/>
  <c r="A189"/>
  <c r="A188"/>
  <c r="A187"/>
  <c r="A186"/>
  <c r="A185"/>
  <c r="A184"/>
  <c r="A183"/>
  <c r="A182"/>
  <c r="A181"/>
  <c r="A180"/>
  <c r="A179"/>
  <c r="A178"/>
  <c r="A177"/>
  <c r="A176"/>
  <c r="A175"/>
  <c r="A174"/>
  <c r="A173"/>
  <c r="A172"/>
  <c r="A171"/>
  <c r="A170"/>
  <c r="A169"/>
  <c r="A168"/>
  <c r="A167"/>
  <c r="A166"/>
  <c r="A165"/>
  <c r="A164"/>
  <c r="A163"/>
  <c r="A162"/>
  <c r="A161"/>
  <c r="A160"/>
  <c r="A159"/>
  <c r="A158"/>
  <c r="A157"/>
  <c r="A156"/>
  <c r="A155"/>
  <c r="A154"/>
  <c r="A153"/>
  <c r="A152"/>
  <c r="A151"/>
  <c r="A150"/>
  <c r="A149"/>
  <c r="A148"/>
  <c r="A147"/>
  <c r="A146"/>
  <c r="A145"/>
  <c r="A144"/>
  <c r="A143"/>
  <c r="A142"/>
  <c r="A141"/>
  <c r="A140"/>
  <c r="A139"/>
  <c r="A138"/>
  <c r="A137"/>
  <c r="A136"/>
  <c r="A135"/>
  <c r="A134"/>
  <c r="A133"/>
  <c r="A132"/>
  <c r="A131"/>
  <c r="A130"/>
  <c r="A129"/>
  <c r="A128"/>
  <c r="A127"/>
  <c r="A126"/>
  <c r="A125"/>
  <c r="A124"/>
  <c r="A123"/>
  <c r="A122"/>
  <c r="A121"/>
  <c r="A120"/>
  <c r="A119"/>
  <c r="A118"/>
  <c r="A117"/>
  <c r="A116"/>
  <c r="A115"/>
  <c r="A114"/>
  <c r="A113"/>
  <c r="A112"/>
  <c r="A111"/>
  <c r="A110"/>
  <c r="A109"/>
  <c r="A108"/>
  <c r="A107"/>
  <c r="A106"/>
  <c r="A105"/>
  <c r="A104"/>
  <c r="A103"/>
  <c r="A102"/>
  <c r="A101"/>
  <c r="A100"/>
  <c r="A99"/>
  <c r="A98"/>
  <c r="A97"/>
  <c r="A96"/>
  <c r="A95"/>
  <c r="A94"/>
  <c r="A93"/>
  <c r="A92"/>
  <c r="A91"/>
  <c r="A90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A9"/>
  <c r="A8"/>
  <c r="A7"/>
  <c r="A6"/>
  <c r="A5"/>
  <c r="A4"/>
  <c r="A3"/>
  <c r="A2"/>
  <c r="A55" i="31"/>
  <c r="F55"/>
  <c r="A54"/>
  <c r="F54"/>
  <c r="N3" i="30" a="1"/>
  <c r="N3" s="1"/>
  <c r="N4" a="1"/>
  <c r="N4" s="1"/>
  <c r="N7" a="1"/>
  <c r="N7" s="1"/>
  <c r="N8" a="1"/>
  <c r="N8" s="1"/>
  <c r="N9" a="1"/>
  <c r="N9" s="1"/>
  <c r="N10" a="1"/>
  <c r="N10" s="1"/>
  <c r="N11" a="1"/>
  <c r="N11" s="1"/>
  <c r="N12" a="1"/>
  <c r="N12" s="1"/>
  <c r="N13" a="1"/>
  <c r="N13" s="1"/>
  <c r="N14" a="1"/>
  <c r="N14" s="1"/>
  <c r="N15" a="1"/>
  <c r="N15" s="1"/>
  <c r="N16" a="1"/>
  <c r="N16" s="1"/>
  <c r="N17" a="1"/>
  <c r="N17" s="1"/>
  <c r="N18" a="1"/>
  <c r="N18" s="1"/>
  <c r="N19" a="1"/>
  <c r="N19" s="1"/>
  <c r="N20" a="1"/>
  <c r="N20" s="1"/>
  <c r="N21" a="1"/>
  <c r="N21" s="1"/>
  <c r="N22" a="1"/>
  <c r="N22" s="1"/>
  <c r="N23" a="1"/>
  <c r="N23" s="1"/>
  <c r="N24" a="1"/>
  <c r="N24" s="1"/>
  <c r="N25" a="1"/>
  <c r="N25" s="1"/>
  <c r="N26" a="1"/>
  <c r="N26" s="1"/>
  <c r="N27" a="1"/>
  <c r="N27" s="1"/>
  <c r="N28" a="1"/>
  <c r="N28" s="1"/>
  <c r="N29" a="1"/>
  <c r="N29" s="1"/>
  <c r="N30" a="1"/>
  <c r="N30" s="1"/>
  <c r="N31" a="1"/>
  <c r="N31" s="1"/>
  <c r="N32" a="1"/>
  <c r="N32" s="1"/>
  <c r="N33" a="1"/>
  <c r="N33" s="1"/>
  <c r="N34" a="1"/>
  <c r="N34" s="1"/>
  <c r="N35" a="1"/>
  <c r="N35" s="1"/>
  <c r="N36" a="1"/>
  <c r="N36" s="1"/>
  <c r="N37" a="1"/>
  <c r="N37" s="1"/>
  <c r="N38" a="1"/>
  <c r="N38" s="1"/>
  <c r="N39" a="1"/>
  <c r="N39" s="1"/>
  <c r="N40" a="1"/>
  <c r="N40" s="1"/>
  <c r="N41" a="1"/>
  <c r="N41" s="1"/>
  <c r="N42" a="1"/>
  <c r="N42" s="1"/>
  <c r="N43" a="1"/>
  <c r="N43" s="1"/>
  <c r="N44" a="1"/>
  <c r="N44" s="1"/>
  <c r="N45" a="1"/>
  <c r="N45" s="1"/>
  <c r="N46" a="1"/>
  <c r="N46" s="1"/>
  <c r="N47" a="1"/>
  <c r="N47" s="1"/>
  <c r="N48" a="1"/>
  <c r="N48" s="1"/>
  <c r="N49" a="1"/>
  <c r="N49" s="1"/>
  <c r="N50" a="1"/>
  <c r="N50" s="1"/>
  <c r="N51" a="1"/>
  <c r="N51" s="1"/>
  <c r="N53" a="1"/>
  <c r="N53" s="1"/>
  <c r="N2" a="1"/>
  <c r="N2" s="1"/>
  <c r="O3" a="1"/>
  <c r="O3" s="1"/>
  <c r="O4" a="1"/>
  <c r="O4" s="1"/>
  <c r="O7" a="1"/>
  <c r="O7" s="1"/>
  <c r="O8" a="1"/>
  <c r="O8" s="1"/>
  <c r="O9" a="1"/>
  <c r="O9" s="1"/>
  <c r="O10" a="1"/>
  <c r="O10" s="1"/>
  <c r="O11" a="1"/>
  <c r="O11" s="1"/>
  <c r="O12" a="1"/>
  <c r="O12" s="1"/>
  <c r="O13" a="1"/>
  <c r="O13" s="1"/>
  <c r="O14" a="1"/>
  <c r="O14" s="1"/>
  <c r="O15" a="1"/>
  <c r="O15" s="1"/>
  <c r="O16" a="1"/>
  <c r="O16" s="1"/>
  <c r="O17" a="1"/>
  <c r="O17" s="1"/>
  <c r="O18" a="1"/>
  <c r="O18" s="1"/>
  <c r="O19" a="1"/>
  <c r="O19" s="1"/>
  <c r="O20" a="1"/>
  <c r="O20" s="1"/>
  <c r="O21" a="1"/>
  <c r="O21" s="1"/>
  <c r="O22" a="1"/>
  <c r="O22" s="1"/>
  <c r="O23" a="1"/>
  <c r="O23" s="1"/>
  <c r="O24" a="1"/>
  <c r="O24" s="1"/>
  <c r="O25" a="1"/>
  <c r="O25" s="1"/>
  <c r="O26" a="1"/>
  <c r="O26" s="1"/>
  <c r="O27" a="1"/>
  <c r="O27" s="1"/>
  <c r="O28" a="1"/>
  <c r="O28" s="1"/>
  <c r="O29" a="1"/>
  <c r="O29" s="1"/>
  <c r="O30" a="1"/>
  <c r="O30" s="1"/>
  <c r="O31" a="1"/>
  <c r="O31" s="1"/>
  <c r="O32" a="1"/>
  <c r="O32" s="1"/>
  <c r="O33" a="1"/>
  <c r="O33" s="1"/>
  <c r="O34" a="1"/>
  <c r="O34" s="1"/>
  <c r="O35" a="1"/>
  <c r="O35" s="1"/>
  <c r="O36" a="1"/>
  <c r="O36" s="1"/>
  <c r="O37" a="1"/>
  <c r="O37" s="1"/>
  <c r="O38" a="1"/>
  <c r="O38" s="1"/>
  <c r="O39" a="1"/>
  <c r="O39" s="1"/>
  <c r="O40" a="1"/>
  <c r="O40" s="1"/>
  <c r="O41" a="1"/>
  <c r="O41" s="1"/>
  <c r="O42" a="1"/>
  <c r="O42" s="1"/>
  <c r="O43" a="1"/>
  <c r="O43" s="1"/>
  <c r="O44" a="1"/>
  <c r="O44" s="1"/>
  <c r="O45" a="1"/>
  <c r="O45" s="1"/>
  <c r="O46" a="1"/>
  <c r="O46" s="1"/>
  <c r="O47" a="1"/>
  <c r="O47" s="1"/>
  <c r="O48" a="1"/>
  <c r="O48" s="1"/>
  <c r="O49" a="1"/>
  <c r="O49" s="1"/>
  <c r="O50" a="1"/>
  <c r="O50" s="1"/>
  <c r="O51" a="1"/>
  <c r="O51" s="1"/>
  <c r="O53" a="1"/>
  <c r="O53" s="1"/>
  <c r="P3" i="28" a="1"/>
  <c r="P3" s="1"/>
  <c r="P4" a="1"/>
  <c r="P4" s="1"/>
  <c r="P7" a="1"/>
  <c r="P7" s="1"/>
  <c r="P8" a="1"/>
  <c r="P8" s="1"/>
  <c r="P9" a="1"/>
  <c r="P9" s="1"/>
  <c r="P10" a="1"/>
  <c r="P10" s="1"/>
  <c r="P11" a="1"/>
  <c r="P11" s="1"/>
  <c r="P12" a="1"/>
  <c r="P12" s="1"/>
  <c r="P13" a="1"/>
  <c r="P13" s="1"/>
  <c r="P14" a="1"/>
  <c r="P14" s="1"/>
  <c r="P15" a="1"/>
  <c r="P15" s="1"/>
  <c r="P16" a="1"/>
  <c r="P16" s="1"/>
  <c r="P17" a="1"/>
  <c r="P17" s="1"/>
  <c r="P18" a="1"/>
  <c r="P18" s="1"/>
  <c r="P19" a="1"/>
  <c r="P19" s="1"/>
  <c r="P20" a="1"/>
  <c r="P20" s="1"/>
  <c r="P21" a="1"/>
  <c r="P21" s="1"/>
  <c r="P22" a="1"/>
  <c r="P22" s="1"/>
  <c r="P23" a="1"/>
  <c r="P23" s="1"/>
  <c r="P24" a="1"/>
  <c r="P24" s="1"/>
  <c r="P25" a="1"/>
  <c r="P25" s="1"/>
  <c r="P26" a="1"/>
  <c r="P26" s="1"/>
  <c r="P27" a="1"/>
  <c r="P27" s="1"/>
  <c r="P28" a="1"/>
  <c r="P28" s="1"/>
  <c r="P29" a="1"/>
  <c r="P29" s="1"/>
  <c r="P30" a="1"/>
  <c r="P30" s="1"/>
  <c r="P31" a="1"/>
  <c r="P31" s="1"/>
  <c r="P32" a="1"/>
  <c r="P32" s="1"/>
  <c r="P33" a="1"/>
  <c r="P33" s="1"/>
  <c r="P34" a="1"/>
  <c r="P34" s="1"/>
  <c r="P35" a="1"/>
  <c r="P35" s="1"/>
  <c r="P36" a="1"/>
  <c r="P36" s="1"/>
  <c r="P37" a="1"/>
  <c r="P37" s="1"/>
  <c r="P38" a="1"/>
  <c r="P38" s="1"/>
  <c r="P39" a="1"/>
  <c r="P39" s="1"/>
  <c r="P40" a="1"/>
  <c r="P40" s="1"/>
  <c r="P41" a="1"/>
  <c r="P41" s="1"/>
  <c r="P42" a="1"/>
  <c r="P42" s="1"/>
  <c r="P43" a="1"/>
  <c r="P43" s="1"/>
  <c r="P44" a="1"/>
  <c r="P44" s="1"/>
  <c r="P45" a="1"/>
  <c r="P45" s="1"/>
  <c r="P46" a="1"/>
  <c r="P46" s="1"/>
  <c r="P47" a="1"/>
  <c r="P47" s="1"/>
  <c r="P48" a="1"/>
  <c r="P48" s="1"/>
  <c r="P49" a="1"/>
  <c r="P49" s="1"/>
  <c r="P50" a="1"/>
  <c r="P50" s="1"/>
  <c r="P51" a="1"/>
  <c r="P51" s="1"/>
  <c r="P52" a="1"/>
  <c r="P52" s="1"/>
  <c r="P55" a="1"/>
  <c r="P55" s="1"/>
  <c r="P56" a="1"/>
  <c r="P56" s="1"/>
  <c r="P57" a="1"/>
  <c r="P57" s="1"/>
  <c r="P59" a="1"/>
  <c r="P59" s="1"/>
  <c r="P60" a="1"/>
  <c r="P60" s="1"/>
  <c r="P61" a="1"/>
  <c r="P61" s="1"/>
  <c r="P62" a="1"/>
  <c r="P62" s="1"/>
  <c r="P63" a="1"/>
  <c r="P63" s="1"/>
  <c r="P64" a="1"/>
  <c r="P64" s="1"/>
  <c r="P2" a="1"/>
  <c r="P2" s="1"/>
  <c r="Z12" i="30"/>
  <c r="Z13"/>
  <c r="Z14"/>
  <c r="Z15"/>
  <c r="Z17"/>
  <c r="Z20"/>
  <c r="Z21"/>
  <c r="Z22"/>
  <c r="Z23"/>
  <c r="Z25"/>
  <c r="Z27"/>
  <c r="Z28"/>
  <c r="Z30"/>
  <c r="Z31"/>
  <c r="Z32"/>
  <c r="Z33"/>
  <c r="Z34"/>
  <c r="Z35"/>
  <c r="Z36"/>
  <c r="Z38"/>
  <c r="Z46"/>
  <c r="Z48"/>
  <c r="Z49"/>
  <c r="Z50"/>
  <c r="Z2"/>
  <c r="Y12"/>
  <c r="Y13"/>
  <c r="Y14"/>
  <c r="Y15"/>
  <c r="Y17"/>
  <c r="Y20"/>
  <c r="Y21"/>
  <c r="Y22"/>
  <c r="Y23"/>
  <c r="Y25"/>
  <c r="Y27"/>
  <c r="Y28"/>
  <c r="Y30"/>
  <c r="Y31"/>
  <c r="Y32"/>
  <c r="Y33"/>
  <c r="Y34"/>
  <c r="Y35"/>
  <c r="Y36"/>
  <c r="Y38"/>
  <c r="Y46"/>
  <c r="Y48"/>
  <c r="Y49"/>
  <c r="Y50"/>
  <c r="Y2"/>
  <c r="M36" i="31"/>
  <c r="N36"/>
  <c r="M37"/>
  <c r="N37"/>
  <c r="M38"/>
  <c r="N38"/>
  <c r="F37"/>
  <c r="J37"/>
  <c r="J36"/>
  <c r="F36"/>
  <c r="A36"/>
  <c r="A37"/>
  <c r="A38"/>
  <c r="A39"/>
  <c r="B148" i="7"/>
  <c r="B149"/>
  <c r="B150"/>
  <c r="B151"/>
  <c r="B152"/>
  <c r="B153"/>
  <c r="B154"/>
  <c r="B155"/>
  <c r="B156"/>
  <c r="X156" s="1"/>
  <c r="B157"/>
  <c r="X157" s="1"/>
  <c r="B158"/>
  <c r="X158" s="1"/>
  <c r="B159"/>
  <c r="X159" s="1"/>
  <c r="B160"/>
  <c r="B161"/>
  <c r="B162"/>
  <c r="B163"/>
  <c r="B164"/>
  <c r="B165"/>
  <c r="B166"/>
  <c r="B167"/>
  <c r="B168"/>
  <c r="B169"/>
  <c r="B170"/>
  <c r="B171"/>
  <c r="C171" s="1"/>
  <c r="B172"/>
  <c r="D172" s="1"/>
  <c r="B173"/>
  <c r="D173" s="1"/>
  <c r="B174"/>
  <c r="D174" s="1"/>
  <c r="B175"/>
  <c r="C175" s="1"/>
  <c r="B176"/>
  <c r="D176" s="1"/>
  <c r="B177"/>
  <c r="D177" s="1"/>
  <c r="B178"/>
  <c r="D178" s="1"/>
  <c r="B179"/>
  <c r="C179" s="1"/>
  <c r="B180"/>
  <c r="D180" s="1"/>
  <c r="B181"/>
  <c r="C181" s="1"/>
  <c r="B182"/>
  <c r="D182" s="1"/>
  <c r="B183"/>
  <c r="C183" s="1"/>
  <c r="B184"/>
  <c r="D184" s="1"/>
  <c r="W184" s="1"/>
  <c r="T11" i="30" s="1"/>
  <c r="B185" i="7"/>
  <c r="D185" s="1"/>
  <c r="B186"/>
  <c r="D186" s="1"/>
  <c r="W186" s="1"/>
  <c r="C186"/>
  <c r="B187"/>
  <c r="C187" s="1"/>
  <c r="B188"/>
  <c r="D188" s="1"/>
  <c r="C188"/>
  <c r="B189"/>
  <c r="D189" s="1"/>
  <c r="C189"/>
  <c r="B190"/>
  <c r="D190" s="1"/>
  <c r="C190"/>
  <c r="B191"/>
  <c r="C191"/>
  <c r="B192"/>
  <c r="D192" s="1"/>
  <c r="C192"/>
  <c r="B193"/>
  <c r="D193" s="1"/>
  <c r="C193"/>
  <c r="B194"/>
  <c r="D194" s="1"/>
  <c r="C194"/>
  <c r="B195"/>
  <c r="C195"/>
  <c r="B196"/>
  <c r="D196" s="1"/>
  <c r="C196"/>
  <c r="B197"/>
  <c r="D197" s="1"/>
  <c r="C197"/>
  <c r="B198"/>
  <c r="D198" s="1"/>
  <c r="C198"/>
  <c r="B199"/>
  <c r="D199" s="1"/>
  <c r="C199"/>
  <c r="B200"/>
  <c r="D200" s="1"/>
  <c r="C200"/>
  <c r="B201"/>
  <c r="C201"/>
  <c r="B202"/>
  <c r="D202" s="1"/>
  <c r="C202"/>
  <c r="B203"/>
  <c r="C203"/>
  <c r="B204"/>
  <c r="D204" s="1"/>
  <c r="C204"/>
  <c r="B205"/>
  <c r="C205"/>
  <c r="B206"/>
  <c r="D206" s="1"/>
  <c r="C206"/>
  <c r="B207"/>
  <c r="C207"/>
  <c r="B208"/>
  <c r="D208" s="1"/>
  <c r="C208"/>
  <c r="B209"/>
  <c r="D209" s="1"/>
  <c r="C209"/>
  <c r="B210"/>
  <c r="D210" s="1"/>
  <c r="C210"/>
  <c r="B211"/>
  <c r="C211"/>
  <c r="B212"/>
  <c r="D212" s="1"/>
  <c r="C212"/>
  <c r="B213"/>
  <c r="C213"/>
  <c r="B214"/>
  <c r="D214" s="1"/>
  <c r="C214"/>
  <c r="B215"/>
  <c r="D215" s="1"/>
  <c r="C215"/>
  <c r="B216"/>
  <c r="D216" s="1"/>
  <c r="C216"/>
  <c r="B217"/>
  <c r="C217"/>
  <c r="B218"/>
  <c r="D218" s="1"/>
  <c r="C218"/>
  <c r="B219"/>
  <c r="C219"/>
  <c r="B220"/>
  <c r="D220" s="1"/>
  <c r="C220"/>
  <c r="B221"/>
  <c r="D221" s="1"/>
  <c r="C221"/>
  <c r="B222"/>
  <c r="D222" s="1"/>
  <c r="C222"/>
  <c r="B223"/>
  <c r="D223" s="1"/>
  <c r="C223"/>
  <c r="B224"/>
  <c r="C224"/>
  <c r="B225"/>
  <c r="D225" s="1"/>
  <c r="C225"/>
  <c r="B226"/>
  <c r="D226" s="1"/>
  <c r="C226"/>
  <c r="B227"/>
  <c r="D227" s="1"/>
  <c r="C227"/>
  <c r="B228"/>
  <c r="C228"/>
  <c r="B229"/>
  <c r="D229" s="1"/>
  <c r="C229"/>
  <c r="B230"/>
  <c r="C230"/>
  <c r="B231"/>
  <c r="C231"/>
  <c r="B232"/>
  <c r="D232" s="1"/>
  <c r="C232"/>
  <c r="B233"/>
  <c r="C233"/>
  <c r="B234"/>
  <c r="C234"/>
  <c r="B235"/>
  <c r="D235" s="1"/>
  <c r="C235"/>
  <c r="B236"/>
  <c r="C236"/>
  <c r="B237"/>
  <c r="D237" s="1"/>
  <c r="C237"/>
  <c r="B238"/>
  <c r="C238"/>
  <c r="B239"/>
  <c r="C239"/>
  <c r="B240"/>
  <c r="D240" s="1"/>
  <c r="C240"/>
  <c r="B241"/>
  <c r="C241"/>
  <c r="B242"/>
  <c r="D242" s="1"/>
  <c r="C242"/>
  <c r="B243"/>
  <c r="D243" s="1"/>
  <c r="C243"/>
  <c r="B244"/>
  <c r="C244"/>
  <c r="B245"/>
  <c r="D245" s="1"/>
  <c r="C245"/>
  <c r="B246"/>
  <c r="C246"/>
  <c r="B247"/>
  <c r="C247"/>
  <c r="B248"/>
  <c r="D248" s="1"/>
  <c r="C248"/>
  <c r="B249"/>
  <c r="C249"/>
  <c r="B250"/>
  <c r="C250"/>
  <c r="B251"/>
  <c r="D251" s="1"/>
  <c r="C251"/>
  <c r="B252"/>
  <c r="D252" s="1"/>
  <c r="C252"/>
  <c r="B253"/>
  <c r="D253" s="1"/>
  <c r="C253"/>
  <c r="B254"/>
  <c r="C254"/>
  <c r="B255"/>
  <c r="C255"/>
  <c r="B256"/>
  <c r="C256"/>
  <c r="B257"/>
  <c r="D257" s="1"/>
  <c r="C257"/>
  <c r="B258"/>
  <c r="C258"/>
  <c r="B259"/>
  <c r="D259" s="1"/>
  <c r="C259"/>
  <c r="B260"/>
  <c r="C260"/>
  <c r="B261"/>
  <c r="C261"/>
  <c r="B262"/>
  <c r="C262"/>
  <c r="B263"/>
  <c r="D263" s="1"/>
  <c r="C263"/>
  <c r="B264"/>
  <c r="C264"/>
  <c r="B265"/>
  <c r="C265"/>
  <c r="B266"/>
  <c r="C266"/>
  <c r="B267"/>
  <c r="D267" s="1"/>
  <c r="C267"/>
  <c r="B268"/>
  <c r="C268"/>
  <c r="B269"/>
  <c r="C269"/>
  <c r="B270"/>
  <c r="C270"/>
  <c r="B271"/>
  <c r="C271"/>
  <c r="B272"/>
  <c r="D272" s="1"/>
  <c r="C272"/>
  <c r="B273"/>
  <c r="C273"/>
  <c r="B274"/>
  <c r="C274"/>
  <c r="B275"/>
  <c r="D275" s="1"/>
  <c r="C275"/>
  <c r="B276"/>
  <c r="C276"/>
  <c r="B277"/>
  <c r="D277" s="1"/>
  <c r="C277"/>
  <c r="B278"/>
  <c r="C278"/>
  <c r="B279"/>
  <c r="C279"/>
  <c r="B280"/>
  <c r="C280"/>
  <c r="B281"/>
  <c r="D281" s="1"/>
  <c r="C281"/>
  <c r="B282"/>
  <c r="C282"/>
  <c r="B283"/>
  <c r="D283" s="1"/>
  <c r="C283"/>
  <c r="B284"/>
  <c r="C284"/>
  <c r="B285"/>
  <c r="C285"/>
  <c r="B286"/>
  <c r="D286" s="1"/>
  <c r="C286"/>
  <c r="B287"/>
  <c r="C287"/>
  <c r="B288"/>
  <c r="C288"/>
  <c r="B289"/>
  <c r="D289" s="1"/>
  <c r="C289"/>
  <c r="B290"/>
  <c r="C290"/>
  <c r="D290"/>
  <c r="B291"/>
  <c r="C291"/>
  <c r="B292"/>
  <c r="C292"/>
  <c r="B293"/>
  <c r="D293" s="1"/>
  <c r="C293"/>
  <c r="B294"/>
  <c r="C294"/>
  <c r="B295"/>
  <c r="D295" s="1"/>
  <c r="C295"/>
  <c r="B296"/>
  <c r="D296" s="1"/>
  <c r="C296"/>
  <c r="B297"/>
  <c r="D297" s="1"/>
  <c r="C297"/>
  <c r="B298"/>
  <c r="C298"/>
  <c r="B299"/>
  <c r="D299" s="1"/>
  <c r="C299"/>
  <c r="B300"/>
  <c r="C300"/>
  <c r="B301"/>
  <c r="C301"/>
  <c r="B302"/>
  <c r="C302"/>
  <c r="B303"/>
  <c r="D303" s="1"/>
  <c r="C303"/>
  <c r="B304"/>
  <c r="D304" s="1"/>
  <c r="C304"/>
  <c r="B305"/>
  <c r="D305" s="1"/>
  <c r="C305"/>
  <c r="B306"/>
  <c r="C306"/>
  <c r="B307"/>
  <c r="C307"/>
  <c r="B308"/>
  <c r="C308"/>
  <c r="B309"/>
  <c r="C309"/>
  <c r="B310"/>
  <c r="C310"/>
  <c r="B311"/>
  <c r="D311" s="1"/>
  <c r="C311"/>
  <c r="B312"/>
  <c r="D312" s="1"/>
  <c r="C312"/>
  <c r="B313"/>
  <c r="D313" s="1"/>
  <c r="C313"/>
  <c r="B314"/>
  <c r="C314"/>
  <c r="B315"/>
  <c r="C315"/>
  <c r="B316"/>
  <c r="C316"/>
  <c r="B317"/>
  <c r="C317"/>
  <c r="B318"/>
  <c r="C318"/>
  <c r="B319"/>
  <c r="D319" s="1"/>
  <c r="C319"/>
  <c r="B320"/>
  <c r="D320" s="1"/>
  <c r="C320"/>
  <c r="B321"/>
  <c r="D321" s="1"/>
  <c r="C321"/>
  <c r="B322"/>
  <c r="C322"/>
  <c r="B323"/>
  <c r="C323"/>
  <c r="B324"/>
  <c r="C324"/>
  <c r="B325"/>
  <c r="D325" s="1"/>
  <c r="C325"/>
  <c r="B326"/>
  <c r="C326"/>
  <c r="B327"/>
  <c r="C327"/>
  <c r="B328"/>
  <c r="C328"/>
  <c r="B329"/>
  <c r="D329" s="1"/>
  <c r="C329"/>
  <c r="B330"/>
  <c r="C330"/>
  <c r="B331"/>
  <c r="D331" s="1"/>
  <c r="C331"/>
  <c r="B332"/>
  <c r="C332"/>
  <c r="B333"/>
  <c r="C333"/>
  <c r="B334"/>
  <c r="C334"/>
  <c r="B335"/>
  <c r="D335" s="1"/>
  <c r="C335"/>
  <c r="B336"/>
  <c r="D336" s="1"/>
  <c r="C336"/>
  <c r="B337"/>
  <c r="D337" s="1"/>
  <c r="C337"/>
  <c r="B338"/>
  <c r="C338"/>
  <c r="B339"/>
  <c r="D339" s="1"/>
  <c r="C339"/>
  <c r="B340"/>
  <c r="D340" s="1"/>
  <c r="C340"/>
  <c r="B341"/>
  <c r="C341"/>
  <c r="B342"/>
  <c r="D342" s="1"/>
  <c r="C342"/>
  <c r="B343"/>
  <c r="C343"/>
  <c r="D343"/>
  <c r="B344"/>
  <c r="C344"/>
  <c r="B345"/>
  <c r="C345"/>
  <c r="B346"/>
  <c r="C346"/>
  <c r="B347"/>
  <c r="C347"/>
  <c r="B348"/>
  <c r="D348" s="1"/>
  <c r="C348"/>
  <c r="B349"/>
  <c r="C349"/>
  <c r="B350"/>
  <c r="C350"/>
  <c r="B351"/>
  <c r="D351" s="1"/>
  <c r="C351"/>
  <c r="B352"/>
  <c r="C352"/>
  <c r="B353"/>
  <c r="D353" s="1"/>
  <c r="C353"/>
  <c r="B354"/>
  <c r="D354" s="1"/>
  <c r="C354"/>
  <c r="B355"/>
  <c r="D355" s="1"/>
  <c r="C355"/>
  <c r="B356"/>
  <c r="C356"/>
  <c r="B357"/>
  <c r="C357"/>
  <c r="B358"/>
  <c r="C358"/>
  <c r="B359"/>
  <c r="D359" s="1"/>
  <c r="C359"/>
  <c r="B360"/>
  <c r="D360" s="1"/>
  <c r="C360"/>
  <c r="B361"/>
  <c r="C361"/>
  <c r="B362"/>
  <c r="C362"/>
  <c r="B363"/>
  <c r="D363" s="1"/>
  <c r="C363"/>
  <c r="B364"/>
  <c r="C364"/>
  <c r="B365"/>
  <c r="C365"/>
  <c r="B366"/>
  <c r="C366"/>
  <c r="B367"/>
  <c r="C367"/>
  <c r="B368"/>
  <c r="C368"/>
  <c r="B369"/>
  <c r="D369" s="1"/>
  <c r="C369"/>
  <c r="B370"/>
  <c r="C370"/>
  <c r="B371"/>
  <c r="C371"/>
  <c r="B372"/>
  <c r="C372"/>
  <c r="B373"/>
  <c r="D373" s="1"/>
  <c r="C373"/>
  <c r="B374"/>
  <c r="C374"/>
  <c r="B375"/>
  <c r="C375"/>
  <c r="B376"/>
  <c r="C376"/>
  <c r="B377"/>
  <c r="D377" s="1"/>
  <c r="C377"/>
  <c r="B378"/>
  <c r="C378"/>
  <c r="B379"/>
  <c r="C379"/>
  <c r="B380"/>
  <c r="C380"/>
  <c r="B381"/>
  <c r="D381" s="1"/>
  <c r="C381"/>
  <c r="B382"/>
  <c r="C382"/>
  <c r="B383"/>
  <c r="D383" s="1"/>
  <c r="C383"/>
  <c r="B384"/>
  <c r="C384"/>
  <c r="B385"/>
  <c r="D385" s="1"/>
  <c r="C385"/>
  <c r="B386"/>
  <c r="C386"/>
  <c r="B387"/>
  <c r="C387"/>
  <c r="B388"/>
  <c r="C388"/>
  <c r="B389"/>
  <c r="D389" s="1"/>
  <c r="C389"/>
  <c r="B390"/>
  <c r="C390"/>
  <c r="B391"/>
  <c r="D391" s="1"/>
  <c r="C391"/>
  <c r="B392"/>
  <c r="C392"/>
  <c r="C555" i="5"/>
  <c r="D555"/>
  <c r="E555"/>
  <c r="F555"/>
  <c r="M555"/>
  <c r="L20" i="4"/>
  <c r="L30"/>
  <c r="L36"/>
  <c r="L50"/>
  <c r="L51"/>
  <c r="L54"/>
  <c r="L55"/>
  <c r="K20"/>
  <c r="K30"/>
  <c r="K36"/>
  <c r="K50"/>
  <c r="K51"/>
  <c r="K54"/>
  <c r="K55"/>
  <c r="M3" i="5"/>
  <c r="M4"/>
  <c r="M5"/>
  <c r="M6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71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106"/>
  <c r="M107"/>
  <c r="M108"/>
  <c r="M109"/>
  <c r="M110"/>
  <c r="M111"/>
  <c r="M112"/>
  <c r="M113"/>
  <c r="M114"/>
  <c r="M115"/>
  <c r="M116"/>
  <c r="M117"/>
  <c r="M118"/>
  <c r="M119"/>
  <c r="M120"/>
  <c r="M121"/>
  <c r="M122"/>
  <c r="M123"/>
  <c r="M124"/>
  <c r="M125"/>
  <c r="M126"/>
  <c r="M127"/>
  <c r="M128"/>
  <c r="M129"/>
  <c r="M130"/>
  <c r="M131"/>
  <c r="M132"/>
  <c r="M133"/>
  <c r="M134"/>
  <c r="M135"/>
  <c r="M136"/>
  <c r="M137"/>
  <c r="M138"/>
  <c r="M139"/>
  <c r="M140"/>
  <c r="M141"/>
  <c r="M142"/>
  <c r="M143"/>
  <c r="M144"/>
  <c r="M145"/>
  <c r="M146"/>
  <c r="M147"/>
  <c r="M148"/>
  <c r="M149"/>
  <c r="M150"/>
  <c r="M151"/>
  <c r="M152"/>
  <c r="M153"/>
  <c r="M154"/>
  <c r="M155"/>
  <c r="M156"/>
  <c r="M157"/>
  <c r="M158"/>
  <c r="M159"/>
  <c r="M160"/>
  <c r="M161"/>
  <c r="M162"/>
  <c r="M163"/>
  <c r="M164"/>
  <c r="M165"/>
  <c r="M166"/>
  <c r="M167"/>
  <c r="M168"/>
  <c r="M169"/>
  <c r="M170"/>
  <c r="M171"/>
  <c r="M172"/>
  <c r="M173"/>
  <c r="M174"/>
  <c r="M175"/>
  <c r="M176"/>
  <c r="M177"/>
  <c r="M178"/>
  <c r="M179"/>
  <c r="M180"/>
  <c r="M181"/>
  <c r="M182"/>
  <c r="M183"/>
  <c r="M184"/>
  <c r="M185"/>
  <c r="M186"/>
  <c r="M187"/>
  <c r="M188"/>
  <c r="M189"/>
  <c r="M190"/>
  <c r="M191"/>
  <c r="M192"/>
  <c r="M193"/>
  <c r="M194"/>
  <c r="M195"/>
  <c r="M196"/>
  <c r="M197"/>
  <c r="M198"/>
  <c r="M199"/>
  <c r="M200"/>
  <c r="M201"/>
  <c r="M202"/>
  <c r="M203"/>
  <c r="M204"/>
  <c r="M205"/>
  <c r="M206"/>
  <c r="M207"/>
  <c r="M208"/>
  <c r="M209"/>
  <c r="M210"/>
  <c r="M211"/>
  <c r="M212"/>
  <c r="M213"/>
  <c r="M214"/>
  <c r="M215"/>
  <c r="M216"/>
  <c r="M217"/>
  <c r="M218"/>
  <c r="M219"/>
  <c r="M220"/>
  <c r="M221"/>
  <c r="M222"/>
  <c r="M223"/>
  <c r="M224"/>
  <c r="M225"/>
  <c r="M226"/>
  <c r="M227"/>
  <c r="M228"/>
  <c r="M229"/>
  <c r="M230"/>
  <c r="M231"/>
  <c r="M232"/>
  <c r="M233"/>
  <c r="M234"/>
  <c r="M235"/>
  <c r="M236"/>
  <c r="M237"/>
  <c r="M238"/>
  <c r="M239"/>
  <c r="M240"/>
  <c r="M241"/>
  <c r="M242"/>
  <c r="M243"/>
  <c r="M244"/>
  <c r="M245"/>
  <c r="M246"/>
  <c r="M247"/>
  <c r="M248"/>
  <c r="M249"/>
  <c r="M250"/>
  <c r="M251"/>
  <c r="M252"/>
  <c r="M253"/>
  <c r="M254"/>
  <c r="M255"/>
  <c r="M256"/>
  <c r="M257"/>
  <c r="M258"/>
  <c r="M259"/>
  <c r="M260"/>
  <c r="M261"/>
  <c r="M262"/>
  <c r="M263"/>
  <c r="M264"/>
  <c r="M265"/>
  <c r="M266"/>
  <c r="M267"/>
  <c r="M268"/>
  <c r="M269"/>
  <c r="M270"/>
  <c r="M271"/>
  <c r="M272"/>
  <c r="M273"/>
  <c r="M274"/>
  <c r="M275"/>
  <c r="M276"/>
  <c r="M277"/>
  <c r="M278"/>
  <c r="M279"/>
  <c r="M280"/>
  <c r="M281"/>
  <c r="M282"/>
  <c r="M283"/>
  <c r="M284"/>
  <c r="M285"/>
  <c r="M286"/>
  <c r="M287"/>
  <c r="M288"/>
  <c r="M289"/>
  <c r="M290"/>
  <c r="M291"/>
  <c r="M292"/>
  <c r="M293"/>
  <c r="M294"/>
  <c r="M295"/>
  <c r="M296"/>
  <c r="M297"/>
  <c r="M298"/>
  <c r="M299"/>
  <c r="M300"/>
  <c r="M301"/>
  <c r="M302"/>
  <c r="M303"/>
  <c r="M304"/>
  <c r="M305"/>
  <c r="M306"/>
  <c r="M307"/>
  <c r="M308"/>
  <c r="M309"/>
  <c r="M310"/>
  <c r="M311"/>
  <c r="M312"/>
  <c r="M313"/>
  <c r="M314"/>
  <c r="M315"/>
  <c r="M316"/>
  <c r="M317"/>
  <c r="M318"/>
  <c r="M319"/>
  <c r="M320"/>
  <c r="M321"/>
  <c r="M322"/>
  <c r="M323"/>
  <c r="M324"/>
  <c r="M325"/>
  <c r="M326"/>
  <c r="M327"/>
  <c r="M328"/>
  <c r="M329"/>
  <c r="M330"/>
  <c r="M331"/>
  <c r="M332"/>
  <c r="M333"/>
  <c r="M334"/>
  <c r="M335"/>
  <c r="M336"/>
  <c r="M337"/>
  <c r="M338"/>
  <c r="M339"/>
  <c r="M340"/>
  <c r="M341"/>
  <c r="M342"/>
  <c r="M343"/>
  <c r="M344"/>
  <c r="M345"/>
  <c r="M346"/>
  <c r="M347"/>
  <c r="M348"/>
  <c r="M349"/>
  <c r="M350"/>
  <c r="M351"/>
  <c r="M352"/>
  <c r="M353"/>
  <c r="M354"/>
  <c r="M355"/>
  <c r="M356"/>
  <c r="M357"/>
  <c r="M358"/>
  <c r="M359"/>
  <c r="M360"/>
  <c r="M361"/>
  <c r="M362"/>
  <c r="M363"/>
  <c r="M364"/>
  <c r="M365"/>
  <c r="M366"/>
  <c r="M367"/>
  <c r="M368"/>
  <c r="M369"/>
  <c r="M370"/>
  <c r="M371"/>
  <c r="M372"/>
  <c r="M373"/>
  <c r="M374"/>
  <c r="M375"/>
  <c r="M376"/>
  <c r="M377"/>
  <c r="M378"/>
  <c r="M379"/>
  <c r="M380"/>
  <c r="M381"/>
  <c r="M382"/>
  <c r="M383"/>
  <c r="M384"/>
  <c r="M385"/>
  <c r="M386"/>
  <c r="M387"/>
  <c r="M388"/>
  <c r="M389"/>
  <c r="M390"/>
  <c r="M391"/>
  <c r="M392"/>
  <c r="M393"/>
  <c r="M394"/>
  <c r="M395"/>
  <c r="M396"/>
  <c r="M397"/>
  <c r="M398"/>
  <c r="M399"/>
  <c r="M400"/>
  <c r="M401"/>
  <c r="M402"/>
  <c r="M403"/>
  <c r="M404"/>
  <c r="M405"/>
  <c r="M406"/>
  <c r="M407"/>
  <c r="M408"/>
  <c r="M409"/>
  <c r="M410"/>
  <c r="M411"/>
  <c r="M412"/>
  <c r="M413"/>
  <c r="M414"/>
  <c r="M415"/>
  <c r="M416"/>
  <c r="M417"/>
  <c r="M418"/>
  <c r="M419"/>
  <c r="M420"/>
  <c r="M421"/>
  <c r="M422"/>
  <c r="M423"/>
  <c r="M424"/>
  <c r="M425"/>
  <c r="M426"/>
  <c r="M427"/>
  <c r="M428"/>
  <c r="M429"/>
  <c r="M430"/>
  <c r="M431"/>
  <c r="M432"/>
  <c r="M433"/>
  <c r="M434"/>
  <c r="M435"/>
  <c r="M436"/>
  <c r="M437"/>
  <c r="M438"/>
  <c r="M439"/>
  <c r="M440"/>
  <c r="M441"/>
  <c r="M442"/>
  <c r="M443"/>
  <c r="M444"/>
  <c r="M445"/>
  <c r="M446"/>
  <c r="M447"/>
  <c r="M448"/>
  <c r="M449"/>
  <c r="M450"/>
  <c r="M451"/>
  <c r="M452"/>
  <c r="M453"/>
  <c r="M454"/>
  <c r="M455"/>
  <c r="M456"/>
  <c r="M457"/>
  <c r="M458"/>
  <c r="M459"/>
  <c r="M460"/>
  <c r="M461"/>
  <c r="M462"/>
  <c r="M463"/>
  <c r="M464"/>
  <c r="M465"/>
  <c r="M466"/>
  <c r="M467"/>
  <c r="M468"/>
  <c r="M469"/>
  <c r="M470"/>
  <c r="M471"/>
  <c r="M472"/>
  <c r="M473"/>
  <c r="M474"/>
  <c r="M475"/>
  <c r="M476"/>
  <c r="M477"/>
  <c r="M478"/>
  <c r="M479"/>
  <c r="M480"/>
  <c r="M481"/>
  <c r="M482"/>
  <c r="M483"/>
  <c r="M484"/>
  <c r="M485"/>
  <c r="M486"/>
  <c r="M487"/>
  <c r="M488"/>
  <c r="M489"/>
  <c r="M490"/>
  <c r="M491"/>
  <c r="M492"/>
  <c r="M493"/>
  <c r="M494"/>
  <c r="M495"/>
  <c r="M496"/>
  <c r="M497"/>
  <c r="M498"/>
  <c r="M499"/>
  <c r="M500"/>
  <c r="M501"/>
  <c r="M502"/>
  <c r="M503"/>
  <c r="M504"/>
  <c r="M505"/>
  <c r="M506"/>
  <c r="M507"/>
  <c r="M508"/>
  <c r="M509"/>
  <c r="M510"/>
  <c r="M511"/>
  <c r="M512"/>
  <c r="M513"/>
  <c r="M514"/>
  <c r="M515"/>
  <c r="M516"/>
  <c r="M517"/>
  <c r="M518"/>
  <c r="M519"/>
  <c r="M520"/>
  <c r="M521"/>
  <c r="L46" i="4" s="1"/>
  <c r="M522" i="5"/>
  <c r="M523"/>
  <c r="M524"/>
  <c r="M525"/>
  <c r="M526"/>
  <c r="M527"/>
  <c r="M528"/>
  <c r="M529"/>
  <c r="M530"/>
  <c r="M531"/>
  <c r="M532"/>
  <c r="M533"/>
  <c r="M534"/>
  <c r="M535"/>
  <c r="M536"/>
  <c r="M537"/>
  <c r="M538"/>
  <c r="K47" i="4" s="1"/>
  <c r="M539" i="5"/>
  <c r="M540"/>
  <c r="M541"/>
  <c r="M542"/>
  <c r="M543"/>
  <c r="M544"/>
  <c r="M545"/>
  <c r="M546"/>
  <c r="M547"/>
  <c r="M548"/>
  <c r="M549"/>
  <c r="M550"/>
  <c r="M551"/>
  <c r="M552"/>
  <c r="M553"/>
  <c r="M554"/>
  <c r="M556"/>
  <c r="M557"/>
  <c r="M558"/>
  <c r="M559"/>
  <c r="M560"/>
  <c r="M561"/>
  <c r="M562"/>
  <c r="M563"/>
  <c r="M564"/>
  <c r="L33" i="4" s="1"/>
  <c r="M565" i="5"/>
  <c r="M566"/>
  <c r="M567"/>
  <c r="M568"/>
  <c r="M569"/>
  <c r="M570"/>
  <c r="M571"/>
  <c r="M572"/>
  <c r="M573"/>
  <c r="M574"/>
  <c r="M575"/>
  <c r="M576"/>
  <c r="M577"/>
  <c r="M578"/>
  <c r="M579"/>
  <c r="M580"/>
  <c r="M581"/>
  <c r="M582"/>
  <c r="M583"/>
  <c r="M584"/>
  <c r="M585"/>
  <c r="M586"/>
  <c r="M587"/>
  <c r="M588"/>
  <c r="M589"/>
  <c r="M590"/>
  <c r="M591"/>
  <c r="M592"/>
  <c r="M593"/>
  <c r="M594"/>
  <c r="M595"/>
  <c r="M596"/>
  <c r="M597"/>
  <c r="M598"/>
  <c r="M599"/>
  <c r="M600"/>
  <c r="M601"/>
  <c r="M602"/>
  <c r="M603"/>
  <c r="M604"/>
  <c r="M605"/>
  <c r="M606"/>
  <c r="M607"/>
  <c r="M608"/>
  <c r="M609"/>
  <c r="M610"/>
  <c r="M611"/>
  <c r="M612"/>
  <c r="M613"/>
  <c r="M614"/>
  <c r="M615"/>
  <c r="M616"/>
  <c r="M617"/>
  <c r="M618"/>
  <c r="M619"/>
  <c r="M620"/>
  <c r="M621"/>
  <c r="M622"/>
  <c r="L22" i="4" s="1"/>
  <c r="M623" i="5"/>
  <c r="M624"/>
  <c r="M625"/>
  <c r="M626"/>
  <c r="M627"/>
  <c r="M628"/>
  <c r="M629"/>
  <c r="M630"/>
  <c r="M631"/>
  <c r="M632"/>
  <c r="M633"/>
  <c r="M634"/>
  <c r="M635"/>
  <c r="M636"/>
  <c r="M637"/>
  <c r="M638"/>
  <c r="M639"/>
  <c r="M640"/>
  <c r="M641"/>
  <c r="M642"/>
  <c r="M643"/>
  <c r="M644"/>
  <c r="M645"/>
  <c r="M646"/>
  <c r="M647"/>
  <c r="M648"/>
  <c r="M649"/>
  <c r="M650"/>
  <c r="M651"/>
  <c r="M652"/>
  <c r="M653"/>
  <c r="M654"/>
  <c r="M655"/>
  <c r="M656"/>
  <c r="M657"/>
  <c r="M658"/>
  <c r="M659"/>
  <c r="M660"/>
  <c r="M661"/>
  <c r="M662"/>
  <c r="M663"/>
  <c r="M664"/>
  <c r="M665"/>
  <c r="M666"/>
  <c r="M667"/>
  <c r="M668"/>
  <c r="M669"/>
  <c r="M670"/>
  <c r="M671"/>
  <c r="M672"/>
  <c r="M673"/>
  <c r="M674"/>
  <c r="M675"/>
  <c r="M676"/>
  <c r="M677"/>
  <c r="M678"/>
  <c r="M679"/>
  <c r="M680"/>
  <c r="M681"/>
  <c r="M682"/>
  <c r="M683"/>
  <c r="M684"/>
  <c r="M685"/>
  <c r="M686"/>
  <c r="M687"/>
  <c r="M688"/>
  <c r="M689"/>
  <c r="M690"/>
  <c r="M691"/>
  <c r="M692"/>
  <c r="M693"/>
  <c r="M694"/>
  <c r="M695"/>
  <c r="M696"/>
  <c r="M697"/>
  <c r="M698"/>
  <c r="M699"/>
  <c r="M700"/>
  <c r="M701"/>
  <c r="M702"/>
  <c r="M703"/>
  <c r="M704"/>
  <c r="M705"/>
  <c r="M706"/>
  <c r="M707"/>
  <c r="M708"/>
  <c r="M709"/>
  <c r="M710"/>
  <c r="M711"/>
  <c r="M712"/>
  <c r="M713"/>
  <c r="M714"/>
  <c r="M715"/>
  <c r="M716"/>
  <c r="M717"/>
  <c r="M718"/>
  <c r="M719"/>
  <c r="M720"/>
  <c r="M721"/>
  <c r="M722"/>
  <c r="M723"/>
  <c r="M724"/>
  <c r="M725"/>
  <c r="M726"/>
  <c r="M727"/>
  <c r="M728"/>
  <c r="M729"/>
  <c r="M730"/>
  <c r="M731"/>
  <c r="M732"/>
  <c r="M733"/>
  <c r="M734"/>
  <c r="M735"/>
  <c r="M736"/>
  <c r="M737"/>
  <c r="M738"/>
  <c r="M739"/>
  <c r="M740"/>
  <c r="M741"/>
  <c r="M742"/>
  <c r="M743"/>
  <c r="M744"/>
  <c r="M745"/>
  <c r="M746"/>
  <c r="M747"/>
  <c r="M748"/>
  <c r="M749"/>
  <c r="M750"/>
  <c r="M751"/>
  <c r="M752"/>
  <c r="M753"/>
  <c r="M754"/>
  <c r="M755"/>
  <c r="M756"/>
  <c r="M757"/>
  <c r="M758"/>
  <c r="M759"/>
  <c r="M760"/>
  <c r="M761"/>
  <c r="M762"/>
  <c r="M763"/>
  <c r="M764"/>
  <c r="M765"/>
  <c r="M766"/>
  <c r="M767"/>
  <c r="M768"/>
  <c r="M769"/>
  <c r="M770"/>
  <c r="M771"/>
  <c r="M772"/>
  <c r="M773"/>
  <c r="M774"/>
  <c r="M775"/>
  <c r="M776"/>
  <c r="M777"/>
  <c r="M778"/>
  <c r="M779"/>
  <c r="M780"/>
  <c r="M781"/>
  <c r="M782"/>
  <c r="M783"/>
  <c r="M784"/>
  <c r="M785"/>
  <c r="M786"/>
  <c r="M787"/>
  <c r="M788"/>
  <c r="M789"/>
  <c r="M790"/>
  <c r="M791"/>
  <c r="M792"/>
  <c r="M793"/>
  <c r="M794"/>
  <c r="M795"/>
  <c r="M796"/>
  <c r="M797"/>
  <c r="M798"/>
  <c r="M799"/>
  <c r="M800"/>
  <c r="M801"/>
  <c r="M802"/>
  <c r="M803"/>
  <c r="M804"/>
  <c r="M805"/>
  <c r="M806"/>
  <c r="M807"/>
  <c r="M808"/>
  <c r="M809"/>
  <c r="M810"/>
  <c r="M811"/>
  <c r="M812"/>
  <c r="M813"/>
  <c r="M814"/>
  <c r="M815"/>
  <c r="M816"/>
  <c r="M817"/>
  <c r="M818"/>
  <c r="M819"/>
  <c r="M820"/>
  <c r="M821"/>
  <c r="M822"/>
  <c r="M823"/>
  <c r="M824"/>
  <c r="M825"/>
  <c r="M826"/>
  <c r="M827"/>
  <c r="M828"/>
  <c r="M829"/>
  <c r="M830"/>
  <c r="M831"/>
  <c r="M832"/>
  <c r="M833"/>
  <c r="M834"/>
  <c r="M835"/>
  <c r="M836"/>
  <c r="M837"/>
  <c r="M838"/>
  <c r="M839"/>
  <c r="M840"/>
  <c r="M841"/>
  <c r="M842"/>
  <c r="M843"/>
  <c r="M844"/>
  <c r="M845"/>
  <c r="M846"/>
  <c r="M847"/>
  <c r="M848"/>
  <c r="M849"/>
  <c r="M850"/>
  <c r="M851"/>
  <c r="M852"/>
  <c r="M853"/>
  <c r="M854"/>
  <c r="M855"/>
  <c r="M856"/>
  <c r="M857"/>
  <c r="M858"/>
  <c r="M859"/>
  <c r="M860"/>
  <c r="M861"/>
  <c r="M862"/>
  <c r="M863"/>
  <c r="M864"/>
  <c r="M865"/>
  <c r="M866"/>
  <c r="M867"/>
  <c r="M868"/>
  <c r="M869"/>
  <c r="M870"/>
  <c r="M871"/>
  <c r="M872"/>
  <c r="M873"/>
  <c r="M874"/>
  <c r="M875"/>
  <c r="M876"/>
  <c r="M877"/>
  <c r="M878"/>
  <c r="M879"/>
  <c r="M880"/>
  <c r="M881"/>
  <c r="M882"/>
  <c r="M883"/>
  <c r="M884"/>
  <c r="M885"/>
  <c r="M886"/>
  <c r="M887"/>
  <c r="M888"/>
  <c r="M889"/>
  <c r="M890"/>
  <c r="M891"/>
  <c r="M892"/>
  <c r="M893"/>
  <c r="M894"/>
  <c r="M895"/>
  <c r="M896"/>
  <c r="M897"/>
  <c r="M898"/>
  <c r="M899"/>
  <c r="M900"/>
  <c r="M901"/>
  <c r="M902"/>
  <c r="M903"/>
  <c r="M904"/>
  <c r="M905"/>
  <c r="M906"/>
  <c r="M907"/>
  <c r="M908"/>
  <c r="M909"/>
  <c r="M910"/>
  <c r="M911"/>
  <c r="M912"/>
  <c r="M913"/>
  <c r="M914"/>
  <c r="M915"/>
  <c r="M916"/>
  <c r="M917"/>
  <c r="M918"/>
  <c r="M919"/>
  <c r="M920"/>
  <c r="M921"/>
  <c r="M922"/>
  <c r="M923"/>
  <c r="M924"/>
  <c r="M925"/>
  <c r="M926"/>
  <c r="M927"/>
  <c r="M928"/>
  <c r="M929"/>
  <c r="M930"/>
  <c r="M931"/>
  <c r="M932"/>
  <c r="M933"/>
  <c r="M934"/>
  <c r="M935"/>
  <c r="M936"/>
  <c r="M937"/>
  <c r="M938"/>
  <c r="M939"/>
  <c r="M940"/>
  <c r="M941"/>
  <c r="M942"/>
  <c r="M943"/>
  <c r="M944"/>
  <c r="M945"/>
  <c r="M946"/>
  <c r="M947"/>
  <c r="M948"/>
  <c r="M949"/>
  <c r="M950"/>
  <c r="M951"/>
  <c r="M952"/>
  <c r="M953"/>
  <c r="M954"/>
  <c r="M955"/>
  <c r="M956"/>
  <c r="M957"/>
  <c r="M958"/>
  <c r="M959"/>
  <c r="M960"/>
  <c r="M961"/>
  <c r="M962"/>
  <c r="M963"/>
  <c r="M964"/>
  <c r="M965"/>
  <c r="M966"/>
  <c r="M967"/>
  <c r="M968"/>
  <c r="M969"/>
  <c r="M970"/>
  <c r="M971"/>
  <c r="M972"/>
  <c r="M973"/>
  <c r="M974"/>
  <c r="M975"/>
  <c r="M976"/>
  <c r="M977"/>
  <c r="M978"/>
  <c r="M979"/>
  <c r="M980"/>
  <c r="M981"/>
  <c r="M982"/>
  <c r="M983"/>
  <c r="M984"/>
  <c r="M985"/>
  <c r="M986"/>
  <c r="M987"/>
  <c r="M988"/>
  <c r="M989"/>
  <c r="M990"/>
  <c r="M991"/>
  <c r="M992"/>
  <c r="M993"/>
  <c r="M994"/>
  <c r="M995"/>
  <c r="M996"/>
  <c r="M997"/>
  <c r="M998"/>
  <c r="M999"/>
  <c r="M1000"/>
  <c r="M1001"/>
  <c r="M1002"/>
  <c r="M1003"/>
  <c r="M1004"/>
  <c r="M1005"/>
  <c r="M1006"/>
  <c r="M1007"/>
  <c r="M1008"/>
  <c r="M1009"/>
  <c r="M1010"/>
  <c r="M1011"/>
  <c r="M1012"/>
  <c r="M1013"/>
  <c r="M1014"/>
  <c r="M1015"/>
  <c r="M1016"/>
  <c r="M1017"/>
  <c r="M1018"/>
  <c r="M1019"/>
  <c r="M1020"/>
  <c r="M1021"/>
  <c r="M1022"/>
  <c r="M1023"/>
  <c r="M1024"/>
  <c r="M1025"/>
  <c r="M1026"/>
  <c r="M1027"/>
  <c r="M1028"/>
  <c r="M1029"/>
  <c r="M1030"/>
  <c r="M1031"/>
  <c r="M1032"/>
  <c r="M1033"/>
  <c r="M1034"/>
  <c r="M1035"/>
  <c r="M1036"/>
  <c r="M1037"/>
  <c r="M1038"/>
  <c r="M1039"/>
  <c r="M1040"/>
  <c r="M1041"/>
  <c r="M1042"/>
  <c r="M1043"/>
  <c r="M1044"/>
  <c r="M1045"/>
  <c r="M1046"/>
  <c r="M1047"/>
  <c r="M1048"/>
  <c r="M1049"/>
  <c r="M1050"/>
  <c r="M1051"/>
  <c r="M1052"/>
  <c r="M1053"/>
  <c r="M1054"/>
  <c r="M1055"/>
  <c r="M1056"/>
  <c r="M1057"/>
  <c r="M1058"/>
  <c r="M1059"/>
  <c r="M1060"/>
  <c r="M1061"/>
  <c r="M1062"/>
  <c r="M1063"/>
  <c r="M1064"/>
  <c r="M1065"/>
  <c r="M1066"/>
  <c r="M1067"/>
  <c r="M1068"/>
  <c r="M1069"/>
  <c r="M1070"/>
  <c r="M1071"/>
  <c r="M1072"/>
  <c r="M1073"/>
  <c r="M1074"/>
  <c r="M1075"/>
  <c r="M1076"/>
  <c r="M1077"/>
  <c r="M1078"/>
  <c r="M1079"/>
  <c r="M1080"/>
  <c r="M1081"/>
  <c r="M1082"/>
  <c r="M1083"/>
  <c r="M1084"/>
  <c r="M1085"/>
  <c r="M1086"/>
  <c r="M1087"/>
  <c r="M1088"/>
  <c r="M1089"/>
  <c r="M1090"/>
  <c r="M1091"/>
  <c r="M1092"/>
  <c r="M1093"/>
  <c r="M1094"/>
  <c r="M1095"/>
  <c r="M1096"/>
  <c r="M1097"/>
  <c r="M1098"/>
  <c r="M1099"/>
  <c r="M1100"/>
  <c r="M1101"/>
  <c r="M1102"/>
  <c r="M1103"/>
  <c r="M1104"/>
  <c r="M1105"/>
  <c r="M1106"/>
  <c r="M1107"/>
  <c r="M1108"/>
  <c r="M1109"/>
  <c r="M1110"/>
  <c r="M1111"/>
  <c r="M1112"/>
  <c r="M1113"/>
  <c r="M1114"/>
  <c r="M1115"/>
  <c r="M1116"/>
  <c r="M1117"/>
  <c r="M1118"/>
  <c r="M1119"/>
  <c r="M1120"/>
  <c r="M1121"/>
  <c r="M1122"/>
  <c r="M1123"/>
  <c r="M1124"/>
  <c r="M1125"/>
  <c r="M1126"/>
  <c r="M1127"/>
  <c r="M1128"/>
  <c r="M1129"/>
  <c r="M1130"/>
  <c r="M1131"/>
  <c r="M1132"/>
  <c r="M1133"/>
  <c r="M1134"/>
  <c r="M1135"/>
  <c r="M1136"/>
  <c r="M1137"/>
  <c r="M1138"/>
  <c r="M1139"/>
  <c r="M1140"/>
  <c r="M1141"/>
  <c r="M1142"/>
  <c r="M1143"/>
  <c r="M1144"/>
  <c r="M1145"/>
  <c r="M1146"/>
  <c r="M1147"/>
  <c r="M1148"/>
  <c r="M1149"/>
  <c r="M1150"/>
  <c r="M1151"/>
  <c r="M1152"/>
  <c r="M1153"/>
  <c r="M1154"/>
  <c r="M1155"/>
  <c r="M1156"/>
  <c r="M1157"/>
  <c r="M1158"/>
  <c r="M1159"/>
  <c r="M1160"/>
  <c r="M1161"/>
  <c r="M1162"/>
  <c r="M1163"/>
  <c r="M1164"/>
  <c r="M1165"/>
  <c r="M1166"/>
  <c r="M1167"/>
  <c r="M1168"/>
  <c r="M1169"/>
  <c r="M1170"/>
  <c r="M1171"/>
  <c r="M1172"/>
  <c r="M1173"/>
  <c r="M1174"/>
  <c r="M1175"/>
  <c r="M1176"/>
  <c r="M1177"/>
  <c r="M1178"/>
  <c r="M1179"/>
  <c r="M1180"/>
  <c r="M1181"/>
  <c r="M1182"/>
  <c r="M1183"/>
  <c r="M1184"/>
  <c r="M1185"/>
  <c r="M1186"/>
  <c r="M1187"/>
  <c r="M1188"/>
  <c r="M1189"/>
  <c r="M1190"/>
  <c r="M1191"/>
  <c r="M1192"/>
  <c r="M1193"/>
  <c r="M1194"/>
  <c r="M1195"/>
  <c r="M1196"/>
  <c r="M1197"/>
  <c r="M1198"/>
  <c r="M1199"/>
  <c r="M1200"/>
  <c r="M1201"/>
  <c r="M1202"/>
  <c r="M1203"/>
  <c r="M1204"/>
  <c r="M1205"/>
  <c r="M1206"/>
  <c r="M1207"/>
  <c r="M1208"/>
  <c r="M1209"/>
  <c r="M1210"/>
  <c r="M1211"/>
  <c r="M1212"/>
  <c r="M1213"/>
  <c r="M1214"/>
  <c r="M1215"/>
  <c r="M1216"/>
  <c r="M1217"/>
  <c r="M1218"/>
  <c r="M1219"/>
  <c r="M1220"/>
  <c r="M1221"/>
  <c r="M1222"/>
  <c r="M1223"/>
  <c r="M1224"/>
  <c r="M1225"/>
  <c r="M1226"/>
  <c r="M1227"/>
  <c r="M1228"/>
  <c r="M1229"/>
  <c r="M1230"/>
  <c r="M1231"/>
  <c r="M1232"/>
  <c r="M1233"/>
  <c r="M1234"/>
  <c r="M1235"/>
  <c r="M1236"/>
  <c r="M1237"/>
  <c r="M1238"/>
  <c r="M1239"/>
  <c r="M1240"/>
  <c r="M1241"/>
  <c r="M1242"/>
  <c r="M1243"/>
  <c r="M1244"/>
  <c r="M1245"/>
  <c r="M1246"/>
  <c r="M1247"/>
  <c r="M1248"/>
  <c r="M1249"/>
  <c r="M1250"/>
  <c r="M1251"/>
  <c r="M1252"/>
  <c r="M1253"/>
  <c r="M1254"/>
  <c r="M1255"/>
  <c r="M1256"/>
  <c r="M1257"/>
  <c r="M1258"/>
  <c r="M1259"/>
  <c r="M1260"/>
  <c r="M1261"/>
  <c r="M1262"/>
  <c r="M1263"/>
  <c r="M1264"/>
  <c r="M1265"/>
  <c r="M1266"/>
  <c r="M1267"/>
  <c r="M1268"/>
  <c r="M1269"/>
  <c r="M1270"/>
  <c r="M1271"/>
  <c r="M1272"/>
  <c r="M1273"/>
  <c r="M1274"/>
  <c r="M1275"/>
  <c r="M1276"/>
  <c r="M1277"/>
  <c r="M1278"/>
  <c r="M1279"/>
  <c r="M1280"/>
  <c r="M1281"/>
  <c r="M1282"/>
  <c r="M1283"/>
  <c r="M1284"/>
  <c r="M1285"/>
  <c r="M1286"/>
  <c r="M1287"/>
  <c r="M1288"/>
  <c r="M1289"/>
  <c r="M1290"/>
  <c r="M1291"/>
  <c r="M1292"/>
  <c r="M1293"/>
  <c r="M1294"/>
  <c r="M1295"/>
  <c r="M1296"/>
  <c r="M1297"/>
  <c r="M1298"/>
  <c r="M1299"/>
  <c r="M1300"/>
  <c r="M1301"/>
  <c r="M1302"/>
  <c r="M2"/>
  <c r="I543"/>
  <c r="D393" i="7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I526" i="5"/>
  <c r="M45" i="4"/>
  <c r="N45"/>
  <c r="O45"/>
  <c r="P45"/>
  <c r="Q45"/>
  <c r="R45"/>
  <c r="S45"/>
  <c r="T45"/>
  <c r="U45"/>
  <c r="V45"/>
  <c r="W45"/>
  <c r="X45"/>
  <c r="Y45"/>
  <c r="Z45"/>
  <c r="AA45"/>
  <c r="AB45"/>
  <c r="AC45"/>
  <c r="AD45"/>
  <c r="AE45"/>
  <c r="AF45"/>
  <c r="AG45"/>
  <c r="AH45"/>
  <c r="AI45"/>
  <c r="AJ45"/>
  <c r="AK45"/>
  <c r="AL45"/>
  <c r="AM45"/>
  <c r="AN45"/>
  <c r="AO45"/>
  <c r="AP45"/>
  <c r="AQ45"/>
  <c r="A22" i="37"/>
  <c r="I509" i="5"/>
  <c r="M68" i="28" a="1"/>
  <c r="Q68" a="1"/>
  <c r="Q68" s="1"/>
  <c r="S68"/>
  <c r="V68" s="1"/>
  <c r="M69" a="1"/>
  <c r="Q69" a="1"/>
  <c r="Q69" s="1"/>
  <c r="S69"/>
  <c r="V69" s="1"/>
  <c r="T69"/>
  <c r="U69"/>
  <c r="A10" i="31"/>
  <c r="N10"/>
  <c r="J10"/>
  <c r="M10"/>
  <c r="M336" i="21"/>
  <c r="M337"/>
  <c r="M338"/>
  <c r="M339"/>
  <c r="M340"/>
  <c r="M341"/>
  <c r="M342"/>
  <c r="M343"/>
  <c r="M344"/>
  <c r="M345"/>
  <c r="M346"/>
  <c r="M347"/>
  <c r="M348"/>
  <c r="M349"/>
  <c r="M350"/>
  <c r="M351"/>
  <c r="M352"/>
  <c r="M353"/>
  <c r="M354"/>
  <c r="M355"/>
  <c r="M356"/>
  <c r="M357"/>
  <c r="M358"/>
  <c r="M359"/>
  <c r="M360"/>
  <c r="M361"/>
  <c r="M362"/>
  <c r="M363"/>
  <c r="M364"/>
  <c r="M365"/>
  <c r="M366"/>
  <c r="M367"/>
  <c r="M368"/>
  <c r="M369"/>
  <c r="M370"/>
  <c r="M371"/>
  <c r="M372"/>
  <c r="M373"/>
  <c r="M374"/>
  <c r="M375"/>
  <c r="M376"/>
  <c r="M377"/>
  <c r="M378"/>
  <c r="M379"/>
  <c r="M380"/>
  <c r="M381"/>
  <c r="M382"/>
  <c r="M383"/>
  <c r="M384"/>
  <c r="M385"/>
  <c r="M386"/>
  <c r="M387"/>
  <c r="M388"/>
  <c r="M389"/>
  <c r="M390"/>
  <c r="M391"/>
  <c r="M392"/>
  <c r="M393"/>
  <c r="M394"/>
  <c r="M395"/>
  <c r="M396"/>
  <c r="M397"/>
  <c r="M398"/>
  <c r="M399"/>
  <c r="M400"/>
  <c r="M401"/>
  <c r="M402"/>
  <c r="M403"/>
  <c r="M404"/>
  <c r="M405"/>
  <c r="M406"/>
  <c r="M407"/>
  <c r="M408"/>
  <c r="M409"/>
  <c r="M410"/>
  <c r="M411"/>
  <c r="M412"/>
  <c r="M413"/>
  <c r="M414"/>
  <c r="M415"/>
  <c r="M416"/>
  <c r="M417"/>
  <c r="M418"/>
  <c r="M419"/>
  <c r="M420"/>
  <c r="M421"/>
  <c r="M422"/>
  <c r="M423"/>
  <c r="M424"/>
  <c r="M425"/>
  <c r="M426"/>
  <c r="M427"/>
  <c r="M428"/>
  <c r="M429"/>
  <c r="M430"/>
  <c r="M431"/>
  <c r="M432"/>
  <c r="M433"/>
  <c r="M434"/>
  <c r="M435"/>
  <c r="M436"/>
  <c r="M437"/>
  <c r="M438"/>
  <c r="M439"/>
  <c r="M440"/>
  <c r="M441"/>
  <c r="M442"/>
  <c r="M443"/>
  <c r="M444"/>
  <c r="M445"/>
  <c r="M446"/>
  <c r="M447"/>
  <c r="M448"/>
  <c r="M449"/>
  <c r="M450"/>
  <c r="M451"/>
  <c r="M452"/>
  <c r="M453"/>
  <c r="M454"/>
  <c r="M455"/>
  <c r="M456"/>
  <c r="M457"/>
  <c r="M458"/>
  <c r="M459"/>
  <c r="M460"/>
  <c r="M461"/>
  <c r="M462"/>
  <c r="M463"/>
  <c r="M464"/>
  <c r="M465"/>
  <c r="M466"/>
  <c r="M467"/>
  <c r="M468"/>
  <c r="M469"/>
  <c r="M470"/>
  <c r="M471"/>
  <c r="M472"/>
  <c r="M473"/>
  <c r="M474"/>
  <c r="M475"/>
  <c r="M476"/>
  <c r="M477"/>
  <c r="M478"/>
  <c r="M479"/>
  <c r="M480"/>
  <c r="M481"/>
  <c r="M482"/>
  <c r="M483"/>
  <c r="M484"/>
  <c r="M485"/>
  <c r="M486"/>
  <c r="M487"/>
  <c r="M488"/>
  <c r="M489"/>
  <c r="M490"/>
  <c r="M491"/>
  <c r="M492"/>
  <c r="M493"/>
  <c r="M494"/>
  <c r="M495"/>
  <c r="M496"/>
  <c r="M497"/>
  <c r="M498"/>
  <c r="M499"/>
  <c r="M500"/>
  <c r="M501"/>
  <c r="M502"/>
  <c r="M503"/>
  <c r="M504"/>
  <c r="M505"/>
  <c r="M506"/>
  <c r="M507"/>
  <c r="M508"/>
  <c r="M509"/>
  <c r="M510"/>
  <c r="M511"/>
  <c r="M512"/>
  <c r="M513"/>
  <c r="M514"/>
  <c r="M515"/>
  <c r="M516"/>
  <c r="M517"/>
  <c r="M518"/>
  <c r="M519"/>
  <c r="M520"/>
  <c r="M521"/>
  <c r="M522"/>
  <c r="M523"/>
  <c r="M524"/>
  <c r="M525"/>
  <c r="M526"/>
  <c r="M527"/>
  <c r="M528"/>
  <c r="M529"/>
  <c r="M530"/>
  <c r="M531"/>
  <c r="M532"/>
  <c r="M533"/>
  <c r="M534"/>
  <c r="M535"/>
  <c r="M536"/>
  <c r="M537"/>
  <c r="M538"/>
  <c r="M539"/>
  <c r="M540"/>
  <c r="M541"/>
  <c r="M542"/>
  <c r="M543"/>
  <c r="M544"/>
  <c r="M545"/>
  <c r="M546"/>
  <c r="M547"/>
  <c r="M548"/>
  <c r="M549"/>
  <c r="M550"/>
  <c r="M551"/>
  <c r="M552"/>
  <c r="M553"/>
  <c r="M554"/>
  <c r="M555"/>
  <c r="M556"/>
  <c r="M557"/>
  <c r="M558"/>
  <c r="M559"/>
  <c r="M560"/>
  <c r="M561"/>
  <c r="M562"/>
  <c r="M563"/>
  <c r="M564"/>
  <c r="M565"/>
  <c r="M566"/>
  <c r="M567"/>
  <c r="M568"/>
  <c r="M569"/>
  <c r="M570"/>
  <c r="M571"/>
  <c r="M572"/>
  <c r="M573"/>
  <c r="M574"/>
  <c r="M575"/>
  <c r="M576"/>
  <c r="M577"/>
  <c r="M578"/>
  <c r="M579"/>
  <c r="M580"/>
  <c r="M581"/>
  <c r="M582"/>
  <c r="M583"/>
  <c r="M584"/>
  <c r="M585"/>
  <c r="M586"/>
  <c r="M587"/>
  <c r="M588"/>
  <c r="M589"/>
  <c r="M590"/>
  <c r="M591"/>
  <c r="M592"/>
  <c r="M593"/>
  <c r="M594"/>
  <c r="M595"/>
  <c r="M596"/>
  <c r="M597"/>
  <c r="M598"/>
  <c r="M599"/>
  <c r="M600"/>
  <c r="M601"/>
  <c r="M602"/>
  <c r="M603"/>
  <c r="M604"/>
  <c r="M605"/>
  <c r="M606"/>
  <c r="M607"/>
  <c r="M608"/>
  <c r="M609"/>
  <c r="M610"/>
  <c r="M611"/>
  <c r="M612"/>
  <c r="M613"/>
  <c r="M614"/>
  <c r="M615"/>
  <c r="M616"/>
  <c r="M617"/>
  <c r="M618"/>
  <c r="M619"/>
  <c r="M620"/>
  <c r="M621"/>
  <c r="M622"/>
  <c r="M623"/>
  <c r="M624"/>
  <c r="M625"/>
  <c r="M626"/>
  <c r="M627"/>
  <c r="M628"/>
  <c r="M629"/>
  <c r="M630"/>
  <c r="M631"/>
  <c r="M632"/>
  <c r="M633"/>
  <c r="M634"/>
  <c r="M635"/>
  <c r="M636"/>
  <c r="M637"/>
  <c r="M638"/>
  <c r="M639"/>
  <c r="M640"/>
  <c r="M641"/>
  <c r="M642"/>
  <c r="M643"/>
  <c r="M644"/>
  <c r="M645"/>
  <c r="M646"/>
  <c r="M647"/>
  <c r="M648"/>
  <c r="M649"/>
  <c r="M650"/>
  <c r="M651"/>
  <c r="M652"/>
  <c r="M653"/>
  <c r="M654"/>
  <c r="M655"/>
  <c r="M656"/>
  <c r="M657"/>
  <c r="M658"/>
  <c r="M659"/>
  <c r="M660"/>
  <c r="M661"/>
  <c r="M662"/>
  <c r="M663"/>
  <c r="M664"/>
  <c r="M665"/>
  <c r="M666"/>
  <c r="M667"/>
  <c r="M668"/>
  <c r="M669"/>
  <c r="M670"/>
  <c r="M671"/>
  <c r="M672"/>
  <c r="M673"/>
  <c r="M674"/>
  <c r="M675"/>
  <c r="M676"/>
  <c r="M677"/>
  <c r="M678"/>
  <c r="M679"/>
  <c r="M680"/>
  <c r="M681"/>
  <c r="M682"/>
  <c r="M683"/>
  <c r="M684"/>
  <c r="M685"/>
  <c r="M686"/>
  <c r="M687"/>
  <c r="M688"/>
  <c r="M689"/>
  <c r="M690"/>
  <c r="M691"/>
  <c r="M692"/>
  <c r="M693"/>
  <c r="M694"/>
  <c r="M695"/>
  <c r="M696"/>
  <c r="M697"/>
  <c r="M698"/>
  <c r="M699"/>
  <c r="M700"/>
  <c r="M701"/>
  <c r="M702"/>
  <c r="M703"/>
  <c r="M704"/>
  <c r="M705"/>
  <c r="M706"/>
  <c r="M707"/>
  <c r="M708"/>
  <c r="M709"/>
  <c r="M710"/>
  <c r="M711"/>
  <c r="M712"/>
  <c r="M713"/>
  <c r="M714"/>
  <c r="M715"/>
  <c r="M716"/>
  <c r="M717"/>
  <c r="M718"/>
  <c r="M719"/>
  <c r="M720"/>
  <c r="M721"/>
  <c r="M722"/>
  <c r="M723"/>
  <c r="M724"/>
  <c r="M725"/>
  <c r="M726"/>
  <c r="M727"/>
  <c r="M728"/>
  <c r="M729"/>
  <c r="M730"/>
  <c r="M731"/>
  <c r="M732"/>
  <c r="M733"/>
  <c r="M734"/>
  <c r="M735"/>
  <c r="M736"/>
  <c r="M737"/>
  <c r="M738"/>
  <c r="M739"/>
  <c r="M740"/>
  <c r="M741"/>
  <c r="M742"/>
  <c r="M743"/>
  <c r="M744"/>
  <c r="M745"/>
  <c r="M746"/>
  <c r="M747"/>
  <c r="M748"/>
  <c r="M749"/>
  <c r="M750"/>
  <c r="M751"/>
  <c r="M752"/>
  <c r="M753"/>
  <c r="M754"/>
  <c r="M755"/>
  <c r="M756"/>
  <c r="M757"/>
  <c r="M758"/>
  <c r="M759"/>
  <c r="M760"/>
  <c r="M761"/>
  <c r="M762"/>
  <c r="M763"/>
  <c r="M764"/>
  <c r="M765"/>
  <c r="M766"/>
  <c r="M767"/>
  <c r="M768"/>
  <c r="M769"/>
  <c r="M770"/>
  <c r="M771"/>
  <c r="M772"/>
  <c r="M773"/>
  <c r="M774"/>
  <c r="M775"/>
  <c r="M776"/>
  <c r="M777"/>
  <c r="M778"/>
  <c r="M779"/>
  <c r="M780"/>
  <c r="M781"/>
  <c r="M782"/>
  <c r="M783"/>
  <c r="M784"/>
  <c r="M785"/>
  <c r="M786"/>
  <c r="M787"/>
  <c r="M788"/>
  <c r="M789"/>
  <c r="M790"/>
  <c r="M791"/>
  <c r="M792"/>
  <c r="M793"/>
  <c r="M794"/>
  <c r="M795"/>
  <c r="M796"/>
  <c r="M797"/>
  <c r="M798"/>
  <c r="M799"/>
  <c r="M800"/>
  <c r="M801"/>
  <c r="M802"/>
  <c r="M803"/>
  <c r="M804"/>
  <c r="M805"/>
  <c r="M806"/>
  <c r="M807"/>
  <c r="M808"/>
  <c r="M809"/>
  <c r="M810"/>
  <c r="M811"/>
  <c r="M812"/>
  <c r="M813"/>
  <c r="M814"/>
  <c r="M815"/>
  <c r="M816"/>
  <c r="M817"/>
  <c r="M818"/>
  <c r="M819"/>
  <c r="M820"/>
  <c r="M821"/>
  <c r="M822"/>
  <c r="M823"/>
  <c r="M824"/>
  <c r="M825"/>
  <c r="M826"/>
  <c r="M827"/>
  <c r="M828"/>
  <c r="M829"/>
  <c r="M830"/>
  <c r="M831"/>
  <c r="M832"/>
  <c r="M833"/>
  <c r="M834"/>
  <c r="M835"/>
  <c r="M836"/>
  <c r="M837"/>
  <c r="M838"/>
  <c r="M839"/>
  <c r="M840"/>
  <c r="M841"/>
  <c r="M842"/>
  <c r="M843"/>
  <c r="M844"/>
  <c r="M845"/>
  <c r="M846"/>
  <c r="M847"/>
  <c r="M848"/>
  <c r="M849"/>
  <c r="M850"/>
  <c r="M851"/>
  <c r="M852"/>
  <c r="M853"/>
  <c r="M854"/>
  <c r="M855"/>
  <c r="M856"/>
  <c r="M857"/>
  <c r="M858"/>
  <c r="M859"/>
  <c r="M860"/>
  <c r="M861"/>
  <c r="M862"/>
  <c r="M863"/>
  <c r="M864"/>
  <c r="M865"/>
  <c r="M866"/>
  <c r="M867"/>
  <c r="M868"/>
  <c r="M869"/>
  <c r="M870"/>
  <c r="M871"/>
  <c r="M872"/>
  <c r="M873"/>
  <c r="M874"/>
  <c r="M875"/>
  <c r="M876"/>
  <c r="M877"/>
  <c r="M878"/>
  <c r="M879"/>
  <c r="M880"/>
  <c r="M881"/>
  <c r="M882"/>
  <c r="M883"/>
  <c r="M884"/>
  <c r="M885"/>
  <c r="M886"/>
  <c r="M887"/>
  <c r="M888"/>
  <c r="M889"/>
  <c r="M890"/>
  <c r="M891"/>
  <c r="M892"/>
  <c r="M893"/>
  <c r="M894"/>
  <c r="M895"/>
  <c r="M896"/>
  <c r="M897"/>
  <c r="M898"/>
  <c r="M899"/>
  <c r="M900"/>
  <c r="M901"/>
  <c r="M902"/>
  <c r="M903"/>
  <c r="M904"/>
  <c r="M905"/>
  <c r="M906"/>
  <c r="M907"/>
  <c r="M908"/>
  <c r="M909"/>
  <c r="N16" i="31"/>
  <c r="J16"/>
  <c r="M16"/>
  <c r="A16"/>
  <c r="R337" i="16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4"/>
  <c r="R535"/>
  <c r="R536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4"/>
  <c r="R555"/>
  <c r="R556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07"/>
  <c r="R608"/>
  <c r="R609"/>
  <c r="R610"/>
  <c r="R611"/>
  <c r="R612"/>
  <c r="R613"/>
  <c r="R614"/>
  <c r="R615"/>
  <c r="R616"/>
  <c r="R617"/>
  <c r="R618"/>
  <c r="R619"/>
  <c r="R620"/>
  <c r="R621"/>
  <c r="R622"/>
  <c r="R623"/>
  <c r="R624"/>
  <c r="R625"/>
  <c r="R626"/>
  <c r="R627"/>
  <c r="R628"/>
  <c r="R629"/>
  <c r="R630"/>
  <c r="R631"/>
  <c r="R632"/>
  <c r="R633"/>
  <c r="R634"/>
  <c r="R635"/>
  <c r="R636"/>
  <c r="R637"/>
  <c r="R638"/>
  <c r="R639"/>
  <c r="R640"/>
  <c r="R641"/>
  <c r="R642"/>
  <c r="R643"/>
  <c r="R644"/>
  <c r="R645"/>
  <c r="R646"/>
  <c r="R647"/>
  <c r="R648"/>
  <c r="R649"/>
  <c r="R650"/>
  <c r="R651"/>
  <c r="R652"/>
  <c r="R653"/>
  <c r="R329"/>
  <c r="R330"/>
  <c r="R331"/>
  <c r="R332"/>
  <c r="R333"/>
  <c r="R334"/>
  <c r="R335"/>
  <c r="R336"/>
  <c r="C148" i="11"/>
  <c r="D148"/>
  <c r="E148"/>
  <c r="F148"/>
  <c r="G148"/>
  <c r="D60" i="28" s="1"/>
  <c r="I492" i="5"/>
  <c r="M35" i="4"/>
  <c r="N35"/>
  <c r="O35"/>
  <c r="P35"/>
  <c r="Q35"/>
  <c r="R35"/>
  <c r="S35"/>
  <c r="T35"/>
  <c r="U35"/>
  <c r="V35"/>
  <c r="W35"/>
  <c r="X35"/>
  <c r="Y35"/>
  <c r="Z35"/>
  <c r="AA35"/>
  <c r="AB35"/>
  <c r="AC35"/>
  <c r="AD35"/>
  <c r="AE35"/>
  <c r="AF35"/>
  <c r="AG35"/>
  <c r="AH35"/>
  <c r="AI35"/>
  <c r="AJ35"/>
  <c r="AK35"/>
  <c r="AL35"/>
  <c r="AM35"/>
  <c r="AN35"/>
  <c r="AO35"/>
  <c r="AP35"/>
  <c r="AQ35"/>
  <c r="R9" i="28" a="1"/>
  <c r="R9" s="1"/>
  <c r="A65" i="37"/>
  <c r="A66"/>
  <c r="A67"/>
  <c r="A68"/>
  <c r="B3" i="7"/>
  <c r="D3" s="1"/>
  <c r="B4"/>
  <c r="C4" s="1"/>
  <c r="B5"/>
  <c r="B6"/>
  <c r="C6" s="1"/>
  <c r="B7"/>
  <c r="B8"/>
  <c r="C8" s="1"/>
  <c r="B9"/>
  <c r="C9" s="1"/>
  <c r="B10"/>
  <c r="B11"/>
  <c r="B12"/>
  <c r="D12" s="1"/>
  <c r="B13"/>
  <c r="C13" s="1"/>
  <c r="B14"/>
  <c r="D14" s="1"/>
  <c r="B15"/>
  <c r="B16"/>
  <c r="D16" s="1"/>
  <c r="B17"/>
  <c r="C17" s="1"/>
  <c r="B18"/>
  <c r="C18" s="1"/>
  <c r="B19"/>
  <c r="B20"/>
  <c r="C20" s="1"/>
  <c r="B21"/>
  <c r="C21" s="1"/>
  <c r="B22"/>
  <c r="C22" s="1"/>
  <c r="B23"/>
  <c r="B24"/>
  <c r="C24" s="1"/>
  <c r="B25"/>
  <c r="C25" s="1"/>
  <c r="B26"/>
  <c r="D26" s="1"/>
  <c r="B27"/>
  <c r="B28"/>
  <c r="D28" s="1"/>
  <c r="B29"/>
  <c r="B30"/>
  <c r="C30" s="1"/>
  <c r="B31"/>
  <c r="D31" s="1"/>
  <c r="B32"/>
  <c r="C32" s="1"/>
  <c r="B33"/>
  <c r="C33" s="1"/>
  <c r="B34"/>
  <c r="D34" s="1"/>
  <c r="B35"/>
  <c r="B36"/>
  <c r="D36" s="1"/>
  <c r="B37"/>
  <c r="C37" s="1"/>
  <c r="B38"/>
  <c r="D38" s="1"/>
  <c r="B39"/>
  <c r="B40"/>
  <c r="C40" s="1"/>
  <c r="B41"/>
  <c r="B42"/>
  <c r="D42" s="1"/>
  <c r="B43"/>
  <c r="D43" s="1"/>
  <c r="B44"/>
  <c r="D44" s="1"/>
  <c r="B45"/>
  <c r="B46"/>
  <c r="D46" s="1"/>
  <c r="B47"/>
  <c r="B48"/>
  <c r="D48" s="1"/>
  <c r="B49"/>
  <c r="B50"/>
  <c r="D50" s="1"/>
  <c r="B51"/>
  <c r="B52"/>
  <c r="B53"/>
  <c r="B54"/>
  <c r="D54" s="1"/>
  <c r="W54" s="1"/>
  <c r="B55"/>
  <c r="D55" s="1"/>
  <c r="W55" s="1"/>
  <c r="T37" i="30" s="1"/>
  <c r="B56" i="7"/>
  <c r="C56" s="1"/>
  <c r="B57"/>
  <c r="B58"/>
  <c r="D58" s="1"/>
  <c r="B59"/>
  <c r="B60"/>
  <c r="D60" s="1"/>
  <c r="W60" s="1"/>
  <c r="B61"/>
  <c r="B62"/>
  <c r="B63"/>
  <c r="B64"/>
  <c r="B65"/>
  <c r="B66"/>
  <c r="B67"/>
  <c r="C67" s="1"/>
  <c r="B68"/>
  <c r="C68" s="1"/>
  <c r="B69"/>
  <c r="B74"/>
  <c r="B75"/>
  <c r="B76"/>
  <c r="B77"/>
  <c r="B78"/>
  <c r="D78" s="1"/>
  <c r="B79"/>
  <c r="B80"/>
  <c r="B81"/>
  <c r="B82"/>
  <c r="B83"/>
  <c r="B84"/>
  <c r="D84" s="1"/>
  <c r="W84" s="1"/>
  <c r="T41" i="30" s="1"/>
  <c r="B85" i="7"/>
  <c r="B86"/>
  <c r="B87"/>
  <c r="B88"/>
  <c r="B89"/>
  <c r="B92"/>
  <c r="B93"/>
  <c r="B94"/>
  <c r="D94" s="1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D114" s="1"/>
  <c r="B115"/>
  <c r="B116"/>
  <c r="B117"/>
  <c r="B118"/>
  <c r="B119"/>
  <c r="B120"/>
  <c r="B121"/>
  <c r="B122"/>
  <c r="B123"/>
  <c r="B124"/>
  <c r="C124" s="1"/>
  <c r="B125"/>
  <c r="C125" s="1"/>
  <c r="B126"/>
  <c r="B127"/>
  <c r="B128"/>
  <c r="B129"/>
  <c r="B130"/>
  <c r="B2"/>
  <c r="C2" s="1"/>
  <c r="Q35" i="28" a="1"/>
  <c r="Q35" s="1"/>
  <c r="R35" a="1"/>
  <c r="R35" s="1"/>
  <c r="S35"/>
  <c r="V35" s="1"/>
  <c r="M24" a="1"/>
  <c r="M24" s="1"/>
  <c r="U78"/>
  <c r="U79"/>
  <c r="U81"/>
  <c r="U83"/>
  <c r="U84"/>
  <c r="T78"/>
  <c r="T79"/>
  <c r="T81"/>
  <c r="T83"/>
  <c r="T84"/>
  <c r="S78"/>
  <c r="V78" s="1"/>
  <c r="S79"/>
  <c r="V79" s="1"/>
  <c r="S80"/>
  <c r="V80" s="1"/>
  <c r="S81"/>
  <c r="V81" s="1"/>
  <c r="S82"/>
  <c r="V82" s="1"/>
  <c r="S83"/>
  <c r="V83" s="1"/>
  <c r="S84"/>
  <c r="V84" s="1"/>
  <c r="Q78" a="1"/>
  <c r="Q78" s="1"/>
  <c r="Q79" a="1"/>
  <c r="Q79" s="1"/>
  <c r="Q80" a="1"/>
  <c r="Q80" s="1"/>
  <c r="Q81" a="1"/>
  <c r="Q81" s="1"/>
  <c r="Q82" a="1"/>
  <c r="Q82" s="1"/>
  <c r="Q83" a="1"/>
  <c r="Q83" s="1"/>
  <c r="Q84" a="1"/>
  <c r="Q84" s="1"/>
  <c r="M78" a="1"/>
  <c r="M79" a="1"/>
  <c r="M80" a="1"/>
  <c r="M81" a="1"/>
  <c r="M82" a="1"/>
  <c r="M83" a="1"/>
  <c r="M84" a="1"/>
  <c r="D3"/>
  <c r="C147" i="11"/>
  <c r="D147"/>
  <c r="E147"/>
  <c r="F147"/>
  <c r="G147"/>
  <c r="D63" i="28" s="1"/>
  <c r="C111" i="11"/>
  <c r="D111"/>
  <c r="E111"/>
  <c r="F111"/>
  <c r="G111"/>
  <c r="D80" i="28" s="1"/>
  <c r="A48" i="8"/>
  <c r="AA81" i="28"/>
  <c r="AA83"/>
  <c r="AA84"/>
  <c r="Y81"/>
  <c r="Y83"/>
  <c r="Y84"/>
  <c r="X81"/>
  <c r="X83"/>
  <c r="X84"/>
  <c r="D37" i="11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36"/>
  <c r="S47" i="28"/>
  <c r="V47" s="1"/>
  <c r="M47" a="1"/>
  <c r="Q47" a="1"/>
  <c r="Q47" s="1"/>
  <c r="R47" a="1"/>
  <c r="R47" s="1"/>
  <c r="I475" i="5"/>
  <c r="M32" i="4"/>
  <c r="N32"/>
  <c r="O32"/>
  <c r="P32"/>
  <c r="Q32"/>
  <c r="R32"/>
  <c r="S32"/>
  <c r="T32"/>
  <c r="U32"/>
  <c r="V32"/>
  <c r="W32"/>
  <c r="X32"/>
  <c r="Y32"/>
  <c r="Z32"/>
  <c r="AA32"/>
  <c r="AB32"/>
  <c r="AC32"/>
  <c r="AD32"/>
  <c r="AE32"/>
  <c r="AF32"/>
  <c r="AG32"/>
  <c r="AH32"/>
  <c r="AI32"/>
  <c r="AJ32"/>
  <c r="AK32"/>
  <c r="AL32"/>
  <c r="AM32"/>
  <c r="AN32"/>
  <c r="AO32"/>
  <c r="AP32"/>
  <c r="AQ32"/>
  <c r="A64" i="37"/>
  <c r="A62"/>
  <c r="A63"/>
  <c r="I458" i="5"/>
  <c r="W19" i="33"/>
  <c r="W35"/>
  <c r="W45"/>
  <c r="W53"/>
  <c r="W61"/>
  <c r="W65"/>
  <c r="W69"/>
  <c r="W73"/>
  <c r="W75"/>
  <c r="W77"/>
  <c r="W79"/>
  <c r="W81"/>
  <c r="W83"/>
  <c r="W85"/>
  <c r="W87"/>
  <c r="W89"/>
  <c r="W91"/>
  <c r="W93"/>
  <c r="W95"/>
  <c r="W97"/>
  <c r="W99"/>
  <c r="W101"/>
  <c r="W103"/>
  <c r="W105"/>
  <c r="W107"/>
  <c r="W109"/>
  <c r="W111"/>
  <c r="W113"/>
  <c r="W115"/>
  <c r="W117"/>
  <c r="W119"/>
  <c r="W121"/>
  <c r="W123"/>
  <c r="W125"/>
  <c r="W127"/>
  <c r="W129"/>
  <c r="W131"/>
  <c r="W133"/>
  <c r="W137"/>
  <c r="W139"/>
  <c r="W141"/>
  <c r="W145"/>
  <c r="W147"/>
  <c r="W135"/>
  <c r="W143"/>
  <c r="W4"/>
  <c r="W6"/>
  <c r="W8"/>
  <c r="W10"/>
  <c r="W12"/>
  <c r="W14"/>
  <c r="W16"/>
  <c r="W18"/>
  <c r="W20"/>
  <c r="W22"/>
  <c r="W24"/>
  <c r="W26"/>
  <c r="W28"/>
  <c r="W30"/>
  <c r="W32"/>
  <c r="W34"/>
  <c r="W36"/>
  <c r="W40"/>
  <c r="W44"/>
  <c r="W48"/>
  <c r="W52"/>
  <c r="W56"/>
  <c r="W60"/>
  <c r="W64"/>
  <c r="W68"/>
  <c r="W72"/>
  <c r="W76"/>
  <c r="W80"/>
  <c r="W84"/>
  <c r="W88"/>
  <c r="W92"/>
  <c r="W96"/>
  <c r="W100"/>
  <c r="W104"/>
  <c r="W108"/>
  <c r="W112"/>
  <c r="W116"/>
  <c r="W120"/>
  <c r="W124"/>
  <c r="W128"/>
  <c r="W132"/>
  <c r="I439" i="5"/>
  <c r="A505" i="37"/>
  <c r="A504"/>
  <c r="A503"/>
  <c r="A502"/>
  <c r="A501"/>
  <c r="A500"/>
  <c r="A499"/>
  <c r="A498"/>
  <c r="A497"/>
  <c r="A496"/>
  <c r="A495"/>
  <c r="A494"/>
  <c r="A493"/>
  <c r="A492"/>
  <c r="A491"/>
  <c r="A490"/>
  <c r="A489"/>
  <c r="A488"/>
  <c r="A487"/>
  <c r="A486"/>
  <c r="A485"/>
  <c r="A484"/>
  <c r="A483"/>
  <c r="A482"/>
  <c r="A481"/>
  <c r="A480"/>
  <c r="A479"/>
  <c r="A478"/>
  <c r="A477"/>
  <c r="A476"/>
  <c r="A475"/>
  <c r="A474"/>
  <c r="A473"/>
  <c r="A472"/>
  <c r="A471"/>
  <c r="A470"/>
  <c r="A469"/>
  <c r="A468"/>
  <c r="A467"/>
  <c r="A466"/>
  <c r="A465"/>
  <c r="A464"/>
  <c r="A463"/>
  <c r="A462"/>
  <c r="A461"/>
  <c r="A460"/>
  <c r="A459"/>
  <c r="A458"/>
  <c r="A457"/>
  <c r="A456"/>
  <c r="A455"/>
  <c r="A454"/>
  <c r="A453"/>
  <c r="A452"/>
  <c r="A451"/>
  <c r="A450"/>
  <c r="A449"/>
  <c r="A448"/>
  <c r="A447"/>
  <c r="A446"/>
  <c r="A445"/>
  <c r="A444"/>
  <c r="A443"/>
  <c r="A442"/>
  <c r="A441"/>
  <c r="A440"/>
  <c r="A439"/>
  <c r="A438"/>
  <c r="A437"/>
  <c r="A436"/>
  <c r="A435"/>
  <c r="A434"/>
  <c r="A433"/>
  <c r="A432"/>
  <c r="A431"/>
  <c r="A430"/>
  <c r="A429"/>
  <c r="A428"/>
  <c r="A427"/>
  <c r="A426"/>
  <c r="A425"/>
  <c r="A424"/>
  <c r="A423"/>
  <c r="A422"/>
  <c r="A421"/>
  <c r="A420"/>
  <c r="A419"/>
  <c r="A418"/>
  <c r="A417"/>
  <c r="A416"/>
  <c r="A415"/>
  <c r="A414"/>
  <c r="A413"/>
  <c r="A412"/>
  <c r="A411"/>
  <c r="A410"/>
  <c r="A409"/>
  <c r="A408"/>
  <c r="A407"/>
  <c r="A406"/>
  <c r="A405"/>
  <c r="A404"/>
  <c r="A403"/>
  <c r="A402"/>
  <c r="A401"/>
  <c r="A400"/>
  <c r="A399"/>
  <c r="A398"/>
  <c r="A397"/>
  <c r="A396"/>
  <c r="A395"/>
  <c r="A394"/>
  <c r="A393"/>
  <c r="A392"/>
  <c r="A391"/>
  <c r="A390"/>
  <c r="A389"/>
  <c r="A388"/>
  <c r="A387"/>
  <c r="A386"/>
  <c r="A385"/>
  <c r="A384"/>
  <c r="A383"/>
  <c r="A382"/>
  <c r="A381"/>
  <c r="A380"/>
  <c r="A379"/>
  <c r="A378"/>
  <c r="A377"/>
  <c r="A376"/>
  <c r="A375"/>
  <c r="A374"/>
  <c r="A373"/>
  <c r="A372"/>
  <c r="A371"/>
  <c r="A370"/>
  <c r="A369"/>
  <c r="A368"/>
  <c r="A367"/>
  <c r="A366"/>
  <c r="A365"/>
  <c r="A364"/>
  <c r="A363"/>
  <c r="A362"/>
  <c r="A361"/>
  <c r="A360"/>
  <c r="A359"/>
  <c r="A358"/>
  <c r="A357"/>
  <c r="A356"/>
  <c r="A355"/>
  <c r="A354"/>
  <c r="A353"/>
  <c r="A352"/>
  <c r="A351"/>
  <c r="A350"/>
  <c r="A349"/>
  <c r="A348"/>
  <c r="A347"/>
  <c r="A346"/>
  <c r="A345"/>
  <c r="A344"/>
  <c r="A343"/>
  <c r="A342"/>
  <c r="A341"/>
  <c r="A340"/>
  <c r="A339"/>
  <c r="A338"/>
  <c r="A337"/>
  <c r="A336"/>
  <c r="A335"/>
  <c r="A334"/>
  <c r="A333"/>
  <c r="A332"/>
  <c r="A331"/>
  <c r="A330"/>
  <c r="A329"/>
  <c r="A328"/>
  <c r="A327"/>
  <c r="A326"/>
  <c r="A325"/>
  <c r="A324"/>
  <c r="A323"/>
  <c r="A322"/>
  <c r="A321"/>
  <c r="A320"/>
  <c r="A319"/>
  <c r="A318"/>
  <c r="A317"/>
  <c r="A316"/>
  <c r="A315"/>
  <c r="A314"/>
  <c r="A313"/>
  <c r="A312"/>
  <c r="A311"/>
  <c r="A310"/>
  <c r="A309"/>
  <c r="A308"/>
  <c r="A307"/>
  <c r="A306"/>
  <c r="A305"/>
  <c r="A304"/>
  <c r="A303"/>
  <c r="A302"/>
  <c r="A301"/>
  <c r="A300"/>
  <c r="A299"/>
  <c r="A298"/>
  <c r="A297"/>
  <c r="A296"/>
  <c r="A295"/>
  <c r="A294"/>
  <c r="A293"/>
  <c r="A292"/>
  <c r="A291"/>
  <c r="A290"/>
  <c r="A289"/>
  <c r="A288"/>
  <c r="A287"/>
  <c r="A286"/>
  <c r="A285"/>
  <c r="A284"/>
  <c r="A283"/>
  <c r="A282"/>
  <c r="A281"/>
  <c r="A280"/>
  <c r="A279"/>
  <c r="A278"/>
  <c r="A277"/>
  <c r="A276"/>
  <c r="A275"/>
  <c r="A274"/>
  <c r="A273"/>
  <c r="A272"/>
  <c r="A271"/>
  <c r="A270"/>
  <c r="A269"/>
  <c r="A268"/>
  <c r="A267"/>
  <c r="A266"/>
  <c r="A265"/>
  <c r="A264"/>
  <c r="A263"/>
  <c r="A262"/>
  <c r="A261"/>
  <c r="A260"/>
  <c r="A259"/>
  <c r="A258"/>
  <c r="A257"/>
  <c r="A256"/>
  <c r="A255"/>
  <c r="A254"/>
  <c r="A253"/>
  <c r="A252"/>
  <c r="A251"/>
  <c r="A250"/>
  <c r="A249"/>
  <c r="A248"/>
  <c r="A247"/>
  <c r="A246"/>
  <c r="A245"/>
  <c r="A244"/>
  <c r="A243"/>
  <c r="A242"/>
  <c r="A241"/>
  <c r="A240"/>
  <c r="A239"/>
  <c r="A238"/>
  <c r="A237"/>
  <c r="A236"/>
  <c r="A235"/>
  <c r="A234"/>
  <c r="A233"/>
  <c r="A232"/>
  <c r="A231"/>
  <c r="A230"/>
  <c r="A229"/>
  <c r="A228"/>
  <c r="A227"/>
  <c r="A226"/>
  <c r="A225"/>
  <c r="A224"/>
  <c r="A223"/>
  <c r="A222"/>
  <c r="A221"/>
  <c r="A220"/>
  <c r="A219"/>
  <c r="A218"/>
  <c r="A217"/>
  <c r="A216"/>
  <c r="A215"/>
  <c r="A214"/>
  <c r="A213"/>
  <c r="A212"/>
  <c r="A211"/>
  <c r="A210"/>
  <c r="A209"/>
  <c r="A208"/>
  <c r="A207"/>
  <c r="A206"/>
  <c r="A205"/>
  <c r="A204"/>
  <c r="A203"/>
  <c r="A202"/>
  <c r="A201"/>
  <c r="A200"/>
  <c r="A199"/>
  <c r="A198"/>
  <c r="A197"/>
  <c r="A196"/>
  <c r="A195"/>
  <c r="A194"/>
  <c r="A193"/>
  <c r="A192"/>
  <c r="A191"/>
  <c r="A190"/>
  <c r="A189"/>
  <c r="A188"/>
  <c r="A187"/>
  <c r="A186"/>
  <c r="A185"/>
  <c r="A184"/>
  <c r="A183"/>
  <c r="A182"/>
  <c r="A181"/>
  <c r="A180"/>
  <c r="A179"/>
  <c r="A178"/>
  <c r="A177"/>
  <c r="A176"/>
  <c r="A175"/>
  <c r="A174"/>
  <c r="A173"/>
  <c r="A172"/>
  <c r="A171"/>
  <c r="A170"/>
  <c r="A169"/>
  <c r="A168"/>
  <c r="A167"/>
  <c r="A166"/>
  <c r="A165"/>
  <c r="A164"/>
  <c r="A163"/>
  <c r="A162"/>
  <c r="A161"/>
  <c r="A160"/>
  <c r="A159"/>
  <c r="A158"/>
  <c r="A157"/>
  <c r="A156"/>
  <c r="A155"/>
  <c r="A154"/>
  <c r="A153"/>
  <c r="A152"/>
  <c r="A151"/>
  <c r="A150"/>
  <c r="A149"/>
  <c r="A148"/>
  <c r="A147"/>
  <c r="A146"/>
  <c r="A145"/>
  <c r="A144"/>
  <c r="A143"/>
  <c r="A142"/>
  <c r="A141"/>
  <c r="A140"/>
  <c r="A139"/>
  <c r="A138"/>
  <c r="A137"/>
  <c r="A136"/>
  <c r="A135"/>
  <c r="A134"/>
  <c r="A133"/>
  <c r="A132"/>
  <c r="A131"/>
  <c r="A130"/>
  <c r="A129"/>
  <c r="A128"/>
  <c r="A127"/>
  <c r="A126"/>
  <c r="A125"/>
  <c r="A124"/>
  <c r="A123"/>
  <c r="A122"/>
  <c r="A121"/>
  <c r="A120"/>
  <c r="A119"/>
  <c r="A118"/>
  <c r="A117"/>
  <c r="A116"/>
  <c r="A115"/>
  <c r="A114"/>
  <c r="A113"/>
  <c r="A112"/>
  <c r="A111"/>
  <c r="A110"/>
  <c r="A109"/>
  <c r="A108"/>
  <c r="A107"/>
  <c r="A106"/>
  <c r="A73"/>
  <c r="A72"/>
  <c r="A71"/>
  <c r="A70"/>
  <c r="A69"/>
  <c r="A24"/>
  <c r="A61"/>
  <c r="A60"/>
  <c r="A23"/>
  <c r="A59"/>
  <c r="A58"/>
  <c r="A57"/>
  <c r="A56"/>
  <c r="A55"/>
  <c r="A54"/>
  <c r="A53"/>
  <c r="A21"/>
  <c r="A20"/>
  <c r="A52"/>
  <c r="A19"/>
  <c r="A18"/>
  <c r="A17"/>
  <c r="A16"/>
  <c r="A15"/>
  <c r="A14"/>
  <c r="A51"/>
  <c r="A13"/>
  <c r="A50"/>
  <c r="A49"/>
  <c r="A48"/>
  <c r="A12"/>
  <c r="A11"/>
  <c r="A47"/>
  <c r="A46"/>
  <c r="A45"/>
  <c r="A44"/>
  <c r="A43"/>
  <c r="A42"/>
  <c r="A41"/>
  <c r="A40"/>
  <c r="A10"/>
  <c r="A9"/>
  <c r="A39"/>
  <c r="A8"/>
  <c r="A7"/>
  <c r="A6"/>
  <c r="A5"/>
  <c r="A4"/>
  <c r="A38"/>
  <c r="A37"/>
  <c r="A3"/>
  <c r="A2"/>
  <c r="C79" s="1"/>
  <c r="A36"/>
  <c r="A35"/>
  <c r="A33"/>
  <c r="A32"/>
  <c r="A31"/>
  <c r="A30"/>
  <c r="A29"/>
  <c r="A28"/>
  <c r="A27"/>
  <c r="A26"/>
  <c r="X62" i="28"/>
  <c r="X64"/>
  <c r="X55"/>
  <c r="X56"/>
  <c r="X57"/>
  <c r="X15"/>
  <c r="X11"/>
  <c r="X3"/>
  <c r="X2"/>
  <c r="M60" a="1"/>
  <c r="Q60" a="1"/>
  <c r="Q60" s="1"/>
  <c r="R60" a="1"/>
  <c r="R60" s="1"/>
  <c r="S60"/>
  <c r="V60" s="1"/>
  <c r="S67"/>
  <c r="V67" s="1"/>
  <c r="M67" a="1"/>
  <c r="Q67" a="1"/>
  <c r="Q67" s="1"/>
  <c r="L40" i="30" a="1"/>
  <c r="L40" s="1"/>
  <c r="M40" s="1" a="1"/>
  <c r="M40" s="1"/>
  <c r="E40"/>
  <c r="F40"/>
  <c r="G40"/>
  <c r="A74" i="8"/>
  <c r="A75"/>
  <c r="A76"/>
  <c r="Y79" i="28"/>
  <c r="AA79"/>
  <c r="F2" i="8"/>
  <c r="E2"/>
  <c r="Q70" i="28" a="1"/>
  <c r="Q70" s="1"/>
  <c r="Q61" a="1"/>
  <c r="Q61" s="1"/>
  <c r="Q62" a="1"/>
  <c r="Q62" s="1"/>
  <c r="Q63" a="1"/>
  <c r="Q63" s="1"/>
  <c r="Q64" a="1"/>
  <c r="Q64" s="1"/>
  <c r="Q66" a="1"/>
  <c r="Q66" s="1"/>
  <c r="Q71" a="1"/>
  <c r="Q71" s="1"/>
  <c r="Q72" a="1"/>
  <c r="Q72" s="1"/>
  <c r="Q73" a="1"/>
  <c r="Q73" s="1"/>
  <c r="I420" i="5"/>
  <c r="I401"/>
  <c r="S17" i="28"/>
  <c r="V17" s="1"/>
  <c r="M17" a="1"/>
  <c r="M17" s="1"/>
  <c r="Q17" a="1"/>
  <c r="Q17" s="1"/>
  <c r="R17" a="1"/>
  <c r="R17" s="1"/>
  <c r="S46"/>
  <c r="V46" s="1"/>
  <c r="M46" a="1"/>
  <c r="AB56"/>
  <c r="AB62"/>
  <c r="AA15"/>
  <c r="M75" a="1"/>
  <c r="S73"/>
  <c r="V73" s="1"/>
  <c r="S74"/>
  <c r="V74" s="1"/>
  <c r="S75"/>
  <c r="V75" s="1"/>
  <c r="AA3"/>
  <c r="AA2"/>
  <c r="Y55"/>
  <c r="Y56"/>
  <c r="Y57"/>
  <c r="Y62"/>
  <c r="Y64"/>
  <c r="S72"/>
  <c r="V72" s="1"/>
  <c r="M72" a="1"/>
  <c r="S50"/>
  <c r="V50" s="1"/>
  <c r="M50" a="1"/>
  <c r="Q50" a="1"/>
  <c r="Q50" s="1"/>
  <c r="R50" a="1"/>
  <c r="R50" s="1"/>
  <c r="Y24"/>
  <c r="Y15"/>
  <c r="Y11"/>
  <c r="H144" i="11"/>
  <c r="C146"/>
  <c r="D146"/>
  <c r="E146"/>
  <c r="F146"/>
  <c r="G146"/>
  <c r="D4" i="28" s="1"/>
  <c r="M73" a="1"/>
  <c r="R3" a="1"/>
  <c r="R3" s="1"/>
  <c r="R4" a="1"/>
  <c r="R4" s="1"/>
  <c r="R7" a="1"/>
  <c r="R7" s="1"/>
  <c r="R8" a="1"/>
  <c r="R8" s="1"/>
  <c r="R10" a="1"/>
  <c r="R10" s="1"/>
  <c r="R11" a="1"/>
  <c r="R11" s="1"/>
  <c r="R12" a="1"/>
  <c r="R12" s="1"/>
  <c r="R13" a="1"/>
  <c r="R13" s="1"/>
  <c r="R14" a="1"/>
  <c r="R14" s="1"/>
  <c r="R15" a="1"/>
  <c r="R15" s="1"/>
  <c r="R16" a="1"/>
  <c r="R16" s="1"/>
  <c r="R19" a="1"/>
  <c r="R19" s="1"/>
  <c r="R20" a="1"/>
  <c r="R20" s="1"/>
  <c r="R21" a="1"/>
  <c r="R21" s="1"/>
  <c r="R22" a="1"/>
  <c r="R22" s="1"/>
  <c r="R23" a="1"/>
  <c r="R23" s="1"/>
  <c r="R24" a="1"/>
  <c r="R24" s="1"/>
  <c r="R25" a="1"/>
  <c r="R25" s="1"/>
  <c r="R26" a="1"/>
  <c r="R26" s="1"/>
  <c r="R27" a="1"/>
  <c r="R27" s="1"/>
  <c r="R28" a="1"/>
  <c r="R28" s="1"/>
  <c r="R29" a="1"/>
  <c r="R29" s="1"/>
  <c r="R30" a="1"/>
  <c r="R30" s="1"/>
  <c r="R31" a="1"/>
  <c r="R31" s="1"/>
  <c r="R32" a="1"/>
  <c r="R32" s="1"/>
  <c r="R33" a="1"/>
  <c r="R33" s="1"/>
  <c r="R34" a="1"/>
  <c r="R34" s="1"/>
  <c r="R36" a="1"/>
  <c r="R36" s="1"/>
  <c r="R37" a="1"/>
  <c r="R37" s="1"/>
  <c r="R38" a="1"/>
  <c r="R38" s="1"/>
  <c r="R39" a="1"/>
  <c r="R39" s="1"/>
  <c r="R40" a="1"/>
  <c r="R40" s="1"/>
  <c r="R41" a="1"/>
  <c r="R41" s="1"/>
  <c r="R42" a="1"/>
  <c r="R42" s="1"/>
  <c r="R43" a="1"/>
  <c r="R43" s="1"/>
  <c r="R44" a="1"/>
  <c r="R44" s="1"/>
  <c r="R45" a="1"/>
  <c r="R45" s="1"/>
  <c r="R46" a="1"/>
  <c r="R46" s="1"/>
  <c r="R48" a="1"/>
  <c r="R48" s="1"/>
  <c r="R49" a="1"/>
  <c r="R49" s="1"/>
  <c r="R51" a="1"/>
  <c r="R51" s="1"/>
  <c r="R52" a="1"/>
  <c r="R52" s="1"/>
  <c r="R55" a="1"/>
  <c r="R55" s="1"/>
  <c r="R56" a="1"/>
  <c r="R56" s="1"/>
  <c r="R57" a="1"/>
  <c r="R57" s="1"/>
  <c r="R59" a="1"/>
  <c r="R59" s="1"/>
  <c r="R61" a="1"/>
  <c r="R61" s="1"/>
  <c r="R62" a="1"/>
  <c r="R62" s="1"/>
  <c r="R63" a="1"/>
  <c r="R63" s="1"/>
  <c r="R64" a="1"/>
  <c r="R64" s="1"/>
  <c r="R2" a="1"/>
  <c r="R2" s="1"/>
  <c r="Q3" a="1"/>
  <c r="Q3" s="1"/>
  <c r="Q4" a="1"/>
  <c r="Q4" s="1"/>
  <c r="Q7" a="1"/>
  <c r="Q7" s="1"/>
  <c r="Q8" a="1"/>
  <c r="Q8" s="1"/>
  <c r="Q9" a="1"/>
  <c r="Q9" s="1"/>
  <c r="Q10" a="1"/>
  <c r="Q10" s="1"/>
  <c r="Q11" a="1"/>
  <c r="Q11" s="1"/>
  <c r="Q12" a="1"/>
  <c r="Q12" s="1"/>
  <c r="Q13" a="1"/>
  <c r="Q13" s="1"/>
  <c r="Q14" a="1"/>
  <c r="Q14" s="1"/>
  <c r="Q15" a="1"/>
  <c r="Q15" s="1"/>
  <c r="Q16" a="1"/>
  <c r="Q16" s="1"/>
  <c r="Q19" a="1"/>
  <c r="Q19" s="1"/>
  <c r="Q20" a="1"/>
  <c r="Q20" s="1"/>
  <c r="Q21" a="1"/>
  <c r="Q21" s="1"/>
  <c r="Q22" a="1"/>
  <c r="Q22" s="1"/>
  <c r="Q23" a="1"/>
  <c r="Q23" s="1"/>
  <c r="Q24" a="1"/>
  <c r="Q24" s="1"/>
  <c r="Q25" a="1"/>
  <c r="Q25" s="1"/>
  <c r="Q26" a="1"/>
  <c r="Q26" s="1"/>
  <c r="Q27" a="1"/>
  <c r="Q27" s="1"/>
  <c r="Q28" a="1"/>
  <c r="Q28" s="1"/>
  <c r="Q29" a="1"/>
  <c r="Q29" s="1"/>
  <c r="Q30" a="1"/>
  <c r="Q30" s="1"/>
  <c r="Q31" a="1"/>
  <c r="Q31" s="1"/>
  <c r="Q32" a="1"/>
  <c r="Q32" s="1"/>
  <c r="Q33" a="1"/>
  <c r="Q33" s="1"/>
  <c r="Q34" a="1"/>
  <c r="Q34" s="1"/>
  <c r="Q36" a="1"/>
  <c r="Q36" s="1"/>
  <c r="Q37" a="1"/>
  <c r="Q37" s="1"/>
  <c r="Q38" a="1"/>
  <c r="Q38" s="1"/>
  <c r="Q39" a="1"/>
  <c r="Q39" s="1"/>
  <c r="Q40" a="1"/>
  <c r="Q40" s="1"/>
  <c r="Q41" a="1"/>
  <c r="Q41" s="1"/>
  <c r="Q42" a="1"/>
  <c r="Q42" s="1"/>
  <c r="Q43" a="1"/>
  <c r="Q43" s="1"/>
  <c r="Q44" a="1"/>
  <c r="Q44" s="1"/>
  <c r="Q45" a="1"/>
  <c r="Q45" s="1"/>
  <c r="Q46" a="1"/>
  <c r="Q46" s="1"/>
  <c r="Q48" a="1"/>
  <c r="Q48" s="1"/>
  <c r="Q49" a="1"/>
  <c r="Q49" s="1"/>
  <c r="Q51" a="1"/>
  <c r="Q51" s="1"/>
  <c r="Q52" a="1"/>
  <c r="Q52" s="1"/>
  <c r="Q55" a="1"/>
  <c r="Q55" s="1"/>
  <c r="Q56" a="1"/>
  <c r="Q56" s="1"/>
  <c r="Q57" a="1"/>
  <c r="Q57" s="1"/>
  <c r="Q59" a="1"/>
  <c r="Q59" s="1"/>
  <c r="Q75" a="1"/>
  <c r="Q75" s="1"/>
  <c r="Q76" a="1"/>
  <c r="Q76" s="1"/>
  <c r="Q77" a="1"/>
  <c r="Q77" s="1"/>
  <c r="Q2" a="1"/>
  <c r="Q2" s="1"/>
  <c r="S14"/>
  <c r="V14" s="1"/>
  <c r="M14" a="1"/>
  <c r="M14" s="1"/>
  <c r="J52" i="31"/>
  <c r="M52"/>
  <c r="J53"/>
  <c r="M53"/>
  <c r="A57"/>
  <c r="A58"/>
  <c r="A59"/>
  <c r="L336" i="21"/>
  <c r="L337"/>
  <c r="L338"/>
  <c r="L339"/>
  <c r="L340"/>
  <c r="L341"/>
  <c r="L342"/>
  <c r="L343"/>
  <c r="L344"/>
  <c r="L345"/>
  <c r="L346"/>
  <c r="L347"/>
  <c r="L348"/>
  <c r="L349"/>
  <c r="L350"/>
  <c r="L351"/>
  <c r="L352"/>
  <c r="L353"/>
  <c r="L354"/>
  <c r="L355"/>
  <c r="L356"/>
  <c r="L357"/>
  <c r="L358"/>
  <c r="L359"/>
  <c r="L360"/>
  <c r="L361"/>
  <c r="L362"/>
  <c r="L363"/>
  <c r="L364"/>
  <c r="L365"/>
  <c r="L366"/>
  <c r="L367"/>
  <c r="L368"/>
  <c r="L369"/>
  <c r="L370"/>
  <c r="L371"/>
  <c r="L372"/>
  <c r="L373"/>
  <c r="L374"/>
  <c r="L375"/>
  <c r="L376"/>
  <c r="L377"/>
  <c r="L378"/>
  <c r="L379"/>
  <c r="L380"/>
  <c r="L381"/>
  <c r="L382"/>
  <c r="L383"/>
  <c r="L384"/>
  <c r="L385"/>
  <c r="L386"/>
  <c r="L387"/>
  <c r="L388"/>
  <c r="L389"/>
  <c r="L390"/>
  <c r="L391"/>
  <c r="L392"/>
  <c r="L393"/>
  <c r="L394"/>
  <c r="L395"/>
  <c r="L396"/>
  <c r="L397"/>
  <c r="L398"/>
  <c r="L399"/>
  <c r="L400"/>
  <c r="L401"/>
  <c r="L402"/>
  <c r="L403"/>
  <c r="L404"/>
  <c r="L405"/>
  <c r="L406"/>
  <c r="L407"/>
  <c r="L408"/>
  <c r="L409"/>
  <c r="L410"/>
  <c r="L411"/>
  <c r="L412"/>
  <c r="L413"/>
  <c r="L414"/>
  <c r="L415"/>
  <c r="L416"/>
  <c r="L417"/>
  <c r="L418"/>
  <c r="L419"/>
  <c r="L420"/>
  <c r="L421"/>
  <c r="L422"/>
  <c r="L423"/>
  <c r="L424"/>
  <c r="L425"/>
  <c r="L426"/>
  <c r="L427"/>
  <c r="L428"/>
  <c r="L429"/>
  <c r="L430"/>
  <c r="L431"/>
  <c r="L432"/>
  <c r="L433"/>
  <c r="L434"/>
  <c r="L435"/>
  <c r="L436"/>
  <c r="L437"/>
  <c r="L438"/>
  <c r="L439"/>
  <c r="L440"/>
  <c r="L441"/>
  <c r="L442"/>
  <c r="L443"/>
  <c r="L444"/>
  <c r="L445"/>
  <c r="L446"/>
  <c r="L447"/>
  <c r="L448"/>
  <c r="L449"/>
  <c r="L450"/>
  <c r="L451"/>
  <c r="L452"/>
  <c r="L453"/>
  <c r="L454"/>
  <c r="L455"/>
  <c r="L456"/>
  <c r="L457"/>
  <c r="L458"/>
  <c r="L459"/>
  <c r="L460"/>
  <c r="L461"/>
  <c r="L462"/>
  <c r="L463"/>
  <c r="L464"/>
  <c r="L465"/>
  <c r="L466"/>
  <c r="L467"/>
  <c r="L468"/>
  <c r="L469"/>
  <c r="L470"/>
  <c r="L471"/>
  <c r="L472"/>
  <c r="L473"/>
  <c r="L474"/>
  <c r="L475"/>
  <c r="L476"/>
  <c r="L477"/>
  <c r="L478"/>
  <c r="L479"/>
  <c r="L480"/>
  <c r="L481"/>
  <c r="L482"/>
  <c r="L483"/>
  <c r="L484"/>
  <c r="L485"/>
  <c r="L486"/>
  <c r="L487"/>
  <c r="L488"/>
  <c r="L489"/>
  <c r="L490"/>
  <c r="L491"/>
  <c r="L492"/>
  <c r="L493"/>
  <c r="L494"/>
  <c r="L495"/>
  <c r="L496"/>
  <c r="L497"/>
  <c r="L498"/>
  <c r="L499"/>
  <c r="L500"/>
  <c r="L501"/>
  <c r="L502"/>
  <c r="L503"/>
  <c r="L504"/>
  <c r="L505"/>
  <c r="L506"/>
  <c r="L507"/>
  <c r="L508"/>
  <c r="L509"/>
  <c r="L510"/>
  <c r="L511"/>
  <c r="L512"/>
  <c r="L513"/>
  <c r="L514"/>
  <c r="L515"/>
  <c r="L516"/>
  <c r="L517"/>
  <c r="L518"/>
  <c r="L519"/>
  <c r="L520"/>
  <c r="L521"/>
  <c r="L522"/>
  <c r="L523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544"/>
  <c r="L545"/>
  <c r="L546"/>
  <c r="L547"/>
  <c r="L548"/>
  <c r="L549"/>
  <c r="L550"/>
  <c r="L551"/>
  <c r="L552"/>
  <c r="L553"/>
  <c r="L554"/>
  <c r="L555"/>
  <c r="L556"/>
  <c r="L557"/>
  <c r="L558"/>
  <c r="L559"/>
  <c r="L560"/>
  <c r="L561"/>
  <c r="L562"/>
  <c r="L563"/>
  <c r="L564"/>
  <c r="L565"/>
  <c r="L566"/>
  <c r="L567"/>
  <c r="L568"/>
  <c r="L569"/>
  <c r="L570"/>
  <c r="L571"/>
  <c r="L572"/>
  <c r="L573"/>
  <c r="L574"/>
  <c r="L575"/>
  <c r="L576"/>
  <c r="L577"/>
  <c r="L578"/>
  <c r="L579"/>
  <c r="L580"/>
  <c r="L581"/>
  <c r="L582"/>
  <c r="L583"/>
  <c r="L584"/>
  <c r="L585"/>
  <c r="L586"/>
  <c r="L587"/>
  <c r="L588"/>
  <c r="L589"/>
  <c r="L590"/>
  <c r="L591"/>
  <c r="L592"/>
  <c r="L593"/>
  <c r="L594"/>
  <c r="L595"/>
  <c r="L596"/>
  <c r="L597"/>
  <c r="L598"/>
  <c r="L599"/>
  <c r="L600"/>
  <c r="L601"/>
  <c r="L602"/>
  <c r="L603"/>
  <c r="L604"/>
  <c r="L605"/>
  <c r="L606"/>
  <c r="L607"/>
  <c r="L608"/>
  <c r="L609"/>
  <c r="L610"/>
  <c r="L611"/>
  <c r="L612"/>
  <c r="L613"/>
  <c r="L614"/>
  <c r="L615"/>
  <c r="L616"/>
  <c r="L617"/>
  <c r="L618"/>
  <c r="L619"/>
  <c r="L620"/>
  <c r="L621"/>
  <c r="L622"/>
  <c r="L623"/>
  <c r="L624"/>
  <c r="L625"/>
  <c r="L626"/>
  <c r="L627"/>
  <c r="L628"/>
  <c r="L629"/>
  <c r="L630"/>
  <c r="L631"/>
  <c r="L632"/>
  <c r="L633"/>
  <c r="L634"/>
  <c r="L635"/>
  <c r="L636"/>
  <c r="L637"/>
  <c r="L638"/>
  <c r="L639"/>
  <c r="L640"/>
  <c r="L641"/>
  <c r="L642"/>
  <c r="L643"/>
  <c r="L644"/>
  <c r="L645"/>
  <c r="L646"/>
  <c r="L647"/>
  <c r="L648"/>
  <c r="L649"/>
  <c r="L650"/>
  <c r="L651"/>
  <c r="L652"/>
  <c r="L653"/>
  <c r="L654"/>
  <c r="L655"/>
  <c r="L656"/>
  <c r="L657"/>
  <c r="L658"/>
  <c r="L659"/>
  <c r="L660"/>
  <c r="L661"/>
  <c r="L662"/>
  <c r="L663"/>
  <c r="L664"/>
  <c r="L665"/>
  <c r="L666"/>
  <c r="L667"/>
  <c r="L668"/>
  <c r="L669"/>
  <c r="L670"/>
  <c r="L671"/>
  <c r="L672"/>
  <c r="L673"/>
  <c r="L674"/>
  <c r="L675"/>
  <c r="L676"/>
  <c r="L677"/>
  <c r="L678"/>
  <c r="L679"/>
  <c r="L680"/>
  <c r="L681"/>
  <c r="L682"/>
  <c r="L683"/>
  <c r="L684"/>
  <c r="L685"/>
  <c r="L686"/>
  <c r="L687"/>
  <c r="L688"/>
  <c r="L689"/>
  <c r="L690"/>
  <c r="L691"/>
  <c r="L692"/>
  <c r="L693"/>
  <c r="L694"/>
  <c r="L695"/>
  <c r="L696"/>
  <c r="L697"/>
  <c r="L698"/>
  <c r="L699"/>
  <c r="L700"/>
  <c r="L701"/>
  <c r="L702"/>
  <c r="L703"/>
  <c r="L704"/>
  <c r="L705"/>
  <c r="L706"/>
  <c r="L707"/>
  <c r="L708"/>
  <c r="L709"/>
  <c r="L710"/>
  <c r="L711"/>
  <c r="L712"/>
  <c r="L713"/>
  <c r="L714"/>
  <c r="L715"/>
  <c r="L716"/>
  <c r="L717"/>
  <c r="L718"/>
  <c r="L719"/>
  <c r="L720"/>
  <c r="L721"/>
  <c r="L722"/>
  <c r="L723"/>
  <c r="L724"/>
  <c r="L725"/>
  <c r="L726"/>
  <c r="L727"/>
  <c r="L728"/>
  <c r="L729"/>
  <c r="L730"/>
  <c r="L731"/>
  <c r="L732"/>
  <c r="L733"/>
  <c r="L734"/>
  <c r="L735"/>
  <c r="L736"/>
  <c r="L737"/>
  <c r="L738"/>
  <c r="L739"/>
  <c r="L740"/>
  <c r="L741"/>
  <c r="L742"/>
  <c r="L743"/>
  <c r="L744"/>
  <c r="L745"/>
  <c r="L746"/>
  <c r="L747"/>
  <c r="L748"/>
  <c r="L749"/>
  <c r="L750"/>
  <c r="L751"/>
  <c r="L752"/>
  <c r="L753"/>
  <c r="L754"/>
  <c r="L755"/>
  <c r="L756"/>
  <c r="L757"/>
  <c r="L758"/>
  <c r="L759"/>
  <c r="L760"/>
  <c r="L761"/>
  <c r="L762"/>
  <c r="L763"/>
  <c r="L764"/>
  <c r="L765"/>
  <c r="L766"/>
  <c r="L767"/>
  <c r="L768"/>
  <c r="L769"/>
  <c r="L770"/>
  <c r="L771"/>
  <c r="L772"/>
  <c r="L773"/>
  <c r="L774"/>
  <c r="L775"/>
  <c r="L776"/>
  <c r="L777"/>
  <c r="L778"/>
  <c r="L779"/>
  <c r="L780"/>
  <c r="L781"/>
  <c r="L782"/>
  <c r="L783"/>
  <c r="L784"/>
  <c r="L785"/>
  <c r="L786"/>
  <c r="L787"/>
  <c r="L788"/>
  <c r="L789"/>
  <c r="L790"/>
  <c r="L791"/>
  <c r="L792"/>
  <c r="L793"/>
  <c r="L794"/>
  <c r="L795"/>
  <c r="L796"/>
  <c r="L797"/>
  <c r="L798"/>
  <c r="L799"/>
  <c r="L800"/>
  <c r="L801"/>
  <c r="L802"/>
  <c r="L803"/>
  <c r="L804"/>
  <c r="L805"/>
  <c r="L806"/>
  <c r="L807"/>
  <c r="L808"/>
  <c r="L809"/>
  <c r="L810"/>
  <c r="L811"/>
  <c r="L812"/>
  <c r="L813"/>
  <c r="L814"/>
  <c r="L815"/>
  <c r="L816"/>
  <c r="L817"/>
  <c r="L818"/>
  <c r="L819"/>
  <c r="L820"/>
  <c r="L821"/>
  <c r="L822"/>
  <c r="L823"/>
  <c r="L824"/>
  <c r="L825"/>
  <c r="L826"/>
  <c r="L827"/>
  <c r="L828"/>
  <c r="L829"/>
  <c r="L830"/>
  <c r="L831"/>
  <c r="L832"/>
  <c r="L833"/>
  <c r="L834"/>
  <c r="L835"/>
  <c r="L836"/>
  <c r="L837"/>
  <c r="L838"/>
  <c r="L839"/>
  <c r="L840"/>
  <c r="L841"/>
  <c r="L842"/>
  <c r="L843"/>
  <c r="L844"/>
  <c r="L845"/>
  <c r="L846"/>
  <c r="L847"/>
  <c r="L848"/>
  <c r="L849"/>
  <c r="L850"/>
  <c r="L851"/>
  <c r="L852"/>
  <c r="L853"/>
  <c r="L854"/>
  <c r="L855"/>
  <c r="L856"/>
  <c r="L857"/>
  <c r="L858"/>
  <c r="L859"/>
  <c r="L860"/>
  <c r="L861"/>
  <c r="L862"/>
  <c r="L863"/>
  <c r="L864"/>
  <c r="L865"/>
  <c r="L866"/>
  <c r="L867"/>
  <c r="L868"/>
  <c r="L869"/>
  <c r="L870"/>
  <c r="L871"/>
  <c r="L872"/>
  <c r="L873"/>
  <c r="L874"/>
  <c r="L875"/>
  <c r="L876"/>
  <c r="L877"/>
  <c r="L878"/>
  <c r="L879"/>
  <c r="L880"/>
  <c r="L881"/>
  <c r="L882"/>
  <c r="L883"/>
  <c r="L884"/>
  <c r="L885"/>
  <c r="L886"/>
  <c r="L887"/>
  <c r="L888"/>
  <c r="L889"/>
  <c r="L890"/>
  <c r="L891"/>
  <c r="L892"/>
  <c r="L893"/>
  <c r="L894"/>
  <c r="L895"/>
  <c r="L896"/>
  <c r="L897"/>
  <c r="L898"/>
  <c r="L899"/>
  <c r="L900"/>
  <c r="L901"/>
  <c r="L902"/>
  <c r="L903"/>
  <c r="L904"/>
  <c r="L905"/>
  <c r="L906"/>
  <c r="L907"/>
  <c r="L908"/>
  <c r="L909"/>
  <c r="F59" i="31"/>
  <c r="J59"/>
  <c r="M59"/>
  <c r="A60"/>
  <c r="A61"/>
  <c r="F58"/>
  <c r="J58"/>
  <c r="M58"/>
  <c r="U51" i="28"/>
  <c r="S34"/>
  <c r="V34" s="1"/>
  <c r="S36"/>
  <c r="V36" s="1"/>
  <c r="T36"/>
  <c r="U36"/>
  <c r="M34" a="1"/>
  <c r="S23"/>
  <c r="V23" s="1"/>
  <c r="S24"/>
  <c r="V24" s="1"/>
  <c r="M23" a="1"/>
  <c r="M23" s="1"/>
  <c r="M45" a="1"/>
  <c r="U17"/>
  <c r="S38"/>
  <c r="V38" s="1"/>
  <c r="I381" i="5"/>
  <c r="A13" i="31"/>
  <c r="F13"/>
  <c r="J13"/>
  <c r="M13"/>
  <c r="A14"/>
  <c r="F14"/>
  <c r="N14" s="1"/>
  <c r="J14"/>
  <c r="M14"/>
  <c r="A17"/>
  <c r="F17"/>
  <c r="J17"/>
  <c r="M17"/>
  <c r="A18"/>
  <c r="F18"/>
  <c r="J18"/>
  <c r="M18"/>
  <c r="A19"/>
  <c r="F19"/>
  <c r="J19"/>
  <c r="M19"/>
  <c r="A20"/>
  <c r="F20"/>
  <c r="J20"/>
  <c r="M20"/>
  <c r="AC56" i="28"/>
  <c r="AC62"/>
  <c r="A51" i="8"/>
  <c r="A52"/>
  <c r="P254" i="16"/>
  <c r="A254" s="1"/>
  <c r="P255"/>
  <c r="P256"/>
  <c r="A256" s="1"/>
  <c r="P257"/>
  <c r="A257" s="1"/>
  <c r="P258"/>
  <c r="A258" s="1"/>
  <c r="P259"/>
  <c r="P260"/>
  <c r="A260" s="1"/>
  <c r="P261"/>
  <c r="A261" s="1"/>
  <c r="P262"/>
  <c r="A262" s="1"/>
  <c r="P263"/>
  <c r="W2" i="33"/>
  <c r="L41" i="30" a="1"/>
  <c r="L41" s="1"/>
  <c r="M41" s="1" a="1"/>
  <c r="M41" s="1"/>
  <c r="E44"/>
  <c r="F44"/>
  <c r="G44"/>
  <c r="E42"/>
  <c r="F42"/>
  <c r="G42"/>
  <c r="E19"/>
  <c r="F19"/>
  <c r="G19"/>
  <c r="L19" a="1"/>
  <c r="L19" s="1"/>
  <c r="M19" s="1" a="1"/>
  <c r="M19" s="1"/>
  <c r="G8"/>
  <c r="L8" a="1"/>
  <c r="L8" s="1"/>
  <c r="M8" s="1" a="1"/>
  <c r="M8" s="1"/>
  <c r="G9"/>
  <c r="L9" a="1"/>
  <c r="L9" s="1"/>
  <c r="M9" s="1" a="1"/>
  <c r="M9" s="1"/>
  <c r="E9"/>
  <c r="F9"/>
  <c r="E8"/>
  <c r="F8"/>
  <c r="L44" a="1"/>
  <c r="L44" s="1"/>
  <c r="M44" s="1" a="1"/>
  <c r="M44" s="1"/>
  <c r="L42" a="1"/>
  <c r="L42" s="1"/>
  <c r="M42" s="1" a="1"/>
  <c r="M42" s="1"/>
  <c r="E4"/>
  <c r="F4"/>
  <c r="G4"/>
  <c r="L4" a="1"/>
  <c r="L4" s="1"/>
  <c r="M4" s="1" a="1"/>
  <c r="M4" s="1"/>
  <c r="G3"/>
  <c r="L3" a="1"/>
  <c r="L3" s="1"/>
  <c r="M3" s="1" a="1"/>
  <c r="M3" s="1"/>
  <c r="E3"/>
  <c r="F3"/>
  <c r="E47"/>
  <c r="F47"/>
  <c r="G47"/>
  <c r="L47" a="1"/>
  <c r="L47" s="1"/>
  <c r="M47" s="1" a="1"/>
  <c r="M47" s="1"/>
  <c r="G45"/>
  <c r="L45" a="1"/>
  <c r="L45" s="1"/>
  <c r="M45" s="1" a="1"/>
  <c r="M45" s="1"/>
  <c r="E45"/>
  <c r="F45"/>
  <c r="E43"/>
  <c r="F43"/>
  <c r="G43"/>
  <c r="L43" a="1"/>
  <c r="L43" s="1"/>
  <c r="M43" s="1" a="1"/>
  <c r="M43" s="1"/>
  <c r="G41"/>
  <c r="E41"/>
  <c r="F41"/>
  <c r="A11" i="31"/>
  <c r="A12"/>
  <c r="A15"/>
  <c r="A21"/>
  <c r="A22"/>
  <c r="A23"/>
  <c r="A24"/>
  <c r="A25"/>
  <c r="A26"/>
  <c r="A27"/>
  <c r="A28"/>
  <c r="A29"/>
  <c r="A30"/>
  <c r="A33"/>
  <c r="A34"/>
  <c r="A35"/>
  <c r="A40"/>
  <c r="A41"/>
  <c r="A43"/>
  <c r="A44"/>
  <c r="A45"/>
  <c r="A46"/>
  <c r="A47"/>
  <c r="A48"/>
  <c r="A49"/>
  <c r="A50"/>
  <c r="A51"/>
  <c r="A52"/>
  <c r="A53"/>
  <c r="A56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6"/>
  <c r="F6"/>
  <c r="J6"/>
  <c r="M6"/>
  <c r="G26" i="30"/>
  <c r="L26" a="1"/>
  <c r="L26" s="1"/>
  <c r="M26" s="1" a="1"/>
  <c r="M26" s="1"/>
  <c r="E26"/>
  <c r="F26"/>
  <c r="J5" i="31"/>
  <c r="J4" i="30" s="1"/>
  <c r="M5" i="31"/>
  <c r="J41"/>
  <c r="J26" i="30" s="1"/>
  <c r="M41" i="31"/>
  <c r="J65"/>
  <c r="M65"/>
  <c r="J69"/>
  <c r="M69"/>
  <c r="J76"/>
  <c r="M76"/>
  <c r="N76"/>
  <c r="J77"/>
  <c r="M77"/>
  <c r="N77"/>
  <c r="J78"/>
  <c r="M78"/>
  <c r="N78"/>
  <c r="J79"/>
  <c r="M79"/>
  <c r="N79"/>
  <c r="J80"/>
  <c r="M80"/>
  <c r="N80"/>
  <c r="J81"/>
  <c r="M81"/>
  <c r="N81"/>
  <c r="J82"/>
  <c r="M82"/>
  <c r="N82"/>
  <c r="J83"/>
  <c r="M83"/>
  <c r="N83"/>
  <c r="J84"/>
  <c r="M84"/>
  <c r="N84"/>
  <c r="J85"/>
  <c r="M85"/>
  <c r="N85"/>
  <c r="J86"/>
  <c r="M86"/>
  <c r="N86"/>
  <c r="J87"/>
  <c r="M87"/>
  <c r="N87"/>
  <c r="J88"/>
  <c r="M88"/>
  <c r="N88"/>
  <c r="J68"/>
  <c r="J45" i="30" s="1"/>
  <c r="M68" i="31"/>
  <c r="J30"/>
  <c r="M30"/>
  <c r="A5"/>
  <c r="J11"/>
  <c r="J9" i="30" s="1"/>
  <c r="M11" i="31"/>
  <c r="J12"/>
  <c r="M12"/>
  <c r="A4"/>
  <c r="F4"/>
  <c r="J4"/>
  <c r="M4"/>
  <c r="J3"/>
  <c r="M3"/>
  <c r="A3"/>
  <c r="I363" i="5"/>
  <c r="M16" i="4"/>
  <c r="N16"/>
  <c r="O16"/>
  <c r="P16"/>
  <c r="Q16"/>
  <c r="R16"/>
  <c r="S16"/>
  <c r="T16"/>
  <c r="U16"/>
  <c r="V16"/>
  <c r="W16"/>
  <c r="X16"/>
  <c r="Y16"/>
  <c r="Z16"/>
  <c r="AA16"/>
  <c r="AB16"/>
  <c r="AC16"/>
  <c r="AD16"/>
  <c r="AE16"/>
  <c r="AF16"/>
  <c r="AG16"/>
  <c r="AH16"/>
  <c r="AI16"/>
  <c r="AJ16"/>
  <c r="AK16"/>
  <c r="AL16"/>
  <c r="AM16"/>
  <c r="AN16"/>
  <c r="AO16"/>
  <c r="AP16"/>
  <c r="AQ16"/>
  <c r="M19"/>
  <c r="N19"/>
  <c r="O19"/>
  <c r="P19"/>
  <c r="Q19"/>
  <c r="R19"/>
  <c r="S19"/>
  <c r="T19"/>
  <c r="U19"/>
  <c r="V19"/>
  <c r="W19"/>
  <c r="X19"/>
  <c r="Y19"/>
  <c r="Z19"/>
  <c r="AA19"/>
  <c r="AB19"/>
  <c r="AC19"/>
  <c r="AD19"/>
  <c r="AE19"/>
  <c r="AF19"/>
  <c r="AG19"/>
  <c r="AH19"/>
  <c r="AI19"/>
  <c r="AJ19"/>
  <c r="AK19"/>
  <c r="AL19"/>
  <c r="AM19"/>
  <c r="AN19"/>
  <c r="AO19"/>
  <c r="AP19"/>
  <c r="AQ19"/>
  <c r="J64" i="31"/>
  <c r="J44" i="30" s="1"/>
  <c r="M64" i="31"/>
  <c r="J74"/>
  <c r="M74"/>
  <c r="J75"/>
  <c r="M75"/>
  <c r="J63"/>
  <c r="M63"/>
  <c r="F53"/>
  <c r="N53" s="1"/>
  <c r="L11" i="30" a="1"/>
  <c r="L11" s="1"/>
  <c r="M11" s="1" a="1"/>
  <c r="M11" s="1"/>
  <c r="L12" a="1"/>
  <c r="L12" s="1"/>
  <c r="M12" s="1" a="1"/>
  <c r="M12" s="1"/>
  <c r="L13" a="1"/>
  <c r="L13" s="1"/>
  <c r="M13" s="1" a="1"/>
  <c r="M13" s="1"/>
  <c r="L20" a="1"/>
  <c r="L20" s="1"/>
  <c r="M20" s="1" a="1"/>
  <c r="M20" s="1"/>
  <c r="L21" a="1"/>
  <c r="L21" s="1"/>
  <c r="M21" s="1" a="1"/>
  <c r="M21" s="1"/>
  <c r="L22" a="1"/>
  <c r="L22" s="1"/>
  <c r="M22" s="1" a="1"/>
  <c r="M22" s="1"/>
  <c r="L23" a="1"/>
  <c r="L23" s="1"/>
  <c r="M23" s="1" a="1"/>
  <c r="M23" s="1"/>
  <c r="L24" a="1"/>
  <c r="L24" s="1"/>
  <c r="M24" s="1" a="1"/>
  <c r="M24" s="1"/>
  <c r="L25" a="1"/>
  <c r="L25" s="1"/>
  <c r="M25" s="1" a="1"/>
  <c r="M25" s="1"/>
  <c r="L27" a="1"/>
  <c r="L27" s="1"/>
  <c r="M27" s="1" a="1"/>
  <c r="M27" s="1"/>
  <c r="L28" a="1"/>
  <c r="L28" s="1"/>
  <c r="M28" s="1" a="1"/>
  <c r="M28" s="1"/>
  <c r="L29" a="1"/>
  <c r="L29" s="1"/>
  <c r="M29" s="1" a="1"/>
  <c r="M29" s="1"/>
  <c r="L31" a="1"/>
  <c r="L31" s="1"/>
  <c r="M31" s="1" a="1"/>
  <c r="M31" s="1"/>
  <c r="L32" a="1"/>
  <c r="L32" s="1"/>
  <c r="M32" s="1" a="1"/>
  <c r="M32" s="1"/>
  <c r="L33" a="1"/>
  <c r="L33" s="1"/>
  <c r="M33" s="1" a="1"/>
  <c r="M33" s="1"/>
  <c r="L34" a="1"/>
  <c r="L34" s="1"/>
  <c r="M34" s="1" a="1"/>
  <c r="M34" s="1"/>
  <c r="L35" a="1"/>
  <c r="L35" s="1"/>
  <c r="M35" s="1" a="1"/>
  <c r="M35" s="1"/>
  <c r="L36" a="1"/>
  <c r="L36" s="1"/>
  <c r="M36" s="1" a="1"/>
  <c r="M36" s="1"/>
  <c r="L37" a="1"/>
  <c r="L37" s="1"/>
  <c r="M37" s="1" a="1"/>
  <c r="M37" s="1"/>
  <c r="L38" a="1"/>
  <c r="L38" s="1"/>
  <c r="M38" s="1" a="1"/>
  <c r="M38" s="1"/>
  <c r="L39" a="1"/>
  <c r="L39" s="1"/>
  <c r="M39" s="1" a="1"/>
  <c r="M39" s="1"/>
  <c r="L46" a="1"/>
  <c r="L46" s="1"/>
  <c r="M46" s="1" a="1"/>
  <c r="M46" s="1"/>
  <c r="L48" a="1"/>
  <c r="L48" s="1"/>
  <c r="M48" s="1" a="1"/>
  <c r="M48" s="1"/>
  <c r="L49" a="1"/>
  <c r="L49" s="1"/>
  <c r="M49" s="1" a="1"/>
  <c r="M49" s="1"/>
  <c r="L50" a="1"/>
  <c r="L50" s="1"/>
  <c r="M50" s="1" a="1"/>
  <c r="M50" s="1"/>
  <c r="L51" a="1"/>
  <c r="L51" s="1"/>
  <c r="M51" s="1" a="1"/>
  <c r="M51" s="1"/>
  <c r="L53" a="1"/>
  <c r="L53" s="1"/>
  <c r="M53" s="1" a="1"/>
  <c r="M53" s="1"/>
  <c r="L2" a="1"/>
  <c r="L2" s="1"/>
  <c r="M2" s="1" a="1"/>
  <c r="M2" s="1"/>
  <c r="L7" a="1"/>
  <c r="L7" s="1"/>
  <c r="M7" s="1" a="1"/>
  <c r="M7" s="1"/>
  <c r="L14" a="1"/>
  <c r="L14" s="1"/>
  <c r="M14" s="1" a="1"/>
  <c r="M14" s="1"/>
  <c r="L15" a="1"/>
  <c r="L15" s="1"/>
  <c r="M15" s="1" a="1"/>
  <c r="M15" s="1"/>
  <c r="L16" a="1"/>
  <c r="L16" s="1"/>
  <c r="M16" s="1" a="1"/>
  <c r="M16" s="1"/>
  <c r="L17" a="1"/>
  <c r="L17" s="1"/>
  <c r="M17" s="1" a="1"/>
  <c r="M17" s="1"/>
  <c r="L18" a="1"/>
  <c r="L18" s="1"/>
  <c r="M18" s="1" a="1"/>
  <c r="M18" s="1"/>
  <c r="L10" a="1"/>
  <c r="L10" s="1"/>
  <c r="E16"/>
  <c r="F16"/>
  <c r="G16"/>
  <c r="E53"/>
  <c r="F53"/>
  <c r="G53"/>
  <c r="E50"/>
  <c r="F50"/>
  <c r="G50"/>
  <c r="E48"/>
  <c r="F48"/>
  <c r="G48"/>
  <c r="E49"/>
  <c r="F49"/>
  <c r="G49"/>
  <c r="E38"/>
  <c r="F38"/>
  <c r="G38"/>
  <c r="E36"/>
  <c r="F36"/>
  <c r="G36"/>
  <c r="E34"/>
  <c r="F34"/>
  <c r="G34"/>
  <c r="E30"/>
  <c r="F30"/>
  <c r="G30"/>
  <c r="E29"/>
  <c r="F29"/>
  <c r="G29"/>
  <c r="E28"/>
  <c r="F28"/>
  <c r="G28"/>
  <c r="E22"/>
  <c r="F22"/>
  <c r="G22"/>
  <c r="E12"/>
  <c r="F12"/>
  <c r="G12"/>
  <c r="E11"/>
  <c r="F11"/>
  <c r="G11"/>
  <c r="E13"/>
  <c r="F13"/>
  <c r="G13"/>
  <c r="E20"/>
  <c r="F20"/>
  <c r="G20"/>
  <c r="E21"/>
  <c r="F21"/>
  <c r="G21"/>
  <c r="E23"/>
  <c r="F23"/>
  <c r="G23"/>
  <c r="E24"/>
  <c r="F24"/>
  <c r="G24"/>
  <c r="E25"/>
  <c r="F25"/>
  <c r="G25"/>
  <c r="E27"/>
  <c r="F27"/>
  <c r="G27"/>
  <c r="E31"/>
  <c r="F31"/>
  <c r="G31"/>
  <c r="E32"/>
  <c r="F32"/>
  <c r="G32"/>
  <c r="E33"/>
  <c r="F33"/>
  <c r="G33"/>
  <c r="E35"/>
  <c r="F35"/>
  <c r="G35"/>
  <c r="E37"/>
  <c r="F37"/>
  <c r="G37"/>
  <c r="E39"/>
  <c r="F39"/>
  <c r="G39"/>
  <c r="E46"/>
  <c r="F46"/>
  <c r="G46"/>
  <c r="E51"/>
  <c r="F51"/>
  <c r="G51"/>
  <c r="E2"/>
  <c r="F2"/>
  <c r="G2"/>
  <c r="E7"/>
  <c r="F7"/>
  <c r="G7"/>
  <c r="E14"/>
  <c r="F14"/>
  <c r="G14"/>
  <c r="E15"/>
  <c r="F15"/>
  <c r="G15"/>
  <c r="E17"/>
  <c r="F17"/>
  <c r="G17"/>
  <c r="E18"/>
  <c r="F18"/>
  <c r="G18"/>
  <c r="G10"/>
  <c r="A2" i="31"/>
  <c r="F73"/>
  <c r="J73"/>
  <c r="M73"/>
  <c r="F71"/>
  <c r="J71"/>
  <c r="M71"/>
  <c r="F67"/>
  <c r="J67"/>
  <c r="M67"/>
  <c r="F61"/>
  <c r="J61"/>
  <c r="M61"/>
  <c r="F57"/>
  <c r="J57"/>
  <c r="M57"/>
  <c r="J51"/>
  <c r="M51"/>
  <c r="F51"/>
  <c r="N51" s="1"/>
  <c r="M45"/>
  <c r="M46"/>
  <c r="J45"/>
  <c r="J46"/>
  <c r="F45"/>
  <c r="N45" s="1"/>
  <c r="F46"/>
  <c r="N46" s="1"/>
  <c r="F44"/>
  <c r="J44"/>
  <c r="M44"/>
  <c r="F25"/>
  <c r="J25"/>
  <c r="M25"/>
  <c r="F27"/>
  <c r="J27"/>
  <c r="M27"/>
  <c r="F22"/>
  <c r="J22"/>
  <c r="M22"/>
  <c r="M21"/>
  <c r="M23"/>
  <c r="M33"/>
  <c r="M34"/>
  <c r="M35"/>
  <c r="M39"/>
  <c r="M40"/>
  <c r="M43"/>
  <c r="M47"/>
  <c r="M48"/>
  <c r="M49"/>
  <c r="M50"/>
  <c r="M56"/>
  <c r="M60"/>
  <c r="M62"/>
  <c r="M66"/>
  <c r="M70"/>
  <c r="M72"/>
  <c r="M2"/>
  <c r="M9"/>
  <c r="M24"/>
  <c r="M26"/>
  <c r="M28"/>
  <c r="M29"/>
  <c r="M15"/>
  <c r="J21"/>
  <c r="J11" i="30" s="1"/>
  <c r="J23" i="31"/>
  <c r="J13" i="30" s="1"/>
  <c r="J33" i="31"/>
  <c r="J20" i="30" s="1"/>
  <c r="J34" i="31"/>
  <c r="J21" i="30" s="1"/>
  <c r="J35" i="31"/>
  <c r="J38"/>
  <c r="J23" i="30" s="1"/>
  <c r="J39" i="31"/>
  <c r="J24" i="30" s="1"/>
  <c r="J40" i="31"/>
  <c r="J25" i="30" s="1"/>
  <c r="J43" i="31"/>
  <c r="J27" i="30" s="1"/>
  <c r="J47" i="31"/>
  <c r="J48"/>
  <c r="J31" i="30" s="1"/>
  <c r="J49" i="31"/>
  <c r="J32" i="30" s="1"/>
  <c r="J50" i="31"/>
  <c r="J33" i="30" s="1"/>
  <c r="J56" i="31"/>
  <c r="J35" i="30" s="1"/>
  <c r="J60" i="31"/>
  <c r="J37" i="30" s="1"/>
  <c r="J62" i="31"/>
  <c r="J39" i="30" s="1"/>
  <c r="J66" i="31"/>
  <c r="J46" i="30" s="1"/>
  <c r="J70" i="31"/>
  <c r="J50" i="30" s="1"/>
  <c r="J72" i="31"/>
  <c r="J51" i="30" s="1"/>
  <c r="J2" i="31"/>
  <c r="J2" i="30" s="1"/>
  <c r="J9" i="31"/>
  <c r="J7" i="30" s="1"/>
  <c r="J24" i="31"/>
  <c r="J14" i="30" s="1"/>
  <c r="J26" i="31"/>
  <c r="J15" i="30" s="1"/>
  <c r="J28" i="31"/>
  <c r="J17" i="30" s="1"/>
  <c r="J29" i="31"/>
  <c r="J18" i="30" s="1"/>
  <c r="J15" i="31"/>
  <c r="F35"/>
  <c r="F47"/>
  <c r="F21"/>
  <c r="H12" i="30" s="1"/>
  <c r="F23" i="31"/>
  <c r="F33"/>
  <c r="F34"/>
  <c r="H22" i="30" s="1"/>
  <c r="F38" i="31"/>
  <c r="F39"/>
  <c r="F40"/>
  <c r="F43"/>
  <c r="F48"/>
  <c r="F49"/>
  <c r="F50"/>
  <c r="H34" i="30" s="1"/>
  <c r="F56" i="31"/>
  <c r="H36" i="30" s="1"/>
  <c r="F60" i="31"/>
  <c r="H38" i="30" s="1"/>
  <c r="F62" i="31"/>
  <c r="H40" i="30" s="1"/>
  <c r="F66" i="31"/>
  <c r="H48" i="30" s="1"/>
  <c r="F70" i="31"/>
  <c r="H49" i="30" s="1"/>
  <c r="F72" i="31"/>
  <c r="H53" i="30" s="1"/>
  <c r="F2" i="31"/>
  <c r="F24"/>
  <c r="F26"/>
  <c r="H16" i="30" s="1"/>
  <c r="F28" i="31"/>
  <c r="F29"/>
  <c r="H18" i="30" s="1"/>
  <c r="F52" i="31"/>
  <c r="N52" s="1"/>
  <c r="F74"/>
  <c r="F75"/>
  <c r="N75" s="1"/>
  <c r="F63"/>
  <c r="F64"/>
  <c r="N64" s="1"/>
  <c r="F3"/>
  <c r="F30"/>
  <c r="N30" s="1"/>
  <c r="F68"/>
  <c r="F5"/>
  <c r="F41"/>
  <c r="N41" s="1"/>
  <c r="F65"/>
  <c r="F69"/>
  <c r="N69" s="1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15"/>
  <c r="N15" s="1"/>
  <c r="D3" i="21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E288" s="1"/>
  <c r="D289"/>
  <c r="D290"/>
  <c r="E290" s="1"/>
  <c r="D291"/>
  <c r="D292"/>
  <c r="E292" s="1"/>
  <c r="D293"/>
  <c r="D294"/>
  <c r="E294" s="1"/>
  <c r="D295"/>
  <c r="D296"/>
  <c r="E296" s="1"/>
  <c r="D297"/>
  <c r="D298"/>
  <c r="E298" s="1"/>
  <c r="D299"/>
  <c r="D300"/>
  <c r="E300" s="1"/>
  <c r="D301"/>
  <c r="D302"/>
  <c r="D303"/>
  <c r="D304"/>
  <c r="E304" s="1"/>
  <c r="D305"/>
  <c r="D306"/>
  <c r="D307"/>
  <c r="D308"/>
  <c r="E308" s="1"/>
  <c r="D309"/>
  <c r="D310"/>
  <c r="E310" s="1"/>
  <c r="D311"/>
  <c r="D312"/>
  <c r="E312" s="1"/>
  <c r="D313"/>
  <c r="D314"/>
  <c r="E314" s="1"/>
  <c r="D315"/>
  <c r="D316"/>
  <c r="E316" s="1"/>
  <c r="D317"/>
  <c r="D318"/>
  <c r="E318" s="1"/>
  <c r="D319"/>
  <c r="D320"/>
  <c r="D321"/>
  <c r="D322"/>
  <c r="E322" s="1"/>
  <c r="D323"/>
  <c r="D324"/>
  <c r="D325"/>
  <c r="D326"/>
  <c r="E326" s="1"/>
  <c r="D327"/>
  <c r="D328"/>
  <c r="E328" s="1"/>
  <c r="D329"/>
  <c r="D330"/>
  <c r="E330" s="1"/>
  <c r="D331"/>
  <c r="D332"/>
  <c r="E332" s="1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3"/>
  <c r="D1124"/>
  <c r="D1125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29"/>
  <c r="D1430"/>
  <c r="D1431"/>
  <c r="D1432"/>
  <c r="D1433"/>
  <c r="D1434"/>
  <c r="D1435"/>
  <c r="D1436"/>
  <c r="D1437"/>
  <c r="D1438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5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1"/>
  <c r="D1532"/>
  <c r="D1533"/>
  <c r="D1534"/>
  <c r="D1535"/>
  <c r="D1536"/>
  <c r="D1537"/>
  <c r="D1538"/>
  <c r="D1539"/>
  <c r="D1540"/>
  <c r="D1541"/>
  <c r="D1542"/>
  <c r="D1543"/>
  <c r="D1544"/>
  <c r="D1545"/>
  <c r="D1546"/>
  <c r="D1547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1"/>
  <c r="D1582"/>
  <c r="D1583"/>
  <c r="D1584"/>
  <c r="D1585"/>
  <c r="D1586"/>
  <c r="D1587"/>
  <c r="D1588"/>
  <c r="D1589"/>
  <c r="D1590"/>
  <c r="D1591"/>
  <c r="D1592"/>
  <c r="D1593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1611"/>
  <c r="D1612"/>
  <c r="D1613"/>
  <c r="D1614"/>
  <c r="D1615"/>
  <c r="D1616"/>
  <c r="D1617"/>
  <c r="D1618"/>
  <c r="D1619"/>
  <c r="D1620"/>
  <c r="D1621"/>
  <c r="D1622"/>
  <c r="D1623"/>
  <c r="D1624"/>
  <c r="D1625"/>
  <c r="D1626"/>
  <c r="D1627"/>
  <c r="D1628"/>
  <c r="D1629"/>
  <c r="D1630"/>
  <c r="D1631"/>
  <c r="D1632"/>
  <c r="D1633"/>
  <c r="D1634"/>
  <c r="D1635"/>
  <c r="D1636"/>
  <c r="D1637"/>
  <c r="D1638"/>
  <c r="D1639"/>
  <c r="D1640"/>
  <c r="D1641"/>
  <c r="D1642"/>
  <c r="D1643"/>
  <c r="D1644"/>
  <c r="D1645"/>
  <c r="D1646"/>
  <c r="D1647"/>
  <c r="D1648"/>
  <c r="D1649"/>
  <c r="D1650"/>
  <c r="D1651"/>
  <c r="D1652"/>
  <c r="D1653"/>
  <c r="D1654"/>
  <c r="D1655"/>
  <c r="D1656"/>
  <c r="D1657"/>
  <c r="D1658"/>
  <c r="D1659"/>
  <c r="D1660"/>
  <c r="D1661"/>
  <c r="D1662"/>
  <c r="D1663"/>
  <c r="D1664"/>
  <c r="D1665"/>
  <c r="D1666"/>
  <c r="D1667"/>
  <c r="D1668"/>
  <c r="D1669"/>
  <c r="D1670"/>
  <c r="D1671"/>
  <c r="D1672"/>
  <c r="D1673"/>
  <c r="D1674"/>
  <c r="D1675"/>
  <c r="D1676"/>
  <c r="D1677"/>
  <c r="D1678"/>
  <c r="D1679"/>
  <c r="D1680"/>
  <c r="D1681"/>
  <c r="D1682"/>
  <c r="D1683"/>
  <c r="D1684"/>
  <c r="D1685"/>
  <c r="D1686"/>
  <c r="D1687"/>
  <c r="D1688"/>
  <c r="D1689"/>
  <c r="D1690"/>
  <c r="D1691"/>
  <c r="D1692"/>
  <c r="D1693"/>
  <c r="D1694"/>
  <c r="D1695"/>
  <c r="D1696"/>
  <c r="D1697"/>
  <c r="D1698"/>
  <c r="D1699"/>
  <c r="D1700"/>
  <c r="D1701"/>
  <c r="D1702"/>
  <c r="D1703"/>
  <c r="D1704"/>
  <c r="D1705"/>
  <c r="D1706"/>
  <c r="D1707"/>
  <c r="D1708"/>
  <c r="D1709"/>
  <c r="D1710"/>
  <c r="D1711"/>
  <c r="D1712"/>
  <c r="D1713"/>
  <c r="D1714"/>
  <c r="D1715"/>
  <c r="D1716"/>
  <c r="D1717"/>
  <c r="D1718"/>
  <c r="D1719"/>
  <c r="D1720"/>
  <c r="D1721"/>
  <c r="D1722"/>
  <c r="D1723"/>
  <c r="D1724"/>
  <c r="D1725"/>
  <c r="D1726"/>
  <c r="D1727"/>
  <c r="D1728"/>
  <c r="D1729"/>
  <c r="D1730"/>
  <c r="D1731"/>
  <c r="D1732"/>
  <c r="D1733"/>
  <c r="D1734"/>
  <c r="D1735"/>
  <c r="D1736"/>
  <c r="D1737"/>
  <c r="D1738"/>
  <c r="D1739"/>
  <c r="D1740"/>
  <c r="D1741"/>
  <c r="D1742"/>
  <c r="D1743"/>
  <c r="D1744"/>
  <c r="D1745"/>
  <c r="D1746"/>
  <c r="D1747"/>
  <c r="D1748"/>
  <c r="D1749"/>
  <c r="D1750"/>
  <c r="D1751"/>
  <c r="D1752"/>
  <c r="D1753"/>
  <c r="D1754"/>
  <c r="D1755"/>
  <c r="D1756"/>
  <c r="D1757"/>
  <c r="D1758"/>
  <c r="D1759"/>
  <c r="D1760"/>
  <c r="D1761"/>
  <c r="D1762"/>
  <c r="D1763"/>
  <c r="D1764"/>
  <c r="D1765"/>
  <c r="D1766"/>
  <c r="D1767"/>
  <c r="D1768"/>
  <c r="D1769"/>
  <c r="D1770"/>
  <c r="D1771"/>
  <c r="D1772"/>
  <c r="D1773"/>
  <c r="D1774"/>
  <c r="D1775"/>
  <c r="D1776"/>
  <c r="D1777"/>
  <c r="D1778"/>
  <c r="D1779"/>
  <c r="D1780"/>
  <c r="D1781"/>
  <c r="D1782"/>
  <c r="D1783"/>
  <c r="D1784"/>
  <c r="D1785"/>
  <c r="D1786"/>
  <c r="D1787"/>
  <c r="D1788"/>
  <c r="D1789"/>
  <c r="D1790"/>
  <c r="D1791"/>
  <c r="D1792"/>
  <c r="D1793"/>
  <c r="D1794"/>
  <c r="D1795"/>
  <c r="D1796"/>
  <c r="D1797"/>
  <c r="D1798"/>
  <c r="D1799"/>
  <c r="D1800"/>
  <c r="D1801"/>
  <c r="D1802"/>
  <c r="D1803"/>
  <c r="D1804"/>
  <c r="D1805"/>
  <c r="D1806"/>
  <c r="D1807"/>
  <c r="D1808"/>
  <c r="D1809"/>
  <c r="D1810"/>
  <c r="D1811"/>
  <c r="D1812"/>
  <c r="D1813"/>
  <c r="D1814"/>
  <c r="D1815"/>
  <c r="D1816"/>
  <c r="D1817"/>
  <c r="D1818"/>
  <c r="D1819"/>
  <c r="D1820"/>
  <c r="D1821"/>
  <c r="D1822"/>
  <c r="D1823"/>
  <c r="D1824"/>
  <c r="D1825"/>
  <c r="D1826"/>
  <c r="D1827"/>
  <c r="D1828"/>
  <c r="D1829"/>
  <c r="D1830"/>
  <c r="D1831"/>
  <c r="D1832"/>
  <c r="D1833"/>
  <c r="D1834"/>
  <c r="D1835"/>
  <c r="D1836"/>
  <c r="D1837"/>
  <c r="D1838"/>
  <c r="D1839"/>
  <c r="D1840"/>
  <c r="D1841"/>
  <c r="D1842"/>
  <c r="D1843"/>
  <c r="D1844"/>
  <c r="D1845"/>
  <c r="D1846"/>
  <c r="D1847"/>
  <c r="D1848"/>
  <c r="D1849"/>
  <c r="D1850"/>
  <c r="D1851"/>
  <c r="D1852"/>
  <c r="D1853"/>
  <c r="D1854"/>
  <c r="D1855"/>
  <c r="D1856"/>
  <c r="D1857"/>
  <c r="D1858"/>
  <c r="D1859"/>
  <c r="D1860"/>
  <c r="D1861"/>
  <c r="D1862"/>
  <c r="D1863"/>
  <c r="D1864"/>
  <c r="D1865"/>
  <c r="D1866"/>
  <c r="D1867"/>
  <c r="D1868"/>
  <c r="D1869"/>
  <c r="D1870"/>
  <c r="D1871"/>
  <c r="D1872"/>
  <c r="D1873"/>
  <c r="D1874"/>
  <c r="D1875"/>
  <c r="D1876"/>
  <c r="D1877"/>
  <c r="D1878"/>
  <c r="D1879"/>
  <c r="D1880"/>
  <c r="D1881"/>
  <c r="D1882"/>
  <c r="D1883"/>
  <c r="D1884"/>
  <c r="D1885"/>
  <c r="D1886"/>
  <c r="D1887"/>
  <c r="D1888"/>
  <c r="D1889"/>
  <c r="D1890"/>
  <c r="D1891"/>
  <c r="D1892"/>
  <c r="D1893"/>
  <c r="D1894"/>
  <c r="D2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J261" s="1"/>
  <c r="C262"/>
  <c r="C263"/>
  <c r="J263" s="1"/>
  <c r="K263" s="1"/>
  <c r="C264"/>
  <c r="J264" s="1"/>
  <c r="C265"/>
  <c r="C266"/>
  <c r="C267"/>
  <c r="J267" s="1"/>
  <c r="K267" s="1"/>
  <c r="C268"/>
  <c r="C269"/>
  <c r="J269" s="1"/>
  <c r="K269" s="1"/>
  <c r="C270"/>
  <c r="J270" s="1"/>
  <c r="C271"/>
  <c r="J271" s="1"/>
  <c r="K271" s="1"/>
  <c r="C272"/>
  <c r="J272" s="1"/>
  <c r="C273"/>
  <c r="J273" s="1"/>
  <c r="K273" s="1"/>
  <c r="C274"/>
  <c r="J274" s="1"/>
  <c r="C275"/>
  <c r="J275" s="1"/>
  <c r="C276"/>
  <c r="C277"/>
  <c r="J277" s="1"/>
  <c r="C278"/>
  <c r="J278" s="1"/>
  <c r="K278" s="1"/>
  <c r="C279"/>
  <c r="J279" s="1"/>
  <c r="K279" s="1"/>
  <c r="C280"/>
  <c r="C281"/>
  <c r="C282"/>
  <c r="C283"/>
  <c r="J283" s="1"/>
  <c r="K283" s="1"/>
  <c r="C284"/>
  <c r="C285"/>
  <c r="J285" s="1"/>
  <c r="K285" s="1"/>
  <c r="C286"/>
  <c r="C287"/>
  <c r="J287" s="1"/>
  <c r="K287" s="1"/>
  <c r="C288"/>
  <c r="C289"/>
  <c r="J289" s="1"/>
  <c r="K289" s="1"/>
  <c r="C290"/>
  <c r="C291"/>
  <c r="J291" s="1"/>
  <c r="K291" s="1"/>
  <c r="C292"/>
  <c r="C293"/>
  <c r="J293" s="1"/>
  <c r="K293" s="1"/>
  <c r="C294"/>
  <c r="C295"/>
  <c r="J295" s="1"/>
  <c r="K295" s="1"/>
  <c r="C296"/>
  <c r="C297"/>
  <c r="J297" s="1"/>
  <c r="K297" s="1"/>
  <c r="C298"/>
  <c r="C299"/>
  <c r="C300"/>
  <c r="C301"/>
  <c r="J301" s="1"/>
  <c r="C302"/>
  <c r="C303"/>
  <c r="J303" s="1"/>
  <c r="K303" s="1"/>
  <c r="C304"/>
  <c r="C305"/>
  <c r="J305" s="1"/>
  <c r="C306"/>
  <c r="J306" s="1"/>
  <c r="C307"/>
  <c r="J307" s="1"/>
  <c r="C308"/>
  <c r="C309"/>
  <c r="J309" s="1"/>
  <c r="C310"/>
  <c r="C311"/>
  <c r="C312"/>
  <c r="C313"/>
  <c r="J313" s="1"/>
  <c r="C314"/>
  <c r="C315"/>
  <c r="J315" s="1"/>
  <c r="C316"/>
  <c r="C317"/>
  <c r="J317" s="1"/>
  <c r="C318"/>
  <c r="C319"/>
  <c r="C320"/>
  <c r="J320" s="1"/>
  <c r="K320" s="1"/>
  <c r="C321"/>
  <c r="J321" s="1"/>
  <c r="C322"/>
  <c r="C323"/>
  <c r="J323" s="1"/>
  <c r="C324"/>
  <c r="J324" s="1"/>
  <c r="K324" s="1"/>
  <c r="C325"/>
  <c r="C326"/>
  <c r="C327"/>
  <c r="C328"/>
  <c r="C329"/>
  <c r="J329" s="1"/>
  <c r="K329" s="1"/>
  <c r="C330"/>
  <c r="C331"/>
  <c r="J331" s="1"/>
  <c r="C332"/>
  <c r="C333"/>
  <c r="J333" s="1"/>
  <c r="C334"/>
  <c r="J334" s="1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2"/>
  <c r="B7" i="22"/>
  <c r="B8"/>
  <c r="B9"/>
  <c r="B10"/>
  <c r="B11"/>
  <c r="B12"/>
  <c r="B13"/>
  <c r="B14"/>
  <c r="B15"/>
  <c r="B16"/>
  <c r="B17"/>
  <c r="B18"/>
  <c r="B19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6"/>
  <c r="D7"/>
  <c r="D8"/>
  <c r="D9"/>
  <c r="D10"/>
  <c r="D11"/>
  <c r="D12"/>
  <c r="D13"/>
  <c r="D14"/>
  <c r="D15"/>
  <c r="D16"/>
  <c r="D17"/>
  <c r="D18"/>
  <c r="D19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6"/>
  <c r="F10" i="30"/>
  <c r="E10"/>
  <c r="J10"/>
  <c r="U139" i="26"/>
  <c r="M9" i="28" a="1"/>
  <c r="M9" s="1"/>
  <c r="S9"/>
  <c r="V9" s="1"/>
  <c r="S10"/>
  <c r="V10" s="1"/>
  <c r="T10"/>
  <c r="U10"/>
  <c r="K342" i="21"/>
  <c r="K343"/>
  <c r="K344"/>
  <c r="K345"/>
  <c r="K346"/>
  <c r="K347"/>
  <c r="K348"/>
  <c r="K349"/>
  <c r="K350"/>
  <c r="K351"/>
  <c r="K352"/>
  <c r="K353"/>
  <c r="K354"/>
  <c r="K355"/>
  <c r="K356"/>
  <c r="K357"/>
  <c r="K358"/>
  <c r="K359"/>
  <c r="K360"/>
  <c r="K361"/>
  <c r="K362"/>
  <c r="K363"/>
  <c r="K364"/>
  <c r="K365"/>
  <c r="K366"/>
  <c r="K367"/>
  <c r="K368"/>
  <c r="K369"/>
  <c r="K370"/>
  <c r="K371"/>
  <c r="K372"/>
  <c r="K373"/>
  <c r="K374"/>
  <c r="K375"/>
  <c r="K376"/>
  <c r="K377"/>
  <c r="K378"/>
  <c r="K379"/>
  <c r="K380"/>
  <c r="K381"/>
  <c r="K382"/>
  <c r="K383"/>
  <c r="K384"/>
  <c r="K385"/>
  <c r="K386"/>
  <c r="K387"/>
  <c r="K388"/>
  <c r="K389"/>
  <c r="K390"/>
  <c r="K391"/>
  <c r="K392"/>
  <c r="K393"/>
  <c r="K394"/>
  <c r="K395"/>
  <c r="K396"/>
  <c r="K397"/>
  <c r="K398"/>
  <c r="K399"/>
  <c r="K400"/>
  <c r="K401"/>
  <c r="K402"/>
  <c r="K403"/>
  <c r="K404"/>
  <c r="K405"/>
  <c r="K406"/>
  <c r="K407"/>
  <c r="K408"/>
  <c r="K409"/>
  <c r="K410"/>
  <c r="K411"/>
  <c r="K412"/>
  <c r="K413"/>
  <c r="K414"/>
  <c r="K415"/>
  <c r="K416"/>
  <c r="K417"/>
  <c r="K418"/>
  <c r="K419"/>
  <c r="K420"/>
  <c r="K421"/>
  <c r="K422"/>
  <c r="K423"/>
  <c r="K424"/>
  <c r="K425"/>
  <c r="K426"/>
  <c r="K427"/>
  <c r="K428"/>
  <c r="K429"/>
  <c r="K430"/>
  <c r="K431"/>
  <c r="K432"/>
  <c r="K433"/>
  <c r="K434"/>
  <c r="K435"/>
  <c r="K436"/>
  <c r="K437"/>
  <c r="K438"/>
  <c r="K439"/>
  <c r="K440"/>
  <c r="K441"/>
  <c r="K442"/>
  <c r="K443"/>
  <c r="K444"/>
  <c r="K445"/>
  <c r="K446"/>
  <c r="K447"/>
  <c r="K448"/>
  <c r="K449"/>
  <c r="K450"/>
  <c r="K451"/>
  <c r="K452"/>
  <c r="K453"/>
  <c r="K454"/>
  <c r="K455"/>
  <c r="K456"/>
  <c r="K457"/>
  <c r="K458"/>
  <c r="K459"/>
  <c r="K460"/>
  <c r="K461"/>
  <c r="K462"/>
  <c r="K463"/>
  <c r="K464"/>
  <c r="K465"/>
  <c r="K466"/>
  <c r="K467"/>
  <c r="K468"/>
  <c r="K469"/>
  <c r="K470"/>
  <c r="K471"/>
  <c r="K472"/>
  <c r="K473"/>
  <c r="K474"/>
  <c r="K475"/>
  <c r="K476"/>
  <c r="K477"/>
  <c r="K478"/>
  <c r="K479"/>
  <c r="K480"/>
  <c r="K481"/>
  <c r="K482"/>
  <c r="K483"/>
  <c r="K484"/>
  <c r="K485"/>
  <c r="K486"/>
  <c r="K487"/>
  <c r="K488"/>
  <c r="K489"/>
  <c r="K490"/>
  <c r="K491"/>
  <c r="K492"/>
  <c r="K493"/>
  <c r="K494"/>
  <c r="K495"/>
  <c r="K496"/>
  <c r="K497"/>
  <c r="K498"/>
  <c r="K499"/>
  <c r="K500"/>
  <c r="K501"/>
  <c r="K502"/>
  <c r="K503"/>
  <c r="K504"/>
  <c r="K505"/>
  <c r="K506"/>
  <c r="K507"/>
  <c r="K508"/>
  <c r="K509"/>
  <c r="K510"/>
  <c r="K511"/>
  <c r="K512"/>
  <c r="K513"/>
  <c r="K514"/>
  <c r="K515"/>
  <c r="K516"/>
  <c r="K517"/>
  <c r="K518"/>
  <c r="K519"/>
  <c r="K520"/>
  <c r="K521"/>
  <c r="K522"/>
  <c r="K523"/>
  <c r="K524"/>
  <c r="K525"/>
  <c r="K526"/>
  <c r="K527"/>
  <c r="K528"/>
  <c r="K529"/>
  <c r="K530"/>
  <c r="K531"/>
  <c r="K532"/>
  <c r="K533"/>
  <c r="K534"/>
  <c r="K535"/>
  <c r="K536"/>
  <c r="K537"/>
  <c r="K538"/>
  <c r="K539"/>
  <c r="K540"/>
  <c r="K541"/>
  <c r="K542"/>
  <c r="K543"/>
  <c r="K544"/>
  <c r="K545"/>
  <c r="K546"/>
  <c r="K547"/>
  <c r="K548"/>
  <c r="K549"/>
  <c r="K550"/>
  <c r="K551"/>
  <c r="K552"/>
  <c r="K553"/>
  <c r="K554"/>
  <c r="K555"/>
  <c r="K556"/>
  <c r="K557"/>
  <c r="K558"/>
  <c r="K559"/>
  <c r="K560"/>
  <c r="K561"/>
  <c r="K562"/>
  <c r="K563"/>
  <c r="K564"/>
  <c r="K565"/>
  <c r="K566"/>
  <c r="K567"/>
  <c r="K568"/>
  <c r="K569"/>
  <c r="K570"/>
  <c r="K571"/>
  <c r="K572"/>
  <c r="K573"/>
  <c r="K574"/>
  <c r="K575"/>
  <c r="K576"/>
  <c r="K577"/>
  <c r="K578"/>
  <c r="K579"/>
  <c r="K580"/>
  <c r="K581"/>
  <c r="K582"/>
  <c r="K583"/>
  <c r="K584"/>
  <c r="K585"/>
  <c r="K586"/>
  <c r="K587"/>
  <c r="K588"/>
  <c r="K589"/>
  <c r="K590"/>
  <c r="K591"/>
  <c r="K592"/>
  <c r="K593"/>
  <c r="K594"/>
  <c r="K595"/>
  <c r="K596"/>
  <c r="K597"/>
  <c r="K598"/>
  <c r="K599"/>
  <c r="K600"/>
  <c r="K601"/>
  <c r="K602"/>
  <c r="K603"/>
  <c r="K604"/>
  <c r="K605"/>
  <c r="K606"/>
  <c r="K607"/>
  <c r="K608"/>
  <c r="K609"/>
  <c r="K610"/>
  <c r="K611"/>
  <c r="K612"/>
  <c r="K613"/>
  <c r="K614"/>
  <c r="K615"/>
  <c r="K616"/>
  <c r="K617"/>
  <c r="K618"/>
  <c r="K619"/>
  <c r="K620"/>
  <c r="K621"/>
  <c r="K622"/>
  <c r="K623"/>
  <c r="K624"/>
  <c r="K625"/>
  <c r="K626"/>
  <c r="K627"/>
  <c r="K628"/>
  <c r="K629"/>
  <c r="K630"/>
  <c r="K631"/>
  <c r="K632"/>
  <c r="K633"/>
  <c r="K634"/>
  <c r="K635"/>
  <c r="K636"/>
  <c r="K637"/>
  <c r="K638"/>
  <c r="K639"/>
  <c r="K640"/>
  <c r="K641"/>
  <c r="K642"/>
  <c r="K643"/>
  <c r="K644"/>
  <c r="K645"/>
  <c r="K646"/>
  <c r="K647"/>
  <c r="K648"/>
  <c r="K649"/>
  <c r="K650"/>
  <c r="K651"/>
  <c r="K652"/>
  <c r="K653"/>
  <c r="K654"/>
  <c r="K655"/>
  <c r="K656"/>
  <c r="K657"/>
  <c r="K658"/>
  <c r="K659"/>
  <c r="K660"/>
  <c r="K661"/>
  <c r="K662"/>
  <c r="K663"/>
  <c r="K664"/>
  <c r="K665"/>
  <c r="K666"/>
  <c r="K667"/>
  <c r="K668"/>
  <c r="K669"/>
  <c r="K670"/>
  <c r="K671"/>
  <c r="K672"/>
  <c r="K673"/>
  <c r="K674"/>
  <c r="K675"/>
  <c r="K676"/>
  <c r="K677"/>
  <c r="K678"/>
  <c r="K679"/>
  <c r="K680"/>
  <c r="K681"/>
  <c r="K682"/>
  <c r="K683"/>
  <c r="K684"/>
  <c r="K685"/>
  <c r="K686"/>
  <c r="K687"/>
  <c r="K688"/>
  <c r="K689"/>
  <c r="K690"/>
  <c r="K691"/>
  <c r="K692"/>
  <c r="K693"/>
  <c r="K694"/>
  <c r="K695"/>
  <c r="K696"/>
  <c r="K697"/>
  <c r="K698"/>
  <c r="K699"/>
  <c r="K700"/>
  <c r="K701"/>
  <c r="K702"/>
  <c r="K703"/>
  <c r="K704"/>
  <c r="K705"/>
  <c r="K706"/>
  <c r="K707"/>
  <c r="K708"/>
  <c r="K709"/>
  <c r="K710"/>
  <c r="K711"/>
  <c r="K712"/>
  <c r="K713"/>
  <c r="K714"/>
  <c r="K715"/>
  <c r="K716"/>
  <c r="K717"/>
  <c r="K718"/>
  <c r="K719"/>
  <c r="K720"/>
  <c r="K721"/>
  <c r="K722"/>
  <c r="K723"/>
  <c r="K724"/>
  <c r="K725"/>
  <c r="K726"/>
  <c r="K727"/>
  <c r="K728"/>
  <c r="K729"/>
  <c r="K730"/>
  <c r="K731"/>
  <c r="K732"/>
  <c r="K733"/>
  <c r="K734"/>
  <c r="K735"/>
  <c r="K736"/>
  <c r="K737"/>
  <c r="K738"/>
  <c r="K739"/>
  <c r="K740"/>
  <c r="K741"/>
  <c r="K742"/>
  <c r="K743"/>
  <c r="K744"/>
  <c r="K745"/>
  <c r="K746"/>
  <c r="K747"/>
  <c r="K748"/>
  <c r="K749"/>
  <c r="K750"/>
  <c r="K751"/>
  <c r="K752"/>
  <c r="K753"/>
  <c r="K754"/>
  <c r="K755"/>
  <c r="K756"/>
  <c r="K757"/>
  <c r="K758"/>
  <c r="K759"/>
  <c r="K760"/>
  <c r="K761"/>
  <c r="K762"/>
  <c r="K763"/>
  <c r="K764"/>
  <c r="K765"/>
  <c r="K766"/>
  <c r="K767"/>
  <c r="K768"/>
  <c r="K769"/>
  <c r="K770"/>
  <c r="K771"/>
  <c r="K772"/>
  <c r="K773"/>
  <c r="K774"/>
  <c r="K775"/>
  <c r="K776"/>
  <c r="K777"/>
  <c r="K778"/>
  <c r="K779"/>
  <c r="K780"/>
  <c r="K781"/>
  <c r="K782"/>
  <c r="K783"/>
  <c r="K784"/>
  <c r="K785"/>
  <c r="K786"/>
  <c r="K787"/>
  <c r="K788"/>
  <c r="K789"/>
  <c r="K790"/>
  <c r="K791"/>
  <c r="K792"/>
  <c r="K793"/>
  <c r="K794"/>
  <c r="K795"/>
  <c r="K796"/>
  <c r="K797"/>
  <c r="K798"/>
  <c r="K799"/>
  <c r="K800"/>
  <c r="K801"/>
  <c r="K802"/>
  <c r="K803"/>
  <c r="K804"/>
  <c r="K805"/>
  <c r="K806"/>
  <c r="K807"/>
  <c r="K808"/>
  <c r="K809"/>
  <c r="K810"/>
  <c r="K811"/>
  <c r="K812"/>
  <c r="K813"/>
  <c r="K814"/>
  <c r="K815"/>
  <c r="K816"/>
  <c r="K817"/>
  <c r="K818"/>
  <c r="K819"/>
  <c r="K820"/>
  <c r="K821"/>
  <c r="K822"/>
  <c r="K823"/>
  <c r="K824"/>
  <c r="K825"/>
  <c r="K826"/>
  <c r="K827"/>
  <c r="K828"/>
  <c r="K829"/>
  <c r="K830"/>
  <c r="K831"/>
  <c r="K832"/>
  <c r="K833"/>
  <c r="K834"/>
  <c r="K835"/>
  <c r="K836"/>
  <c r="K837"/>
  <c r="K838"/>
  <c r="K839"/>
  <c r="K840"/>
  <c r="K841"/>
  <c r="K842"/>
  <c r="K843"/>
  <c r="K844"/>
  <c r="K845"/>
  <c r="K846"/>
  <c r="K847"/>
  <c r="K848"/>
  <c r="K849"/>
  <c r="K850"/>
  <c r="K851"/>
  <c r="K852"/>
  <c r="K853"/>
  <c r="K854"/>
  <c r="K855"/>
  <c r="K856"/>
  <c r="K857"/>
  <c r="K858"/>
  <c r="K859"/>
  <c r="K860"/>
  <c r="K861"/>
  <c r="K862"/>
  <c r="K863"/>
  <c r="K864"/>
  <c r="K865"/>
  <c r="K866"/>
  <c r="K867"/>
  <c r="K868"/>
  <c r="K869"/>
  <c r="K870"/>
  <c r="K871"/>
  <c r="K872"/>
  <c r="K873"/>
  <c r="K874"/>
  <c r="K875"/>
  <c r="K876"/>
  <c r="K877"/>
  <c r="K878"/>
  <c r="K879"/>
  <c r="K880"/>
  <c r="K881"/>
  <c r="K882"/>
  <c r="K883"/>
  <c r="K884"/>
  <c r="K885"/>
  <c r="K886"/>
  <c r="K887"/>
  <c r="K888"/>
  <c r="K889"/>
  <c r="K890"/>
  <c r="K891"/>
  <c r="K892"/>
  <c r="K893"/>
  <c r="K894"/>
  <c r="K895"/>
  <c r="K896"/>
  <c r="K897"/>
  <c r="K898"/>
  <c r="K899"/>
  <c r="K900"/>
  <c r="K901"/>
  <c r="K902"/>
  <c r="K903"/>
  <c r="K904"/>
  <c r="K905"/>
  <c r="K906"/>
  <c r="K907"/>
  <c r="K908"/>
  <c r="K909"/>
  <c r="J284"/>
  <c r="J286"/>
  <c r="K286" s="1"/>
  <c r="J288"/>
  <c r="K288" s="1"/>
  <c r="J292"/>
  <c r="K292" s="1"/>
  <c r="J294"/>
  <c r="K294" s="1"/>
  <c r="J296"/>
  <c r="K296" s="1"/>
  <c r="J298"/>
  <c r="K298" s="1"/>
  <c r="J300"/>
  <c r="K300" s="1"/>
  <c r="J304"/>
  <c r="K304" s="1"/>
  <c r="J308"/>
  <c r="K308" s="1"/>
  <c r="J310"/>
  <c r="K310" s="1"/>
  <c r="J312"/>
  <c r="J314"/>
  <c r="J316"/>
  <c r="K316" s="1"/>
  <c r="J318"/>
  <c r="K318" s="1"/>
  <c r="J322"/>
  <c r="J326"/>
  <c r="K326" s="1"/>
  <c r="J328"/>
  <c r="J330"/>
  <c r="J332"/>
  <c r="K332" s="1"/>
  <c r="J335"/>
  <c r="J336"/>
  <c r="K336" s="1"/>
  <c r="J337"/>
  <c r="K337" s="1"/>
  <c r="J338"/>
  <c r="K338" s="1"/>
  <c r="J339"/>
  <c r="K339" s="1"/>
  <c r="J340"/>
  <c r="K340" s="1"/>
  <c r="J341"/>
  <c r="K341" s="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4"/>
  <c r="J555"/>
  <c r="J556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0"/>
  <c r="J601"/>
  <c r="J602"/>
  <c r="J603"/>
  <c r="J604"/>
  <c r="J605"/>
  <c r="J606"/>
  <c r="J607"/>
  <c r="J608"/>
  <c r="J609"/>
  <c r="J610"/>
  <c r="J611"/>
  <c r="J612"/>
  <c r="J613"/>
  <c r="J614"/>
  <c r="J615"/>
  <c r="J616"/>
  <c r="J617"/>
  <c r="J618"/>
  <c r="J619"/>
  <c r="J620"/>
  <c r="J621"/>
  <c r="J622"/>
  <c r="J623"/>
  <c r="J624"/>
  <c r="J625"/>
  <c r="J626"/>
  <c r="J627"/>
  <c r="J628"/>
  <c r="J629"/>
  <c r="J630"/>
  <c r="J631"/>
  <c r="J632"/>
  <c r="J633"/>
  <c r="J634"/>
  <c r="J635"/>
  <c r="J636"/>
  <c r="J637"/>
  <c r="J638"/>
  <c r="J639"/>
  <c r="J640"/>
  <c r="J641"/>
  <c r="J642"/>
  <c r="J643"/>
  <c r="J644"/>
  <c r="J645"/>
  <c r="J646"/>
  <c r="J647"/>
  <c r="J648"/>
  <c r="J649"/>
  <c r="J650"/>
  <c r="J651"/>
  <c r="J652"/>
  <c r="J653"/>
  <c r="J654"/>
  <c r="J655"/>
  <c r="J656"/>
  <c r="J657"/>
  <c r="J658"/>
  <c r="J659"/>
  <c r="J660"/>
  <c r="J661"/>
  <c r="J662"/>
  <c r="J663"/>
  <c r="J664"/>
  <c r="J665"/>
  <c r="J666"/>
  <c r="J667"/>
  <c r="J668"/>
  <c r="J669"/>
  <c r="J670"/>
  <c r="J671"/>
  <c r="J672"/>
  <c r="J673"/>
  <c r="J674"/>
  <c r="J675"/>
  <c r="J676"/>
  <c r="J677"/>
  <c r="J678"/>
  <c r="J679"/>
  <c r="J680"/>
  <c r="J681"/>
  <c r="J682"/>
  <c r="J683"/>
  <c r="J684"/>
  <c r="J685"/>
  <c r="J686"/>
  <c r="J687"/>
  <c r="J688"/>
  <c r="J689"/>
  <c r="J690"/>
  <c r="J691"/>
  <c r="J692"/>
  <c r="J693"/>
  <c r="J694"/>
  <c r="J695"/>
  <c r="J696"/>
  <c r="J697"/>
  <c r="J698"/>
  <c r="J699"/>
  <c r="J700"/>
  <c r="J701"/>
  <c r="J702"/>
  <c r="J703"/>
  <c r="J704"/>
  <c r="J705"/>
  <c r="J706"/>
  <c r="J707"/>
  <c r="J708"/>
  <c r="J709"/>
  <c r="J710"/>
  <c r="J711"/>
  <c r="J712"/>
  <c r="J713"/>
  <c r="J714"/>
  <c r="J715"/>
  <c r="J716"/>
  <c r="J717"/>
  <c r="J718"/>
  <c r="J719"/>
  <c r="J720"/>
  <c r="J721"/>
  <c r="J722"/>
  <c r="J723"/>
  <c r="J724"/>
  <c r="J725"/>
  <c r="J726"/>
  <c r="J727"/>
  <c r="J728"/>
  <c r="J729"/>
  <c r="J730"/>
  <c r="J731"/>
  <c r="J732"/>
  <c r="J733"/>
  <c r="J734"/>
  <c r="J735"/>
  <c r="J736"/>
  <c r="J737"/>
  <c r="J738"/>
  <c r="J739"/>
  <c r="J740"/>
  <c r="J741"/>
  <c r="J742"/>
  <c r="J743"/>
  <c r="J744"/>
  <c r="J745"/>
  <c r="J746"/>
  <c r="J747"/>
  <c r="J748"/>
  <c r="J749"/>
  <c r="J750"/>
  <c r="J751"/>
  <c r="J752"/>
  <c r="J753"/>
  <c r="J754"/>
  <c r="J755"/>
  <c r="J756"/>
  <c r="J757"/>
  <c r="J758"/>
  <c r="J759"/>
  <c r="J760"/>
  <c r="J761"/>
  <c r="J762"/>
  <c r="J763"/>
  <c r="J764"/>
  <c r="J765"/>
  <c r="J766"/>
  <c r="J767"/>
  <c r="J768"/>
  <c r="J769"/>
  <c r="J770"/>
  <c r="J771"/>
  <c r="J772"/>
  <c r="J773"/>
  <c r="J774"/>
  <c r="J775"/>
  <c r="J776"/>
  <c r="J777"/>
  <c r="J778"/>
  <c r="J779"/>
  <c r="J780"/>
  <c r="J781"/>
  <c r="J782"/>
  <c r="J783"/>
  <c r="J784"/>
  <c r="J785"/>
  <c r="J786"/>
  <c r="J787"/>
  <c r="J788"/>
  <c r="J789"/>
  <c r="J790"/>
  <c r="J791"/>
  <c r="J792"/>
  <c r="J793"/>
  <c r="J794"/>
  <c r="J795"/>
  <c r="J796"/>
  <c r="J797"/>
  <c r="J798"/>
  <c r="J799"/>
  <c r="J800"/>
  <c r="J801"/>
  <c r="J802"/>
  <c r="J803"/>
  <c r="J804"/>
  <c r="J805"/>
  <c r="J806"/>
  <c r="J807"/>
  <c r="J808"/>
  <c r="J809"/>
  <c r="J810"/>
  <c r="J811"/>
  <c r="J812"/>
  <c r="J813"/>
  <c r="J814"/>
  <c r="J815"/>
  <c r="J816"/>
  <c r="J817"/>
  <c r="J818"/>
  <c r="J819"/>
  <c r="J820"/>
  <c r="J821"/>
  <c r="J822"/>
  <c r="J823"/>
  <c r="J824"/>
  <c r="J825"/>
  <c r="J826"/>
  <c r="J827"/>
  <c r="J828"/>
  <c r="J829"/>
  <c r="J830"/>
  <c r="J831"/>
  <c r="J832"/>
  <c r="J833"/>
  <c r="J834"/>
  <c r="J835"/>
  <c r="J836"/>
  <c r="J837"/>
  <c r="J838"/>
  <c r="J839"/>
  <c r="J840"/>
  <c r="J841"/>
  <c r="J842"/>
  <c r="J843"/>
  <c r="J844"/>
  <c r="J845"/>
  <c r="J846"/>
  <c r="J847"/>
  <c r="J848"/>
  <c r="J849"/>
  <c r="J850"/>
  <c r="J851"/>
  <c r="J852"/>
  <c r="J853"/>
  <c r="J854"/>
  <c r="J855"/>
  <c r="J856"/>
  <c r="J857"/>
  <c r="J858"/>
  <c r="J859"/>
  <c r="J860"/>
  <c r="J861"/>
  <c r="J862"/>
  <c r="J863"/>
  <c r="J864"/>
  <c r="J865"/>
  <c r="J866"/>
  <c r="J867"/>
  <c r="J868"/>
  <c r="J869"/>
  <c r="J870"/>
  <c r="J871"/>
  <c r="J872"/>
  <c r="J873"/>
  <c r="J874"/>
  <c r="J875"/>
  <c r="J876"/>
  <c r="J877"/>
  <c r="J878"/>
  <c r="J879"/>
  <c r="J880"/>
  <c r="J881"/>
  <c r="J882"/>
  <c r="J883"/>
  <c r="J884"/>
  <c r="J885"/>
  <c r="J886"/>
  <c r="J887"/>
  <c r="J888"/>
  <c r="J889"/>
  <c r="J890"/>
  <c r="J891"/>
  <c r="J892"/>
  <c r="J893"/>
  <c r="J894"/>
  <c r="J895"/>
  <c r="J896"/>
  <c r="J897"/>
  <c r="J898"/>
  <c r="J899"/>
  <c r="J900"/>
  <c r="J901"/>
  <c r="J902"/>
  <c r="J903"/>
  <c r="J904"/>
  <c r="J905"/>
  <c r="J906"/>
  <c r="J907"/>
  <c r="J908"/>
  <c r="J909"/>
  <c r="S71" i="28"/>
  <c r="V71" s="1"/>
  <c r="M71" a="1"/>
  <c r="E46" i="7"/>
  <c r="E47"/>
  <c r="E48"/>
  <c r="E49"/>
  <c r="E50"/>
  <c r="E45"/>
  <c r="M44" i="28" a="1"/>
  <c r="A19" i="8"/>
  <c r="A20"/>
  <c r="A21"/>
  <c r="A22"/>
  <c r="U48" i="28"/>
  <c r="U55"/>
  <c r="U56"/>
  <c r="U57"/>
  <c r="U62"/>
  <c r="U64"/>
  <c r="T48"/>
  <c r="T55"/>
  <c r="T56"/>
  <c r="T57"/>
  <c r="T62"/>
  <c r="T64"/>
  <c r="S44"/>
  <c r="V44" s="1"/>
  <c r="S45"/>
  <c r="V45" s="1"/>
  <c r="S48"/>
  <c r="V48" s="1"/>
  <c r="S49"/>
  <c r="V49" s="1"/>
  <c r="S51"/>
  <c r="V51" s="1"/>
  <c r="S52"/>
  <c r="V52" s="1"/>
  <c r="S55"/>
  <c r="V55" s="1"/>
  <c r="S56"/>
  <c r="V56" s="1"/>
  <c r="S57"/>
  <c r="V57" s="1"/>
  <c r="S59"/>
  <c r="V59" s="1"/>
  <c r="S61"/>
  <c r="V61" s="1"/>
  <c r="S62"/>
  <c r="V62" s="1"/>
  <c r="S63"/>
  <c r="V63" s="1"/>
  <c r="S64"/>
  <c r="V64" s="1"/>
  <c r="S76"/>
  <c r="V76" s="1"/>
  <c r="S77"/>
  <c r="V77" s="1"/>
  <c r="S37"/>
  <c r="V37" s="1"/>
  <c r="S39"/>
  <c r="V39" s="1"/>
  <c r="S41"/>
  <c r="V41" s="1"/>
  <c r="S43"/>
  <c r="V43" s="1"/>
  <c r="S21"/>
  <c r="V21" s="1"/>
  <c r="S22"/>
  <c r="V22" s="1"/>
  <c r="S26"/>
  <c r="V26" s="1"/>
  <c r="S28"/>
  <c r="V28" s="1"/>
  <c r="S30"/>
  <c r="V30" s="1"/>
  <c r="S33"/>
  <c r="V33" s="1"/>
  <c r="S20"/>
  <c r="V20" s="1"/>
  <c r="S16"/>
  <c r="V16" s="1"/>
  <c r="S19"/>
  <c r="V19" s="1"/>
  <c r="U15"/>
  <c r="T15"/>
  <c r="S15"/>
  <c r="V15" s="1"/>
  <c r="S13"/>
  <c r="V13" s="1"/>
  <c r="T11"/>
  <c r="S12"/>
  <c r="V12" s="1"/>
  <c r="U11"/>
  <c r="S11"/>
  <c r="V11" s="1"/>
  <c r="U3"/>
  <c r="U2"/>
  <c r="T3"/>
  <c r="T2"/>
  <c r="S3"/>
  <c r="V3" s="1"/>
  <c r="S4"/>
  <c r="V4" s="1"/>
  <c r="S2"/>
  <c r="V2" s="1"/>
  <c r="M33" a="1"/>
  <c r="M33" s="1"/>
  <c r="C110" i="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09"/>
  <c r="D141"/>
  <c r="E141"/>
  <c r="F141"/>
  <c r="G141"/>
  <c r="D20" i="28" s="1"/>
  <c r="I344" i="5"/>
  <c r="A2" i="8"/>
  <c r="A3"/>
  <c r="A4"/>
  <c r="A6"/>
  <c r="A8"/>
  <c r="A10"/>
  <c r="A9"/>
  <c r="A7"/>
  <c r="A11"/>
  <c r="A12"/>
  <c r="A13"/>
  <c r="A14"/>
  <c r="A15"/>
  <c r="A16"/>
  <c r="A17"/>
  <c r="A18"/>
  <c r="A25"/>
  <c r="A27"/>
  <c r="A28"/>
  <c r="A30"/>
  <c r="A39"/>
  <c r="A29"/>
  <c r="A34"/>
  <c r="A31"/>
  <c r="A23"/>
  <c r="A35"/>
  <c r="A38"/>
  <c r="A24"/>
  <c r="A37"/>
  <c r="A26"/>
  <c r="A40"/>
  <c r="A43"/>
  <c r="A41"/>
  <c r="A42"/>
  <c r="A44"/>
  <c r="A33"/>
  <c r="A32"/>
  <c r="A36"/>
  <c r="A46"/>
  <c r="A45"/>
  <c r="A50"/>
  <c r="A53"/>
  <c r="A54"/>
  <c r="A55"/>
  <c r="A47"/>
  <c r="A57"/>
  <c r="A58"/>
  <c r="A56"/>
  <c r="A59"/>
  <c r="A61"/>
  <c r="A62"/>
  <c r="A66"/>
  <c r="A67"/>
  <c r="A64"/>
  <c r="A65"/>
  <c r="A49"/>
  <c r="A68"/>
  <c r="A71"/>
  <c r="A70"/>
  <c r="A69"/>
  <c r="A72"/>
  <c r="A73"/>
  <c r="A60"/>
  <c r="A63"/>
  <c r="A5"/>
  <c r="A2" i="10"/>
  <c r="I326" i="5"/>
  <c r="A517" i="11"/>
  <c r="A516"/>
  <c r="A515"/>
  <c r="A514"/>
  <c r="A513"/>
  <c r="A512"/>
  <c r="A511"/>
  <c r="A510"/>
  <c r="A509"/>
  <c r="A508"/>
  <c r="A507"/>
  <c r="A506"/>
  <c r="A505"/>
  <c r="A504"/>
  <c r="A503"/>
  <c r="A502"/>
  <c r="A501"/>
  <c r="A500"/>
  <c r="A499"/>
  <c r="A498"/>
  <c r="A497"/>
  <c r="A496"/>
  <c r="A495"/>
  <c r="A494"/>
  <c r="A493"/>
  <c r="A492"/>
  <c r="A491"/>
  <c r="A490"/>
  <c r="A489"/>
  <c r="A488"/>
  <c r="A487"/>
  <c r="A486"/>
  <c r="A482"/>
  <c r="A481"/>
  <c r="A480"/>
  <c r="A479"/>
  <c r="A478"/>
  <c r="A477"/>
  <c r="A476"/>
  <c r="A475"/>
  <c r="A474"/>
  <c r="A473"/>
  <c r="A472"/>
  <c r="A471"/>
  <c r="A470"/>
  <c r="A469"/>
  <c r="A468"/>
  <c r="A467"/>
  <c r="A466"/>
  <c r="A465"/>
  <c r="A464"/>
  <c r="A463"/>
  <c r="A462"/>
  <c r="A461"/>
  <c r="A460"/>
  <c r="A459"/>
  <c r="A458"/>
  <c r="A457"/>
  <c r="A456"/>
  <c r="A455"/>
  <c r="A454"/>
  <c r="A453"/>
  <c r="A452"/>
  <c r="A451"/>
  <c r="A450"/>
  <c r="A449"/>
  <c r="A448"/>
  <c r="A447"/>
  <c r="A446"/>
  <c r="A445"/>
  <c r="A444"/>
  <c r="A443"/>
  <c r="A442"/>
  <c r="A441"/>
  <c r="A440"/>
  <c r="A439"/>
  <c r="A438"/>
  <c r="A437"/>
  <c r="A436"/>
  <c r="A435"/>
  <c r="A434"/>
  <c r="A433"/>
  <c r="A432"/>
  <c r="A431"/>
  <c r="A430"/>
  <c r="A429"/>
  <c r="A428"/>
  <c r="A427"/>
  <c r="A426"/>
  <c r="A425"/>
  <c r="A424"/>
  <c r="A423"/>
  <c r="A422"/>
  <c r="A421"/>
  <c r="A420"/>
  <c r="A419"/>
  <c r="A418"/>
  <c r="A417"/>
  <c r="A416"/>
  <c r="A415"/>
  <c r="A414"/>
  <c r="A413"/>
  <c r="A412"/>
  <c r="A411"/>
  <c r="A410"/>
  <c r="A409"/>
  <c r="A408"/>
  <c r="A407"/>
  <c r="A406"/>
  <c r="A405"/>
  <c r="A404"/>
  <c r="A403"/>
  <c r="A402"/>
  <c r="A401"/>
  <c r="A400"/>
  <c r="A399"/>
  <c r="A398"/>
  <c r="A397"/>
  <c r="A396"/>
  <c r="A395"/>
  <c r="A394"/>
  <c r="A393"/>
  <c r="A392"/>
  <c r="A391"/>
  <c r="A390"/>
  <c r="A389"/>
  <c r="A388"/>
  <c r="A387"/>
  <c r="A386"/>
  <c r="A385"/>
  <c r="A384"/>
  <c r="A383"/>
  <c r="A382"/>
  <c r="A381"/>
  <c r="A380"/>
  <c r="A379"/>
  <c r="A378"/>
  <c r="A377"/>
  <c r="A376"/>
  <c r="A375"/>
  <c r="A374"/>
  <c r="A373"/>
  <c r="A372"/>
  <c r="A371"/>
  <c r="A370"/>
  <c r="A369"/>
  <c r="A368"/>
  <c r="A367"/>
  <c r="A366"/>
  <c r="A365"/>
  <c r="A364"/>
  <c r="A363"/>
  <c r="A362"/>
  <c r="A361"/>
  <c r="A360"/>
  <c r="A359"/>
  <c r="A358"/>
  <c r="A357"/>
  <c r="A356"/>
  <c r="A355"/>
  <c r="A354"/>
  <c r="A353"/>
  <c r="A352"/>
  <c r="A351"/>
  <c r="A350"/>
  <c r="A349"/>
  <c r="A348"/>
  <c r="A347"/>
  <c r="A346"/>
  <c r="A345"/>
  <c r="A344"/>
  <c r="A343"/>
  <c r="A342"/>
  <c r="A341"/>
  <c r="A340"/>
  <c r="A339"/>
  <c r="A338"/>
  <c r="A337"/>
  <c r="A336"/>
  <c r="A335"/>
  <c r="A334"/>
  <c r="A333"/>
  <c r="A332"/>
  <c r="A331"/>
  <c r="A330"/>
  <c r="A329"/>
  <c r="A328"/>
  <c r="A327"/>
  <c r="A326"/>
  <c r="A325"/>
  <c r="A324"/>
  <c r="A323"/>
  <c r="A322"/>
  <c r="A321"/>
  <c r="A320"/>
  <c r="A319"/>
  <c r="A318"/>
  <c r="A317"/>
  <c r="A316"/>
  <c r="A315"/>
  <c r="A314"/>
  <c r="A313"/>
  <c r="A312"/>
  <c r="A311"/>
  <c r="A310"/>
  <c r="A309"/>
  <c r="A308"/>
  <c r="A307"/>
  <c r="A306"/>
  <c r="A305"/>
  <c r="A304"/>
  <c r="A303"/>
  <c r="A302"/>
  <c r="A301"/>
  <c r="A300"/>
  <c r="A299"/>
  <c r="A298"/>
  <c r="A297"/>
  <c r="A296"/>
  <c r="A295"/>
  <c r="A294"/>
  <c r="A293"/>
  <c r="A292"/>
  <c r="A291"/>
  <c r="A290"/>
  <c r="A289"/>
  <c r="A288"/>
  <c r="A287"/>
  <c r="A286"/>
  <c r="A285"/>
  <c r="A284"/>
  <c r="A283"/>
  <c r="A282"/>
  <c r="A281"/>
  <c r="A280"/>
  <c r="A279"/>
  <c r="A278"/>
  <c r="A277"/>
  <c r="A276"/>
  <c r="A275"/>
  <c r="A274"/>
  <c r="A273"/>
  <c r="A272"/>
  <c r="A271"/>
  <c r="A270"/>
  <c r="A269"/>
  <c r="A268"/>
  <c r="A267"/>
  <c r="A266"/>
  <c r="A265"/>
  <c r="A264"/>
  <c r="A263"/>
  <c r="A262"/>
  <c r="A261"/>
  <c r="A260"/>
  <c r="A259"/>
  <c r="A258"/>
  <c r="A257"/>
  <c r="A256"/>
  <c r="A255"/>
  <c r="A254"/>
  <c r="A253"/>
  <c r="A252"/>
  <c r="A251"/>
  <c r="A250"/>
  <c r="A249"/>
  <c r="A248"/>
  <c r="A247"/>
  <c r="A246"/>
  <c r="A245"/>
  <c r="A244"/>
  <c r="A243"/>
  <c r="A242"/>
  <c r="A241"/>
  <c r="A240"/>
  <c r="A239"/>
  <c r="A238"/>
  <c r="A237"/>
  <c r="A236"/>
  <c r="A235"/>
  <c r="A234"/>
  <c r="A233"/>
  <c r="A232"/>
  <c r="A231"/>
  <c r="A230"/>
  <c r="A229"/>
  <c r="A228"/>
  <c r="A227"/>
  <c r="A226"/>
  <c r="A225"/>
  <c r="A224"/>
  <c r="A223"/>
  <c r="A222"/>
  <c r="A221"/>
  <c r="A220"/>
  <c r="A219"/>
  <c r="A218"/>
  <c r="A217"/>
  <c r="A216"/>
  <c r="A215"/>
  <c r="A214"/>
  <c r="A213"/>
  <c r="A212"/>
  <c r="A211"/>
  <c r="A210"/>
  <c r="A209"/>
  <c r="A208"/>
  <c r="A207"/>
  <c r="A206"/>
  <c r="A205"/>
  <c r="A204"/>
  <c r="A203"/>
  <c r="A202"/>
  <c r="A201"/>
  <c r="A200"/>
  <c r="A199"/>
  <c r="A198"/>
  <c r="A197"/>
  <c r="A196"/>
  <c r="A195"/>
  <c r="A194"/>
  <c r="A193"/>
  <c r="A192"/>
  <c r="A191"/>
  <c r="A190"/>
  <c r="A189"/>
  <c r="A188"/>
  <c r="A187"/>
  <c r="A186"/>
  <c r="A185"/>
  <c r="A184"/>
  <c r="A183"/>
  <c r="A182"/>
  <c r="A181"/>
  <c r="A180"/>
  <c r="A179"/>
  <c r="A178"/>
  <c r="A177"/>
  <c r="A176"/>
  <c r="A175"/>
  <c r="A174"/>
  <c r="A173"/>
  <c r="A172"/>
  <c r="A171"/>
  <c r="A170"/>
  <c r="A169"/>
  <c r="A168"/>
  <c r="A167"/>
  <c r="A166"/>
  <c r="A165"/>
  <c r="A164"/>
  <c r="A163"/>
  <c r="A162"/>
  <c r="A161"/>
  <c r="A160"/>
  <c r="A159"/>
  <c r="A158"/>
  <c r="A157"/>
  <c r="A156"/>
  <c r="A155"/>
  <c r="A154"/>
  <c r="A153"/>
  <c r="H153" s="1"/>
  <c r="H158" s="1"/>
  <c r="H160" s="1"/>
  <c r="H165" s="1"/>
  <c r="H172" s="1"/>
  <c r="H190" s="1"/>
  <c r="H201" s="1"/>
  <c r="H245" s="1"/>
  <c r="H260" s="1"/>
  <c r="H268" s="1"/>
  <c r="H276" s="1"/>
  <c r="H293" s="1"/>
  <c r="H301" s="1"/>
  <c r="H303" s="1"/>
  <c r="H308" s="1"/>
  <c r="H310" s="1"/>
  <c r="H314" s="1"/>
  <c r="H317" s="1"/>
  <c r="H324" s="1"/>
  <c r="H329" s="1"/>
  <c r="H340" s="1"/>
  <c r="H350" s="1"/>
  <c r="H357" s="1"/>
  <c r="G145"/>
  <c r="D64" i="28" s="1"/>
  <c r="F145" i="11"/>
  <c r="E145"/>
  <c r="D145"/>
  <c r="G144"/>
  <c r="D21" i="28" s="1"/>
  <c r="F144" i="11"/>
  <c r="E144"/>
  <c r="D144"/>
  <c r="G143"/>
  <c r="D7" i="28" s="1"/>
  <c r="F143" i="11"/>
  <c r="E143"/>
  <c r="D143"/>
  <c r="G142"/>
  <c r="D16" i="28" s="1"/>
  <c r="F142" i="11"/>
  <c r="E142"/>
  <c r="D142"/>
  <c r="G140"/>
  <c r="D15" i="28" s="1"/>
  <c r="F140" i="11"/>
  <c r="E140"/>
  <c r="D140"/>
  <c r="H139"/>
  <c r="G139"/>
  <c r="F139"/>
  <c r="E139"/>
  <c r="D139"/>
  <c r="H138"/>
  <c r="G138"/>
  <c r="F138"/>
  <c r="E138"/>
  <c r="D138"/>
  <c r="G137"/>
  <c r="D74" i="28" s="1"/>
  <c r="F137" i="11"/>
  <c r="E137"/>
  <c r="D137"/>
  <c r="G136"/>
  <c r="D70" i="28" s="1"/>
  <c r="F136" i="11"/>
  <c r="E136"/>
  <c r="D136"/>
  <c r="H135"/>
  <c r="G135"/>
  <c r="F135"/>
  <c r="E135"/>
  <c r="D135"/>
  <c r="H134"/>
  <c r="G134"/>
  <c r="F134"/>
  <c r="E134"/>
  <c r="D134"/>
  <c r="G133"/>
  <c r="D13" i="28" s="1"/>
  <c r="F133" i="11"/>
  <c r="E133"/>
  <c r="D133"/>
  <c r="G132"/>
  <c r="D66" i="28" s="1"/>
  <c r="F132" i="11"/>
  <c r="E132"/>
  <c r="D132"/>
  <c r="G131"/>
  <c r="D65" i="28" s="1"/>
  <c r="Z65" s="1"/>
  <c r="F131" i="11"/>
  <c r="E131"/>
  <c r="D131"/>
  <c r="G130"/>
  <c r="D19" i="28" s="1"/>
  <c r="F130" i="11"/>
  <c r="E130"/>
  <c r="D130"/>
  <c r="G129"/>
  <c r="D2" i="28" s="1"/>
  <c r="F129" i="11"/>
  <c r="E129"/>
  <c r="D129"/>
  <c r="G128"/>
  <c r="D55" i="28" s="1"/>
  <c r="F128" i="11"/>
  <c r="E128"/>
  <c r="D128"/>
  <c r="G127"/>
  <c r="D52" i="28" s="1"/>
  <c r="Z52" s="1"/>
  <c r="F127" i="11"/>
  <c r="E127"/>
  <c r="D127"/>
  <c r="G126"/>
  <c r="D83" i="28" s="1"/>
  <c r="F126" i="11"/>
  <c r="E126"/>
  <c r="D126"/>
  <c r="H125"/>
  <c r="G125"/>
  <c r="D62" i="28" s="1"/>
  <c r="F125" i="11"/>
  <c r="E125"/>
  <c r="D125"/>
  <c r="G124"/>
  <c r="D59" i="28" s="1"/>
  <c r="F124" i="11"/>
  <c r="E124"/>
  <c r="D124"/>
  <c r="H123"/>
  <c r="G123"/>
  <c r="D57" i="28" s="1"/>
  <c r="F123" i="11"/>
  <c r="E123"/>
  <c r="D123"/>
  <c r="H122"/>
  <c r="G122"/>
  <c r="D56" i="28" s="1"/>
  <c r="F122" i="11"/>
  <c r="E122"/>
  <c r="D122"/>
  <c r="G121"/>
  <c r="D12" i="28" s="1"/>
  <c r="F121" i="11"/>
  <c r="E121"/>
  <c r="D121"/>
  <c r="G120"/>
  <c r="D49" i="28" s="1"/>
  <c r="F120" i="11"/>
  <c r="E120"/>
  <c r="D120"/>
  <c r="G119"/>
  <c r="D11" i="28" s="1"/>
  <c r="F119" i="11"/>
  <c r="E119"/>
  <c r="D119"/>
  <c r="G118"/>
  <c r="D84" i="28" s="1"/>
  <c r="F118" i="11"/>
  <c r="E118"/>
  <c r="D118"/>
  <c r="G117"/>
  <c r="D37" i="28" s="1"/>
  <c r="Z37" s="1"/>
  <c r="F117" i="11"/>
  <c r="E117"/>
  <c r="D117"/>
  <c r="G116"/>
  <c r="D25" i="28" s="1"/>
  <c r="F116" i="11"/>
  <c r="E116"/>
  <c r="D116"/>
  <c r="G115"/>
  <c r="D61" i="28" s="1"/>
  <c r="F115" i="11"/>
  <c r="E115"/>
  <c r="D115"/>
  <c r="G114"/>
  <c r="D22" i="28" s="1"/>
  <c r="F114" i="11"/>
  <c r="E114"/>
  <c r="D114"/>
  <c r="H113"/>
  <c r="G113"/>
  <c r="D82" i="28" s="1"/>
  <c r="F113" i="11"/>
  <c r="E113"/>
  <c r="D113"/>
  <c r="H112"/>
  <c r="G112"/>
  <c r="D81" i="28" s="1"/>
  <c r="F112" i="11"/>
  <c r="E112"/>
  <c r="D112"/>
  <c r="G110"/>
  <c r="D77" i="28" s="1"/>
  <c r="F110" i="11"/>
  <c r="E110"/>
  <c r="D110"/>
  <c r="G109"/>
  <c r="D76" i="28" s="1"/>
  <c r="Z76" s="1"/>
  <c r="F109" i="11"/>
  <c r="E109"/>
  <c r="D109"/>
  <c r="F105"/>
  <c r="E105"/>
  <c r="F104"/>
  <c r="E104"/>
  <c r="F103"/>
  <c r="E103"/>
  <c r="F102"/>
  <c r="E102"/>
  <c r="F101"/>
  <c r="E101"/>
  <c r="F100"/>
  <c r="E100"/>
  <c r="F99"/>
  <c r="E99"/>
  <c r="F98"/>
  <c r="E98"/>
  <c r="F97"/>
  <c r="E97"/>
  <c r="F96"/>
  <c r="E96"/>
  <c r="F95"/>
  <c r="E95"/>
  <c r="F94"/>
  <c r="E94"/>
  <c r="F93"/>
  <c r="E93"/>
  <c r="F92"/>
  <c r="E92"/>
  <c r="F91"/>
  <c r="E91"/>
  <c r="F90"/>
  <c r="E90"/>
  <c r="F89"/>
  <c r="E89"/>
  <c r="F88"/>
  <c r="E88"/>
  <c r="F87"/>
  <c r="E87"/>
  <c r="F86"/>
  <c r="E86"/>
  <c r="F85"/>
  <c r="E85"/>
  <c r="F84"/>
  <c r="E84"/>
  <c r="F83"/>
  <c r="E83"/>
  <c r="F82"/>
  <c r="E82"/>
  <c r="H81"/>
  <c r="H86" s="1"/>
  <c r="H90" s="1"/>
  <c r="H100" s="1"/>
  <c r="H143" s="1"/>
  <c r="F81"/>
  <c r="E81"/>
  <c r="F80"/>
  <c r="E80"/>
  <c r="F79"/>
  <c r="E79"/>
  <c r="F78"/>
  <c r="E78"/>
  <c r="F77"/>
  <c r="E77"/>
  <c r="F76"/>
  <c r="E76"/>
  <c r="H75"/>
  <c r="H101" s="1"/>
  <c r="H102" s="1"/>
  <c r="H103" s="1"/>
  <c r="H104" s="1"/>
  <c r="H105" s="1"/>
  <c r="H129" s="1"/>
  <c r="F75"/>
  <c r="E75"/>
  <c r="F74"/>
  <c r="E74"/>
  <c r="F73"/>
  <c r="E73"/>
  <c r="F72"/>
  <c r="E72"/>
  <c r="F71"/>
  <c r="E71"/>
  <c r="F70"/>
  <c r="E70"/>
  <c r="F69"/>
  <c r="E69"/>
  <c r="F68"/>
  <c r="E68"/>
  <c r="F67"/>
  <c r="E67"/>
  <c r="F66"/>
  <c r="E66"/>
  <c r="F65"/>
  <c r="E65"/>
  <c r="F64"/>
  <c r="E64"/>
  <c r="F63"/>
  <c r="E63"/>
  <c r="F62"/>
  <c r="E62"/>
  <c r="F61"/>
  <c r="E61"/>
  <c r="F60"/>
  <c r="E60"/>
  <c r="F59"/>
  <c r="E59"/>
  <c r="F58"/>
  <c r="E58"/>
  <c r="F57"/>
  <c r="E57"/>
  <c r="F56"/>
  <c r="E56"/>
  <c r="H55"/>
  <c r="F55"/>
  <c r="E55"/>
  <c r="H54"/>
  <c r="F54"/>
  <c r="E54"/>
  <c r="F53"/>
  <c r="E53"/>
  <c r="F52"/>
  <c r="E52"/>
  <c r="F51"/>
  <c r="E51"/>
  <c r="F50"/>
  <c r="E50"/>
  <c r="F49"/>
  <c r="E49"/>
  <c r="F48"/>
  <c r="E48"/>
  <c r="F47"/>
  <c r="E47"/>
  <c r="F46"/>
  <c r="E46"/>
  <c r="F45"/>
  <c r="E45"/>
  <c r="F44"/>
  <c r="E44"/>
  <c r="F43"/>
  <c r="E43"/>
  <c r="F42"/>
  <c r="E42"/>
  <c r="F41"/>
  <c r="E41"/>
  <c r="H40"/>
  <c r="H41" s="1"/>
  <c r="F40"/>
  <c r="E40"/>
  <c r="H39"/>
  <c r="H46" s="1"/>
  <c r="F39"/>
  <c r="E39"/>
  <c r="F38"/>
  <c r="E38"/>
  <c r="F37"/>
  <c r="E37"/>
  <c r="H36"/>
  <c r="H37" s="1"/>
  <c r="H38" s="1"/>
  <c r="H43" s="1"/>
  <c r="H45" s="1"/>
  <c r="F36"/>
  <c r="E36"/>
  <c r="C30"/>
  <c r="C29"/>
  <c r="C18"/>
  <c r="C17"/>
  <c r="C16"/>
  <c r="C13"/>
  <c r="C12"/>
  <c r="C19"/>
  <c r="C15"/>
  <c r="C25"/>
  <c r="C21"/>
  <c r="C33"/>
  <c r="C31"/>
  <c r="C26"/>
  <c r="C14"/>
  <c r="C20"/>
  <c r="C32"/>
  <c r="C24"/>
  <c r="A2" i="18"/>
  <c r="M77" i="28" a="1"/>
  <c r="M76" a="1"/>
  <c r="M70" a="1"/>
  <c r="M66" a="1"/>
  <c r="M64" a="1"/>
  <c r="M63" a="1"/>
  <c r="M62" a="1"/>
  <c r="M61" a="1"/>
  <c r="M59" a="1"/>
  <c r="M57" a="1"/>
  <c r="M56" a="1"/>
  <c r="M55" a="1"/>
  <c r="M52" a="1"/>
  <c r="M51" a="1"/>
  <c r="M49" a="1"/>
  <c r="M43" a="1"/>
  <c r="M42" a="1"/>
  <c r="M41" a="1"/>
  <c r="M40" a="1"/>
  <c r="M39" a="1"/>
  <c r="M38" a="1"/>
  <c r="M37" a="1"/>
  <c r="M32" a="1"/>
  <c r="M31" a="1"/>
  <c r="M31" s="1"/>
  <c r="M30" a="1"/>
  <c r="M29" a="1"/>
  <c r="M28" a="1"/>
  <c r="M27" a="1"/>
  <c r="M26" a="1"/>
  <c r="M25" a="1"/>
  <c r="M22" a="1"/>
  <c r="M22" s="1"/>
  <c r="M21" a="1"/>
  <c r="M21" s="1"/>
  <c r="M20" a="1"/>
  <c r="M19" a="1"/>
  <c r="M16" a="1"/>
  <c r="M15" a="1"/>
  <c r="M13" a="1"/>
  <c r="M12" a="1"/>
  <c r="M11" a="1"/>
  <c r="M11" s="1"/>
  <c r="M8" a="1"/>
  <c r="M8" s="1"/>
  <c r="M7" a="1"/>
  <c r="M7" s="1"/>
  <c r="M4" a="1"/>
  <c r="M3" a="1"/>
  <c r="M3" s="1"/>
  <c r="M2" a="1"/>
  <c r="M2" s="1"/>
  <c r="G2"/>
  <c r="F2"/>
  <c r="S8"/>
  <c r="V8" s="1"/>
  <c r="S25"/>
  <c r="V25" s="1"/>
  <c r="I31" i="7"/>
  <c r="I28"/>
  <c r="K29" i="54" s="1"/>
  <c r="P1906" i="21"/>
  <c r="P1905"/>
  <c r="P1904"/>
  <c r="P1903"/>
  <c r="P1902"/>
  <c r="P1901"/>
  <c r="P1900"/>
  <c r="P1899"/>
  <c r="P1898"/>
  <c r="P1897"/>
  <c r="P1896"/>
  <c r="P1895"/>
  <c r="P1894"/>
  <c r="G1894"/>
  <c r="F1894"/>
  <c r="P1893"/>
  <c r="G1893"/>
  <c r="F1893"/>
  <c r="P1892"/>
  <c r="G1892"/>
  <c r="F1892"/>
  <c r="P1891"/>
  <c r="G1891"/>
  <c r="F1891"/>
  <c r="P1890"/>
  <c r="G1890"/>
  <c r="F1890"/>
  <c r="P1889"/>
  <c r="G1889"/>
  <c r="F1889"/>
  <c r="P1888"/>
  <c r="G1888"/>
  <c r="F1888"/>
  <c r="P1887"/>
  <c r="G1887"/>
  <c r="F1887"/>
  <c r="P1886"/>
  <c r="G1886"/>
  <c r="F1886"/>
  <c r="P1885"/>
  <c r="G1885"/>
  <c r="F1885"/>
  <c r="P1884"/>
  <c r="G1884"/>
  <c r="F1884"/>
  <c r="P1883"/>
  <c r="G1883"/>
  <c r="F1883"/>
  <c r="P1882"/>
  <c r="G1882"/>
  <c r="F1882"/>
  <c r="P1881"/>
  <c r="G1881"/>
  <c r="F1881"/>
  <c r="P1880"/>
  <c r="G1880"/>
  <c r="F1880"/>
  <c r="P1879"/>
  <c r="G1879"/>
  <c r="F1879"/>
  <c r="P1878"/>
  <c r="G1878"/>
  <c r="F1878"/>
  <c r="P1877"/>
  <c r="G1877"/>
  <c r="F1877"/>
  <c r="P1876"/>
  <c r="G1876"/>
  <c r="F1876"/>
  <c r="P1875"/>
  <c r="G1875"/>
  <c r="F1875"/>
  <c r="P1874"/>
  <c r="G1874"/>
  <c r="F1874"/>
  <c r="P1873"/>
  <c r="G1873"/>
  <c r="F1873"/>
  <c r="P1872"/>
  <c r="G1872"/>
  <c r="F1872"/>
  <c r="P1871"/>
  <c r="G1871"/>
  <c r="F1871"/>
  <c r="P1870"/>
  <c r="G1870"/>
  <c r="F1870"/>
  <c r="P1869"/>
  <c r="G1869"/>
  <c r="F1869"/>
  <c r="P1868"/>
  <c r="G1868"/>
  <c r="F1868"/>
  <c r="P1867"/>
  <c r="G1867"/>
  <c r="F1867"/>
  <c r="P1866"/>
  <c r="G1866"/>
  <c r="F1866"/>
  <c r="P1865"/>
  <c r="G1865"/>
  <c r="F1865"/>
  <c r="P1864"/>
  <c r="G1864"/>
  <c r="F1864"/>
  <c r="P1863"/>
  <c r="G1863"/>
  <c r="F1863"/>
  <c r="P1862"/>
  <c r="G1862"/>
  <c r="F1862"/>
  <c r="P1861"/>
  <c r="G1861"/>
  <c r="F1861"/>
  <c r="P1860"/>
  <c r="G1860"/>
  <c r="F1860"/>
  <c r="P1859"/>
  <c r="G1859"/>
  <c r="F1859"/>
  <c r="P1858"/>
  <c r="G1858"/>
  <c r="F1858"/>
  <c r="P1857"/>
  <c r="G1857"/>
  <c r="F1857"/>
  <c r="P1856"/>
  <c r="G1856"/>
  <c r="F1856"/>
  <c r="P1855"/>
  <c r="G1855"/>
  <c r="F1855"/>
  <c r="P1854"/>
  <c r="G1854"/>
  <c r="F1854"/>
  <c r="P1853"/>
  <c r="G1853"/>
  <c r="F1853"/>
  <c r="P1852"/>
  <c r="G1852"/>
  <c r="F1852"/>
  <c r="P1851"/>
  <c r="G1851"/>
  <c r="F1851"/>
  <c r="P1850"/>
  <c r="G1850"/>
  <c r="F1850"/>
  <c r="P1849"/>
  <c r="G1849"/>
  <c r="F1849"/>
  <c r="P1848"/>
  <c r="G1848"/>
  <c r="F1848"/>
  <c r="P1847"/>
  <c r="G1847"/>
  <c r="F1847"/>
  <c r="P1846"/>
  <c r="G1846"/>
  <c r="F1846"/>
  <c r="P1845"/>
  <c r="G1845"/>
  <c r="F1845"/>
  <c r="P1844"/>
  <c r="G1844"/>
  <c r="F1844"/>
  <c r="P1843"/>
  <c r="G1843"/>
  <c r="F1843"/>
  <c r="P1842"/>
  <c r="G1842"/>
  <c r="F1842"/>
  <c r="P1841"/>
  <c r="G1841"/>
  <c r="F1841"/>
  <c r="P1840"/>
  <c r="G1840"/>
  <c r="F1840"/>
  <c r="P1839"/>
  <c r="G1839"/>
  <c r="F1839"/>
  <c r="P1838"/>
  <c r="G1838"/>
  <c r="F1838"/>
  <c r="P1837"/>
  <c r="G1837"/>
  <c r="F1837"/>
  <c r="P1836"/>
  <c r="G1836"/>
  <c r="F1836"/>
  <c r="P1835"/>
  <c r="G1835"/>
  <c r="F1835"/>
  <c r="P1834"/>
  <c r="G1834"/>
  <c r="F1834"/>
  <c r="P1833"/>
  <c r="G1833"/>
  <c r="F1833"/>
  <c r="P1832"/>
  <c r="G1832"/>
  <c r="F1832"/>
  <c r="P1831"/>
  <c r="G1831"/>
  <c r="F1831"/>
  <c r="P1830"/>
  <c r="G1830"/>
  <c r="F1830"/>
  <c r="P1829"/>
  <c r="G1829"/>
  <c r="F1829"/>
  <c r="P1828"/>
  <c r="G1828"/>
  <c r="F1828"/>
  <c r="P1827"/>
  <c r="G1827"/>
  <c r="F1827"/>
  <c r="P1826"/>
  <c r="G1826"/>
  <c r="F1826"/>
  <c r="P1825"/>
  <c r="G1825"/>
  <c r="F1825"/>
  <c r="P1824"/>
  <c r="G1824"/>
  <c r="F1824"/>
  <c r="P1823"/>
  <c r="G1823"/>
  <c r="F1823"/>
  <c r="P1822"/>
  <c r="G1822"/>
  <c r="F1822"/>
  <c r="P1821"/>
  <c r="G1821"/>
  <c r="F1821"/>
  <c r="P1820"/>
  <c r="G1820"/>
  <c r="F1820"/>
  <c r="P1819"/>
  <c r="G1819"/>
  <c r="F1819"/>
  <c r="P1818"/>
  <c r="G1818"/>
  <c r="F1818"/>
  <c r="P1817"/>
  <c r="G1817"/>
  <c r="F1817"/>
  <c r="P1816"/>
  <c r="G1816"/>
  <c r="F1816"/>
  <c r="P1815"/>
  <c r="G1815"/>
  <c r="F1815"/>
  <c r="P1814"/>
  <c r="G1814"/>
  <c r="F1814"/>
  <c r="P1813"/>
  <c r="G1813"/>
  <c r="F1813"/>
  <c r="P1812"/>
  <c r="G1812"/>
  <c r="F1812"/>
  <c r="P1811"/>
  <c r="G1811"/>
  <c r="F1811"/>
  <c r="P1810"/>
  <c r="G1810"/>
  <c r="F1810"/>
  <c r="P1809"/>
  <c r="G1809"/>
  <c r="F1809"/>
  <c r="P1808"/>
  <c r="G1808"/>
  <c r="F1808"/>
  <c r="P1807"/>
  <c r="G1807"/>
  <c r="F1807"/>
  <c r="P1806"/>
  <c r="G1806"/>
  <c r="F1806"/>
  <c r="P1805"/>
  <c r="G1805"/>
  <c r="F1805"/>
  <c r="P1804"/>
  <c r="G1804"/>
  <c r="F1804"/>
  <c r="P1803"/>
  <c r="G1803"/>
  <c r="F1803"/>
  <c r="P1802"/>
  <c r="G1802"/>
  <c r="F1802"/>
  <c r="P1801"/>
  <c r="G1801"/>
  <c r="F1801"/>
  <c r="P1800"/>
  <c r="G1800"/>
  <c r="F1800"/>
  <c r="P1799"/>
  <c r="G1799"/>
  <c r="F1799"/>
  <c r="P1798"/>
  <c r="G1798"/>
  <c r="F1798"/>
  <c r="P1797"/>
  <c r="G1797"/>
  <c r="F1797"/>
  <c r="P1796"/>
  <c r="G1796"/>
  <c r="F1796"/>
  <c r="P1795"/>
  <c r="G1795"/>
  <c r="F1795"/>
  <c r="P1794"/>
  <c r="G1794"/>
  <c r="F1794"/>
  <c r="P1793"/>
  <c r="G1793"/>
  <c r="F1793"/>
  <c r="P1792"/>
  <c r="G1792"/>
  <c r="F1792"/>
  <c r="P1791"/>
  <c r="G1791"/>
  <c r="F1791"/>
  <c r="P1790"/>
  <c r="G1790"/>
  <c r="F1790"/>
  <c r="P1789"/>
  <c r="G1789"/>
  <c r="F1789"/>
  <c r="P1788"/>
  <c r="G1788"/>
  <c r="F1788"/>
  <c r="P1787"/>
  <c r="G1787"/>
  <c r="F1787"/>
  <c r="P1786"/>
  <c r="G1786"/>
  <c r="F1786"/>
  <c r="P1785"/>
  <c r="G1785"/>
  <c r="F1785"/>
  <c r="P1784"/>
  <c r="G1784"/>
  <c r="F1784"/>
  <c r="P1783"/>
  <c r="G1783"/>
  <c r="F1783"/>
  <c r="P1782"/>
  <c r="G1782"/>
  <c r="F1782"/>
  <c r="P1781"/>
  <c r="G1781"/>
  <c r="F1781"/>
  <c r="P1780"/>
  <c r="G1780"/>
  <c r="F1780"/>
  <c r="P1779"/>
  <c r="G1779"/>
  <c r="F1779"/>
  <c r="P1778"/>
  <c r="G1778"/>
  <c r="F1778"/>
  <c r="P1777"/>
  <c r="G1777"/>
  <c r="F1777"/>
  <c r="P1776"/>
  <c r="G1776"/>
  <c r="F1776"/>
  <c r="P1775"/>
  <c r="G1775"/>
  <c r="F1775"/>
  <c r="P1774"/>
  <c r="G1774"/>
  <c r="F1774"/>
  <c r="P1773"/>
  <c r="G1773"/>
  <c r="F1773"/>
  <c r="P1772"/>
  <c r="G1772"/>
  <c r="F1772"/>
  <c r="P1771"/>
  <c r="G1771"/>
  <c r="F1771"/>
  <c r="P1770"/>
  <c r="G1770"/>
  <c r="F1770"/>
  <c r="P1769"/>
  <c r="G1769"/>
  <c r="F1769"/>
  <c r="P1768"/>
  <c r="G1768"/>
  <c r="F1768"/>
  <c r="P1767"/>
  <c r="G1767"/>
  <c r="F1767"/>
  <c r="P1766"/>
  <c r="G1766"/>
  <c r="F1766"/>
  <c r="P1765"/>
  <c r="G1765"/>
  <c r="F1765"/>
  <c r="P1764"/>
  <c r="G1764"/>
  <c r="F1764"/>
  <c r="P1763"/>
  <c r="G1763"/>
  <c r="F1763"/>
  <c r="P1762"/>
  <c r="G1762"/>
  <c r="F1762"/>
  <c r="P1761"/>
  <c r="G1761"/>
  <c r="F1761"/>
  <c r="P1760"/>
  <c r="G1760"/>
  <c r="F1760"/>
  <c r="P1759"/>
  <c r="G1759"/>
  <c r="F1759"/>
  <c r="P1758"/>
  <c r="G1758"/>
  <c r="F1758"/>
  <c r="P1757"/>
  <c r="G1757"/>
  <c r="F1757"/>
  <c r="P1756"/>
  <c r="G1756"/>
  <c r="F1756"/>
  <c r="P1755"/>
  <c r="G1755"/>
  <c r="F1755"/>
  <c r="P1754"/>
  <c r="G1754"/>
  <c r="F1754"/>
  <c r="P1753"/>
  <c r="G1753"/>
  <c r="F1753"/>
  <c r="P1752"/>
  <c r="G1752"/>
  <c r="F1752"/>
  <c r="P1751"/>
  <c r="G1751"/>
  <c r="F1751"/>
  <c r="P1750"/>
  <c r="G1750"/>
  <c r="F1750"/>
  <c r="P1749"/>
  <c r="G1749"/>
  <c r="F1749"/>
  <c r="P1748"/>
  <c r="G1748"/>
  <c r="F1748"/>
  <c r="P1747"/>
  <c r="G1747"/>
  <c r="F1747"/>
  <c r="P1746"/>
  <c r="G1746"/>
  <c r="F1746"/>
  <c r="P1745"/>
  <c r="G1745"/>
  <c r="F1745"/>
  <c r="P1744"/>
  <c r="G1744"/>
  <c r="F1744"/>
  <c r="P1743"/>
  <c r="G1743"/>
  <c r="F1743"/>
  <c r="P1742"/>
  <c r="G1742"/>
  <c r="F1742"/>
  <c r="P1741"/>
  <c r="G1741"/>
  <c r="F1741"/>
  <c r="P1740"/>
  <c r="G1740"/>
  <c r="F1740"/>
  <c r="P1739"/>
  <c r="G1739"/>
  <c r="F1739"/>
  <c r="P1738"/>
  <c r="G1738"/>
  <c r="F1738"/>
  <c r="P1737"/>
  <c r="G1737"/>
  <c r="F1737"/>
  <c r="P1736"/>
  <c r="G1736"/>
  <c r="F1736"/>
  <c r="P1735"/>
  <c r="G1735"/>
  <c r="F1735"/>
  <c r="P1734"/>
  <c r="G1734"/>
  <c r="F1734"/>
  <c r="P1733"/>
  <c r="G1733"/>
  <c r="F1733"/>
  <c r="P1732"/>
  <c r="G1732"/>
  <c r="F1732"/>
  <c r="P1731"/>
  <c r="G1731"/>
  <c r="F1731"/>
  <c r="P1730"/>
  <c r="G1730"/>
  <c r="F1730"/>
  <c r="P1729"/>
  <c r="G1729"/>
  <c r="F1729"/>
  <c r="P1728"/>
  <c r="G1728"/>
  <c r="F1728"/>
  <c r="P1727"/>
  <c r="G1727"/>
  <c r="F1727"/>
  <c r="P1726"/>
  <c r="G1726"/>
  <c r="F1726"/>
  <c r="P1725"/>
  <c r="G1725"/>
  <c r="F1725"/>
  <c r="P1724"/>
  <c r="G1724"/>
  <c r="F1724"/>
  <c r="P1723"/>
  <c r="G1723"/>
  <c r="F1723"/>
  <c r="P1722"/>
  <c r="G1722"/>
  <c r="F1722"/>
  <c r="P1721"/>
  <c r="G1721"/>
  <c r="F1721"/>
  <c r="P1720"/>
  <c r="G1720"/>
  <c r="F1720"/>
  <c r="P1719"/>
  <c r="G1719"/>
  <c r="F1719"/>
  <c r="P1718"/>
  <c r="G1718"/>
  <c r="F1718"/>
  <c r="P1717"/>
  <c r="G1717"/>
  <c r="F1717"/>
  <c r="P1716"/>
  <c r="G1716"/>
  <c r="F1716"/>
  <c r="P1715"/>
  <c r="G1715"/>
  <c r="F1715"/>
  <c r="P1714"/>
  <c r="G1714"/>
  <c r="F1714"/>
  <c r="P1713"/>
  <c r="G1713"/>
  <c r="F1713"/>
  <c r="P1712"/>
  <c r="G1712"/>
  <c r="F1712"/>
  <c r="P1711"/>
  <c r="G1711"/>
  <c r="F1711"/>
  <c r="P1710"/>
  <c r="G1710"/>
  <c r="F1710"/>
  <c r="P1709"/>
  <c r="G1709"/>
  <c r="F1709"/>
  <c r="P1708"/>
  <c r="G1708"/>
  <c r="F1708"/>
  <c r="P1707"/>
  <c r="G1707"/>
  <c r="F1707"/>
  <c r="P1706"/>
  <c r="G1706"/>
  <c r="F1706"/>
  <c r="P1705"/>
  <c r="G1705"/>
  <c r="F1705"/>
  <c r="P1704"/>
  <c r="G1704"/>
  <c r="F1704"/>
  <c r="P1703"/>
  <c r="G1703"/>
  <c r="F1703"/>
  <c r="P1702"/>
  <c r="G1702"/>
  <c r="F1702"/>
  <c r="P1701"/>
  <c r="G1701"/>
  <c r="F1701"/>
  <c r="P1700"/>
  <c r="G1700"/>
  <c r="F1700"/>
  <c r="P1699"/>
  <c r="G1699"/>
  <c r="F1699"/>
  <c r="P1698"/>
  <c r="G1698"/>
  <c r="F1698"/>
  <c r="P1697"/>
  <c r="G1697"/>
  <c r="F1697"/>
  <c r="P1696"/>
  <c r="G1696"/>
  <c r="F1696"/>
  <c r="P1695"/>
  <c r="G1695"/>
  <c r="F1695"/>
  <c r="P1694"/>
  <c r="G1694"/>
  <c r="F1694"/>
  <c r="P1693"/>
  <c r="G1693"/>
  <c r="F1693"/>
  <c r="P1692"/>
  <c r="G1692"/>
  <c r="F1692"/>
  <c r="P1691"/>
  <c r="G1691"/>
  <c r="F1691"/>
  <c r="P1690"/>
  <c r="G1690"/>
  <c r="F1690"/>
  <c r="P1689"/>
  <c r="G1689"/>
  <c r="F1689"/>
  <c r="P1688"/>
  <c r="G1688"/>
  <c r="F1688"/>
  <c r="P1687"/>
  <c r="G1687"/>
  <c r="F1687"/>
  <c r="P1686"/>
  <c r="G1686"/>
  <c r="F1686"/>
  <c r="P1685"/>
  <c r="G1685"/>
  <c r="F1685"/>
  <c r="P1684"/>
  <c r="G1684"/>
  <c r="F1684"/>
  <c r="P1683"/>
  <c r="G1683"/>
  <c r="F1683"/>
  <c r="P1682"/>
  <c r="G1682"/>
  <c r="F1682"/>
  <c r="P1681"/>
  <c r="G1681"/>
  <c r="F1681"/>
  <c r="P1680"/>
  <c r="G1680"/>
  <c r="F1680"/>
  <c r="P1679"/>
  <c r="G1679"/>
  <c r="F1679"/>
  <c r="P1678"/>
  <c r="G1678"/>
  <c r="F1678"/>
  <c r="P1677"/>
  <c r="G1677"/>
  <c r="F1677"/>
  <c r="P1676"/>
  <c r="G1676"/>
  <c r="F1676"/>
  <c r="P1675"/>
  <c r="G1675"/>
  <c r="F1675"/>
  <c r="P1674"/>
  <c r="G1674"/>
  <c r="F1674"/>
  <c r="P1673"/>
  <c r="G1673"/>
  <c r="F1673"/>
  <c r="P1672"/>
  <c r="G1672"/>
  <c r="F1672"/>
  <c r="P1671"/>
  <c r="G1671"/>
  <c r="F1671"/>
  <c r="P1670"/>
  <c r="G1670"/>
  <c r="F1670"/>
  <c r="P1669"/>
  <c r="G1669"/>
  <c r="F1669"/>
  <c r="P1668"/>
  <c r="G1668"/>
  <c r="F1668"/>
  <c r="P1667"/>
  <c r="G1667"/>
  <c r="F1667"/>
  <c r="P1666"/>
  <c r="G1666"/>
  <c r="F1666"/>
  <c r="P1665"/>
  <c r="G1665"/>
  <c r="F1665"/>
  <c r="P1664"/>
  <c r="G1664"/>
  <c r="F1664"/>
  <c r="P1663"/>
  <c r="G1663"/>
  <c r="F1663"/>
  <c r="P1662"/>
  <c r="G1662"/>
  <c r="F1662"/>
  <c r="P1661"/>
  <c r="G1661"/>
  <c r="F1661"/>
  <c r="P1660"/>
  <c r="G1660"/>
  <c r="F1660"/>
  <c r="P1659"/>
  <c r="G1659"/>
  <c r="F1659"/>
  <c r="P1658"/>
  <c r="G1658"/>
  <c r="F1658"/>
  <c r="P1657"/>
  <c r="G1657"/>
  <c r="F1657"/>
  <c r="P1656"/>
  <c r="G1656"/>
  <c r="F1656"/>
  <c r="P1655"/>
  <c r="G1655"/>
  <c r="F1655"/>
  <c r="P1654"/>
  <c r="G1654"/>
  <c r="F1654"/>
  <c r="P1653"/>
  <c r="G1653"/>
  <c r="F1653"/>
  <c r="P1652"/>
  <c r="G1652"/>
  <c r="F1652"/>
  <c r="P1651"/>
  <c r="G1651"/>
  <c r="F1651"/>
  <c r="P1650"/>
  <c r="G1650"/>
  <c r="F1650"/>
  <c r="P1649"/>
  <c r="G1649"/>
  <c r="F1649"/>
  <c r="P1648"/>
  <c r="G1648"/>
  <c r="F1648"/>
  <c r="P1647"/>
  <c r="G1647"/>
  <c r="F1647"/>
  <c r="P1646"/>
  <c r="G1646"/>
  <c r="F1646"/>
  <c r="P1645"/>
  <c r="G1645"/>
  <c r="F1645"/>
  <c r="P1644"/>
  <c r="G1644"/>
  <c r="F1644"/>
  <c r="P1643"/>
  <c r="G1643"/>
  <c r="F1643"/>
  <c r="P1642"/>
  <c r="G1642"/>
  <c r="F1642"/>
  <c r="P1641"/>
  <c r="G1641"/>
  <c r="F1641"/>
  <c r="P1640"/>
  <c r="G1640"/>
  <c r="F1640"/>
  <c r="P1639"/>
  <c r="G1639"/>
  <c r="F1639"/>
  <c r="P1638"/>
  <c r="G1638"/>
  <c r="F1638"/>
  <c r="P1637"/>
  <c r="G1637"/>
  <c r="F1637"/>
  <c r="P1636"/>
  <c r="G1636"/>
  <c r="F1636"/>
  <c r="P1635"/>
  <c r="G1635"/>
  <c r="F1635"/>
  <c r="P1634"/>
  <c r="G1634"/>
  <c r="F1634"/>
  <c r="P1633"/>
  <c r="G1633"/>
  <c r="F1633"/>
  <c r="P1632"/>
  <c r="G1632"/>
  <c r="F1632"/>
  <c r="P1631"/>
  <c r="G1631"/>
  <c r="F1631"/>
  <c r="P1630"/>
  <c r="G1630"/>
  <c r="F1630"/>
  <c r="P1629"/>
  <c r="G1629"/>
  <c r="F1629"/>
  <c r="P1628"/>
  <c r="G1628"/>
  <c r="F1628"/>
  <c r="P1627"/>
  <c r="G1627"/>
  <c r="F1627"/>
  <c r="P1626"/>
  <c r="G1626"/>
  <c r="F1626"/>
  <c r="P1625"/>
  <c r="G1625"/>
  <c r="F1625"/>
  <c r="P1624"/>
  <c r="G1624"/>
  <c r="F1624"/>
  <c r="P1623"/>
  <c r="G1623"/>
  <c r="F1623"/>
  <c r="P1622"/>
  <c r="G1622"/>
  <c r="F1622"/>
  <c r="P1621"/>
  <c r="G1621"/>
  <c r="F1621"/>
  <c r="P1620"/>
  <c r="G1620"/>
  <c r="F1620"/>
  <c r="P1619"/>
  <c r="G1619"/>
  <c r="F1619"/>
  <c r="P1618"/>
  <c r="G1618"/>
  <c r="F1618"/>
  <c r="P1617"/>
  <c r="G1617"/>
  <c r="F1617"/>
  <c r="P1616"/>
  <c r="G1616"/>
  <c r="F1616"/>
  <c r="P1615"/>
  <c r="G1615"/>
  <c r="F1615"/>
  <c r="P1614"/>
  <c r="G1614"/>
  <c r="F1614"/>
  <c r="P1613"/>
  <c r="G1613"/>
  <c r="F1613"/>
  <c r="P1612"/>
  <c r="G1612"/>
  <c r="F1612"/>
  <c r="P1611"/>
  <c r="G1611"/>
  <c r="F1611"/>
  <c r="P1610"/>
  <c r="G1610"/>
  <c r="F1610"/>
  <c r="P1609"/>
  <c r="G1609"/>
  <c r="F1609"/>
  <c r="P1608"/>
  <c r="G1608"/>
  <c r="F1608"/>
  <c r="P1607"/>
  <c r="G1607"/>
  <c r="F1607"/>
  <c r="P1606"/>
  <c r="G1606"/>
  <c r="F1606"/>
  <c r="P1605"/>
  <c r="G1605"/>
  <c r="F1605"/>
  <c r="P1604"/>
  <c r="G1604"/>
  <c r="F1604"/>
  <c r="P1603"/>
  <c r="G1603"/>
  <c r="F1603"/>
  <c r="P1602"/>
  <c r="G1602"/>
  <c r="F1602"/>
  <c r="P1601"/>
  <c r="G1601"/>
  <c r="F1601"/>
  <c r="P1600"/>
  <c r="G1600"/>
  <c r="F1600"/>
  <c r="P1599"/>
  <c r="G1599"/>
  <c r="F1599"/>
  <c r="P1598"/>
  <c r="G1598"/>
  <c r="F1598"/>
  <c r="P1597"/>
  <c r="G1597"/>
  <c r="F1597"/>
  <c r="P1596"/>
  <c r="G1596"/>
  <c r="F1596"/>
  <c r="P1595"/>
  <c r="G1595"/>
  <c r="F1595"/>
  <c r="P1594"/>
  <c r="G1594"/>
  <c r="F1594"/>
  <c r="P1593"/>
  <c r="G1593"/>
  <c r="F1593"/>
  <c r="P1592"/>
  <c r="G1592"/>
  <c r="F1592"/>
  <c r="P1591"/>
  <c r="G1591"/>
  <c r="F1591"/>
  <c r="P1590"/>
  <c r="G1590"/>
  <c r="F1590"/>
  <c r="P1589"/>
  <c r="G1589"/>
  <c r="F1589"/>
  <c r="P1588"/>
  <c r="G1588"/>
  <c r="F1588"/>
  <c r="P1587"/>
  <c r="G1587"/>
  <c r="F1587"/>
  <c r="P1586"/>
  <c r="G1586"/>
  <c r="F1586"/>
  <c r="P1585"/>
  <c r="G1585"/>
  <c r="F1585"/>
  <c r="P1584"/>
  <c r="G1584"/>
  <c r="F1584"/>
  <c r="P1583"/>
  <c r="G1583"/>
  <c r="F1583"/>
  <c r="P1582"/>
  <c r="G1582"/>
  <c r="F1582"/>
  <c r="P1581"/>
  <c r="G1581"/>
  <c r="F1581"/>
  <c r="P1580"/>
  <c r="G1580"/>
  <c r="F1580"/>
  <c r="P1579"/>
  <c r="G1579"/>
  <c r="F1579"/>
  <c r="P1578"/>
  <c r="G1578"/>
  <c r="F1578"/>
  <c r="P1577"/>
  <c r="G1577"/>
  <c r="F1577"/>
  <c r="P1576"/>
  <c r="G1576"/>
  <c r="F1576"/>
  <c r="P1575"/>
  <c r="G1575"/>
  <c r="F1575"/>
  <c r="P1574"/>
  <c r="G1574"/>
  <c r="F1574"/>
  <c r="P1573"/>
  <c r="G1573"/>
  <c r="F1573"/>
  <c r="P1572"/>
  <c r="G1572"/>
  <c r="F1572"/>
  <c r="P1571"/>
  <c r="G1571"/>
  <c r="F1571"/>
  <c r="P1570"/>
  <c r="G1570"/>
  <c r="F1570"/>
  <c r="P1569"/>
  <c r="G1569"/>
  <c r="F1569"/>
  <c r="P1568"/>
  <c r="G1568"/>
  <c r="F1568"/>
  <c r="P1567"/>
  <c r="G1567"/>
  <c r="F1567"/>
  <c r="P1566"/>
  <c r="G1566"/>
  <c r="F1566"/>
  <c r="P1565"/>
  <c r="G1565"/>
  <c r="F1565"/>
  <c r="P1564"/>
  <c r="G1564"/>
  <c r="F1564"/>
  <c r="P1563"/>
  <c r="G1563"/>
  <c r="F1563"/>
  <c r="P1562"/>
  <c r="G1562"/>
  <c r="F1562"/>
  <c r="P1561"/>
  <c r="G1561"/>
  <c r="F1561"/>
  <c r="P1560"/>
  <c r="G1560"/>
  <c r="F1560"/>
  <c r="P1559"/>
  <c r="G1559"/>
  <c r="F1559"/>
  <c r="P1558"/>
  <c r="G1558"/>
  <c r="F1558"/>
  <c r="P1557"/>
  <c r="G1557"/>
  <c r="F1557"/>
  <c r="P1556"/>
  <c r="G1556"/>
  <c r="F1556"/>
  <c r="P1555"/>
  <c r="G1555"/>
  <c r="F1555"/>
  <c r="P1554"/>
  <c r="G1554"/>
  <c r="F1554"/>
  <c r="P1553"/>
  <c r="G1553"/>
  <c r="F1553"/>
  <c r="P1552"/>
  <c r="G1552"/>
  <c r="F1552"/>
  <c r="P1551"/>
  <c r="G1551"/>
  <c r="F1551"/>
  <c r="P1550"/>
  <c r="G1550"/>
  <c r="F1550"/>
  <c r="P1549"/>
  <c r="G1549"/>
  <c r="F1549"/>
  <c r="P1548"/>
  <c r="G1548"/>
  <c r="F1548"/>
  <c r="P1547"/>
  <c r="G1547"/>
  <c r="F1547"/>
  <c r="P1546"/>
  <c r="G1546"/>
  <c r="F1546"/>
  <c r="P1545"/>
  <c r="G1545"/>
  <c r="F1545"/>
  <c r="P1544"/>
  <c r="G1544"/>
  <c r="F1544"/>
  <c r="P1543"/>
  <c r="G1543"/>
  <c r="F1543"/>
  <c r="P1542"/>
  <c r="G1542"/>
  <c r="F1542"/>
  <c r="P1541"/>
  <c r="G1541"/>
  <c r="F1541"/>
  <c r="P1540"/>
  <c r="G1540"/>
  <c r="F1540"/>
  <c r="P1539"/>
  <c r="G1539"/>
  <c r="F1539"/>
  <c r="P1538"/>
  <c r="G1538"/>
  <c r="F1538"/>
  <c r="P1537"/>
  <c r="G1537"/>
  <c r="F1537"/>
  <c r="P1536"/>
  <c r="G1536"/>
  <c r="F1536"/>
  <c r="P1535"/>
  <c r="G1535"/>
  <c r="F1535"/>
  <c r="P1534"/>
  <c r="G1534"/>
  <c r="F1534"/>
  <c r="P1533"/>
  <c r="G1533"/>
  <c r="F1533"/>
  <c r="P1532"/>
  <c r="G1532"/>
  <c r="F1532"/>
  <c r="P1531"/>
  <c r="G1531"/>
  <c r="F1531"/>
  <c r="P1530"/>
  <c r="G1530"/>
  <c r="F1530"/>
  <c r="P1529"/>
  <c r="G1529"/>
  <c r="F1529"/>
  <c r="P1528"/>
  <c r="G1528"/>
  <c r="F1528"/>
  <c r="P1527"/>
  <c r="G1527"/>
  <c r="F1527"/>
  <c r="P1526"/>
  <c r="G1526"/>
  <c r="F1526"/>
  <c r="P1525"/>
  <c r="G1525"/>
  <c r="F1525"/>
  <c r="P1524"/>
  <c r="G1524"/>
  <c r="F1524"/>
  <c r="P1523"/>
  <c r="G1523"/>
  <c r="F1523"/>
  <c r="P1522"/>
  <c r="G1522"/>
  <c r="F1522"/>
  <c r="P1521"/>
  <c r="G1521"/>
  <c r="F1521"/>
  <c r="P1520"/>
  <c r="G1520"/>
  <c r="F1520"/>
  <c r="P1519"/>
  <c r="G1519"/>
  <c r="F1519"/>
  <c r="P1518"/>
  <c r="G1518"/>
  <c r="F1518"/>
  <c r="P1517"/>
  <c r="G1517"/>
  <c r="F1517"/>
  <c r="P1516"/>
  <c r="G1516"/>
  <c r="F1516"/>
  <c r="P1515"/>
  <c r="G1515"/>
  <c r="F1515"/>
  <c r="P1514"/>
  <c r="G1514"/>
  <c r="F1514"/>
  <c r="P1513"/>
  <c r="G1513"/>
  <c r="F1513"/>
  <c r="P1512"/>
  <c r="G1512"/>
  <c r="F1512"/>
  <c r="P1511"/>
  <c r="G1511"/>
  <c r="F1511"/>
  <c r="P1510"/>
  <c r="G1510"/>
  <c r="F1510"/>
  <c r="P1509"/>
  <c r="G1509"/>
  <c r="F1509"/>
  <c r="P1508"/>
  <c r="G1508"/>
  <c r="F1508"/>
  <c r="P1507"/>
  <c r="G1507"/>
  <c r="F1507"/>
  <c r="P1506"/>
  <c r="G1506"/>
  <c r="F1506"/>
  <c r="P1505"/>
  <c r="G1505"/>
  <c r="F1505"/>
  <c r="P1504"/>
  <c r="G1504"/>
  <c r="F1504"/>
  <c r="P1503"/>
  <c r="G1503"/>
  <c r="F1503"/>
  <c r="P1502"/>
  <c r="G1502"/>
  <c r="F1502"/>
  <c r="P1501"/>
  <c r="G1501"/>
  <c r="F1501"/>
  <c r="P1500"/>
  <c r="G1500"/>
  <c r="F1500"/>
  <c r="P1499"/>
  <c r="G1499"/>
  <c r="F1499"/>
  <c r="P1498"/>
  <c r="G1498"/>
  <c r="F1498"/>
  <c r="P1497"/>
  <c r="G1497"/>
  <c r="F1497"/>
  <c r="P1496"/>
  <c r="G1496"/>
  <c r="F1496"/>
  <c r="P1495"/>
  <c r="G1495"/>
  <c r="F1495"/>
  <c r="P1494"/>
  <c r="G1494"/>
  <c r="F1494"/>
  <c r="P1493"/>
  <c r="G1493"/>
  <c r="F1493"/>
  <c r="P1492"/>
  <c r="G1492"/>
  <c r="F1492"/>
  <c r="P1491"/>
  <c r="G1491"/>
  <c r="F1491"/>
  <c r="P1490"/>
  <c r="G1490"/>
  <c r="F1490"/>
  <c r="P1489"/>
  <c r="G1489"/>
  <c r="F1489"/>
  <c r="P1488"/>
  <c r="G1488"/>
  <c r="F1488"/>
  <c r="P1487"/>
  <c r="G1487"/>
  <c r="F1487"/>
  <c r="P1486"/>
  <c r="G1486"/>
  <c r="F1486"/>
  <c r="P1485"/>
  <c r="G1485"/>
  <c r="F1485"/>
  <c r="P1484"/>
  <c r="G1484"/>
  <c r="F1484"/>
  <c r="P1483"/>
  <c r="G1483"/>
  <c r="F1483"/>
  <c r="P1482"/>
  <c r="G1482"/>
  <c r="F1482"/>
  <c r="P1481"/>
  <c r="G1481"/>
  <c r="F1481"/>
  <c r="P1480"/>
  <c r="G1480"/>
  <c r="F1480"/>
  <c r="P1479"/>
  <c r="G1479"/>
  <c r="F1479"/>
  <c r="P1478"/>
  <c r="G1478"/>
  <c r="F1478"/>
  <c r="P1477"/>
  <c r="G1477"/>
  <c r="F1477"/>
  <c r="P1476"/>
  <c r="G1476"/>
  <c r="F1476"/>
  <c r="P1475"/>
  <c r="G1475"/>
  <c r="F1475"/>
  <c r="P1474"/>
  <c r="G1474"/>
  <c r="F1474"/>
  <c r="P1473"/>
  <c r="G1473"/>
  <c r="F1473"/>
  <c r="P1472"/>
  <c r="G1472"/>
  <c r="F1472"/>
  <c r="P1471"/>
  <c r="G1471"/>
  <c r="F1471"/>
  <c r="P1470"/>
  <c r="G1470"/>
  <c r="F1470"/>
  <c r="P1469"/>
  <c r="G1469"/>
  <c r="F1469"/>
  <c r="P1468"/>
  <c r="G1468"/>
  <c r="F1468"/>
  <c r="P1467"/>
  <c r="G1467"/>
  <c r="F1467"/>
  <c r="P1466"/>
  <c r="G1466"/>
  <c r="F1466"/>
  <c r="P1465"/>
  <c r="G1465"/>
  <c r="F1465"/>
  <c r="P1464"/>
  <c r="G1464"/>
  <c r="F1464"/>
  <c r="P1463"/>
  <c r="G1463"/>
  <c r="F1463"/>
  <c r="P1462"/>
  <c r="G1462"/>
  <c r="F1462"/>
  <c r="P1461"/>
  <c r="G1461"/>
  <c r="F1461"/>
  <c r="P1460"/>
  <c r="G1460"/>
  <c r="F1460"/>
  <c r="P1459"/>
  <c r="G1459"/>
  <c r="F1459"/>
  <c r="P1458"/>
  <c r="G1458"/>
  <c r="F1458"/>
  <c r="P1457"/>
  <c r="G1457"/>
  <c r="F1457"/>
  <c r="P1456"/>
  <c r="G1456"/>
  <c r="F1456"/>
  <c r="P1455"/>
  <c r="G1455"/>
  <c r="F1455"/>
  <c r="P1454"/>
  <c r="G1454"/>
  <c r="F1454"/>
  <c r="P1453"/>
  <c r="G1453"/>
  <c r="F1453"/>
  <c r="P1452"/>
  <c r="G1452"/>
  <c r="F1452"/>
  <c r="P1451"/>
  <c r="G1451"/>
  <c r="F1451"/>
  <c r="P1450"/>
  <c r="G1450"/>
  <c r="F1450"/>
  <c r="P1449"/>
  <c r="G1449"/>
  <c r="F1449"/>
  <c r="P1448"/>
  <c r="G1448"/>
  <c r="F1448"/>
  <c r="P1447"/>
  <c r="G1447"/>
  <c r="F1447"/>
  <c r="P1446"/>
  <c r="G1446"/>
  <c r="F1446"/>
  <c r="P1445"/>
  <c r="G1445"/>
  <c r="F1445"/>
  <c r="P1444"/>
  <c r="G1444"/>
  <c r="F1444"/>
  <c r="P1443"/>
  <c r="G1443"/>
  <c r="F1443"/>
  <c r="P1442"/>
  <c r="G1442"/>
  <c r="F1442"/>
  <c r="P1441"/>
  <c r="G1441"/>
  <c r="F1441"/>
  <c r="P1440"/>
  <c r="G1440"/>
  <c r="F1440"/>
  <c r="P1439"/>
  <c r="G1439"/>
  <c r="F1439"/>
  <c r="P1438"/>
  <c r="G1438"/>
  <c r="F1438"/>
  <c r="P1437"/>
  <c r="G1437"/>
  <c r="F1437"/>
  <c r="P1436"/>
  <c r="G1436"/>
  <c r="F1436"/>
  <c r="P1435"/>
  <c r="G1435"/>
  <c r="F1435"/>
  <c r="P1434"/>
  <c r="G1434"/>
  <c r="F1434"/>
  <c r="P1433"/>
  <c r="G1433"/>
  <c r="F1433"/>
  <c r="P1432"/>
  <c r="G1432"/>
  <c r="F1432"/>
  <c r="P1431"/>
  <c r="G1431"/>
  <c r="F1431"/>
  <c r="P1430"/>
  <c r="G1430"/>
  <c r="F1430"/>
  <c r="P1429"/>
  <c r="G1429"/>
  <c r="F1429"/>
  <c r="P1428"/>
  <c r="G1428"/>
  <c r="F1428"/>
  <c r="P1427"/>
  <c r="G1427"/>
  <c r="F1427"/>
  <c r="P1426"/>
  <c r="G1426"/>
  <c r="F1426"/>
  <c r="P1425"/>
  <c r="G1425"/>
  <c r="F1425"/>
  <c r="P1424"/>
  <c r="G1424"/>
  <c r="F1424"/>
  <c r="P1423"/>
  <c r="G1423"/>
  <c r="F1423"/>
  <c r="P1422"/>
  <c r="G1422"/>
  <c r="F1422"/>
  <c r="P1421"/>
  <c r="G1421"/>
  <c r="F1421"/>
  <c r="P1420"/>
  <c r="G1420"/>
  <c r="F1420"/>
  <c r="P1419"/>
  <c r="G1419"/>
  <c r="F1419"/>
  <c r="P1418"/>
  <c r="G1418"/>
  <c r="F1418"/>
  <c r="P1417"/>
  <c r="G1417"/>
  <c r="F1417"/>
  <c r="P1416"/>
  <c r="G1416"/>
  <c r="F1416"/>
  <c r="P1415"/>
  <c r="G1415"/>
  <c r="F1415"/>
  <c r="P1414"/>
  <c r="G1414"/>
  <c r="F1414"/>
  <c r="P1413"/>
  <c r="G1413"/>
  <c r="F1413"/>
  <c r="P1412"/>
  <c r="G1412"/>
  <c r="F1412"/>
  <c r="P1411"/>
  <c r="G1411"/>
  <c r="F1411"/>
  <c r="P1410"/>
  <c r="G1410"/>
  <c r="F1410"/>
  <c r="P1409"/>
  <c r="G1409"/>
  <c r="F1409"/>
  <c r="P1408"/>
  <c r="G1408"/>
  <c r="F1408"/>
  <c r="P1407"/>
  <c r="G1407"/>
  <c r="F1407"/>
  <c r="P1406"/>
  <c r="G1406"/>
  <c r="F1406"/>
  <c r="P1405"/>
  <c r="G1405"/>
  <c r="F1405"/>
  <c r="P1404"/>
  <c r="G1404"/>
  <c r="F1404"/>
  <c r="P1403"/>
  <c r="G1403"/>
  <c r="F1403"/>
  <c r="P1402"/>
  <c r="G1402"/>
  <c r="F1402"/>
  <c r="P1401"/>
  <c r="G1401"/>
  <c r="F1401"/>
  <c r="P1400"/>
  <c r="G1400"/>
  <c r="F1400"/>
  <c r="P1399"/>
  <c r="G1399"/>
  <c r="F1399"/>
  <c r="P1398"/>
  <c r="G1398"/>
  <c r="F1398"/>
  <c r="P1397"/>
  <c r="G1397"/>
  <c r="F1397"/>
  <c r="P1396"/>
  <c r="G1396"/>
  <c r="F1396"/>
  <c r="P1395"/>
  <c r="G1395"/>
  <c r="F1395"/>
  <c r="P1394"/>
  <c r="G1394"/>
  <c r="F1394"/>
  <c r="P1393"/>
  <c r="G1393"/>
  <c r="F1393"/>
  <c r="P1392"/>
  <c r="G1392"/>
  <c r="F1392"/>
  <c r="P1391"/>
  <c r="G1391"/>
  <c r="F1391"/>
  <c r="P1390"/>
  <c r="G1390"/>
  <c r="F1390"/>
  <c r="P1389"/>
  <c r="G1389"/>
  <c r="F1389"/>
  <c r="P1388"/>
  <c r="G1388"/>
  <c r="F1388"/>
  <c r="P1387"/>
  <c r="G1387"/>
  <c r="F1387"/>
  <c r="P1386"/>
  <c r="G1386"/>
  <c r="F1386"/>
  <c r="P1385"/>
  <c r="G1385"/>
  <c r="F1385"/>
  <c r="P1384"/>
  <c r="G1384"/>
  <c r="F1384"/>
  <c r="P1383"/>
  <c r="G1383"/>
  <c r="F1383"/>
  <c r="P1382"/>
  <c r="G1382"/>
  <c r="F1382"/>
  <c r="P1381"/>
  <c r="G1381"/>
  <c r="F1381"/>
  <c r="P1380"/>
  <c r="G1380"/>
  <c r="F1380"/>
  <c r="P1379"/>
  <c r="G1379"/>
  <c r="F1379"/>
  <c r="P1378"/>
  <c r="G1378"/>
  <c r="F1378"/>
  <c r="P1377"/>
  <c r="G1377"/>
  <c r="F1377"/>
  <c r="P1376"/>
  <c r="G1376"/>
  <c r="F1376"/>
  <c r="P1375"/>
  <c r="G1375"/>
  <c r="F1375"/>
  <c r="P1374"/>
  <c r="G1374"/>
  <c r="F1374"/>
  <c r="P1373"/>
  <c r="G1373"/>
  <c r="F1373"/>
  <c r="P1372"/>
  <c r="G1372"/>
  <c r="F1372"/>
  <c r="P1371"/>
  <c r="G1371"/>
  <c r="F1371"/>
  <c r="P1370"/>
  <c r="G1370"/>
  <c r="F1370"/>
  <c r="P1369"/>
  <c r="G1369"/>
  <c r="F1369"/>
  <c r="P1368"/>
  <c r="G1368"/>
  <c r="F1368"/>
  <c r="P1367"/>
  <c r="G1367"/>
  <c r="F1367"/>
  <c r="P1366"/>
  <c r="G1366"/>
  <c r="F1366"/>
  <c r="P1365"/>
  <c r="G1365"/>
  <c r="F1365"/>
  <c r="P1364"/>
  <c r="G1364"/>
  <c r="F1364"/>
  <c r="P1363"/>
  <c r="G1363"/>
  <c r="F1363"/>
  <c r="P1362"/>
  <c r="G1362"/>
  <c r="F1362"/>
  <c r="P1361"/>
  <c r="G1361"/>
  <c r="F1361"/>
  <c r="P1360"/>
  <c r="G1360"/>
  <c r="F1360"/>
  <c r="P1359"/>
  <c r="G1359"/>
  <c r="F1359"/>
  <c r="P1358"/>
  <c r="G1358"/>
  <c r="F1358"/>
  <c r="P1357"/>
  <c r="G1357"/>
  <c r="F1357"/>
  <c r="P1356"/>
  <c r="G1356"/>
  <c r="F1356"/>
  <c r="P1355"/>
  <c r="G1355"/>
  <c r="F1355"/>
  <c r="P1354"/>
  <c r="G1354"/>
  <c r="F1354"/>
  <c r="P1353"/>
  <c r="G1353"/>
  <c r="F1353"/>
  <c r="P1352"/>
  <c r="G1352"/>
  <c r="F1352"/>
  <c r="P1351"/>
  <c r="G1351"/>
  <c r="F1351"/>
  <c r="P1350"/>
  <c r="G1350"/>
  <c r="F1350"/>
  <c r="P1349"/>
  <c r="G1349"/>
  <c r="F1349"/>
  <c r="P1348"/>
  <c r="G1348"/>
  <c r="F1348"/>
  <c r="P1347"/>
  <c r="G1347"/>
  <c r="F1347"/>
  <c r="P1346"/>
  <c r="G1346"/>
  <c r="F1346"/>
  <c r="P1345"/>
  <c r="G1345"/>
  <c r="F1345"/>
  <c r="P1344"/>
  <c r="G1344"/>
  <c r="F1344"/>
  <c r="P1343"/>
  <c r="G1343"/>
  <c r="F1343"/>
  <c r="P1342"/>
  <c r="G1342"/>
  <c r="F1342"/>
  <c r="P1341"/>
  <c r="G1341"/>
  <c r="F1341"/>
  <c r="P1340"/>
  <c r="G1340"/>
  <c r="F1340"/>
  <c r="P1339"/>
  <c r="G1339"/>
  <c r="F1339"/>
  <c r="P1338"/>
  <c r="G1338"/>
  <c r="F1338"/>
  <c r="P1337"/>
  <c r="G1337"/>
  <c r="F1337"/>
  <c r="P1336"/>
  <c r="G1336"/>
  <c r="F1336"/>
  <c r="P1335"/>
  <c r="G1335"/>
  <c r="F1335"/>
  <c r="P1334"/>
  <c r="G1334"/>
  <c r="F1334"/>
  <c r="P1333"/>
  <c r="G1333"/>
  <c r="F1333"/>
  <c r="P1332"/>
  <c r="G1332"/>
  <c r="F1332"/>
  <c r="P1331"/>
  <c r="G1331"/>
  <c r="F1331"/>
  <c r="P1330"/>
  <c r="G1330"/>
  <c r="F1330"/>
  <c r="P1329"/>
  <c r="G1329"/>
  <c r="F1329"/>
  <c r="P1328"/>
  <c r="G1328"/>
  <c r="F1328"/>
  <c r="P1327"/>
  <c r="G1327"/>
  <c r="F1327"/>
  <c r="P1326"/>
  <c r="G1326"/>
  <c r="F1326"/>
  <c r="P1325"/>
  <c r="G1325"/>
  <c r="F1325"/>
  <c r="P1324"/>
  <c r="G1324"/>
  <c r="F1324"/>
  <c r="P1323"/>
  <c r="G1323"/>
  <c r="F1323"/>
  <c r="P1322"/>
  <c r="G1322"/>
  <c r="F1322"/>
  <c r="P1321"/>
  <c r="G1321"/>
  <c r="F1321"/>
  <c r="P1320"/>
  <c r="G1320"/>
  <c r="F1320"/>
  <c r="P1319"/>
  <c r="G1319"/>
  <c r="F1319"/>
  <c r="P1318"/>
  <c r="G1318"/>
  <c r="F1318"/>
  <c r="P1317"/>
  <c r="G1317"/>
  <c r="F1317"/>
  <c r="P1316"/>
  <c r="G1316"/>
  <c r="F1316"/>
  <c r="P1315"/>
  <c r="G1315"/>
  <c r="F1315"/>
  <c r="P1314"/>
  <c r="G1314"/>
  <c r="F1314"/>
  <c r="P1313"/>
  <c r="G1313"/>
  <c r="F1313"/>
  <c r="P1312"/>
  <c r="G1312"/>
  <c r="F1312"/>
  <c r="P1311"/>
  <c r="G1311"/>
  <c r="F1311"/>
  <c r="P1310"/>
  <c r="G1310"/>
  <c r="F1310"/>
  <c r="P1309"/>
  <c r="G1309"/>
  <c r="F1309"/>
  <c r="P1308"/>
  <c r="G1308"/>
  <c r="F1308"/>
  <c r="P1307"/>
  <c r="G1307"/>
  <c r="F1307"/>
  <c r="P1306"/>
  <c r="G1306"/>
  <c r="F1306"/>
  <c r="P1305"/>
  <c r="G1305"/>
  <c r="F1305"/>
  <c r="P1304"/>
  <c r="G1304"/>
  <c r="F1304"/>
  <c r="P1303"/>
  <c r="G1303"/>
  <c r="F1303"/>
  <c r="P1302"/>
  <c r="G1302"/>
  <c r="F1302"/>
  <c r="P1301"/>
  <c r="G1301"/>
  <c r="F1301"/>
  <c r="P1300"/>
  <c r="G1300"/>
  <c r="F1300"/>
  <c r="P1299"/>
  <c r="G1299"/>
  <c r="F1299"/>
  <c r="P1298"/>
  <c r="G1298"/>
  <c r="F1298"/>
  <c r="P1297"/>
  <c r="G1297"/>
  <c r="F1297"/>
  <c r="P1296"/>
  <c r="G1296"/>
  <c r="F1296"/>
  <c r="P1295"/>
  <c r="G1295"/>
  <c r="F1295"/>
  <c r="P1294"/>
  <c r="G1294"/>
  <c r="F1294"/>
  <c r="P1293"/>
  <c r="G1293"/>
  <c r="F1293"/>
  <c r="P1292"/>
  <c r="G1292"/>
  <c r="F1292"/>
  <c r="P1291"/>
  <c r="G1291"/>
  <c r="F1291"/>
  <c r="P1290"/>
  <c r="G1290"/>
  <c r="F1290"/>
  <c r="P1289"/>
  <c r="G1289"/>
  <c r="F1289"/>
  <c r="P1288"/>
  <c r="G1288"/>
  <c r="F1288"/>
  <c r="P1287"/>
  <c r="G1287"/>
  <c r="F1287"/>
  <c r="P1286"/>
  <c r="G1286"/>
  <c r="F1286"/>
  <c r="P1285"/>
  <c r="G1285"/>
  <c r="F1285"/>
  <c r="P1284"/>
  <c r="G1284"/>
  <c r="F1284"/>
  <c r="P1283"/>
  <c r="G1283"/>
  <c r="F1283"/>
  <c r="P1282"/>
  <c r="G1282"/>
  <c r="F1282"/>
  <c r="P1281"/>
  <c r="G1281"/>
  <c r="F1281"/>
  <c r="P1280"/>
  <c r="G1280"/>
  <c r="F1280"/>
  <c r="P1279"/>
  <c r="G1279"/>
  <c r="F1279"/>
  <c r="P1278"/>
  <c r="G1278"/>
  <c r="F1278"/>
  <c r="P1277"/>
  <c r="G1277"/>
  <c r="F1277"/>
  <c r="P1276"/>
  <c r="G1276"/>
  <c r="F1276"/>
  <c r="P1275"/>
  <c r="G1275"/>
  <c r="F1275"/>
  <c r="P1274"/>
  <c r="G1274"/>
  <c r="F1274"/>
  <c r="P1273"/>
  <c r="G1273"/>
  <c r="F1273"/>
  <c r="P1272"/>
  <c r="G1272"/>
  <c r="F1272"/>
  <c r="P1271"/>
  <c r="G1271"/>
  <c r="F1271"/>
  <c r="P1270"/>
  <c r="G1270"/>
  <c r="F1270"/>
  <c r="P1269"/>
  <c r="G1269"/>
  <c r="F1269"/>
  <c r="P1268"/>
  <c r="G1268"/>
  <c r="F1268"/>
  <c r="P1267"/>
  <c r="G1267"/>
  <c r="F1267"/>
  <c r="P1266"/>
  <c r="G1266"/>
  <c r="F1266"/>
  <c r="P1265"/>
  <c r="G1265"/>
  <c r="F1265"/>
  <c r="P1264"/>
  <c r="G1264"/>
  <c r="F1264"/>
  <c r="P1263"/>
  <c r="G1263"/>
  <c r="F1263"/>
  <c r="P1262"/>
  <c r="G1262"/>
  <c r="F1262"/>
  <c r="P1261"/>
  <c r="G1261"/>
  <c r="F1261"/>
  <c r="P1260"/>
  <c r="G1260"/>
  <c r="F1260"/>
  <c r="P1259"/>
  <c r="G1259"/>
  <c r="F1259"/>
  <c r="P1258"/>
  <c r="G1258"/>
  <c r="F1258"/>
  <c r="P1257"/>
  <c r="G1257"/>
  <c r="F1257"/>
  <c r="P1256"/>
  <c r="G1256"/>
  <c r="F1256"/>
  <c r="P1255"/>
  <c r="G1255"/>
  <c r="F1255"/>
  <c r="P1254"/>
  <c r="G1254"/>
  <c r="F1254"/>
  <c r="P1253"/>
  <c r="G1253"/>
  <c r="F1253"/>
  <c r="P1252"/>
  <c r="G1252"/>
  <c r="F1252"/>
  <c r="P1251"/>
  <c r="G1251"/>
  <c r="F1251"/>
  <c r="P1250"/>
  <c r="G1250"/>
  <c r="F1250"/>
  <c r="P1249"/>
  <c r="G1249"/>
  <c r="F1249"/>
  <c r="P1248"/>
  <c r="G1248"/>
  <c r="F1248"/>
  <c r="P1247"/>
  <c r="G1247"/>
  <c r="F1247"/>
  <c r="P1246"/>
  <c r="G1246"/>
  <c r="F1246"/>
  <c r="P1245"/>
  <c r="G1245"/>
  <c r="F1245"/>
  <c r="P1244"/>
  <c r="G1244"/>
  <c r="F1244"/>
  <c r="P1243"/>
  <c r="G1243"/>
  <c r="F1243"/>
  <c r="P1242"/>
  <c r="G1242"/>
  <c r="F1242"/>
  <c r="P1241"/>
  <c r="G1241"/>
  <c r="F1241"/>
  <c r="P1240"/>
  <c r="G1240"/>
  <c r="F1240"/>
  <c r="P1239"/>
  <c r="G1239"/>
  <c r="F1239"/>
  <c r="P1238"/>
  <c r="G1238"/>
  <c r="F1238"/>
  <c r="P1237"/>
  <c r="G1237"/>
  <c r="F1237"/>
  <c r="P1236"/>
  <c r="G1236"/>
  <c r="F1236"/>
  <c r="P1235"/>
  <c r="G1235"/>
  <c r="F1235"/>
  <c r="P1234"/>
  <c r="G1234"/>
  <c r="F1234"/>
  <c r="P1233"/>
  <c r="G1233"/>
  <c r="F1233"/>
  <c r="P1232"/>
  <c r="G1232"/>
  <c r="F1232"/>
  <c r="P1231"/>
  <c r="G1231"/>
  <c r="F1231"/>
  <c r="P1230"/>
  <c r="G1230"/>
  <c r="F1230"/>
  <c r="P1229"/>
  <c r="G1229"/>
  <c r="F1229"/>
  <c r="P1228"/>
  <c r="G1228"/>
  <c r="F1228"/>
  <c r="P1227"/>
  <c r="G1227"/>
  <c r="F1227"/>
  <c r="P1226"/>
  <c r="G1226"/>
  <c r="F1226"/>
  <c r="P1225"/>
  <c r="G1225"/>
  <c r="F1225"/>
  <c r="P1224"/>
  <c r="G1224"/>
  <c r="F1224"/>
  <c r="P1223"/>
  <c r="G1223"/>
  <c r="F1223"/>
  <c r="P1222"/>
  <c r="G1222"/>
  <c r="F1222"/>
  <c r="P1221"/>
  <c r="G1221"/>
  <c r="F1221"/>
  <c r="P1220"/>
  <c r="G1220"/>
  <c r="F1220"/>
  <c r="P1219"/>
  <c r="G1219"/>
  <c r="F1219"/>
  <c r="P1218"/>
  <c r="G1218"/>
  <c r="F1218"/>
  <c r="P1217"/>
  <c r="G1217"/>
  <c r="F1217"/>
  <c r="P1216"/>
  <c r="G1216"/>
  <c r="F1216"/>
  <c r="P1215"/>
  <c r="G1215"/>
  <c r="F1215"/>
  <c r="P1214"/>
  <c r="G1214"/>
  <c r="F1214"/>
  <c r="P1213"/>
  <c r="G1213"/>
  <c r="F1213"/>
  <c r="P1212"/>
  <c r="G1212"/>
  <c r="F1212"/>
  <c r="P1211"/>
  <c r="G1211"/>
  <c r="F1211"/>
  <c r="P1210"/>
  <c r="G1210"/>
  <c r="F1210"/>
  <c r="P1209"/>
  <c r="G1209"/>
  <c r="F1209"/>
  <c r="P1208"/>
  <c r="G1208"/>
  <c r="F1208"/>
  <c r="P1207"/>
  <c r="G1207"/>
  <c r="F1207"/>
  <c r="P1206"/>
  <c r="G1206"/>
  <c r="F1206"/>
  <c r="P1205"/>
  <c r="G1205"/>
  <c r="F1205"/>
  <c r="P1204"/>
  <c r="G1204"/>
  <c r="F1204"/>
  <c r="P1203"/>
  <c r="G1203"/>
  <c r="F1203"/>
  <c r="P1202"/>
  <c r="G1202"/>
  <c r="F1202"/>
  <c r="P1201"/>
  <c r="G1201"/>
  <c r="F1201"/>
  <c r="P1200"/>
  <c r="G1200"/>
  <c r="F1200"/>
  <c r="P1199"/>
  <c r="G1199"/>
  <c r="F1199"/>
  <c r="P1198"/>
  <c r="G1198"/>
  <c r="F1198"/>
  <c r="P1197"/>
  <c r="G1197"/>
  <c r="F1197"/>
  <c r="P1196"/>
  <c r="G1196"/>
  <c r="F1196"/>
  <c r="P1195"/>
  <c r="G1195"/>
  <c r="F1195"/>
  <c r="P1194"/>
  <c r="G1194"/>
  <c r="F1194"/>
  <c r="P1193"/>
  <c r="G1193"/>
  <c r="F1193"/>
  <c r="P1192"/>
  <c r="G1192"/>
  <c r="F1192"/>
  <c r="P1191"/>
  <c r="G1191"/>
  <c r="F1191"/>
  <c r="P1190"/>
  <c r="G1190"/>
  <c r="F1190"/>
  <c r="P1189"/>
  <c r="G1189"/>
  <c r="F1189"/>
  <c r="P1188"/>
  <c r="G1188"/>
  <c r="F1188"/>
  <c r="P1187"/>
  <c r="G1187"/>
  <c r="F1187"/>
  <c r="P1186"/>
  <c r="G1186"/>
  <c r="F1186"/>
  <c r="P1185"/>
  <c r="G1185"/>
  <c r="F1185"/>
  <c r="P1184"/>
  <c r="G1184"/>
  <c r="F1184"/>
  <c r="P1183"/>
  <c r="G1183"/>
  <c r="F1183"/>
  <c r="P1182"/>
  <c r="G1182"/>
  <c r="F1182"/>
  <c r="P1181"/>
  <c r="G1181"/>
  <c r="F1181"/>
  <c r="P1180"/>
  <c r="G1180"/>
  <c r="F1180"/>
  <c r="P1179"/>
  <c r="G1179"/>
  <c r="F1179"/>
  <c r="P1178"/>
  <c r="G1178"/>
  <c r="F1178"/>
  <c r="P1177"/>
  <c r="G1177"/>
  <c r="F1177"/>
  <c r="P1176"/>
  <c r="G1176"/>
  <c r="F1176"/>
  <c r="P1175"/>
  <c r="G1175"/>
  <c r="F1175"/>
  <c r="P1174"/>
  <c r="G1174"/>
  <c r="F1174"/>
  <c r="P1173"/>
  <c r="G1173"/>
  <c r="F1173"/>
  <c r="P1172"/>
  <c r="G1172"/>
  <c r="F1172"/>
  <c r="P1171"/>
  <c r="G1171"/>
  <c r="F1171"/>
  <c r="P1170"/>
  <c r="G1170"/>
  <c r="F1170"/>
  <c r="P1169"/>
  <c r="G1169"/>
  <c r="F1169"/>
  <c r="P1168"/>
  <c r="G1168"/>
  <c r="F1168"/>
  <c r="P1167"/>
  <c r="G1167"/>
  <c r="F1167"/>
  <c r="P1166"/>
  <c r="G1166"/>
  <c r="F1166"/>
  <c r="P1165"/>
  <c r="G1165"/>
  <c r="F1165"/>
  <c r="P1164"/>
  <c r="G1164"/>
  <c r="F1164"/>
  <c r="P1163"/>
  <c r="G1163"/>
  <c r="F1163"/>
  <c r="P1162"/>
  <c r="G1162"/>
  <c r="F1162"/>
  <c r="P1161"/>
  <c r="G1161"/>
  <c r="F1161"/>
  <c r="P1160"/>
  <c r="G1160"/>
  <c r="F1160"/>
  <c r="P1159"/>
  <c r="G1159"/>
  <c r="F1159"/>
  <c r="P1158"/>
  <c r="G1158"/>
  <c r="F1158"/>
  <c r="P1157"/>
  <c r="G1157"/>
  <c r="F1157"/>
  <c r="P1156"/>
  <c r="G1156"/>
  <c r="F1156"/>
  <c r="P1155"/>
  <c r="G1155"/>
  <c r="F1155"/>
  <c r="P1154"/>
  <c r="G1154"/>
  <c r="F1154"/>
  <c r="P1153"/>
  <c r="G1153"/>
  <c r="F1153"/>
  <c r="P1152"/>
  <c r="G1152"/>
  <c r="F1152"/>
  <c r="P1151"/>
  <c r="G1151"/>
  <c r="F1151"/>
  <c r="P1150"/>
  <c r="G1150"/>
  <c r="F1150"/>
  <c r="P1149"/>
  <c r="G1149"/>
  <c r="F1149"/>
  <c r="P1148"/>
  <c r="G1148"/>
  <c r="F1148"/>
  <c r="P1147"/>
  <c r="G1147"/>
  <c r="F1147"/>
  <c r="P1146"/>
  <c r="G1146"/>
  <c r="F1146"/>
  <c r="P1145"/>
  <c r="G1145"/>
  <c r="F1145"/>
  <c r="P1144"/>
  <c r="G1144"/>
  <c r="F1144"/>
  <c r="P1143"/>
  <c r="G1143"/>
  <c r="F1143"/>
  <c r="P1142"/>
  <c r="G1142"/>
  <c r="F1142"/>
  <c r="P1141"/>
  <c r="G1141"/>
  <c r="F1141"/>
  <c r="P1140"/>
  <c r="G1140"/>
  <c r="F1140"/>
  <c r="P1139"/>
  <c r="G1139"/>
  <c r="F1139"/>
  <c r="P1138"/>
  <c r="G1138"/>
  <c r="F1138"/>
  <c r="P1137"/>
  <c r="G1137"/>
  <c r="F1137"/>
  <c r="P1136"/>
  <c r="G1136"/>
  <c r="F1136"/>
  <c r="P1135"/>
  <c r="G1135"/>
  <c r="F1135"/>
  <c r="P1134"/>
  <c r="G1134"/>
  <c r="F1134"/>
  <c r="P1133"/>
  <c r="G1133"/>
  <c r="F1133"/>
  <c r="P1132"/>
  <c r="G1132"/>
  <c r="F1132"/>
  <c r="P1131"/>
  <c r="G1131"/>
  <c r="F1131"/>
  <c r="P1130"/>
  <c r="G1130"/>
  <c r="F1130"/>
  <c r="P1129"/>
  <c r="G1129"/>
  <c r="F1129"/>
  <c r="P1128"/>
  <c r="G1128"/>
  <c r="F1128"/>
  <c r="P1127"/>
  <c r="G1127"/>
  <c r="F1127"/>
  <c r="P1126"/>
  <c r="G1126"/>
  <c r="F1126"/>
  <c r="P1125"/>
  <c r="G1125"/>
  <c r="F1125"/>
  <c r="P1124"/>
  <c r="G1124"/>
  <c r="F1124"/>
  <c r="P1123"/>
  <c r="G1123"/>
  <c r="F1123"/>
  <c r="P1122"/>
  <c r="G1122"/>
  <c r="F1122"/>
  <c r="P1121"/>
  <c r="G1121"/>
  <c r="F1121"/>
  <c r="P1120"/>
  <c r="G1120"/>
  <c r="F1120"/>
  <c r="P1119"/>
  <c r="G1119"/>
  <c r="F1119"/>
  <c r="P1118"/>
  <c r="G1118"/>
  <c r="F1118"/>
  <c r="P1117"/>
  <c r="G1117"/>
  <c r="F1117"/>
  <c r="P1116"/>
  <c r="G1116"/>
  <c r="F1116"/>
  <c r="P1115"/>
  <c r="G1115"/>
  <c r="F1115"/>
  <c r="P1114"/>
  <c r="G1114"/>
  <c r="F1114"/>
  <c r="P1113"/>
  <c r="G1113"/>
  <c r="F1113"/>
  <c r="P1112"/>
  <c r="G1112"/>
  <c r="F1112"/>
  <c r="P1111"/>
  <c r="G1111"/>
  <c r="F1111"/>
  <c r="P1110"/>
  <c r="G1110"/>
  <c r="F1110"/>
  <c r="P1109"/>
  <c r="G1109"/>
  <c r="F1109"/>
  <c r="P1108"/>
  <c r="G1108"/>
  <c r="F1108"/>
  <c r="P1107"/>
  <c r="G1107"/>
  <c r="F1107"/>
  <c r="P1106"/>
  <c r="G1106"/>
  <c r="F1106"/>
  <c r="P1105"/>
  <c r="G1105"/>
  <c r="F1105"/>
  <c r="P1104"/>
  <c r="G1104"/>
  <c r="F1104"/>
  <c r="P1103"/>
  <c r="G1103"/>
  <c r="F1103"/>
  <c r="P1102"/>
  <c r="G1102"/>
  <c r="F1102"/>
  <c r="P1101"/>
  <c r="G1101"/>
  <c r="F1101"/>
  <c r="P1100"/>
  <c r="G1100"/>
  <c r="F1100"/>
  <c r="P1099"/>
  <c r="G1099"/>
  <c r="F1099"/>
  <c r="P1098"/>
  <c r="G1098"/>
  <c r="F1098"/>
  <c r="P1097"/>
  <c r="G1097"/>
  <c r="F1097"/>
  <c r="P1096"/>
  <c r="G1096"/>
  <c r="F1096"/>
  <c r="P1095"/>
  <c r="G1095"/>
  <c r="F1095"/>
  <c r="P1094"/>
  <c r="G1094"/>
  <c r="F1094"/>
  <c r="P1093"/>
  <c r="G1093"/>
  <c r="F1093"/>
  <c r="P1092"/>
  <c r="G1092"/>
  <c r="F1092"/>
  <c r="P1091"/>
  <c r="G1091"/>
  <c r="F1091"/>
  <c r="P1090"/>
  <c r="G1090"/>
  <c r="F1090"/>
  <c r="P1089"/>
  <c r="G1089"/>
  <c r="F1089"/>
  <c r="P1088"/>
  <c r="G1088"/>
  <c r="F1088"/>
  <c r="P1087"/>
  <c r="G1087"/>
  <c r="F1087"/>
  <c r="P1086"/>
  <c r="G1086"/>
  <c r="F1086"/>
  <c r="P1085"/>
  <c r="G1085"/>
  <c r="F1085"/>
  <c r="P1084"/>
  <c r="G1084"/>
  <c r="F1084"/>
  <c r="P1083"/>
  <c r="G1083"/>
  <c r="F1083"/>
  <c r="P1082"/>
  <c r="G1082"/>
  <c r="F1082"/>
  <c r="P1081"/>
  <c r="G1081"/>
  <c r="F1081"/>
  <c r="P1080"/>
  <c r="G1080"/>
  <c r="F1080"/>
  <c r="P1079"/>
  <c r="G1079"/>
  <c r="F1079"/>
  <c r="P1078"/>
  <c r="G1078"/>
  <c r="F1078"/>
  <c r="P1077"/>
  <c r="G1077"/>
  <c r="F1077"/>
  <c r="P1076"/>
  <c r="G1076"/>
  <c r="F1076"/>
  <c r="P1075"/>
  <c r="G1075"/>
  <c r="F1075"/>
  <c r="P1074"/>
  <c r="G1074"/>
  <c r="F1074"/>
  <c r="P1073"/>
  <c r="G1073"/>
  <c r="F1073"/>
  <c r="P1072"/>
  <c r="G1072"/>
  <c r="F1072"/>
  <c r="P1071"/>
  <c r="G1071"/>
  <c r="F1071"/>
  <c r="P1070"/>
  <c r="G1070"/>
  <c r="F1070"/>
  <c r="P1069"/>
  <c r="G1069"/>
  <c r="F1069"/>
  <c r="P1068"/>
  <c r="G1068"/>
  <c r="F1068"/>
  <c r="P1067"/>
  <c r="G1067"/>
  <c r="F1067"/>
  <c r="P1066"/>
  <c r="G1066"/>
  <c r="F1066"/>
  <c r="P1065"/>
  <c r="G1065"/>
  <c r="F1065"/>
  <c r="P1064"/>
  <c r="G1064"/>
  <c r="F1064"/>
  <c r="P1063"/>
  <c r="G1063"/>
  <c r="F1063"/>
  <c r="P1062"/>
  <c r="G1062"/>
  <c r="F1062"/>
  <c r="P1061"/>
  <c r="G1061"/>
  <c r="F1061"/>
  <c r="P1060"/>
  <c r="G1060"/>
  <c r="F1060"/>
  <c r="P1059"/>
  <c r="G1059"/>
  <c r="F1059"/>
  <c r="P1058"/>
  <c r="G1058"/>
  <c r="F1058"/>
  <c r="P1057"/>
  <c r="G1057"/>
  <c r="F1057"/>
  <c r="P1056"/>
  <c r="G1056"/>
  <c r="F1056"/>
  <c r="P1055"/>
  <c r="G1055"/>
  <c r="F1055"/>
  <c r="P1054"/>
  <c r="G1054"/>
  <c r="F1054"/>
  <c r="P1053"/>
  <c r="G1053"/>
  <c r="F1053"/>
  <c r="P1052"/>
  <c r="G1052"/>
  <c r="F1052"/>
  <c r="P1051"/>
  <c r="G1051"/>
  <c r="F1051"/>
  <c r="P1050"/>
  <c r="G1050"/>
  <c r="F1050"/>
  <c r="P1049"/>
  <c r="G1049"/>
  <c r="F1049"/>
  <c r="P1048"/>
  <c r="G1048"/>
  <c r="F1048"/>
  <c r="P1047"/>
  <c r="G1047"/>
  <c r="F1047"/>
  <c r="P1046"/>
  <c r="G1046"/>
  <c r="F1046"/>
  <c r="P1045"/>
  <c r="G1045"/>
  <c r="F1045"/>
  <c r="P1044"/>
  <c r="G1044"/>
  <c r="F1044"/>
  <c r="P1043"/>
  <c r="G1043"/>
  <c r="F1043"/>
  <c r="P1042"/>
  <c r="G1042"/>
  <c r="F1042"/>
  <c r="P1041"/>
  <c r="G1041"/>
  <c r="F1041"/>
  <c r="P1040"/>
  <c r="G1040"/>
  <c r="F1040"/>
  <c r="P1039"/>
  <c r="G1039"/>
  <c r="F1039"/>
  <c r="P1038"/>
  <c r="G1038"/>
  <c r="F1038"/>
  <c r="P1037"/>
  <c r="G1037"/>
  <c r="F1037"/>
  <c r="P1036"/>
  <c r="G1036"/>
  <c r="F1036"/>
  <c r="P1035"/>
  <c r="G1035"/>
  <c r="F1035"/>
  <c r="P1034"/>
  <c r="G1034"/>
  <c r="F1034"/>
  <c r="P1033"/>
  <c r="G1033"/>
  <c r="F1033"/>
  <c r="P1032"/>
  <c r="G1032"/>
  <c r="F1032"/>
  <c r="P1031"/>
  <c r="G1031"/>
  <c r="F1031"/>
  <c r="P1030"/>
  <c r="G1030"/>
  <c r="F1030"/>
  <c r="P1029"/>
  <c r="G1029"/>
  <c r="F1029"/>
  <c r="P1028"/>
  <c r="G1028"/>
  <c r="F1028"/>
  <c r="P1027"/>
  <c r="G1027"/>
  <c r="F1027"/>
  <c r="P1026"/>
  <c r="G1026"/>
  <c r="F1026"/>
  <c r="P1025"/>
  <c r="G1025"/>
  <c r="F1025"/>
  <c r="P1024"/>
  <c r="G1024"/>
  <c r="F1024"/>
  <c r="P1023"/>
  <c r="G1023"/>
  <c r="F1023"/>
  <c r="P1022"/>
  <c r="G1022"/>
  <c r="F1022"/>
  <c r="P1021"/>
  <c r="G1021"/>
  <c r="F1021"/>
  <c r="P1020"/>
  <c r="G1020"/>
  <c r="F1020"/>
  <c r="P1019"/>
  <c r="G1019"/>
  <c r="F1019"/>
  <c r="P1018"/>
  <c r="G1018"/>
  <c r="F1018"/>
  <c r="P1017"/>
  <c r="G1017"/>
  <c r="F1017"/>
  <c r="P1016"/>
  <c r="G1016"/>
  <c r="F1016"/>
  <c r="P1015"/>
  <c r="G1015"/>
  <c r="F1015"/>
  <c r="P1014"/>
  <c r="G1014"/>
  <c r="F1014"/>
  <c r="P1013"/>
  <c r="G1013"/>
  <c r="F1013"/>
  <c r="P1012"/>
  <c r="G1012"/>
  <c r="F1012"/>
  <c r="P1011"/>
  <c r="G1011"/>
  <c r="F1011"/>
  <c r="P1010"/>
  <c r="G1010"/>
  <c r="F1010"/>
  <c r="P1009"/>
  <c r="G1009"/>
  <c r="F1009"/>
  <c r="P1008"/>
  <c r="G1008"/>
  <c r="F1008"/>
  <c r="P1007"/>
  <c r="G1007"/>
  <c r="F1007"/>
  <c r="P1006"/>
  <c r="G1006"/>
  <c r="F1006"/>
  <c r="P1005"/>
  <c r="G1005"/>
  <c r="F1005"/>
  <c r="P1004"/>
  <c r="G1004"/>
  <c r="F1004"/>
  <c r="P1003"/>
  <c r="G1003"/>
  <c r="F1003"/>
  <c r="P1002"/>
  <c r="G1002"/>
  <c r="F1002"/>
  <c r="P1001"/>
  <c r="G1001"/>
  <c r="F1001"/>
  <c r="P1000"/>
  <c r="G1000"/>
  <c r="F1000"/>
  <c r="P999"/>
  <c r="G999"/>
  <c r="F999"/>
  <c r="P998"/>
  <c r="G998"/>
  <c r="F998"/>
  <c r="P997"/>
  <c r="G997"/>
  <c r="F997"/>
  <c r="P996"/>
  <c r="G996"/>
  <c r="F996"/>
  <c r="P995"/>
  <c r="G995"/>
  <c r="F995"/>
  <c r="P994"/>
  <c r="G994"/>
  <c r="F994"/>
  <c r="P993"/>
  <c r="G993"/>
  <c r="F993"/>
  <c r="P992"/>
  <c r="G992"/>
  <c r="F992"/>
  <c r="P991"/>
  <c r="G991"/>
  <c r="F991"/>
  <c r="P990"/>
  <c r="G990"/>
  <c r="F990"/>
  <c r="P989"/>
  <c r="G989"/>
  <c r="F989"/>
  <c r="P988"/>
  <c r="G988"/>
  <c r="F988"/>
  <c r="P987"/>
  <c r="G987"/>
  <c r="F987"/>
  <c r="P986"/>
  <c r="G986"/>
  <c r="F986"/>
  <c r="P985"/>
  <c r="G985"/>
  <c r="F985"/>
  <c r="P984"/>
  <c r="G984"/>
  <c r="F984"/>
  <c r="P983"/>
  <c r="G983"/>
  <c r="F983"/>
  <c r="P982"/>
  <c r="G982"/>
  <c r="F982"/>
  <c r="P981"/>
  <c r="G981"/>
  <c r="F981"/>
  <c r="P980"/>
  <c r="G980"/>
  <c r="F980"/>
  <c r="P979"/>
  <c r="G979"/>
  <c r="F979"/>
  <c r="P978"/>
  <c r="G978"/>
  <c r="F978"/>
  <c r="P977"/>
  <c r="G977"/>
  <c r="F977"/>
  <c r="P976"/>
  <c r="G976"/>
  <c r="F976"/>
  <c r="P975"/>
  <c r="G975"/>
  <c r="F975"/>
  <c r="P974"/>
  <c r="G974"/>
  <c r="F974"/>
  <c r="P973"/>
  <c r="G973"/>
  <c r="F973"/>
  <c r="P972"/>
  <c r="G972"/>
  <c r="F972"/>
  <c r="P971"/>
  <c r="G971"/>
  <c r="F971"/>
  <c r="P970"/>
  <c r="G970"/>
  <c r="F970"/>
  <c r="P969"/>
  <c r="G969"/>
  <c r="F969"/>
  <c r="P968"/>
  <c r="G968"/>
  <c r="F968"/>
  <c r="P967"/>
  <c r="G967"/>
  <c r="F967"/>
  <c r="P966"/>
  <c r="G966"/>
  <c r="F966"/>
  <c r="P965"/>
  <c r="G965"/>
  <c r="F965"/>
  <c r="P964"/>
  <c r="G964"/>
  <c r="F964"/>
  <c r="P963"/>
  <c r="G963"/>
  <c r="F963"/>
  <c r="P962"/>
  <c r="G962"/>
  <c r="F962"/>
  <c r="P961"/>
  <c r="G961"/>
  <c r="F961"/>
  <c r="P960"/>
  <c r="G960"/>
  <c r="F960"/>
  <c r="P959"/>
  <c r="G959"/>
  <c r="F959"/>
  <c r="P958"/>
  <c r="G958"/>
  <c r="F958"/>
  <c r="P957"/>
  <c r="G957"/>
  <c r="F957"/>
  <c r="P956"/>
  <c r="G956"/>
  <c r="F956"/>
  <c r="P955"/>
  <c r="G955"/>
  <c r="F955"/>
  <c r="P954"/>
  <c r="G954"/>
  <c r="F954"/>
  <c r="P953"/>
  <c r="G953"/>
  <c r="F953"/>
  <c r="P952"/>
  <c r="G952"/>
  <c r="F952"/>
  <c r="P951"/>
  <c r="G951"/>
  <c r="F951"/>
  <c r="P950"/>
  <c r="G950"/>
  <c r="F950"/>
  <c r="P949"/>
  <c r="G949"/>
  <c r="F949"/>
  <c r="P948"/>
  <c r="G948"/>
  <c r="F948"/>
  <c r="P947"/>
  <c r="G947"/>
  <c r="F947"/>
  <c r="P946"/>
  <c r="G946"/>
  <c r="F946"/>
  <c r="P945"/>
  <c r="G945"/>
  <c r="F945"/>
  <c r="P944"/>
  <c r="G944"/>
  <c r="F944"/>
  <c r="P943"/>
  <c r="G943"/>
  <c r="F943"/>
  <c r="P942"/>
  <c r="G942"/>
  <c r="F942"/>
  <c r="P941"/>
  <c r="G941"/>
  <c r="F941"/>
  <c r="P940"/>
  <c r="G940"/>
  <c r="F940"/>
  <c r="P939"/>
  <c r="G939"/>
  <c r="F939"/>
  <c r="P938"/>
  <c r="G938"/>
  <c r="F938"/>
  <c r="P937"/>
  <c r="G937"/>
  <c r="F937"/>
  <c r="P936"/>
  <c r="G936"/>
  <c r="F936"/>
  <c r="P935"/>
  <c r="G935"/>
  <c r="F935"/>
  <c r="P934"/>
  <c r="G934"/>
  <c r="F934"/>
  <c r="P933"/>
  <c r="G933"/>
  <c r="F933"/>
  <c r="P932"/>
  <c r="G932"/>
  <c r="F932"/>
  <c r="P931"/>
  <c r="G931"/>
  <c r="F931"/>
  <c r="P930"/>
  <c r="G930"/>
  <c r="F930"/>
  <c r="P929"/>
  <c r="G929"/>
  <c r="F929"/>
  <c r="P928"/>
  <c r="G928"/>
  <c r="F928"/>
  <c r="P927"/>
  <c r="G927"/>
  <c r="F927"/>
  <c r="P926"/>
  <c r="G926"/>
  <c r="F926"/>
  <c r="P925"/>
  <c r="G925"/>
  <c r="F925"/>
  <c r="P924"/>
  <c r="G924"/>
  <c r="F924"/>
  <c r="P923"/>
  <c r="G923"/>
  <c r="F923"/>
  <c r="P922"/>
  <c r="G922"/>
  <c r="F922"/>
  <c r="P921"/>
  <c r="G921"/>
  <c r="F921"/>
  <c r="P920"/>
  <c r="G920"/>
  <c r="F920"/>
  <c r="P919"/>
  <c r="G919"/>
  <c r="F919"/>
  <c r="P918"/>
  <c r="G918"/>
  <c r="F918"/>
  <c r="P917"/>
  <c r="G917"/>
  <c r="F917"/>
  <c r="P916"/>
  <c r="G916"/>
  <c r="F916"/>
  <c r="P915"/>
  <c r="G915"/>
  <c r="F915"/>
  <c r="P914"/>
  <c r="G914"/>
  <c r="F914"/>
  <c r="P913"/>
  <c r="G913"/>
  <c r="F913"/>
  <c r="P912"/>
  <c r="G912"/>
  <c r="F912"/>
  <c r="P911"/>
  <c r="G911"/>
  <c r="F911"/>
  <c r="P910"/>
  <c r="G910"/>
  <c r="F910"/>
  <c r="P909"/>
  <c r="G909"/>
  <c r="F909"/>
  <c r="P908"/>
  <c r="G908"/>
  <c r="F908"/>
  <c r="P907"/>
  <c r="G907"/>
  <c r="F907"/>
  <c r="P906"/>
  <c r="G906"/>
  <c r="F906"/>
  <c r="P905"/>
  <c r="G905"/>
  <c r="F905"/>
  <c r="P904"/>
  <c r="G904"/>
  <c r="F904"/>
  <c r="P903"/>
  <c r="G903"/>
  <c r="F903"/>
  <c r="P902"/>
  <c r="G902"/>
  <c r="F902"/>
  <c r="P901"/>
  <c r="G901"/>
  <c r="F901"/>
  <c r="P900"/>
  <c r="G900"/>
  <c r="F900"/>
  <c r="P899"/>
  <c r="G899"/>
  <c r="F899"/>
  <c r="P898"/>
  <c r="G898"/>
  <c r="F898"/>
  <c r="P897"/>
  <c r="G897"/>
  <c r="F897"/>
  <c r="P896"/>
  <c r="G896"/>
  <c r="F896"/>
  <c r="P895"/>
  <c r="G895"/>
  <c r="F895"/>
  <c r="P894"/>
  <c r="G894"/>
  <c r="F894"/>
  <c r="P893"/>
  <c r="G893"/>
  <c r="F893"/>
  <c r="P892"/>
  <c r="G892"/>
  <c r="F892"/>
  <c r="P891"/>
  <c r="G891"/>
  <c r="F891"/>
  <c r="P890"/>
  <c r="G890"/>
  <c r="F890"/>
  <c r="P889"/>
  <c r="G889"/>
  <c r="F889"/>
  <c r="P888"/>
  <c r="G888"/>
  <c r="F888"/>
  <c r="P887"/>
  <c r="G887"/>
  <c r="F887"/>
  <c r="P886"/>
  <c r="G886"/>
  <c r="F886"/>
  <c r="P885"/>
  <c r="G885"/>
  <c r="F885"/>
  <c r="P884"/>
  <c r="G884"/>
  <c r="F884"/>
  <c r="P883"/>
  <c r="G883"/>
  <c r="F883"/>
  <c r="P882"/>
  <c r="G882"/>
  <c r="F882"/>
  <c r="P881"/>
  <c r="G881"/>
  <c r="F881"/>
  <c r="P880"/>
  <c r="G880"/>
  <c r="F880"/>
  <c r="P879"/>
  <c r="G879"/>
  <c r="F879"/>
  <c r="P878"/>
  <c r="G878"/>
  <c r="F878"/>
  <c r="P877"/>
  <c r="G877"/>
  <c r="F877"/>
  <c r="P876"/>
  <c r="G876"/>
  <c r="F876"/>
  <c r="P875"/>
  <c r="G875"/>
  <c r="F875"/>
  <c r="P874"/>
  <c r="G874"/>
  <c r="F874"/>
  <c r="P873"/>
  <c r="G873"/>
  <c r="F873"/>
  <c r="P872"/>
  <c r="G872"/>
  <c r="F872"/>
  <c r="P871"/>
  <c r="G871"/>
  <c r="F871"/>
  <c r="P870"/>
  <c r="G870"/>
  <c r="F870"/>
  <c r="P869"/>
  <c r="G869"/>
  <c r="F869"/>
  <c r="P868"/>
  <c r="G868"/>
  <c r="F868"/>
  <c r="P867"/>
  <c r="G867"/>
  <c r="F867"/>
  <c r="P866"/>
  <c r="G866"/>
  <c r="F866"/>
  <c r="P865"/>
  <c r="G865"/>
  <c r="F865"/>
  <c r="P864"/>
  <c r="G864"/>
  <c r="F864"/>
  <c r="P863"/>
  <c r="G863"/>
  <c r="F863"/>
  <c r="P862"/>
  <c r="G862"/>
  <c r="F862"/>
  <c r="P861"/>
  <c r="G861"/>
  <c r="F861"/>
  <c r="P860"/>
  <c r="G860"/>
  <c r="F860"/>
  <c r="P859"/>
  <c r="G859"/>
  <c r="F859"/>
  <c r="P858"/>
  <c r="G858"/>
  <c r="F858"/>
  <c r="P857"/>
  <c r="G857"/>
  <c r="F857"/>
  <c r="P856"/>
  <c r="G856"/>
  <c r="F856"/>
  <c r="P855"/>
  <c r="G855"/>
  <c r="F855"/>
  <c r="P854"/>
  <c r="G854"/>
  <c r="F854"/>
  <c r="P853"/>
  <c r="G853"/>
  <c r="F853"/>
  <c r="P852"/>
  <c r="G852"/>
  <c r="F852"/>
  <c r="P851"/>
  <c r="G851"/>
  <c r="F851"/>
  <c r="P850"/>
  <c r="G850"/>
  <c r="F850"/>
  <c r="P849"/>
  <c r="G849"/>
  <c r="F849"/>
  <c r="P848"/>
  <c r="G848"/>
  <c r="F848"/>
  <c r="P847"/>
  <c r="G847"/>
  <c r="F847"/>
  <c r="P846"/>
  <c r="G846"/>
  <c r="F846"/>
  <c r="P845"/>
  <c r="G845"/>
  <c r="F845"/>
  <c r="P844"/>
  <c r="G844"/>
  <c r="F844"/>
  <c r="P843"/>
  <c r="G843"/>
  <c r="F843"/>
  <c r="P842"/>
  <c r="G842"/>
  <c r="F842"/>
  <c r="P841"/>
  <c r="G841"/>
  <c r="F841"/>
  <c r="P840"/>
  <c r="G840"/>
  <c r="F840"/>
  <c r="P839"/>
  <c r="G839"/>
  <c r="F839"/>
  <c r="P838"/>
  <c r="G838"/>
  <c r="F838"/>
  <c r="P837"/>
  <c r="G837"/>
  <c r="F837"/>
  <c r="P836"/>
  <c r="G836"/>
  <c r="F836"/>
  <c r="P835"/>
  <c r="G835"/>
  <c r="F835"/>
  <c r="P834"/>
  <c r="G834"/>
  <c r="F834"/>
  <c r="P833"/>
  <c r="G833"/>
  <c r="F833"/>
  <c r="P832"/>
  <c r="G832"/>
  <c r="F832"/>
  <c r="P831"/>
  <c r="G831"/>
  <c r="F831"/>
  <c r="P830"/>
  <c r="G830"/>
  <c r="F830"/>
  <c r="P829"/>
  <c r="G829"/>
  <c r="F829"/>
  <c r="P828"/>
  <c r="G828"/>
  <c r="F828"/>
  <c r="P827"/>
  <c r="G827"/>
  <c r="F827"/>
  <c r="P826"/>
  <c r="G826"/>
  <c r="F826"/>
  <c r="P825"/>
  <c r="G825"/>
  <c r="F825"/>
  <c r="P824"/>
  <c r="G824"/>
  <c r="F824"/>
  <c r="P823"/>
  <c r="G823"/>
  <c r="F823"/>
  <c r="P822"/>
  <c r="G822"/>
  <c r="F822"/>
  <c r="P821"/>
  <c r="G821"/>
  <c r="F821"/>
  <c r="P820"/>
  <c r="G820"/>
  <c r="F820"/>
  <c r="P819"/>
  <c r="G819"/>
  <c r="F819"/>
  <c r="P818"/>
  <c r="G818"/>
  <c r="F818"/>
  <c r="P817"/>
  <c r="G817"/>
  <c r="F817"/>
  <c r="P816"/>
  <c r="G816"/>
  <c r="F816"/>
  <c r="P815"/>
  <c r="G815"/>
  <c r="F815"/>
  <c r="P814"/>
  <c r="G814"/>
  <c r="F814"/>
  <c r="P813"/>
  <c r="G813"/>
  <c r="F813"/>
  <c r="P812"/>
  <c r="G812"/>
  <c r="F812"/>
  <c r="P811"/>
  <c r="G811"/>
  <c r="F811"/>
  <c r="P810"/>
  <c r="G810"/>
  <c r="F810"/>
  <c r="P809"/>
  <c r="G809"/>
  <c r="F809"/>
  <c r="P808"/>
  <c r="G808"/>
  <c r="F808"/>
  <c r="P807"/>
  <c r="G807"/>
  <c r="F807"/>
  <c r="P806"/>
  <c r="G806"/>
  <c r="F806"/>
  <c r="P805"/>
  <c r="G805"/>
  <c r="F805"/>
  <c r="P804"/>
  <c r="G804"/>
  <c r="F804"/>
  <c r="P803"/>
  <c r="G803"/>
  <c r="F803"/>
  <c r="P802"/>
  <c r="G802"/>
  <c r="F802"/>
  <c r="P801"/>
  <c r="G801"/>
  <c r="F801"/>
  <c r="P800"/>
  <c r="G800"/>
  <c r="F800"/>
  <c r="P799"/>
  <c r="G799"/>
  <c r="F799"/>
  <c r="P798"/>
  <c r="G798"/>
  <c r="F798"/>
  <c r="P797"/>
  <c r="G797"/>
  <c r="F797"/>
  <c r="P796"/>
  <c r="G796"/>
  <c r="F796"/>
  <c r="P795"/>
  <c r="G795"/>
  <c r="F795"/>
  <c r="P794"/>
  <c r="G794"/>
  <c r="F794"/>
  <c r="P793"/>
  <c r="G793"/>
  <c r="F793"/>
  <c r="P792"/>
  <c r="G792"/>
  <c r="F792"/>
  <c r="P791"/>
  <c r="G791"/>
  <c r="F791"/>
  <c r="P790"/>
  <c r="G790"/>
  <c r="F790"/>
  <c r="P789"/>
  <c r="G789"/>
  <c r="F789"/>
  <c r="P788"/>
  <c r="G788"/>
  <c r="F788"/>
  <c r="P787"/>
  <c r="G787"/>
  <c r="F787"/>
  <c r="P786"/>
  <c r="G786"/>
  <c r="F786"/>
  <c r="P785"/>
  <c r="G785"/>
  <c r="F785"/>
  <c r="P784"/>
  <c r="G784"/>
  <c r="F784"/>
  <c r="P783"/>
  <c r="G783"/>
  <c r="F783"/>
  <c r="P782"/>
  <c r="G782"/>
  <c r="F782"/>
  <c r="P781"/>
  <c r="G781"/>
  <c r="F781"/>
  <c r="P780"/>
  <c r="G780"/>
  <c r="F780"/>
  <c r="P779"/>
  <c r="G779"/>
  <c r="F779"/>
  <c r="P778"/>
  <c r="G778"/>
  <c r="F778"/>
  <c r="P777"/>
  <c r="G777"/>
  <c r="F777"/>
  <c r="P776"/>
  <c r="G776"/>
  <c r="F776"/>
  <c r="P775"/>
  <c r="G775"/>
  <c r="F775"/>
  <c r="P774"/>
  <c r="G774"/>
  <c r="F774"/>
  <c r="P773"/>
  <c r="G773"/>
  <c r="F773"/>
  <c r="P772"/>
  <c r="G772"/>
  <c r="F772"/>
  <c r="P771"/>
  <c r="G771"/>
  <c r="F771"/>
  <c r="P770"/>
  <c r="G770"/>
  <c r="F770"/>
  <c r="P769"/>
  <c r="G769"/>
  <c r="F769"/>
  <c r="P768"/>
  <c r="G768"/>
  <c r="F768"/>
  <c r="P767"/>
  <c r="G767"/>
  <c r="F767"/>
  <c r="P766"/>
  <c r="G766"/>
  <c r="F766"/>
  <c r="P765"/>
  <c r="G765"/>
  <c r="F765"/>
  <c r="P764"/>
  <c r="G764"/>
  <c r="F764"/>
  <c r="P763"/>
  <c r="G763"/>
  <c r="F763"/>
  <c r="P762"/>
  <c r="G762"/>
  <c r="F762"/>
  <c r="P761"/>
  <c r="G761"/>
  <c r="F761"/>
  <c r="P760"/>
  <c r="G760"/>
  <c r="F760"/>
  <c r="P759"/>
  <c r="G759"/>
  <c r="F759"/>
  <c r="P758"/>
  <c r="G758"/>
  <c r="F758"/>
  <c r="P757"/>
  <c r="G757"/>
  <c r="F757"/>
  <c r="P756"/>
  <c r="G756"/>
  <c r="F756"/>
  <c r="P755"/>
  <c r="G755"/>
  <c r="F755"/>
  <c r="P754"/>
  <c r="G754"/>
  <c r="F754"/>
  <c r="P753"/>
  <c r="G753"/>
  <c r="F753"/>
  <c r="P752"/>
  <c r="G752"/>
  <c r="F752"/>
  <c r="P751"/>
  <c r="G751"/>
  <c r="F751"/>
  <c r="P750"/>
  <c r="G750"/>
  <c r="F750"/>
  <c r="P749"/>
  <c r="G749"/>
  <c r="F749"/>
  <c r="P748"/>
  <c r="G748"/>
  <c r="F748"/>
  <c r="P747"/>
  <c r="G747"/>
  <c r="F747"/>
  <c r="P746"/>
  <c r="G746"/>
  <c r="F746"/>
  <c r="P745"/>
  <c r="G745"/>
  <c r="F745"/>
  <c r="P744"/>
  <c r="G744"/>
  <c r="F744"/>
  <c r="P743"/>
  <c r="G743"/>
  <c r="F743"/>
  <c r="P742"/>
  <c r="G742"/>
  <c r="F742"/>
  <c r="P741"/>
  <c r="G741"/>
  <c r="F741"/>
  <c r="P740"/>
  <c r="G740"/>
  <c r="F740"/>
  <c r="P739"/>
  <c r="G739"/>
  <c r="F739"/>
  <c r="P738"/>
  <c r="G738"/>
  <c r="F738"/>
  <c r="P737"/>
  <c r="G737"/>
  <c r="F737"/>
  <c r="P736"/>
  <c r="G736"/>
  <c r="F736"/>
  <c r="P735"/>
  <c r="G735"/>
  <c r="F735"/>
  <c r="P734"/>
  <c r="G734"/>
  <c r="F734"/>
  <c r="P733"/>
  <c r="G733"/>
  <c r="F733"/>
  <c r="P732"/>
  <c r="G732"/>
  <c r="F732"/>
  <c r="P731"/>
  <c r="G731"/>
  <c r="F731"/>
  <c r="P730"/>
  <c r="G730"/>
  <c r="F730"/>
  <c r="P729"/>
  <c r="G729"/>
  <c r="F729"/>
  <c r="P728"/>
  <c r="G728"/>
  <c r="F728"/>
  <c r="P727"/>
  <c r="G727"/>
  <c r="F727"/>
  <c r="P726"/>
  <c r="G726"/>
  <c r="F726"/>
  <c r="P725"/>
  <c r="G725"/>
  <c r="F725"/>
  <c r="P724"/>
  <c r="G724"/>
  <c r="F724"/>
  <c r="P723"/>
  <c r="G723"/>
  <c r="F723"/>
  <c r="P722"/>
  <c r="G722"/>
  <c r="F722"/>
  <c r="P721"/>
  <c r="G721"/>
  <c r="F721"/>
  <c r="P720"/>
  <c r="G720"/>
  <c r="F720"/>
  <c r="P719"/>
  <c r="G719"/>
  <c r="F719"/>
  <c r="P718"/>
  <c r="G718"/>
  <c r="F718"/>
  <c r="P717"/>
  <c r="G717"/>
  <c r="F717"/>
  <c r="P716"/>
  <c r="G716"/>
  <c r="F716"/>
  <c r="P715"/>
  <c r="G715"/>
  <c r="F715"/>
  <c r="P714"/>
  <c r="G714"/>
  <c r="F714"/>
  <c r="P713"/>
  <c r="G713"/>
  <c r="F713"/>
  <c r="P712"/>
  <c r="G712"/>
  <c r="F712"/>
  <c r="P711"/>
  <c r="G711"/>
  <c r="F711"/>
  <c r="P710"/>
  <c r="G710"/>
  <c r="F710"/>
  <c r="P709"/>
  <c r="G709"/>
  <c r="F709"/>
  <c r="P708"/>
  <c r="G708"/>
  <c r="F708"/>
  <c r="P707"/>
  <c r="G707"/>
  <c r="F707"/>
  <c r="P706"/>
  <c r="G706"/>
  <c r="F706"/>
  <c r="P705"/>
  <c r="G705"/>
  <c r="F705"/>
  <c r="P704"/>
  <c r="G704"/>
  <c r="F704"/>
  <c r="P703"/>
  <c r="G703"/>
  <c r="F703"/>
  <c r="P702"/>
  <c r="G702"/>
  <c r="F702"/>
  <c r="P701"/>
  <c r="G701"/>
  <c r="F701"/>
  <c r="P700"/>
  <c r="G700"/>
  <c r="F700"/>
  <c r="P699"/>
  <c r="G699"/>
  <c r="F699"/>
  <c r="P698"/>
  <c r="G698"/>
  <c r="F698"/>
  <c r="P697"/>
  <c r="G697"/>
  <c r="F697"/>
  <c r="P696"/>
  <c r="G696"/>
  <c r="F696"/>
  <c r="P695"/>
  <c r="G695"/>
  <c r="F695"/>
  <c r="P694"/>
  <c r="G694"/>
  <c r="F694"/>
  <c r="P693"/>
  <c r="G693"/>
  <c r="F693"/>
  <c r="P692"/>
  <c r="G692"/>
  <c r="F692"/>
  <c r="P691"/>
  <c r="G691"/>
  <c r="F691"/>
  <c r="P690"/>
  <c r="G690"/>
  <c r="F690"/>
  <c r="P689"/>
  <c r="G689"/>
  <c r="F689"/>
  <c r="P688"/>
  <c r="G688"/>
  <c r="F688"/>
  <c r="P687"/>
  <c r="G687"/>
  <c r="F687"/>
  <c r="P686"/>
  <c r="G686"/>
  <c r="F686"/>
  <c r="P685"/>
  <c r="G685"/>
  <c r="F685"/>
  <c r="P684"/>
  <c r="G684"/>
  <c r="F684"/>
  <c r="P683"/>
  <c r="G683"/>
  <c r="F683"/>
  <c r="P682"/>
  <c r="G682"/>
  <c r="F682"/>
  <c r="P681"/>
  <c r="G681"/>
  <c r="F681"/>
  <c r="P680"/>
  <c r="G680"/>
  <c r="F680"/>
  <c r="P679"/>
  <c r="G679"/>
  <c r="F679"/>
  <c r="P678"/>
  <c r="G678"/>
  <c r="F678"/>
  <c r="P677"/>
  <c r="G677"/>
  <c r="F677"/>
  <c r="P676"/>
  <c r="G676"/>
  <c r="F676"/>
  <c r="P675"/>
  <c r="G675"/>
  <c r="F675"/>
  <c r="P674"/>
  <c r="G674"/>
  <c r="F674"/>
  <c r="P673"/>
  <c r="G673"/>
  <c r="F673"/>
  <c r="P672"/>
  <c r="G672"/>
  <c r="F672"/>
  <c r="P671"/>
  <c r="G671"/>
  <c r="F671"/>
  <c r="P670"/>
  <c r="G670"/>
  <c r="F670"/>
  <c r="P669"/>
  <c r="G669"/>
  <c r="F669"/>
  <c r="P668"/>
  <c r="G668"/>
  <c r="F668"/>
  <c r="P667"/>
  <c r="G667"/>
  <c r="F667"/>
  <c r="P666"/>
  <c r="G666"/>
  <c r="F666"/>
  <c r="P665"/>
  <c r="G665"/>
  <c r="F665"/>
  <c r="P664"/>
  <c r="G664"/>
  <c r="F664"/>
  <c r="P663"/>
  <c r="G663"/>
  <c r="F663"/>
  <c r="P662"/>
  <c r="G662"/>
  <c r="F662"/>
  <c r="P661"/>
  <c r="G661"/>
  <c r="F661"/>
  <c r="P660"/>
  <c r="G660"/>
  <c r="F660"/>
  <c r="P659"/>
  <c r="G659"/>
  <c r="F659"/>
  <c r="P658"/>
  <c r="G658"/>
  <c r="F658"/>
  <c r="P657"/>
  <c r="G657"/>
  <c r="F657"/>
  <c r="P656"/>
  <c r="G656"/>
  <c r="F656"/>
  <c r="P655"/>
  <c r="G655"/>
  <c r="F655"/>
  <c r="P654"/>
  <c r="G654"/>
  <c r="F654"/>
  <c r="P653"/>
  <c r="G653"/>
  <c r="F653"/>
  <c r="P652"/>
  <c r="G652"/>
  <c r="F652"/>
  <c r="P651"/>
  <c r="G651"/>
  <c r="F651"/>
  <c r="P650"/>
  <c r="G650"/>
  <c r="F650"/>
  <c r="P649"/>
  <c r="G649"/>
  <c r="F649"/>
  <c r="P648"/>
  <c r="G648"/>
  <c r="F648"/>
  <c r="P647"/>
  <c r="G647"/>
  <c r="F647"/>
  <c r="P646"/>
  <c r="G646"/>
  <c r="F646"/>
  <c r="P645"/>
  <c r="G645"/>
  <c r="F645"/>
  <c r="P644"/>
  <c r="G644"/>
  <c r="F644"/>
  <c r="P643"/>
  <c r="G643"/>
  <c r="F643"/>
  <c r="P642"/>
  <c r="G642"/>
  <c r="F642"/>
  <c r="P641"/>
  <c r="G641"/>
  <c r="F641"/>
  <c r="P640"/>
  <c r="G640"/>
  <c r="F640"/>
  <c r="P639"/>
  <c r="G639"/>
  <c r="F639"/>
  <c r="P638"/>
  <c r="G638"/>
  <c r="F638"/>
  <c r="P637"/>
  <c r="G637"/>
  <c r="F637"/>
  <c r="P636"/>
  <c r="G636"/>
  <c r="F636"/>
  <c r="P635"/>
  <c r="G635"/>
  <c r="F635"/>
  <c r="P634"/>
  <c r="G634"/>
  <c r="F634"/>
  <c r="P633"/>
  <c r="G633"/>
  <c r="F633"/>
  <c r="P632"/>
  <c r="G632"/>
  <c r="F632"/>
  <c r="P631"/>
  <c r="G631"/>
  <c r="F631"/>
  <c r="P630"/>
  <c r="G630"/>
  <c r="F630"/>
  <c r="P629"/>
  <c r="G629"/>
  <c r="F629"/>
  <c r="P628"/>
  <c r="G628"/>
  <c r="F628"/>
  <c r="P627"/>
  <c r="G627"/>
  <c r="F627"/>
  <c r="P626"/>
  <c r="G626"/>
  <c r="F626"/>
  <c r="P625"/>
  <c r="G625"/>
  <c r="F625"/>
  <c r="P624"/>
  <c r="G624"/>
  <c r="F624"/>
  <c r="P623"/>
  <c r="G623"/>
  <c r="F623"/>
  <c r="P622"/>
  <c r="G622"/>
  <c r="F622"/>
  <c r="P621"/>
  <c r="G621"/>
  <c r="F621"/>
  <c r="P620"/>
  <c r="G620"/>
  <c r="F620"/>
  <c r="P619"/>
  <c r="G619"/>
  <c r="F619"/>
  <c r="P618"/>
  <c r="G618"/>
  <c r="F618"/>
  <c r="P617"/>
  <c r="G617"/>
  <c r="F617"/>
  <c r="P616"/>
  <c r="G616"/>
  <c r="F616"/>
  <c r="P615"/>
  <c r="G615"/>
  <c r="F615"/>
  <c r="P614"/>
  <c r="G614"/>
  <c r="F614"/>
  <c r="P613"/>
  <c r="G613"/>
  <c r="F613"/>
  <c r="P612"/>
  <c r="G612"/>
  <c r="F612"/>
  <c r="P611"/>
  <c r="G611"/>
  <c r="F611"/>
  <c r="P610"/>
  <c r="G610"/>
  <c r="F610"/>
  <c r="P609"/>
  <c r="G609"/>
  <c r="F609"/>
  <c r="P608"/>
  <c r="G608"/>
  <c r="F608"/>
  <c r="P607"/>
  <c r="G607"/>
  <c r="F607"/>
  <c r="P606"/>
  <c r="G606"/>
  <c r="F606"/>
  <c r="P605"/>
  <c r="G605"/>
  <c r="F605"/>
  <c r="P604"/>
  <c r="G604"/>
  <c r="F604"/>
  <c r="P603"/>
  <c r="G603"/>
  <c r="F603"/>
  <c r="P602"/>
  <c r="G602"/>
  <c r="F602"/>
  <c r="P601"/>
  <c r="G601"/>
  <c r="F601"/>
  <c r="P600"/>
  <c r="G600"/>
  <c r="F600"/>
  <c r="P599"/>
  <c r="G599"/>
  <c r="F599"/>
  <c r="P598"/>
  <c r="G598"/>
  <c r="F598"/>
  <c r="P597"/>
  <c r="G597"/>
  <c r="F597"/>
  <c r="P596"/>
  <c r="G596"/>
  <c r="F596"/>
  <c r="P595"/>
  <c r="G595"/>
  <c r="F595"/>
  <c r="P594"/>
  <c r="G594"/>
  <c r="F594"/>
  <c r="P593"/>
  <c r="G593"/>
  <c r="F593"/>
  <c r="P592"/>
  <c r="G592"/>
  <c r="F592"/>
  <c r="P591"/>
  <c r="G591"/>
  <c r="F591"/>
  <c r="P590"/>
  <c r="G590"/>
  <c r="F590"/>
  <c r="P589"/>
  <c r="G589"/>
  <c r="F589"/>
  <c r="P588"/>
  <c r="G588"/>
  <c r="F588"/>
  <c r="P587"/>
  <c r="G587"/>
  <c r="F587"/>
  <c r="P586"/>
  <c r="G586"/>
  <c r="F586"/>
  <c r="P585"/>
  <c r="G585"/>
  <c r="F585"/>
  <c r="P584"/>
  <c r="G584"/>
  <c r="F584"/>
  <c r="P583"/>
  <c r="G583"/>
  <c r="F583"/>
  <c r="P582"/>
  <c r="G582"/>
  <c r="F582"/>
  <c r="P581"/>
  <c r="G581"/>
  <c r="F581"/>
  <c r="P580"/>
  <c r="G580"/>
  <c r="F580"/>
  <c r="P579"/>
  <c r="G579"/>
  <c r="F579"/>
  <c r="P578"/>
  <c r="G578"/>
  <c r="F578"/>
  <c r="P577"/>
  <c r="G577"/>
  <c r="F577"/>
  <c r="P576"/>
  <c r="G576"/>
  <c r="F576"/>
  <c r="P575"/>
  <c r="G575"/>
  <c r="F575"/>
  <c r="P574"/>
  <c r="G574"/>
  <c r="F574"/>
  <c r="P573"/>
  <c r="G573"/>
  <c r="F573"/>
  <c r="P572"/>
  <c r="G572"/>
  <c r="F572"/>
  <c r="P571"/>
  <c r="G571"/>
  <c r="F571"/>
  <c r="P570"/>
  <c r="G570"/>
  <c r="F570"/>
  <c r="P569"/>
  <c r="G569"/>
  <c r="F569"/>
  <c r="P568"/>
  <c r="G568"/>
  <c r="F568"/>
  <c r="P567"/>
  <c r="G567"/>
  <c r="F567"/>
  <c r="P566"/>
  <c r="G566"/>
  <c r="F566"/>
  <c r="P565"/>
  <c r="G565"/>
  <c r="F565"/>
  <c r="P564"/>
  <c r="G564"/>
  <c r="F564"/>
  <c r="P563"/>
  <c r="G563"/>
  <c r="F563"/>
  <c r="P562"/>
  <c r="G562"/>
  <c r="F562"/>
  <c r="P561"/>
  <c r="G561"/>
  <c r="F561"/>
  <c r="P560"/>
  <c r="G560"/>
  <c r="F560"/>
  <c r="P559"/>
  <c r="G559"/>
  <c r="F559"/>
  <c r="P558"/>
  <c r="G558"/>
  <c r="F558"/>
  <c r="P557"/>
  <c r="G557"/>
  <c r="F557"/>
  <c r="P556"/>
  <c r="G556"/>
  <c r="F556"/>
  <c r="P555"/>
  <c r="G555"/>
  <c r="F555"/>
  <c r="P554"/>
  <c r="G554"/>
  <c r="F554"/>
  <c r="P553"/>
  <c r="G553"/>
  <c r="F553"/>
  <c r="P552"/>
  <c r="G552"/>
  <c r="F552"/>
  <c r="P551"/>
  <c r="G551"/>
  <c r="F551"/>
  <c r="P550"/>
  <c r="G550"/>
  <c r="F550"/>
  <c r="P549"/>
  <c r="G549"/>
  <c r="F549"/>
  <c r="P548"/>
  <c r="G548"/>
  <c r="F548"/>
  <c r="P547"/>
  <c r="G547"/>
  <c r="F547"/>
  <c r="P546"/>
  <c r="G546"/>
  <c r="F546"/>
  <c r="P545"/>
  <c r="G545"/>
  <c r="F545"/>
  <c r="P544"/>
  <c r="G544"/>
  <c r="F544"/>
  <c r="P543"/>
  <c r="G543"/>
  <c r="F543"/>
  <c r="P542"/>
  <c r="G542"/>
  <c r="F542"/>
  <c r="P541"/>
  <c r="G541"/>
  <c r="F541"/>
  <c r="P540"/>
  <c r="G540"/>
  <c r="F540"/>
  <c r="P539"/>
  <c r="G539"/>
  <c r="F539"/>
  <c r="P538"/>
  <c r="G538"/>
  <c r="F538"/>
  <c r="E538"/>
  <c r="G537"/>
  <c r="F537"/>
  <c r="E537"/>
  <c r="P536"/>
  <c r="G536"/>
  <c r="F536"/>
  <c r="E536"/>
  <c r="P535"/>
  <c r="G535"/>
  <c r="F535"/>
  <c r="E535"/>
  <c r="P534"/>
  <c r="G534"/>
  <c r="F534"/>
  <c r="E534"/>
  <c r="P533"/>
  <c r="G533"/>
  <c r="F533"/>
  <c r="E533"/>
  <c r="P532"/>
  <c r="G532"/>
  <c r="F532"/>
  <c r="E532"/>
  <c r="P531"/>
  <c r="G531"/>
  <c r="F531"/>
  <c r="E531"/>
  <c r="P530"/>
  <c r="G530"/>
  <c r="F530"/>
  <c r="E530"/>
  <c r="P529"/>
  <c r="G529"/>
  <c r="F529"/>
  <c r="E529"/>
  <c r="P528"/>
  <c r="G528"/>
  <c r="F528"/>
  <c r="E528"/>
  <c r="P527"/>
  <c r="G527"/>
  <c r="F527"/>
  <c r="E527"/>
  <c r="P526"/>
  <c r="G526"/>
  <c r="F526"/>
  <c r="E526"/>
  <c r="P525"/>
  <c r="G525"/>
  <c r="F525"/>
  <c r="E525"/>
  <c r="P524"/>
  <c r="G524"/>
  <c r="F524"/>
  <c r="E524"/>
  <c r="P523"/>
  <c r="G523"/>
  <c r="F523"/>
  <c r="E523"/>
  <c r="P522"/>
  <c r="G522"/>
  <c r="F522"/>
  <c r="E522"/>
  <c r="P521"/>
  <c r="G521"/>
  <c r="F521"/>
  <c r="E521"/>
  <c r="P520"/>
  <c r="G520"/>
  <c r="F520"/>
  <c r="E520"/>
  <c r="P519"/>
  <c r="G519"/>
  <c r="F519"/>
  <c r="E519"/>
  <c r="E518"/>
  <c r="E517"/>
  <c r="E516"/>
  <c r="E515"/>
  <c r="E514"/>
  <c r="E513"/>
  <c r="E512"/>
  <c r="E511"/>
  <c r="E510"/>
  <c r="E509"/>
  <c r="E508"/>
  <c r="E507"/>
  <c r="E506"/>
  <c r="E505"/>
  <c r="E504"/>
  <c r="E503"/>
  <c r="E502"/>
  <c r="E501"/>
  <c r="E500"/>
  <c r="E499"/>
  <c r="E498"/>
  <c r="E497"/>
  <c r="E496"/>
  <c r="E495"/>
  <c r="E494"/>
  <c r="E493"/>
  <c r="E492"/>
  <c r="E491"/>
  <c r="E490"/>
  <c r="E489"/>
  <c r="E488"/>
  <c r="E487"/>
  <c r="E486"/>
  <c r="E485"/>
  <c r="E484"/>
  <c r="E483"/>
  <c r="E482"/>
  <c r="E481"/>
  <c r="E480"/>
  <c r="E479"/>
  <c r="E478"/>
  <c r="E477"/>
  <c r="E476"/>
  <c r="E475"/>
  <c r="E474"/>
  <c r="E473"/>
  <c r="E472"/>
  <c r="E471"/>
  <c r="E470"/>
  <c r="E469"/>
  <c r="E468"/>
  <c r="E467"/>
  <c r="E466"/>
  <c r="E465"/>
  <c r="E464"/>
  <c r="E463"/>
  <c r="E462"/>
  <c r="E461"/>
  <c r="E460"/>
  <c r="E459"/>
  <c r="E458"/>
  <c r="E457"/>
  <c r="E456"/>
  <c r="E455"/>
  <c r="E454"/>
  <c r="E453"/>
  <c r="E452"/>
  <c r="E451"/>
  <c r="E450"/>
  <c r="E449"/>
  <c r="E448"/>
  <c r="E447"/>
  <c r="E446"/>
  <c r="E445"/>
  <c r="E444"/>
  <c r="E443"/>
  <c r="E442"/>
  <c r="E441"/>
  <c r="E440"/>
  <c r="E439"/>
  <c r="E438"/>
  <c r="E437"/>
  <c r="E436"/>
  <c r="E435"/>
  <c r="E434"/>
  <c r="E433"/>
  <c r="E432"/>
  <c r="E431"/>
  <c r="E430"/>
  <c r="E429"/>
  <c r="E428"/>
  <c r="E427"/>
  <c r="E426"/>
  <c r="E425"/>
  <c r="E424"/>
  <c r="E423"/>
  <c r="E422"/>
  <c r="E421"/>
  <c r="E420"/>
  <c r="E419"/>
  <c r="E418"/>
  <c r="E417"/>
  <c r="E416"/>
  <c r="E415"/>
  <c r="E414"/>
  <c r="E413"/>
  <c r="E412"/>
  <c r="E411"/>
  <c r="E410"/>
  <c r="E409"/>
  <c r="E408"/>
  <c r="E407"/>
  <c r="E406"/>
  <c r="E405"/>
  <c r="E404"/>
  <c r="E403"/>
  <c r="E402"/>
  <c r="E401"/>
  <c r="E400"/>
  <c r="E399"/>
  <c r="E398"/>
  <c r="E397"/>
  <c r="E396"/>
  <c r="E395"/>
  <c r="E394"/>
  <c r="E393"/>
  <c r="E392"/>
  <c r="E391"/>
  <c r="E390"/>
  <c r="E389"/>
  <c r="E388"/>
  <c r="E387"/>
  <c r="E386"/>
  <c r="E385"/>
  <c r="E384"/>
  <c r="E383"/>
  <c r="E382"/>
  <c r="E381"/>
  <c r="E380"/>
  <c r="E379"/>
  <c r="E378"/>
  <c r="E377"/>
  <c r="E376"/>
  <c r="E375"/>
  <c r="E374"/>
  <c r="E373"/>
  <c r="E372"/>
  <c r="E371"/>
  <c r="E370"/>
  <c r="E369"/>
  <c r="E368"/>
  <c r="E367"/>
  <c r="E366"/>
  <c r="E365"/>
  <c r="E364"/>
  <c r="E363"/>
  <c r="E362"/>
  <c r="E361"/>
  <c r="E360"/>
  <c r="E359"/>
  <c r="E358"/>
  <c r="E357"/>
  <c r="E356"/>
  <c r="E355"/>
  <c r="E354"/>
  <c r="E353"/>
  <c r="E352"/>
  <c r="E351"/>
  <c r="E350"/>
  <c r="E349"/>
  <c r="E348"/>
  <c r="E347"/>
  <c r="E346"/>
  <c r="E345"/>
  <c r="E344"/>
  <c r="E343"/>
  <c r="E342"/>
  <c r="E341"/>
  <c r="E340"/>
  <c r="E339"/>
  <c r="E338"/>
  <c r="E337"/>
  <c r="E336"/>
  <c r="E335"/>
  <c r="BF47" i="22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P47"/>
  <c r="O47"/>
  <c r="N47"/>
  <c r="M47"/>
  <c r="L47"/>
  <c r="K47"/>
  <c r="J47"/>
  <c r="I47"/>
  <c r="H47"/>
  <c r="G47"/>
  <c r="F47"/>
  <c r="E47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P46"/>
  <c r="O46"/>
  <c r="N46"/>
  <c r="M46"/>
  <c r="L46"/>
  <c r="K46"/>
  <c r="J46"/>
  <c r="I46"/>
  <c r="H46"/>
  <c r="G46"/>
  <c r="F46"/>
  <c r="E46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P45"/>
  <c r="O45"/>
  <c r="N45"/>
  <c r="M45"/>
  <c r="L45"/>
  <c r="K45"/>
  <c r="J45"/>
  <c r="I45"/>
  <c r="H45"/>
  <c r="G45"/>
  <c r="F45"/>
  <c r="E45"/>
  <c r="BF44"/>
  <c r="BE44"/>
  <c r="BD44"/>
  <c r="BC44"/>
  <c r="BB44"/>
  <c r="BA44"/>
  <c r="AZ44"/>
  <c r="AY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P44"/>
  <c r="O44"/>
  <c r="N44"/>
  <c r="M44"/>
  <c r="L44"/>
  <c r="K44"/>
  <c r="J44"/>
  <c r="I44"/>
  <c r="H44"/>
  <c r="G44"/>
  <c r="F44"/>
  <c r="E44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P43"/>
  <c r="O43"/>
  <c r="N43"/>
  <c r="M43"/>
  <c r="L43"/>
  <c r="K43"/>
  <c r="J43"/>
  <c r="I43"/>
  <c r="H43"/>
  <c r="G43"/>
  <c r="F43"/>
  <c r="E43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P42"/>
  <c r="O42"/>
  <c r="N42"/>
  <c r="M42"/>
  <c r="L42"/>
  <c r="K42"/>
  <c r="J42"/>
  <c r="I42"/>
  <c r="H42"/>
  <c r="G42"/>
  <c r="F42"/>
  <c r="E42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P41"/>
  <c r="O41"/>
  <c r="N41"/>
  <c r="M41"/>
  <c r="L41"/>
  <c r="K41"/>
  <c r="J41"/>
  <c r="I41"/>
  <c r="H41"/>
  <c r="G41"/>
  <c r="F41"/>
  <c r="E41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P40"/>
  <c r="O40"/>
  <c r="N40"/>
  <c r="M40"/>
  <c r="L40"/>
  <c r="K40"/>
  <c r="J40"/>
  <c r="I40"/>
  <c r="H40"/>
  <c r="G40"/>
  <c r="F40"/>
  <c r="E40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P39"/>
  <c r="O39"/>
  <c r="N39"/>
  <c r="M39"/>
  <c r="L39"/>
  <c r="K39"/>
  <c r="J39"/>
  <c r="I39"/>
  <c r="H39"/>
  <c r="G39"/>
  <c r="F39"/>
  <c r="E39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P38"/>
  <c r="O38"/>
  <c r="N38"/>
  <c r="M38"/>
  <c r="L38"/>
  <c r="K38"/>
  <c r="J38"/>
  <c r="I38"/>
  <c r="H38"/>
  <c r="G38"/>
  <c r="F38"/>
  <c r="E38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P37"/>
  <c r="O37"/>
  <c r="N37"/>
  <c r="M37"/>
  <c r="L37"/>
  <c r="K37"/>
  <c r="J37"/>
  <c r="I37"/>
  <c r="H37"/>
  <c r="G37"/>
  <c r="F37"/>
  <c r="E37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P36"/>
  <c r="O36"/>
  <c r="N36"/>
  <c r="M36"/>
  <c r="L36"/>
  <c r="K36"/>
  <c r="J36"/>
  <c r="I36"/>
  <c r="H36"/>
  <c r="G36"/>
  <c r="F36"/>
  <c r="E36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P35"/>
  <c r="O35"/>
  <c r="N35"/>
  <c r="M35"/>
  <c r="L35"/>
  <c r="K35"/>
  <c r="J35"/>
  <c r="I35"/>
  <c r="H35"/>
  <c r="G35"/>
  <c r="F35"/>
  <c r="E35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P34"/>
  <c r="O34"/>
  <c r="N34"/>
  <c r="M34"/>
  <c r="L34"/>
  <c r="K34"/>
  <c r="J34"/>
  <c r="I34"/>
  <c r="H34"/>
  <c r="G34"/>
  <c r="F34"/>
  <c r="E34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P33"/>
  <c r="O33"/>
  <c r="N33"/>
  <c r="M33"/>
  <c r="L33"/>
  <c r="K33"/>
  <c r="J33"/>
  <c r="I33"/>
  <c r="H33"/>
  <c r="G33"/>
  <c r="F33"/>
  <c r="E33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P32"/>
  <c r="O32"/>
  <c r="N32"/>
  <c r="M32"/>
  <c r="L32"/>
  <c r="K32"/>
  <c r="J32"/>
  <c r="I32"/>
  <c r="H32"/>
  <c r="G32"/>
  <c r="F32"/>
  <c r="E32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P31"/>
  <c r="O31"/>
  <c r="N31"/>
  <c r="M31"/>
  <c r="L31"/>
  <c r="K31"/>
  <c r="J31"/>
  <c r="I31"/>
  <c r="H31"/>
  <c r="G31"/>
  <c r="F31"/>
  <c r="E31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BC22"/>
  <c r="BB22"/>
  <c r="BA22"/>
  <c r="AZ22"/>
  <c r="AY22"/>
  <c r="AX22"/>
  <c r="AW22"/>
  <c r="AV22"/>
  <c r="AU22"/>
  <c r="AT22"/>
  <c r="AS22"/>
  <c r="AR22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BC21"/>
  <c r="BB21"/>
  <c r="BA21"/>
  <c r="AZ21"/>
  <c r="AY21"/>
  <c r="AX21"/>
  <c r="AW21"/>
  <c r="AV21"/>
  <c r="AU21"/>
  <c r="AT21"/>
  <c r="AS21"/>
  <c r="AR21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BC19"/>
  <c r="BB19"/>
  <c r="BA19"/>
  <c r="AZ19"/>
  <c r="AY19"/>
  <c r="AX19"/>
  <c r="AW19"/>
  <c r="AV19"/>
  <c r="AU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BC18"/>
  <c r="BB18"/>
  <c r="BA18"/>
  <c r="AZ18"/>
  <c r="AY18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BC17"/>
  <c r="BB17"/>
  <c r="BA17"/>
  <c r="AZ17"/>
  <c r="AY17"/>
  <c r="AX17"/>
  <c r="AW17"/>
  <c r="AV17"/>
  <c r="AU17"/>
  <c r="AT17"/>
  <c r="AS17"/>
  <c r="AR17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BC16"/>
  <c r="BB16"/>
  <c r="BA16"/>
  <c r="AZ16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BC14"/>
  <c r="BB14"/>
  <c r="BA14"/>
  <c r="AZ14"/>
  <c r="AY14"/>
  <c r="AX14"/>
  <c r="AW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BC13"/>
  <c r="BB13"/>
  <c r="BA13"/>
  <c r="AZ13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BC12"/>
  <c r="BB12"/>
  <c r="BA12"/>
  <c r="AZ12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BC9"/>
  <c r="BB9"/>
  <c r="BA9"/>
  <c r="AZ9"/>
  <c r="AY9"/>
  <c r="AX9"/>
  <c r="AW9"/>
  <c r="AV9"/>
  <c r="AU9"/>
  <c r="AT9"/>
  <c r="AS9"/>
  <c r="AR9"/>
  <c r="AQ9"/>
  <c r="AP9"/>
  <c r="AO9"/>
  <c r="AN9"/>
  <c r="AM9"/>
  <c r="AL9"/>
  <c r="AK9"/>
  <c r="AJ9"/>
  <c r="AI9"/>
  <c r="AH9"/>
  <c r="AG9"/>
  <c r="AF9"/>
  <c r="AE9"/>
  <c r="AD9"/>
  <c r="AC9"/>
  <c r="AB9"/>
  <c r="AA9"/>
  <c r="Z9"/>
  <c r="Y9"/>
  <c r="BC8"/>
  <c r="BB8"/>
  <c r="BA8"/>
  <c r="AZ8"/>
  <c r="AY8"/>
  <c r="AX8"/>
  <c r="AW8"/>
  <c r="AV8"/>
  <c r="AU8"/>
  <c r="AT8"/>
  <c r="AS8"/>
  <c r="AR8"/>
  <c r="AQ8"/>
  <c r="AP8"/>
  <c r="AO8"/>
  <c r="AN8"/>
  <c r="AM8"/>
  <c r="AL8"/>
  <c r="AK8"/>
  <c r="AJ8"/>
  <c r="AI8"/>
  <c r="AH8"/>
  <c r="AG8"/>
  <c r="AF8"/>
  <c r="AE8"/>
  <c r="AD8"/>
  <c r="AC8"/>
  <c r="AB8"/>
  <c r="AA8"/>
  <c r="Z8"/>
  <c r="Y8"/>
  <c r="BC7"/>
  <c r="BB7"/>
  <c r="BA7"/>
  <c r="AZ7"/>
  <c r="AY7"/>
  <c r="AX7"/>
  <c r="AW7"/>
  <c r="AV7"/>
  <c r="AU7"/>
  <c r="AT7"/>
  <c r="AS7"/>
  <c r="AR7"/>
  <c r="AQ7"/>
  <c r="AP7"/>
  <c r="AO7"/>
  <c r="AN7"/>
  <c r="AM7"/>
  <c r="AL7"/>
  <c r="AK7"/>
  <c r="AJ7"/>
  <c r="AI7"/>
  <c r="AH7"/>
  <c r="AG7"/>
  <c r="AF7"/>
  <c r="AE7"/>
  <c r="AD7"/>
  <c r="AC7"/>
  <c r="AB7"/>
  <c r="AA7"/>
  <c r="Z7"/>
  <c r="Y7"/>
  <c r="BC6"/>
  <c r="BB6"/>
  <c r="BA6"/>
  <c r="AZ6"/>
  <c r="AY6"/>
  <c r="AX6"/>
  <c r="AW6"/>
  <c r="AV6"/>
  <c r="AU6"/>
  <c r="AT6"/>
  <c r="AS6"/>
  <c r="AR6"/>
  <c r="AQ6"/>
  <c r="AP6"/>
  <c r="AO6"/>
  <c r="AN6"/>
  <c r="AM6"/>
  <c r="AL6"/>
  <c r="AK6"/>
  <c r="AJ6"/>
  <c r="AI6"/>
  <c r="AH6"/>
  <c r="AG6"/>
  <c r="AF6"/>
  <c r="AE6"/>
  <c r="AD6"/>
  <c r="AC6"/>
  <c r="AB6"/>
  <c r="AA6"/>
  <c r="Z6"/>
  <c r="Y6"/>
  <c r="J1915" i="5"/>
  <c r="J1914"/>
  <c r="J1913"/>
  <c r="J1912"/>
  <c r="J1911"/>
  <c r="J1910"/>
  <c r="J1909"/>
  <c r="J1908"/>
  <c r="J1907"/>
  <c r="J1906"/>
  <c r="J1905"/>
  <c r="J1904"/>
  <c r="J1903"/>
  <c r="F1903"/>
  <c r="E1903"/>
  <c r="D1903"/>
  <c r="J1902"/>
  <c r="F1902"/>
  <c r="E1902"/>
  <c r="D1902"/>
  <c r="J1901"/>
  <c r="F1901"/>
  <c r="E1901"/>
  <c r="D1901"/>
  <c r="J1900"/>
  <c r="F1900"/>
  <c r="E1900"/>
  <c r="D1900"/>
  <c r="J1899"/>
  <c r="F1899"/>
  <c r="E1899"/>
  <c r="D1899"/>
  <c r="J1898"/>
  <c r="F1898"/>
  <c r="E1898"/>
  <c r="D1898"/>
  <c r="J1897"/>
  <c r="F1897"/>
  <c r="E1897"/>
  <c r="D1897"/>
  <c r="J1896"/>
  <c r="F1896"/>
  <c r="E1896"/>
  <c r="D1896"/>
  <c r="J1895"/>
  <c r="F1895"/>
  <c r="E1895"/>
  <c r="D1895"/>
  <c r="J1894"/>
  <c r="F1894"/>
  <c r="E1894"/>
  <c r="D1894"/>
  <c r="J1893"/>
  <c r="F1893"/>
  <c r="E1893"/>
  <c r="D1893"/>
  <c r="J1892"/>
  <c r="F1892"/>
  <c r="E1892"/>
  <c r="D1892"/>
  <c r="J1891"/>
  <c r="F1891"/>
  <c r="E1891"/>
  <c r="D1891"/>
  <c r="J1890"/>
  <c r="F1890"/>
  <c r="E1890"/>
  <c r="D1890"/>
  <c r="J1889"/>
  <c r="F1889"/>
  <c r="E1889"/>
  <c r="D1889"/>
  <c r="J1888"/>
  <c r="F1888"/>
  <c r="E1888"/>
  <c r="D1888"/>
  <c r="J1887"/>
  <c r="F1887"/>
  <c r="E1887"/>
  <c r="D1887"/>
  <c r="J1886"/>
  <c r="F1886"/>
  <c r="E1886"/>
  <c r="D1886"/>
  <c r="J1885"/>
  <c r="F1885"/>
  <c r="E1885"/>
  <c r="D1885"/>
  <c r="J1884"/>
  <c r="F1884"/>
  <c r="E1884"/>
  <c r="D1884"/>
  <c r="J1883"/>
  <c r="F1883"/>
  <c r="E1883"/>
  <c r="D1883"/>
  <c r="J1882"/>
  <c r="F1882"/>
  <c r="E1882"/>
  <c r="D1882"/>
  <c r="J1881"/>
  <c r="F1881"/>
  <c r="E1881"/>
  <c r="D1881"/>
  <c r="J1880"/>
  <c r="F1880"/>
  <c r="E1880"/>
  <c r="D1880"/>
  <c r="J1879"/>
  <c r="F1879"/>
  <c r="E1879"/>
  <c r="D1879"/>
  <c r="J1878"/>
  <c r="F1878"/>
  <c r="E1878"/>
  <c r="D1878"/>
  <c r="J1877"/>
  <c r="F1877"/>
  <c r="E1877"/>
  <c r="D1877"/>
  <c r="J1876"/>
  <c r="F1876"/>
  <c r="E1876"/>
  <c r="D1876"/>
  <c r="J1875"/>
  <c r="F1875"/>
  <c r="E1875"/>
  <c r="D1875"/>
  <c r="J1874"/>
  <c r="F1874"/>
  <c r="E1874"/>
  <c r="D1874"/>
  <c r="J1873"/>
  <c r="F1873"/>
  <c r="E1873"/>
  <c r="D1873"/>
  <c r="J1872"/>
  <c r="F1872"/>
  <c r="E1872"/>
  <c r="D1872"/>
  <c r="J1871"/>
  <c r="F1871"/>
  <c r="E1871"/>
  <c r="D1871"/>
  <c r="J1870"/>
  <c r="F1870"/>
  <c r="E1870"/>
  <c r="D1870"/>
  <c r="J1869"/>
  <c r="F1869"/>
  <c r="E1869"/>
  <c r="D1869"/>
  <c r="J1868"/>
  <c r="F1868"/>
  <c r="E1868"/>
  <c r="D1868"/>
  <c r="J1867"/>
  <c r="F1867"/>
  <c r="E1867"/>
  <c r="D1867"/>
  <c r="J1866"/>
  <c r="F1866"/>
  <c r="E1866"/>
  <c r="D1866"/>
  <c r="J1865"/>
  <c r="F1865"/>
  <c r="E1865"/>
  <c r="D1865"/>
  <c r="J1864"/>
  <c r="F1864"/>
  <c r="E1864"/>
  <c r="D1864"/>
  <c r="J1863"/>
  <c r="F1863"/>
  <c r="E1863"/>
  <c r="D1863"/>
  <c r="J1862"/>
  <c r="F1862"/>
  <c r="E1862"/>
  <c r="D1862"/>
  <c r="J1861"/>
  <c r="F1861"/>
  <c r="E1861"/>
  <c r="D1861"/>
  <c r="J1860"/>
  <c r="F1860"/>
  <c r="E1860"/>
  <c r="D1860"/>
  <c r="J1859"/>
  <c r="F1859"/>
  <c r="E1859"/>
  <c r="D1859"/>
  <c r="J1858"/>
  <c r="F1858"/>
  <c r="E1858"/>
  <c r="D1858"/>
  <c r="J1857"/>
  <c r="F1857"/>
  <c r="E1857"/>
  <c r="D1857"/>
  <c r="J1856"/>
  <c r="F1856"/>
  <c r="E1856"/>
  <c r="D1856"/>
  <c r="J1855"/>
  <c r="F1855"/>
  <c r="E1855"/>
  <c r="D1855"/>
  <c r="J1854"/>
  <c r="F1854"/>
  <c r="E1854"/>
  <c r="D1854"/>
  <c r="J1853"/>
  <c r="F1853"/>
  <c r="E1853"/>
  <c r="D1853"/>
  <c r="J1852"/>
  <c r="F1852"/>
  <c r="E1852"/>
  <c r="D1852"/>
  <c r="J1851"/>
  <c r="F1851"/>
  <c r="E1851"/>
  <c r="D1851"/>
  <c r="J1850"/>
  <c r="F1850"/>
  <c r="E1850"/>
  <c r="D1850"/>
  <c r="J1849"/>
  <c r="F1849"/>
  <c r="E1849"/>
  <c r="D1849"/>
  <c r="J1848"/>
  <c r="F1848"/>
  <c r="E1848"/>
  <c r="D1848"/>
  <c r="J1847"/>
  <c r="F1847"/>
  <c r="E1847"/>
  <c r="D1847"/>
  <c r="J1846"/>
  <c r="F1846"/>
  <c r="E1846"/>
  <c r="D1846"/>
  <c r="J1845"/>
  <c r="F1845"/>
  <c r="E1845"/>
  <c r="D1845"/>
  <c r="J1844"/>
  <c r="F1844"/>
  <c r="E1844"/>
  <c r="D1844"/>
  <c r="J1843"/>
  <c r="F1843"/>
  <c r="E1843"/>
  <c r="D1843"/>
  <c r="J1842"/>
  <c r="F1842"/>
  <c r="E1842"/>
  <c r="D1842"/>
  <c r="J1841"/>
  <c r="F1841"/>
  <c r="E1841"/>
  <c r="D1841"/>
  <c r="J1840"/>
  <c r="F1840"/>
  <c r="E1840"/>
  <c r="D1840"/>
  <c r="J1839"/>
  <c r="F1839"/>
  <c r="E1839"/>
  <c r="D1839"/>
  <c r="J1838"/>
  <c r="F1838"/>
  <c r="E1838"/>
  <c r="D1838"/>
  <c r="J1837"/>
  <c r="F1837"/>
  <c r="E1837"/>
  <c r="D1837"/>
  <c r="J1836"/>
  <c r="F1836"/>
  <c r="E1836"/>
  <c r="D1836"/>
  <c r="J1835"/>
  <c r="F1835"/>
  <c r="E1835"/>
  <c r="D1835"/>
  <c r="J1834"/>
  <c r="F1834"/>
  <c r="E1834"/>
  <c r="D1834"/>
  <c r="J1833"/>
  <c r="F1833"/>
  <c r="E1833"/>
  <c r="D1833"/>
  <c r="J1832"/>
  <c r="F1832"/>
  <c r="E1832"/>
  <c r="D1832"/>
  <c r="J1831"/>
  <c r="F1831"/>
  <c r="E1831"/>
  <c r="D1831"/>
  <c r="J1830"/>
  <c r="F1830"/>
  <c r="E1830"/>
  <c r="D1830"/>
  <c r="J1829"/>
  <c r="F1829"/>
  <c r="E1829"/>
  <c r="D1829"/>
  <c r="J1828"/>
  <c r="F1828"/>
  <c r="E1828"/>
  <c r="D1828"/>
  <c r="J1827"/>
  <c r="F1827"/>
  <c r="E1827"/>
  <c r="D1827"/>
  <c r="J1826"/>
  <c r="F1826"/>
  <c r="E1826"/>
  <c r="D1826"/>
  <c r="J1825"/>
  <c r="F1825"/>
  <c r="E1825"/>
  <c r="D1825"/>
  <c r="J1824"/>
  <c r="F1824"/>
  <c r="E1824"/>
  <c r="D1824"/>
  <c r="J1823"/>
  <c r="F1823"/>
  <c r="E1823"/>
  <c r="D1823"/>
  <c r="J1822"/>
  <c r="F1822"/>
  <c r="E1822"/>
  <c r="D1822"/>
  <c r="J1821"/>
  <c r="F1821"/>
  <c r="E1821"/>
  <c r="D1821"/>
  <c r="J1820"/>
  <c r="F1820"/>
  <c r="E1820"/>
  <c r="D1820"/>
  <c r="J1819"/>
  <c r="F1819"/>
  <c r="E1819"/>
  <c r="D1819"/>
  <c r="J1818"/>
  <c r="F1818"/>
  <c r="E1818"/>
  <c r="D1818"/>
  <c r="J1817"/>
  <c r="F1817"/>
  <c r="E1817"/>
  <c r="D1817"/>
  <c r="J1816"/>
  <c r="F1816"/>
  <c r="E1816"/>
  <c r="D1816"/>
  <c r="J1815"/>
  <c r="F1815"/>
  <c r="E1815"/>
  <c r="D1815"/>
  <c r="J1814"/>
  <c r="F1814"/>
  <c r="E1814"/>
  <c r="D1814"/>
  <c r="J1813"/>
  <c r="F1813"/>
  <c r="E1813"/>
  <c r="D1813"/>
  <c r="J1812"/>
  <c r="F1812"/>
  <c r="E1812"/>
  <c r="D1812"/>
  <c r="J1811"/>
  <c r="F1811"/>
  <c r="E1811"/>
  <c r="D1811"/>
  <c r="J1810"/>
  <c r="F1810"/>
  <c r="E1810"/>
  <c r="D1810"/>
  <c r="J1809"/>
  <c r="F1809"/>
  <c r="E1809"/>
  <c r="D1809"/>
  <c r="J1808"/>
  <c r="F1808"/>
  <c r="E1808"/>
  <c r="D1808"/>
  <c r="J1807"/>
  <c r="F1807"/>
  <c r="E1807"/>
  <c r="D1807"/>
  <c r="J1806"/>
  <c r="F1806"/>
  <c r="E1806"/>
  <c r="D1806"/>
  <c r="J1805"/>
  <c r="F1805"/>
  <c r="E1805"/>
  <c r="D1805"/>
  <c r="J1804"/>
  <c r="F1804"/>
  <c r="E1804"/>
  <c r="D1804"/>
  <c r="J1803"/>
  <c r="F1803"/>
  <c r="E1803"/>
  <c r="D1803"/>
  <c r="J1802"/>
  <c r="F1802"/>
  <c r="E1802"/>
  <c r="D1802"/>
  <c r="J1801"/>
  <c r="F1801"/>
  <c r="E1801"/>
  <c r="D1801"/>
  <c r="J1800"/>
  <c r="F1800"/>
  <c r="E1800"/>
  <c r="D1800"/>
  <c r="J1799"/>
  <c r="F1799"/>
  <c r="E1799"/>
  <c r="D1799"/>
  <c r="J1798"/>
  <c r="F1798"/>
  <c r="E1798"/>
  <c r="D1798"/>
  <c r="J1797"/>
  <c r="F1797"/>
  <c r="E1797"/>
  <c r="D1797"/>
  <c r="J1796"/>
  <c r="F1796"/>
  <c r="E1796"/>
  <c r="D1796"/>
  <c r="J1795"/>
  <c r="F1795"/>
  <c r="E1795"/>
  <c r="D1795"/>
  <c r="J1794"/>
  <c r="F1794"/>
  <c r="E1794"/>
  <c r="D1794"/>
  <c r="J1793"/>
  <c r="F1793"/>
  <c r="E1793"/>
  <c r="D1793"/>
  <c r="J1792"/>
  <c r="F1792"/>
  <c r="E1792"/>
  <c r="D1792"/>
  <c r="J1791"/>
  <c r="F1791"/>
  <c r="E1791"/>
  <c r="D1791"/>
  <c r="J1790"/>
  <c r="F1790"/>
  <c r="E1790"/>
  <c r="D1790"/>
  <c r="J1789"/>
  <c r="F1789"/>
  <c r="E1789"/>
  <c r="D1789"/>
  <c r="J1788"/>
  <c r="F1788"/>
  <c r="E1788"/>
  <c r="D1788"/>
  <c r="J1787"/>
  <c r="F1787"/>
  <c r="E1787"/>
  <c r="D1787"/>
  <c r="J1786"/>
  <c r="F1786"/>
  <c r="E1786"/>
  <c r="D1786"/>
  <c r="J1785"/>
  <c r="F1785"/>
  <c r="E1785"/>
  <c r="D1785"/>
  <c r="J1784"/>
  <c r="F1784"/>
  <c r="E1784"/>
  <c r="D1784"/>
  <c r="J1783"/>
  <c r="F1783"/>
  <c r="E1783"/>
  <c r="D1783"/>
  <c r="J1782"/>
  <c r="F1782"/>
  <c r="E1782"/>
  <c r="D1782"/>
  <c r="J1781"/>
  <c r="F1781"/>
  <c r="E1781"/>
  <c r="D1781"/>
  <c r="J1780"/>
  <c r="F1780"/>
  <c r="E1780"/>
  <c r="D1780"/>
  <c r="J1779"/>
  <c r="F1779"/>
  <c r="E1779"/>
  <c r="D1779"/>
  <c r="J1778"/>
  <c r="F1778"/>
  <c r="E1778"/>
  <c r="D1778"/>
  <c r="J1777"/>
  <c r="F1777"/>
  <c r="E1777"/>
  <c r="D1777"/>
  <c r="J1776"/>
  <c r="F1776"/>
  <c r="E1776"/>
  <c r="D1776"/>
  <c r="J1775"/>
  <c r="F1775"/>
  <c r="E1775"/>
  <c r="D1775"/>
  <c r="J1774"/>
  <c r="F1774"/>
  <c r="E1774"/>
  <c r="D1774"/>
  <c r="J1773"/>
  <c r="F1773"/>
  <c r="E1773"/>
  <c r="D1773"/>
  <c r="J1772"/>
  <c r="F1772"/>
  <c r="E1772"/>
  <c r="D1772"/>
  <c r="J1771"/>
  <c r="F1771"/>
  <c r="E1771"/>
  <c r="D1771"/>
  <c r="J1770"/>
  <c r="F1770"/>
  <c r="E1770"/>
  <c r="D1770"/>
  <c r="J1769"/>
  <c r="F1769"/>
  <c r="E1769"/>
  <c r="D1769"/>
  <c r="J1768"/>
  <c r="F1768"/>
  <c r="E1768"/>
  <c r="D1768"/>
  <c r="J1767"/>
  <c r="F1767"/>
  <c r="E1767"/>
  <c r="D1767"/>
  <c r="J1766"/>
  <c r="F1766"/>
  <c r="E1766"/>
  <c r="D1766"/>
  <c r="J1765"/>
  <c r="F1765"/>
  <c r="E1765"/>
  <c r="D1765"/>
  <c r="J1764"/>
  <c r="F1764"/>
  <c r="E1764"/>
  <c r="D1764"/>
  <c r="J1763"/>
  <c r="F1763"/>
  <c r="E1763"/>
  <c r="D1763"/>
  <c r="J1762"/>
  <c r="F1762"/>
  <c r="E1762"/>
  <c r="D1762"/>
  <c r="J1761"/>
  <c r="F1761"/>
  <c r="E1761"/>
  <c r="D1761"/>
  <c r="J1760"/>
  <c r="F1760"/>
  <c r="E1760"/>
  <c r="D1760"/>
  <c r="J1759"/>
  <c r="F1759"/>
  <c r="E1759"/>
  <c r="D1759"/>
  <c r="J1758"/>
  <c r="F1758"/>
  <c r="E1758"/>
  <c r="D1758"/>
  <c r="J1757"/>
  <c r="F1757"/>
  <c r="E1757"/>
  <c r="D1757"/>
  <c r="J1756"/>
  <c r="F1756"/>
  <c r="E1756"/>
  <c r="D1756"/>
  <c r="J1755"/>
  <c r="F1755"/>
  <c r="E1755"/>
  <c r="D1755"/>
  <c r="J1754"/>
  <c r="F1754"/>
  <c r="E1754"/>
  <c r="D1754"/>
  <c r="J1753"/>
  <c r="F1753"/>
  <c r="E1753"/>
  <c r="D1753"/>
  <c r="J1752"/>
  <c r="F1752"/>
  <c r="E1752"/>
  <c r="D1752"/>
  <c r="J1751"/>
  <c r="F1751"/>
  <c r="E1751"/>
  <c r="D1751"/>
  <c r="J1750"/>
  <c r="F1750"/>
  <c r="E1750"/>
  <c r="D1750"/>
  <c r="J1749"/>
  <c r="F1749"/>
  <c r="E1749"/>
  <c r="D1749"/>
  <c r="J1748"/>
  <c r="F1748"/>
  <c r="E1748"/>
  <c r="D1748"/>
  <c r="J1747"/>
  <c r="F1747"/>
  <c r="E1747"/>
  <c r="D1747"/>
  <c r="J1746"/>
  <c r="F1746"/>
  <c r="E1746"/>
  <c r="D1746"/>
  <c r="J1745"/>
  <c r="F1745"/>
  <c r="E1745"/>
  <c r="D1745"/>
  <c r="J1744"/>
  <c r="F1744"/>
  <c r="E1744"/>
  <c r="D1744"/>
  <c r="J1743"/>
  <c r="F1743"/>
  <c r="E1743"/>
  <c r="D1743"/>
  <c r="J1742"/>
  <c r="F1742"/>
  <c r="E1742"/>
  <c r="D1742"/>
  <c r="J1741"/>
  <c r="F1741"/>
  <c r="E1741"/>
  <c r="D1741"/>
  <c r="J1740"/>
  <c r="F1740"/>
  <c r="E1740"/>
  <c r="D1740"/>
  <c r="J1739"/>
  <c r="F1739"/>
  <c r="E1739"/>
  <c r="D1739"/>
  <c r="J1738"/>
  <c r="F1738"/>
  <c r="E1738"/>
  <c r="D1738"/>
  <c r="J1737"/>
  <c r="F1737"/>
  <c r="E1737"/>
  <c r="D1737"/>
  <c r="J1736"/>
  <c r="F1736"/>
  <c r="E1736"/>
  <c r="D1736"/>
  <c r="J1735"/>
  <c r="F1735"/>
  <c r="E1735"/>
  <c r="D1735"/>
  <c r="J1734"/>
  <c r="F1734"/>
  <c r="E1734"/>
  <c r="D1734"/>
  <c r="J1733"/>
  <c r="F1733"/>
  <c r="E1733"/>
  <c r="D1733"/>
  <c r="J1732"/>
  <c r="F1732"/>
  <c r="E1732"/>
  <c r="D1732"/>
  <c r="J1731"/>
  <c r="F1731"/>
  <c r="E1731"/>
  <c r="D1731"/>
  <c r="J1730"/>
  <c r="F1730"/>
  <c r="E1730"/>
  <c r="D1730"/>
  <c r="J1729"/>
  <c r="F1729"/>
  <c r="E1729"/>
  <c r="D1729"/>
  <c r="J1728"/>
  <c r="F1728"/>
  <c r="E1728"/>
  <c r="D1728"/>
  <c r="J1727"/>
  <c r="F1727"/>
  <c r="E1727"/>
  <c r="D1727"/>
  <c r="J1726"/>
  <c r="F1726"/>
  <c r="E1726"/>
  <c r="D1726"/>
  <c r="J1725"/>
  <c r="F1725"/>
  <c r="E1725"/>
  <c r="D1725"/>
  <c r="J1724"/>
  <c r="F1724"/>
  <c r="E1724"/>
  <c r="D1724"/>
  <c r="J1723"/>
  <c r="F1723"/>
  <c r="E1723"/>
  <c r="D1723"/>
  <c r="J1722"/>
  <c r="F1722"/>
  <c r="E1722"/>
  <c r="D1722"/>
  <c r="J1721"/>
  <c r="F1721"/>
  <c r="E1721"/>
  <c r="D1721"/>
  <c r="J1720"/>
  <c r="F1720"/>
  <c r="E1720"/>
  <c r="D1720"/>
  <c r="J1719"/>
  <c r="F1719"/>
  <c r="E1719"/>
  <c r="D1719"/>
  <c r="J1718"/>
  <c r="F1718"/>
  <c r="E1718"/>
  <c r="D1718"/>
  <c r="J1717"/>
  <c r="F1717"/>
  <c r="E1717"/>
  <c r="D1717"/>
  <c r="J1716"/>
  <c r="F1716"/>
  <c r="E1716"/>
  <c r="D1716"/>
  <c r="J1715"/>
  <c r="F1715"/>
  <c r="E1715"/>
  <c r="D1715"/>
  <c r="J1714"/>
  <c r="F1714"/>
  <c r="E1714"/>
  <c r="D1714"/>
  <c r="J1713"/>
  <c r="F1713"/>
  <c r="E1713"/>
  <c r="D1713"/>
  <c r="J1712"/>
  <c r="F1712"/>
  <c r="E1712"/>
  <c r="D1712"/>
  <c r="J1711"/>
  <c r="F1711"/>
  <c r="E1711"/>
  <c r="D1711"/>
  <c r="J1710"/>
  <c r="F1710"/>
  <c r="E1710"/>
  <c r="D1710"/>
  <c r="J1709"/>
  <c r="F1709"/>
  <c r="E1709"/>
  <c r="D1709"/>
  <c r="J1708"/>
  <c r="F1708"/>
  <c r="E1708"/>
  <c r="D1708"/>
  <c r="J1707"/>
  <c r="F1707"/>
  <c r="E1707"/>
  <c r="D1707"/>
  <c r="J1706"/>
  <c r="F1706"/>
  <c r="E1706"/>
  <c r="D1706"/>
  <c r="J1705"/>
  <c r="F1705"/>
  <c r="E1705"/>
  <c r="D1705"/>
  <c r="J1704"/>
  <c r="F1704"/>
  <c r="E1704"/>
  <c r="D1704"/>
  <c r="J1703"/>
  <c r="F1703"/>
  <c r="E1703"/>
  <c r="D1703"/>
  <c r="J1702"/>
  <c r="F1702"/>
  <c r="E1702"/>
  <c r="D1702"/>
  <c r="J1701"/>
  <c r="F1701"/>
  <c r="E1701"/>
  <c r="D1701"/>
  <c r="J1700"/>
  <c r="F1700"/>
  <c r="E1700"/>
  <c r="D1700"/>
  <c r="J1699"/>
  <c r="F1699"/>
  <c r="E1699"/>
  <c r="D1699"/>
  <c r="J1698"/>
  <c r="F1698"/>
  <c r="E1698"/>
  <c r="D1698"/>
  <c r="J1697"/>
  <c r="F1697"/>
  <c r="E1697"/>
  <c r="D1697"/>
  <c r="J1696"/>
  <c r="F1696"/>
  <c r="E1696"/>
  <c r="D1696"/>
  <c r="J1695"/>
  <c r="F1695"/>
  <c r="E1695"/>
  <c r="D1695"/>
  <c r="J1694"/>
  <c r="F1694"/>
  <c r="E1694"/>
  <c r="D1694"/>
  <c r="J1693"/>
  <c r="F1693"/>
  <c r="E1693"/>
  <c r="D1693"/>
  <c r="J1692"/>
  <c r="F1692"/>
  <c r="E1692"/>
  <c r="D1692"/>
  <c r="J1691"/>
  <c r="F1691"/>
  <c r="E1691"/>
  <c r="D1691"/>
  <c r="J1690"/>
  <c r="F1690"/>
  <c r="E1690"/>
  <c r="D1690"/>
  <c r="J1689"/>
  <c r="F1689"/>
  <c r="E1689"/>
  <c r="D1689"/>
  <c r="J1688"/>
  <c r="F1688"/>
  <c r="E1688"/>
  <c r="D1688"/>
  <c r="J1687"/>
  <c r="F1687"/>
  <c r="E1687"/>
  <c r="D1687"/>
  <c r="J1686"/>
  <c r="F1686"/>
  <c r="E1686"/>
  <c r="D1686"/>
  <c r="J1685"/>
  <c r="F1685"/>
  <c r="E1685"/>
  <c r="D1685"/>
  <c r="J1684"/>
  <c r="F1684"/>
  <c r="E1684"/>
  <c r="D1684"/>
  <c r="J1683"/>
  <c r="F1683"/>
  <c r="E1683"/>
  <c r="D1683"/>
  <c r="J1682"/>
  <c r="F1682"/>
  <c r="E1682"/>
  <c r="D1682"/>
  <c r="J1681"/>
  <c r="F1681"/>
  <c r="E1681"/>
  <c r="D1681"/>
  <c r="C1681"/>
  <c r="J1680"/>
  <c r="F1680"/>
  <c r="E1680"/>
  <c r="D1680"/>
  <c r="C1680"/>
  <c r="J1679"/>
  <c r="F1679"/>
  <c r="E1679"/>
  <c r="D1679"/>
  <c r="C1679"/>
  <c r="J1678"/>
  <c r="F1678"/>
  <c r="E1678"/>
  <c r="D1678"/>
  <c r="C1678"/>
  <c r="J1677"/>
  <c r="F1677"/>
  <c r="E1677"/>
  <c r="D1677"/>
  <c r="C1677"/>
  <c r="J1676"/>
  <c r="F1676"/>
  <c r="E1676"/>
  <c r="D1676"/>
  <c r="C1676"/>
  <c r="J1675"/>
  <c r="F1675"/>
  <c r="E1675"/>
  <c r="D1675"/>
  <c r="C1675"/>
  <c r="J1674"/>
  <c r="F1674"/>
  <c r="E1674"/>
  <c r="D1674"/>
  <c r="C1674"/>
  <c r="J1673"/>
  <c r="F1673"/>
  <c r="E1673"/>
  <c r="D1673"/>
  <c r="C1673"/>
  <c r="J1672"/>
  <c r="F1672"/>
  <c r="E1672"/>
  <c r="D1672"/>
  <c r="C1672"/>
  <c r="J1671"/>
  <c r="F1671"/>
  <c r="E1671"/>
  <c r="D1671"/>
  <c r="C1671"/>
  <c r="J1670"/>
  <c r="F1670"/>
  <c r="E1670"/>
  <c r="D1670"/>
  <c r="C1670"/>
  <c r="J1669"/>
  <c r="F1669"/>
  <c r="E1669"/>
  <c r="D1669"/>
  <c r="C1669"/>
  <c r="J1668"/>
  <c r="F1668"/>
  <c r="E1668"/>
  <c r="D1668"/>
  <c r="C1668"/>
  <c r="J1667"/>
  <c r="F1667"/>
  <c r="E1667"/>
  <c r="D1667"/>
  <c r="C1667"/>
  <c r="J1666"/>
  <c r="F1666"/>
  <c r="E1666"/>
  <c r="D1666"/>
  <c r="C1666"/>
  <c r="J1665"/>
  <c r="F1665"/>
  <c r="E1665"/>
  <c r="D1665"/>
  <c r="C1665"/>
  <c r="J1664"/>
  <c r="F1664"/>
  <c r="E1664"/>
  <c r="D1664"/>
  <c r="C1664"/>
  <c r="J1663"/>
  <c r="F1663"/>
  <c r="E1663"/>
  <c r="D1663"/>
  <c r="C1663"/>
  <c r="J1662"/>
  <c r="F1662"/>
  <c r="E1662"/>
  <c r="D1662"/>
  <c r="C1662"/>
  <c r="J1661"/>
  <c r="F1661"/>
  <c r="E1661"/>
  <c r="D1661"/>
  <c r="C1661"/>
  <c r="J1660"/>
  <c r="F1660"/>
  <c r="E1660"/>
  <c r="D1660"/>
  <c r="C1660"/>
  <c r="J1659"/>
  <c r="F1659"/>
  <c r="E1659"/>
  <c r="D1659"/>
  <c r="C1659"/>
  <c r="J1658"/>
  <c r="F1658"/>
  <c r="E1658"/>
  <c r="D1658"/>
  <c r="C1658"/>
  <c r="J1657"/>
  <c r="F1657"/>
  <c r="E1657"/>
  <c r="D1657"/>
  <c r="C1657"/>
  <c r="J1656"/>
  <c r="F1656"/>
  <c r="E1656"/>
  <c r="D1656"/>
  <c r="C1656"/>
  <c r="J1655"/>
  <c r="F1655"/>
  <c r="E1655"/>
  <c r="D1655"/>
  <c r="C1655"/>
  <c r="J1654"/>
  <c r="F1654"/>
  <c r="E1654"/>
  <c r="D1654"/>
  <c r="C1654"/>
  <c r="J1653"/>
  <c r="F1653"/>
  <c r="E1653"/>
  <c r="D1653"/>
  <c r="C1653"/>
  <c r="J1652"/>
  <c r="F1652"/>
  <c r="E1652"/>
  <c r="D1652"/>
  <c r="C1652"/>
  <c r="J1651"/>
  <c r="F1651"/>
  <c r="E1651"/>
  <c r="D1651"/>
  <c r="C1651"/>
  <c r="J1650"/>
  <c r="F1650"/>
  <c r="E1650"/>
  <c r="D1650"/>
  <c r="C1650"/>
  <c r="J1649"/>
  <c r="F1649"/>
  <c r="E1649"/>
  <c r="D1649"/>
  <c r="C1649"/>
  <c r="J1648"/>
  <c r="F1648"/>
  <c r="E1648"/>
  <c r="D1648"/>
  <c r="C1648"/>
  <c r="J1647"/>
  <c r="F1647"/>
  <c r="E1647"/>
  <c r="D1647"/>
  <c r="C1647"/>
  <c r="J1646"/>
  <c r="F1646"/>
  <c r="E1646"/>
  <c r="D1646"/>
  <c r="C1646"/>
  <c r="J1645"/>
  <c r="F1645"/>
  <c r="E1645"/>
  <c r="D1645"/>
  <c r="C1645"/>
  <c r="J1644"/>
  <c r="F1644"/>
  <c r="E1644"/>
  <c r="D1644"/>
  <c r="C1644"/>
  <c r="J1643"/>
  <c r="F1643"/>
  <c r="E1643"/>
  <c r="D1643"/>
  <c r="C1643"/>
  <c r="J1642"/>
  <c r="F1642"/>
  <c r="E1642"/>
  <c r="D1642"/>
  <c r="C1642"/>
  <c r="J1641"/>
  <c r="F1641"/>
  <c r="E1641"/>
  <c r="D1641"/>
  <c r="C1641"/>
  <c r="J1640"/>
  <c r="F1640"/>
  <c r="E1640"/>
  <c r="D1640"/>
  <c r="C1640"/>
  <c r="J1639"/>
  <c r="F1639"/>
  <c r="E1639"/>
  <c r="D1639"/>
  <c r="C1639"/>
  <c r="J1638"/>
  <c r="F1638"/>
  <c r="E1638"/>
  <c r="D1638"/>
  <c r="C1638"/>
  <c r="J1637"/>
  <c r="F1637"/>
  <c r="E1637"/>
  <c r="D1637"/>
  <c r="C1637"/>
  <c r="J1636"/>
  <c r="F1636"/>
  <c r="E1636"/>
  <c r="D1636"/>
  <c r="C1636"/>
  <c r="J1635"/>
  <c r="F1635"/>
  <c r="E1635"/>
  <c r="D1635"/>
  <c r="C1635"/>
  <c r="J1634"/>
  <c r="F1634"/>
  <c r="E1634"/>
  <c r="D1634"/>
  <c r="C1634"/>
  <c r="J1633"/>
  <c r="F1633"/>
  <c r="E1633"/>
  <c r="D1633"/>
  <c r="C1633"/>
  <c r="J1632"/>
  <c r="F1632"/>
  <c r="E1632"/>
  <c r="D1632"/>
  <c r="C1632"/>
  <c r="J1631"/>
  <c r="F1631"/>
  <c r="E1631"/>
  <c r="D1631"/>
  <c r="C1631"/>
  <c r="J1630"/>
  <c r="F1630"/>
  <c r="E1630"/>
  <c r="D1630"/>
  <c r="C1630"/>
  <c r="J1629"/>
  <c r="F1629"/>
  <c r="E1629"/>
  <c r="D1629"/>
  <c r="C1629"/>
  <c r="J1628"/>
  <c r="F1628"/>
  <c r="E1628"/>
  <c r="D1628"/>
  <c r="C1628"/>
  <c r="J1627"/>
  <c r="F1627"/>
  <c r="E1627"/>
  <c r="D1627"/>
  <c r="C1627"/>
  <c r="J1626"/>
  <c r="F1626"/>
  <c r="E1626"/>
  <c r="D1626"/>
  <c r="C1626"/>
  <c r="J1625"/>
  <c r="F1625"/>
  <c r="E1625"/>
  <c r="D1625"/>
  <c r="C1625"/>
  <c r="J1624"/>
  <c r="F1624"/>
  <c r="E1624"/>
  <c r="D1624"/>
  <c r="C1624"/>
  <c r="J1623"/>
  <c r="F1623"/>
  <c r="E1623"/>
  <c r="D1623"/>
  <c r="C1623"/>
  <c r="J1622"/>
  <c r="F1622"/>
  <c r="E1622"/>
  <c r="D1622"/>
  <c r="C1622"/>
  <c r="J1621"/>
  <c r="F1621"/>
  <c r="E1621"/>
  <c r="D1621"/>
  <c r="C1621"/>
  <c r="J1620"/>
  <c r="F1620"/>
  <c r="E1620"/>
  <c r="D1620"/>
  <c r="C1620"/>
  <c r="J1619"/>
  <c r="F1619"/>
  <c r="E1619"/>
  <c r="D1619"/>
  <c r="C1619"/>
  <c r="J1618"/>
  <c r="F1618"/>
  <c r="E1618"/>
  <c r="D1618"/>
  <c r="C1618"/>
  <c r="J1617"/>
  <c r="F1617"/>
  <c r="E1617"/>
  <c r="D1617"/>
  <c r="C1617"/>
  <c r="J1616"/>
  <c r="F1616"/>
  <c r="E1616"/>
  <c r="D1616"/>
  <c r="C1616"/>
  <c r="J1615"/>
  <c r="F1615"/>
  <c r="E1615"/>
  <c r="D1615"/>
  <c r="C1615"/>
  <c r="J1614"/>
  <c r="F1614"/>
  <c r="E1614"/>
  <c r="D1614"/>
  <c r="C1614"/>
  <c r="J1613"/>
  <c r="F1613"/>
  <c r="E1613"/>
  <c r="D1613"/>
  <c r="C1613"/>
  <c r="J1612"/>
  <c r="F1612"/>
  <c r="E1612"/>
  <c r="D1612"/>
  <c r="C1612"/>
  <c r="J1611"/>
  <c r="F1611"/>
  <c r="E1611"/>
  <c r="D1611"/>
  <c r="C1611"/>
  <c r="J1610"/>
  <c r="F1610"/>
  <c r="E1610"/>
  <c r="D1610"/>
  <c r="C1610"/>
  <c r="J1609"/>
  <c r="F1609"/>
  <c r="E1609"/>
  <c r="D1609"/>
  <c r="C1609"/>
  <c r="J1608"/>
  <c r="F1608"/>
  <c r="E1608"/>
  <c r="D1608"/>
  <c r="C1608"/>
  <c r="J1607"/>
  <c r="F1607"/>
  <c r="E1607"/>
  <c r="D1607"/>
  <c r="C1607"/>
  <c r="J1606"/>
  <c r="F1606"/>
  <c r="E1606"/>
  <c r="D1606"/>
  <c r="C1606"/>
  <c r="J1605"/>
  <c r="F1605"/>
  <c r="E1605"/>
  <c r="D1605"/>
  <c r="C1605"/>
  <c r="J1604"/>
  <c r="F1604"/>
  <c r="E1604"/>
  <c r="D1604"/>
  <c r="C1604"/>
  <c r="J1603"/>
  <c r="F1603"/>
  <c r="E1603"/>
  <c r="D1603"/>
  <c r="C1603"/>
  <c r="J1602"/>
  <c r="F1602"/>
  <c r="E1602"/>
  <c r="D1602"/>
  <c r="C1602"/>
  <c r="J1601"/>
  <c r="F1601"/>
  <c r="E1601"/>
  <c r="D1601"/>
  <c r="C1601"/>
  <c r="J1600"/>
  <c r="F1600"/>
  <c r="E1600"/>
  <c r="D1600"/>
  <c r="C1600"/>
  <c r="J1599"/>
  <c r="F1599"/>
  <c r="E1599"/>
  <c r="D1599"/>
  <c r="C1599"/>
  <c r="J1598"/>
  <c r="F1598"/>
  <c r="E1598"/>
  <c r="D1598"/>
  <c r="C1598"/>
  <c r="J1597"/>
  <c r="F1597"/>
  <c r="E1597"/>
  <c r="D1597"/>
  <c r="C1597"/>
  <c r="J1596"/>
  <c r="F1596"/>
  <c r="E1596"/>
  <c r="D1596"/>
  <c r="C1596"/>
  <c r="J1595"/>
  <c r="F1595"/>
  <c r="E1595"/>
  <c r="D1595"/>
  <c r="C1595"/>
  <c r="J1594"/>
  <c r="F1594"/>
  <c r="E1594"/>
  <c r="D1594"/>
  <c r="C1594"/>
  <c r="J1593"/>
  <c r="F1593"/>
  <c r="E1593"/>
  <c r="D1593"/>
  <c r="C1593"/>
  <c r="J1592"/>
  <c r="F1592"/>
  <c r="E1592"/>
  <c r="D1592"/>
  <c r="C1592"/>
  <c r="J1591"/>
  <c r="F1591"/>
  <c r="E1591"/>
  <c r="D1591"/>
  <c r="C1591"/>
  <c r="J1590"/>
  <c r="F1590"/>
  <c r="E1590"/>
  <c r="D1590"/>
  <c r="C1590"/>
  <c r="J1589"/>
  <c r="F1589"/>
  <c r="E1589"/>
  <c r="D1589"/>
  <c r="C1589"/>
  <c r="J1588"/>
  <c r="F1588"/>
  <c r="E1588"/>
  <c r="D1588"/>
  <c r="C1588"/>
  <c r="J1587"/>
  <c r="F1587"/>
  <c r="E1587"/>
  <c r="D1587"/>
  <c r="C1587"/>
  <c r="J1586"/>
  <c r="F1586"/>
  <c r="E1586"/>
  <c r="D1586"/>
  <c r="C1586"/>
  <c r="J1585"/>
  <c r="F1585"/>
  <c r="E1585"/>
  <c r="D1585"/>
  <c r="C1585"/>
  <c r="J1584"/>
  <c r="F1584"/>
  <c r="E1584"/>
  <c r="D1584"/>
  <c r="C1584"/>
  <c r="J1583"/>
  <c r="F1583"/>
  <c r="E1583"/>
  <c r="D1583"/>
  <c r="C1583"/>
  <c r="J1582"/>
  <c r="F1582"/>
  <c r="E1582"/>
  <c r="D1582"/>
  <c r="C1582"/>
  <c r="J1581"/>
  <c r="F1581"/>
  <c r="E1581"/>
  <c r="D1581"/>
  <c r="C1581"/>
  <c r="J1580"/>
  <c r="F1580"/>
  <c r="E1580"/>
  <c r="D1580"/>
  <c r="C1580"/>
  <c r="J1579"/>
  <c r="F1579"/>
  <c r="E1579"/>
  <c r="D1579"/>
  <c r="C1579"/>
  <c r="J1578"/>
  <c r="F1578"/>
  <c r="E1578"/>
  <c r="D1578"/>
  <c r="C1578"/>
  <c r="J1577"/>
  <c r="F1577"/>
  <c r="E1577"/>
  <c r="D1577"/>
  <c r="C1577"/>
  <c r="J1576"/>
  <c r="F1576"/>
  <c r="E1576"/>
  <c r="D1576"/>
  <c r="C1576"/>
  <c r="J1575"/>
  <c r="F1575"/>
  <c r="E1575"/>
  <c r="D1575"/>
  <c r="C1575"/>
  <c r="J1574"/>
  <c r="F1574"/>
  <c r="E1574"/>
  <c r="D1574"/>
  <c r="C1574"/>
  <c r="J1573"/>
  <c r="F1573"/>
  <c r="E1573"/>
  <c r="D1573"/>
  <c r="C1573"/>
  <c r="J1572"/>
  <c r="F1572"/>
  <c r="E1572"/>
  <c r="D1572"/>
  <c r="C1572"/>
  <c r="J1571"/>
  <c r="F1571"/>
  <c r="E1571"/>
  <c r="D1571"/>
  <c r="C1571"/>
  <c r="J1570"/>
  <c r="F1570"/>
  <c r="E1570"/>
  <c r="D1570"/>
  <c r="C1570"/>
  <c r="J1569"/>
  <c r="F1569"/>
  <c r="E1569"/>
  <c r="D1569"/>
  <c r="C1569"/>
  <c r="J1568"/>
  <c r="F1568"/>
  <c r="E1568"/>
  <c r="D1568"/>
  <c r="C1568"/>
  <c r="J1567"/>
  <c r="F1567"/>
  <c r="E1567"/>
  <c r="D1567"/>
  <c r="C1567"/>
  <c r="J1566"/>
  <c r="F1566"/>
  <c r="E1566"/>
  <c r="D1566"/>
  <c r="C1566"/>
  <c r="J1565"/>
  <c r="F1565"/>
  <c r="E1565"/>
  <c r="D1565"/>
  <c r="C1565"/>
  <c r="J1564"/>
  <c r="F1564"/>
  <c r="E1564"/>
  <c r="D1564"/>
  <c r="C1564"/>
  <c r="J1563"/>
  <c r="F1563"/>
  <c r="E1563"/>
  <c r="D1563"/>
  <c r="C1563"/>
  <c r="J1562"/>
  <c r="F1562"/>
  <c r="E1562"/>
  <c r="D1562"/>
  <c r="C1562"/>
  <c r="J1561"/>
  <c r="F1561"/>
  <c r="E1561"/>
  <c r="D1561"/>
  <c r="C1561"/>
  <c r="J1560"/>
  <c r="F1560"/>
  <c r="E1560"/>
  <c r="D1560"/>
  <c r="C1560"/>
  <c r="J1559"/>
  <c r="F1559"/>
  <c r="E1559"/>
  <c r="D1559"/>
  <c r="C1559"/>
  <c r="J1558"/>
  <c r="F1558"/>
  <c r="E1558"/>
  <c r="D1558"/>
  <c r="C1558"/>
  <c r="J1557"/>
  <c r="F1557"/>
  <c r="E1557"/>
  <c r="D1557"/>
  <c r="C1557"/>
  <c r="J1556"/>
  <c r="F1556"/>
  <c r="E1556"/>
  <c r="D1556"/>
  <c r="C1556"/>
  <c r="J1555"/>
  <c r="F1555"/>
  <c r="E1555"/>
  <c r="D1555"/>
  <c r="C1555"/>
  <c r="J1554"/>
  <c r="F1554"/>
  <c r="E1554"/>
  <c r="D1554"/>
  <c r="C1554"/>
  <c r="J1553"/>
  <c r="F1553"/>
  <c r="E1553"/>
  <c r="D1553"/>
  <c r="C1553"/>
  <c r="J1552"/>
  <c r="F1552"/>
  <c r="E1552"/>
  <c r="D1552"/>
  <c r="C1552"/>
  <c r="J1551"/>
  <c r="F1551"/>
  <c r="E1551"/>
  <c r="D1551"/>
  <c r="C1551"/>
  <c r="J1550"/>
  <c r="F1550"/>
  <c r="E1550"/>
  <c r="D1550"/>
  <c r="C1550"/>
  <c r="J1549"/>
  <c r="F1549"/>
  <c r="E1549"/>
  <c r="D1549"/>
  <c r="C1549"/>
  <c r="J1548"/>
  <c r="F1548"/>
  <c r="E1548"/>
  <c r="D1548"/>
  <c r="C1548"/>
  <c r="J1547"/>
  <c r="F1547"/>
  <c r="E1547"/>
  <c r="D1547"/>
  <c r="C1547"/>
  <c r="J1546"/>
  <c r="F1546"/>
  <c r="E1546"/>
  <c r="D1546"/>
  <c r="C1546"/>
  <c r="J1545"/>
  <c r="F1545"/>
  <c r="E1545"/>
  <c r="D1545"/>
  <c r="C1545"/>
  <c r="J1544"/>
  <c r="F1544"/>
  <c r="E1544"/>
  <c r="D1544"/>
  <c r="C1544"/>
  <c r="J1543"/>
  <c r="F1543"/>
  <c r="E1543"/>
  <c r="D1543"/>
  <c r="C1543"/>
  <c r="J1542"/>
  <c r="F1542"/>
  <c r="E1542"/>
  <c r="D1542"/>
  <c r="C1542"/>
  <c r="J1541"/>
  <c r="F1541"/>
  <c r="E1541"/>
  <c r="D1541"/>
  <c r="C1541"/>
  <c r="J1540"/>
  <c r="F1540"/>
  <c r="E1540"/>
  <c r="D1540"/>
  <c r="C1540"/>
  <c r="J1539"/>
  <c r="F1539"/>
  <c r="E1539"/>
  <c r="D1539"/>
  <c r="C1539"/>
  <c r="J1538"/>
  <c r="F1538"/>
  <c r="E1538"/>
  <c r="D1538"/>
  <c r="C1538"/>
  <c r="J1537"/>
  <c r="F1537"/>
  <c r="E1537"/>
  <c r="D1537"/>
  <c r="C1537"/>
  <c r="J1536"/>
  <c r="F1536"/>
  <c r="E1536"/>
  <c r="D1536"/>
  <c r="C1536"/>
  <c r="J1535"/>
  <c r="F1535"/>
  <c r="E1535"/>
  <c r="D1535"/>
  <c r="C1535"/>
  <c r="J1534"/>
  <c r="F1534"/>
  <c r="E1534"/>
  <c r="D1534"/>
  <c r="C1534"/>
  <c r="J1533"/>
  <c r="F1533"/>
  <c r="E1533"/>
  <c r="D1533"/>
  <c r="C1533"/>
  <c r="J1532"/>
  <c r="F1532"/>
  <c r="E1532"/>
  <c r="D1532"/>
  <c r="C1532"/>
  <c r="J1531"/>
  <c r="F1531"/>
  <c r="E1531"/>
  <c r="D1531"/>
  <c r="C1531"/>
  <c r="J1530"/>
  <c r="F1530"/>
  <c r="E1530"/>
  <c r="D1530"/>
  <c r="C1530"/>
  <c r="J1529"/>
  <c r="F1529"/>
  <c r="E1529"/>
  <c r="D1529"/>
  <c r="C1529"/>
  <c r="J1528"/>
  <c r="F1528"/>
  <c r="E1528"/>
  <c r="D1528"/>
  <c r="C1528"/>
  <c r="J1527"/>
  <c r="F1527"/>
  <c r="E1527"/>
  <c r="D1527"/>
  <c r="C1527"/>
  <c r="J1526"/>
  <c r="F1526"/>
  <c r="E1526"/>
  <c r="D1526"/>
  <c r="C1526"/>
  <c r="J1525"/>
  <c r="F1525"/>
  <c r="E1525"/>
  <c r="D1525"/>
  <c r="C1525"/>
  <c r="J1524"/>
  <c r="F1524"/>
  <c r="E1524"/>
  <c r="D1524"/>
  <c r="C1524"/>
  <c r="J1523"/>
  <c r="F1523"/>
  <c r="E1523"/>
  <c r="D1523"/>
  <c r="C1523"/>
  <c r="J1522"/>
  <c r="F1522"/>
  <c r="E1522"/>
  <c r="D1522"/>
  <c r="C1522"/>
  <c r="J1521"/>
  <c r="F1521"/>
  <c r="E1521"/>
  <c r="D1521"/>
  <c r="C1521"/>
  <c r="J1520"/>
  <c r="F1520"/>
  <c r="E1520"/>
  <c r="D1520"/>
  <c r="C1520"/>
  <c r="J1519"/>
  <c r="F1519"/>
  <c r="E1519"/>
  <c r="D1519"/>
  <c r="C1519"/>
  <c r="J1518"/>
  <c r="F1518"/>
  <c r="E1518"/>
  <c r="D1518"/>
  <c r="C1518"/>
  <c r="J1517"/>
  <c r="F1517"/>
  <c r="E1517"/>
  <c r="D1517"/>
  <c r="C1517"/>
  <c r="J1516"/>
  <c r="F1516"/>
  <c r="E1516"/>
  <c r="D1516"/>
  <c r="C1516"/>
  <c r="J1515"/>
  <c r="F1515"/>
  <c r="E1515"/>
  <c r="D1515"/>
  <c r="C1515"/>
  <c r="J1514"/>
  <c r="F1514"/>
  <c r="E1514"/>
  <c r="D1514"/>
  <c r="C1514"/>
  <c r="J1513"/>
  <c r="F1513"/>
  <c r="E1513"/>
  <c r="D1513"/>
  <c r="C1513"/>
  <c r="J1512"/>
  <c r="F1512"/>
  <c r="E1512"/>
  <c r="D1512"/>
  <c r="C1512"/>
  <c r="J1511"/>
  <c r="F1511"/>
  <c r="E1511"/>
  <c r="D1511"/>
  <c r="C1511"/>
  <c r="J1510"/>
  <c r="F1510"/>
  <c r="E1510"/>
  <c r="D1510"/>
  <c r="C1510"/>
  <c r="J1509"/>
  <c r="F1509"/>
  <c r="E1509"/>
  <c r="D1509"/>
  <c r="C1509"/>
  <c r="J1508"/>
  <c r="F1508"/>
  <c r="E1508"/>
  <c r="D1508"/>
  <c r="C1508"/>
  <c r="J1507"/>
  <c r="F1507"/>
  <c r="E1507"/>
  <c r="D1507"/>
  <c r="C1507"/>
  <c r="J1506"/>
  <c r="F1506"/>
  <c r="E1506"/>
  <c r="D1506"/>
  <c r="C1506"/>
  <c r="J1505"/>
  <c r="F1505"/>
  <c r="E1505"/>
  <c r="D1505"/>
  <c r="C1505"/>
  <c r="J1504"/>
  <c r="F1504"/>
  <c r="E1504"/>
  <c r="D1504"/>
  <c r="C1504"/>
  <c r="J1503"/>
  <c r="F1503"/>
  <c r="E1503"/>
  <c r="D1503"/>
  <c r="C1503"/>
  <c r="J1502"/>
  <c r="F1502"/>
  <c r="E1502"/>
  <c r="D1502"/>
  <c r="C1502"/>
  <c r="J1501"/>
  <c r="F1501"/>
  <c r="E1501"/>
  <c r="D1501"/>
  <c r="C1501"/>
  <c r="J1500"/>
  <c r="F1500"/>
  <c r="E1500"/>
  <c r="D1500"/>
  <c r="C1500"/>
  <c r="J1499"/>
  <c r="F1499"/>
  <c r="E1499"/>
  <c r="D1499"/>
  <c r="C1499"/>
  <c r="J1498"/>
  <c r="F1498"/>
  <c r="E1498"/>
  <c r="D1498"/>
  <c r="C1498"/>
  <c r="J1497"/>
  <c r="F1497"/>
  <c r="E1497"/>
  <c r="D1497"/>
  <c r="C1497"/>
  <c r="J1496"/>
  <c r="F1496"/>
  <c r="E1496"/>
  <c r="D1496"/>
  <c r="C1496"/>
  <c r="J1495"/>
  <c r="F1495"/>
  <c r="E1495"/>
  <c r="D1495"/>
  <c r="C1495"/>
  <c r="J1494"/>
  <c r="F1494"/>
  <c r="E1494"/>
  <c r="D1494"/>
  <c r="C1494"/>
  <c r="J1493"/>
  <c r="F1493"/>
  <c r="E1493"/>
  <c r="D1493"/>
  <c r="C1493"/>
  <c r="J1492"/>
  <c r="F1492"/>
  <c r="E1492"/>
  <c r="D1492"/>
  <c r="C1492"/>
  <c r="J1491"/>
  <c r="F1491"/>
  <c r="E1491"/>
  <c r="D1491"/>
  <c r="C1491"/>
  <c r="J1490"/>
  <c r="F1490"/>
  <c r="E1490"/>
  <c r="D1490"/>
  <c r="C1490"/>
  <c r="J1489"/>
  <c r="F1489"/>
  <c r="E1489"/>
  <c r="D1489"/>
  <c r="C1489"/>
  <c r="J1488"/>
  <c r="F1488"/>
  <c r="E1488"/>
  <c r="D1488"/>
  <c r="C1488"/>
  <c r="J1487"/>
  <c r="F1487"/>
  <c r="E1487"/>
  <c r="D1487"/>
  <c r="C1487"/>
  <c r="J1486"/>
  <c r="F1486"/>
  <c r="E1486"/>
  <c r="D1486"/>
  <c r="C1486"/>
  <c r="J1485"/>
  <c r="F1485"/>
  <c r="E1485"/>
  <c r="D1485"/>
  <c r="C1485"/>
  <c r="J1484"/>
  <c r="F1484"/>
  <c r="E1484"/>
  <c r="D1484"/>
  <c r="C1484"/>
  <c r="J1483"/>
  <c r="F1483"/>
  <c r="E1483"/>
  <c r="D1483"/>
  <c r="C1483"/>
  <c r="J1482"/>
  <c r="F1482"/>
  <c r="E1482"/>
  <c r="D1482"/>
  <c r="C1482"/>
  <c r="J1481"/>
  <c r="F1481"/>
  <c r="E1481"/>
  <c r="D1481"/>
  <c r="C1481"/>
  <c r="J1480"/>
  <c r="F1480"/>
  <c r="E1480"/>
  <c r="D1480"/>
  <c r="C1480"/>
  <c r="J1479"/>
  <c r="F1479"/>
  <c r="E1479"/>
  <c r="D1479"/>
  <c r="C1479"/>
  <c r="J1478"/>
  <c r="F1478"/>
  <c r="E1478"/>
  <c r="D1478"/>
  <c r="C1478"/>
  <c r="J1477"/>
  <c r="F1477"/>
  <c r="E1477"/>
  <c r="D1477"/>
  <c r="C1477"/>
  <c r="J1476"/>
  <c r="F1476"/>
  <c r="E1476"/>
  <c r="D1476"/>
  <c r="C1476"/>
  <c r="J1475"/>
  <c r="F1475"/>
  <c r="E1475"/>
  <c r="D1475"/>
  <c r="C1475"/>
  <c r="J1474"/>
  <c r="F1474"/>
  <c r="E1474"/>
  <c r="D1474"/>
  <c r="C1474"/>
  <c r="J1473"/>
  <c r="F1473"/>
  <c r="E1473"/>
  <c r="D1473"/>
  <c r="C1473"/>
  <c r="J1472"/>
  <c r="F1472"/>
  <c r="E1472"/>
  <c r="D1472"/>
  <c r="C1472"/>
  <c r="J1471"/>
  <c r="F1471"/>
  <c r="E1471"/>
  <c r="D1471"/>
  <c r="C1471"/>
  <c r="J1470"/>
  <c r="F1470"/>
  <c r="E1470"/>
  <c r="D1470"/>
  <c r="C1470"/>
  <c r="J1469"/>
  <c r="F1469"/>
  <c r="E1469"/>
  <c r="D1469"/>
  <c r="C1469"/>
  <c r="J1468"/>
  <c r="F1468"/>
  <c r="E1468"/>
  <c r="D1468"/>
  <c r="C1468"/>
  <c r="J1467"/>
  <c r="F1467"/>
  <c r="E1467"/>
  <c r="D1467"/>
  <c r="C1467"/>
  <c r="J1466"/>
  <c r="F1466"/>
  <c r="E1466"/>
  <c r="D1466"/>
  <c r="C1466"/>
  <c r="J1465"/>
  <c r="F1465"/>
  <c r="E1465"/>
  <c r="D1465"/>
  <c r="C1465"/>
  <c r="J1464"/>
  <c r="F1464"/>
  <c r="E1464"/>
  <c r="D1464"/>
  <c r="C1464"/>
  <c r="J1463"/>
  <c r="F1463"/>
  <c r="E1463"/>
  <c r="D1463"/>
  <c r="C1463"/>
  <c r="J1462"/>
  <c r="F1462"/>
  <c r="E1462"/>
  <c r="D1462"/>
  <c r="C1462"/>
  <c r="J1461"/>
  <c r="F1461"/>
  <c r="E1461"/>
  <c r="D1461"/>
  <c r="C1461"/>
  <c r="J1460"/>
  <c r="F1460"/>
  <c r="E1460"/>
  <c r="D1460"/>
  <c r="C1460"/>
  <c r="J1459"/>
  <c r="F1459"/>
  <c r="E1459"/>
  <c r="D1459"/>
  <c r="C1459"/>
  <c r="J1458"/>
  <c r="F1458"/>
  <c r="E1458"/>
  <c r="D1458"/>
  <c r="C1458"/>
  <c r="J1457"/>
  <c r="F1457"/>
  <c r="E1457"/>
  <c r="D1457"/>
  <c r="C1457"/>
  <c r="J1456"/>
  <c r="F1456"/>
  <c r="E1456"/>
  <c r="D1456"/>
  <c r="C1456"/>
  <c r="J1455"/>
  <c r="F1455"/>
  <c r="E1455"/>
  <c r="D1455"/>
  <c r="C1455"/>
  <c r="J1454"/>
  <c r="F1454"/>
  <c r="E1454"/>
  <c r="D1454"/>
  <c r="C1454"/>
  <c r="J1453"/>
  <c r="F1453"/>
  <c r="E1453"/>
  <c r="D1453"/>
  <c r="C1453"/>
  <c r="J1452"/>
  <c r="F1452"/>
  <c r="E1452"/>
  <c r="D1452"/>
  <c r="C1452"/>
  <c r="J1451"/>
  <c r="F1451"/>
  <c r="E1451"/>
  <c r="D1451"/>
  <c r="C1451"/>
  <c r="J1450"/>
  <c r="F1450"/>
  <c r="E1450"/>
  <c r="D1450"/>
  <c r="C1450"/>
  <c r="J1449"/>
  <c r="F1449"/>
  <c r="E1449"/>
  <c r="D1449"/>
  <c r="C1449"/>
  <c r="J1448"/>
  <c r="F1448"/>
  <c r="E1448"/>
  <c r="D1448"/>
  <c r="C1448"/>
  <c r="J1447"/>
  <c r="F1447"/>
  <c r="E1447"/>
  <c r="D1447"/>
  <c r="C1447"/>
  <c r="J1446"/>
  <c r="F1446"/>
  <c r="E1446"/>
  <c r="D1446"/>
  <c r="C1446"/>
  <c r="J1445"/>
  <c r="F1445"/>
  <c r="E1445"/>
  <c r="D1445"/>
  <c r="C1445"/>
  <c r="J1444"/>
  <c r="F1444"/>
  <c r="E1444"/>
  <c r="D1444"/>
  <c r="C1444"/>
  <c r="J1443"/>
  <c r="F1443"/>
  <c r="E1443"/>
  <c r="D1443"/>
  <c r="C1443"/>
  <c r="J1442"/>
  <c r="F1442"/>
  <c r="E1442"/>
  <c r="D1442"/>
  <c r="C1442"/>
  <c r="J1441"/>
  <c r="F1441"/>
  <c r="E1441"/>
  <c r="D1441"/>
  <c r="C1441"/>
  <c r="J1440"/>
  <c r="F1440"/>
  <c r="E1440"/>
  <c r="D1440"/>
  <c r="C1440"/>
  <c r="J1439"/>
  <c r="F1439"/>
  <c r="E1439"/>
  <c r="D1439"/>
  <c r="C1439"/>
  <c r="J1438"/>
  <c r="F1438"/>
  <c r="E1438"/>
  <c r="D1438"/>
  <c r="C1438"/>
  <c r="J1437"/>
  <c r="F1437"/>
  <c r="E1437"/>
  <c r="D1437"/>
  <c r="C1437"/>
  <c r="J1436"/>
  <c r="F1436"/>
  <c r="E1436"/>
  <c r="D1436"/>
  <c r="C1436"/>
  <c r="J1435"/>
  <c r="F1435"/>
  <c r="E1435"/>
  <c r="D1435"/>
  <c r="C1435"/>
  <c r="J1434"/>
  <c r="F1434"/>
  <c r="E1434"/>
  <c r="D1434"/>
  <c r="C1434"/>
  <c r="J1433"/>
  <c r="F1433"/>
  <c r="E1433"/>
  <c r="D1433"/>
  <c r="C1433"/>
  <c r="J1432"/>
  <c r="F1432"/>
  <c r="E1432"/>
  <c r="D1432"/>
  <c r="C1432"/>
  <c r="J1431"/>
  <c r="F1431"/>
  <c r="E1431"/>
  <c r="D1431"/>
  <c r="C1431"/>
  <c r="J1430"/>
  <c r="F1430"/>
  <c r="E1430"/>
  <c r="D1430"/>
  <c r="C1430"/>
  <c r="J1429"/>
  <c r="F1429"/>
  <c r="E1429"/>
  <c r="D1429"/>
  <c r="C1429"/>
  <c r="J1428"/>
  <c r="F1428"/>
  <c r="E1428"/>
  <c r="D1428"/>
  <c r="C1428"/>
  <c r="J1427"/>
  <c r="F1427"/>
  <c r="E1427"/>
  <c r="D1427"/>
  <c r="C1427"/>
  <c r="J1426"/>
  <c r="F1426"/>
  <c r="E1426"/>
  <c r="D1426"/>
  <c r="C1426"/>
  <c r="J1425"/>
  <c r="F1425"/>
  <c r="E1425"/>
  <c r="D1425"/>
  <c r="C1425"/>
  <c r="J1424"/>
  <c r="F1424"/>
  <c r="E1424"/>
  <c r="D1424"/>
  <c r="C1424"/>
  <c r="J1423"/>
  <c r="F1423"/>
  <c r="E1423"/>
  <c r="D1423"/>
  <c r="C1423"/>
  <c r="J1422"/>
  <c r="F1422"/>
  <c r="E1422"/>
  <c r="D1422"/>
  <c r="C1422"/>
  <c r="J1421"/>
  <c r="F1421"/>
  <c r="E1421"/>
  <c r="D1421"/>
  <c r="C1421"/>
  <c r="J1420"/>
  <c r="F1420"/>
  <c r="E1420"/>
  <c r="D1420"/>
  <c r="C1420"/>
  <c r="J1419"/>
  <c r="F1419"/>
  <c r="E1419"/>
  <c r="D1419"/>
  <c r="C1419"/>
  <c r="J1418"/>
  <c r="F1418"/>
  <c r="E1418"/>
  <c r="D1418"/>
  <c r="C1418"/>
  <c r="J1417"/>
  <c r="F1417"/>
  <c r="E1417"/>
  <c r="D1417"/>
  <c r="C1417"/>
  <c r="J1416"/>
  <c r="F1416"/>
  <c r="E1416"/>
  <c r="D1416"/>
  <c r="C1416"/>
  <c r="J1415"/>
  <c r="F1415"/>
  <c r="E1415"/>
  <c r="D1415"/>
  <c r="C1415"/>
  <c r="J1414"/>
  <c r="F1414"/>
  <c r="E1414"/>
  <c r="D1414"/>
  <c r="C1414"/>
  <c r="J1413"/>
  <c r="F1413"/>
  <c r="E1413"/>
  <c r="D1413"/>
  <c r="C1413"/>
  <c r="J1412"/>
  <c r="F1412"/>
  <c r="E1412"/>
  <c r="D1412"/>
  <c r="C1412"/>
  <c r="J1411"/>
  <c r="F1411"/>
  <c r="E1411"/>
  <c r="D1411"/>
  <c r="C1411"/>
  <c r="J1410"/>
  <c r="F1410"/>
  <c r="E1410"/>
  <c r="D1410"/>
  <c r="C1410"/>
  <c r="J1409"/>
  <c r="F1409"/>
  <c r="E1409"/>
  <c r="D1409"/>
  <c r="C1409"/>
  <c r="J1408"/>
  <c r="F1408"/>
  <c r="E1408"/>
  <c r="D1408"/>
  <c r="C1408"/>
  <c r="J1407"/>
  <c r="F1407"/>
  <c r="E1407"/>
  <c r="D1407"/>
  <c r="C1407"/>
  <c r="J1406"/>
  <c r="F1406"/>
  <c r="E1406"/>
  <c r="D1406"/>
  <c r="C1406"/>
  <c r="J1405"/>
  <c r="F1405"/>
  <c r="E1405"/>
  <c r="D1405"/>
  <c r="C1405"/>
  <c r="J1404"/>
  <c r="F1404"/>
  <c r="E1404"/>
  <c r="D1404"/>
  <c r="C1404"/>
  <c r="J1403"/>
  <c r="F1403"/>
  <c r="E1403"/>
  <c r="D1403"/>
  <c r="C1403"/>
  <c r="J1402"/>
  <c r="F1402"/>
  <c r="E1402"/>
  <c r="D1402"/>
  <c r="C1402"/>
  <c r="J1401"/>
  <c r="F1401"/>
  <c r="E1401"/>
  <c r="D1401"/>
  <c r="C1401"/>
  <c r="J1400"/>
  <c r="F1400"/>
  <c r="E1400"/>
  <c r="D1400"/>
  <c r="C1400"/>
  <c r="J1399"/>
  <c r="F1399"/>
  <c r="E1399"/>
  <c r="D1399"/>
  <c r="C1399"/>
  <c r="J1398"/>
  <c r="F1398"/>
  <c r="E1398"/>
  <c r="D1398"/>
  <c r="C1398"/>
  <c r="J1397"/>
  <c r="F1397"/>
  <c r="E1397"/>
  <c r="D1397"/>
  <c r="C1397"/>
  <c r="J1396"/>
  <c r="F1396"/>
  <c r="E1396"/>
  <c r="D1396"/>
  <c r="C1396"/>
  <c r="J1395"/>
  <c r="F1395"/>
  <c r="E1395"/>
  <c r="D1395"/>
  <c r="C1395"/>
  <c r="J1394"/>
  <c r="F1394"/>
  <c r="E1394"/>
  <c r="D1394"/>
  <c r="C1394"/>
  <c r="J1393"/>
  <c r="F1393"/>
  <c r="E1393"/>
  <c r="D1393"/>
  <c r="C1393"/>
  <c r="J1392"/>
  <c r="F1392"/>
  <c r="E1392"/>
  <c r="D1392"/>
  <c r="C1392"/>
  <c r="J1391"/>
  <c r="F1391"/>
  <c r="E1391"/>
  <c r="D1391"/>
  <c r="C1391"/>
  <c r="J1390"/>
  <c r="F1390"/>
  <c r="E1390"/>
  <c r="D1390"/>
  <c r="C1390"/>
  <c r="J1389"/>
  <c r="F1389"/>
  <c r="E1389"/>
  <c r="D1389"/>
  <c r="C1389"/>
  <c r="J1388"/>
  <c r="F1388"/>
  <c r="E1388"/>
  <c r="D1388"/>
  <c r="C1388"/>
  <c r="J1387"/>
  <c r="F1387"/>
  <c r="E1387"/>
  <c r="D1387"/>
  <c r="C1387"/>
  <c r="J1386"/>
  <c r="F1386"/>
  <c r="E1386"/>
  <c r="D1386"/>
  <c r="C1386"/>
  <c r="J1385"/>
  <c r="F1385"/>
  <c r="E1385"/>
  <c r="D1385"/>
  <c r="C1385"/>
  <c r="J1384"/>
  <c r="F1384"/>
  <c r="E1384"/>
  <c r="D1384"/>
  <c r="C1384"/>
  <c r="J1383"/>
  <c r="F1383"/>
  <c r="E1383"/>
  <c r="D1383"/>
  <c r="C1383"/>
  <c r="J1382"/>
  <c r="F1382"/>
  <c r="E1382"/>
  <c r="D1382"/>
  <c r="C1382"/>
  <c r="J1381"/>
  <c r="F1381"/>
  <c r="E1381"/>
  <c r="D1381"/>
  <c r="C1381"/>
  <c r="J1380"/>
  <c r="F1380"/>
  <c r="E1380"/>
  <c r="D1380"/>
  <c r="C1380"/>
  <c r="J1379"/>
  <c r="F1379"/>
  <c r="E1379"/>
  <c r="D1379"/>
  <c r="C1379"/>
  <c r="J1378"/>
  <c r="F1378"/>
  <c r="E1378"/>
  <c r="D1378"/>
  <c r="C1378"/>
  <c r="J1377"/>
  <c r="F1377"/>
  <c r="E1377"/>
  <c r="D1377"/>
  <c r="C1377"/>
  <c r="J1376"/>
  <c r="F1376"/>
  <c r="E1376"/>
  <c r="D1376"/>
  <c r="C1376"/>
  <c r="J1375"/>
  <c r="F1375"/>
  <c r="E1375"/>
  <c r="D1375"/>
  <c r="C1375"/>
  <c r="J1374"/>
  <c r="F1374"/>
  <c r="E1374"/>
  <c r="D1374"/>
  <c r="C1374"/>
  <c r="J1373"/>
  <c r="F1373"/>
  <c r="E1373"/>
  <c r="D1373"/>
  <c r="C1373"/>
  <c r="J1372"/>
  <c r="F1372"/>
  <c r="E1372"/>
  <c r="D1372"/>
  <c r="C1372"/>
  <c r="J1371"/>
  <c r="F1371"/>
  <c r="E1371"/>
  <c r="D1371"/>
  <c r="C1371"/>
  <c r="J1370"/>
  <c r="F1370"/>
  <c r="E1370"/>
  <c r="D1370"/>
  <c r="C1370"/>
  <c r="J1369"/>
  <c r="F1369"/>
  <c r="E1369"/>
  <c r="D1369"/>
  <c r="C1369"/>
  <c r="J1368"/>
  <c r="F1368"/>
  <c r="E1368"/>
  <c r="D1368"/>
  <c r="C1368"/>
  <c r="J1367"/>
  <c r="F1367"/>
  <c r="E1367"/>
  <c r="D1367"/>
  <c r="C1367"/>
  <c r="J1366"/>
  <c r="F1366"/>
  <c r="E1366"/>
  <c r="D1366"/>
  <c r="C1366"/>
  <c r="J1365"/>
  <c r="F1365"/>
  <c r="E1365"/>
  <c r="D1365"/>
  <c r="C1365"/>
  <c r="J1364"/>
  <c r="F1364"/>
  <c r="E1364"/>
  <c r="D1364"/>
  <c r="C1364"/>
  <c r="J1363"/>
  <c r="F1363"/>
  <c r="E1363"/>
  <c r="D1363"/>
  <c r="C1363"/>
  <c r="J1362"/>
  <c r="F1362"/>
  <c r="E1362"/>
  <c r="D1362"/>
  <c r="C1362"/>
  <c r="J1361"/>
  <c r="F1361"/>
  <c r="E1361"/>
  <c r="D1361"/>
  <c r="C1361"/>
  <c r="J1360"/>
  <c r="F1360"/>
  <c r="E1360"/>
  <c r="D1360"/>
  <c r="C1360"/>
  <c r="J1359"/>
  <c r="F1359"/>
  <c r="E1359"/>
  <c r="D1359"/>
  <c r="C1359"/>
  <c r="J1358"/>
  <c r="F1358"/>
  <c r="E1358"/>
  <c r="D1358"/>
  <c r="C1358"/>
  <c r="J1357"/>
  <c r="F1357"/>
  <c r="E1357"/>
  <c r="D1357"/>
  <c r="C1357"/>
  <c r="J1356"/>
  <c r="F1356"/>
  <c r="E1356"/>
  <c r="D1356"/>
  <c r="C1356"/>
  <c r="J1355"/>
  <c r="F1355"/>
  <c r="E1355"/>
  <c r="D1355"/>
  <c r="C1355"/>
  <c r="J1354"/>
  <c r="F1354"/>
  <c r="E1354"/>
  <c r="D1354"/>
  <c r="C1354"/>
  <c r="J1353"/>
  <c r="F1353"/>
  <c r="E1353"/>
  <c r="D1353"/>
  <c r="C1353"/>
  <c r="J1352"/>
  <c r="F1352"/>
  <c r="E1352"/>
  <c r="D1352"/>
  <c r="C1352"/>
  <c r="J1351"/>
  <c r="F1351"/>
  <c r="E1351"/>
  <c r="D1351"/>
  <c r="C1351"/>
  <c r="J1350"/>
  <c r="F1350"/>
  <c r="E1350"/>
  <c r="D1350"/>
  <c r="C1350"/>
  <c r="J1349"/>
  <c r="F1349"/>
  <c r="E1349"/>
  <c r="D1349"/>
  <c r="C1349"/>
  <c r="J1348"/>
  <c r="F1348"/>
  <c r="E1348"/>
  <c r="D1348"/>
  <c r="C1348"/>
  <c r="J1347"/>
  <c r="F1347"/>
  <c r="E1347"/>
  <c r="D1347"/>
  <c r="C1347"/>
  <c r="J1346"/>
  <c r="F1346"/>
  <c r="E1346"/>
  <c r="D1346"/>
  <c r="C1346"/>
  <c r="J1345"/>
  <c r="F1345"/>
  <c r="E1345"/>
  <c r="D1345"/>
  <c r="C1345"/>
  <c r="J1344"/>
  <c r="F1344"/>
  <c r="E1344"/>
  <c r="D1344"/>
  <c r="C1344"/>
  <c r="J1343"/>
  <c r="F1343"/>
  <c r="E1343"/>
  <c r="D1343"/>
  <c r="C1343"/>
  <c r="J1342"/>
  <c r="F1342"/>
  <c r="E1342"/>
  <c r="D1342"/>
  <c r="C1342"/>
  <c r="J1341"/>
  <c r="F1341"/>
  <c r="E1341"/>
  <c r="D1341"/>
  <c r="C1341"/>
  <c r="J1340"/>
  <c r="F1340"/>
  <c r="E1340"/>
  <c r="D1340"/>
  <c r="C1340"/>
  <c r="J1339"/>
  <c r="F1339"/>
  <c r="E1339"/>
  <c r="D1339"/>
  <c r="C1339"/>
  <c r="J1338"/>
  <c r="F1338"/>
  <c r="E1338"/>
  <c r="D1338"/>
  <c r="C1338"/>
  <c r="J1337"/>
  <c r="F1337"/>
  <c r="E1337"/>
  <c r="D1337"/>
  <c r="C1337"/>
  <c r="J1336"/>
  <c r="F1336"/>
  <c r="E1336"/>
  <c r="D1336"/>
  <c r="C1336"/>
  <c r="J1335"/>
  <c r="F1335"/>
  <c r="E1335"/>
  <c r="D1335"/>
  <c r="C1335"/>
  <c r="J1334"/>
  <c r="F1334"/>
  <c r="E1334"/>
  <c r="D1334"/>
  <c r="C1334"/>
  <c r="J1333"/>
  <c r="F1333"/>
  <c r="E1333"/>
  <c r="D1333"/>
  <c r="C1333"/>
  <c r="J1332"/>
  <c r="F1332"/>
  <c r="E1332"/>
  <c r="D1332"/>
  <c r="C1332"/>
  <c r="J1331"/>
  <c r="F1331"/>
  <c r="E1331"/>
  <c r="D1331"/>
  <c r="C1331"/>
  <c r="J1330"/>
  <c r="F1330"/>
  <c r="E1330"/>
  <c r="D1330"/>
  <c r="C1330"/>
  <c r="J1329"/>
  <c r="F1329"/>
  <c r="E1329"/>
  <c r="D1329"/>
  <c r="C1329"/>
  <c r="J1328"/>
  <c r="F1328"/>
  <c r="E1328"/>
  <c r="D1328"/>
  <c r="C1328"/>
  <c r="J1327"/>
  <c r="F1327"/>
  <c r="E1327"/>
  <c r="D1327"/>
  <c r="C1327"/>
  <c r="J1326"/>
  <c r="F1326"/>
  <c r="E1326"/>
  <c r="D1326"/>
  <c r="C1326"/>
  <c r="J1325"/>
  <c r="F1325"/>
  <c r="E1325"/>
  <c r="D1325"/>
  <c r="C1325"/>
  <c r="J1324"/>
  <c r="F1324"/>
  <c r="E1324"/>
  <c r="D1324"/>
  <c r="C1324"/>
  <c r="J1323"/>
  <c r="F1323"/>
  <c r="E1323"/>
  <c r="D1323"/>
  <c r="C1323"/>
  <c r="J1322"/>
  <c r="F1322"/>
  <c r="E1322"/>
  <c r="D1322"/>
  <c r="C1322"/>
  <c r="J1321"/>
  <c r="F1321"/>
  <c r="E1321"/>
  <c r="D1321"/>
  <c r="C1321"/>
  <c r="J1320"/>
  <c r="F1320"/>
  <c r="E1320"/>
  <c r="D1320"/>
  <c r="C1320"/>
  <c r="J1319"/>
  <c r="F1319"/>
  <c r="E1319"/>
  <c r="D1319"/>
  <c r="C1319"/>
  <c r="J1318"/>
  <c r="F1318"/>
  <c r="E1318"/>
  <c r="D1318"/>
  <c r="C1318"/>
  <c r="J1317"/>
  <c r="F1317"/>
  <c r="E1317"/>
  <c r="D1317"/>
  <c r="C1317"/>
  <c r="J1316"/>
  <c r="F1316"/>
  <c r="E1316"/>
  <c r="D1316"/>
  <c r="C1316"/>
  <c r="J1315"/>
  <c r="F1315"/>
  <c r="E1315"/>
  <c r="D1315"/>
  <c r="C1315"/>
  <c r="J1314"/>
  <c r="F1314"/>
  <c r="E1314"/>
  <c r="D1314"/>
  <c r="C1314"/>
  <c r="J1313"/>
  <c r="F1313"/>
  <c r="E1313"/>
  <c r="D1313"/>
  <c r="C1313"/>
  <c r="J1312"/>
  <c r="F1312"/>
  <c r="E1312"/>
  <c r="D1312"/>
  <c r="C1312"/>
  <c r="J1311"/>
  <c r="F1311"/>
  <c r="E1311"/>
  <c r="D1311"/>
  <c r="C1311"/>
  <c r="J1310"/>
  <c r="F1310"/>
  <c r="E1310"/>
  <c r="D1310"/>
  <c r="C1310"/>
  <c r="J1309"/>
  <c r="F1309"/>
  <c r="E1309"/>
  <c r="D1309"/>
  <c r="C1309"/>
  <c r="J1308"/>
  <c r="F1308"/>
  <c r="E1308"/>
  <c r="D1308"/>
  <c r="C1308"/>
  <c r="J1307"/>
  <c r="F1307"/>
  <c r="E1307"/>
  <c r="D1307"/>
  <c r="C1307"/>
  <c r="J1306"/>
  <c r="F1306"/>
  <c r="E1306"/>
  <c r="D1306"/>
  <c r="C1306"/>
  <c r="J1305"/>
  <c r="F1305"/>
  <c r="E1305"/>
  <c r="D1305"/>
  <c r="C1305"/>
  <c r="J1304"/>
  <c r="F1304"/>
  <c r="E1304"/>
  <c r="D1304"/>
  <c r="C1304"/>
  <c r="J1303"/>
  <c r="F1303"/>
  <c r="E1303"/>
  <c r="D1303"/>
  <c r="C1303"/>
  <c r="J1302"/>
  <c r="F1302"/>
  <c r="E1302"/>
  <c r="D1302"/>
  <c r="C1302"/>
  <c r="J1301"/>
  <c r="F1301"/>
  <c r="E1301"/>
  <c r="D1301"/>
  <c r="C1301"/>
  <c r="J1300"/>
  <c r="F1300"/>
  <c r="E1300"/>
  <c r="D1300"/>
  <c r="C1300"/>
  <c r="J1299"/>
  <c r="F1299"/>
  <c r="E1299"/>
  <c r="D1299"/>
  <c r="C1299"/>
  <c r="J1298"/>
  <c r="F1298"/>
  <c r="E1298"/>
  <c r="D1298"/>
  <c r="C1298"/>
  <c r="J1297"/>
  <c r="F1297"/>
  <c r="E1297"/>
  <c r="D1297"/>
  <c r="C1297"/>
  <c r="J1296"/>
  <c r="F1296"/>
  <c r="E1296"/>
  <c r="D1296"/>
  <c r="C1296"/>
  <c r="J1295"/>
  <c r="F1295"/>
  <c r="E1295"/>
  <c r="D1295"/>
  <c r="C1295"/>
  <c r="J1294"/>
  <c r="F1294"/>
  <c r="E1294"/>
  <c r="D1294"/>
  <c r="C1294"/>
  <c r="J1293"/>
  <c r="F1293"/>
  <c r="E1293"/>
  <c r="D1293"/>
  <c r="C1293"/>
  <c r="J1292"/>
  <c r="F1292"/>
  <c r="E1292"/>
  <c r="D1292"/>
  <c r="C1292"/>
  <c r="J1291"/>
  <c r="F1291"/>
  <c r="E1291"/>
  <c r="D1291"/>
  <c r="C1291"/>
  <c r="J1290"/>
  <c r="F1290"/>
  <c r="E1290"/>
  <c r="D1290"/>
  <c r="C1290"/>
  <c r="J1289"/>
  <c r="F1289"/>
  <c r="E1289"/>
  <c r="D1289"/>
  <c r="C1289"/>
  <c r="J1288"/>
  <c r="F1288"/>
  <c r="E1288"/>
  <c r="D1288"/>
  <c r="C1288"/>
  <c r="J1287"/>
  <c r="F1287"/>
  <c r="E1287"/>
  <c r="D1287"/>
  <c r="C1287"/>
  <c r="J1286"/>
  <c r="F1286"/>
  <c r="E1286"/>
  <c r="D1286"/>
  <c r="C1286"/>
  <c r="J1285"/>
  <c r="F1285"/>
  <c r="E1285"/>
  <c r="D1285"/>
  <c r="C1285"/>
  <c r="J1284"/>
  <c r="F1284"/>
  <c r="E1284"/>
  <c r="D1284"/>
  <c r="C1284"/>
  <c r="J1283"/>
  <c r="F1283"/>
  <c r="E1283"/>
  <c r="D1283"/>
  <c r="C1283"/>
  <c r="J1282"/>
  <c r="F1282"/>
  <c r="E1282"/>
  <c r="D1282"/>
  <c r="C1282"/>
  <c r="J1281"/>
  <c r="F1281"/>
  <c r="E1281"/>
  <c r="D1281"/>
  <c r="C1281"/>
  <c r="J1280"/>
  <c r="F1280"/>
  <c r="E1280"/>
  <c r="D1280"/>
  <c r="C1280"/>
  <c r="J1279"/>
  <c r="F1279"/>
  <c r="E1279"/>
  <c r="D1279"/>
  <c r="C1279"/>
  <c r="J1278"/>
  <c r="F1278"/>
  <c r="E1278"/>
  <c r="D1278"/>
  <c r="C1278"/>
  <c r="J1277"/>
  <c r="F1277"/>
  <c r="E1277"/>
  <c r="D1277"/>
  <c r="C1277"/>
  <c r="J1276"/>
  <c r="F1276"/>
  <c r="E1276"/>
  <c r="D1276"/>
  <c r="C1276"/>
  <c r="J1275"/>
  <c r="F1275"/>
  <c r="E1275"/>
  <c r="D1275"/>
  <c r="C1275"/>
  <c r="J1274"/>
  <c r="F1274"/>
  <c r="E1274"/>
  <c r="D1274"/>
  <c r="C1274"/>
  <c r="J1273"/>
  <c r="F1273"/>
  <c r="E1273"/>
  <c r="D1273"/>
  <c r="C1273"/>
  <c r="J1272"/>
  <c r="F1272"/>
  <c r="E1272"/>
  <c r="D1272"/>
  <c r="C1272"/>
  <c r="J1271"/>
  <c r="F1271"/>
  <c r="E1271"/>
  <c r="D1271"/>
  <c r="C1271"/>
  <c r="J1270"/>
  <c r="F1270"/>
  <c r="E1270"/>
  <c r="D1270"/>
  <c r="C1270"/>
  <c r="J1269"/>
  <c r="F1269"/>
  <c r="E1269"/>
  <c r="D1269"/>
  <c r="C1269"/>
  <c r="J1268"/>
  <c r="F1268"/>
  <c r="E1268"/>
  <c r="D1268"/>
  <c r="C1268"/>
  <c r="J1267"/>
  <c r="F1267"/>
  <c r="E1267"/>
  <c r="D1267"/>
  <c r="C1267"/>
  <c r="J1266"/>
  <c r="F1266"/>
  <c r="E1266"/>
  <c r="D1266"/>
  <c r="C1266"/>
  <c r="J1265"/>
  <c r="F1265"/>
  <c r="E1265"/>
  <c r="D1265"/>
  <c r="C1265"/>
  <c r="J1264"/>
  <c r="F1264"/>
  <c r="E1264"/>
  <c r="D1264"/>
  <c r="C1264"/>
  <c r="J1263"/>
  <c r="F1263"/>
  <c r="E1263"/>
  <c r="D1263"/>
  <c r="C1263"/>
  <c r="J1262"/>
  <c r="F1262"/>
  <c r="E1262"/>
  <c r="D1262"/>
  <c r="C1262"/>
  <c r="J1261"/>
  <c r="F1261"/>
  <c r="E1261"/>
  <c r="D1261"/>
  <c r="C1261"/>
  <c r="J1260"/>
  <c r="F1260"/>
  <c r="E1260"/>
  <c r="D1260"/>
  <c r="C1260"/>
  <c r="J1259"/>
  <c r="F1259"/>
  <c r="E1259"/>
  <c r="D1259"/>
  <c r="C1259"/>
  <c r="J1258"/>
  <c r="F1258"/>
  <c r="E1258"/>
  <c r="D1258"/>
  <c r="C1258"/>
  <c r="J1257"/>
  <c r="F1257"/>
  <c r="E1257"/>
  <c r="D1257"/>
  <c r="C1257"/>
  <c r="J1256"/>
  <c r="F1256"/>
  <c r="E1256"/>
  <c r="D1256"/>
  <c r="C1256"/>
  <c r="J1255"/>
  <c r="F1255"/>
  <c r="E1255"/>
  <c r="D1255"/>
  <c r="C1255"/>
  <c r="J1254"/>
  <c r="F1254"/>
  <c r="E1254"/>
  <c r="D1254"/>
  <c r="C1254"/>
  <c r="J1253"/>
  <c r="F1253"/>
  <c r="E1253"/>
  <c r="D1253"/>
  <c r="C1253"/>
  <c r="J1252"/>
  <c r="F1252"/>
  <c r="E1252"/>
  <c r="D1252"/>
  <c r="C1252"/>
  <c r="J1251"/>
  <c r="F1251"/>
  <c r="E1251"/>
  <c r="D1251"/>
  <c r="C1251"/>
  <c r="J1250"/>
  <c r="F1250"/>
  <c r="E1250"/>
  <c r="D1250"/>
  <c r="C1250"/>
  <c r="J1249"/>
  <c r="F1249"/>
  <c r="E1249"/>
  <c r="D1249"/>
  <c r="C1249"/>
  <c r="J1248"/>
  <c r="F1248"/>
  <c r="E1248"/>
  <c r="D1248"/>
  <c r="C1248"/>
  <c r="J1247"/>
  <c r="F1247"/>
  <c r="E1247"/>
  <c r="D1247"/>
  <c r="C1247"/>
  <c r="J1246"/>
  <c r="F1246"/>
  <c r="E1246"/>
  <c r="D1246"/>
  <c r="C1246"/>
  <c r="J1245"/>
  <c r="F1245"/>
  <c r="E1245"/>
  <c r="D1245"/>
  <c r="C1245"/>
  <c r="J1244"/>
  <c r="F1244"/>
  <c r="E1244"/>
  <c r="D1244"/>
  <c r="C1244"/>
  <c r="J1243"/>
  <c r="F1243"/>
  <c r="E1243"/>
  <c r="D1243"/>
  <c r="C1243"/>
  <c r="J1242"/>
  <c r="F1242"/>
  <c r="E1242"/>
  <c r="D1242"/>
  <c r="C1242"/>
  <c r="J1241"/>
  <c r="F1241"/>
  <c r="E1241"/>
  <c r="D1241"/>
  <c r="C1241"/>
  <c r="J1240"/>
  <c r="F1240"/>
  <c r="E1240"/>
  <c r="D1240"/>
  <c r="C1240"/>
  <c r="J1239"/>
  <c r="F1239"/>
  <c r="E1239"/>
  <c r="D1239"/>
  <c r="C1239"/>
  <c r="J1238"/>
  <c r="F1238"/>
  <c r="E1238"/>
  <c r="D1238"/>
  <c r="C1238"/>
  <c r="J1237"/>
  <c r="F1237"/>
  <c r="E1237"/>
  <c r="D1237"/>
  <c r="C1237"/>
  <c r="J1236"/>
  <c r="F1236"/>
  <c r="E1236"/>
  <c r="D1236"/>
  <c r="C1236"/>
  <c r="J1235"/>
  <c r="F1235"/>
  <c r="E1235"/>
  <c r="D1235"/>
  <c r="C1235"/>
  <c r="J1234"/>
  <c r="F1234"/>
  <c r="E1234"/>
  <c r="D1234"/>
  <c r="C1234"/>
  <c r="J1233"/>
  <c r="F1233"/>
  <c r="E1233"/>
  <c r="D1233"/>
  <c r="C1233"/>
  <c r="J1232"/>
  <c r="F1232"/>
  <c r="E1232"/>
  <c r="D1232"/>
  <c r="C1232"/>
  <c r="J1231"/>
  <c r="F1231"/>
  <c r="E1231"/>
  <c r="D1231"/>
  <c r="C1231"/>
  <c r="J1230"/>
  <c r="F1230"/>
  <c r="E1230"/>
  <c r="D1230"/>
  <c r="C1230"/>
  <c r="J1229"/>
  <c r="F1229"/>
  <c r="E1229"/>
  <c r="D1229"/>
  <c r="C1229"/>
  <c r="J1228"/>
  <c r="F1228"/>
  <c r="E1228"/>
  <c r="D1228"/>
  <c r="C1228"/>
  <c r="J1227"/>
  <c r="F1227"/>
  <c r="E1227"/>
  <c r="D1227"/>
  <c r="C1227"/>
  <c r="J1226"/>
  <c r="F1226"/>
  <c r="E1226"/>
  <c r="D1226"/>
  <c r="C1226"/>
  <c r="J1225"/>
  <c r="F1225"/>
  <c r="E1225"/>
  <c r="D1225"/>
  <c r="C1225"/>
  <c r="J1224"/>
  <c r="F1224"/>
  <c r="E1224"/>
  <c r="D1224"/>
  <c r="C1224"/>
  <c r="J1223"/>
  <c r="F1223"/>
  <c r="E1223"/>
  <c r="D1223"/>
  <c r="C1223"/>
  <c r="J1222"/>
  <c r="F1222"/>
  <c r="E1222"/>
  <c r="D1222"/>
  <c r="C1222"/>
  <c r="J1221"/>
  <c r="F1221"/>
  <c r="E1221"/>
  <c r="D1221"/>
  <c r="C1221"/>
  <c r="J1220"/>
  <c r="F1220"/>
  <c r="E1220"/>
  <c r="D1220"/>
  <c r="C1220"/>
  <c r="J1219"/>
  <c r="F1219"/>
  <c r="E1219"/>
  <c r="D1219"/>
  <c r="C1219"/>
  <c r="J1218"/>
  <c r="F1218"/>
  <c r="E1218"/>
  <c r="D1218"/>
  <c r="C1218"/>
  <c r="J1217"/>
  <c r="F1217"/>
  <c r="E1217"/>
  <c r="D1217"/>
  <c r="C1217"/>
  <c r="J1216"/>
  <c r="F1216"/>
  <c r="E1216"/>
  <c r="D1216"/>
  <c r="C1216"/>
  <c r="J1215"/>
  <c r="F1215"/>
  <c r="E1215"/>
  <c r="D1215"/>
  <c r="C1215"/>
  <c r="J1214"/>
  <c r="F1214"/>
  <c r="E1214"/>
  <c r="D1214"/>
  <c r="C1214"/>
  <c r="J1213"/>
  <c r="F1213"/>
  <c r="E1213"/>
  <c r="D1213"/>
  <c r="C1213"/>
  <c r="J1212"/>
  <c r="F1212"/>
  <c r="E1212"/>
  <c r="D1212"/>
  <c r="C1212"/>
  <c r="J1211"/>
  <c r="F1211"/>
  <c r="E1211"/>
  <c r="D1211"/>
  <c r="C1211"/>
  <c r="J1210"/>
  <c r="F1210"/>
  <c r="E1210"/>
  <c r="D1210"/>
  <c r="C1210"/>
  <c r="J1209"/>
  <c r="F1209"/>
  <c r="E1209"/>
  <c r="D1209"/>
  <c r="C1209"/>
  <c r="J1208"/>
  <c r="F1208"/>
  <c r="E1208"/>
  <c r="D1208"/>
  <c r="C1208"/>
  <c r="J1207"/>
  <c r="F1207"/>
  <c r="E1207"/>
  <c r="D1207"/>
  <c r="C1207"/>
  <c r="J1206"/>
  <c r="F1206"/>
  <c r="E1206"/>
  <c r="D1206"/>
  <c r="C1206"/>
  <c r="J1205"/>
  <c r="F1205"/>
  <c r="E1205"/>
  <c r="D1205"/>
  <c r="C1205"/>
  <c r="J1204"/>
  <c r="F1204"/>
  <c r="E1204"/>
  <c r="D1204"/>
  <c r="C1204"/>
  <c r="J1203"/>
  <c r="F1203"/>
  <c r="E1203"/>
  <c r="D1203"/>
  <c r="C1203"/>
  <c r="J1202"/>
  <c r="F1202"/>
  <c r="E1202"/>
  <c r="D1202"/>
  <c r="C1202"/>
  <c r="J1201"/>
  <c r="F1201"/>
  <c r="E1201"/>
  <c r="D1201"/>
  <c r="C1201"/>
  <c r="J1200"/>
  <c r="F1200"/>
  <c r="E1200"/>
  <c r="D1200"/>
  <c r="C1200"/>
  <c r="J1199"/>
  <c r="F1199"/>
  <c r="E1199"/>
  <c r="D1199"/>
  <c r="C1199"/>
  <c r="J1198"/>
  <c r="F1198"/>
  <c r="E1198"/>
  <c r="D1198"/>
  <c r="C1198"/>
  <c r="J1197"/>
  <c r="F1197"/>
  <c r="E1197"/>
  <c r="D1197"/>
  <c r="C1197"/>
  <c r="J1196"/>
  <c r="F1196"/>
  <c r="E1196"/>
  <c r="D1196"/>
  <c r="C1196"/>
  <c r="J1195"/>
  <c r="F1195"/>
  <c r="E1195"/>
  <c r="D1195"/>
  <c r="C1195"/>
  <c r="J1194"/>
  <c r="F1194"/>
  <c r="E1194"/>
  <c r="D1194"/>
  <c r="C1194"/>
  <c r="J1193"/>
  <c r="F1193"/>
  <c r="E1193"/>
  <c r="D1193"/>
  <c r="C1193"/>
  <c r="J1192"/>
  <c r="F1192"/>
  <c r="E1192"/>
  <c r="D1192"/>
  <c r="C1192"/>
  <c r="J1191"/>
  <c r="F1191"/>
  <c r="E1191"/>
  <c r="D1191"/>
  <c r="C1191"/>
  <c r="J1190"/>
  <c r="F1190"/>
  <c r="E1190"/>
  <c r="D1190"/>
  <c r="C1190"/>
  <c r="J1189"/>
  <c r="F1189"/>
  <c r="E1189"/>
  <c r="D1189"/>
  <c r="C1189"/>
  <c r="J1188"/>
  <c r="F1188"/>
  <c r="E1188"/>
  <c r="D1188"/>
  <c r="C1188"/>
  <c r="J1187"/>
  <c r="F1187"/>
  <c r="E1187"/>
  <c r="D1187"/>
  <c r="C1187"/>
  <c r="J1186"/>
  <c r="F1186"/>
  <c r="E1186"/>
  <c r="D1186"/>
  <c r="C1186"/>
  <c r="J1185"/>
  <c r="F1185"/>
  <c r="E1185"/>
  <c r="D1185"/>
  <c r="C1185"/>
  <c r="J1184"/>
  <c r="F1184"/>
  <c r="E1184"/>
  <c r="D1184"/>
  <c r="C1184"/>
  <c r="J1183"/>
  <c r="F1183"/>
  <c r="E1183"/>
  <c r="D1183"/>
  <c r="C1183"/>
  <c r="J1182"/>
  <c r="F1182"/>
  <c r="E1182"/>
  <c r="D1182"/>
  <c r="C1182"/>
  <c r="J1181"/>
  <c r="F1181"/>
  <c r="E1181"/>
  <c r="D1181"/>
  <c r="C1181"/>
  <c r="J1180"/>
  <c r="F1180"/>
  <c r="E1180"/>
  <c r="D1180"/>
  <c r="C1180"/>
  <c r="J1179"/>
  <c r="F1179"/>
  <c r="E1179"/>
  <c r="D1179"/>
  <c r="C1179"/>
  <c r="J1178"/>
  <c r="F1178"/>
  <c r="E1178"/>
  <c r="D1178"/>
  <c r="C1178"/>
  <c r="J1177"/>
  <c r="F1177"/>
  <c r="E1177"/>
  <c r="D1177"/>
  <c r="C1177"/>
  <c r="J1176"/>
  <c r="F1176"/>
  <c r="E1176"/>
  <c r="D1176"/>
  <c r="C1176"/>
  <c r="J1175"/>
  <c r="F1175"/>
  <c r="E1175"/>
  <c r="D1175"/>
  <c r="C1175"/>
  <c r="J1174"/>
  <c r="F1174"/>
  <c r="E1174"/>
  <c r="D1174"/>
  <c r="C1174"/>
  <c r="J1173"/>
  <c r="F1173"/>
  <c r="E1173"/>
  <c r="D1173"/>
  <c r="C1173"/>
  <c r="J1172"/>
  <c r="F1172"/>
  <c r="E1172"/>
  <c r="D1172"/>
  <c r="C1172"/>
  <c r="J1171"/>
  <c r="F1171"/>
  <c r="E1171"/>
  <c r="D1171"/>
  <c r="C1171"/>
  <c r="J1170"/>
  <c r="F1170"/>
  <c r="E1170"/>
  <c r="D1170"/>
  <c r="C1170"/>
  <c r="J1169"/>
  <c r="F1169"/>
  <c r="E1169"/>
  <c r="D1169"/>
  <c r="C1169"/>
  <c r="J1168"/>
  <c r="F1168"/>
  <c r="E1168"/>
  <c r="D1168"/>
  <c r="C1168"/>
  <c r="J1167"/>
  <c r="F1167"/>
  <c r="E1167"/>
  <c r="D1167"/>
  <c r="C1167"/>
  <c r="J1166"/>
  <c r="F1166"/>
  <c r="E1166"/>
  <c r="D1166"/>
  <c r="C1166"/>
  <c r="J1165"/>
  <c r="F1165"/>
  <c r="E1165"/>
  <c r="D1165"/>
  <c r="C1165"/>
  <c r="J1164"/>
  <c r="F1164"/>
  <c r="E1164"/>
  <c r="D1164"/>
  <c r="C1164"/>
  <c r="J1163"/>
  <c r="F1163"/>
  <c r="E1163"/>
  <c r="D1163"/>
  <c r="C1163"/>
  <c r="J1162"/>
  <c r="F1162"/>
  <c r="E1162"/>
  <c r="D1162"/>
  <c r="C1162"/>
  <c r="J1161"/>
  <c r="F1161"/>
  <c r="E1161"/>
  <c r="D1161"/>
  <c r="C1161"/>
  <c r="J1160"/>
  <c r="F1160"/>
  <c r="E1160"/>
  <c r="D1160"/>
  <c r="C1160"/>
  <c r="J1159"/>
  <c r="F1159"/>
  <c r="E1159"/>
  <c r="D1159"/>
  <c r="C1159"/>
  <c r="J1158"/>
  <c r="F1158"/>
  <c r="E1158"/>
  <c r="D1158"/>
  <c r="C1158"/>
  <c r="J1157"/>
  <c r="F1157"/>
  <c r="E1157"/>
  <c r="D1157"/>
  <c r="C1157"/>
  <c r="J1156"/>
  <c r="F1156"/>
  <c r="E1156"/>
  <c r="D1156"/>
  <c r="C1156"/>
  <c r="J1155"/>
  <c r="F1155"/>
  <c r="E1155"/>
  <c r="D1155"/>
  <c r="C1155"/>
  <c r="J1154"/>
  <c r="F1154"/>
  <c r="E1154"/>
  <c r="D1154"/>
  <c r="C1154"/>
  <c r="J1153"/>
  <c r="F1153"/>
  <c r="E1153"/>
  <c r="D1153"/>
  <c r="C1153"/>
  <c r="J1152"/>
  <c r="F1152"/>
  <c r="E1152"/>
  <c r="D1152"/>
  <c r="C1152"/>
  <c r="J1151"/>
  <c r="F1151"/>
  <c r="E1151"/>
  <c r="D1151"/>
  <c r="C1151"/>
  <c r="J1150"/>
  <c r="F1150"/>
  <c r="E1150"/>
  <c r="D1150"/>
  <c r="C1150"/>
  <c r="J1149"/>
  <c r="F1149"/>
  <c r="E1149"/>
  <c r="D1149"/>
  <c r="C1149"/>
  <c r="J1148"/>
  <c r="F1148"/>
  <c r="E1148"/>
  <c r="D1148"/>
  <c r="C1148"/>
  <c r="J1147"/>
  <c r="F1147"/>
  <c r="E1147"/>
  <c r="D1147"/>
  <c r="C1147"/>
  <c r="J1146"/>
  <c r="F1146"/>
  <c r="E1146"/>
  <c r="D1146"/>
  <c r="C1146"/>
  <c r="J1145"/>
  <c r="F1145"/>
  <c r="E1145"/>
  <c r="D1145"/>
  <c r="C1145"/>
  <c r="J1144"/>
  <c r="F1144"/>
  <c r="E1144"/>
  <c r="D1144"/>
  <c r="C1144"/>
  <c r="J1143"/>
  <c r="F1143"/>
  <c r="E1143"/>
  <c r="D1143"/>
  <c r="C1143"/>
  <c r="J1142"/>
  <c r="F1142"/>
  <c r="E1142"/>
  <c r="D1142"/>
  <c r="C1142"/>
  <c r="J1141"/>
  <c r="F1141"/>
  <c r="E1141"/>
  <c r="D1141"/>
  <c r="C1141"/>
  <c r="J1140"/>
  <c r="F1140"/>
  <c r="E1140"/>
  <c r="D1140"/>
  <c r="C1140"/>
  <c r="J1139"/>
  <c r="F1139"/>
  <c r="E1139"/>
  <c r="D1139"/>
  <c r="C1139"/>
  <c r="J1138"/>
  <c r="F1138"/>
  <c r="E1138"/>
  <c r="D1138"/>
  <c r="C1138"/>
  <c r="J1137"/>
  <c r="F1137"/>
  <c r="E1137"/>
  <c r="D1137"/>
  <c r="C1137"/>
  <c r="J1136"/>
  <c r="F1136"/>
  <c r="E1136"/>
  <c r="D1136"/>
  <c r="C1136"/>
  <c r="J1135"/>
  <c r="F1135"/>
  <c r="E1135"/>
  <c r="D1135"/>
  <c r="C1135"/>
  <c r="J1134"/>
  <c r="F1134"/>
  <c r="E1134"/>
  <c r="D1134"/>
  <c r="C1134"/>
  <c r="J1133"/>
  <c r="F1133"/>
  <c r="E1133"/>
  <c r="D1133"/>
  <c r="C1133"/>
  <c r="J1132"/>
  <c r="F1132"/>
  <c r="E1132"/>
  <c r="D1132"/>
  <c r="C1132"/>
  <c r="J1131"/>
  <c r="F1131"/>
  <c r="E1131"/>
  <c r="D1131"/>
  <c r="C1131"/>
  <c r="J1130"/>
  <c r="F1130"/>
  <c r="E1130"/>
  <c r="D1130"/>
  <c r="C1130"/>
  <c r="J1129"/>
  <c r="F1129"/>
  <c r="E1129"/>
  <c r="D1129"/>
  <c r="C1129"/>
  <c r="J1128"/>
  <c r="F1128"/>
  <c r="E1128"/>
  <c r="D1128"/>
  <c r="C1128"/>
  <c r="J1127"/>
  <c r="F1127"/>
  <c r="E1127"/>
  <c r="D1127"/>
  <c r="C1127"/>
  <c r="J1126"/>
  <c r="F1126"/>
  <c r="E1126"/>
  <c r="D1126"/>
  <c r="C1126"/>
  <c r="J1125"/>
  <c r="F1125"/>
  <c r="E1125"/>
  <c r="D1125"/>
  <c r="C1125"/>
  <c r="J1124"/>
  <c r="F1124"/>
  <c r="E1124"/>
  <c r="D1124"/>
  <c r="C1124"/>
  <c r="J1123"/>
  <c r="F1123"/>
  <c r="E1123"/>
  <c r="D1123"/>
  <c r="C1123"/>
  <c r="J1122"/>
  <c r="F1122"/>
  <c r="E1122"/>
  <c r="D1122"/>
  <c r="C1122"/>
  <c r="J1121"/>
  <c r="F1121"/>
  <c r="E1121"/>
  <c r="D1121"/>
  <c r="C1121"/>
  <c r="J1120"/>
  <c r="F1120"/>
  <c r="E1120"/>
  <c r="D1120"/>
  <c r="C1120"/>
  <c r="J1119"/>
  <c r="F1119"/>
  <c r="E1119"/>
  <c r="D1119"/>
  <c r="C1119"/>
  <c r="J1118"/>
  <c r="F1118"/>
  <c r="E1118"/>
  <c r="D1118"/>
  <c r="C1118"/>
  <c r="J1117"/>
  <c r="F1117"/>
  <c r="E1117"/>
  <c r="D1117"/>
  <c r="C1117"/>
  <c r="J1116"/>
  <c r="F1116"/>
  <c r="E1116"/>
  <c r="D1116"/>
  <c r="C1116"/>
  <c r="J1115"/>
  <c r="F1115"/>
  <c r="E1115"/>
  <c r="D1115"/>
  <c r="C1115"/>
  <c r="J1114"/>
  <c r="F1114"/>
  <c r="E1114"/>
  <c r="D1114"/>
  <c r="C1114"/>
  <c r="J1113"/>
  <c r="F1113"/>
  <c r="E1113"/>
  <c r="D1113"/>
  <c r="C1113"/>
  <c r="J1112"/>
  <c r="F1112"/>
  <c r="E1112"/>
  <c r="D1112"/>
  <c r="C1112"/>
  <c r="J1111"/>
  <c r="F1111"/>
  <c r="E1111"/>
  <c r="D1111"/>
  <c r="C1111"/>
  <c r="J1110"/>
  <c r="F1110"/>
  <c r="E1110"/>
  <c r="D1110"/>
  <c r="C1110"/>
  <c r="J1109"/>
  <c r="F1109"/>
  <c r="E1109"/>
  <c r="D1109"/>
  <c r="C1109"/>
  <c r="J1108"/>
  <c r="F1108"/>
  <c r="E1108"/>
  <c r="D1108"/>
  <c r="C1108"/>
  <c r="J1107"/>
  <c r="F1107"/>
  <c r="E1107"/>
  <c r="D1107"/>
  <c r="C1107"/>
  <c r="J1106"/>
  <c r="F1106"/>
  <c r="E1106"/>
  <c r="D1106"/>
  <c r="C1106"/>
  <c r="J1105"/>
  <c r="F1105"/>
  <c r="E1105"/>
  <c r="D1105"/>
  <c r="C1105"/>
  <c r="J1104"/>
  <c r="F1104"/>
  <c r="E1104"/>
  <c r="D1104"/>
  <c r="C1104"/>
  <c r="J1103"/>
  <c r="F1103"/>
  <c r="E1103"/>
  <c r="D1103"/>
  <c r="C1103"/>
  <c r="J1102"/>
  <c r="F1102"/>
  <c r="E1102"/>
  <c r="D1102"/>
  <c r="C1102"/>
  <c r="J1101"/>
  <c r="F1101"/>
  <c r="E1101"/>
  <c r="D1101"/>
  <c r="C1101"/>
  <c r="J1100"/>
  <c r="F1100"/>
  <c r="E1100"/>
  <c r="D1100"/>
  <c r="C1100"/>
  <c r="J1099"/>
  <c r="F1099"/>
  <c r="E1099"/>
  <c r="D1099"/>
  <c r="C1099"/>
  <c r="J1098"/>
  <c r="F1098"/>
  <c r="E1098"/>
  <c r="D1098"/>
  <c r="C1098"/>
  <c r="J1097"/>
  <c r="F1097"/>
  <c r="E1097"/>
  <c r="D1097"/>
  <c r="C1097"/>
  <c r="J1096"/>
  <c r="F1096"/>
  <c r="E1096"/>
  <c r="D1096"/>
  <c r="C1096"/>
  <c r="J1095"/>
  <c r="F1095"/>
  <c r="E1095"/>
  <c r="D1095"/>
  <c r="C1095"/>
  <c r="J1094"/>
  <c r="F1094"/>
  <c r="E1094"/>
  <c r="D1094"/>
  <c r="C1094"/>
  <c r="J1093"/>
  <c r="F1093"/>
  <c r="E1093"/>
  <c r="D1093"/>
  <c r="C1093"/>
  <c r="J1092"/>
  <c r="F1092"/>
  <c r="E1092"/>
  <c r="D1092"/>
  <c r="C1092"/>
  <c r="J1091"/>
  <c r="F1091"/>
  <c r="E1091"/>
  <c r="D1091"/>
  <c r="C1091"/>
  <c r="J1090"/>
  <c r="F1090"/>
  <c r="E1090"/>
  <c r="D1090"/>
  <c r="C1090"/>
  <c r="J1089"/>
  <c r="F1089"/>
  <c r="E1089"/>
  <c r="D1089"/>
  <c r="C1089"/>
  <c r="J1088"/>
  <c r="F1088"/>
  <c r="E1088"/>
  <c r="D1088"/>
  <c r="C1088"/>
  <c r="J1087"/>
  <c r="F1087"/>
  <c r="E1087"/>
  <c r="D1087"/>
  <c r="C1087"/>
  <c r="J1086"/>
  <c r="F1086"/>
  <c r="E1086"/>
  <c r="D1086"/>
  <c r="C1086"/>
  <c r="J1085"/>
  <c r="F1085"/>
  <c r="E1085"/>
  <c r="D1085"/>
  <c r="C1085"/>
  <c r="J1084"/>
  <c r="F1084"/>
  <c r="E1084"/>
  <c r="D1084"/>
  <c r="C1084"/>
  <c r="J1083"/>
  <c r="F1083"/>
  <c r="E1083"/>
  <c r="D1083"/>
  <c r="C1083"/>
  <c r="J1082"/>
  <c r="F1082"/>
  <c r="E1082"/>
  <c r="D1082"/>
  <c r="C1082"/>
  <c r="J1081"/>
  <c r="F1081"/>
  <c r="E1081"/>
  <c r="D1081"/>
  <c r="C1081"/>
  <c r="J1080"/>
  <c r="F1080"/>
  <c r="E1080"/>
  <c r="D1080"/>
  <c r="C1080"/>
  <c r="J1079"/>
  <c r="F1079"/>
  <c r="E1079"/>
  <c r="D1079"/>
  <c r="C1079"/>
  <c r="J1078"/>
  <c r="F1078"/>
  <c r="E1078"/>
  <c r="D1078"/>
  <c r="C1078"/>
  <c r="J1077"/>
  <c r="F1077"/>
  <c r="E1077"/>
  <c r="D1077"/>
  <c r="C1077"/>
  <c r="J1076"/>
  <c r="F1076"/>
  <c r="E1076"/>
  <c r="D1076"/>
  <c r="C1076"/>
  <c r="J1075"/>
  <c r="F1075"/>
  <c r="E1075"/>
  <c r="D1075"/>
  <c r="C1075"/>
  <c r="J1074"/>
  <c r="F1074"/>
  <c r="E1074"/>
  <c r="D1074"/>
  <c r="C1074"/>
  <c r="J1073"/>
  <c r="F1073"/>
  <c r="E1073"/>
  <c r="D1073"/>
  <c r="C1073"/>
  <c r="J1072"/>
  <c r="F1072"/>
  <c r="E1072"/>
  <c r="D1072"/>
  <c r="C1072"/>
  <c r="J1071"/>
  <c r="F1071"/>
  <c r="E1071"/>
  <c r="D1071"/>
  <c r="C1071"/>
  <c r="J1070"/>
  <c r="F1070"/>
  <c r="E1070"/>
  <c r="D1070"/>
  <c r="C1070"/>
  <c r="J1069"/>
  <c r="F1069"/>
  <c r="E1069"/>
  <c r="D1069"/>
  <c r="C1069"/>
  <c r="J1068"/>
  <c r="F1068"/>
  <c r="E1068"/>
  <c r="D1068"/>
  <c r="C1068"/>
  <c r="J1067"/>
  <c r="F1067"/>
  <c r="E1067"/>
  <c r="D1067"/>
  <c r="C1067"/>
  <c r="J1066"/>
  <c r="F1066"/>
  <c r="E1066"/>
  <c r="D1066"/>
  <c r="C1066"/>
  <c r="J1065"/>
  <c r="F1065"/>
  <c r="E1065"/>
  <c r="D1065"/>
  <c r="C1065"/>
  <c r="J1064"/>
  <c r="F1064"/>
  <c r="E1064"/>
  <c r="D1064"/>
  <c r="C1064"/>
  <c r="J1063"/>
  <c r="F1063"/>
  <c r="E1063"/>
  <c r="D1063"/>
  <c r="C1063"/>
  <c r="J1062"/>
  <c r="F1062"/>
  <c r="E1062"/>
  <c r="D1062"/>
  <c r="C1062"/>
  <c r="J1061"/>
  <c r="F1061"/>
  <c r="E1061"/>
  <c r="D1061"/>
  <c r="C1061"/>
  <c r="J1060"/>
  <c r="F1060"/>
  <c r="E1060"/>
  <c r="D1060"/>
  <c r="C1060"/>
  <c r="J1059"/>
  <c r="F1059"/>
  <c r="E1059"/>
  <c r="D1059"/>
  <c r="C1059"/>
  <c r="J1058"/>
  <c r="F1058"/>
  <c r="E1058"/>
  <c r="D1058"/>
  <c r="C1058"/>
  <c r="J1057"/>
  <c r="F1057"/>
  <c r="E1057"/>
  <c r="D1057"/>
  <c r="C1057"/>
  <c r="J1056"/>
  <c r="F1056"/>
  <c r="E1056"/>
  <c r="D1056"/>
  <c r="C1056"/>
  <c r="J1055"/>
  <c r="F1055"/>
  <c r="E1055"/>
  <c r="D1055"/>
  <c r="C1055"/>
  <c r="J1054"/>
  <c r="F1054"/>
  <c r="E1054"/>
  <c r="D1054"/>
  <c r="C1054"/>
  <c r="J1053"/>
  <c r="F1053"/>
  <c r="E1053"/>
  <c r="D1053"/>
  <c r="C1053"/>
  <c r="J1052"/>
  <c r="F1052"/>
  <c r="E1052"/>
  <c r="D1052"/>
  <c r="C1052"/>
  <c r="J1051"/>
  <c r="F1051"/>
  <c r="E1051"/>
  <c r="D1051"/>
  <c r="C1051"/>
  <c r="J1050"/>
  <c r="F1050"/>
  <c r="E1050"/>
  <c r="D1050"/>
  <c r="C1050"/>
  <c r="J1049"/>
  <c r="F1049"/>
  <c r="E1049"/>
  <c r="D1049"/>
  <c r="C1049"/>
  <c r="J1048"/>
  <c r="F1048"/>
  <c r="E1048"/>
  <c r="D1048"/>
  <c r="C1048"/>
  <c r="J1047"/>
  <c r="F1047"/>
  <c r="E1047"/>
  <c r="D1047"/>
  <c r="C1047"/>
  <c r="J1046"/>
  <c r="F1046"/>
  <c r="E1046"/>
  <c r="D1046"/>
  <c r="C1046"/>
  <c r="J1045"/>
  <c r="F1045"/>
  <c r="E1045"/>
  <c r="D1045"/>
  <c r="C1045"/>
  <c r="J1044"/>
  <c r="F1044"/>
  <c r="E1044"/>
  <c r="D1044"/>
  <c r="C1044"/>
  <c r="J1043"/>
  <c r="F1043"/>
  <c r="E1043"/>
  <c r="D1043"/>
  <c r="C1043"/>
  <c r="J1042"/>
  <c r="F1042"/>
  <c r="E1042"/>
  <c r="D1042"/>
  <c r="C1042"/>
  <c r="J1041"/>
  <c r="F1041"/>
  <c r="E1041"/>
  <c r="D1041"/>
  <c r="C1041"/>
  <c r="J1040"/>
  <c r="F1040"/>
  <c r="E1040"/>
  <c r="D1040"/>
  <c r="C1040"/>
  <c r="J1039"/>
  <c r="F1039"/>
  <c r="E1039"/>
  <c r="D1039"/>
  <c r="C1039"/>
  <c r="J1038"/>
  <c r="F1038"/>
  <c r="E1038"/>
  <c r="D1038"/>
  <c r="C1038"/>
  <c r="J1037"/>
  <c r="F1037"/>
  <c r="E1037"/>
  <c r="D1037"/>
  <c r="C1037"/>
  <c r="J1036"/>
  <c r="F1036"/>
  <c r="E1036"/>
  <c r="D1036"/>
  <c r="C1036"/>
  <c r="J1035"/>
  <c r="F1035"/>
  <c r="E1035"/>
  <c r="D1035"/>
  <c r="C1035"/>
  <c r="J1034"/>
  <c r="F1034"/>
  <c r="E1034"/>
  <c r="D1034"/>
  <c r="C1034"/>
  <c r="J1033"/>
  <c r="F1033"/>
  <c r="E1033"/>
  <c r="D1033"/>
  <c r="C1033"/>
  <c r="J1032"/>
  <c r="F1032"/>
  <c r="E1032"/>
  <c r="D1032"/>
  <c r="C1032"/>
  <c r="J1031"/>
  <c r="F1031"/>
  <c r="E1031"/>
  <c r="D1031"/>
  <c r="C1031"/>
  <c r="J1030"/>
  <c r="F1030"/>
  <c r="E1030"/>
  <c r="D1030"/>
  <c r="C1030"/>
  <c r="J1029"/>
  <c r="F1029"/>
  <c r="E1029"/>
  <c r="D1029"/>
  <c r="C1029"/>
  <c r="J1028"/>
  <c r="F1028"/>
  <c r="E1028"/>
  <c r="D1028"/>
  <c r="C1028"/>
  <c r="J1027"/>
  <c r="F1027"/>
  <c r="E1027"/>
  <c r="D1027"/>
  <c r="C1027"/>
  <c r="J1026"/>
  <c r="F1026"/>
  <c r="E1026"/>
  <c r="D1026"/>
  <c r="C1026"/>
  <c r="J1025"/>
  <c r="F1025"/>
  <c r="E1025"/>
  <c r="D1025"/>
  <c r="C1025"/>
  <c r="J1024"/>
  <c r="F1024"/>
  <c r="E1024"/>
  <c r="D1024"/>
  <c r="C1024"/>
  <c r="J1023"/>
  <c r="F1023"/>
  <c r="E1023"/>
  <c r="D1023"/>
  <c r="C1023"/>
  <c r="J1022"/>
  <c r="F1022"/>
  <c r="E1022"/>
  <c r="D1022"/>
  <c r="C1022"/>
  <c r="J1021"/>
  <c r="F1021"/>
  <c r="E1021"/>
  <c r="D1021"/>
  <c r="C1021"/>
  <c r="J1020"/>
  <c r="F1020"/>
  <c r="E1020"/>
  <c r="D1020"/>
  <c r="C1020"/>
  <c r="J1019"/>
  <c r="F1019"/>
  <c r="E1019"/>
  <c r="D1019"/>
  <c r="C1019"/>
  <c r="J1018"/>
  <c r="F1018"/>
  <c r="E1018"/>
  <c r="D1018"/>
  <c r="C1018"/>
  <c r="J1017"/>
  <c r="F1017"/>
  <c r="E1017"/>
  <c r="D1017"/>
  <c r="C1017"/>
  <c r="J1016"/>
  <c r="F1016"/>
  <c r="E1016"/>
  <c r="D1016"/>
  <c r="C1016"/>
  <c r="J1015"/>
  <c r="F1015"/>
  <c r="E1015"/>
  <c r="D1015"/>
  <c r="C1015"/>
  <c r="J1014"/>
  <c r="F1014"/>
  <c r="E1014"/>
  <c r="D1014"/>
  <c r="C1014"/>
  <c r="J1013"/>
  <c r="F1013"/>
  <c r="E1013"/>
  <c r="D1013"/>
  <c r="C1013"/>
  <c r="J1012"/>
  <c r="F1012"/>
  <c r="E1012"/>
  <c r="D1012"/>
  <c r="C1012"/>
  <c r="J1011"/>
  <c r="F1011"/>
  <c r="E1011"/>
  <c r="D1011"/>
  <c r="C1011"/>
  <c r="J1010"/>
  <c r="F1010"/>
  <c r="E1010"/>
  <c r="D1010"/>
  <c r="C1010"/>
  <c r="J1009"/>
  <c r="F1009"/>
  <c r="E1009"/>
  <c r="D1009"/>
  <c r="C1009"/>
  <c r="J1008"/>
  <c r="F1008"/>
  <c r="E1008"/>
  <c r="D1008"/>
  <c r="C1008"/>
  <c r="J1007"/>
  <c r="F1007"/>
  <c r="E1007"/>
  <c r="D1007"/>
  <c r="C1007"/>
  <c r="J1006"/>
  <c r="F1006"/>
  <c r="E1006"/>
  <c r="D1006"/>
  <c r="C1006"/>
  <c r="J1005"/>
  <c r="F1005"/>
  <c r="E1005"/>
  <c r="D1005"/>
  <c r="C1005"/>
  <c r="J1004"/>
  <c r="F1004"/>
  <c r="E1004"/>
  <c r="D1004"/>
  <c r="C1004"/>
  <c r="J1003"/>
  <c r="F1003"/>
  <c r="E1003"/>
  <c r="D1003"/>
  <c r="C1003"/>
  <c r="J1002"/>
  <c r="F1002"/>
  <c r="E1002"/>
  <c r="D1002"/>
  <c r="C1002"/>
  <c r="J1001"/>
  <c r="F1001"/>
  <c r="E1001"/>
  <c r="D1001"/>
  <c r="C1001"/>
  <c r="J1000"/>
  <c r="F1000"/>
  <c r="E1000"/>
  <c r="D1000"/>
  <c r="C1000"/>
  <c r="J999"/>
  <c r="F999"/>
  <c r="E999"/>
  <c r="D999"/>
  <c r="C999"/>
  <c r="J998"/>
  <c r="F998"/>
  <c r="E998"/>
  <c r="D998"/>
  <c r="C998"/>
  <c r="J997"/>
  <c r="F997"/>
  <c r="E997"/>
  <c r="D997"/>
  <c r="C997"/>
  <c r="J996"/>
  <c r="F996"/>
  <c r="E996"/>
  <c r="D996"/>
  <c r="C996"/>
  <c r="J995"/>
  <c r="F995"/>
  <c r="E995"/>
  <c r="D995"/>
  <c r="C995"/>
  <c r="J994"/>
  <c r="F994"/>
  <c r="E994"/>
  <c r="D994"/>
  <c r="C994"/>
  <c r="J993"/>
  <c r="F993"/>
  <c r="E993"/>
  <c r="D993"/>
  <c r="C993"/>
  <c r="J992"/>
  <c r="F992"/>
  <c r="E992"/>
  <c r="D992"/>
  <c r="C992"/>
  <c r="J991"/>
  <c r="F991"/>
  <c r="E991"/>
  <c r="D991"/>
  <c r="C991"/>
  <c r="J990"/>
  <c r="F990"/>
  <c r="E990"/>
  <c r="D990"/>
  <c r="C990"/>
  <c r="J989"/>
  <c r="F989"/>
  <c r="E989"/>
  <c r="D989"/>
  <c r="C989"/>
  <c r="J988"/>
  <c r="F988"/>
  <c r="E988"/>
  <c r="D988"/>
  <c r="C988"/>
  <c r="J987"/>
  <c r="F987"/>
  <c r="E987"/>
  <c r="D987"/>
  <c r="C987"/>
  <c r="J986"/>
  <c r="F986"/>
  <c r="E986"/>
  <c r="D986"/>
  <c r="C986"/>
  <c r="J985"/>
  <c r="F985"/>
  <c r="E985"/>
  <c r="D985"/>
  <c r="C985"/>
  <c r="J984"/>
  <c r="F984"/>
  <c r="E984"/>
  <c r="D984"/>
  <c r="C984"/>
  <c r="J983"/>
  <c r="F983"/>
  <c r="E983"/>
  <c r="D983"/>
  <c r="C983"/>
  <c r="J982"/>
  <c r="F982"/>
  <c r="E982"/>
  <c r="D982"/>
  <c r="C982"/>
  <c r="J981"/>
  <c r="F981"/>
  <c r="E981"/>
  <c r="D981"/>
  <c r="C981"/>
  <c r="J980"/>
  <c r="F980"/>
  <c r="E980"/>
  <c r="D980"/>
  <c r="C980"/>
  <c r="J979"/>
  <c r="F979"/>
  <c r="E979"/>
  <c r="D979"/>
  <c r="C979"/>
  <c r="J978"/>
  <c r="F978"/>
  <c r="E978"/>
  <c r="D978"/>
  <c r="C978"/>
  <c r="J977"/>
  <c r="F977"/>
  <c r="E977"/>
  <c r="D977"/>
  <c r="C977"/>
  <c r="J976"/>
  <c r="F976"/>
  <c r="E976"/>
  <c r="D976"/>
  <c r="C976"/>
  <c r="J975"/>
  <c r="F975"/>
  <c r="E975"/>
  <c r="D975"/>
  <c r="C975"/>
  <c r="J974"/>
  <c r="F974"/>
  <c r="E974"/>
  <c r="D974"/>
  <c r="C974"/>
  <c r="J973"/>
  <c r="F973"/>
  <c r="E973"/>
  <c r="D973"/>
  <c r="C973"/>
  <c r="J972"/>
  <c r="F972"/>
  <c r="E972"/>
  <c r="D972"/>
  <c r="C972"/>
  <c r="J971"/>
  <c r="F971"/>
  <c r="E971"/>
  <c r="D971"/>
  <c r="C971"/>
  <c r="J970"/>
  <c r="F970"/>
  <c r="E970"/>
  <c r="D970"/>
  <c r="C970"/>
  <c r="J969"/>
  <c r="F969"/>
  <c r="E969"/>
  <c r="D969"/>
  <c r="C969"/>
  <c r="J968"/>
  <c r="F968"/>
  <c r="E968"/>
  <c r="D968"/>
  <c r="C968"/>
  <c r="J967"/>
  <c r="F967"/>
  <c r="E967"/>
  <c r="D967"/>
  <c r="C967"/>
  <c r="J966"/>
  <c r="F966"/>
  <c r="E966"/>
  <c r="D966"/>
  <c r="C966"/>
  <c r="J965"/>
  <c r="F965"/>
  <c r="E965"/>
  <c r="D965"/>
  <c r="C965"/>
  <c r="J964"/>
  <c r="F964"/>
  <c r="E964"/>
  <c r="D964"/>
  <c r="C964"/>
  <c r="J963"/>
  <c r="F963"/>
  <c r="E963"/>
  <c r="D963"/>
  <c r="C963"/>
  <c r="J962"/>
  <c r="F962"/>
  <c r="E962"/>
  <c r="D962"/>
  <c r="C962"/>
  <c r="J961"/>
  <c r="F961"/>
  <c r="E961"/>
  <c r="D961"/>
  <c r="C961"/>
  <c r="J960"/>
  <c r="F960"/>
  <c r="E960"/>
  <c r="D960"/>
  <c r="C960"/>
  <c r="J959"/>
  <c r="F959"/>
  <c r="E959"/>
  <c r="D959"/>
  <c r="C959"/>
  <c r="J958"/>
  <c r="F958"/>
  <c r="E958"/>
  <c r="D958"/>
  <c r="C958"/>
  <c r="J957"/>
  <c r="F957"/>
  <c r="E957"/>
  <c r="D957"/>
  <c r="C957"/>
  <c r="J956"/>
  <c r="F956"/>
  <c r="E956"/>
  <c r="D956"/>
  <c r="C956"/>
  <c r="J955"/>
  <c r="F955"/>
  <c r="E955"/>
  <c r="D955"/>
  <c r="C955"/>
  <c r="J954"/>
  <c r="F954"/>
  <c r="E954"/>
  <c r="D954"/>
  <c r="C954"/>
  <c r="J953"/>
  <c r="F953"/>
  <c r="E953"/>
  <c r="D953"/>
  <c r="C953"/>
  <c r="J952"/>
  <c r="F952"/>
  <c r="E952"/>
  <c r="D952"/>
  <c r="C952"/>
  <c r="J951"/>
  <c r="F951"/>
  <c r="E951"/>
  <c r="D951"/>
  <c r="C951"/>
  <c r="J950"/>
  <c r="F950"/>
  <c r="E950"/>
  <c r="D950"/>
  <c r="C950"/>
  <c r="J949"/>
  <c r="F949"/>
  <c r="E949"/>
  <c r="D949"/>
  <c r="C949"/>
  <c r="J948"/>
  <c r="F948"/>
  <c r="E948"/>
  <c r="D948"/>
  <c r="C948"/>
  <c r="J947"/>
  <c r="F947"/>
  <c r="E947"/>
  <c r="D947"/>
  <c r="C947"/>
  <c r="J946"/>
  <c r="F946"/>
  <c r="E946"/>
  <c r="D946"/>
  <c r="C946"/>
  <c r="J945"/>
  <c r="F945"/>
  <c r="E945"/>
  <c r="D945"/>
  <c r="C945"/>
  <c r="J944"/>
  <c r="F944"/>
  <c r="E944"/>
  <c r="D944"/>
  <c r="C944"/>
  <c r="J943"/>
  <c r="F943"/>
  <c r="E943"/>
  <c r="D943"/>
  <c r="C943"/>
  <c r="J942"/>
  <c r="F942"/>
  <c r="E942"/>
  <c r="D942"/>
  <c r="C942"/>
  <c r="J941"/>
  <c r="F941"/>
  <c r="E941"/>
  <c r="D941"/>
  <c r="C941"/>
  <c r="J940"/>
  <c r="F940"/>
  <c r="E940"/>
  <c r="D940"/>
  <c r="C940"/>
  <c r="J939"/>
  <c r="F939"/>
  <c r="E939"/>
  <c r="D939"/>
  <c r="C939"/>
  <c r="J938"/>
  <c r="F938"/>
  <c r="E938"/>
  <c r="D938"/>
  <c r="C938"/>
  <c r="J937"/>
  <c r="F937"/>
  <c r="E937"/>
  <c r="D937"/>
  <c r="C937"/>
  <c r="J936"/>
  <c r="F936"/>
  <c r="E936"/>
  <c r="D936"/>
  <c r="C936"/>
  <c r="J935"/>
  <c r="F935"/>
  <c r="E935"/>
  <c r="D935"/>
  <c r="C935"/>
  <c r="J934"/>
  <c r="F934"/>
  <c r="E934"/>
  <c r="D934"/>
  <c r="C934"/>
  <c r="J933"/>
  <c r="F933"/>
  <c r="E933"/>
  <c r="D933"/>
  <c r="C933"/>
  <c r="J932"/>
  <c r="F932"/>
  <c r="E932"/>
  <c r="D932"/>
  <c r="C932"/>
  <c r="J931"/>
  <c r="F931"/>
  <c r="E931"/>
  <c r="D931"/>
  <c r="C931"/>
  <c r="J930"/>
  <c r="F930"/>
  <c r="E930"/>
  <c r="D930"/>
  <c r="C930"/>
  <c r="J929"/>
  <c r="F929"/>
  <c r="E929"/>
  <c r="D929"/>
  <c r="C929"/>
  <c r="J928"/>
  <c r="F928"/>
  <c r="E928"/>
  <c r="D928"/>
  <c r="C928"/>
  <c r="J927"/>
  <c r="F927"/>
  <c r="E927"/>
  <c r="D927"/>
  <c r="C927"/>
  <c r="J926"/>
  <c r="F926"/>
  <c r="E926"/>
  <c r="D926"/>
  <c r="C926"/>
  <c r="J925"/>
  <c r="F925"/>
  <c r="E925"/>
  <c r="D925"/>
  <c r="C925"/>
  <c r="J924"/>
  <c r="F924"/>
  <c r="E924"/>
  <c r="D924"/>
  <c r="C924"/>
  <c r="J923"/>
  <c r="F923"/>
  <c r="E923"/>
  <c r="D923"/>
  <c r="C923"/>
  <c r="J922"/>
  <c r="F922"/>
  <c r="E922"/>
  <c r="D922"/>
  <c r="C922"/>
  <c r="J921"/>
  <c r="F921"/>
  <c r="E921"/>
  <c r="D921"/>
  <c r="C921"/>
  <c r="J920"/>
  <c r="F920"/>
  <c r="E920"/>
  <c r="D920"/>
  <c r="C920"/>
  <c r="J919"/>
  <c r="F919"/>
  <c r="E919"/>
  <c r="D919"/>
  <c r="C919"/>
  <c r="J918"/>
  <c r="F918"/>
  <c r="E918"/>
  <c r="D918"/>
  <c r="C918"/>
  <c r="J917"/>
  <c r="F917"/>
  <c r="E917"/>
  <c r="D917"/>
  <c r="C917"/>
  <c r="J916"/>
  <c r="F916"/>
  <c r="E916"/>
  <c r="D916"/>
  <c r="C916"/>
  <c r="J915"/>
  <c r="F915"/>
  <c r="E915"/>
  <c r="D915"/>
  <c r="C915"/>
  <c r="J914"/>
  <c r="F914"/>
  <c r="E914"/>
  <c r="D914"/>
  <c r="C914"/>
  <c r="J913"/>
  <c r="F913"/>
  <c r="E913"/>
  <c r="D913"/>
  <c r="C913"/>
  <c r="J912"/>
  <c r="F912"/>
  <c r="E912"/>
  <c r="D912"/>
  <c r="C912"/>
  <c r="J911"/>
  <c r="F911"/>
  <c r="E911"/>
  <c r="D911"/>
  <c r="C911"/>
  <c r="J910"/>
  <c r="F910"/>
  <c r="E910"/>
  <c r="D910"/>
  <c r="C910"/>
  <c r="J909"/>
  <c r="F909"/>
  <c r="E909"/>
  <c r="D909"/>
  <c r="C909"/>
  <c r="J908"/>
  <c r="F908"/>
  <c r="E908"/>
  <c r="D908"/>
  <c r="C908"/>
  <c r="J907"/>
  <c r="F907"/>
  <c r="E907"/>
  <c r="D907"/>
  <c r="C907"/>
  <c r="J906"/>
  <c r="F906"/>
  <c r="E906"/>
  <c r="D906"/>
  <c r="C906"/>
  <c r="J905"/>
  <c r="F905"/>
  <c r="E905"/>
  <c r="D905"/>
  <c r="C905"/>
  <c r="J904"/>
  <c r="F904"/>
  <c r="E904"/>
  <c r="D904"/>
  <c r="C904"/>
  <c r="J903"/>
  <c r="F903"/>
  <c r="E903"/>
  <c r="D903"/>
  <c r="C903"/>
  <c r="J902"/>
  <c r="F902"/>
  <c r="E902"/>
  <c r="D902"/>
  <c r="C902"/>
  <c r="J901"/>
  <c r="F901"/>
  <c r="E901"/>
  <c r="D901"/>
  <c r="C901"/>
  <c r="J900"/>
  <c r="F900"/>
  <c r="E900"/>
  <c r="D900"/>
  <c r="C900"/>
  <c r="J899"/>
  <c r="F899"/>
  <c r="E899"/>
  <c r="D899"/>
  <c r="C899"/>
  <c r="J898"/>
  <c r="F898"/>
  <c r="E898"/>
  <c r="D898"/>
  <c r="C898"/>
  <c r="J897"/>
  <c r="F897"/>
  <c r="E897"/>
  <c r="D897"/>
  <c r="C897"/>
  <c r="F896"/>
  <c r="E896"/>
  <c r="D896"/>
  <c r="C896"/>
  <c r="F895"/>
  <c r="E895"/>
  <c r="D895"/>
  <c r="C895"/>
  <c r="F894"/>
  <c r="E894"/>
  <c r="D894"/>
  <c r="C894"/>
  <c r="F893"/>
  <c r="E893"/>
  <c r="D893"/>
  <c r="C893"/>
  <c r="F892"/>
  <c r="E892"/>
  <c r="D892"/>
  <c r="C892"/>
  <c r="F891"/>
  <c r="E891"/>
  <c r="D891"/>
  <c r="C891"/>
  <c r="F890"/>
  <c r="E890"/>
  <c r="D890"/>
  <c r="C890"/>
  <c r="F889"/>
  <c r="E889"/>
  <c r="D889"/>
  <c r="C889"/>
  <c r="F888"/>
  <c r="E888"/>
  <c r="D888"/>
  <c r="C888"/>
  <c r="F887"/>
  <c r="E887"/>
  <c r="D887"/>
  <c r="C887"/>
  <c r="F886"/>
  <c r="E886"/>
  <c r="D886"/>
  <c r="C886"/>
  <c r="F885"/>
  <c r="E885"/>
  <c r="D885"/>
  <c r="C885"/>
  <c r="F884"/>
  <c r="E884"/>
  <c r="D884"/>
  <c r="C884"/>
  <c r="F883"/>
  <c r="E883"/>
  <c r="D883"/>
  <c r="C883"/>
  <c r="F882"/>
  <c r="E882"/>
  <c r="D882"/>
  <c r="C882"/>
  <c r="F881"/>
  <c r="E881"/>
  <c r="D881"/>
  <c r="C881"/>
  <c r="F880"/>
  <c r="E880"/>
  <c r="D880"/>
  <c r="C880"/>
  <c r="F879"/>
  <c r="E879"/>
  <c r="D879"/>
  <c r="C879"/>
  <c r="F878"/>
  <c r="E878"/>
  <c r="D878"/>
  <c r="C878"/>
  <c r="F877"/>
  <c r="E877"/>
  <c r="D877"/>
  <c r="C877"/>
  <c r="F876"/>
  <c r="E876"/>
  <c r="D876"/>
  <c r="C876"/>
  <c r="F875"/>
  <c r="E875"/>
  <c r="D875"/>
  <c r="C875"/>
  <c r="F874"/>
  <c r="E874"/>
  <c r="D874"/>
  <c r="C874"/>
  <c r="F873"/>
  <c r="E873"/>
  <c r="D873"/>
  <c r="C873"/>
  <c r="F872"/>
  <c r="E872"/>
  <c r="D872"/>
  <c r="C872"/>
  <c r="F871"/>
  <c r="E871"/>
  <c r="D871"/>
  <c r="C871"/>
  <c r="F870"/>
  <c r="E870"/>
  <c r="D870"/>
  <c r="C870"/>
  <c r="F869"/>
  <c r="E869"/>
  <c r="D869"/>
  <c r="C869"/>
  <c r="F868"/>
  <c r="E868"/>
  <c r="D868"/>
  <c r="C868"/>
  <c r="F867"/>
  <c r="E867"/>
  <c r="D867"/>
  <c r="C867"/>
  <c r="F866"/>
  <c r="E866"/>
  <c r="D866"/>
  <c r="C866"/>
  <c r="F865"/>
  <c r="E865"/>
  <c r="D865"/>
  <c r="C865"/>
  <c r="F864"/>
  <c r="E864"/>
  <c r="D864"/>
  <c r="C864"/>
  <c r="F863"/>
  <c r="E863"/>
  <c r="D863"/>
  <c r="C863"/>
  <c r="F862"/>
  <c r="E862"/>
  <c r="D862"/>
  <c r="C862"/>
  <c r="F861"/>
  <c r="E861"/>
  <c r="D861"/>
  <c r="C861"/>
  <c r="F860"/>
  <c r="E860"/>
  <c r="D860"/>
  <c r="C860"/>
  <c r="F859"/>
  <c r="E859"/>
  <c r="D859"/>
  <c r="C859"/>
  <c r="F858"/>
  <c r="E858"/>
  <c r="D858"/>
  <c r="C858"/>
  <c r="F857"/>
  <c r="E857"/>
  <c r="D857"/>
  <c r="C857"/>
  <c r="F856"/>
  <c r="E856"/>
  <c r="D856"/>
  <c r="C856"/>
  <c r="F855"/>
  <c r="E855"/>
  <c r="D855"/>
  <c r="C855"/>
  <c r="F854"/>
  <c r="E854"/>
  <c r="D854"/>
  <c r="C854"/>
  <c r="F853"/>
  <c r="E853"/>
  <c r="D853"/>
  <c r="C853"/>
  <c r="F852"/>
  <c r="E852"/>
  <c r="D852"/>
  <c r="C852"/>
  <c r="F851"/>
  <c r="E851"/>
  <c r="D851"/>
  <c r="C851"/>
  <c r="F850"/>
  <c r="E850"/>
  <c r="D850"/>
  <c r="C850"/>
  <c r="F849"/>
  <c r="E849"/>
  <c r="D849"/>
  <c r="C849"/>
  <c r="F848"/>
  <c r="E848"/>
  <c r="D848"/>
  <c r="C848"/>
  <c r="F847"/>
  <c r="E847"/>
  <c r="D847"/>
  <c r="C847"/>
  <c r="F846"/>
  <c r="E846"/>
  <c r="D846"/>
  <c r="C846"/>
  <c r="F845"/>
  <c r="E845"/>
  <c r="D845"/>
  <c r="C845"/>
  <c r="F844"/>
  <c r="E844"/>
  <c r="D844"/>
  <c r="C844"/>
  <c r="F843"/>
  <c r="E843"/>
  <c r="D843"/>
  <c r="C843"/>
  <c r="F842"/>
  <c r="E842"/>
  <c r="D842"/>
  <c r="C842"/>
  <c r="F841"/>
  <c r="E841"/>
  <c r="D841"/>
  <c r="C841"/>
  <c r="F840"/>
  <c r="E840"/>
  <c r="D840"/>
  <c r="C840"/>
  <c r="F839"/>
  <c r="E839"/>
  <c r="D839"/>
  <c r="C839"/>
  <c r="F838"/>
  <c r="E838"/>
  <c r="D838"/>
  <c r="C838"/>
  <c r="F837"/>
  <c r="E837"/>
  <c r="D837"/>
  <c r="C837"/>
  <c r="F836"/>
  <c r="E836"/>
  <c r="D836"/>
  <c r="C836"/>
  <c r="F835"/>
  <c r="E835"/>
  <c r="D835"/>
  <c r="C835"/>
  <c r="F834"/>
  <c r="E834"/>
  <c r="D834"/>
  <c r="C834"/>
  <c r="F833"/>
  <c r="E833"/>
  <c r="D833"/>
  <c r="C833"/>
  <c r="F832"/>
  <c r="E832"/>
  <c r="D832"/>
  <c r="C832"/>
  <c r="F831"/>
  <c r="E831"/>
  <c r="D831"/>
  <c r="C831"/>
  <c r="F830"/>
  <c r="E830"/>
  <c r="D830"/>
  <c r="C830"/>
  <c r="F829"/>
  <c r="E829"/>
  <c r="D829"/>
  <c r="C829"/>
  <c r="F828"/>
  <c r="E828"/>
  <c r="D828"/>
  <c r="C828"/>
  <c r="F827"/>
  <c r="E827"/>
  <c r="D827"/>
  <c r="C827"/>
  <c r="F826"/>
  <c r="E826"/>
  <c r="D826"/>
  <c r="C826"/>
  <c r="F825"/>
  <c r="E825"/>
  <c r="D825"/>
  <c r="C825"/>
  <c r="F824"/>
  <c r="E824"/>
  <c r="D824"/>
  <c r="C824"/>
  <c r="F823"/>
  <c r="E823"/>
  <c r="D823"/>
  <c r="C823"/>
  <c r="F822"/>
  <c r="E822"/>
  <c r="D822"/>
  <c r="C822"/>
  <c r="F821"/>
  <c r="E821"/>
  <c r="D821"/>
  <c r="C821"/>
  <c r="F820"/>
  <c r="E820"/>
  <c r="D820"/>
  <c r="C820"/>
  <c r="F819"/>
  <c r="E819"/>
  <c r="D819"/>
  <c r="C819"/>
  <c r="F818"/>
  <c r="E818"/>
  <c r="D818"/>
  <c r="C818"/>
  <c r="F817"/>
  <c r="E817"/>
  <c r="D817"/>
  <c r="C817"/>
  <c r="F816"/>
  <c r="E816"/>
  <c r="D816"/>
  <c r="C816"/>
  <c r="F815"/>
  <c r="E815"/>
  <c r="D815"/>
  <c r="C815"/>
  <c r="F814"/>
  <c r="E814"/>
  <c r="D814"/>
  <c r="C814"/>
  <c r="F813"/>
  <c r="E813"/>
  <c r="D813"/>
  <c r="C813"/>
  <c r="F812"/>
  <c r="E812"/>
  <c r="D812"/>
  <c r="C812"/>
  <c r="F811"/>
  <c r="E811"/>
  <c r="D811"/>
  <c r="C811"/>
  <c r="F810"/>
  <c r="E810"/>
  <c r="D810"/>
  <c r="C810"/>
  <c r="F809"/>
  <c r="E809"/>
  <c r="D809"/>
  <c r="C809"/>
  <c r="F808"/>
  <c r="E808"/>
  <c r="D808"/>
  <c r="C808"/>
  <c r="F807"/>
  <c r="E807"/>
  <c r="D807"/>
  <c r="C807"/>
  <c r="F806"/>
  <c r="E806"/>
  <c r="D806"/>
  <c r="C806"/>
  <c r="F805"/>
  <c r="E805"/>
  <c r="D805"/>
  <c r="C805"/>
  <c r="F804"/>
  <c r="E804"/>
  <c r="D804"/>
  <c r="C804"/>
  <c r="F803"/>
  <c r="E803"/>
  <c r="D803"/>
  <c r="C803"/>
  <c r="F802"/>
  <c r="E802"/>
  <c r="D802"/>
  <c r="C802"/>
  <c r="F801"/>
  <c r="E801"/>
  <c r="D801"/>
  <c r="C801"/>
  <c r="F800"/>
  <c r="E800"/>
  <c r="D800"/>
  <c r="C800"/>
  <c r="F799"/>
  <c r="E799"/>
  <c r="D799"/>
  <c r="C799"/>
  <c r="F798"/>
  <c r="E798"/>
  <c r="D798"/>
  <c r="C798"/>
  <c r="F797"/>
  <c r="E797"/>
  <c r="D797"/>
  <c r="C797"/>
  <c r="F796"/>
  <c r="E796"/>
  <c r="D796"/>
  <c r="C796"/>
  <c r="F795"/>
  <c r="E795"/>
  <c r="D795"/>
  <c r="C795"/>
  <c r="F794"/>
  <c r="E794"/>
  <c r="D794"/>
  <c r="C794"/>
  <c r="F793"/>
  <c r="E793"/>
  <c r="D793"/>
  <c r="C793"/>
  <c r="F792"/>
  <c r="E792"/>
  <c r="D792"/>
  <c r="C792"/>
  <c r="F791"/>
  <c r="E791"/>
  <c r="D791"/>
  <c r="C791"/>
  <c r="F790"/>
  <c r="E790"/>
  <c r="D790"/>
  <c r="C790"/>
  <c r="F789"/>
  <c r="E789"/>
  <c r="D789"/>
  <c r="C789"/>
  <c r="F788"/>
  <c r="E788"/>
  <c r="D788"/>
  <c r="C788"/>
  <c r="F787"/>
  <c r="E787"/>
  <c r="D787"/>
  <c r="C787"/>
  <c r="F786"/>
  <c r="E786"/>
  <c r="D786"/>
  <c r="C786"/>
  <c r="F785"/>
  <c r="E785"/>
  <c r="D785"/>
  <c r="C785"/>
  <c r="F784"/>
  <c r="E784"/>
  <c r="D784"/>
  <c r="C784"/>
  <c r="F783"/>
  <c r="E783"/>
  <c r="D783"/>
  <c r="C783"/>
  <c r="F782"/>
  <c r="E782"/>
  <c r="D782"/>
  <c r="C782"/>
  <c r="F781"/>
  <c r="E781"/>
  <c r="D781"/>
  <c r="C781"/>
  <c r="F780"/>
  <c r="E780"/>
  <c r="D780"/>
  <c r="C780"/>
  <c r="F779"/>
  <c r="E779"/>
  <c r="D779"/>
  <c r="C779"/>
  <c r="F778"/>
  <c r="E778"/>
  <c r="D778"/>
  <c r="C778"/>
  <c r="F777"/>
  <c r="E777"/>
  <c r="D777"/>
  <c r="C777"/>
  <c r="F776"/>
  <c r="E776"/>
  <c r="D776"/>
  <c r="C776"/>
  <c r="F775"/>
  <c r="E775"/>
  <c r="D775"/>
  <c r="C775"/>
  <c r="F774"/>
  <c r="E774"/>
  <c r="D774"/>
  <c r="C774"/>
  <c r="F773"/>
  <c r="E773"/>
  <c r="D773"/>
  <c r="C773"/>
  <c r="F772"/>
  <c r="E772"/>
  <c r="D772"/>
  <c r="C772"/>
  <c r="F771"/>
  <c r="E771"/>
  <c r="D771"/>
  <c r="C771"/>
  <c r="F770"/>
  <c r="E770"/>
  <c r="D770"/>
  <c r="C770"/>
  <c r="F769"/>
  <c r="E769"/>
  <c r="D769"/>
  <c r="C769"/>
  <c r="F768"/>
  <c r="E768"/>
  <c r="D768"/>
  <c r="C768"/>
  <c r="F767"/>
  <c r="E767"/>
  <c r="D767"/>
  <c r="C767"/>
  <c r="F766"/>
  <c r="E766"/>
  <c r="D766"/>
  <c r="C766"/>
  <c r="F765"/>
  <c r="E765"/>
  <c r="D765"/>
  <c r="C765"/>
  <c r="F764"/>
  <c r="E764"/>
  <c r="D764"/>
  <c r="C764"/>
  <c r="F763"/>
  <c r="E763"/>
  <c r="D763"/>
  <c r="C763"/>
  <c r="F762"/>
  <c r="E762"/>
  <c r="D762"/>
  <c r="C762"/>
  <c r="F761"/>
  <c r="E761"/>
  <c r="D761"/>
  <c r="C761"/>
  <c r="F760"/>
  <c r="E760"/>
  <c r="D760"/>
  <c r="C760"/>
  <c r="F759"/>
  <c r="E759"/>
  <c r="D759"/>
  <c r="C759"/>
  <c r="F758"/>
  <c r="E758"/>
  <c r="D758"/>
  <c r="C758"/>
  <c r="F757"/>
  <c r="E757"/>
  <c r="D757"/>
  <c r="C757"/>
  <c r="F756"/>
  <c r="E756"/>
  <c r="D756"/>
  <c r="C756"/>
  <c r="F755"/>
  <c r="E755"/>
  <c r="D755"/>
  <c r="C755"/>
  <c r="F754"/>
  <c r="E754"/>
  <c r="D754"/>
  <c r="C754"/>
  <c r="F753"/>
  <c r="E753"/>
  <c r="D753"/>
  <c r="C753"/>
  <c r="F752"/>
  <c r="E752"/>
  <c r="D752"/>
  <c r="C752"/>
  <c r="F751"/>
  <c r="E751"/>
  <c r="D751"/>
  <c r="C751"/>
  <c r="F750"/>
  <c r="E750"/>
  <c r="D750"/>
  <c r="C750"/>
  <c r="F749"/>
  <c r="E749"/>
  <c r="D749"/>
  <c r="C749"/>
  <c r="F748"/>
  <c r="E748"/>
  <c r="D748"/>
  <c r="C748"/>
  <c r="F747"/>
  <c r="E747"/>
  <c r="D747"/>
  <c r="C747"/>
  <c r="F746"/>
  <c r="E746"/>
  <c r="D746"/>
  <c r="C746"/>
  <c r="F745"/>
  <c r="E745"/>
  <c r="D745"/>
  <c r="C745"/>
  <c r="F744"/>
  <c r="E744"/>
  <c r="D744"/>
  <c r="C744"/>
  <c r="F743"/>
  <c r="E743"/>
  <c r="D743"/>
  <c r="C743"/>
  <c r="F742"/>
  <c r="E742"/>
  <c r="D742"/>
  <c r="C742"/>
  <c r="F741"/>
  <c r="E741"/>
  <c r="D741"/>
  <c r="C741"/>
  <c r="F740"/>
  <c r="E740"/>
  <c r="D740"/>
  <c r="C740"/>
  <c r="F739"/>
  <c r="E739"/>
  <c r="D739"/>
  <c r="C739"/>
  <c r="F738"/>
  <c r="E738"/>
  <c r="D738"/>
  <c r="C738"/>
  <c r="F737"/>
  <c r="E737"/>
  <c r="D737"/>
  <c r="C737"/>
  <c r="F736"/>
  <c r="E736"/>
  <c r="D736"/>
  <c r="C736"/>
  <c r="F735"/>
  <c r="E735"/>
  <c r="D735"/>
  <c r="C735"/>
  <c r="F734"/>
  <c r="E734"/>
  <c r="D734"/>
  <c r="C734"/>
  <c r="F733"/>
  <c r="E733"/>
  <c r="D733"/>
  <c r="C733"/>
  <c r="F732"/>
  <c r="E732"/>
  <c r="D732"/>
  <c r="C732"/>
  <c r="F731"/>
  <c r="E731"/>
  <c r="D731"/>
  <c r="C731"/>
  <c r="F730"/>
  <c r="E730"/>
  <c r="D730"/>
  <c r="C730"/>
  <c r="F729"/>
  <c r="E729"/>
  <c r="D729"/>
  <c r="C729"/>
  <c r="F728"/>
  <c r="E728"/>
  <c r="D728"/>
  <c r="C728"/>
  <c r="F727"/>
  <c r="E727"/>
  <c r="D727"/>
  <c r="C727"/>
  <c r="F726"/>
  <c r="E726"/>
  <c r="D726"/>
  <c r="C726"/>
  <c r="F725"/>
  <c r="E725"/>
  <c r="D725"/>
  <c r="C725"/>
  <c r="F724"/>
  <c r="E724"/>
  <c r="D724"/>
  <c r="C724"/>
  <c r="F723"/>
  <c r="E723"/>
  <c r="D723"/>
  <c r="C723"/>
  <c r="F722"/>
  <c r="E722"/>
  <c r="D722"/>
  <c r="C722"/>
  <c r="F721"/>
  <c r="E721"/>
  <c r="D721"/>
  <c r="C721"/>
  <c r="F720"/>
  <c r="E720"/>
  <c r="D720"/>
  <c r="C720"/>
  <c r="F719"/>
  <c r="E719"/>
  <c r="D719"/>
  <c r="C719"/>
  <c r="F718"/>
  <c r="E718"/>
  <c r="D718"/>
  <c r="C718"/>
  <c r="F717"/>
  <c r="E717"/>
  <c r="D717"/>
  <c r="C717"/>
  <c r="F716"/>
  <c r="E716"/>
  <c r="D716"/>
  <c r="C716"/>
  <c r="F715"/>
  <c r="E715"/>
  <c r="D715"/>
  <c r="C715"/>
  <c r="F714"/>
  <c r="E714"/>
  <c r="D714"/>
  <c r="C714"/>
  <c r="F713"/>
  <c r="E713"/>
  <c r="D713"/>
  <c r="C713"/>
  <c r="F712"/>
  <c r="E712"/>
  <c r="D712"/>
  <c r="C712"/>
  <c r="F711"/>
  <c r="E711"/>
  <c r="D711"/>
  <c r="C711"/>
  <c r="F710"/>
  <c r="E710"/>
  <c r="D710"/>
  <c r="C710"/>
  <c r="F709"/>
  <c r="E709"/>
  <c r="D709"/>
  <c r="C709"/>
  <c r="F708"/>
  <c r="E708"/>
  <c r="D708"/>
  <c r="C708"/>
  <c r="F707"/>
  <c r="E707"/>
  <c r="D707"/>
  <c r="C707"/>
  <c r="F706"/>
  <c r="E706"/>
  <c r="D706"/>
  <c r="C706"/>
  <c r="F705"/>
  <c r="E705"/>
  <c r="D705"/>
  <c r="C705"/>
  <c r="F704"/>
  <c r="E704"/>
  <c r="D704"/>
  <c r="C704"/>
  <c r="F703"/>
  <c r="E703"/>
  <c r="D703"/>
  <c r="C703"/>
  <c r="F702"/>
  <c r="E702"/>
  <c r="D702"/>
  <c r="C702"/>
  <c r="F701"/>
  <c r="E701"/>
  <c r="D701"/>
  <c r="C701"/>
  <c r="F700"/>
  <c r="E700"/>
  <c r="D700"/>
  <c r="C700"/>
  <c r="F699"/>
  <c r="E699"/>
  <c r="D699"/>
  <c r="C699"/>
  <c r="F698"/>
  <c r="E698"/>
  <c r="D698"/>
  <c r="C698"/>
  <c r="F697"/>
  <c r="E697"/>
  <c r="D697"/>
  <c r="C697"/>
  <c r="F696"/>
  <c r="E696"/>
  <c r="D696"/>
  <c r="C696"/>
  <c r="F695"/>
  <c r="E695"/>
  <c r="D695"/>
  <c r="C695"/>
  <c r="F694"/>
  <c r="E694"/>
  <c r="D694"/>
  <c r="C694"/>
  <c r="F693"/>
  <c r="E693"/>
  <c r="D693"/>
  <c r="C693"/>
  <c r="F692"/>
  <c r="E692"/>
  <c r="D692"/>
  <c r="C692"/>
  <c r="F691"/>
  <c r="E691"/>
  <c r="D691"/>
  <c r="C691"/>
  <c r="F690"/>
  <c r="E690"/>
  <c r="D690"/>
  <c r="C690"/>
  <c r="F689"/>
  <c r="E689"/>
  <c r="D689"/>
  <c r="C689"/>
  <c r="F688"/>
  <c r="E688"/>
  <c r="D688"/>
  <c r="C688"/>
  <c r="F687"/>
  <c r="E687"/>
  <c r="D687"/>
  <c r="C687"/>
  <c r="F686"/>
  <c r="E686"/>
  <c r="D686"/>
  <c r="C686"/>
  <c r="F685"/>
  <c r="E685"/>
  <c r="D685"/>
  <c r="C685"/>
  <c r="F684"/>
  <c r="E684"/>
  <c r="D684"/>
  <c r="C684"/>
  <c r="F683"/>
  <c r="E683"/>
  <c r="D683"/>
  <c r="C683"/>
  <c r="F682"/>
  <c r="E682"/>
  <c r="D682"/>
  <c r="C682"/>
  <c r="F681"/>
  <c r="E681"/>
  <c r="D681"/>
  <c r="C681"/>
  <c r="F680"/>
  <c r="E680"/>
  <c r="D680"/>
  <c r="C680"/>
  <c r="F679"/>
  <c r="E679"/>
  <c r="D679"/>
  <c r="C679"/>
  <c r="F678"/>
  <c r="E678"/>
  <c r="D678"/>
  <c r="C678"/>
  <c r="F677"/>
  <c r="E677"/>
  <c r="D677"/>
  <c r="C677"/>
  <c r="F676"/>
  <c r="E676"/>
  <c r="D676"/>
  <c r="C676"/>
  <c r="F675"/>
  <c r="E675"/>
  <c r="D675"/>
  <c r="C675"/>
  <c r="F674"/>
  <c r="E674"/>
  <c r="D674"/>
  <c r="C674"/>
  <c r="F673"/>
  <c r="E673"/>
  <c r="D673"/>
  <c r="C673"/>
  <c r="F672"/>
  <c r="E672"/>
  <c r="D672"/>
  <c r="C672"/>
  <c r="F671"/>
  <c r="E671"/>
  <c r="D671"/>
  <c r="C671"/>
  <c r="F670"/>
  <c r="E670"/>
  <c r="D670"/>
  <c r="C670"/>
  <c r="F669"/>
  <c r="E669"/>
  <c r="D669"/>
  <c r="C669"/>
  <c r="F668"/>
  <c r="E668"/>
  <c r="D668"/>
  <c r="C668"/>
  <c r="F667"/>
  <c r="E667"/>
  <c r="D667"/>
  <c r="C667"/>
  <c r="F666"/>
  <c r="E666"/>
  <c r="D666"/>
  <c r="C666"/>
  <c r="F665"/>
  <c r="E665"/>
  <c r="D665"/>
  <c r="C665"/>
  <c r="F664"/>
  <c r="E664"/>
  <c r="D664"/>
  <c r="C664"/>
  <c r="F663"/>
  <c r="E663"/>
  <c r="D663"/>
  <c r="C663"/>
  <c r="F662"/>
  <c r="E662"/>
  <c r="D662"/>
  <c r="C662"/>
  <c r="F661"/>
  <c r="E661"/>
  <c r="D661"/>
  <c r="C661"/>
  <c r="F660"/>
  <c r="E660"/>
  <c r="D660"/>
  <c r="C660"/>
  <c r="F659"/>
  <c r="E659"/>
  <c r="D659"/>
  <c r="C659"/>
  <c r="F658"/>
  <c r="E658"/>
  <c r="D658"/>
  <c r="C658"/>
  <c r="F657"/>
  <c r="E657"/>
  <c r="D657"/>
  <c r="C657"/>
  <c r="F656"/>
  <c r="E656"/>
  <c r="D656"/>
  <c r="C656"/>
  <c r="F655"/>
  <c r="E655"/>
  <c r="D655"/>
  <c r="C655"/>
  <c r="F654"/>
  <c r="E654"/>
  <c r="D654"/>
  <c r="C654"/>
  <c r="F653"/>
  <c r="E653"/>
  <c r="D653"/>
  <c r="C653"/>
  <c r="F652"/>
  <c r="E652"/>
  <c r="D652"/>
  <c r="C652"/>
  <c r="F651"/>
  <c r="E651"/>
  <c r="D651"/>
  <c r="C651"/>
  <c r="F650"/>
  <c r="E650"/>
  <c r="D650"/>
  <c r="C650"/>
  <c r="F649"/>
  <c r="E649"/>
  <c r="D649"/>
  <c r="C649"/>
  <c r="F648"/>
  <c r="E648"/>
  <c r="D648"/>
  <c r="C648"/>
  <c r="F647"/>
  <c r="E647"/>
  <c r="D647"/>
  <c r="C647"/>
  <c r="F646"/>
  <c r="E646"/>
  <c r="D646"/>
  <c r="C646"/>
  <c r="F645"/>
  <c r="E645"/>
  <c r="D645"/>
  <c r="C645"/>
  <c r="F644"/>
  <c r="E644"/>
  <c r="D644"/>
  <c r="C644"/>
  <c r="F643"/>
  <c r="E643"/>
  <c r="D643"/>
  <c r="C643"/>
  <c r="F642"/>
  <c r="E642"/>
  <c r="D642"/>
  <c r="C642"/>
  <c r="F641"/>
  <c r="E641"/>
  <c r="D641"/>
  <c r="C641"/>
  <c r="F640"/>
  <c r="E640"/>
  <c r="D640"/>
  <c r="C640"/>
  <c r="F639"/>
  <c r="E639"/>
  <c r="D639"/>
  <c r="C639"/>
  <c r="F638"/>
  <c r="E638"/>
  <c r="D638"/>
  <c r="C638"/>
  <c r="F637"/>
  <c r="E637"/>
  <c r="D637"/>
  <c r="C637"/>
  <c r="F636"/>
  <c r="E636"/>
  <c r="D636"/>
  <c r="C636"/>
  <c r="F635"/>
  <c r="E635"/>
  <c r="D635"/>
  <c r="C635"/>
  <c r="F634"/>
  <c r="E634"/>
  <c r="D634"/>
  <c r="C634"/>
  <c r="F633"/>
  <c r="E633"/>
  <c r="D633"/>
  <c r="C633"/>
  <c r="F632"/>
  <c r="E632"/>
  <c r="D632"/>
  <c r="C632"/>
  <c r="F631"/>
  <c r="E631"/>
  <c r="D631"/>
  <c r="C631"/>
  <c r="F630"/>
  <c r="E630"/>
  <c r="D630"/>
  <c r="C630"/>
  <c r="F629"/>
  <c r="E629"/>
  <c r="D629"/>
  <c r="C629"/>
  <c r="F628"/>
  <c r="E628"/>
  <c r="D628"/>
  <c r="C628"/>
  <c r="F627"/>
  <c r="E627"/>
  <c r="D627"/>
  <c r="C627"/>
  <c r="F626"/>
  <c r="E626"/>
  <c r="D626"/>
  <c r="C626"/>
  <c r="F625"/>
  <c r="E625"/>
  <c r="D625"/>
  <c r="C625"/>
  <c r="F624"/>
  <c r="E624"/>
  <c r="D624"/>
  <c r="C624"/>
  <c r="F623"/>
  <c r="E623"/>
  <c r="D623"/>
  <c r="C623"/>
  <c r="F622"/>
  <c r="E622"/>
  <c r="D622"/>
  <c r="C622"/>
  <c r="F621"/>
  <c r="E621"/>
  <c r="D621"/>
  <c r="C621"/>
  <c r="F620"/>
  <c r="E620"/>
  <c r="D620"/>
  <c r="C620"/>
  <c r="F619"/>
  <c r="E619"/>
  <c r="D619"/>
  <c r="C619"/>
  <c r="F618"/>
  <c r="E618"/>
  <c r="D618"/>
  <c r="C618"/>
  <c r="F617"/>
  <c r="E617"/>
  <c r="D617"/>
  <c r="C617"/>
  <c r="F616"/>
  <c r="E616"/>
  <c r="D616"/>
  <c r="C616"/>
  <c r="F615"/>
  <c r="E615"/>
  <c r="D615"/>
  <c r="C615"/>
  <c r="F614"/>
  <c r="E614"/>
  <c r="D614"/>
  <c r="C614"/>
  <c r="F613"/>
  <c r="E613"/>
  <c r="D613"/>
  <c r="C613"/>
  <c r="F612"/>
  <c r="E612"/>
  <c r="D612"/>
  <c r="C612"/>
  <c r="F611"/>
  <c r="E611"/>
  <c r="D611"/>
  <c r="C611"/>
  <c r="F610"/>
  <c r="E610"/>
  <c r="D610"/>
  <c r="C610"/>
  <c r="F609"/>
  <c r="E609"/>
  <c r="D609"/>
  <c r="C609"/>
  <c r="F608"/>
  <c r="E608"/>
  <c r="D608"/>
  <c r="C608"/>
  <c r="F607"/>
  <c r="E607"/>
  <c r="D607"/>
  <c r="C607"/>
  <c r="F606"/>
  <c r="E606"/>
  <c r="D606"/>
  <c r="C606"/>
  <c r="F605"/>
  <c r="E605"/>
  <c r="D605"/>
  <c r="C605"/>
  <c r="F604"/>
  <c r="E604"/>
  <c r="D604"/>
  <c r="C604"/>
  <c r="F603"/>
  <c r="E603"/>
  <c r="D603"/>
  <c r="C603"/>
  <c r="F602"/>
  <c r="E602"/>
  <c r="D602"/>
  <c r="C602"/>
  <c r="F601"/>
  <c r="E601"/>
  <c r="D601"/>
  <c r="C601"/>
  <c r="F600"/>
  <c r="E600"/>
  <c r="D600"/>
  <c r="C600"/>
  <c r="F599"/>
  <c r="E599"/>
  <c r="D599"/>
  <c r="C599"/>
  <c r="F598"/>
  <c r="E598"/>
  <c r="D598"/>
  <c r="C598"/>
  <c r="F597"/>
  <c r="E597"/>
  <c r="D597"/>
  <c r="C597"/>
  <c r="F596"/>
  <c r="E596"/>
  <c r="D596"/>
  <c r="C596"/>
  <c r="F595"/>
  <c r="E595"/>
  <c r="D595"/>
  <c r="C595"/>
  <c r="F594"/>
  <c r="E594"/>
  <c r="D594"/>
  <c r="C594"/>
  <c r="F593"/>
  <c r="E593"/>
  <c r="D593"/>
  <c r="C593"/>
  <c r="F592"/>
  <c r="E592"/>
  <c r="D592"/>
  <c r="C592"/>
  <c r="F591"/>
  <c r="E591"/>
  <c r="D591"/>
  <c r="C591"/>
  <c r="F590"/>
  <c r="E590"/>
  <c r="D590"/>
  <c r="C590"/>
  <c r="F589"/>
  <c r="E589"/>
  <c r="D589"/>
  <c r="C589"/>
  <c r="F588"/>
  <c r="E588"/>
  <c r="D588"/>
  <c r="C588"/>
  <c r="F587"/>
  <c r="E587"/>
  <c r="D587"/>
  <c r="C587"/>
  <c r="F586"/>
  <c r="E586"/>
  <c r="D586"/>
  <c r="C586"/>
  <c r="F585"/>
  <c r="E585"/>
  <c r="D585"/>
  <c r="C585"/>
  <c r="F584"/>
  <c r="E584"/>
  <c r="D584"/>
  <c r="C584"/>
  <c r="F583"/>
  <c r="E583"/>
  <c r="D583"/>
  <c r="C583"/>
  <c r="F582"/>
  <c r="E582"/>
  <c r="D582"/>
  <c r="C582"/>
  <c r="F581"/>
  <c r="E581"/>
  <c r="D581"/>
  <c r="C581"/>
  <c r="F580"/>
  <c r="E580"/>
  <c r="D580"/>
  <c r="C580"/>
  <c r="F579"/>
  <c r="E579"/>
  <c r="D579"/>
  <c r="C579"/>
  <c r="F578"/>
  <c r="E578"/>
  <c r="D578"/>
  <c r="C578"/>
  <c r="F577"/>
  <c r="E577"/>
  <c r="D577"/>
  <c r="C577"/>
  <c r="F576"/>
  <c r="E576"/>
  <c r="D576"/>
  <c r="C576"/>
  <c r="F575"/>
  <c r="E575"/>
  <c r="D575"/>
  <c r="C575"/>
  <c r="F574"/>
  <c r="E574"/>
  <c r="D574"/>
  <c r="C574"/>
  <c r="F573"/>
  <c r="E573"/>
  <c r="D573"/>
  <c r="C573"/>
  <c r="F572"/>
  <c r="E572"/>
  <c r="D572"/>
  <c r="C572"/>
  <c r="F571"/>
  <c r="E571"/>
  <c r="D571"/>
  <c r="C571"/>
  <c r="F570"/>
  <c r="E570"/>
  <c r="D570"/>
  <c r="C570"/>
  <c r="F569"/>
  <c r="E569"/>
  <c r="D569"/>
  <c r="C569"/>
  <c r="F568"/>
  <c r="E568"/>
  <c r="D568"/>
  <c r="C568"/>
  <c r="F567"/>
  <c r="E567"/>
  <c r="D567"/>
  <c r="C567"/>
  <c r="F566"/>
  <c r="E566"/>
  <c r="D566"/>
  <c r="C566"/>
  <c r="F565"/>
  <c r="E565"/>
  <c r="D565"/>
  <c r="C565"/>
  <c r="F564"/>
  <c r="E564"/>
  <c r="D564"/>
  <c r="C564"/>
  <c r="F563"/>
  <c r="E563"/>
  <c r="D563"/>
  <c r="C563"/>
  <c r="F562"/>
  <c r="E562"/>
  <c r="D562"/>
  <c r="C562"/>
  <c r="F561"/>
  <c r="E561"/>
  <c r="D561"/>
  <c r="C561"/>
  <c r="F560"/>
  <c r="E560"/>
  <c r="D560"/>
  <c r="C560"/>
  <c r="F559"/>
  <c r="E559"/>
  <c r="D559"/>
  <c r="C559"/>
  <c r="F558"/>
  <c r="E558"/>
  <c r="D558"/>
  <c r="C558"/>
  <c r="F557"/>
  <c r="E557"/>
  <c r="D557"/>
  <c r="C557"/>
  <c r="F556"/>
  <c r="E556"/>
  <c r="D556"/>
  <c r="C556"/>
  <c r="F554"/>
  <c r="E554"/>
  <c r="D554"/>
  <c r="C554"/>
  <c r="F553"/>
  <c r="E553"/>
  <c r="D553"/>
  <c r="C553"/>
  <c r="F552"/>
  <c r="E552"/>
  <c r="D552"/>
  <c r="C552"/>
  <c r="F551"/>
  <c r="E551"/>
  <c r="D551"/>
  <c r="C551"/>
  <c r="F550"/>
  <c r="E550"/>
  <c r="D550"/>
  <c r="C550"/>
  <c r="F549"/>
  <c r="E549"/>
  <c r="D549"/>
  <c r="C549"/>
  <c r="F548"/>
  <c r="E548"/>
  <c r="D548"/>
  <c r="C548"/>
  <c r="F547"/>
  <c r="E547"/>
  <c r="D547"/>
  <c r="C547"/>
  <c r="F546"/>
  <c r="E546"/>
  <c r="D546"/>
  <c r="C546"/>
  <c r="F545"/>
  <c r="E545"/>
  <c r="D545"/>
  <c r="C545"/>
  <c r="F544"/>
  <c r="E544"/>
  <c r="D544"/>
  <c r="C544"/>
  <c r="F543"/>
  <c r="E543"/>
  <c r="D543"/>
  <c r="C543"/>
  <c r="F542"/>
  <c r="E542"/>
  <c r="D542"/>
  <c r="C542"/>
  <c r="F541"/>
  <c r="E541"/>
  <c r="D541"/>
  <c r="C541"/>
  <c r="F540"/>
  <c r="E540"/>
  <c r="D540"/>
  <c r="C540"/>
  <c r="F539"/>
  <c r="E539"/>
  <c r="D539"/>
  <c r="C539"/>
  <c r="F538"/>
  <c r="E538"/>
  <c r="D538"/>
  <c r="C538"/>
  <c r="F537"/>
  <c r="E537"/>
  <c r="D537"/>
  <c r="C537"/>
  <c r="F536"/>
  <c r="E536"/>
  <c r="D536"/>
  <c r="C536"/>
  <c r="F535"/>
  <c r="E535"/>
  <c r="D535"/>
  <c r="C535"/>
  <c r="F534"/>
  <c r="E534"/>
  <c r="D534"/>
  <c r="C534"/>
  <c r="F533"/>
  <c r="E533"/>
  <c r="D533"/>
  <c r="C533"/>
  <c r="F532"/>
  <c r="E532"/>
  <c r="D532"/>
  <c r="C532"/>
  <c r="F531"/>
  <c r="E531"/>
  <c r="D531"/>
  <c r="C531"/>
  <c r="F530"/>
  <c r="E530"/>
  <c r="D530"/>
  <c r="C530"/>
  <c r="F529"/>
  <c r="E529"/>
  <c r="D529"/>
  <c r="C529"/>
  <c r="F528"/>
  <c r="E528"/>
  <c r="D528"/>
  <c r="C528"/>
  <c r="F527"/>
  <c r="E527"/>
  <c r="D527"/>
  <c r="C527"/>
  <c r="F526"/>
  <c r="E526"/>
  <c r="D526"/>
  <c r="C526"/>
  <c r="F525"/>
  <c r="E525"/>
  <c r="D525"/>
  <c r="C525"/>
  <c r="F524"/>
  <c r="E524"/>
  <c r="D524"/>
  <c r="C524"/>
  <c r="F523"/>
  <c r="E523"/>
  <c r="D523"/>
  <c r="C523"/>
  <c r="F522"/>
  <c r="E522"/>
  <c r="D522"/>
  <c r="C522"/>
  <c r="F521"/>
  <c r="E521"/>
  <c r="D521"/>
  <c r="C521"/>
  <c r="F520"/>
  <c r="E520"/>
  <c r="D520"/>
  <c r="C520"/>
  <c r="F519"/>
  <c r="E519"/>
  <c r="D519"/>
  <c r="C519"/>
  <c r="F518"/>
  <c r="E518"/>
  <c r="D518"/>
  <c r="C518"/>
  <c r="F517"/>
  <c r="E517"/>
  <c r="D517"/>
  <c r="C517"/>
  <c r="F516"/>
  <c r="E516"/>
  <c r="D516"/>
  <c r="C516"/>
  <c r="F515"/>
  <c r="E515"/>
  <c r="D515"/>
  <c r="C515"/>
  <c r="F514"/>
  <c r="E514"/>
  <c r="D514"/>
  <c r="C514"/>
  <c r="F513"/>
  <c r="E513"/>
  <c r="D513"/>
  <c r="C513"/>
  <c r="F512"/>
  <c r="E512"/>
  <c r="D512"/>
  <c r="C512"/>
  <c r="F511"/>
  <c r="E511"/>
  <c r="D511"/>
  <c r="C511"/>
  <c r="F510"/>
  <c r="E510"/>
  <c r="D510"/>
  <c r="C510"/>
  <c r="F509"/>
  <c r="E509"/>
  <c r="D509"/>
  <c r="C509"/>
  <c r="F508"/>
  <c r="E508"/>
  <c r="D508"/>
  <c r="C508"/>
  <c r="F507"/>
  <c r="E507"/>
  <c r="D507"/>
  <c r="C507"/>
  <c r="F506"/>
  <c r="E506"/>
  <c r="D506"/>
  <c r="C506"/>
  <c r="F505"/>
  <c r="E505"/>
  <c r="D505"/>
  <c r="C505"/>
  <c r="F504"/>
  <c r="E504"/>
  <c r="D504"/>
  <c r="C504"/>
  <c r="F503"/>
  <c r="E503"/>
  <c r="D503"/>
  <c r="C503"/>
  <c r="F502"/>
  <c r="E502"/>
  <c r="D502"/>
  <c r="C502"/>
  <c r="F501"/>
  <c r="E501"/>
  <c r="D501"/>
  <c r="C501"/>
  <c r="F500"/>
  <c r="E500"/>
  <c r="D500"/>
  <c r="C500"/>
  <c r="F499"/>
  <c r="E499"/>
  <c r="D499"/>
  <c r="C499"/>
  <c r="F498"/>
  <c r="E498"/>
  <c r="D498"/>
  <c r="C498"/>
  <c r="F497"/>
  <c r="E497"/>
  <c r="D497"/>
  <c r="C497"/>
  <c r="F496"/>
  <c r="E496"/>
  <c r="D496"/>
  <c r="C496"/>
  <c r="F495"/>
  <c r="E495"/>
  <c r="D495"/>
  <c r="C495"/>
  <c r="F494"/>
  <c r="E494"/>
  <c r="D494"/>
  <c r="C494"/>
  <c r="F493"/>
  <c r="E493"/>
  <c r="D493"/>
  <c r="C493"/>
  <c r="F492"/>
  <c r="E492"/>
  <c r="D492"/>
  <c r="C492"/>
  <c r="F491"/>
  <c r="E491"/>
  <c r="D491"/>
  <c r="C491"/>
  <c r="F490"/>
  <c r="E490"/>
  <c r="D490"/>
  <c r="C490"/>
  <c r="F489"/>
  <c r="E489"/>
  <c r="D489"/>
  <c r="C489"/>
  <c r="F488"/>
  <c r="E488"/>
  <c r="D488"/>
  <c r="C488"/>
  <c r="F487"/>
  <c r="E487"/>
  <c r="D487"/>
  <c r="C487"/>
  <c r="F486"/>
  <c r="E486"/>
  <c r="D486"/>
  <c r="C486"/>
  <c r="F485"/>
  <c r="E485"/>
  <c r="D485"/>
  <c r="C485"/>
  <c r="F484"/>
  <c r="E484"/>
  <c r="D484"/>
  <c r="C484"/>
  <c r="F483"/>
  <c r="E483"/>
  <c r="D483"/>
  <c r="C483"/>
  <c r="F482"/>
  <c r="E482"/>
  <c r="D482"/>
  <c r="C482"/>
  <c r="F481"/>
  <c r="E481"/>
  <c r="D481"/>
  <c r="C481"/>
  <c r="F480"/>
  <c r="E480"/>
  <c r="D480"/>
  <c r="C480"/>
  <c r="F479"/>
  <c r="E479"/>
  <c r="D479"/>
  <c r="C479"/>
  <c r="F478"/>
  <c r="E478"/>
  <c r="D478"/>
  <c r="C478"/>
  <c r="F477"/>
  <c r="E477"/>
  <c r="D477"/>
  <c r="C477"/>
  <c r="F476"/>
  <c r="E476"/>
  <c r="D476"/>
  <c r="C476"/>
  <c r="F475"/>
  <c r="E475"/>
  <c r="D475"/>
  <c r="C475"/>
  <c r="F474"/>
  <c r="E474"/>
  <c r="D474"/>
  <c r="C474"/>
  <c r="F473"/>
  <c r="E473"/>
  <c r="D473"/>
  <c r="C473"/>
  <c r="F472"/>
  <c r="E472"/>
  <c r="D472"/>
  <c r="C472"/>
  <c r="F471"/>
  <c r="E471"/>
  <c r="D471"/>
  <c r="C471"/>
  <c r="F470"/>
  <c r="E470"/>
  <c r="D470"/>
  <c r="C470"/>
  <c r="F469"/>
  <c r="E469"/>
  <c r="D469"/>
  <c r="C469"/>
  <c r="F468"/>
  <c r="E468"/>
  <c r="D468"/>
  <c r="C468"/>
  <c r="F467"/>
  <c r="E467"/>
  <c r="D467"/>
  <c r="C467"/>
  <c r="F466"/>
  <c r="E466"/>
  <c r="D466"/>
  <c r="C466"/>
  <c r="F465"/>
  <c r="E465"/>
  <c r="D465"/>
  <c r="C465"/>
  <c r="F464"/>
  <c r="E464"/>
  <c r="D464"/>
  <c r="C464"/>
  <c r="F463"/>
  <c r="E463"/>
  <c r="D463"/>
  <c r="C463"/>
  <c r="F462"/>
  <c r="E462"/>
  <c r="D462"/>
  <c r="C462"/>
  <c r="F461"/>
  <c r="E461"/>
  <c r="D461"/>
  <c r="C461"/>
  <c r="F460"/>
  <c r="E460"/>
  <c r="D460"/>
  <c r="C460"/>
  <c r="F459"/>
  <c r="E459"/>
  <c r="D459"/>
  <c r="C459"/>
  <c r="F458"/>
  <c r="E458"/>
  <c r="D458"/>
  <c r="C458"/>
  <c r="F457"/>
  <c r="E457"/>
  <c r="D457"/>
  <c r="C457"/>
  <c r="F456"/>
  <c r="E456"/>
  <c r="D456"/>
  <c r="C456"/>
  <c r="F455"/>
  <c r="E455"/>
  <c r="D455"/>
  <c r="C455"/>
  <c r="F454"/>
  <c r="E454"/>
  <c r="D454"/>
  <c r="C454"/>
  <c r="F453"/>
  <c r="E453"/>
  <c r="D453"/>
  <c r="C453"/>
  <c r="F452"/>
  <c r="E452"/>
  <c r="D452"/>
  <c r="C452"/>
  <c r="F451"/>
  <c r="E451"/>
  <c r="D451"/>
  <c r="C451"/>
  <c r="F450"/>
  <c r="E450"/>
  <c r="D450"/>
  <c r="C450"/>
  <c r="F449"/>
  <c r="E449"/>
  <c r="D449"/>
  <c r="C449"/>
  <c r="F448"/>
  <c r="E448"/>
  <c r="D448"/>
  <c r="C448"/>
  <c r="F447"/>
  <c r="E447"/>
  <c r="D447"/>
  <c r="C447"/>
  <c r="F446"/>
  <c r="E446"/>
  <c r="D446"/>
  <c r="C446"/>
  <c r="F445"/>
  <c r="E445"/>
  <c r="D445"/>
  <c r="C445"/>
  <c r="F444"/>
  <c r="E444"/>
  <c r="D444"/>
  <c r="C444"/>
  <c r="F443"/>
  <c r="E443"/>
  <c r="D443"/>
  <c r="C443"/>
  <c r="F442"/>
  <c r="E442"/>
  <c r="D442"/>
  <c r="C442"/>
  <c r="F441"/>
  <c r="E441"/>
  <c r="D441"/>
  <c r="C441"/>
  <c r="F440"/>
  <c r="E440"/>
  <c r="D440"/>
  <c r="C440"/>
  <c r="F439"/>
  <c r="E439"/>
  <c r="D439"/>
  <c r="C439"/>
  <c r="F438"/>
  <c r="E438"/>
  <c r="D438"/>
  <c r="C438"/>
  <c r="F437"/>
  <c r="E437"/>
  <c r="D437"/>
  <c r="C437"/>
  <c r="F436"/>
  <c r="E436"/>
  <c r="D436"/>
  <c r="C436"/>
  <c r="F435"/>
  <c r="E435"/>
  <c r="D435"/>
  <c r="C435"/>
  <c r="F434"/>
  <c r="E434"/>
  <c r="D434"/>
  <c r="C434"/>
  <c r="F433"/>
  <c r="E433"/>
  <c r="D433"/>
  <c r="C433"/>
  <c r="F432"/>
  <c r="E432"/>
  <c r="D432"/>
  <c r="C432"/>
  <c r="F431"/>
  <c r="E431"/>
  <c r="D431"/>
  <c r="C431"/>
  <c r="F430"/>
  <c r="E430"/>
  <c r="D430"/>
  <c r="C430"/>
  <c r="F429"/>
  <c r="E429"/>
  <c r="D429"/>
  <c r="C429"/>
  <c r="F428"/>
  <c r="E428"/>
  <c r="D428"/>
  <c r="C428"/>
  <c r="F427"/>
  <c r="E427"/>
  <c r="D427"/>
  <c r="C427"/>
  <c r="F426"/>
  <c r="E426"/>
  <c r="D426"/>
  <c r="C426"/>
  <c r="F425"/>
  <c r="E425"/>
  <c r="D425"/>
  <c r="C425"/>
  <c r="F424"/>
  <c r="E424"/>
  <c r="D424"/>
  <c r="C424"/>
  <c r="F423"/>
  <c r="E423"/>
  <c r="D423"/>
  <c r="C423"/>
  <c r="F422"/>
  <c r="E422"/>
  <c r="D422"/>
  <c r="C422"/>
  <c r="F421"/>
  <c r="E421"/>
  <c r="D421"/>
  <c r="C421"/>
  <c r="F420"/>
  <c r="E420"/>
  <c r="D420"/>
  <c r="C420"/>
  <c r="F419"/>
  <c r="E419"/>
  <c r="D419"/>
  <c r="C419"/>
  <c r="F418"/>
  <c r="E418"/>
  <c r="D418"/>
  <c r="C418"/>
  <c r="F417"/>
  <c r="E417"/>
  <c r="D417"/>
  <c r="C417"/>
  <c r="F416"/>
  <c r="E416"/>
  <c r="D416"/>
  <c r="C416"/>
  <c r="F415"/>
  <c r="E415"/>
  <c r="D415"/>
  <c r="C415"/>
  <c r="F414"/>
  <c r="E414"/>
  <c r="D414"/>
  <c r="C414"/>
  <c r="F413"/>
  <c r="E413"/>
  <c r="D413"/>
  <c r="C413"/>
  <c r="F412"/>
  <c r="E412"/>
  <c r="D412"/>
  <c r="C412"/>
  <c r="F411"/>
  <c r="E411"/>
  <c r="D411"/>
  <c r="C411"/>
  <c r="F410"/>
  <c r="E410"/>
  <c r="D410"/>
  <c r="C410"/>
  <c r="F409"/>
  <c r="E409"/>
  <c r="D409"/>
  <c r="C409"/>
  <c r="F408"/>
  <c r="E408"/>
  <c r="D408"/>
  <c r="C408"/>
  <c r="F407"/>
  <c r="E407"/>
  <c r="D407"/>
  <c r="C407"/>
  <c r="F406"/>
  <c r="E406"/>
  <c r="D406"/>
  <c r="C406"/>
  <c r="F405"/>
  <c r="E405"/>
  <c r="D405"/>
  <c r="C405"/>
  <c r="F404"/>
  <c r="E404"/>
  <c r="D404"/>
  <c r="C404"/>
  <c r="F403"/>
  <c r="E403"/>
  <c r="D403"/>
  <c r="C403"/>
  <c r="F402"/>
  <c r="E402"/>
  <c r="D402"/>
  <c r="C402"/>
  <c r="F401"/>
  <c r="E401"/>
  <c r="D401"/>
  <c r="C401"/>
  <c r="F400"/>
  <c r="E400"/>
  <c r="D400"/>
  <c r="C400"/>
  <c r="F399"/>
  <c r="E399"/>
  <c r="D399"/>
  <c r="C399"/>
  <c r="F398"/>
  <c r="E398"/>
  <c r="D398"/>
  <c r="C398"/>
  <c r="F397"/>
  <c r="E397"/>
  <c r="D397"/>
  <c r="C397"/>
  <c r="F396"/>
  <c r="E396"/>
  <c r="D396"/>
  <c r="C396"/>
  <c r="F395"/>
  <c r="E395"/>
  <c r="D395"/>
  <c r="C395"/>
  <c r="F394"/>
  <c r="E394"/>
  <c r="D394"/>
  <c r="C394"/>
  <c r="F393"/>
  <c r="E393"/>
  <c r="D393"/>
  <c r="C393"/>
  <c r="F392"/>
  <c r="E392"/>
  <c r="D392"/>
  <c r="C392"/>
  <c r="F391"/>
  <c r="E391"/>
  <c r="D391"/>
  <c r="C391"/>
  <c r="F390"/>
  <c r="E390"/>
  <c r="D390"/>
  <c r="C390"/>
  <c r="F389"/>
  <c r="E389"/>
  <c r="D389"/>
  <c r="C389"/>
  <c r="F388"/>
  <c r="E388"/>
  <c r="D388"/>
  <c r="C388"/>
  <c r="F387"/>
  <c r="E387"/>
  <c r="D387"/>
  <c r="C387"/>
  <c r="F386"/>
  <c r="E386"/>
  <c r="D386"/>
  <c r="C386"/>
  <c r="F385"/>
  <c r="E385"/>
  <c r="D385"/>
  <c r="C385"/>
  <c r="F384"/>
  <c r="E384"/>
  <c r="D384"/>
  <c r="C384"/>
  <c r="F383"/>
  <c r="E383"/>
  <c r="D383"/>
  <c r="C383"/>
  <c r="F382"/>
  <c r="E382"/>
  <c r="D382"/>
  <c r="C382"/>
  <c r="F381"/>
  <c r="E381"/>
  <c r="D381"/>
  <c r="C381"/>
  <c r="F380"/>
  <c r="E380"/>
  <c r="D380"/>
  <c r="C380"/>
  <c r="F379"/>
  <c r="E379"/>
  <c r="D379"/>
  <c r="C379"/>
  <c r="F378"/>
  <c r="E378"/>
  <c r="D378"/>
  <c r="C378"/>
  <c r="F377"/>
  <c r="E377"/>
  <c r="D377"/>
  <c r="C377"/>
  <c r="F376"/>
  <c r="E376"/>
  <c r="D376"/>
  <c r="C376"/>
  <c r="F375"/>
  <c r="E375"/>
  <c r="D375"/>
  <c r="C375"/>
  <c r="F374"/>
  <c r="E374"/>
  <c r="D374"/>
  <c r="C374"/>
  <c r="F373"/>
  <c r="E373"/>
  <c r="D373"/>
  <c r="C373"/>
  <c r="F372"/>
  <c r="E372"/>
  <c r="D372"/>
  <c r="C372"/>
  <c r="F371"/>
  <c r="E371"/>
  <c r="D371"/>
  <c r="C371"/>
  <c r="F370"/>
  <c r="E370"/>
  <c r="D370"/>
  <c r="C370"/>
  <c r="F369"/>
  <c r="E369"/>
  <c r="D369"/>
  <c r="C369"/>
  <c r="F368"/>
  <c r="E368"/>
  <c r="D368"/>
  <c r="C368"/>
  <c r="F367"/>
  <c r="E367"/>
  <c r="D367"/>
  <c r="C367"/>
  <c r="F366"/>
  <c r="E366"/>
  <c r="D366"/>
  <c r="C366"/>
  <c r="F365"/>
  <c r="E365"/>
  <c r="D365"/>
  <c r="C365"/>
  <c r="F364"/>
  <c r="E364"/>
  <c r="D364"/>
  <c r="C364"/>
  <c r="F363"/>
  <c r="E363"/>
  <c r="D363"/>
  <c r="C363"/>
  <c r="F362"/>
  <c r="E362"/>
  <c r="D362"/>
  <c r="C362"/>
  <c r="F361"/>
  <c r="E361"/>
  <c r="D361"/>
  <c r="C361"/>
  <c r="F360"/>
  <c r="E360"/>
  <c r="D360"/>
  <c r="C360"/>
  <c r="F359"/>
  <c r="E359"/>
  <c r="D359"/>
  <c r="C359"/>
  <c r="F358"/>
  <c r="E358"/>
  <c r="D358"/>
  <c r="C358"/>
  <c r="F357"/>
  <c r="E357"/>
  <c r="D357"/>
  <c r="C357"/>
  <c r="F356"/>
  <c r="E356"/>
  <c r="D356"/>
  <c r="C356"/>
  <c r="F355"/>
  <c r="E355"/>
  <c r="D355"/>
  <c r="C355"/>
  <c r="F354"/>
  <c r="E354"/>
  <c r="D354"/>
  <c r="C354"/>
  <c r="F353"/>
  <c r="E353"/>
  <c r="D353"/>
  <c r="C353"/>
  <c r="F352"/>
  <c r="E352"/>
  <c r="D352"/>
  <c r="C352"/>
  <c r="F351"/>
  <c r="E351"/>
  <c r="D351"/>
  <c r="C351"/>
  <c r="F350"/>
  <c r="E350"/>
  <c r="D350"/>
  <c r="C350"/>
  <c r="F349"/>
  <c r="E349"/>
  <c r="D349"/>
  <c r="C349"/>
  <c r="F348"/>
  <c r="E348"/>
  <c r="D348"/>
  <c r="C348"/>
  <c r="F347"/>
  <c r="E347"/>
  <c r="D347"/>
  <c r="C347"/>
  <c r="F346"/>
  <c r="E346"/>
  <c r="D346"/>
  <c r="C346"/>
  <c r="F345"/>
  <c r="E345"/>
  <c r="D345"/>
  <c r="C345"/>
  <c r="F344"/>
  <c r="E344"/>
  <c r="D344"/>
  <c r="C344"/>
  <c r="F343"/>
  <c r="E343"/>
  <c r="D343"/>
  <c r="C343"/>
  <c r="F342"/>
  <c r="E342"/>
  <c r="D342"/>
  <c r="C342"/>
  <c r="F341"/>
  <c r="E341"/>
  <c r="D341"/>
  <c r="C341"/>
  <c r="F340"/>
  <c r="E340"/>
  <c r="D340"/>
  <c r="C340"/>
  <c r="F339"/>
  <c r="E339"/>
  <c r="D339"/>
  <c r="C339"/>
  <c r="F338"/>
  <c r="E338"/>
  <c r="D338"/>
  <c r="C338"/>
  <c r="F337"/>
  <c r="E337"/>
  <c r="D337"/>
  <c r="C337"/>
  <c r="F336"/>
  <c r="E336"/>
  <c r="D336"/>
  <c r="C336"/>
  <c r="F335"/>
  <c r="E335"/>
  <c r="D335"/>
  <c r="C335"/>
  <c r="F334"/>
  <c r="E334"/>
  <c r="D334"/>
  <c r="C334"/>
  <c r="F333"/>
  <c r="E333"/>
  <c r="D333"/>
  <c r="C333"/>
  <c r="F332"/>
  <c r="E332"/>
  <c r="D332"/>
  <c r="C332"/>
  <c r="F331"/>
  <c r="E331"/>
  <c r="D331"/>
  <c r="C331"/>
  <c r="F330"/>
  <c r="E330"/>
  <c r="D330"/>
  <c r="C330"/>
  <c r="F329"/>
  <c r="E329"/>
  <c r="D329"/>
  <c r="C329"/>
  <c r="F328"/>
  <c r="E328"/>
  <c r="D328"/>
  <c r="C328"/>
  <c r="F327"/>
  <c r="E327"/>
  <c r="D327"/>
  <c r="C327"/>
  <c r="F326"/>
  <c r="E326"/>
  <c r="D326"/>
  <c r="C326"/>
  <c r="F325"/>
  <c r="E325"/>
  <c r="D325"/>
  <c r="C325"/>
  <c r="F324"/>
  <c r="E324"/>
  <c r="D324"/>
  <c r="C324"/>
  <c r="F323"/>
  <c r="E323"/>
  <c r="D323"/>
  <c r="C323"/>
  <c r="F322"/>
  <c r="E322"/>
  <c r="D322"/>
  <c r="C322"/>
  <c r="F321"/>
  <c r="E321"/>
  <c r="D321"/>
  <c r="C321"/>
  <c r="F320"/>
  <c r="E320"/>
  <c r="D320"/>
  <c r="C320"/>
  <c r="F319"/>
  <c r="E319"/>
  <c r="D319"/>
  <c r="C319"/>
  <c r="F318"/>
  <c r="E318"/>
  <c r="D318"/>
  <c r="C318"/>
  <c r="F317"/>
  <c r="E317"/>
  <c r="D317"/>
  <c r="C317"/>
  <c r="F316"/>
  <c r="E316"/>
  <c r="D316"/>
  <c r="C316"/>
  <c r="F315"/>
  <c r="E315"/>
  <c r="D315"/>
  <c r="C315"/>
  <c r="F314"/>
  <c r="E314"/>
  <c r="D314"/>
  <c r="C314"/>
  <c r="F313"/>
  <c r="E313"/>
  <c r="D313"/>
  <c r="C313"/>
  <c r="F312"/>
  <c r="E312"/>
  <c r="D312"/>
  <c r="C312"/>
  <c r="F311"/>
  <c r="E311"/>
  <c r="D311"/>
  <c r="C311"/>
  <c r="F310"/>
  <c r="E310"/>
  <c r="D310"/>
  <c r="C310"/>
  <c r="F309"/>
  <c r="E309"/>
  <c r="D309"/>
  <c r="C309"/>
  <c r="F308"/>
  <c r="E308"/>
  <c r="D308"/>
  <c r="C308"/>
  <c r="F307"/>
  <c r="E307"/>
  <c r="D307"/>
  <c r="C307"/>
  <c r="I306"/>
  <c r="F306"/>
  <c r="E306"/>
  <c r="D306"/>
  <c r="C306"/>
  <c r="F305"/>
  <c r="E305"/>
  <c r="D305"/>
  <c r="C305"/>
  <c r="F304"/>
  <c r="E304"/>
  <c r="D304"/>
  <c r="C304"/>
  <c r="F303"/>
  <c r="E303"/>
  <c r="D303"/>
  <c r="C303"/>
  <c r="F302"/>
  <c r="E302"/>
  <c r="D302"/>
  <c r="C302"/>
  <c r="F301"/>
  <c r="E301"/>
  <c r="D301"/>
  <c r="C301"/>
  <c r="F300"/>
  <c r="E300"/>
  <c r="D300"/>
  <c r="C300"/>
  <c r="F299"/>
  <c r="E299"/>
  <c r="D299"/>
  <c r="C299"/>
  <c r="F298"/>
  <c r="E298"/>
  <c r="D298"/>
  <c r="C298"/>
  <c r="F297"/>
  <c r="E297"/>
  <c r="D297"/>
  <c r="C297"/>
  <c r="F296"/>
  <c r="E296"/>
  <c r="D296"/>
  <c r="C296"/>
  <c r="F295"/>
  <c r="E295"/>
  <c r="D295"/>
  <c r="C295"/>
  <c r="F294"/>
  <c r="E294"/>
  <c r="D294"/>
  <c r="C294"/>
  <c r="F293"/>
  <c r="E293"/>
  <c r="D293"/>
  <c r="C293"/>
  <c r="F292"/>
  <c r="E292"/>
  <c r="D292"/>
  <c r="C292"/>
  <c r="F291"/>
  <c r="E291"/>
  <c r="D291"/>
  <c r="C291"/>
  <c r="F290"/>
  <c r="E290"/>
  <c r="D290"/>
  <c r="C290"/>
  <c r="F289"/>
  <c r="E289"/>
  <c r="D289"/>
  <c r="C289"/>
  <c r="F288"/>
  <c r="E288"/>
  <c r="D288"/>
  <c r="C288"/>
  <c r="I287"/>
  <c r="AD25" i="4" s="1"/>
  <c r="F287" i="5"/>
  <c r="E287"/>
  <c r="D287"/>
  <c r="C287"/>
  <c r="F286"/>
  <c r="E286"/>
  <c r="D286"/>
  <c r="C286"/>
  <c r="F285"/>
  <c r="E285"/>
  <c r="D285"/>
  <c r="C285"/>
  <c r="F284"/>
  <c r="E284"/>
  <c r="D284"/>
  <c r="C284"/>
  <c r="F283"/>
  <c r="E283"/>
  <c r="D283"/>
  <c r="C283"/>
  <c r="F282"/>
  <c r="E282"/>
  <c r="D282"/>
  <c r="C282"/>
  <c r="F281"/>
  <c r="E281"/>
  <c r="D281"/>
  <c r="C281"/>
  <c r="F280"/>
  <c r="E280"/>
  <c r="D280"/>
  <c r="C280"/>
  <c r="F279"/>
  <c r="E279"/>
  <c r="D279"/>
  <c r="C279"/>
  <c r="F278"/>
  <c r="E278"/>
  <c r="D278"/>
  <c r="C278"/>
  <c r="F277"/>
  <c r="E277"/>
  <c r="D277"/>
  <c r="C277"/>
  <c r="F276"/>
  <c r="E276"/>
  <c r="D276"/>
  <c r="C276"/>
  <c r="F275"/>
  <c r="E275"/>
  <c r="D275"/>
  <c r="C275"/>
  <c r="F274"/>
  <c r="E274"/>
  <c r="D274"/>
  <c r="C274"/>
  <c r="F273"/>
  <c r="E273"/>
  <c r="D273"/>
  <c r="C273"/>
  <c r="F272"/>
  <c r="E272"/>
  <c r="D272"/>
  <c r="C272"/>
  <c r="F271"/>
  <c r="E271"/>
  <c r="D271"/>
  <c r="C271"/>
  <c r="F270"/>
  <c r="E270"/>
  <c r="D270"/>
  <c r="C270"/>
  <c r="F269"/>
  <c r="E269"/>
  <c r="D269"/>
  <c r="C269"/>
  <c r="F268"/>
  <c r="E268"/>
  <c r="D268"/>
  <c r="C268"/>
  <c r="F267"/>
  <c r="E267"/>
  <c r="D267"/>
  <c r="C267"/>
  <c r="I266"/>
  <c r="F266"/>
  <c r="E266"/>
  <c r="D266"/>
  <c r="C266"/>
  <c r="F265"/>
  <c r="E265"/>
  <c r="D265"/>
  <c r="C265"/>
  <c r="F264"/>
  <c r="E264"/>
  <c r="D264"/>
  <c r="C264"/>
  <c r="F263"/>
  <c r="E263"/>
  <c r="D263"/>
  <c r="C263"/>
  <c r="F262"/>
  <c r="E262"/>
  <c r="D262"/>
  <c r="C262"/>
  <c r="F261"/>
  <c r="E261"/>
  <c r="D261"/>
  <c r="C261"/>
  <c r="F260"/>
  <c r="E260"/>
  <c r="D260"/>
  <c r="C260"/>
  <c r="F259"/>
  <c r="E259"/>
  <c r="D259"/>
  <c r="C259"/>
  <c r="F258"/>
  <c r="E258"/>
  <c r="D258"/>
  <c r="C258"/>
  <c r="F257"/>
  <c r="E257"/>
  <c r="D257"/>
  <c r="C257"/>
  <c r="F256"/>
  <c r="E256"/>
  <c r="D256"/>
  <c r="C256"/>
  <c r="F255"/>
  <c r="E255"/>
  <c r="D255"/>
  <c r="C255"/>
  <c r="F254"/>
  <c r="E254"/>
  <c r="D254"/>
  <c r="C254"/>
  <c r="F253"/>
  <c r="E253"/>
  <c r="D253"/>
  <c r="C253"/>
  <c r="F252"/>
  <c r="E252"/>
  <c r="D252"/>
  <c r="C252"/>
  <c r="F251"/>
  <c r="E251"/>
  <c r="D251"/>
  <c r="C251"/>
  <c r="F250"/>
  <c r="E250"/>
  <c r="D250"/>
  <c r="C250"/>
  <c r="F249"/>
  <c r="E249"/>
  <c r="D249"/>
  <c r="C249"/>
  <c r="F248"/>
  <c r="E248"/>
  <c r="D248"/>
  <c r="C248"/>
  <c r="F247"/>
  <c r="E247"/>
  <c r="D247"/>
  <c r="C247"/>
  <c r="I246"/>
  <c r="AB25" i="4" s="1"/>
  <c r="F246" i="5"/>
  <c r="E246"/>
  <c r="D246"/>
  <c r="C246"/>
  <c r="F245"/>
  <c r="E245"/>
  <c r="D245"/>
  <c r="C245"/>
  <c r="F244"/>
  <c r="E244"/>
  <c r="D244"/>
  <c r="C244"/>
  <c r="F243"/>
  <c r="E243"/>
  <c r="D243"/>
  <c r="C243"/>
  <c r="F242"/>
  <c r="E242"/>
  <c r="D242"/>
  <c r="C242"/>
  <c r="F241"/>
  <c r="E241"/>
  <c r="D241"/>
  <c r="C241"/>
  <c r="F240"/>
  <c r="E240"/>
  <c r="D240"/>
  <c r="C240"/>
  <c r="F239"/>
  <c r="E239"/>
  <c r="D239"/>
  <c r="C239"/>
  <c r="F238"/>
  <c r="E238"/>
  <c r="D238"/>
  <c r="C238"/>
  <c r="F237"/>
  <c r="E237"/>
  <c r="D237"/>
  <c r="C237"/>
  <c r="F236"/>
  <c r="E236"/>
  <c r="D236"/>
  <c r="C236"/>
  <c r="F235"/>
  <c r="E235"/>
  <c r="D235"/>
  <c r="C235"/>
  <c r="F234"/>
  <c r="E234"/>
  <c r="D234"/>
  <c r="C234"/>
  <c r="F233"/>
  <c r="E233"/>
  <c r="D233"/>
  <c r="C233"/>
  <c r="F232"/>
  <c r="E232"/>
  <c r="D232"/>
  <c r="C232"/>
  <c r="F231"/>
  <c r="E231"/>
  <c r="D231"/>
  <c r="C231"/>
  <c r="F230"/>
  <c r="E230"/>
  <c r="D230"/>
  <c r="C230"/>
  <c r="F229"/>
  <c r="E229"/>
  <c r="D229"/>
  <c r="C229"/>
  <c r="F228"/>
  <c r="E228"/>
  <c r="D228"/>
  <c r="C228"/>
  <c r="F227"/>
  <c r="E227"/>
  <c r="D227"/>
  <c r="C227"/>
  <c r="F226"/>
  <c r="E226"/>
  <c r="D226"/>
  <c r="C226"/>
  <c r="F225"/>
  <c r="E225"/>
  <c r="D225"/>
  <c r="C225"/>
  <c r="F224"/>
  <c r="E224"/>
  <c r="D224"/>
  <c r="C224"/>
  <c r="F223"/>
  <c r="E223"/>
  <c r="D223"/>
  <c r="C223"/>
  <c r="F222"/>
  <c r="E222"/>
  <c r="D222"/>
  <c r="C222"/>
  <c r="F221"/>
  <c r="E221"/>
  <c r="D221"/>
  <c r="C221"/>
  <c r="F220"/>
  <c r="E220"/>
  <c r="D220"/>
  <c r="C220"/>
  <c r="F219"/>
  <c r="E219"/>
  <c r="D219"/>
  <c r="C219"/>
  <c r="F218"/>
  <c r="E218"/>
  <c r="D218"/>
  <c r="C218"/>
  <c r="F217"/>
  <c r="E217"/>
  <c r="D217"/>
  <c r="C217"/>
  <c r="F216"/>
  <c r="E216"/>
  <c r="D216"/>
  <c r="C216"/>
  <c r="F215"/>
  <c r="E215"/>
  <c r="D215"/>
  <c r="C215"/>
  <c r="F214"/>
  <c r="E214"/>
  <c r="D214"/>
  <c r="C214"/>
  <c r="F213"/>
  <c r="E213"/>
  <c r="D213"/>
  <c r="C213"/>
  <c r="F212"/>
  <c r="E212"/>
  <c r="D212"/>
  <c r="C212"/>
  <c r="F211"/>
  <c r="E211"/>
  <c r="D211"/>
  <c r="C211"/>
  <c r="F210"/>
  <c r="E210"/>
  <c r="D210"/>
  <c r="C210"/>
  <c r="F209"/>
  <c r="E209"/>
  <c r="D209"/>
  <c r="C209"/>
  <c r="F208"/>
  <c r="E208"/>
  <c r="D208"/>
  <c r="C208"/>
  <c r="F207"/>
  <c r="E207"/>
  <c r="D207"/>
  <c r="C207"/>
  <c r="F206"/>
  <c r="E206"/>
  <c r="D206"/>
  <c r="C206"/>
  <c r="F205"/>
  <c r="E205"/>
  <c r="D205"/>
  <c r="C205"/>
  <c r="F204"/>
  <c r="E204"/>
  <c r="D204"/>
  <c r="C204"/>
  <c r="F203"/>
  <c r="E203"/>
  <c r="D203"/>
  <c r="C203"/>
  <c r="F202"/>
  <c r="E202"/>
  <c r="D202"/>
  <c r="C202"/>
  <c r="F201"/>
  <c r="E201"/>
  <c r="D201"/>
  <c r="C201"/>
  <c r="F200"/>
  <c r="E200"/>
  <c r="D200"/>
  <c r="C200"/>
  <c r="F199"/>
  <c r="E199"/>
  <c r="D199"/>
  <c r="C199"/>
  <c r="F198"/>
  <c r="E198"/>
  <c r="D198"/>
  <c r="C198"/>
  <c r="F197"/>
  <c r="E197"/>
  <c r="D197"/>
  <c r="C197"/>
  <c r="F196"/>
  <c r="E196"/>
  <c r="D196"/>
  <c r="C196"/>
  <c r="F195"/>
  <c r="E195"/>
  <c r="D195"/>
  <c r="C195"/>
  <c r="F194"/>
  <c r="E194"/>
  <c r="D194"/>
  <c r="C194"/>
  <c r="F193"/>
  <c r="E193"/>
  <c r="D193"/>
  <c r="C193"/>
  <c r="F192"/>
  <c r="E192"/>
  <c r="D192"/>
  <c r="C192"/>
  <c r="F191"/>
  <c r="E191"/>
  <c r="D191"/>
  <c r="C191"/>
  <c r="F190"/>
  <c r="E190"/>
  <c r="D190"/>
  <c r="C190"/>
  <c r="F189"/>
  <c r="E189"/>
  <c r="D189"/>
  <c r="C189"/>
  <c r="I188"/>
  <c r="F188"/>
  <c r="E188"/>
  <c r="D188"/>
  <c r="C188"/>
  <c r="F187"/>
  <c r="E187"/>
  <c r="D187"/>
  <c r="C187"/>
  <c r="F186"/>
  <c r="E186"/>
  <c r="D186"/>
  <c r="C186"/>
  <c r="F185"/>
  <c r="E185"/>
  <c r="D185"/>
  <c r="C185"/>
  <c r="F184"/>
  <c r="E184"/>
  <c r="D184"/>
  <c r="C184"/>
  <c r="F183"/>
  <c r="E183"/>
  <c r="D183"/>
  <c r="C183"/>
  <c r="F182"/>
  <c r="E182"/>
  <c r="D182"/>
  <c r="C182"/>
  <c r="F181"/>
  <c r="E181"/>
  <c r="D181"/>
  <c r="C181"/>
  <c r="F180"/>
  <c r="E180"/>
  <c r="D180"/>
  <c r="C180"/>
  <c r="F179"/>
  <c r="E179"/>
  <c r="D179"/>
  <c r="C179"/>
  <c r="F178"/>
  <c r="E178"/>
  <c r="D178"/>
  <c r="C178"/>
  <c r="F177"/>
  <c r="E177"/>
  <c r="D177"/>
  <c r="C177"/>
  <c r="F176"/>
  <c r="E176"/>
  <c r="D176"/>
  <c r="C176"/>
  <c r="F175"/>
  <c r="E175"/>
  <c r="D175"/>
  <c r="C175"/>
  <c r="F174"/>
  <c r="E174"/>
  <c r="D174"/>
  <c r="C174"/>
  <c r="F173"/>
  <c r="E173"/>
  <c r="D173"/>
  <c r="C173"/>
  <c r="F172"/>
  <c r="E172"/>
  <c r="D172"/>
  <c r="C172"/>
  <c r="F171"/>
  <c r="E171"/>
  <c r="D171"/>
  <c r="C171"/>
  <c r="F170"/>
  <c r="E170"/>
  <c r="D170"/>
  <c r="C170"/>
  <c r="F169"/>
  <c r="E169"/>
  <c r="D169"/>
  <c r="C169"/>
  <c r="F168"/>
  <c r="E168"/>
  <c r="D168"/>
  <c r="C168"/>
  <c r="F167"/>
  <c r="E167"/>
  <c r="D167"/>
  <c r="C167"/>
  <c r="F166"/>
  <c r="E166"/>
  <c r="D166"/>
  <c r="C166"/>
  <c r="F165"/>
  <c r="E165"/>
  <c r="D165"/>
  <c r="C165"/>
  <c r="F164"/>
  <c r="E164"/>
  <c r="D164"/>
  <c r="C164"/>
  <c r="F163"/>
  <c r="E163"/>
  <c r="D163"/>
  <c r="C163"/>
  <c r="F162"/>
  <c r="E162"/>
  <c r="D162"/>
  <c r="C162"/>
  <c r="F161"/>
  <c r="E161"/>
  <c r="D161"/>
  <c r="C161"/>
  <c r="F160"/>
  <c r="E160"/>
  <c r="D160"/>
  <c r="C160"/>
  <c r="F159"/>
  <c r="E159"/>
  <c r="D159"/>
  <c r="C159"/>
  <c r="F158"/>
  <c r="E158"/>
  <c r="D158"/>
  <c r="C158"/>
  <c r="F157"/>
  <c r="E157"/>
  <c r="D157"/>
  <c r="C157"/>
  <c r="F156"/>
  <c r="E156"/>
  <c r="D156"/>
  <c r="C156"/>
  <c r="F155"/>
  <c r="E155"/>
  <c r="D155"/>
  <c r="C155"/>
  <c r="F154"/>
  <c r="E154"/>
  <c r="D154"/>
  <c r="C154"/>
  <c r="F153"/>
  <c r="E153"/>
  <c r="D153"/>
  <c r="C153"/>
  <c r="F152"/>
  <c r="E152"/>
  <c r="D152"/>
  <c r="C152"/>
  <c r="F151"/>
  <c r="E151"/>
  <c r="D151"/>
  <c r="C151"/>
  <c r="F150"/>
  <c r="E150"/>
  <c r="D150"/>
  <c r="C150"/>
  <c r="F149"/>
  <c r="E149"/>
  <c r="D149"/>
  <c r="C149"/>
  <c r="F148"/>
  <c r="E148"/>
  <c r="D148"/>
  <c r="C148"/>
  <c r="F147"/>
  <c r="E147"/>
  <c r="D147"/>
  <c r="C147"/>
  <c r="F146"/>
  <c r="E146"/>
  <c r="D146"/>
  <c r="C146"/>
  <c r="F145"/>
  <c r="E145"/>
  <c r="D145"/>
  <c r="C145"/>
  <c r="F144"/>
  <c r="E144"/>
  <c r="D144"/>
  <c r="C144"/>
  <c r="F143"/>
  <c r="E143"/>
  <c r="D143"/>
  <c r="C143"/>
  <c r="F142"/>
  <c r="E142"/>
  <c r="D142"/>
  <c r="C142"/>
  <c r="F141"/>
  <c r="E141"/>
  <c r="D141"/>
  <c r="C141"/>
  <c r="F140"/>
  <c r="E140"/>
  <c r="D140"/>
  <c r="C140"/>
  <c r="F139"/>
  <c r="E139"/>
  <c r="D139"/>
  <c r="C139"/>
  <c r="F138"/>
  <c r="E138"/>
  <c r="D138"/>
  <c r="C138"/>
  <c r="F137"/>
  <c r="E137"/>
  <c r="D137"/>
  <c r="C137"/>
  <c r="F136"/>
  <c r="E136"/>
  <c r="D136"/>
  <c r="C136"/>
  <c r="F135"/>
  <c r="E135"/>
  <c r="D135"/>
  <c r="C135"/>
  <c r="F134"/>
  <c r="E134"/>
  <c r="D134"/>
  <c r="C134"/>
  <c r="F133"/>
  <c r="E133"/>
  <c r="D133"/>
  <c r="C133"/>
  <c r="F132"/>
  <c r="E132"/>
  <c r="D132"/>
  <c r="C132"/>
  <c r="F131"/>
  <c r="E131"/>
  <c r="D131"/>
  <c r="C131"/>
  <c r="F130"/>
  <c r="E130"/>
  <c r="D130"/>
  <c r="C130"/>
  <c r="F129"/>
  <c r="E129"/>
  <c r="D129"/>
  <c r="C129"/>
  <c r="F128"/>
  <c r="E128"/>
  <c r="D128"/>
  <c r="C128"/>
  <c r="F127"/>
  <c r="E127"/>
  <c r="D127"/>
  <c r="C127"/>
  <c r="F126"/>
  <c r="E126"/>
  <c r="D126"/>
  <c r="C126"/>
  <c r="F125"/>
  <c r="E125"/>
  <c r="D125"/>
  <c r="C125"/>
  <c r="F124"/>
  <c r="E124"/>
  <c r="D124"/>
  <c r="C124"/>
  <c r="F123"/>
  <c r="E123"/>
  <c r="D123"/>
  <c r="C123"/>
  <c r="F122"/>
  <c r="E122"/>
  <c r="D122"/>
  <c r="C122"/>
  <c r="F121"/>
  <c r="E121"/>
  <c r="D121"/>
  <c r="C121"/>
  <c r="I120"/>
  <c r="F120"/>
  <c r="E120"/>
  <c r="D120"/>
  <c r="C120"/>
  <c r="F119"/>
  <c r="E119"/>
  <c r="D119"/>
  <c r="C119"/>
  <c r="F118"/>
  <c r="E118"/>
  <c r="D118"/>
  <c r="C118"/>
  <c r="F117"/>
  <c r="E117"/>
  <c r="D117"/>
  <c r="C117"/>
  <c r="F116"/>
  <c r="E116"/>
  <c r="D116"/>
  <c r="C116"/>
  <c r="F115"/>
  <c r="E115"/>
  <c r="D115"/>
  <c r="C115"/>
  <c r="F114"/>
  <c r="E114"/>
  <c r="D114"/>
  <c r="C114"/>
  <c r="F113"/>
  <c r="E113"/>
  <c r="D113"/>
  <c r="C113"/>
  <c r="F112"/>
  <c r="E112"/>
  <c r="D112"/>
  <c r="C112"/>
  <c r="F111"/>
  <c r="E111"/>
  <c r="D111"/>
  <c r="C111"/>
  <c r="F110"/>
  <c r="E110"/>
  <c r="D110"/>
  <c r="C110"/>
  <c r="F109"/>
  <c r="E109"/>
  <c r="D109"/>
  <c r="C109"/>
  <c r="F108"/>
  <c r="E108"/>
  <c r="D108"/>
  <c r="C108"/>
  <c r="F107"/>
  <c r="E107"/>
  <c r="D107"/>
  <c r="C107"/>
  <c r="F106"/>
  <c r="E106"/>
  <c r="D106"/>
  <c r="C106"/>
  <c r="I105"/>
  <c r="F105"/>
  <c r="E105"/>
  <c r="D105"/>
  <c r="C105"/>
  <c r="F104"/>
  <c r="E104"/>
  <c r="D104"/>
  <c r="C104"/>
  <c r="F103"/>
  <c r="E103"/>
  <c r="D103"/>
  <c r="C103"/>
  <c r="F102"/>
  <c r="E102"/>
  <c r="D102"/>
  <c r="C102"/>
  <c r="F101"/>
  <c r="E101"/>
  <c r="D101"/>
  <c r="C101"/>
  <c r="F100"/>
  <c r="E100"/>
  <c r="D100"/>
  <c r="C100"/>
  <c r="F99"/>
  <c r="E99"/>
  <c r="D99"/>
  <c r="C99"/>
  <c r="F98"/>
  <c r="E98"/>
  <c r="D98"/>
  <c r="C98"/>
  <c r="F97"/>
  <c r="E97"/>
  <c r="D97"/>
  <c r="C97"/>
  <c r="F96"/>
  <c r="E96"/>
  <c r="D96"/>
  <c r="C96"/>
  <c r="F95"/>
  <c r="E95"/>
  <c r="D95"/>
  <c r="C95"/>
  <c r="F94"/>
  <c r="E94"/>
  <c r="D94"/>
  <c r="C94"/>
  <c r="F93"/>
  <c r="E93"/>
  <c r="D93"/>
  <c r="C93"/>
  <c r="F92"/>
  <c r="E92"/>
  <c r="D92"/>
  <c r="C92"/>
  <c r="F91"/>
  <c r="E91"/>
  <c r="D91"/>
  <c r="C91"/>
  <c r="I90"/>
  <c r="F90"/>
  <c r="E90"/>
  <c r="D90"/>
  <c r="C90"/>
  <c r="F89"/>
  <c r="E89"/>
  <c r="D89"/>
  <c r="C89"/>
  <c r="F88"/>
  <c r="E88"/>
  <c r="D88"/>
  <c r="C88"/>
  <c r="F87"/>
  <c r="E87"/>
  <c r="D87"/>
  <c r="C87"/>
  <c r="F86"/>
  <c r="E86"/>
  <c r="D86"/>
  <c r="C86"/>
  <c r="F85"/>
  <c r="E85"/>
  <c r="D85"/>
  <c r="C85"/>
  <c r="F84"/>
  <c r="E84"/>
  <c r="D84"/>
  <c r="C84"/>
  <c r="F83"/>
  <c r="E83"/>
  <c r="D83"/>
  <c r="C83"/>
  <c r="F82"/>
  <c r="E82"/>
  <c r="D82"/>
  <c r="C82"/>
  <c r="F81"/>
  <c r="E81"/>
  <c r="D81"/>
  <c r="C81"/>
  <c r="F80"/>
  <c r="E80"/>
  <c r="D80"/>
  <c r="C80"/>
  <c r="F79"/>
  <c r="E79"/>
  <c r="D79"/>
  <c r="C79"/>
  <c r="F78"/>
  <c r="E78"/>
  <c r="D78"/>
  <c r="C78"/>
  <c r="F77"/>
  <c r="E77"/>
  <c r="D77"/>
  <c r="C77"/>
  <c r="F76"/>
  <c r="E76"/>
  <c r="D76"/>
  <c r="C76"/>
  <c r="I75"/>
  <c r="F75"/>
  <c r="E75"/>
  <c r="D75"/>
  <c r="C75"/>
  <c r="F74"/>
  <c r="E74"/>
  <c r="D74"/>
  <c r="C74"/>
  <c r="F73"/>
  <c r="E73"/>
  <c r="D73"/>
  <c r="C73"/>
  <c r="F72"/>
  <c r="E72"/>
  <c r="D72"/>
  <c r="C72"/>
  <c r="F71"/>
  <c r="E71"/>
  <c r="D71"/>
  <c r="C71"/>
  <c r="F70"/>
  <c r="E70"/>
  <c r="D70"/>
  <c r="C70"/>
  <c r="F69"/>
  <c r="E69"/>
  <c r="D69"/>
  <c r="C69"/>
  <c r="F68"/>
  <c r="E68"/>
  <c r="D68"/>
  <c r="C68"/>
  <c r="F67"/>
  <c r="E67"/>
  <c r="D67"/>
  <c r="C67"/>
  <c r="F66"/>
  <c r="E66"/>
  <c r="D66"/>
  <c r="C66"/>
  <c r="F65"/>
  <c r="E65"/>
  <c r="D65"/>
  <c r="C65"/>
  <c r="F64"/>
  <c r="E64"/>
  <c r="D64"/>
  <c r="C64"/>
  <c r="F63"/>
  <c r="E63"/>
  <c r="D63"/>
  <c r="C63"/>
  <c r="F62"/>
  <c r="E62"/>
  <c r="D62"/>
  <c r="C62"/>
  <c r="I61"/>
  <c r="F61"/>
  <c r="E61"/>
  <c r="D61"/>
  <c r="C61"/>
  <c r="F60"/>
  <c r="E60"/>
  <c r="D60"/>
  <c r="C60"/>
  <c r="F59"/>
  <c r="E59"/>
  <c r="D59"/>
  <c r="C59"/>
  <c r="F58"/>
  <c r="E58"/>
  <c r="D58"/>
  <c r="C58"/>
  <c r="F57"/>
  <c r="E57"/>
  <c r="D57"/>
  <c r="C57"/>
  <c r="F56"/>
  <c r="E56"/>
  <c r="D56"/>
  <c r="C56"/>
  <c r="F55"/>
  <c r="E55"/>
  <c r="D55"/>
  <c r="C55"/>
  <c r="F54"/>
  <c r="E54"/>
  <c r="D54"/>
  <c r="C54"/>
  <c r="F53"/>
  <c r="E53"/>
  <c r="D53"/>
  <c r="C53"/>
  <c r="F52"/>
  <c r="E52"/>
  <c r="D52"/>
  <c r="C52"/>
  <c r="F51"/>
  <c r="E51"/>
  <c r="D51"/>
  <c r="C51"/>
  <c r="F50"/>
  <c r="E50"/>
  <c r="D50"/>
  <c r="C50"/>
  <c r="F49"/>
  <c r="E49"/>
  <c r="D49"/>
  <c r="C49"/>
  <c r="F48"/>
  <c r="E48"/>
  <c r="D48"/>
  <c r="C48"/>
  <c r="I47"/>
  <c r="F47"/>
  <c r="E47"/>
  <c r="D47"/>
  <c r="C47"/>
  <c r="F46"/>
  <c r="E46"/>
  <c r="D46"/>
  <c r="C46"/>
  <c r="F45"/>
  <c r="E45"/>
  <c r="D45"/>
  <c r="C45"/>
  <c r="F44"/>
  <c r="E44"/>
  <c r="D44"/>
  <c r="C44"/>
  <c r="F43"/>
  <c r="E43"/>
  <c r="D43"/>
  <c r="C43"/>
  <c r="F42"/>
  <c r="E42"/>
  <c r="D42"/>
  <c r="C42"/>
  <c r="F41"/>
  <c r="E41"/>
  <c r="D41"/>
  <c r="C41"/>
  <c r="F40"/>
  <c r="E40"/>
  <c r="D40"/>
  <c r="C40"/>
  <c r="F39"/>
  <c r="E39"/>
  <c r="D39"/>
  <c r="C39"/>
  <c r="F38"/>
  <c r="E38"/>
  <c r="D38"/>
  <c r="C38"/>
  <c r="F37"/>
  <c r="E37"/>
  <c r="D37"/>
  <c r="C37"/>
  <c r="F36"/>
  <c r="E36"/>
  <c r="D36"/>
  <c r="C36"/>
  <c r="F35"/>
  <c r="E35"/>
  <c r="D35"/>
  <c r="C35"/>
  <c r="F34"/>
  <c r="E34"/>
  <c r="D34"/>
  <c r="C34"/>
  <c r="F33"/>
  <c r="E33"/>
  <c r="D33"/>
  <c r="C33"/>
  <c r="F32"/>
  <c r="E32"/>
  <c r="D32"/>
  <c r="C32"/>
  <c r="F31"/>
  <c r="E31"/>
  <c r="D31"/>
  <c r="C31"/>
  <c r="H30"/>
  <c r="F30"/>
  <c r="E30"/>
  <c r="D30"/>
  <c r="C30"/>
  <c r="F29"/>
  <c r="E29"/>
  <c r="D29"/>
  <c r="C29"/>
  <c r="F28"/>
  <c r="E28"/>
  <c r="D28"/>
  <c r="C28"/>
  <c r="F27"/>
  <c r="E27"/>
  <c r="D27"/>
  <c r="C27"/>
  <c r="F26"/>
  <c r="E26"/>
  <c r="D26"/>
  <c r="C26"/>
  <c r="F25"/>
  <c r="E25"/>
  <c r="D25"/>
  <c r="C25"/>
  <c r="F24"/>
  <c r="E24"/>
  <c r="D24"/>
  <c r="C24"/>
  <c r="F23"/>
  <c r="E23"/>
  <c r="D23"/>
  <c r="C23"/>
  <c r="F22"/>
  <c r="E22"/>
  <c r="D22"/>
  <c r="C22"/>
  <c r="I21"/>
  <c r="F21"/>
  <c r="E21"/>
  <c r="D21"/>
  <c r="C21"/>
  <c r="F20"/>
  <c r="E20"/>
  <c r="D20"/>
  <c r="C20"/>
  <c r="F19"/>
  <c r="E19"/>
  <c r="D19"/>
  <c r="C19"/>
  <c r="F18"/>
  <c r="E18"/>
  <c r="D18"/>
  <c r="C18"/>
  <c r="F17"/>
  <c r="E17"/>
  <c r="D17"/>
  <c r="C17"/>
  <c r="F16"/>
  <c r="E16"/>
  <c r="D16"/>
  <c r="C16"/>
  <c r="F15"/>
  <c r="E15"/>
  <c r="D15"/>
  <c r="C15"/>
  <c r="F14"/>
  <c r="E14"/>
  <c r="D14"/>
  <c r="C14"/>
  <c r="F13"/>
  <c r="E13"/>
  <c r="D13"/>
  <c r="C13"/>
  <c r="F12"/>
  <c r="E12"/>
  <c r="D12"/>
  <c r="C12"/>
  <c r="F11"/>
  <c r="E11"/>
  <c r="D11"/>
  <c r="C11"/>
  <c r="F10"/>
  <c r="E10"/>
  <c r="D10"/>
  <c r="C10"/>
  <c r="F9"/>
  <c r="E9"/>
  <c r="D9"/>
  <c r="C9"/>
  <c r="F8"/>
  <c r="E8"/>
  <c r="D8"/>
  <c r="C8"/>
  <c r="I7"/>
  <c r="F7"/>
  <c r="E7"/>
  <c r="D7"/>
  <c r="C7"/>
  <c r="F6"/>
  <c r="E6"/>
  <c r="D6"/>
  <c r="C6"/>
  <c r="F5"/>
  <c r="E5"/>
  <c r="D5"/>
  <c r="C5"/>
  <c r="F4"/>
  <c r="E4"/>
  <c r="D4"/>
  <c r="C4"/>
  <c r="F3"/>
  <c r="E3"/>
  <c r="D3"/>
  <c r="C3"/>
  <c r="F2"/>
  <c r="E2"/>
  <c r="D2"/>
  <c r="C2"/>
  <c r="AQ60" i="4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AQ25"/>
  <c r="AP25"/>
  <c r="AO25"/>
  <c r="AN25"/>
  <c r="AM25"/>
  <c r="AL25"/>
  <c r="AK25"/>
  <c r="AJ25"/>
  <c r="AI25"/>
  <c r="AH25"/>
  <c r="AG25"/>
  <c r="AF25"/>
  <c r="AE25"/>
  <c r="AC25"/>
  <c r="AA25"/>
  <c r="Z25"/>
  <c r="Y25"/>
  <c r="X25"/>
  <c r="W25"/>
  <c r="V25"/>
  <c r="U25"/>
  <c r="T25"/>
  <c r="S25"/>
  <c r="R25"/>
  <c r="Q25"/>
  <c r="P25"/>
  <c r="O25"/>
  <c r="N25"/>
  <c r="M25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AQ20"/>
  <c r="AP20"/>
  <c r="AO20"/>
  <c r="AN20"/>
  <c r="AM20"/>
  <c r="AL20"/>
  <c r="AK20"/>
  <c r="AJ20"/>
  <c r="AI20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M6"/>
  <c r="J6"/>
  <c r="H6"/>
  <c r="G6"/>
  <c r="F6"/>
  <c r="E6"/>
  <c r="D6"/>
  <c r="C6"/>
  <c r="B6"/>
  <c r="M5"/>
  <c r="L5"/>
  <c r="I5"/>
  <c r="D5"/>
  <c r="C5"/>
  <c r="B5"/>
  <c r="M4"/>
  <c r="L4"/>
  <c r="J4"/>
  <c r="I4"/>
  <c r="H4"/>
  <c r="G4"/>
  <c r="F4"/>
  <c r="E4"/>
  <c r="B4"/>
  <c r="A1169" i="16"/>
  <c r="A1168"/>
  <c r="A1167"/>
  <c r="A1166"/>
  <c r="A1165"/>
  <c r="A1164"/>
  <c r="A1163"/>
  <c r="A1162"/>
  <c r="A1161"/>
  <c r="A1160"/>
  <c r="A1159"/>
  <c r="A1158"/>
  <c r="A1157"/>
  <c r="A1156"/>
  <c r="A1155"/>
  <c r="A1154"/>
  <c r="A1153"/>
  <c r="A1152"/>
  <c r="A1151"/>
  <c r="A1150"/>
  <c r="A1149"/>
  <c r="A1148"/>
  <c r="A1147"/>
  <c r="A1146"/>
  <c r="A1145"/>
  <c r="A1144"/>
  <c r="A1143"/>
  <c r="A1142"/>
  <c r="A1141"/>
  <c r="A1140"/>
  <c r="A1139"/>
  <c r="A1138"/>
  <c r="A1137"/>
  <c r="A1136"/>
  <c r="A1135"/>
  <c r="A1134"/>
  <c r="A1133"/>
  <c r="A1132"/>
  <c r="A1131"/>
  <c r="A1130"/>
  <c r="A1129"/>
  <c r="A1128"/>
  <c r="A1127"/>
  <c r="A1126"/>
  <c r="A1125"/>
  <c r="A1124"/>
  <c r="A1123"/>
  <c r="A1122"/>
  <c r="A1121"/>
  <c r="A1120"/>
  <c r="A1119"/>
  <c r="A1118"/>
  <c r="A1117"/>
  <c r="A1116"/>
  <c r="A1115"/>
  <c r="A1114"/>
  <c r="A1113"/>
  <c r="A1112"/>
  <c r="A1111"/>
  <c r="A1110"/>
  <c r="A1109"/>
  <c r="A1108"/>
  <c r="A1107"/>
  <c r="A1106"/>
  <c r="A1105"/>
  <c r="A1104"/>
  <c r="A1103"/>
  <c r="A1102"/>
  <c r="A1101"/>
  <c r="A1100"/>
  <c r="A1099"/>
  <c r="A1098"/>
  <c r="A1097"/>
  <c r="A1096"/>
  <c r="A1095"/>
  <c r="A1094"/>
  <c r="A1093"/>
  <c r="A1092"/>
  <c r="A1091"/>
  <c r="A1090"/>
  <c r="A1089"/>
  <c r="A1088"/>
  <c r="A1087"/>
  <c r="A1086"/>
  <c r="A1085"/>
  <c r="A1084"/>
  <c r="A1083"/>
  <c r="A1082"/>
  <c r="A1081"/>
  <c r="A1080"/>
  <c r="A1079"/>
  <c r="A1078"/>
  <c r="A1077"/>
  <c r="A1076"/>
  <c r="A1075"/>
  <c r="A1074"/>
  <c r="A1073"/>
  <c r="A1072"/>
  <c r="A1071"/>
  <c r="A1070"/>
  <c r="A1069"/>
  <c r="A1068"/>
  <c r="A1067"/>
  <c r="A1066"/>
  <c r="A1065"/>
  <c r="A1064"/>
  <c r="A1063"/>
  <c r="A1062"/>
  <c r="A1061"/>
  <c r="A1060"/>
  <c r="A1059"/>
  <c r="A1058"/>
  <c r="A1057"/>
  <c r="A1056"/>
  <c r="A1055"/>
  <c r="A1054"/>
  <c r="A1053"/>
  <c r="A1052"/>
  <c r="A1051"/>
  <c r="A1050"/>
  <c r="A1049"/>
  <c r="A1048"/>
  <c r="A1047"/>
  <c r="A1046"/>
  <c r="A1045"/>
  <c r="A1044"/>
  <c r="A1043"/>
  <c r="A1042"/>
  <c r="A1041"/>
  <c r="A1040"/>
  <c r="A1039"/>
  <c r="A1038"/>
  <c r="A1037"/>
  <c r="A1036"/>
  <c r="A1035"/>
  <c r="A1034"/>
  <c r="A1033"/>
  <c r="A1032"/>
  <c r="A1031"/>
  <c r="A1030"/>
  <c r="A1029"/>
  <c r="A1028"/>
  <c r="A1027"/>
  <c r="A1026"/>
  <c r="A1025"/>
  <c r="A1024"/>
  <c r="A1023"/>
  <c r="A1022"/>
  <c r="A1021"/>
  <c r="A1020"/>
  <c r="A1019"/>
  <c r="A1018"/>
  <c r="A1017"/>
  <c r="A1016"/>
  <c r="A1015"/>
  <c r="A1014"/>
  <c r="A1013"/>
  <c r="A1012"/>
  <c r="A1011"/>
  <c r="A1010"/>
  <c r="A1009"/>
  <c r="A1008"/>
  <c r="A1007"/>
  <c r="A1006"/>
  <c r="A1005"/>
  <c r="A1004"/>
  <c r="A1003"/>
  <c r="A1002"/>
  <c r="A1001"/>
  <c r="A1000"/>
  <c r="A999"/>
  <c r="A998"/>
  <c r="A997"/>
  <c r="A996"/>
  <c r="A995"/>
  <c r="A994"/>
  <c r="A993"/>
  <c r="A992"/>
  <c r="A991"/>
  <c r="A990"/>
  <c r="A989"/>
  <c r="A988"/>
  <c r="A987"/>
  <c r="A986"/>
  <c r="A985"/>
  <c r="A984"/>
  <c r="A983"/>
  <c r="A982"/>
  <c r="A981"/>
  <c r="A980"/>
  <c r="A979"/>
  <c r="A978"/>
  <c r="A977"/>
  <c r="A976"/>
  <c r="A975"/>
  <c r="A974"/>
  <c r="A973"/>
  <c r="A972"/>
  <c r="A971"/>
  <c r="A970"/>
  <c r="A969"/>
  <c r="A968"/>
  <c r="A967"/>
  <c r="A966"/>
  <c r="A965"/>
  <c r="A964"/>
  <c r="A963"/>
  <c r="A962"/>
  <c r="A961"/>
  <c r="A960"/>
  <c r="A959"/>
  <c r="A958"/>
  <c r="A957"/>
  <c r="A956"/>
  <c r="A955"/>
  <c r="A954"/>
  <c r="A953"/>
  <c r="A952"/>
  <c r="A951"/>
  <c r="A950"/>
  <c r="A949"/>
  <c r="A948"/>
  <c r="A947"/>
  <c r="A946"/>
  <c r="A945"/>
  <c r="A944"/>
  <c r="A943"/>
  <c r="A942"/>
  <c r="A941"/>
  <c r="A940"/>
  <c r="A939"/>
  <c r="A938"/>
  <c r="A937"/>
  <c r="A936"/>
  <c r="A935"/>
  <c r="A934"/>
  <c r="A933"/>
  <c r="A932"/>
  <c r="A931"/>
  <c r="A930"/>
  <c r="A929"/>
  <c r="A928"/>
  <c r="A927"/>
  <c r="A926"/>
  <c r="A925"/>
  <c r="A924"/>
  <c r="A923"/>
  <c r="A922"/>
  <c r="A921"/>
  <c r="A920"/>
  <c r="A919"/>
  <c r="A918"/>
  <c r="A917"/>
  <c r="A916"/>
  <c r="A915"/>
  <c r="A914"/>
  <c r="A913"/>
  <c r="A912"/>
  <c r="A911"/>
  <c r="A910"/>
  <c r="A909"/>
  <c r="A908"/>
  <c r="A907"/>
  <c r="A906"/>
  <c r="A905"/>
  <c r="A904"/>
  <c r="A903"/>
  <c r="A902"/>
  <c r="A901"/>
  <c r="A900"/>
  <c r="A899"/>
  <c r="A898"/>
  <c r="A897"/>
  <c r="A896"/>
  <c r="A895"/>
  <c r="A894"/>
  <c r="A893"/>
  <c r="A892"/>
  <c r="A891"/>
  <c r="A890"/>
  <c r="A889"/>
  <c r="A888"/>
  <c r="A887"/>
  <c r="A886"/>
  <c r="A885"/>
  <c r="A884"/>
  <c r="A883"/>
  <c r="A882"/>
  <c r="A881"/>
  <c r="A880"/>
  <c r="A879"/>
  <c r="A878"/>
  <c r="A877"/>
  <c r="A876"/>
  <c r="A875"/>
  <c r="A874"/>
  <c r="A873"/>
  <c r="A872"/>
  <c r="A871"/>
  <c r="A870"/>
  <c r="A869"/>
  <c r="A868"/>
  <c r="A867"/>
  <c r="A866"/>
  <c r="A865"/>
  <c r="A864"/>
  <c r="A863"/>
  <c r="A862"/>
  <c r="A861"/>
  <c r="A860"/>
  <c r="A859"/>
  <c r="A858"/>
  <c r="A857"/>
  <c r="A856"/>
  <c r="A855"/>
  <c r="A854"/>
  <c r="A853"/>
  <c r="A852"/>
  <c r="A851"/>
  <c r="A850"/>
  <c r="A849"/>
  <c r="A848"/>
  <c r="A847"/>
  <c r="A846"/>
  <c r="A845"/>
  <c r="A844"/>
  <c r="A843"/>
  <c r="A842"/>
  <c r="A841"/>
  <c r="A840"/>
  <c r="A839"/>
  <c r="A838"/>
  <c r="A837"/>
  <c r="A836"/>
  <c r="A835"/>
  <c r="A834"/>
  <c r="A833"/>
  <c r="A832"/>
  <c r="A831"/>
  <c r="A830"/>
  <c r="A829"/>
  <c r="A828"/>
  <c r="A827"/>
  <c r="A826"/>
  <c r="A825"/>
  <c r="A824"/>
  <c r="A823"/>
  <c r="A822"/>
  <c r="A821"/>
  <c r="A820"/>
  <c r="A819"/>
  <c r="A818"/>
  <c r="A817"/>
  <c r="A816"/>
  <c r="A815"/>
  <c r="A814"/>
  <c r="A813"/>
  <c r="A812"/>
  <c r="A811"/>
  <c r="A810"/>
  <c r="A809"/>
  <c r="A808"/>
  <c r="A807"/>
  <c r="A806"/>
  <c r="A805"/>
  <c r="A804"/>
  <c r="A803"/>
  <c r="A802"/>
  <c r="A801"/>
  <c r="A800"/>
  <c r="A799"/>
  <c r="A798"/>
  <c r="A797"/>
  <c r="A796"/>
  <c r="A795"/>
  <c r="A794"/>
  <c r="A793"/>
  <c r="A792"/>
  <c r="A791"/>
  <c r="A790"/>
  <c r="A789"/>
  <c r="A788"/>
  <c r="A787"/>
  <c r="A786"/>
  <c r="A785"/>
  <c r="A784"/>
  <c r="A783"/>
  <c r="A782"/>
  <c r="A781"/>
  <c r="A780"/>
  <c r="A779"/>
  <c r="A778"/>
  <c r="A777"/>
  <c r="A776"/>
  <c r="A775"/>
  <c r="A774"/>
  <c r="A773"/>
  <c r="A772"/>
  <c r="A771"/>
  <c r="A770"/>
  <c r="A769"/>
  <c r="A768"/>
  <c r="A767"/>
  <c r="A766"/>
  <c r="A765"/>
  <c r="A764"/>
  <c r="A763"/>
  <c r="A762"/>
  <c r="A761"/>
  <c r="A760"/>
  <c r="A759"/>
  <c r="A758"/>
  <c r="A757"/>
  <c r="A756"/>
  <c r="A755"/>
  <c r="A754"/>
  <c r="A753"/>
  <c r="A752"/>
  <c r="A751"/>
  <c r="A750"/>
  <c r="A749"/>
  <c r="A748"/>
  <c r="A747"/>
  <c r="A746"/>
  <c r="A745"/>
  <c r="A744"/>
  <c r="A743"/>
  <c r="A742"/>
  <c r="A741"/>
  <c r="A740"/>
  <c r="A739"/>
  <c r="A738"/>
  <c r="A737"/>
  <c r="A736"/>
  <c r="A735"/>
  <c r="A734"/>
  <c r="A733"/>
  <c r="A732"/>
  <c r="A731"/>
  <c r="A730"/>
  <c r="A729"/>
  <c r="A728"/>
  <c r="A727"/>
  <c r="A726"/>
  <c r="A725"/>
  <c r="A724"/>
  <c r="A723"/>
  <c r="A722"/>
  <c r="A721"/>
  <c r="A720"/>
  <c r="A719"/>
  <c r="A718"/>
  <c r="A717"/>
  <c r="A716"/>
  <c r="A715"/>
  <c r="A714"/>
  <c r="A713"/>
  <c r="A712"/>
  <c r="A711"/>
  <c r="A710"/>
  <c r="A709"/>
  <c r="A708"/>
  <c r="A707"/>
  <c r="A706"/>
  <c r="A705"/>
  <c r="A704"/>
  <c r="A703"/>
  <c r="A702"/>
  <c r="A701"/>
  <c r="A700"/>
  <c r="A699"/>
  <c r="A698"/>
  <c r="A697"/>
  <c r="A696"/>
  <c r="A695"/>
  <c r="A694"/>
  <c r="A693"/>
  <c r="A692"/>
  <c r="A691"/>
  <c r="A690"/>
  <c r="A689"/>
  <c r="A688"/>
  <c r="A687"/>
  <c r="A686"/>
  <c r="A685"/>
  <c r="A684"/>
  <c r="A683"/>
  <c r="A682"/>
  <c r="A681"/>
  <c r="A680"/>
  <c r="A679"/>
  <c r="A678"/>
  <c r="A677"/>
  <c r="A676"/>
  <c r="A675"/>
  <c r="A674"/>
  <c r="A673"/>
  <c r="A672"/>
  <c r="A671"/>
  <c r="A670"/>
  <c r="A669"/>
  <c r="A668"/>
  <c r="A667"/>
  <c r="A666"/>
  <c r="A665"/>
  <c r="A664"/>
  <c r="A663"/>
  <c r="A662"/>
  <c r="A661"/>
  <c r="A660"/>
  <c r="A659"/>
  <c r="A658"/>
  <c r="A657"/>
  <c r="A656"/>
  <c r="A655"/>
  <c r="A654"/>
  <c r="A653"/>
  <c r="A652"/>
  <c r="A651"/>
  <c r="A650"/>
  <c r="A649"/>
  <c r="A648"/>
  <c r="A647"/>
  <c r="A646"/>
  <c r="A645"/>
  <c r="A644"/>
  <c r="A643"/>
  <c r="A642"/>
  <c r="A641"/>
  <c r="A640"/>
  <c r="A639"/>
  <c r="A638"/>
  <c r="A637"/>
  <c r="A636"/>
  <c r="A635"/>
  <c r="A634"/>
  <c r="A633"/>
  <c r="A632"/>
  <c r="A631"/>
  <c r="A630"/>
  <c r="A629"/>
  <c r="A628"/>
  <c r="A627"/>
  <c r="A626"/>
  <c r="A625"/>
  <c r="A624"/>
  <c r="A623"/>
  <c r="A622"/>
  <c r="A621"/>
  <c r="A620"/>
  <c r="A619"/>
  <c r="A618"/>
  <c r="A617"/>
  <c r="A616"/>
  <c r="A615"/>
  <c r="A614"/>
  <c r="A613"/>
  <c r="A612"/>
  <c r="A611"/>
  <c r="A610"/>
  <c r="A609"/>
  <c r="A608"/>
  <c r="A607"/>
  <c r="A606"/>
  <c r="A605"/>
  <c r="A604"/>
  <c r="A603"/>
  <c r="A602"/>
  <c r="A601"/>
  <c r="A600"/>
  <c r="A599"/>
  <c r="A598"/>
  <c r="A597"/>
  <c r="A596"/>
  <c r="A595"/>
  <c r="A594"/>
  <c r="A593"/>
  <c r="A592"/>
  <c r="A591"/>
  <c r="A590"/>
  <c r="A589"/>
  <c r="A588"/>
  <c r="A587"/>
  <c r="A586"/>
  <c r="A585"/>
  <c r="A584"/>
  <c r="A583"/>
  <c r="A582"/>
  <c r="A581"/>
  <c r="A580"/>
  <c r="A579"/>
  <c r="A578"/>
  <c r="A577"/>
  <c r="A576"/>
  <c r="A575"/>
  <c r="A574"/>
  <c r="A573"/>
  <c r="A572"/>
  <c r="A571"/>
  <c r="A570"/>
  <c r="H569"/>
  <c r="A569"/>
  <c r="H568"/>
  <c r="A568"/>
  <c r="H567"/>
  <c r="A567"/>
  <c r="H566"/>
  <c r="A566"/>
  <c r="H565"/>
  <c r="A565"/>
  <c r="H564"/>
  <c r="A564"/>
  <c r="H563"/>
  <c r="A563"/>
  <c r="H562"/>
  <c r="A562"/>
  <c r="H561"/>
  <c r="A561"/>
  <c r="H560"/>
  <c r="A560"/>
  <c r="H559"/>
  <c r="A559"/>
  <c r="H558"/>
  <c r="A558"/>
  <c r="H557"/>
  <c r="A557"/>
  <c r="H556"/>
  <c r="A556"/>
  <c r="H555"/>
  <c r="A555"/>
  <c r="H554"/>
  <c r="A554"/>
  <c r="H553"/>
  <c r="A553"/>
  <c r="H552"/>
  <c r="A552"/>
  <c r="H551"/>
  <c r="A551"/>
  <c r="H550"/>
  <c r="A550"/>
  <c r="H549"/>
  <c r="A549"/>
  <c r="H548"/>
  <c r="A548"/>
  <c r="H547"/>
  <c r="A547"/>
  <c r="H546"/>
  <c r="A546"/>
  <c r="H545"/>
  <c r="A545"/>
  <c r="H544"/>
  <c r="A544"/>
  <c r="H543"/>
  <c r="A543"/>
  <c r="H542"/>
  <c r="A542"/>
  <c r="H541"/>
  <c r="A541"/>
  <c r="H540"/>
  <c r="A540"/>
  <c r="H539"/>
  <c r="A539"/>
  <c r="H538"/>
  <c r="A538"/>
  <c r="H537"/>
  <c r="A537"/>
  <c r="H536"/>
  <c r="A536"/>
  <c r="H535"/>
  <c r="A535"/>
  <c r="H534"/>
  <c r="A534"/>
  <c r="H533"/>
  <c r="A533"/>
  <c r="H532"/>
  <c r="A532"/>
  <c r="H531"/>
  <c r="A531"/>
  <c r="H530"/>
  <c r="A530"/>
  <c r="H529"/>
  <c r="A529"/>
  <c r="H528"/>
  <c r="A528"/>
  <c r="H527"/>
  <c r="A527"/>
  <c r="H526"/>
  <c r="A526"/>
  <c r="H525"/>
  <c r="A525"/>
  <c r="H524"/>
  <c r="A524"/>
  <c r="H523"/>
  <c r="A523"/>
  <c r="H522"/>
  <c r="A522"/>
  <c r="H521"/>
  <c r="A521"/>
  <c r="H520"/>
  <c r="A520"/>
  <c r="H519"/>
  <c r="A519"/>
  <c r="H518"/>
  <c r="A518"/>
  <c r="H517"/>
  <c r="A517"/>
  <c r="H516"/>
  <c r="A516"/>
  <c r="H515"/>
  <c r="A515"/>
  <c r="H514"/>
  <c r="A514"/>
  <c r="H513"/>
  <c r="A513"/>
  <c r="H512"/>
  <c r="A512"/>
  <c r="H511"/>
  <c r="A511"/>
  <c r="H510"/>
  <c r="A510"/>
  <c r="H509"/>
  <c r="A509"/>
  <c r="H508"/>
  <c r="A508"/>
  <c r="H507"/>
  <c r="A507"/>
  <c r="H506"/>
  <c r="A506"/>
  <c r="H505"/>
  <c r="A505"/>
  <c r="H504"/>
  <c r="A504"/>
  <c r="H503"/>
  <c r="A503"/>
  <c r="H502"/>
  <c r="A502"/>
  <c r="H501"/>
  <c r="A501"/>
  <c r="H500"/>
  <c r="A500"/>
  <c r="H499"/>
  <c r="A499"/>
  <c r="H498"/>
  <c r="A498"/>
  <c r="H497"/>
  <c r="A497"/>
  <c r="H496"/>
  <c r="A496"/>
  <c r="H495"/>
  <c r="A495"/>
  <c r="H494"/>
  <c r="A494"/>
  <c r="H493"/>
  <c r="A493"/>
  <c r="H492"/>
  <c r="A492"/>
  <c r="H491"/>
  <c r="A491"/>
  <c r="H490"/>
  <c r="A490"/>
  <c r="H489"/>
  <c r="A489"/>
  <c r="H488"/>
  <c r="A488"/>
  <c r="H487"/>
  <c r="A487"/>
  <c r="H486"/>
  <c r="A486"/>
  <c r="H485"/>
  <c r="A485"/>
  <c r="H484"/>
  <c r="A484"/>
  <c r="H483"/>
  <c r="A483"/>
  <c r="H482"/>
  <c r="A482"/>
  <c r="H481"/>
  <c r="A481"/>
  <c r="H480"/>
  <c r="A480"/>
  <c r="H479"/>
  <c r="A479"/>
  <c r="H478"/>
  <c r="A478"/>
  <c r="H477"/>
  <c r="A477"/>
  <c r="H476"/>
  <c r="A476"/>
  <c r="H475"/>
  <c r="A475"/>
  <c r="H474"/>
  <c r="A474"/>
  <c r="H473"/>
  <c r="A473"/>
  <c r="H472"/>
  <c r="A472"/>
  <c r="H471"/>
  <c r="A471"/>
  <c r="H470"/>
  <c r="A470"/>
  <c r="H469"/>
  <c r="A469"/>
  <c r="H468"/>
  <c r="A468"/>
  <c r="H467"/>
  <c r="A467"/>
  <c r="H466"/>
  <c r="A466"/>
  <c r="H465"/>
  <c r="A465"/>
  <c r="H464"/>
  <c r="A464"/>
  <c r="H463"/>
  <c r="A463"/>
  <c r="H462"/>
  <c r="A462"/>
  <c r="H461"/>
  <c r="A461"/>
  <c r="H460"/>
  <c r="A460"/>
  <c r="H459"/>
  <c r="A459"/>
  <c r="H458"/>
  <c r="A458"/>
  <c r="H457"/>
  <c r="A457"/>
  <c r="H456"/>
  <c r="A456"/>
  <c r="H455"/>
  <c r="A455"/>
  <c r="H454"/>
  <c r="A454"/>
  <c r="H453"/>
  <c r="A453"/>
  <c r="H452"/>
  <c r="A452"/>
  <c r="H451"/>
  <c r="A451"/>
  <c r="H450"/>
  <c r="A450"/>
  <c r="H449"/>
  <c r="A449"/>
  <c r="H448"/>
  <c r="A448"/>
  <c r="H447"/>
  <c r="A447"/>
  <c r="H446"/>
  <c r="A446"/>
  <c r="H445"/>
  <c r="A445"/>
  <c r="H444"/>
  <c r="A444"/>
  <c r="H443"/>
  <c r="A443"/>
  <c r="H442"/>
  <c r="A442"/>
  <c r="H441"/>
  <c r="A441"/>
  <c r="H440"/>
  <c r="A440"/>
  <c r="H439"/>
  <c r="A439"/>
  <c r="H438"/>
  <c r="A438"/>
  <c r="H437"/>
  <c r="A437"/>
  <c r="H436"/>
  <c r="A436"/>
  <c r="H435"/>
  <c r="A435"/>
  <c r="H434"/>
  <c r="A434"/>
  <c r="H433"/>
  <c r="A433"/>
  <c r="H432"/>
  <c r="A432"/>
  <c r="H431"/>
  <c r="A431"/>
  <c r="H430"/>
  <c r="A430"/>
  <c r="H429"/>
  <c r="A429"/>
  <c r="H428"/>
  <c r="A428"/>
  <c r="H427"/>
  <c r="A427"/>
  <c r="H426"/>
  <c r="A426"/>
  <c r="H425"/>
  <c r="A425"/>
  <c r="H424"/>
  <c r="A424"/>
  <c r="H423"/>
  <c r="A423"/>
  <c r="H422"/>
  <c r="A422"/>
  <c r="H421"/>
  <c r="A421"/>
  <c r="H420"/>
  <c r="A420"/>
  <c r="H419"/>
  <c r="A419"/>
  <c r="H418"/>
  <c r="A418"/>
  <c r="H417"/>
  <c r="A417"/>
  <c r="H416"/>
  <c r="A416"/>
  <c r="H415"/>
  <c r="A415"/>
  <c r="H414"/>
  <c r="A414"/>
  <c r="I413"/>
  <c r="H413"/>
  <c r="A413"/>
  <c r="I412"/>
  <c r="H412"/>
  <c r="A412"/>
  <c r="I411"/>
  <c r="H411"/>
  <c r="A411"/>
  <c r="I410"/>
  <c r="H410"/>
  <c r="A410"/>
  <c r="I409"/>
  <c r="H409"/>
  <c r="A409"/>
  <c r="I408"/>
  <c r="H408"/>
  <c r="A408"/>
  <c r="I407"/>
  <c r="H407"/>
  <c r="A407"/>
  <c r="I406"/>
  <c r="H406"/>
  <c r="A406"/>
  <c r="I405"/>
  <c r="H405"/>
  <c r="A405"/>
  <c r="I404"/>
  <c r="H404"/>
  <c r="A404"/>
  <c r="I403"/>
  <c r="H403"/>
  <c r="A403"/>
  <c r="I402"/>
  <c r="H402"/>
  <c r="A402"/>
  <c r="I401"/>
  <c r="H401"/>
  <c r="A401"/>
  <c r="I400"/>
  <c r="H400"/>
  <c r="A400"/>
  <c r="I399"/>
  <c r="H399"/>
  <c r="A399"/>
  <c r="I398"/>
  <c r="H398"/>
  <c r="A398"/>
  <c r="I397"/>
  <c r="H397"/>
  <c r="A397"/>
  <c r="I396"/>
  <c r="H396"/>
  <c r="A396"/>
  <c r="I395"/>
  <c r="H395"/>
  <c r="A395"/>
  <c r="I394"/>
  <c r="H394"/>
  <c r="A394"/>
  <c r="I393"/>
  <c r="H393"/>
  <c r="A393"/>
  <c r="I392"/>
  <c r="H392"/>
  <c r="A392"/>
  <c r="I391"/>
  <c r="H391"/>
  <c r="A391"/>
  <c r="I390"/>
  <c r="H390"/>
  <c r="A390"/>
  <c r="A389"/>
  <c r="I389"/>
  <c r="H389"/>
  <c r="A388"/>
  <c r="I388"/>
  <c r="H388"/>
  <c r="A387"/>
  <c r="I387"/>
  <c r="H387"/>
  <c r="P386"/>
  <c r="A386" s="1"/>
  <c r="I386"/>
  <c r="H386"/>
  <c r="P385"/>
  <c r="A385" s="1"/>
  <c r="I385"/>
  <c r="H385"/>
  <c r="P384"/>
  <c r="A384" s="1"/>
  <c r="I384"/>
  <c r="H384"/>
  <c r="P383"/>
  <c r="A383" s="1"/>
  <c r="I383"/>
  <c r="H383"/>
  <c r="P382"/>
  <c r="A382" s="1"/>
  <c r="I382"/>
  <c r="H382"/>
  <c r="P381"/>
  <c r="A381" s="1"/>
  <c r="I381"/>
  <c r="H381"/>
  <c r="P380"/>
  <c r="A380" s="1"/>
  <c r="I380"/>
  <c r="H380"/>
  <c r="P379"/>
  <c r="A379" s="1"/>
  <c r="I379"/>
  <c r="H379"/>
  <c r="P378"/>
  <c r="A378" s="1"/>
  <c r="I378"/>
  <c r="H378"/>
  <c r="P377"/>
  <c r="A377" s="1"/>
  <c r="I377"/>
  <c r="H377"/>
  <c r="P376"/>
  <c r="A376" s="1"/>
  <c r="I376"/>
  <c r="H376"/>
  <c r="P375"/>
  <c r="A375" s="1"/>
  <c r="I375"/>
  <c r="H375"/>
  <c r="P374"/>
  <c r="A374" s="1"/>
  <c r="I374"/>
  <c r="H374"/>
  <c r="P373"/>
  <c r="A373" s="1"/>
  <c r="I373"/>
  <c r="H373"/>
  <c r="P372"/>
  <c r="A372" s="1"/>
  <c r="I372"/>
  <c r="H372"/>
  <c r="P371"/>
  <c r="A371" s="1"/>
  <c r="I371"/>
  <c r="H371"/>
  <c r="P370"/>
  <c r="A370" s="1"/>
  <c r="I370"/>
  <c r="H370"/>
  <c r="P369"/>
  <c r="A369" s="1"/>
  <c r="I369"/>
  <c r="H369"/>
  <c r="P368"/>
  <c r="A368" s="1"/>
  <c r="I368"/>
  <c r="H368"/>
  <c r="P367"/>
  <c r="A367" s="1"/>
  <c r="I367"/>
  <c r="H367"/>
  <c r="P366"/>
  <c r="A366" s="1"/>
  <c r="I366"/>
  <c r="H366"/>
  <c r="P365"/>
  <c r="A365" s="1"/>
  <c r="I365"/>
  <c r="H365"/>
  <c r="P364"/>
  <c r="A364" s="1"/>
  <c r="I364"/>
  <c r="H364"/>
  <c r="P363"/>
  <c r="A363" s="1"/>
  <c r="I363"/>
  <c r="H363"/>
  <c r="P362"/>
  <c r="A362" s="1"/>
  <c r="I362"/>
  <c r="H362"/>
  <c r="P361"/>
  <c r="A361" s="1"/>
  <c r="I361"/>
  <c r="H361"/>
  <c r="P360"/>
  <c r="A360" s="1"/>
  <c r="I360"/>
  <c r="H360"/>
  <c r="P359"/>
  <c r="A359" s="1"/>
  <c r="I359"/>
  <c r="H359"/>
  <c r="P358"/>
  <c r="A358" s="1"/>
  <c r="I358"/>
  <c r="H358"/>
  <c r="P357"/>
  <c r="A357" s="1"/>
  <c r="I357"/>
  <c r="H357"/>
  <c r="P356"/>
  <c r="A356" s="1"/>
  <c r="I356"/>
  <c r="H356"/>
  <c r="P355"/>
  <c r="A355" s="1"/>
  <c r="I355"/>
  <c r="H355"/>
  <c r="P354"/>
  <c r="A354" s="1"/>
  <c r="I354"/>
  <c r="H354"/>
  <c r="P353"/>
  <c r="A353" s="1"/>
  <c r="I353"/>
  <c r="H353"/>
  <c r="P352"/>
  <c r="A352" s="1"/>
  <c r="I352"/>
  <c r="H352"/>
  <c r="P351"/>
  <c r="A351" s="1"/>
  <c r="I351"/>
  <c r="H351"/>
  <c r="P350"/>
  <c r="A350" s="1"/>
  <c r="I350"/>
  <c r="H350"/>
  <c r="P349"/>
  <c r="A349" s="1"/>
  <c r="I349"/>
  <c r="H349"/>
  <c r="P348"/>
  <c r="A348" s="1"/>
  <c r="I348"/>
  <c r="H348"/>
  <c r="P347"/>
  <c r="A347" s="1"/>
  <c r="I347"/>
  <c r="H347"/>
  <c r="P346"/>
  <c r="A346" s="1"/>
  <c r="I346"/>
  <c r="H346"/>
  <c r="P345"/>
  <c r="A345" s="1"/>
  <c r="I345"/>
  <c r="H345"/>
  <c r="P344"/>
  <c r="A344" s="1"/>
  <c r="I344"/>
  <c r="H344"/>
  <c r="P343"/>
  <c r="A343" s="1"/>
  <c r="I343"/>
  <c r="H343"/>
  <c r="P342"/>
  <c r="A342" s="1"/>
  <c r="I342"/>
  <c r="H342"/>
  <c r="P341"/>
  <c r="A341" s="1"/>
  <c r="I341"/>
  <c r="H341"/>
  <c r="P340"/>
  <c r="A340" s="1"/>
  <c r="I340"/>
  <c r="H340"/>
  <c r="P339"/>
  <c r="A339" s="1"/>
  <c r="I339"/>
  <c r="H339"/>
  <c r="P338"/>
  <c r="A338" s="1"/>
  <c r="I338"/>
  <c r="H338"/>
  <c r="P337"/>
  <c r="A337" s="1"/>
  <c r="I337"/>
  <c r="H337"/>
  <c r="P336"/>
  <c r="A336" s="1"/>
  <c r="I336"/>
  <c r="H336"/>
  <c r="P335"/>
  <c r="A335" s="1"/>
  <c r="I335"/>
  <c r="H335"/>
  <c r="P334"/>
  <c r="A334" s="1"/>
  <c r="I334"/>
  <c r="H334"/>
  <c r="P333"/>
  <c r="A333" s="1"/>
  <c r="I333"/>
  <c r="H333"/>
  <c r="P332"/>
  <c r="A332" s="1"/>
  <c r="I332"/>
  <c r="H332"/>
  <c r="P331"/>
  <c r="A331" s="1"/>
  <c r="I331"/>
  <c r="H331"/>
  <c r="P330"/>
  <c r="A330" s="1"/>
  <c r="I330"/>
  <c r="H330"/>
  <c r="P329"/>
  <c r="A329" s="1"/>
  <c r="I329"/>
  <c r="H329"/>
  <c r="R328"/>
  <c r="P328"/>
  <c r="A328" s="1"/>
  <c r="I328"/>
  <c r="H328"/>
  <c r="R327"/>
  <c r="P327"/>
  <c r="A327" s="1"/>
  <c r="I327"/>
  <c r="H327"/>
  <c r="R326"/>
  <c r="P326"/>
  <c r="A326" s="1"/>
  <c r="I326"/>
  <c r="H326"/>
  <c r="R325"/>
  <c r="P325"/>
  <c r="A325" s="1"/>
  <c r="I325"/>
  <c r="H325"/>
  <c r="R324"/>
  <c r="P324"/>
  <c r="A324" s="1"/>
  <c r="I324"/>
  <c r="H324"/>
  <c r="R323"/>
  <c r="P323"/>
  <c r="A323" s="1"/>
  <c r="I323"/>
  <c r="H323"/>
  <c r="R322"/>
  <c r="P322"/>
  <c r="A322" s="1"/>
  <c r="I322"/>
  <c r="H322"/>
  <c r="R321"/>
  <c r="P321"/>
  <c r="A321" s="1"/>
  <c r="I321"/>
  <c r="H321"/>
  <c r="R320"/>
  <c r="P320"/>
  <c r="A320" s="1"/>
  <c r="I320"/>
  <c r="H320"/>
  <c r="R319"/>
  <c r="P319"/>
  <c r="A319" s="1"/>
  <c r="I319"/>
  <c r="H319"/>
  <c r="R318"/>
  <c r="P318"/>
  <c r="A318" s="1"/>
  <c r="I318"/>
  <c r="H318"/>
  <c r="R317"/>
  <c r="P317"/>
  <c r="A317" s="1"/>
  <c r="I317"/>
  <c r="H317"/>
  <c r="R316"/>
  <c r="P316"/>
  <c r="A316" s="1"/>
  <c r="I316"/>
  <c r="H316"/>
  <c r="R315"/>
  <c r="P315"/>
  <c r="A315" s="1"/>
  <c r="I315"/>
  <c r="H315"/>
  <c r="R314"/>
  <c r="P314"/>
  <c r="A314" s="1"/>
  <c r="I314"/>
  <c r="H314"/>
  <c r="R313"/>
  <c r="P313"/>
  <c r="A313" s="1"/>
  <c r="I313"/>
  <c r="H313"/>
  <c r="R312"/>
  <c r="P312"/>
  <c r="A312" s="1"/>
  <c r="I312"/>
  <c r="H312"/>
  <c r="R311"/>
  <c r="P311"/>
  <c r="A311" s="1"/>
  <c r="I311"/>
  <c r="H311"/>
  <c r="R310"/>
  <c r="P310"/>
  <c r="A310" s="1"/>
  <c r="I310"/>
  <c r="H310"/>
  <c r="R309"/>
  <c r="P309"/>
  <c r="A309" s="1"/>
  <c r="I309"/>
  <c r="H309"/>
  <c r="R308"/>
  <c r="P308"/>
  <c r="A308" s="1"/>
  <c r="I308"/>
  <c r="H308"/>
  <c r="R307"/>
  <c r="P307"/>
  <c r="A307" s="1"/>
  <c r="I307"/>
  <c r="H307"/>
  <c r="R306"/>
  <c r="P306"/>
  <c r="A306" s="1"/>
  <c r="I306"/>
  <c r="H306"/>
  <c r="R305"/>
  <c r="P305"/>
  <c r="A305" s="1"/>
  <c r="I305"/>
  <c r="H305"/>
  <c r="R304"/>
  <c r="P304"/>
  <c r="A304" s="1"/>
  <c r="I304"/>
  <c r="H304"/>
  <c r="R303"/>
  <c r="P303"/>
  <c r="A303" s="1"/>
  <c r="I303"/>
  <c r="H303"/>
  <c r="R302"/>
  <c r="P302"/>
  <c r="A302" s="1"/>
  <c r="I302"/>
  <c r="H302"/>
  <c r="R301"/>
  <c r="P301"/>
  <c r="A301" s="1"/>
  <c r="I301"/>
  <c r="H301"/>
  <c r="R300"/>
  <c r="P300"/>
  <c r="A300" s="1"/>
  <c r="I300"/>
  <c r="H300"/>
  <c r="R299"/>
  <c r="P299"/>
  <c r="A299" s="1"/>
  <c r="I299"/>
  <c r="H299"/>
  <c r="R298"/>
  <c r="P298"/>
  <c r="A298" s="1"/>
  <c r="I298"/>
  <c r="H298"/>
  <c r="R297"/>
  <c r="P297"/>
  <c r="A297" s="1"/>
  <c r="I297"/>
  <c r="H297"/>
  <c r="R296"/>
  <c r="P296"/>
  <c r="A296" s="1"/>
  <c r="I296"/>
  <c r="H296"/>
  <c r="R295"/>
  <c r="P295"/>
  <c r="A295" s="1"/>
  <c r="I295"/>
  <c r="H295"/>
  <c r="R294"/>
  <c r="P294"/>
  <c r="A294" s="1"/>
  <c r="I294"/>
  <c r="H294"/>
  <c r="R293"/>
  <c r="P293"/>
  <c r="A293" s="1"/>
  <c r="I293"/>
  <c r="H293"/>
  <c r="R292"/>
  <c r="P292"/>
  <c r="A292" s="1"/>
  <c r="I292"/>
  <c r="H292"/>
  <c r="R291"/>
  <c r="P291"/>
  <c r="A291" s="1"/>
  <c r="I291"/>
  <c r="H291"/>
  <c r="R290"/>
  <c r="P290"/>
  <c r="A290" s="1"/>
  <c r="I290"/>
  <c r="H290"/>
  <c r="R289"/>
  <c r="P289"/>
  <c r="A289" s="1"/>
  <c r="I289"/>
  <c r="H289"/>
  <c r="R288"/>
  <c r="P288"/>
  <c r="A288" s="1"/>
  <c r="I288"/>
  <c r="H288"/>
  <c r="R287"/>
  <c r="P287"/>
  <c r="A287" s="1"/>
  <c r="I287"/>
  <c r="H287"/>
  <c r="R286"/>
  <c r="P286"/>
  <c r="A286" s="1"/>
  <c r="I286"/>
  <c r="H286"/>
  <c r="R285"/>
  <c r="P285"/>
  <c r="A285" s="1"/>
  <c r="I285"/>
  <c r="H285"/>
  <c r="R284"/>
  <c r="P284"/>
  <c r="A284" s="1"/>
  <c r="I284"/>
  <c r="H284"/>
  <c r="R283"/>
  <c r="P283"/>
  <c r="A283" s="1"/>
  <c r="I283"/>
  <c r="H283"/>
  <c r="R282"/>
  <c r="P282"/>
  <c r="A282" s="1"/>
  <c r="I282"/>
  <c r="H282"/>
  <c r="R281"/>
  <c r="P281"/>
  <c r="A281" s="1"/>
  <c r="I281"/>
  <c r="H281"/>
  <c r="R280"/>
  <c r="P280"/>
  <c r="A280" s="1"/>
  <c r="I280"/>
  <c r="H280"/>
  <c r="R279"/>
  <c r="P279"/>
  <c r="A279" s="1"/>
  <c r="I279"/>
  <c r="H279"/>
  <c r="R278"/>
  <c r="P278"/>
  <c r="A278" s="1"/>
  <c r="I278"/>
  <c r="H278"/>
  <c r="R277"/>
  <c r="P277"/>
  <c r="A277" s="1"/>
  <c r="I277"/>
  <c r="H277"/>
  <c r="R276"/>
  <c r="P276"/>
  <c r="A276" s="1"/>
  <c r="I276"/>
  <c r="H276"/>
  <c r="R275"/>
  <c r="P275"/>
  <c r="A275" s="1"/>
  <c r="I275"/>
  <c r="H275"/>
  <c r="R274"/>
  <c r="P274"/>
  <c r="A274" s="1"/>
  <c r="I274"/>
  <c r="H274"/>
  <c r="R273"/>
  <c r="P273"/>
  <c r="A273" s="1"/>
  <c r="I273"/>
  <c r="H273"/>
  <c r="R272"/>
  <c r="P272"/>
  <c r="A272" s="1"/>
  <c r="I272"/>
  <c r="H272"/>
  <c r="R271"/>
  <c r="P271"/>
  <c r="A271" s="1"/>
  <c r="I271"/>
  <c r="H271"/>
  <c r="R270"/>
  <c r="P270"/>
  <c r="A270" s="1"/>
  <c r="I270"/>
  <c r="H270"/>
  <c r="R269"/>
  <c r="P269"/>
  <c r="A269" s="1"/>
  <c r="I269"/>
  <c r="H269"/>
  <c r="R268"/>
  <c r="P268"/>
  <c r="A268" s="1"/>
  <c r="I268"/>
  <c r="H268"/>
  <c r="R267"/>
  <c r="P267"/>
  <c r="A267" s="1"/>
  <c r="I267"/>
  <c r="H267"/>
  <c r="R266"/>
  <c r="P266"/>
  <c r="A266" s="1"/>
  <c r="I266"/>
  <c r="H266"/>
  <c r="R265"/>
  <c r="P265"/>
  <c r="A265" s="1"/>
  <c r="I265"/>
  <c r="H265"/>
  <c r="R264"/>
  <c r="P264"/>
  <c r="A264" s="1"/>
  <c r="I264"/>
  <c r="H264"/>
  <c r="R263"/>
  <c r="A263"/>
  <c r="I263"/>
  <c r="H263"/>
  <c r="R262"/>
  <c r="I262"/>
  <c r="H262"/>
  <c r="R261"/>
  <c r="I261"/>
  <c r="H261"/>
  <c r="R260"/>
  <c r="I260"/>
  <c r="H260"/>
  <c r="R259"/>
  <c r="A259"/>
  <c r="I259"/>
  <c r="H259"/>
  <c r="R258"/>
  <c r="I258"/>
  <c r="H258"/>
  <c r="R257"/>
  <c r="I257"/>
  <c r="H257"/>
  <c r="R256"/>
  <c r="I256"/>
  <c r="H256"/>
  <c r="R255"/>
  <c r="A255"/>
  <c r="I255"/>
  <c r="H255"/>
  <c r="R254"/>
  <c r="I254"/>
  <c r="H254"/>
  <c r="R253"/>
  <c r="P253"/>
  <c r="A253" s="1"/>
  <c r="I253"/>
  <c r="H253"/>
  <c r="R252"/>
  <c r="P252"/>
  <c r="A252" s="1"/>
  <c r="I252"/>
  <c r="H252"/>
  <c r="R251"/>
  <c r="P251"/>
  <c r="A251" s="1"/>
  <c r="I251"/>
  <c r="H251"/>
  <c r="R250"/>
  <c r="P250"/>
  <c r="A250" s="1"/>
  <c r="I250"/>
  <c r="H250"/>
  <c r="R249"/>
  <c r="P249"/>
  <c r="A249" s="1"/>
  <c r="I249"/>
  <c r="H249"/>
  <c r="R248"/>
  <c r="P248"/>
  <c r="A248" s="1"/>
  <c r="I248"/>
  <c r="H248"/>
  <c r="R247"/>
  <c r="P247"/>
  <c r="A247" s="1"/>
  <c r="I247"/>
  <c r="H247"/>
  <c r="R246"/>
  <c r="P246"/>
  <c r="A246" s="1"/>
  <c r="I246"/>
  <c r="H246"/>
  <c r="R245"/>
  <c r="P245"/>
  <c r="A245" s="1"/>
  <c r="I245"/>
  <c r="H245"/>
  <c r="R244"/>
  <c r="P244"/>
  <c r="A244" s="1"/>
  <c r="I244"/>
  <c r="H244"/>
  <c r="R243"/>
  <c r="P243"/>
  <c r="A243" s="1"/>
  <c r="I243"/>
  <c r="H243"/>
  <c r="R242"/>
  <c r="P242"/>
  <c r="A242" s="1"/>
  <c r="I242"/>
  <c r="H242"/>
  <c r="R241"/>
  <c r="P241"/>
  <c r="A241" s="1"/>
  <c r="I241"/>
  <c r="H241"/>
  <c r="R240"/>
  <c r="P240"/>
  <c r="A240" s="1"/>
  <c r="I240"/>
  <c r="H240"/>
  <c r="R239"/>
  <c r="P239"/>
  <c r="A239" s="1"/>
  <c r="I239"/>
  <c r="H239"/>
  <c r="R238"/>
  <c r="P238"/>
  <c r="A238" s="1"/>
  <c r="I238"/>
  <c r="H238"/>
  <c r="R237"/>
  <c r="P237"/>
  <c r="A237" s="1"/>
  <c r="I237"/>
  <c r="H237"/>
  <c r="R236"/>
  <c r="P236"/>
  <c r="A236" s="1"/>
  <c r="I236"/>
  <c r="H236"/>
  <c r="R235"/>
  <c r="P235"/>
  <c r="A235" s="1"/>
  <c r="I235"/>
  <c r="H235"/>
  <c r="R234"/>
  <c r="P234"/>
  <c r="A234" s="1"/>
  <c r="I234"/>
  <c r="H234"/>
  <c r="R233"/>
  <c r="P233"/>
  <c r="A233" s="1"/>
  <c r="I233"/>
  <c r="H233"/>
  <c r="R232"/>
  <c r="P232"/>
  <c r="A232" s="1"/>
  <c r="I232"/>
  <c r="H232"/>
  <c r="R231"/>
  <c r="P231"/>
  <c r="A231" s="1"/>
  <c r="I231"/>
  <c r="H231"/>
  <c r="R230"/>
  <c r="P230"/>
  <c r="A230" s="1"/>
  <c r="I230"/>
  <c r="H230"/>
  <c r="R229"/>
  <c r="P229"/>
  <c r="A229" s="1"/>
  <c r="I229"/>
  <c r="H229"/>
  <c r="R228"/>
  <c r="P228"/>
  <c r="A228" s="1"/>
  <c r="I228"/>
  <c r="H228"/>
  <c r="R227"/>
  <c r="P227"/>
  <c r="A227" s="1"/>
  <c r="I227"/>
  <c r="H227"/>
  <c r="R226"/>
  <c r="P226"/>
  <c r="A226" s="1"/>
  <c r="I226"/>
  <c r="H226"/>
  <c r="R225"/>
  <c r="P225"/>
  <c r="A225" s="1"/>
  <c r="I225"/>
  <c r="H225"/>
  <c r="R224"/>
  <c r="P224"/>
  <c r="A224" s="1"/>
  <c r="I224"/>
  <c r="H224"/>
  <c r="R223"/>
  <c r="P223"/>
  <c r="A223" s="1"/>
  <c r="I223"/>
  <c r="H223"/>
  <c r="R222"/>
  <c r="P222"/>
  <c r="A222" s="1"/>
  <c r="I222"/>
  <c r="H222"/>
  <c r="R221"/>
  <c r="P221"/>
  <c r="A221" s="1"/>
  <c r="I221"/>
  <c r="H221"/>
  <c r="R220"/>
  <c r="P220"/>
  <c r="A220" s="1"/>
  <c r="I220"/>
  <c r="H220"/>
  <c r="R219"/>
  <c r="P219"/>
  <c r="A219" s="1"/>
  <c r="I219"/>
  <c r="H219"/>
  <c r="R218"/>
  <c r="P218"/>
  <c r="A218" s="1"/>
  <c r="I218"/>
  <c r="H218"/>
  <c r="R217"/>
  <c r="P217"/>
  <c r="A217" s="1"/>
  <c r="I217"/>
  <c r="H217"/>
  <c r="R216"/>
  <c r="P216"/>
  <c r="A216" s="1"/>
  <c r="I216"/>
  <c r="H216"/>
  <c r="R215"/>
  <c r="P215"/>
  <c r="A215" s="1"/>
  <c r="I215"/>
  <c r="H215"/>
  <c r="R214"/>
  <c r="P214"/>
  <c r="A214" s="1"/>
  <c r="I214"/>
  <c r="H214"/>
  <c r="R213"/>
  <c r="P213"/>
  <c r="A213" s="1"/>
  <c r="I213"/>
  <c r="H213"/>
  <c r="R212"/>
  <c r="P212"/>
  <c r="A212" s="1"/>
  <c r="I212"/>
  <c r="H212"/>
  <c r="R211"/>
  <c r="P211"/>
  <c r="A211" s="1"/>
  <c r="I211"/>
  <c r="H211"/>
  <c r="R210"/>
  <c r="P210"/>
  <c r="A210" s="1"/>
  <c r="I210"/>
  <c r="H210"/>
  <c r="R209"/>
  <c r="P209"/>
  <c r="A209" s="1"/>
  <c r="I209"/>
  <c r="H209"/>
  <c r="R208"/>
  <c r="P208"/>
  <c r="A208" s="1"/>
  <c r="I208"/>
  <c r="H208"/>
  <c r="R207"/>
  <c r="P207"/>
  <c r="A207" s="1"/>
  <c r="I207"/>
  <c r="H207"/>
  <c r="R206"/>
  <c r="P206"/>
  <c r="A206" s="1"/>
  <c r="I206"/>
  <c r="H206"/>
  <c r="R205"/>
  <c r="P205"/>
  <c r="A205" s="1"/>
  <c r="I205"/>
  <c r="H205"/>
  <c r="R204"/>
  <c r="P204"/>
  <c r="A204" s="1"/>
  <c r="I204"/>
  <c r="H204"/>
  <c r="R203"/>
  <c r="P203"/>
  <c r="A203" s="1"/>
  <c r="I203"/>
  <c r="H203"/>
  <c r="R202"/>
  <c r="P202"/>
  <c r="A202" s="1"/>
  <c r="I202"/>
  <c r="H202"/>
  <c r="R201"/>
  <c r="P201"/>
  <c r="A201" s="1"/>
  <c r="I201"/>
  <c r="H201"/>
  <c r="R200"/>
  <c r="P200"/>
  <c r="A200" s="1"/>
  <c r="I200"/>
  <c r="H200"/>
  <c r="R199"/>
  <c r="P199"/>
  <c r="A199" s="1"/>
  <c r="I199"/>
  <c r="H199"/>
  <c r="R198"/>
  <c r="P198"/>
  <c r="A198" s="1"/>
  <c r="I198"/>
  <c r="H198"/>
  <c r="R197"/>
  <c r="P197"/>
  <c r="A197" s="1"/>
  <c r="I197"/>
  <c r="H197"/>
  <c r="R196"/>
  <c r="P196"/>
  <c r="A196" s="1"/>
  <c r="I196"/>
  <c r="H196"/>
  <c r="R195"/>
  <c r="P195"/>
  <c r="A195" s="1"/>
  <c r="I195"/>
  <c r="H195"/>
  <c r="R194"/>
  <c r="P194"/>
  <c r="A194" s="1"/>
  <c r="I194"/>
  <c r="H194"/>
  <c r="R193"/>
  <c r="P193"/>
  <c r="A193" s="1"/>
  <c r="I193"/>
  <c r="H193"/>
  <c r="R192"/>
  <c r="P192"/>
  <c r="A192" s="1"/>
  <c r="I192"/>
  <c r="H192"/>
  <c r="R191"/>
  <c r="P191"/>
  <c r="A191" s="1"/>
  <c r="I191"/>
  <c r="H191"/>
  <c r="R190"/>
  <c r="P190"/>
  <c r="A190" s="1"/>
  <c r="I190"/>
  <c r="H190"/>
  <c r="R189"/>
  <c r="P189"/>
  <c r="A189" s="1"/>
  <c r="I189"/>
  <c r="H189"/>
  <c r="R188"/>
  <c r="P188"/>
  <c r="A188" s="1"/>
  <c r="I188"/>
  <c r="H188"/>
  <c r="R187"/>
  <c r="P187"/>
  <c r="A187" s="1"/>
  <c r="I187"/>
  <c r="H187"/>
  <c r="R186"/>
  <c r="P186"/>
  <c r="A186" s="1"/>
  <c r="I186"/>
  <c r="H186"/>
  <c r="R185"/>
  <c r="P185"/>
  <c r="A185" s="1"/>
  <c r="I185"/>
  <c r="H185"/>
  <c r="R184"/>
  <c r="P184"/>
  <c r="A184" s="1"/>
  <c r="I184"/>
  <c r="H184"/>
  <c r="R183"/>
  <c r="P183"/>
  <c r="A183" s="1"/>
  <c r="I183"/>
  <c r="H183"/>
  <c r="R182"/>
  <c r="P182"/>
  <c r="A182" s="1"/>
  <c r="I182"/>
  <c r="H182"/>
  <c r="R181"/>
  <c r="P181"/>
  <c r="A181" s="1"/>
  <c r="I181"/>
  <c r="H181"/>
  <c r="R180"/>
  <c r="P180"/>
  <c r="A180" s="1"/>
  <c r="I180"/>
  <c r="H180"/>
  <c r="R179"/>
  <c r="P179"/>
  <c r="A179" s="1"/>
  <c r="I179"/>
  <c r="H179"/>
  <c r="R178"/>
  <c r="P178"/>
  <c r="A178" s="1"/>
  <c r="I178"/>
  <c r="H178"/>
  <c r="R177"/>
  <c r="P177"/>
  <c r="A177" s="1"/>
  <c r="I177"/>
  <c r="H177"/>
  <c r="R176"/>
  <c r="P176"/>
  <c r="A176" s="1"/>
  <c r="I176"/>
  <c r="H176"/>
  <c r="R175"/>
  <c r="P175"/>
  <c r="A175" s="1"/>
  <c r="I175"/>
  <c r="H175"/>
  <c r="R174"/>
  <c r="P174"/>
  <c r="A174" s="1"/>
  <c r="I174"/>
  <c r="H174"/>
  <c r="R173"/>
  <c r="P173"/>
  <c r="A173" s="1"/>
  <c r="I173"/>
  <c r="H173"/>
  <c r="R172"/>
  <c r="P172"/>
  <c r="A172" s="1"/>
  <c r="I172"/>
  <c r="H172"/>
  <c r="R171"/>
  <c r="P171"/>
  <c r="A171" s="1"/>
  <c r="I171"/>
  <c r="H171"/>
  <c r="R170"/>
  <c r="P170"/>
  <c r="A170" s="1"/>
  <c r="I170"/>
  <c r="H170"/>
  <c r="R169"/>
  <c r="P169"/>
  <c r="A169" s="1"/>
  <c r="I169"/>
  <c r="H169"/>
  <c r="R168"/>
  <c r="P168"/>
  <c r="A168" s="1"/>
  <c r="I168"/>
  <c r="H168"/>
  <c r="R167"/>
  <c r="P167"/>
  <c r="A167" s="1"/>
  <c r="I167"/>
  <c r="H167"/>
  <c r="R166"/>
  <c r="P166"/>
  <c r="A166" s="1"/>
  <c r="I166"/>
  <c r="H166"/>
  <c r="R165"/>
  <c r="P165"/>
  <c r="A165" s="1"/>
  <c r="I165"/>
  <c r="H165"/>
  <c r="R164"/>
  <c r="P164"/>
  <c r="A164" s="1"/>
  <c r="I164"/>
  <c r="H164"/>
  <c r="R163"/>
  <c r="P163"/>
  <c r="A163" s="1"/>
  <c r="I163"/>
  <c r="H163"/>
  <c r="R162"/>
  <c r="P162"/>
  <c r="A162" s="1"/>
  <c r="I162"/>
  <c r="H162"/>
  <c r="R161"/>
  <c r="P161"/>
  <c r="A161" s="1"/>
  <c r="I161"/>
  <c r="H161"/>
  <c r="R160"/>
  <c r="P160"/>
  <c r="A160" s="1"/>
  <c r="I160"/>
  <c r="H160"/>
  <c r="R159"/>
  <c r="P159"/>
  <c r="A159" s="1"/>
  <c r="I159"/>
  <c r="H159"/>
  <c r="R158"/>
  <c r="P158"/>
  <c r="A158" s="1"/>
  <c r="I158"/>
  <c r="H158"/>
  <c r="R157"/>
  <c r="P157"/>
  <c r="A157" s="1"/>
  <c r="I157"/>
  <c r="H157"/>
  <c r="R156"/>
  <c r="P156"/>
  <c r="A156" s="1"/>
  <c r="I156"/>
  <c r="H156"/>
  <c r="R155"/>
  <c r="P155"/>
  <c r="A155" s="1"/>
  <c r="I155"/>
  <c r="H155"/>
  <c r="R154"/>
  <c r="P154"/>
  <c r="A154" s="1"/>
  <c r="I154"/>
  <c r="H154"/>
  <c r="R153"/>
  <c r="P153"/>
  <c r="A153" s="1"/>
  <c r="I153"/>
  <c r="H153"/>
  <c r="R152"/>
  <c r="P152"/>
  <c r="A152" s="1"/>
  <c r="I152"/>
  <c r="H152"/>
  <c r="R151"/>
  <c r="P151"/>
  <c r="A151" s="1"/>
  <c r="I151"/>
  <c r="H151"/>
  <c r="R150"/>
  <c r="P150"/>
  <c r="A150" s="1"/>
  <c r="I150"/>
  <c r="H150"/>
  <c r="R149"/>
  <c r="P149"/>
  <c r="A149" s="1"/>
  <c r="I149"/>
  <c r="H149"/>
  <c r="R148"/>
  <c r="P148"/>
  <c r="A148" s="1"/>
  <c r="I148"/>
  <c r="H148"/>
  <c r="R147"/>
  <c r="P147"/>
  <c r="A147" s="1"/>
  <c r="I147"/>
  <c r="H147"/>
  <c r="R146"/>
  <c r="P146"/>
  <c r="A146" s="1"/>
  <c r="I146"/>
  <c r="H146"/>
  <c r="R145"/>
  <c r="P145"/>
  <c r="A145" s="1"/>
  <c r="I145"/>
  <c r="H145"/>
  <c r="R144"/>
  <c r="P144"/>
  <c r="A144" s="1"/>
  <c r="I144"/>
  <c r="H144"/>
  <c r="R143"/>
  <c r="P143"/>
  <c r="A143" s="1"/>
  <c r="I143"/>
  <c r="H143"/>
  <c r="R142"/>
  <c r="P142"/>
  <c r="A142" s="1"/>
  <c r="I142"/>
  <c r="H142"/>
  <c r="R141"/>
  <c r="P141"/>
  <c r="A141" s="1"/>
  <c r="I141"/>
  <c r="H141"/>
  <c r="R140"/>
  <c r="P140"/>
  <c r="A140" s="1"/>
  <c r="I140"/>
  <c r="H140"/>
  <c r="R139"/>
  <c r="P139"/>
  <c r="A139" s="1"/>
  <c r="I139"/>
  <c r="H139"/>
  <c r="R138"/>
  <c r="P138"/>
  <c r="A138" s="1"/>
  <c r="I138"/>
  <c r="H138"/>
  <c r="R137"/>
  <c r="P137"/>
  <c r="A137" s="1"/>
  <c r="I137"/>
  <c r="H137"/>
  <c r="R136"/>
  <c r="P136"/>
  <c r="A136" s="1"/>
  <c r="I136"/>
  <c r="H136"/>
  <c r="R135"/>
  <c r="P135"/>
  <c r="A135" s="1"/>
  <c r="I135"/>
  <c r="H135"/>
  <c r="R134"/>
  <c r="P134"/>
  <c r="A134" s="1"/>
  <c r="I134"/>
  <c r="H134"/>
  <c r="R133"/>
  <c r="P133"/>
  <c r="A133" s="1"/>
  <c r="I133"/>
  <c r="H133"/>
  <c r="R132"/>
  <c r="P132"/>
  <c r="A132" s="1"/>
  <c r="I132"/>
  <c r="H132"/>
  <c r="R131"/>
  <c r="P131"/>
  <c r="A131" s="1"/>
  <c r="I131"/>
  <c r="H131"/>
  <c r="R130"/>
  <c r="P130"/>
  <c r="A130" s="1"/>
  <c r="I130"/>
  <c r="H130"/>
  <c r="R129"/>
  <c r="P129"/>
  <c r="A129" s="1"/>
  <c r="I129"/>
  <c r="H129"/>
  <c r="R128"/>
  <c r="P128"/>
  <c r="A128" s="1"/>
  <c r="I128"/>
  <c r="H128"/>
  <c r="R127"/>
  <c r="P127"/>
  <c r="A127" s="1"/>
  <c r="I127"/>
  <c r="H127"/>
  <c r="R126"/>
  <c r="P126"/>
  <c r="A126" s="1"/>
  <c r="I126"/>
  <c r="H126"/>
  <c r="R125"/>
  <c r="P125"/>
  <c r="A125" s="1"/>
  <c r="I125"/>
  <c r="H125"/>
  <c r="R124"/>
  <c r="P124"/>
  <c r="A124" s="1"/>
  <c r="I124"/>
  <c r="H124"/>
  <c r="R123"/>
  <c r="P123"/>
  <c r="A123" s="1"/>
  <c r="I123"/>
  <c r="H123"/>
  <c r="R122"/>
  <c r="P122"/>
  <c r="A122" s="1"/>
  <c r="I122"/>
  <c r="H122"/>
  <c r="R121"/>
  <c r="P121"/>
  <c r="A121" s="1"/>
  <c r="I121"/>
  <c r="H121"/>
  <c r="R120"/>
  <c r="P120"/>
  <c r="A120" s="1"/>
  <c r="I120"/>
  <c r="H120"/>
  <c r="R119"/>
  <c r="P119"/>
  <c r="A119" s="1"/>
  <c r="I119"/>
  <c r="H119"/>
  <c r="R118"/>
  <c r="P118"/>
  <c r="A118" s="1"/>
  <c r="I118"/>
  <c r="H118"/>
  <c r="R117"/>
  <c r="P117"/>
  <c r="A117" s="1"/>
  <c r="I117"/>
  <c r="H117"/>
  <c r="R116"/>
  <c r="P116"/>
  <c r="A116" s="1"/>
  <c r="I116"/>
  <c r="H116"/>
  <c r="R115"/>
  <c r="P115"/>
  <c r="A115" s="1"/>
  <c r="I115"/>
  <c r="H115"/>
  <c r="R114"/>
  <c r="P114"/>
  <c r="A114" s="1"/>
  <c r="I114"/>
  <c r="H114"/>
  <c r="R113"/>
  <c r="P113"/>
  <c r="A113" s="1"/>
  <c r="I113"/>
  <c r="H113"/>
  <c r="R112"/>
  <c r="P112"/>
  <c r="A112" s="1"/>
  <c r="I112"/>
  <c r="H112"/>
  <c r="R111"/>
  <c r="P111"/>
  <c r="A111" s="1"/>
  <c r="I111"/>
  <c r="H111"/>
  <c r="R110"/>
  <c r="P110"/>
  <c r="A110" s="1"/>
  <c r="I110"/>
  <c r="H110"/>
  <c r="R109"/>
  <c r="P109"/>
  <c r="A109" s="1"/>
  <c r="I109"/>
  <c r="H109"/>
  <c r="R108"/>
  <c r="P108"/>
  <c r="A108" s="1"/>
  <c r="I108"/>
  <c r="H108"/>
  <c r="R107"/>
  <c r="P107"/>
  <c r="A107" s="1"/>
  <c r="I107"/>
  <c r="H107"/>
  <c r="R106"/>
  <c r="P106"/>
  <c r="A106" s="1"/>
  <c r="I106"/>
  <c r="H106"/>
  <c r="R105"/>
  <c r="P105"/>
  <c r="A105" s="1"/>
  <c r="I105"/>
  <c r="H105"/>
  <c r="R104"/>
  <c r="P104"/>
  <c r="A104" s="1"/>
  <c r="I104"/>
  <c r="H104"/>
  <c r="R103"/>
  <c r="P103"/>
  <c r="A103" s="1"/>
  <c r="I103"/>
  <c r="H103"/>
  <c r="R102"/>
  <c r="P102"/>
  <c r="A102" s="1"/>
  <c r="I102"/>
  <c r="H102"/>
  <c r="R101"/>
  <c r="P101"/>
  <c r="A101" s="1"/>
  <c r="I101"/>
  <c r="H101"/>
  <c r="R100"/>
  <c r="P100"/>
  <c r="A100" s="1"/>
  <c r="I100"/>
  <c r="H100"/>
  <c r="R99"/>
  <c r="P99"/>
  <c r="A99" s="1"/>
  <c r="I99"/>
  <c r="H99"/>
  <c r="R98"/>
  <c r="P98"/>
  <c r="A98" s="1"/>
  <c r="I98"/>
  <c r="H98"/>
  <c r="R97"/>
  <c r="P97"/>
  <c r="A97" s="1"/>
  <c r="I97"/>
  <c r="H97"/>
  <c r="R96"/>
  <c r="P96"/>
  <c r="A96" s="1"/>
  <c r="I96"/>
  <c r="H96"/>
  <c r="R95"/>
  <c r="P95"/>
  <c r="A95" s="1"/>
  <c r="I95"/>
  <c r="H95"/>
  <c r="R94"/>
  <c r="P94"/>
  <c r="A94" s="1"/>
  <c r="I94"/>
  <c r="H94"/>
  <c r="R93"/>
  <c r="P93"/>
  <c r="A93" s="1"/>
  <c r="I93"/>
  <c r="H93"/>
  <c r="R92"/>
  <c r="P92"/>
  <c r="A92" s="1"/>
  <c r="I92"/>
  <c r="H92"/>
  <c r="R91"/>
  <c r="P91"/>
  <c r="A91" s="1"/>
  <c r="I91"/>
  <c r="H91"/>
  <c r="R90"/>
  <c r="P90"/>
  <c r="A90" s="1"/>
  <c r="I90"/>
  <c r="H90"/>
  <c r="R89"/>
  <c r="P89"/>
  <c r="A89" s="1"/>
  <c r="I89"/>
  <c r="H89"/>
  <c r="R88"/>
  <c r="P88"/>
  <c r="A88" s="1"/>
  <c r="I88"/>
  <c r="H88"/>
  <c r="R87"/>
  <c r="P87"/>
  <c r="A87" s="1"/>
  <c r="I87"/>
  <c r="H87"/>
  <c r="R86"/>
  <c r="P86"/>
  <c r="A86" s="1"/>
  <c r="I86"/>
  <c r="H86"/>
  <c r="R85"/>
  <c r="P85"/>
  <c r="A85" s="1"/>
  <c r="I85"/>
  <c r="H85"/>
  <c r="R84"/>
  <c r="P84"/>
  <c r="A84" s="1"/>
  <c r="I84"/>
  <c r="H84"/>
  <c r="R83"/>
  <c r="P83"/>
  <c r="A83" s="1"/>
  <c r="I83"/>
  <c r="H83"/>
  <c r="R82"/>
  <c r="P82"/>
  <c r="A82" s="1"/>
  <c r="I82"/>
  <c r="H82"/>
  <c r="R81"/>
  <c r="P81"/>
  <c r="A81" s="1"/>
  <c r="I81"/>
  <c r="H81"/>
  <c r="R80"/>
  <c r="P80"/>
  <c r="A80" s="1"/>
  <c r="I80"/>
  <c r="H80"/>
  <c r="R79"/>
  <c r="P79"/>
  <c r="A79" s="1"/>
  <c r="I79"/>
  <c r="H79"/>
  <c r="R78"/>
  <c r="P78"/>
  <c r="A78" s="1"/>
  <c r="I78"/>
  <c r="H78"/>
  <c r="R77"/>
  <c r="P77"/>
  <c r="A77" s="1"/>
  <c r="I77"/>
  <c r="H77"/>
  <c r="R76"/>
  <c r="P76"/>
  <c r="A76" s="1"/>
  <c r="I76"/>
  <c r="H76"/>
  <c r="R75"/>
  <c r="P75"/>
  <c r="A75" s="1"/>
  <c r="I75"/>
  <c r="H75"/>
  <c r="R74"/>
  <c r="P74"/>
  <c r="A74" s="1"/>
  <c r="I74"/>
  <c r="H74"/>
  <c r="R73"/>
  <c r="P73"/>
  <c r="A73" s="1"/>
  <c r="I73"/>
  <c r="H73"/>
  <c r="R72"/>
  <c r="P72"/>
  <c r="A72" s="1"/>
  <c r="I72"/>
  <c r="H72"/>
  <c r="R71"/>
  <c r="P71"/>
  <c r="A71" s="1"/>
  <c r="I71"/>
  <c r="H71"/>
  <c r="R70"/>
  <c r="P70"/>
  <c r="A70" s="1"/>
  <c r="I70"/>
  <c r="H70"/>
  <c r="R69"/>
  <c r="P69"/>
  <c r="A69" s="1"/>
  <c r="I69"/>
  <c r="H69"/>
  <c r="R68"/>
  <c r="P68"/>
  <c r="A68" s="1"/>
  <c r="I68"/>
  <c r="H68"/>
  <c r="R67"/>
  <c r="P67"/>
  <c r="A67" s="1"/>
  <c r="I67"/>
  <c r="H67"/>
  <c r="R66"/>
  <c r="P66"/>
  <c r="A66" s="1"/>
  <c r="I66"/>
  <c r="H66"/>
  <c r="R65"/>
  <c r="P65"/>
  <c r="A65" s="1"/>
  <c r="I65"/>
  <c r="H65"/>
  <c r="R64"/>
  <c r="P64"/>
  <c r="A64" s="1"/>
  <c r="I64"/>
  <c r="H64"/>
  <c r="R63"/>
  <c r="P63"/>
  <c r="A63" s="1"/>
  <c r="I63"/>
  <c r="H63"/>
  <c r="R62"/>
  <c r="P62"/>
  <c r="A62" s="1"/>
  <c r="I62"/>
  <c r="H62"/>
  <c r="R61"/>
  <c r="P61"/>
  <c r="A61" s="1"/>
  <c r="I61"/>
  <c r="H61"/>
  <c r="R60"/>
  <c r="P60"/>
  <c r="A60" s="1"/>
  <c r="I60"/>
  <c r="H60"/>
  <c r="R59"/>
  <c r="P59"/>
  <c r="A59" s="1"/>
  <c r="I59"/>
  <c r="H59"/>
  <c r="R58"/>
  <c r="P58"/>
  <c r="A58" s="1"/>
  <c r="I58"/>
  <c r="H58"/>
  <c r="R57"/>
  <c r="P57"/>
  <c r="A57" s="1"/>
  <c r="I57"/>
  <c r="H57"/>
  <c r="R56"/>
  <c r="P56"/>
  <c r="A56" s="1"/>
  <c r="I56"/>
  <c r="H56"/>
  <c r="R55"/>
  <c r="P55"/>
  <c r="A55" s="1"/>
  <c r="I55"/>
  <c r="H55"/>
  <c r="R54"/>
  <c r="P54"/>
  <c r="A54" s="1"/>
  <c r="I54"/>
  <c r="H54"/>
  <c r="R53"/>
  <c r="P53"/>
  <c r="A53" s="1"/>
  <c r="I53"/>
  <c r="H53"/>
  <c r="R52"/>
  <c r="P52"/>
  <c r="A52" s="1"/>
  <c r="I52"/>
  <c r="H52"/>
  <c r="R51"/>
  <c r="P51"/>
  <c r="A51" s="1"/>
  <c r="I51"/>
  <c r="H51"/>
  <c r="R50"/>
  <c r="P50"/>
  <c r="A50" s="1"/>
  <c r="I50"/>
  <c r="H50"/>
  <c r="R49"/>
  <c r="P49"/>
  <c r="A49" s="1"/>
  <c r="I49"/>
  <c r="H49"/>
  <c r="R48"/>
  <c r="P48"/>
  <c r="A48" s="1"/>
  <c r="I48"/>
  <c r="H48"/>
  <c r="R47"/>
  <c r="P47"/>
  <c r="A47" s="1"/>
  <c r="I47"/>
  <c r="H47"/>
  <c r="R46"/>
  <c r="P46"/>
  <c r="A46" s="1"/>
  <c r="I46"/>
  <c r="H46"/>
  <c r="R45"/>
  <c r="P45"/>
  <c r="A45" s="1"/>
  <c r="I45"/>
  <c r="H45"/>
  <c r="R44"/>
  <c r="P44"/>
  <c r="A44" s="1"/>
  <c r="I44"/>
  <c r="H44"/>
  <c r="R43"/>
  <c r="P43"/>
  <c r="A43" s="1"/>
  <c r="I43"/>
  <c r="H43"/>
  <c r="R42"/>
  <c r="P42"/>
  <c r="A42" s="1"/>
  <c r="I42"/>
  <c r="H42"/>
  <c r="R41"/>
  <c r="P41"/>
  <c r="A41" s="1"/>
  <c r="I41"/>
  <c r="H41"/>
  <c r="R40"/>
  <c r="P40"/>
  <c r="A40" s="1"/>
  <c r="I40"/>
  <c r="H40"/>
  <c r="R39"/>
  <c r="P39"/>
  <c r="A39" s="1"/>
  <c r="I39"/>
  <c r="H39"/>
  <c r="R38"/>
  <c r="P38"/>
  <c r="A38" s="1"/>
  <c r="I38"/>
  <c r="H38"/>
  <c r="R37"/>
  <c r="P37"/>
  <c r="A37" s="1"/>
  <c r="I37"/>
  <c r="H37"/>
  <c r="R36"/>
  <c r="P36"/>
  <c r="A36" s="1"/>
  <c r="I36"/>
  <c r="H36"/>
  <c r="R35"/>
  <c r="P35"/>
  <c r="A35" s="1"/>
  <c r="I35"/>
  <c r="H35"/>
  <c r="R34"/>
  <c r="P34"/>
  <c r="A34" s="1"/>
  <c r="I34"/>
  <c r="H34"/>
  <c r="R33"/>
  <c r="P33"/>
  <c r="A33" s="1"/>
  <c r="I33"/>
  <c r="H33"/>
  <c r="R32"/>
  <c r="P32"/>
  <c r="A32" s="1"/>
  <c r="I32"/>
  <c r="H32"/>
  <c r="R31"/>
  <c r="P31"/>
  <c r="A31" s="1"/>
  <c r="I31"/>
  <c r="H31"/>
  <c r="R30"/>
  <c r="P30"/>
  <c r="A30" s="1"/>
  <c r="I30"/>
  <c r="H30"/>
  <c r="R29"/>
  <c r="P29"/>
  <c r="A29" s="1"/>
  <c r="I29"/>
  <c r="H29"/>
  <c r="R28"/>
  <c r="P28"/>
  <c r="A28" s="1"/>
  <c r="I28"/>
  <c r="H28"/>
  <c r="R27"/>
  <c r="P27"/>
  <c r="A27" s="1"/>
  <c r="I27"/>
  <c r="H27"/>
  <c r="R26"/>
  <c r="P26"/>
  <c r="A26" s="1"/>
  <c r="I26"/>
  <c r="H26"/>
  <c r="R25"/>
  <c r="P25"/>
  <c r="A25" s="1"/>
  <c r="I25"/>
  <c r="H25"/>
  <c r="R24"/>
  <c r="P24"/>
  <c r="A24" s="1"/>
  <c r="I24"/>
  <c r="H24"/>
  <c r="R23"/>
  <c r="P23"/>
  <c r="A23" s="1"/>
  <c r="I23"/>
  <c r="H23"/>
  <c r="R22"/>
  <c r="P22"/>
  <c r="A22" s="1"/>
  <c r="I22"/>
  <c r="H22"/>
  <c r="R21"/>
  <c r="P21"/>
  <c r="A21" s="1"/>
  <c r="I21"/>
  <c r="H21"/>
  <c r="R20"/>
  <c r="P20"/>
  <c r="A20" s="1"/>
  <c r="I20"/>
  <c r="H20"/>
  <c r="R19"/>
  <c r="P19"/>
  <c r="A19" s="1"/>
  <c r="I19"/>
  <c r="H19"/>
  <c r="R18"/>
  <c r="P18"/>
  <c r="A18" s="1"/>
  <c r="I18"/>
  <c r="H18"/>
  <c r="R17"/>
  <c r="P17"/>
  <c r="A17" s="1"/>
  <c r="I17"/>
  <c r="H17"/>
  <c r="R16"/>
  <c r="P16"/>
  <c r="A16" s="1"/>
  <c r="I16"/>
  <c r="H16"/>
  <c r="R15"/>
  <c r="P15"/>
  <c r="A15" s="1"/>
  <c r="I15"/>
  <c r="H15"/>
  <c r="R14"/>
  <c r="P14"/>
  <c r="A14" s="1"/>
  <c r="I14"/>
  <c r="H14"/>
  <c r="R13"/>
  <c r="P13"/>
  <c r="A13" s="1"/>
  <c r="I13"/>
  <c r="H13"/>
  <c r="R12"/>
  <c r="P12"/>
  <c r="A12" s="1"/>
  <c r="I12"/>
  <c r="H12"/>
  <c r="R11"/>
  <c r="P11"/>
  <c r="A11" s="1"/>
  <c r="I11"/>
  <c r="H11"/>
  <c r="R10"/>
  <c r="P10"/>
  <c r="A10" s="1"/>
  <c r="I10"/>
  <c r="H10"/>
  <c r="R9"/>
  <c r="P9"/>
  <c r="A9" s="1"/>
  <c r="I9"/>
  <c r="H9"/>
  <c r="R8"/>
  <c r="P8"/>
  <c r="A8" s="1"/>
  <c r="I8"/>
  <c r="H8"/>
  <c r="R7"/>
  <c r="P7"/>
  <c r="A7" s="1"/>
  <c r="I7"/>
  <c r="H7"/>
  <c r="R6"/>
  <c r="P6"/>
  <c r="A6" s="1"/>
  <c r="I6"/>
  <c r="H6"/>
  <c r="R5"/>
  <c r="P5"/>
  <c r="A5" s="1"/>
  <c r="I5"/>
  <c r="H5"/>
  <c r="R4"/>
  <c r="P4"/>
  <c r="A4" s="1"/>
  <c r="I4"/>
  <c r="H4"/>
  <c r="R3"/>
  <c r="P3"/>
  <c r="A3" s="1"/>
  <c r="I3"/>
  <c r="H3"/>
  <c r="R2"/>
  <c r="P2"/>
  <c r="A2" s="1"/>
  <c r="I2"/>
  <c r="H2"/>
  <c r="BS55" i="1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P53"/>
  <c r="AO53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P52"/>
  <c r="AO52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AT50"/>
  <c r="AS50"/>
  <c r="AR50"/>
  <c r="AQ50"/>
  <c r="AP50"/>
  <c r="AO50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P49"/>
  <c r="AO49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P48"/>
  <c r="AO48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AW44"/>
  <c r="AV44"/>
  <c r="AU44"/>
  <c r="AT44"/>
  <c r="AS44"/>
  <c r="AR44"/>
  <c r="AQ44"/>
  <c r="AP44"/>
  <c r="AO44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BS22"/>
  <c r="BR22"/>
  <c r="BQ22"/>
  <c r="BP22"/>
  <c r="BO22"/>
  <c r="BN22"/>
  <c r="BM22"/>
  <c r="BL22"/>
  <c r="BK22"/>
  <c r="BJ22"/>
  <c r="BI22"/>
  <c r="BH22"/>
  <c r="BG22"/>
  <c r="BF22"/>
  <c r="BE22"/>
  <c r="BD22"/>
  <c r="BC22"/>
  <c r="BB22"/>
  <c r="BA22"/>
  <c r="AZ22"/>
  <c r="AY22"/>
  <c r="AX22"/>
  <c r="AW22"/>
  <c r="AV22"/>
  <c r="AU22"/>
  <c r="AT22"/>
  <c r="AS22"/>
  <c r="AR22"/>
  <c r="AQ22"/>
  <c r="AP22"/>
  <c r="AO22"/>
  <c r="BS21"/>
  <c r="BR21"/>
  <c r="BQ21"/>
  <c r="BP21"/>
  <c r="BO21"/>
  <c r="BN21"/>
  <c r="BM21"/>
  <c r="BL21"/>
  <c r="BK21"/>
  <c r="BJ21"/>
  <c r="BI21"/>
  <c r="BH21"/>
  <c r="BG21"/>
  <c r="BF21"/>
  <c r="BE21"/>
  <c r="BD21"/>
  <c r="BC21"/>
  <c r="BB21"/>
  <c r="BA21"/>
  <c r="AZ21"/>
  <c r="AY21"/>
  <c r="AX21"/>
  <c r="AW21"/>
  <c r="AV21"/>
  <c r="AU21"/>
  <c r="AT21"/>
  <c r="AS21"/>
  <c r="AR21"/>
  <c r="AQ21"/>
  <c r="AP21"/>
  <c r="AO21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AW20"/>
  <c r="AV20"/>
  <c r="AU20"/>
  <c r="AT20"/>
  <c r="AS20"/>
  <c r="AR20"/>
  <c r="AQ20"/>
  <c r="AP20"/>
  <c r="AO20"/>
  <c r="BS19"/>
  <c r="BR19"/>
  <c r="BQ19"/>
  <c r="BP19"/>
  <c r="BO19"/>
  <c r="BN19"/>
  <c r="BM19"/>
  <c r="BL19"/>
  <c r="BK19"/>
  <c r="BJ19"/>
  <c r="BI19"/>
  <c r="BH19"/>
  <c r="BG19"/>
  <c r="BF19"/>
  <c r="BE19"/>
  <c r="BD19"/>
  <c r="BC19"/>
  <c r="BB19"/>
  <c r="BA19"/>
  <c r="AZ19"/>
  <c r="AY19"/>
  <c r="AX19"/>
  <c r="AW19"/>
  <c r="AV19"/>
  <c r="AU19"/>
  <c r="AT19"/>
  <c r="AS19"/>
  <c r="AR19"/>
  <c r="AQ19"/>
  <c r="AP19"/>
  <c r="AO19"/>
  <c r="BS18"/>
  <c r="BR18"/>
  <c r="BQ18"/>
  <c r="BP18"/>
  <c r="BO18"/>
  <c r="BN18"/>
  <c r="BM18"/>
  <c r="BL18"/>
  <c r="BK18"/>
  <c r="BJ18"/>
  <c r="BI18"/>
  <c r="BH18"/>
  <c r="BG18"/>
  <c r="BF18"/>
  <c r="BE18"/>
  <c r="BD18"/>
  <c r="BC18"/>
  <c r="BB18"/>
  <c r="BA18"/>
  <c r="AZ18"/>
  <c r="AY18"/>
  <c r="AX18"/>
  <c r="AW18"/>
  <c r="AV18"/>
  <c r="AU18"/>
  <c r="AT18"/>
  <c r="AS18"/>
  <c r="AR18"/>
  <c r="AQ18"/>
  <c r="AP18"/>
  <c r="AO18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AY17"/>
  <c r="AX17"/>
  <c r="AW17"/>
  <c r="AV17"/>
  <c r="AU17"/>
  <c r="AT17"/>
  <c r="AS17"/>
  <c r="AR17"/>
  <c r="AQ17"/>
  <c r="AP17"/>
  <c r="AO17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B16"/>
  <c r="BA16"/>
  <c r="AZ16"/>
  <c r="AY16"/>
  <c r="AX16"/>
  <c r="AW16"/>
  <c r="AV16"/>
  <c r="AU16"/>
  <c r="AT16"/>
  <c r="AS16"/>
  <c r="AR16"/>
  <c r="AQ16"/>
  <c r="AP16"/>
  <c r="AO16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AY15"/>
  <c r="AX15"/>
  <c r="AW15"/>
  <c r="AV15"/>
  <c r="AU15"/>
  <c r="AT15"/>
  <c r="AS15"/>
  <c r="AR15"/>
  <c r="AQ15"/>
  <c r="AP15"/>
  <c r="AO15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Y14"/>
  <c r="AX14"/>
  <c r="AW14"/>
  <c r="AV14"/>
  <c r="AU14"/>
  <c r="AT14"/>
  <c r="AS14"/>
  <c r="AR14"/>
  <c r="AQ14"/>
  <c r="AP14"/>
  <c r="AO14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AT13"/>
  <c r="AS13"/>
  <c r="AR13"/>
  <c r="AQ13"/>
  <c r="AP13"/>
  <c r="AO13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T12"/>
  <c r="AS12"/>
  <c r="AR12"/>
  <c r="AQ12"/>
  <c r="AP12"/>
  <c r="AO12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BS9"/>
  <c r="BR9"/>
  <c r="BQ9"/>
  <c r="BP9"/>
  <c r="BO9"/>
  <c r="BN9"/>
  <c r="BM9"/>
  <c r="BL9"/>
  <c r="BK9"/>
  <c r="BJ9"/>
  <c r="BI9"/>
  <c r="BH9"/>
  <c r="BG9"/>
  <c r="BF9"/>
  <c r="BE9"/>
  <c r="BD9"/>
  <c r="BC9"/>
  <c r="BB9"/>
  <c r="BA9"/>
  <c r="AZ9"/>
  <c r="AY9"/>
  <c r="AX9"/>
  <c r="AW9"/>
  <c r="AV9"/>
  <c r="AU9"/>
  <c r="AT9"/>
  <c r="AS9"/>
  <c r="AR9"/>
  <c r="AQ9"/>
  <c r="AP9"/>
  <c r="AO9"/>
  <c r="BS8"/>
  <c r="BR8"/>
  <c r="BQ8"/>
  <c r="BP8"/>
  <c r="BO8"/>
  <c r="BN8"/>
  <c r="BM8"/>
  <c r="BL8"/>
  <c r="BK8"/>
  <c r="BJ8"/>
  <c r="BI8"/>
  <c r="BH8"/>
  <c r="BG8"/>
  <c r="BF8"/>
  <c r="BE8"/>
  <c r="BD8"/>
  <c r="BC8"/>
  <c r="BB8"/>
  <c r="BA8"/>
  <c r="AZ8"/>
  <c r="AY8"/>
  <c r="AX8"/>
  <c r="AW8"/>
  <c r="AV8"/>
  <c r="AU8"/>
  <c r="AT8"/>
  <c r="AS8"/>
  <c r="AR8"/>
  <c r="AQ8"/>
  <c r="AP8"/>
  <c r="AO8"/>
  <c r="BS7"/>
  <c r="BR7"/>
  <c r="BQ7"/>
  <c r="BP7"/>
  <c r="BO7"/>
  <c r="BN7"/>
  <c r="BM7"/>
  <c r="BL7"/>
  <c r="BK7"/>
  <c r="BJ7"/>
  <c r="BI7"/>
  <c r="BH7"/>
  <c r="BG7"/>
  <c r="BF7"/>
  <c r="BE7"/>
  <c r="BD7"/>
  <c r="BC7"/>
  <c r="BB7"/>
  <c r="BA7"/>
  <c r="AZ7"/>
  <c r="AY7"/>
  <c r="AX7"/>
  <c r="AW7"/>
  <c r="AV7"/>
  <c r="AU7"/>
  <c r="AT7"/>
  <c r="AS7"/>
  <c r="AR7"/>
  <c r="AQ7"/>
  <c r="AP7"/>
  <c r="AO7"/>
  <c r="BS6"/>
  <c r="BR6"/>
  <c r="BQ6"/>
  <c r="BP6"/>
  <c r="BO6"/>
  <c r="BN6"/>
  <c r="BM6"/>
  <c r="BL6"/>
  <c r="BK6"/>
  <c r="BJ6"/>
  <c r="BI6"/>
  <c r="BH6"/>
  <c r="BG6"/>
  <c r="BF6"/>
  <c r="BE6"/>
  <c r="BD6"/>
  <c r="BC6"/>
  <c r="BB6"/>
  <c r="BA6"/>
  <c r="AZ6"/>
  <c r="AY6"/>
  <c r="AX6"/>
  <c r="AW6"/>
  <c r="AV6"/>
  <c r="AU6"/>
  <c r="AT6"/>
  <c r="AS6"/>
  <c r="AR6"/>
  <c r="AQ6"/>
  <c r="AP6"/>
  <c r="AO6"/>
  <c r="BS5"/>
  <c r="BR5"/>
  <c r="BQ5"/>
  <c r="BP5"/>
  <c r="BO5"/>
  <c r="BN5"/>
  <c r="BM5"/>
  <c r="BL5"/>
  <c r="BK5"/>
  <c r="BJ5"/>
  <c r="BI5"/>
  <c r="BH5"/>
  <c r="BG5"/>
  <c r="BF5"/>
  <c r="BE5"/>
  <c r="BD5"/>
  <c r="BC5"/>
  <c r="BB5"/>
  <c r="BA5"/>
  <c r="AZ5"/>
  <c r="AY5"/>
  <c r="AX5"/>
  <c r="AW5"/>
  <c r="AV5"/>
  <c r="AU5"/>
  <c r="AT5"/>
  <c r="AS5"/>
  <c r="AR5"/>
  <c r="AQ5"/>
  <c r="AP5"/>
  <c r="AO5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BS3"/>
  <c r="BR3"/>
  <c r="BQ3"/>
  <c r="BP3"/>
  <c r="BO3"/>
  <c r="BN3"/>
  <c r="BM3"/>
  <c r="BL3"/>
  <c r="BK3"/>
  <c r="BJ3"/>
  <c r="BI3"/>
  <c r="BH3"/>
  <c r="BG3"/>
  <c r="BF3"/>
  <c r="BE3"/>
  <c r="BD3"/>
  <c r="BC3"/>
  <c r="BB3"/>
  <c r="BA3"/>
  <c r="AZ3"/>
  <c r="AY3"/>
  <c r="AX3"/>
  <c r="AW3"/>
  <c r="AV3"/>
  <c r="AU3"/>
  <c r="AT3"/>
  <c r="AS3"/>
  <c r="AR3"/>
  <c r="AQ3"/>
  <c r="AP3"/>
  <c r="AO3"/>
  <c r="A3"/>
  <c r="H79" i="37" l="1"/>
  <c r="F79"/>
  <c r="D79"/>
  <c r="B79"/>
  <c r="I79"/>
  <c r="G79"/>
  <c r="E79"/>
  <c r="Z19" i="28"/>
  <c r="Z4"/>
  <c r="Z16"/>
  <c r="Z2"/>
  <c r="Z83"/>
  <c r="Z81"/>
  <c r="Z79"/>
  <c r="Z77"/>
  <c r="Z74"/>
  <c r="Z72"/>
  <c r="Z69"/>
  <c r="Z67"/>
  <c r="Z62"/>
  <c r="Z57"/>
  <c r="Z55"/>
  <c r="Z53"/>
  <c r="Z50"/>
  <c r="Z48"/>
  <c r="Z46"/>
  <c r="Z44"/>
  <c r="Z38"/>
  <c r="Z35"/>
  <c r="Z33"/>
  <c r="Z21"/>
  <c r="Z15"/>
  <c r="Z13"/>
  <c r="Z10"/>
  <c r="Z8"/>
  <c r="Z5"/>
  <c r="Z64"/>
  <c r="Z22"/>
  <c r="Z25"/>
  <c r="Z59"/>
  <c r="Z60"/>
  <c r="Z58"/>
  <c r="Z84"/>
  <c r="Z82"/>
  <c r="Z80"/>
  <c r="Z78"/>
  <c r="Z75"/>
  <c r="Z73"/>
  <c r="Z71"/>
  <c r="Z68"/>
  <c r="Z63"/>
  <c r="Z61"/>
  <c r="Z56"/>
  <c r="Z51"/>
  <c r="Z49"/>
  <c r="Z47"/>
  <c r="Z45"/>
  <c r="Z43"/>
  <c r="Z41"/>
  <c r="Z39"/>
  <c r="Z36"/>
  <c r="Z34"/>
  <c r="Z30"/>
  <c r="Z28"/>
  <c r="Z26"/>
  <c r="Z20"/>
  <c r="Z17"/>
  <c r="Z14"/>
  <c r="AA14" s="1"/>
  <c r="Z11"/>
  <c r="Z9"/>
  <c r="Z6"/>
  <c r="Z3"/>
  <c r="Z24"/>
  <c r="Z23"/>
  <c r="Z12"/>
  <c r="K22" i="4"/>
  <c r="C185" i="7"/>
  <c r="C184"/>
  <c r="I3" i="15"/>
  <c r="T62" i="37" s="1"/>
  <c r="G92"/>
  <c r="T67"/>
  <c r="T63"/>
  <c r="T61"/>
  <c r="T59"/>
  <c r="T57"/>
  <c r="T55"/>
  <c r="T53"/>
  <c r="T51"/>
  <c r="T49"/>
  <c r="T47"/>
  <c r="T45"/>
  <c r="T43"/>
  <c r="T41"/>
  <c r="T39"/>
  <c r="T37"/>
  <c r="T35"/>
  <c r="T31"/>
  <c r="T29"/>
  <c r="T27"/>
  <c r="T19"/>
  <c r="T15"/>
  <c r="T13"/>
  <c r="T11"/>
  <c r="T7"/>
  <c r="T5"/>
  <c r="T68"/>
  <c r="T64"/>
  <c r="K79" s="1"/>
  <c r="T58"/>
  <c r="T56"/>
  <c r="T54"/>
  <c r="T52"/>
  <c r="T50"/>
  <c r="T48"/>
  <c r="T46"/>
  <c r="T44"/>
  <c r="T42"/>
  <c r="T40"/>
  <c r="T38"/>
  <c r="T36"/>
  <c r="T30"/>
  <c r="T26"/>
  <c r="T18"/>
  <c r="K99" s="1"/>
  <c r="T16"/>
  <c r="T14"/>
  <c r="T12"/>
  <c r="T10"/>
  <c r="K98" s="1"/>
  <c r="T8"/>
  <c r="T6"/>
  <c r="T4"/>
  <c r="I53" i="15"/>
  <c r="I49"/>
  <c r="I45"/>
  <c r="I41"/>
  <c r="I37"/>
  <c r="I33"/>
  <c r="I29"/>
  <c r="T25" i="37" s="1"/>
  <c r="K100" s="1"/>
  <c r="I25" i="15"/>
  <c r="T3" i="37" s="1"/>
  <c r="K96" s="1"/>
  <c r="I21" i="15"/>
  <c r="T23" i="37" s="1"/>
  <c r="K93" s="1"/>
  <c r="I17" i="15"/>
  <c r="T17" i="37" s="1"/>
  <c r="K89" s="1"/>
  <c r="I13" i="15"/>
  <c r="I9"/>
  <c r="T32" i="37" s="1"/>
  <c r="K83" s="1"/>
  <c r="I5" i="15"/>
  <c r="I14"/>
  <c r="I55"/>
  <c r="I51"/>
  <c r="I47"/>
  <c r="I43"/>
  <c r="I39"/>
  <c r="I35"/>
  <c r="I31"/>
  <c r="I27"/>
  <c r="I23"/>
  <c r="T2" i="37" s="1"/>
  <c r="K95" s="1"/>
  <c r="I19" i="15"/>
  <c r="T21" i="37" s="1"/>
  <c r="K92" s="1"/>
  <c r="I15" i="15"/>
  <c r="I11"/>
  <c r="I7"/>
  <c r="I54"/>
  <c r="I52"/>
  <c r="T33" i="37" s="1"/>
  <c r="I50" i="15"/>
  <c r="I48"/>
  <c r="I46"/>
  <c r="I44"/>
  <c r="I42"/>
  <c r="I40"/>
  <c r="I38"/>
  <c r="I36"/>
  <c r="I34"/>
  <c r="I32"/>
  <c r="I30"/>
  <c r="I28"/>
  <c r="I26"/>
  <c r="T9" i="37" s="1"/>
  <c r="K97" s="1"/>
  <c r="I24" i="15"/>
  <c r="I22"/>
  <c r="T24" i="37" s="1"/>
  <c r="K94" s="1"/>
  <c r="I20" i="15"/>
  <c r="T22" i="37" s="1"/>
  <c r="K91" s="1"/>
  <c r="I18" i="15"/>
  <c r="T20" i="37" s="1"/>
  <c r="K90" s="1"/>
  <c r="I16" i="15"/>
  <c r="I12"/>
  <c r="I10"/>
  <c r="I8"/>
  <c r="I6"/>
  <c r="I4"/>
  <c r="T28" i="37" s="1"/>
  <c r="K80" s="1"/>
  <c r="AR56" i="15"/>
  <c r="AQ56"/>
  <c r="B60"/>
  <c r="E34" i="37"/>
  <c r="J86" s="1"/>
  <c r="E313" i="21"/>
  <c r="E323"/>
  <c r="E311"/>
  <c r="E299"/>
  <c r="M299"/>
  <c r="E307"/>
  <c r="E317"/>
  <c r="E329"/>
  <c r="M298"/>
  <c r="L334"/>
  <c r="L332"/>
  <c r="L330"/>
  <c r="L328"/>
  <c r="L326"/>
  <c r="L324"/>
  <c r="L322"/>
  <c r="L320"/>
  <c r="L318"/>
  <c r="L316"/>
  <c r="L314"/>
  <c r="L312"/>
  <c r="L310"/>
  <c r="L308"/>
  <c r="L306"/>
  <c r="L304"/>
  <c r="L302"/>
  <c r="L300"/>
  <c r="L298"/>
  <c r="M335"/>
  <c r="M333"/>
  <c r="M331"/>
  <c r="M327"/>
  <c r="M323"/>
  <c r="M319"/>
  <c r="M315"/>
  <c r="M309"/>
  <c r="E309"/>
  <c r="E315"/>
  <c r="E321"/>
  <c r="E331"/>
  <c r="J311"/>
  <c r="J299"/>
  <c r="K299" s="1"/>
  <c r="L335"/>
  <c r="L333"/>
  <c r="L331"/>
  <c r="L329"/>
  <c r="L327"/>
  <c r="L325"/>
  <c r="L323"/>
  <c r="L321"/>
  <c r="L319"/>
  <c r="L317"/>
  <c r="L315"/>
  <c r="L313"/>
  <c r="L311"/>
  <c r="L309"/>
  <c r="L307"/>
  <c r="L305"/>
  <c r="L303"/>
  <c r="L301"/>
  <c r="L299"/>
  <c r="M334"/>
  <c r="M332"/>
  <c r="M330"/>
  <c r="M328"/>
  <c r="M326"/>
  <c r="M324"/>
  <c r="M322"/>
  <c r="M320"/>
  <c r="M318"/>
  <c r="M316"/>
  <c r="M314"/>
  <c r="M312"/>
  <c r="M310"/>
  <c r="M308"/>
  <c r="M306"/>
  <c r="M304"/>
  <c r="M302"/>
  <c r="M300"/>
  <c r="M325"/>
  <c r="M321"/>
  <c r="M317"/>
  <c r="M311"/>
  <c r="M307"/>
  <c r="M305"/>
  <c r="M303"/>
  <c r="M301"/>
  <c r="K335"/>
  <c r="K317"/>
  <c r="K313"/>
  <c r="E303"/>
  <c r="E305"/>
  <c r="E325"/>
  <c r="E333"/>
  <c r="J327"/>
  <c r="K327" s="1"/>
  <c r="J325"/>
  <c r="K325" s="1"/>
  <c r="K328"/>
  <c r="E327"/>
  <c r="E301"/>
  <c r="E297"/>
  <c r="E295"/>
  <c r="E293"/>
  <c r="E285"/>
  <c r="K333"/>
  <c r="K323"/>
  <c r="K334"/>
  <c r="E334"/>
  <c r="K331"/>
  <c r="K330"/>
  <c r="E324"/>
  <c r="K322"/>
  <c r="K321"/>
  <c r="E320"/>
  <c r="E319"/>
  <c r="J319"/>
  <c r="K319" s="1"/>
  <c r="C180" i="7"/>
  <c r="C27" i="11"/>
  <c r="C182" i="7"/>
  <c r="F34" i="37"/>
  <c r="C86"/>
  <c r="H86"/>
  <c r="F86"/>
  <c r="D86"/>
  <c r="I86"/>
  <c r="G86"/>
  <c r="E86"/>
  <c r="AS56" i="15"/>
  <c r="AO56"/>
  <c r="F25" i="37"/>
  <c r="M38" i="28"/>
  <c r="M40"/>
  <c r="M42"/>
  <c r="M49"/>
  <c r="M64"/>
  <c r="M71"/>
  <c r="M45"/>
  <c r="M34"/>
  <c r="M50"/>
  <c r="M72"/>
  <c r="M75"/>
  <c r="M46"/>
  <c r="M60"/>
  <c r="M68"/>
  <c r="M58"/>
  <c r="M39"/>
  <c r="M41"/>
  <c r="M43"/>
  <c r="M61"/>
  <c r="M63"/>
  <c r="M44"/>
  <c r="M73"/>
  <c r="M67"/>
  <c r="M47"/>
  <c r="M69"/>
  <c r="M65"/>
  <c r="M53"/>
  <c r="F4" i="32"/>
  <c r="T185" i="7"/>
  <c r="T184"/>
  <c r="T182"/>
  <c r="T180"/>
  <c r="T218"/>
  <c r="T216"/>
  <c r="T215"/>
  <c r="T214"/>
  <c r="T212"/>
  <c r="T210"/>
  <c r="T209"/>
  <c r="T208"/>
  <c r="T206"/>
  <c r="T204"/>
  <c r="T202"/>
  <c r="T200"/>
  <c r="T199"/>
  <c r="T198"/>
  <c r="AE5"/>
  <c r="AE12" s="1"/>
  <c r="AE14" s="1"/>
  <c r="AE19" s="1"/>
  <c r="AE26" s="1"/>
  <c r="AE31" s="1"/>
  <c r="AE32" s="1"/>
  <c r="AE33" s="1"/>
  <c r="AE35" s="1"/>
  <c r="AE40" s="1"/>
  <c r="AE42" s="1"/>
  <c r="AE43" s="1"/>
  <c r="AE102" s="1"/>
  <c r="AE9"/>
  <c r="AE123"/>
  <c r="AE128" s="1"/>
  <c r="AE131" s="1"/>
  <c r="AE132" s="1"/>
  <c r="AE145" s="1"/>
  <c r="AE146" s="1"/>
  <c r="AE171" s="1"/>
  <c r="AE173"/>
  <c r="AE115"/>
  <c r="AE83"/>
  <c r="AE24"/>
  <c r="AE25" s="1"/>
  <c r="AE174"/>
  <c r="AE175" s="1"/>
  <c r="AE101"/>
  <c r="AE122" s="1"/>
  <c r="AE21"/>
  <c r="AE50" s="1"/>
  <c r="AE155" s="1"/>
  <c r="AE133"/>
  <c r="AE134" s="1"/>
  <c r="AE150" s="1"/>
  <c r="AE151" s="1"/>
  <c r="AE156" s="1"/>
  <c r="AE157" s="1"/>
  <c r="AE158" s="1"/>
  <c r="AE161" s="1"/>
  <c r="AE162" s="1"/>
  <c r="AE165" s="1"/>
  <c r="AE166" s="1"/>
  <c r="AE153"/>
  <c r="AE163" s="1"/>
  <c r="AE164" s="1"/>
  <c r="AE105"/>
  <c r="AE81"/>
  <c r="AE91" s="1"/>
  <c r="AE97" s="1"/>
  <c r="AE142" s="1"/>
  <c r="AE143" s="1"/>
  <c r="AE141"/>
  <c r="AE79"/>
  <c r="AE95"/>
  <c r="AE139" s="1"/>
  <c r="AE140" s="1"/>
  <c r="AE149"/>
  <c r="AE61"/>
  <c r="AE137" s="1"/>
  <c r="AE119"/>
  <c r="AE152" s="1"/>
  <c r="AE154" s="1"/>
  <c r="AE170" s="1"/>
  <c r="AE167"/>
  <c r="AE168" s="1"/>
  <c r="AE106"/>
  <c r="AE107" s="1"/>
  <c r="AE46"/>
  <c r="AE144" s="1"/>
  <c r="AE38"/>
  <c r="AE39" s="1"/>
  <c r="AE7"/>
  <c r="AE11" s="1"/>
  <c r="AE15" s="1"/>
  <c r="AE17" s="1"/>
  <c r="AE20" s="1"/>
  <c r="AE27" s="1"/>
  <c r="AE41" s="1"/>
  <c r="AE44" s="1"/>
  <c r="AE100" s="1"/>
  <c r="AE110" s="1"/>
  <c r="AE120" s="1"/>
  <c r="AE147" s="1"/>
  <c r="N5"/>
  <c r="N169" a="1"/>
  <c r="N159" a="1"/>
  <c r="N135" a="1"/>
  <c r="N129" a="1"/>
  <c r="N127" a="1"/>
  <c r="N121" a="1"/>
  <c r="N113" a="1"/>
  <c r="N103" a="1"/>
  <c r="N99" a="1"/>
  <c r="N87" a="1"/>
  <c r="N77" a="1"/>
  <c r="N75" a="1"/>
  <c r="N73" a="1"/>
  <c r="N71" a="1"/>
  <c r="N69" a="1"/>
  <c r="N67" a="1"/>
  <c r="N65" a="1"/>
  <c r="N63" a="1"/>
  <c r="N59" a="1"/>
  <c r="N57" a="1"/>
  <c r="N55" a="1"/>
  <c r="N53" a="1"/>
  <c r="N51" a="1"/>
  <c r="N47" a="1"/>
  <c r="N45" a="1"/>
  <c r="N37" a="1"/>
  <c r="N23" a="1"/>
  <c r="N13" a="1"/>
  <c r="N5" a="1"/>
  <c r="N3" a="1"/>
  <c r="AE124"/>
  <c r="AE76"/>
  <c r="AE88" s="1"/>
  <c r="AE89" s="1"/>
  <c r="AE62"/>
  <c r="AE74" s="1"/>
  <c r="AE84" s="1"/>
  <c r="AE85" s="1"/>
  <c r="AE92" s="1"/>
  <c r="AE93" s="1"/>
  <c r="AE138" s="1"/>
  <c r="AE60"/>
  <c r="AE48"/>
  <c r="AE49" s="1"/>
  <c r="AE108" s="1"/>
  <c r="AE109" s="1"/>
  <c r="AE111" s="1"/>
  <c r="AE112" s="1"/>
  <c r="AE36"/>
  <c r="AE34"/>
  <c r="AE28"/>
  <c r="AE29" s="1"/>
  <c r="AE30" s="1"/>
  <c r="AE117" s="1"/>
  <c r="AE118" s="1"/>
  <c r="AE125" s="1"/>
  <c r="AE126" s="1"/>
  <c r="N2" a="1"/>
  <c r="N2" s="1"/>
  <c r="N172" a="1"/>
  <c r="N116" a="1"/>
  <c r="N98" a="1"/>
  <c r="N82" a="1"/>
  <c r="N82" s="1"/>
  <c r="N22" a="1"/>
  <c r="N18" a="1"/>
  <c r="N18" s="1"/>
  <c r="N16" a="1"/>
  <c r="N10" a="1"/>
  <c r="N10" s="1"/>
  <c r="N8" a="1"/>
  <c r="N6" a="1"/>
  <c r="N6" s="1"/>
  <c r="N4" a="1"/>
  <c r="N203"/>
  <c r="N202"/>
  <c r="N4"/>
  <c r="N330"/>
  <c r="N329"/>
  <c r="N328"/>
  <c r="N327"/>
  <c r="N326"/>
  <c r="N325"/>
  <c r="N324"/>
  <c r="N323"/>
  <c r="N322"/>
  <c r="N321"/>
  <c r="N320"/>
  <c r="N319"/>
  <c r="N318"/>
  <c r="N317"/>
  <c r="N316"/>
  <c r="N315"/>
  <c r="N314"/>
  <c r="N313"/>
  <c r="N312"/>
  <c r="N311"/>
  <c r="N310"/>
  <c r="N309"/>
  <c r="N210"/>
  <c r="N209"/>
  <c r="N208"/>
  <c r="N207"/>
  <c r="N206"/>
  <c r="N205"/>
  <c r="N204"/>
  <c r="N177"/>
  <c r="N175"/>
  <c r="N173"/>
  <c r="N171"/>
  <c r="N169"/>
  <c r="N167"/>
  <c r="N165"/>
  <c r="N163"/>
  <c r="N161"/>
  <c r="N159"/>
  <c r="N157"/>
  <c r="N155"/>
  <c r="N153"/>
  <c r="N151"/>
  <c r="N149"/>
  <c r="N147"/>
  <c r="N145"/>
  <c r="N143"/>
  <c r="N141"/>
  <c r="N139"/>
  <c r="N137"/>
  <c r="N135"/>
  <c r="N133"/>
  <c r="N131"/>
  <c r="N129"/>
  <c r="N127"/>
  <c r="N125"/>
  <c r="N123"/>
  <c r="N121"/>
  <c r="N119"/>
  <c r="N117"/>
  <c r="N115"/>
  <c r="N113"/>
  <c r="N111"/>
  <c r="N109"/>
  <c r="N107"/>
  <c r="N105"/>
  <c r="N103"/>
  <c r="N101"/>
  <c r="N99"/>
  <c r="N97"/>
  <c r="N95"/>
  <c r="N93"/>
  <c r="N91"/>
  <c r="N89"/>
  <c r="N87"/>
  <c r="N85"/>
  <c r="N83"/>
  <c r="N81"/>
  <c r="N79"/>
  <c r="N77"/>
  <c r="N75"/>
  <c r="N73"/>
  <c r="N71"/>
  <c r="N69"/>
  <c r="N67"/>
  <c r="N65"/>
  <c r="N63"/>
  <c r="N61"/>
  <c r="N59"/>
  <c r="N57"/>
  <c r="N55"/>
  <c r="N53"/>
  <c r="N51"/>
  <c r="N49"/>
  <c r="N47"/>
  <c r="N45"/>
  <c r="N43"/>
  <c r="N41"/>
  <c r="N39"/>
  <c r="N37"/>
  <c r="N35"/>
  <c r="N33"/>
  <c r="N31"/>
  <c r="N29"/>
  <c r="N27"/>
  <c r="N25"/>
  <c r="N23"/>
  <c r="N21"/>
  <c r="N19"/>
  <c r="N17"/>
  <c r="N15"/>
  <c r="N13"/>
  <c r="N11"/>
  <c r="N9"/>
  <c r="N7"/>
  <c r="N3"/>
  <c r="N176"/>
  <c r="N174"/>
  <c r="N172"/>
  <c r="N170"/>
  <c r="N168"/>
  <c r="N166"/>
  <c r="N164"/>
  <c r="N162"/>
  <c r="N160"/>
  <c r="N158"/>
  <c r="N156"/>
  <c r="N154"/>
  <c r="N152"/>
  <c r="N150"/>
  <c r="N148"/>
  <c r="N146"/>
  <c r="N144"/>
  <c r="N142"/>
  <c r="N140"/>
  <c r="N138"/>
  <c r="N136"/>
  <c r="N134"/>
  <c r="N132"/>
  <c r="N130"/>
  <c r="N128"/>
  <c r="N126"/>
  <c r="N124"/>
  <c r="N122"/>
  <c r="N120"/>
  <c r="N118"/>
  <c r="N116"/>
  <c r="N114"/>
  <c r="N112"/>
  <c r="N110"/>
  <c r="N108"/>
  <c r="N106"/>
  <c r="N104"/>
  <c r="N102"/>
  <c r="N100"/>
  <c r="N98"/>
  <c r="N96"/>
  <c r="N94"/>
  <c r="N92"/>
  <c r="N90"/>
  <c r="N88"/>
  <c r="N86"/>
  <c r="N84"/>
  <c r="N80"/>
  <c r="N78"/>
  <c r="N76"/>
  <c r="N74"/>
  <c r="N72"/>
  <c r="N70"/>
  <c r="N68"/>
  <c r="N66"/>
  <c r="N64"/>
  <c r="N62"/>
  <c r="N60"/>
  <c r="N58"/>
  <c r="N56"/>
  <c r="N54"/>
  <c r="N52"/>
  <c r="N50"/>
  <c r="N48"/>
  <c r="N46"/>
  <c r="N44"/>
  <c r="N42"/>
  <c r="N40"/>
  <c r="N38"/>
  <c r="N36"/>
  <c r="N34"/>
  <c r="N32"/>
  <c r="N30"/>
  <c r="N28"/>
  <c r="N26"/>
  <c r="N24"/>
  <c r="N22"/>
  <c r="N20"/>
  <c r="N16"/>
  <c r="N14"/>
  <c r="N12"/>
  <c r="N8"/>
  <c r="C177"/>
  <c r="T177" s="1"/>
  <c r="C178"/>
  <c r="T178" s="1"/>
  <c r="I100" i="37"/>
  <c r="K315" i="21"/>
  <c r="K314"/>
  <c r="K312"/>
  <c r="K311"/>
  <c r="K309"/>
  <c r="K307"/>
  <c r="K306"/>
  <c r="E306"/>
  <c r="K305"/>
  <c r="W20" i="22" s="1"/>
  <c r="T20"/>
  <c r="E302" i="21"/>
  <c r="J302"/>
  <c r="K302" s="1"/>
  <c r="K301"/>
  <c r="C176" i="7"/>
  <c r="T176" s="1"/>
  <c r="S29" i="15"/>
  <c r="E25" i="37"/>
  <c r="F18" i="8"/>
  <c r="V65" i="28"/>
  <c r="K78" i="37"/>
  <c r="K75"/>
  <c r="K88"/>
  <c r="K87"/>
  <c r="K101"/>
  <c r="E77" i="8"/>
  <c r="AB60" i="28" s="1"/>
  <c r="E75" i="8"/>
  <c r="E73"/>
  <c r="AB4" i="28" s="1"/>
  <c r="E69" i="8"/>
  <c r="E67"/>
  <c r="AB13" i="28" s="1"/>
  <c r="E65" i="8"/>
  <c r="E63"/>
  <c r="E57"/>
  <c r="E55"/>
  <c r="AB81" i="28" s="1"/>
  <c r="E53" i="8"/>
  <c r="E51"/>
  <c r="E49"/>
  <c r="E47"/>
  <c r="E45"/>
  <c r="E43"/>
  <c r="E41"/>
  <c r="E39"/>
  <c r="AB57" i="28" s="1"/>
  <c r="E37" i="8"/>
  <c r="E35"/>
  <c r="AB59" i="28" s="1"/>
  <c r="E31" i="8"/>
  <c r="E25"/>
  <c r="E23"/>
  <c r="E19"/>
  <c r="E15"/>
  <c r="F77"/>
  <c r="U116" i="7" s="1"/>
  <c r="F75" i="8"/>
  <c r="F73"/>
  <c r="F69"/>
  <c r="F67"/>
  <c r="AC14" i="28" s="1"/>
  <c r="F65" i="8"/>
  <c r="F63"/>
  <c r="U23" i="7" s="1"/>
  <c r="F57" i="8"/>
  <c r="F55"/>
  <c r="AC81" i="28" s="1"/>
  <c r="F53" i="8"/>
  <c r="U124" i="7" s="1"/>
  <c r="F51" i="8"/>
  <c r="F49"/>
  <c r="F47"/>
  <c r="U34" i="7" s="1"/>
  <c r="F45" i="8"/>
  <c r="U13" i="7" s="1"/>
  <c r="F43" i="8"/>
  <c r="F41"/>
  <c r="F39"/>
  <c r="AC57" i="28" s="1"/>
  <c r="F37" i="8"/>
  <c r="F35"/>
  <c r="F31"/>
  <c r="F25"/>
  <c r="F23"/>
  <c r="F19"/>
  <c r="F15"/>
  <c r="F78"/>
  <c r="E76"/>
  <c r="E74"/>
  <c r="AB61" i="28" s="1"/>
  <c r="E68" i="8"/>
  <c r="E64"/>
  <c r="AB19" i="28" s="1"/>
  <c r="E62" i="8"/>
  <c r="E60"/>
  <c r="AB12" i="28" s="1"/>
  <c r="E50" i="8"/>
  <c r="E48"/>
  <c r="AB80" i="28" s="1"/>
  <c r="E44" i="8"/>
  <c r="E42"/>
  <c r="AB70" i="28" s="1"/>
  <c r="E40" i="8"/>
  <c r="E36"/>
  <c r="AB52" i="28" s="1"/>
  <c r="E32" i="8"/>
  <c r="E30"/>
  <c r="E22"/>
  <c r="E20"/>
  <c r="AB7" i="28" s="1"/>
  <c r="E18" i="8"/>
  <c r="F76"/>
  <c r="U36" i="7" s="1"/>
  <c r="F74" i="8"/>
  <c r="F68"/>
  <c r="AC3" i="28" s="1"/>
  <c r="F64" i="8"/>
  <c r="U99" i="7" s="1"/>
  <c r="F62" i="8"/>
  <c r="F60"/>
  <c r="U18" i="7" s="1"/>
  <c r="F50" i="8"/>
  <c r="F48"/>
  <c r="F44"/>
  <c r="U16" i="7" s="1"/>
  <c r="F42" i="8"/>
  <c r="F40"/>
  <c r="AC84" i="28" s="1"/>
  <c r="F36" i="8"/>
  <c r="F32"/>
  <c r="F30"/>
  <c r="F22"/>
  <c r="AC64" i="28" s="1"/>
  <c r="F20" i="8"/>
  <c r="AC65" i="28"/>
  <c r="E78" i="8"/>
  <c r="AB65" i="28" s="1"/>
  <c r="D175" i="7"/>
  <c r="T175" s="1"/>
  <c r="L44" i="4"/>
  <c r="L21"/>
  <c r="H56" i="11"/>
  <c r="H48"/>
  <c r="H49" s="1"/>
  <c r="H57" s="1"/>
  <c r="H58" s="1"/>
  <c r="H60" s="1"/>
  <c r="H66" s="1"/>
  <c r="H67" s="1"/>
  <c r="H68" s="1"/>
  <c r="H69" s="1"/>
  <c r="H44"/>
  <c r="H47" s="1"/>
  <c r="H50" s="1"/>
  <c r="H51" s="1"/>
  <c r="H52" s="1"/>
  <c r="H53" s="1"/>
  <c r="H61" s="1"/>
  <c r="H62" s="1"/>
  <c r="H63" s="1"/>
  <c r="H65" s="1"/>
  <c r="H70" s="1"/>
  <c r="Y175" i="7"/>
  <c r="Y174"/>
  <c r="W174" s="1"/>
  <c r="C174"/>
  <c r="T174" s="1"/>
  <c r="X170"/>
  <c r="Y184"/>
  <c r="Y182"/>
  <c r="W182" s="1"/>
  <c r="Y180"/>
  <c r="W180" s="1"/>
  <c r="Y178"/>
  <c r="Y176"/>
  <c r="Y172"/>
  <c r="W172" s="1"/>
  <c r="X169"/>
  <c r="Y185"/>
  <c r="W185" s="1"/>
  <c r="L32" i="54" s="1"/>
  <c r="Y177" i="7"/>
  <c r="W177" s="1"/>
  <c r="Y173"/>
  <c r="W173" s="1"/>
  <c r="F36" i="37"/>
  <c r="X20" i="22"/>
  <c r="C20"/>
  <c r="E281" i="21"/>
  <c r="M286"/>
  <c r="E287"/>
  <c r="E289"/>
  <c r="E291"/>
  <c r="L297"/>
  <c r="L295"/>
  <c r="L293"/>
  <c r="L291"/>
  <c r="L289"/>
  <c r="L287"/>
  <c r="L285"/>
  <c r="M297"/>
  <c r="M295"/>
  <c r="M293"/>
  <c r="M291"/>
  <c r="M289"/>
  <c r="M287"/>
  <c r="M285"/>
  <c r="E286"/>
  <c r="E282"/>
  <c r="E270"/>
  <c r="L296"/>
  <c r="L294"/>
  <c r="L292"/>
  <c r="L290"/>
  <c r="L288"/>
  <c r="L286"/>
  <c r="M296"/>
  <c r="M294"/>
  <c r="M292"/>
  <c r="M290"/>
  <c r="M288"/>
  <c r="J290"/>
  <c r="K290" s="1"/>
  <c r="Z48" i="22"/>
  <c r="AD48"/>
  <c r="AF48"/>
  <c r="AH48"/>
  <c r="AJ48"/>
  <c r="AL48"/>
  <c r="AN48"/>
  <c r="AP48"/>
  <c r="AR48"/>
  <c r="AT48"/>
  <c r="AV48"/>
  <c r="AX48"/>
  <c r="AZ48"/>
  <c r="Y48"/>
  <c r="AA48"/>
  <c r="AC48"/>
  <c r="AG48"/>
  <c r="AI48"/>
  <c r="AK48"/>
  <c r="AM48"/>
  <c r="AO48"/>
  <c r="AQ48"/>
  <c r="AS48"/>
  <c r="AU48"/>
  <c r="AW48"/>
  <c r="AY48"/>
  <c r="BA48"/>
  <c r="BC48"/>
  <c r="M48"/>
  <c r="D8" i="7"/>
  <c r="Z8" s="1"/>
  <c r="D22"/>
  <c r="Y22" s="1"/>
  <c r="E283" i="21"/>
  <c r="J281"/>
  <c r="K281" s="1"/>
  <c r="E266"/>
  <c r="L283"/>
  <c r="L281"/>
  <c r="L279"/>
  <c r="L277"/>
  <c r="M283"/>
  <c r="M281"/>
  <c r="M279"/>
  <c r="L284"/>
  <c r="L282"/>
  <c r="L280"/>
  <c r="L278"/>
  <c r="L276"/>
  <c r="M284"/>
  <c r="M282"/>
  <c r="M280"/>
  <c r="M278"/>
  <c r="K275"/>
  <c r="K284"/>
  <c r="C16" i="7"/>
  <c r="Z16" s="1"/>
  <c r="D40"/>
  <c r="Y40" s="1"/>
  <c r="C44"/>
  <c r="E284" i="21"/>
  <c r="AE48" i="22"/>
  <c r="J282" i="21"/>
  <c r="K282" s="1"/>
  <c r="E279"/>
  <c r="J280"/>
  <c r="J276"/>
  <c r="K276" s="1"/>
  <c r="J266"/>
  <c r="E278"/>
  <c r="E280"/>
  <c r="K277"/>
  <c r="E276"/>
  <c r="E272"/>
  <c r="E268"/>
  <c r="BB48" i="22"/>
  <c r="D4" i="7"/>
  <c r="AA4" s="1"/>
  <c r="C12"/>
  <c r="T12" s="1"/>
  <c r="D18"/>
  <c r="C28"/>
  <c r="D30"/>
  <c r="C36"/>
  <c r="T36" s="1"/>
  <c r="AA248"/>
  <c r="AA242"/>
  <c r="AA240"/>
  <c r="AA232"/>
  <c r="AA229"/>
  <c r="AA225"/>
  <c r="AA223"/>
  <c r="AA220"/>
  <c r="AA216"/>
  <c r="AA215"/>
  <c r="AA210"/>
  <c r="AA208"/>
  <c r="AA206"/>
  <c r="AA200"/>
  <c r="AA199"/>
  <c r="AA196"/>
  <c r="AA194"/>
  <c r="AA190"/>
  <c r="AA189"/>
  <c r="AA186"/>
  <c r="AA184"/>
  <c r="Z11" i="30" s="1"/>
  <c r="AA180" i="7"/>
  <c r="Y94"/>
  <c r="AA245"/>
  <c r="AA243"/>
  <c r="AA237"/>
  <c r="AA235"/>
  <c r="AA227"/>
  <c r="AA226"/>
  <c r="AA222"/>
  <c r="AA221"/>
  <c r="AA218"/>
  <c r="AA214"/>
  <c r="AA212"/>
  <c r="AA209"/>
  <c r="AA204"/>
  <c r="AA202"/>
  <c r="AA198"/>
  <c r="AA197"/>
  <c r="AA193"/>
  <c r="AA192"/>
  <c r="AA188"/>
  <c r="AA185"/>
  <c r="AA182"/>
  <c r="D90"/>
  <c r="W90" s="1"/>
  <c r="T16" i="30" s="1"/>
  <c r="X98" i="7"/>
  <c r="X96"/>
  <c r="X94"/>
  <c r="X92"/>
  <c r="Y84"/>
  <c r="X97"/>
  <c r="X95"/>
  <c r="X93"/>
  <c r="I52" i="30"/>
  <c r="D91" i="7"/>
  <c r="W91" s="1"/>
  <c r="T18" i="30" s="1"/>
  <c r="D171" i="7"/>
  <c r="T171" s="1"/>
  <c r="AA389"/>
  <c r="AA383"/>
  <c r="AA377"/>
  <c r="AA369"/>
  <c r="AA360"/>
  <c r="AA355"/>
  <c r="AA353"/>
  <c r="AA348"/>
  <c r="AA342"/>
  <c r="AA339"/>
  <c r="AA336"/>
  <c r="AA331"/>
  <c r="AA325"/>
  <c r="AA320"/>
  <c r="AA313"/>
  <c r="AA311"/>
  <c r="AA304"/>
  <c r="AA299"/>
  <c r="AA296"/>
  <c r="Z293"/>
  <c r="Z289"/>
  <c r="Z283"/>
  <c r="Z277"/>
  <c r="Z272"/>
  <c r="Z263"/>
  <c r="Z257"/>
  <c r="Z252"/>
  <c r="Z248"/>
  <c r="Z243"/>
  <c r="Z240"/>
  <c r="Z235"/>
  <c r="Z229"/>
  <c r="Z226"/>
  <c r="Z223"/>
  <c r="Z221"/>
  <c r="Z218"/>
  <c r="Z215"/>
  <c r="Z212"/>
  <c r="Z209"/>
  <c r="Z206"/>
  <c r="Z202"/>
  <c r="Z199"/>
  <c r="Z197"/>
  <c r="Z194"/>
  <c r="Z192"/>
  <c r="Z189"/>
  <c r="Z186"/>
  <c r="X186" s="1"/>
  <c r="Z184"/>
  <c r="Y11" i="30" s="1"/>
  <c r="Z180" i="7"/>
  <c r="AA391"/>
  <c r="AA385"/>
  <c r="AA381"/>
  <c r="AA373"/>
  <c r="AA363"/>
  <c r="AA359"/>
  <c r="AA354"/>
  <c r="AA351"/>
  <c r="AA343"/>
  <c r="AA340"/>
  <c r="AA337"/>
  <c r="AA335"/>
  <c r="AA329"/>
  <c r="AA321"/>
  <c r="AA319"/>
  <c r="AA312"/>
  <c r="AA305"/>
  <c r="AA303"/>
  <c r="AA297"/>
  <c r="AA295"/>
  <c r="D387"/>
  <c r="AA387" s="1"/>
  <c r="D366"/>
  <c r="AA366" s="1"/>
  <c r="D352"/>
  <c r="AA352" s="1"/>
  <c r="D345"/>
  <c r="AA345" s="1"/>
  <c r="D330"/>
  <c r="AA330" s="1"/>
  <c r="D324"/>
  <c r="AA324" s="1"/>
  <c r="D308"/>
  <c r="AA308" s="1"/>
  <c r="D291"/>
  <c r="Z291" s="1"/>
  <c r="D282"/>
  <c r="AA282" s="1"/>
  <c r="D276"/>
  <c r="AA276" s="1"/>
  <c r="D270"/>
  <c r="AA270" s="1"/>
  <c r="D261"/>
  <c r="Z261" s="1"/>
  <c r="D255"/>
  <c r="Z255" s="1"/>
  <c r="D247"/>
  <c r="AA247" s="1"/>
  <c r="D239"/>
  <c r="AA239" s="1"/>
  <c r="D233"/>
  <c r="AA233" s="1"/>
  <c r="D228"/>
  <c r="AA228" s="1"/>
  <c r="D217"/>
  <c r="AA217" s="1"/>
  <c r="D211"/>
  <c r="AA211" s="1"/>
  <c r="D205"/>
  <c r="AA205" s="1"/>
  <c r="D201"/>
  <c r="AA201" s="1"/>
  <c r="D191"/>
  <c r="AA191" s="1"/>
  <c r="D183"/>
  <c r="D179"/>
  <c r="T179" s="1"/>
  <c r="Z290"/>
  <c r="Z286"/>
  <c r="Z281"/>
  <c r="Z275"/>
  <c r="Z267"/>
  <c r="Z259"/>
  <c r="Z253"/>
  <c r="Z251"/>
  <c r="Z245"/>
  <c r="Z242"/>
  <c r="Z237"/>
  <c r="Z232"/>
  <c r="Z227"/>
  <c r="Z225"/>
  <c r="Z222"/>
  <c r="Z220"/>
  <c r="Z216"/>
  <c r="Z214"/>
  <c r="Z210"/>
  <c r="Z208"/>
  <c r="Z204"/>
  <c r="Z200"/>
  <c r="Z198"/>
  <c r="Z196"/>
  <c r="Z193"/>
  <c r="Z190"/>
  <c r="Z188"/>
  <c r="Z185"/>
  <c r="X185" s="1"/>
  <c r="Z182"/>
  <c r="Z578"/>
  <c r="Z577"/>
  <c r="Z576"/>
  <c r="Z575"/>
  <c r="Z574"/>
  <c r="Z573"/>
  <c r="Z572"/>
  <c r="Z571"/>
  <c r="Z570"/>
  <c r="Z569"/>
  <c r="Z568"/>
  <c r="Z567"/>
  <c r="Z566"/>
  <c r="Z565"/>
  <c r="Z564"/>
  <c r="Z563"/>
  <c r="Z562"/>
  <c r="Z561"/>
  <c r="Z560"/>
  <c r="Z559"/>
  <c r="Z558"/>
  <c r="Z557"/>
  <c r="Z556"/>
  <c r="Z555"/>
  <c r="Z554"/>
  <c r="Z553"/>
  <c r="Z552"/>
  <c r="Z551"/>
  <c r="Z550"/>
  <c r="Z549"/>
  <c r="Z548"/>
  <c r="Z547"/>
  <c r="Z546"/>
  <c r="Z545"/>
  <c r="Z544"/>
  <c r="Z543"/>
  <c r="Z542"/>
  <c r="Z541"/>
  <c r="Z540"/>
  <c r="Z539"/>
  <c r="Z538"/>
  <c r="Z537"/>
  <c r="Z536"/>
  <c r="Z535"/>
  <c r="Z534"/>
  <c r="Z533"/>
  <c r="Z532"/>
  <c r="Z531"/>
  <c r="Z530"/>
  <c r="Z529"/>
  <c r="Z528"/>
  <c r="Z527"/>
  <c r="Z526"/>
  <c r="Z525"/>
  <c r="Z524"/>
  <c r="Z523"/>
  <c r="Z522"/>
  <c r="Z521"/>
  <c r="Z520"/>
  <c r="Z519"/>
  <c r="Z518"/>
  <c r="Z517"/>
  <c r="Z516"/>
  <c r="Z515"/>
  <c r="Z514"/>
  <c r="Z513"/>
  <c r="Z512"/>
  <c r="Z511"/>
  <c r="Z510"/>
  <c r="Z509"/>
  <c r="Z508"/>
  <c r="Z507"/>
  <c r="Z506"/>
  <c r="Z505"/>
  <c r="Z504"/>
  <c r="Z503"/>
  <c r="Z502"/>
  <c r="Z501"/>
  <c r="Z500"/>
  <c r="Z499"/>
  <c r="Z498"/>
  <c r="Z497"/>
  <c r="Z496"/>
  <c r="Z495"/>
  <c r="Z494"/>
  <c r="Z493"/>
  <c r="Z492"/>
  <c r="Z491"/>
  <c r="Z490"/>
  <c r="Z489"/>
  <c r="Z488"/>
  <c r="Z487"/>
  <c r="Z486"/>
  <c r="Z485"/>
  <c r="Z484"/>
  <c r="Z483"/>
  <c r="Z482"/>
  <c r="Z481"/>
  <c r="Z480"/>
  <c r="Z479"/>
  <c r="Z478"/>
  <c r="Z477"/>
  <c r="Z476"/>
  <c r="Z475"/>
  <c r="Z474"/>
  <c r="Z473"/>
  <c r="Z472"/>
  <c r="Z471"/>
  <c r="Z470"/>
  <c r="Z469"/>
  <c r="Z468"/>
  <c r="Z467"/>
  <c r="Z466"/>
  <c r="Z465"/>
  <c r="Z464"/>
  <c r="Z463"/>
  <c r="Z462"/>
  <c r="Z461"/>
  <c r="Z460"/>
  <c r="Z459"/>
  <c r="Z458"/>
  <c r="Z457"/>
  <c r="Z456"/>
  <c r="Z455"/>
  <c r="Z454"/>
  <c r="Z453"/>
  <c r="Z452"/>
  <c r="Z451"/>
  <c r="Z450"/>
  <c r="Z449"/>
  <c r="Z448"/>
  <c r="Z447"/>
  <c r="Z446"/>
  <c r="Z445"/>
  <c r="Z444"/>
  <c r="Z443"/>
  <c r="Z442"/>
  <c r="Z441"/>
  <c r="Z440"/>
  <c r="Z439"/>
  <c r="Z438"/>
  <c r="Z437"/>
  <c r="Z436"/>
  <c r="Z435"/>
  <c r="Z434"/>
  <c r="Z433"/>
  <c r="Z432"/>
  <c r="Z431"/>
  <c r="Z430"/>
  <c r="Z429"/>
  <c r="Z428"/>
  <c r="Z427"/>
  <c r="Z426"/>
  <c r="Z425"/>
  <c r="Z424"/>
  <c r="Z423"/>
  <c r="Z422"/>
  <c r="Z421"/>
  <c r="Z420"/>
  <c r="Z419"/>
  <c r="Z418"/>
  <c r="Z417"/>
  <c r="Z416"/>
  <c r="Z415"/>
  <c r="Z414"/>
  <c r="Z413"/>
  <c r="Z412"/>
  <c r="Z411"/>
  <c r="Z410"/>
  <c r="Z409"/>
  <c r="Z408"/>
  <c r="Z407"/>
  <c r="Z406"/>
  <c r="Z405"/>
  <c r="Z404"/>
  <c r="Z403"/>
  <c r="Z402"/>
  <c r="Z401"/>
  <c r="Z400"/>
  <c r="Z399"/>
  <c r="Z398"/>
  <c r="Z397"/>
  <c r="Z396"/>
  <c r="Z395"/>
  <c r="Z394"/>
  <c r="Z393"/>
  <c r="Z391"/>
  <c r="Z389"/>
  <c r="Z385"/>
  <c r="Z383"/>
  <c r="Z381"/>
  <c r="Z377"/>
  <c r="Z373"/>
  <c r="Z369"/>
  <c r="Z363"/>
  <c r="Z360"/>
  <c r="Z359"/>
  <c r="Z355"/>
  <c r="Z354"/>
  <c r="Z353"/>
  <c r="Z351"/>
  <c r="Z348"/>
  <c r="Z343"/>
  <c r="Z342"/>
  <c r="Z340"/>
  <c r="Z339"/>
  <c r="Z337"/>
  <c r="Z336"/>
  <c r="Z335"/>
  <c r="Z331"/>
  <c r="Z329"/>
  <c r="Z325"/>
  <c r="Z324"/>
  <c r="Z321"/>
  <c r="Z320"/>
  <c r="Z319"/>
  <c r="Z313"/>
  <c r="Z312"/>
  <c r="Z311"/>
  <c r="Z305"/>
  <c r="Z304"/>
  <c r="Z303"/>
  <c r="Z299"/>
  <c r="Z297"/>
  <c r="Z296"/>
  <c r="Z295"/>
  <c r="AA290"/>
  <c r="AA286"/>
  <c r="AA272"/>
  <c r="AA252"/>
  <c r="D379"/>
  <c r="AA379" s="1"/>
  <c r="D358"/>
  <c r="AA358" s="1"/>
  <c r="D349"/>
  <c r="Z349" s="1"/>
  <c r="D333"/>
  <c r="Z333" s="1"/>
  <c r="D326"/>
  <c r="AA326" s="1"/>
  <c r="D316"/>
  <c r="AA316" s="1"/>
  <c r="D300"/>
  <c r="AA300" s="1"/>
  <c r="D285"/>
  <c r="Z285" s="1"/>
  <c r="D279"/>
  <c r="Z279" s="1"/>
  <c r="D273"/>
  <c r="Z273" s="1"/>
  <c r="D264"/>
  <c r="AA264" s="1"/>
  <c r="D258"/>
  <c r="Z258" s="1"/>
  <c r="D250"/>
  <c r="Z250" s="1"/>
  <c r="D241"/>
  <c r="Z241" s="1"/>
  <c r="D236"/>
  <c r="AA236" s="1"/>
  <c r="D231"/>
  <c r="Z231" s="1"/>
  <c r="D219"/>
  <c r="Z219" s="1"/>
  <c r="D213"/>
  <c r="Z213" s="1"/>
  <c r="D207"/>
  <c r="Z207" s="1"/>
  <c r="D203"/>
  <c r="Z203" s="1"/>
  <c r="D195"/>
  <c r="Z195" s="1"/>
  <c r="D187"/>
  <c r="D181"/>
  <c r="C173"/>
  <c r="T173" s="1"/>
  <c r="C172"/>
  <c r="T172" s="1"/>
  <c r="U53" i="28"/>
  <c r="C170" i="7"/>
  <c r="AA578"/>
  <c r="AA577"/>
  <c r="AA576"/>
  <c r="AA575"/>
  <c r="AA574"/>
  <c r="AA573"/>
  <c r="AA572"/>
  <c r="AA571"/>
  <c r="AA570"/>
  <c r="AA569"/>
  <c r="AA568"/>
  <c r="AA567"/>
  <c r="AA566"/>
  <c r="AA565"/>
  <c r="AA564"/>
  <c r="AA563"/>
  <c r="AA562"/>
  <c r="AA561"/>
  <c r="AA560"/>
  <c r="AA559"/>
  <c r="AA558"/>
  <c r="AA557"/>
  <c r="AA556"/>
  <c r="AA555"/>
  <c r="AA554"/>
  <c r="AA553"/>
  <c r="AA552"/>
  <c r="AA551"/>
  <c r="AA550"/>
  <c r="AA549"/>
  <c r="AA548"/>
  <c r="AA547"/>
  <c r="AA546"/>
  <c r="AA545"/>
  <c r="AA544"/>
  <c r="AA543"/>
  <c r="AA542"/>
  <c r="AA541"/>
  <c r="AA540"/>
  <c r="AA539"/>
  <c r="AA538"/>
  <c r="AA537"/>
  <c r="AA536"/>
  <c r="AA535"/>
  <c r="AA534"/>
  <c r="AA533"/>
  <c r="AA532"/>
  <c r="AA531"/>
  <c r="AA530"/>
  <c r="AA529"/>
  <c r="AA528"/>
  <c r="AA527"/>
  <c r="AA526"/>
  <c r="AA525"/>
  <c r="AA524"/>
  <c r="AA523"/>
  <c r="AA522"/>
  <c r="AA521"/>
  <c r="AA520"/>
  <c r="AA519"/>
  <c r="AA518"/>
  <c r="AA517"/>
  <c r="AA516"/>
  <c r="AA515"/>
  <c r="AA514"/>
  <c r="AA513"/>
  <c r="AA512"/>
  <c r="AA511"/>
  <c r="AA510"/>
  <c r="AA509"/>
  <c r="AA508"/>
  <c r="AA507"/>
  <c r="AA506"/>
  <c r="AA505"/>
  <c r="AA504"/>
  <c r="AA503"/>
  <c r="AA502"/>
  <c r="AA501"/>
  <c r="AA500"/>
  <c r="AA499"/>
  <c r="AA498"/>
  <c r="AA497"/>
  <c r="AA496"/>
  <c r="AA495"/>
  <c r="AA494"/>
  <c r="AA493"/>
  <c r="AA492"/>
  <c r="AA491"/>
  <c r="AA490"/>
  <c r="AA489"/>
  <c r="AA488"/>
  <c r="AA487"/>
  <c r="AA486"/>
  <c r="AA485"/>
  <c r="AA484"/>
  <c r="AA483"/>
  <c r="AA482"/>
  <c r="AA481"/>
  <c r="AA480"/>
  <c r="AA479"/>
  <c r="AA478"/>
  <c r="AA477"/>
  <c r="AA476"/>
  <c r="AA475"/>
  <c r="AA474"/>
  <c r="AA473"/>
  <c r="AA472"/>
  <c r="AA471"/>
  <c r="AA470"/>
  <c r="AA469"/>
  <c r="AA468"/>
  <c r="AA467"/>
  <c r="AA466"/>
  <c r="AA465"/>
  <c r="AA464"/>
  <c r="AA463"/>
  <c r="AA462"/>
  <c r="AA461"/>
  <c r="AA460"/>
  <c r="AA459"/>
  <c r="AA458"/>
  <c r="AA457"/>
  <c r="AA456"/>
  <c r="AA455"/>
  <c r="AA454"/>
  <c r="AA453"/>
  <c r="AA452"/>
  <c r="AA451"/>
  <c r="AA450"/>
  <c r="AA449"/>
  <c r="AA448"/>
  <c r="AA447"/>
  <c r="AA446"/>
  <c r="AA445"/>
  <c r="AA444"/>
  <c r="AA443"/>
  <c r="AA442"/>
  <c r="AA441"/>
  <c r="AA440"/>
  <c r="AA439"/>
  <c r="AA438"/>
  <c r="AA437"/>
  <c r="AA436"/>
  <c r="AA435"/>
  <c r="AA434"/>
  <c r="AA433"/>
  <c r="AA432"/>
  <c r="AA431"/>
  <c r="AA430"/>
  <c r="AA429"/>
  <c r="AA428"/>
  <c r="AA427"/>
  <c r="AA426"/>
  <c r="AA425"/>
  <c r="AA424"/>
  <c r="AA423"/>
  <c r="AA422"/>
  <c r="AA421"/>
  <c r="AA420"/>
  <c r="AA419"/>
  <c r="AA418"/>
  <c r="AA417"/>
  <c r="AA416"/>
  <c r="AA415"/>
  <c r="AA414"/>
  <c r="AA413"/>
  <c r="AA412"/>
  <c r="AA411"/>
  <c r="AA410"/>
  <c r="AA409"/>
  <c r="AA408"/>
  <c r="AA407"/>
  <c r="AA406"/>
  <c r="AA405"/>
  <c r="AA404"/>
  <c r="AA403"/>
  <c r="AA402"/>
  <c r="AA401"/>
  <c r="AA400"/>
  <c r="AA399"/>
  <c r="AA398"/>
  <c r="AA397"/>
  <c r="AA396"/>
  <c r="AA395"/>
  <c r="AA394"/>
  <c r="AA393"/>
  <c r="AA293"/>
  <c r="AA289"/>
  <c r="AA283"/>
  <c r="AA281"/>
  <c r="AA277"/>
  <c r="AA275"/>
  <c r="AA267"/>
  <c r="AA263"/>
  <c r="AA259"/>
  <c r="AA257"/>
  <c r="AA253"/>
  <c r="AA251"/>
  <c r="D6"/>
  <c r="Y6" s="1"/>
  <c r="C14"/>
  <c r="D20"/>
  <c r="Y20" s="1"/>
  <c r="D24"/>
  <c r="Y24" s="1"/>
  <c r="C26"/>
  <c r="D32"/>
  <c r="Y32" s="1"/>
  <c r="C34"/>
  <c r="C38"/>
  <c r="C42"/>
  <c r="AN29" i="15"/>
  <c r="AL29"/>
  <c r="AJ29"/>
  <c r="AH29"/>
  <c r="AF29"/>
  <c r="AD29"/>
  <c r="AB29"/>
  <c r="Z29"/>
  <c r="X29"/>
  <c r="V29"/>
  <c r="T29"/>
  <c r="R29"/>
  <c r="AM29"/>
  <c r="AK29"/>
  <c r="AI29"/>
  <c r="AG29"/>
  <c r="AE29"/>
  <c r="AC29"/>
  <c r="AA29"/>
  <c r="Y29"/>
  <c r="W29"/>
  <c r="U29"/>
  <c r="E37" i="37"/>
  <c r="J87" s="1"/>
  <c r="E35"/>
  <c r="F37"/>
  <c r="F35"/>
  <c r="E33"/>
  <c r="J85" s="1"/>
  <c r="E38"/>
  <c r="E36"/>
  <c r="J84" s="1"/>
  <c r="F38"/>
  <c r="AP56" i="15"/>
  <c r="F33" i="37"/>
  <c r="B75"/>
  <c r="R75" s="1"/>
  <c r="X106" i="7"/>
  <c r="X111"/>
  <c r="X107"/>
  <c r="X112"/>
  <c r="X154"/>
  <c r="D170"/>
  <c r="Y170" s="1"/>
  <c r="E22" i="37"/>
  <c r="F22"/>
  <c r="K44" i="4"/>
  <c r="K33"/>
  <c r="J33"/>
  <c r="K35"/>
  <c r="L42"/>
  <c r="L19"/>
  <c r="L60"/>
  <c r="K39"/>
  <c r="K59"/>
  <c r="K16"/>
  <c r="K43"/>
  <c r="K41"/>
  <c r="L58"/>
  <c r="K18"/>
  <c r="L52"/>
  <c r="L48"/>
  <c r="L29"/>
  <c r="K28"/>
  <c r="K26"/>
  <c r="F5" s="1"/>
  <c r="K49"/>
  <c r="L23"/>
  <c r="K32"/>
  <c r="K53"/>
  <c r="K24"/>
  <c r="L17"/>
  <c r="K57"/>
  <c r="K37"/>
  <c r="L38"/>
  <c r="L56"/>
  <c r="K15"/>
  <c r="K45"/>
  <c r="L34"/>
  <c r="L31"/>
  <c r="L25"/>
  <c r="L40"/>
  <c r="L27"/>
  <c r="D2" i="7"/>
  <c r="AA2" s="1"/>
  <c r="C129"/>
  <c r="X129"/>
  <c r="C127"/>
  <c r="X127"/>
  <c r="C115"/>
  <c r="X115"/>
  <c r="D97"/>
  <c r="Y97" s="1"/>
  <c r="D95"/>
  <c r="Y95" s="1"/>
  <c r="D93"/>
  <c r="Y93" s="1"/>
  <c r="D89"/>
  <c r="W89" s="1"/>
  <c r="T4" i="30" s="1"/>
  <c r="D87" i="7"/>
  <c r="W87" s="1"/>
  <c r="T47" i="30" s="1"/>
  <c r="D85" i="7"/>
  <c r="W85" s="1"/>
  <c r="T43" i="30" s="1"/>
  <c r="D83" i="7"/>
  <c r="W83" s="1"/>
  <c r="T26" i="30" s="1"/>
  <c r="D81" i="7"/>
  <c r="X81"/>
  <c r="Y81"/>
  <c r="D79"/>
  <c r="Y79" s="1"/>
  <c r="X79"/>
  <c r="D77"/>
  <c r="Y77" s="1"/>
  <c r="X77"/>
  <c r="C75"/>
  <c r="X75"/>
  <c r="C69"/>
  <c r="X69"/>
  <c r="D65"/>
  <c r="Y65" s="1"/>
  <c r="X65"/>
  <c r="D63"/>
  <c r="X63"/>
  <c r="Y63"/>
  <c r="D61"/>
  <c r="Y61" s="1"/>
  <c r="X61"/>
  <c r="D59"/>
  <c r="Y59" s="1"/>
  <c r="X59"/>
  <c r="C57"/>
  <c r="X57"/>
  <c r="Y55"/>
  <c r="D53"/>
  <c r="W53" s="1"/>
  <c r="T51" i="30" s="1"/>
  <c r="C51" i="7"/>
  <c r="D49"/>
  <c r="Y49" s="1"/>
  <c r="D47"/>
  <c r="X47"/>
  <c r="Y47"/>
  <c r="C45"/>
  <c r="C43"/>
  <c r="X43"/>
  <c r="Y43"/>
  <c r="C41"/>
  <c r="D39"/>
  <c r="Y39" s="1"/>
  <c r="X39"/>
  <c r="D37"/>
  <c r="AA37" s="1"/>
  <c r="X37"/>
  <c r="Y37"/>
  <c r="D35"/>
  <c r="Y35" s="1"/>
  <c r="X35"/>
  <c r="D33"/>
  <c r="AA33" s="1"/>
  <c r="X33"/>
  <c r="Y33"/>
  <c r="C31"/>
  <c r="X31"/>
  <c r="Y31"/>
  <c r="C29"/>
  <c r="D27"/>
  <c r="Y27" s="1"/>
  <c r="D25"/>
  <c r="AA25" s="1"/>
  <c r="X25"/>
  <c r="Y25"/>
  <c r="D23"/>
  <c r="Y23" s="1"/>
  <c r="X23"/>
  <c r="D21"/>
  <c r="AA21" s="1"/>
  <c r="X21"/>
  <c r="Y21"/>
  <c r="D19"/>
  <c r="D17"/>
  <c r="AA17" s="1"/>
  <c r="X17"/>
  <c r="D15"/>
  <c r="Y15" s="1"/>
  <c r="X15"/>
  <c r="X13"/>
  <c r="D11"/>
  <c r="Y11" s="1"/>
  <c r="X11"/>
  <c r="D9"/>
  <c r="AA9" s="1"/>
  <c r="X9"/>
  <c r="Y9"/>
  <c r="D7"/>
  <c r="C5"/>
  <c r="C3"/>
  <c r="Y3"/>
  <c r="W3" s="1"/>
  <c r="C146"/>
  <c r="C144"/>
  <c r="C142"/>
  <c r="C139"/>
  <c r="C137"/>
  <c r="C133"/>
  <c r="D131"/>
  <c r="D372"/>
  <c r="AA372" s="1"/>
  <c r="D371"/>
  <c r="Z371" s="1"/>
  <c r="D370"/>
  <c r="AA370" s="1"/>
  <c r="D365"/>
  <c r="AA365" s="1"/>
  <c r="D364"/>
  <c r="D357"/>
  <c r="AA357" s="1"/>
  <c r="D341"/>
  <c r="D338"/>
  <c r="AA338" s="1"/>
  <c r="D332"/>
  <c r="AA332" s="1"/>
  <c r="D322"/>
  <c r="AA322" s="1"/>
  <c r="D315"/>
  <c r="Z315" s="1"/>
  <c r="D307"/>
  <c r="AA307" s="1"/>
  <c r="D306"/>
  <c r="AA306" s="1"/>
  <c r="D287"/>
  <c r="D284"/>
  <c r="Z284" s="1"/>
  <c r="D269"/>
  <c r="Z269" s="1"/>
  <c r="D268"/>
  <c r="AA268" s="1"/>
  <c r="D260"/>
  <c r="AA260" s="1"/>
  <c r="D249"/>
  <c r="D238"/>
  <c r="AA238" s="1"/>
  <c r="D230"/>
  <c r="Z230" s="1"/>
  <c r="C169"/>
  <c r="C165"/>
  <c r="C163"/>
  <c r="C161"/>
  <c r="C159"/>
  <c r="C157"/>
  <c r="C155"/>
  <c r="C153"/>
  <c r="C151"/>
  <c r="C149"/>
  <c r="C73"/>
  <c r="X73"/>
  <c r="C71"/>
  <c r="X71"/>
  <c r="C130"/>
  <c r="X130"/>
  <c r="C128"/>
  <c r="X128"/>
  <c r="C126"/>
  <c r="C122"/>
  <c r="C120"/>
  <c r="C118"/>
  <c r="Y114"/>
  <c r="D100"/>
  <c r="D98"/>
  <c r="Y98" s="1"/>
  <c r="D96"/>
  <c r="Y96" s="1"/>
  <c r="D92"/>
  <c r="Y92" s="1"/>
  <c r="D88"/>
  <c r="W88" s="1"/>
  <c r="T3" i="30" s="1"/>
  <c r="D86" i="7"/>
  <c r="W86" s="1"/>
  <c r="T45" i="30" s="1"/>
  <c r="D82" i="7"/>
  <c r="W82" s="1"/>
  <c r="D80"/>
  <c r="Y80" s="1"/>
  <c r="X80"/>
  <c r="Y78"/>
  <c r="X78"/>
  <c r="X76"/>
  <c r="D74"/>
  <c r="Y74" s="1"/>
  <c r="X74"/>
  <c r="X68"/>
  <c r="X66"/>
  <c r="C64"/>
  <c r="X64"/>
  <c r="C62"/>
  <c r="Y60"/>
  <c r="Y58"/>
  <c r="X58"/>
  <c r="Y54"/>
  <c r="Y50"/>
  <c r="X50"/>
  <c r="Y48"/>
  <c r="Y46"/>
  <c r="Y44"/>
  <c r="W44" s="1"/>
  <c r="Y42"/>
  <c r="X42"/>
  <c r="X40"/>
  <c r="Y38"/>
  <c r="X38"/>
  <c r="Y36"/>
  <c r="U63" i="28" s="1"/>
  <c r="Y34" i="7"/>
  <c r="U77" i="28" s="1"/>
  <c r="Y28" i="7"/>
  <c r="W28" s="1"/>
  <c r="Y26"/>
  <c r="W26" s="1"/>
  <c r="X20"/>
  <c r="Y16"/>
  <c r="U74" i="28" s="1"/>
  <c r="X16" i="7"/>
  <c r="Y14"/>
  <c r="W14" s="1"/>
  <c r="Y12"/>
  <c r="X12"/>
  <c r="D10"/>
  <c r="Y10" s="1"/>
  <c r="X4"/>
  <c r="C147"/>
  <c r="C145"/>
  <c r="C143"/>
  <c r="C141"/>
  <c r="C140"/>
  <c r="C138"/>
  <c r="C136"/>
  <c r="C134"/>
  <c r="C132"/>
  <c r="D376"/>
  <c r="AA376" s="1"/>
  <c r="D375"/>
  <c r="Z375" s="1"/>
  <c r="D374"/>
  <c r="AA374" s="1"/>
  <c r="D368"/>
  <c r="AA368" s="1"/>
  <c r="D367"/>
  <c r="AA367" s="1"/>
  <c r="D362"/>
  <c r="D346"/>
  <c r="AA346" s="1"/>
  <c r="D334"/>
  <c r="AA334" s="1"/>
  <c r="D328"/>
  <c r="AA328" s="1"/>
  <c r="D327"/>
  <c r="AA327" s="1"/>
  <c r="D318"/>
  <c r="AA318" s="1"/>
  <c r="D317"/>
  <c r="Z317" s="1"/>
  <c r="D310"/>
  <c r="D309"/>
  <c r="AA309" s="1"/>
  <c r="D302"/>
  <c r="AA302" s="1"/>
  <c r="D301"/>
  <c r="AA301" s="1"/>
  <c r="D274"/>
  <c r="Z274" s="1"/>
  <c r="D271"/>
  <c r="D266"/>
  <c r="Z266" s="1"/>
  <c r="D265"/>
  <c r="Z265" s="1"/>
  <c r="D244"/>
  <c r="D234"/>
  <c r="Z234" s="1"/>
  <c r="D224"/>
  <c r="AA224" s="1"/>
  <c r="C168"/>
  <c r="D166"/>
  <c r="W166" s="1"/>
  <c r="C164"/>
  <c r="C162"/>
  <c r="C160"/>
  <c r="C158"/>
  <c r="C156"/>
  <c r="C154"/>
  <c r="C152"/>
  <c r="C150"/>
  <c r="C148"/>
  <c r="C72"/>
  <c r="X72"/>
  <c r="C70"/>
  <c r="X70"/>
  <c r="D72"/>
  <c r="Y72" s="1"/>
  <c r="D71"/>
  <c r="D70"/>
  <c r="Y70" s="1"/>
  <c r="D73"/>
  <c r="E10" i="32"/>
  <c r="E2"/>
  <c r="U2" i="30" s="1"/>
  <c r="E146" i="32"/>
  <c r="E144"/>
  <c r="E142"/>
  <c r="E140"/>
  <c r="E138"/>
  <c r="E136"/>
  <c r="E134"/>
  <c r="E132"/>
  <c r="E130"/>
  <c r="E128"/>
  <c r="E126"/>
  <c r="E124"/>
  <c r="E122"/>
  <c r="E120"/>
  <c r="E118"/>
  <c r="E116"/>
  <c r="E114"/>
  <c r="E112"/>
  <c r="E110"/>
  <c r="E108"/>
  <c r="E106"/>
  <c r="E104"/>
  <c r="E102"/>
  <c r="E100"/>
  <c r="E98"/>
  <c r="U27" i="30" s="1"/>
  <c r="E96" i="32"/>
  <c r="U28" i="30" s="1"/>
  <c r="E94" i="32"/>
  <c r="E92"/>
  <c r="E90"/>
  <c r="E88"/>
  <c r="E86"/>
  <c r="E84"/>
  <c r="E82"/>
  <c r="E80"/>
  <c r="E78"/>
  <c r="E76"/>
  <c r="E74"/>
  <c r="E72"/>
  <c r="E70"/>
  <c r="E68"/>
  <c r="E66"/>
  <c r="E64"/>
  <c r="E62"/>
  <c r="E60"/>
  <c r="E58"/>
  <c r="E56"/>
  <c r="E54"/>
  <c r="E52"/>
  <c r="E50"/>
  <c r="E48"/>
  <c r="E46"/>
  <c r="U14" i="30" s="1"/>
  <c r="E44" i="32"/>
  <c r="E42"/>
  <c r="U18" i="30" s="1"/>
  <c r="E40" i="32"/>
  <c r="U15" i="30" s="1"/>
  <c r="E38" i="32"/>
  <c r="E36"/>
  <c r="E34"/>
  <c r="E32"/>
  <c r="E30"/>
  <c r="E28"/>
  <c r="E26"/>
  <c r="E24"/>
  <c r="E22"/>
  <c r="E20"/>
  <c r="E18"/>
  <c r="E16"/>
  <c r="E14"/>
  <c r="E12"/>
  <c r="E9"/>
  <c r="E7"/>
  <c r="E5"/>
  <c r="E3"/>
  <c r="F147"/>
  <c r="F145"/>
  <c r="F143"/>
  <c r="F141"/>
  <c r="F139"/>
  <c r="F137"/>
  <c r="F135"/>
  <c r="F133"/>
  <c r="F131"/>
  <c r="F129"/>
  <c r="F127"/>
  <c r="F125"/>
  <c r="F123"/>
  <c r="F121"/>
  <c r="F119"/>
  <c r="F117"/>
  <c r="F115"/>
  <c r="F113"/>
  <c r="F111"/>
  <c r="F109"/>
  <c r="F107"/>
  <c r="F105"/>
  <c r="F103"/>
  <c r="F101"/>
  <c r="F99"/>
  <c r="F97"/>
  <c r="F95"/>
  <c r="F93"/>
  <c r="F91"/>
  <c r="F89"/>
  <c r="F87"/>
  <c r="F85"/>
  <c r="F83"/>
  <c r="F81"/>
  <c r="F79"/>
  <c r="F77"/>
  <c r="F75"/>
  <c r="F73"/>
  <c r="F71"/>
  <c r="F69"/>
  <c r="F67"/>
  <c r="F65"/>
  <c r="F63"/>
  <c r="F61"/>
  <c r="F59"/>
  <c r="F57"/>
  <c r="F55"/>
  <c r="F53"/>
  <c r="F51"/>
  <c r="F49"/>
  <c r="F47"/>
  <c r="F45"/>
  <c r="F43"/>
  <c r="F41"/>
  <c r="F39"/>
  <c r="F37"/>
  <c r="F35"/>
  <c r="F33"/>
  <c r="F31"/>
  <c r="F29"/>
  <c r="F27"/>
  <c r="F25"/>
  <c r="F23"/>
  <c r="F21"/>
  <c r="F19"/>
  <c r="F17"/>
  <c r="F15"/>
  <c r="F13"/>
  <c r="F11"/>
  <c r="F9"/>
  <c r="F7"/>
  <c r="F5"/>
  <c r="F3"/>
  <c r="E147"/>
  <c r="E145"/>
  <c r="E143"/>
  <c r="E141"/>
  <c r="E139"/>
  <c r="E137"/>
  <c r="E135"/>
  <c r="E133"/>
  <c r="E131"/>
  <c r="E129"/>
  <c r="E127"/>
  <c r="E125"/>
  <c r="E123"/>
  <c r="E121"/>
  <c r="E119"/>
  <c r="E117"/>
  <c r="E115"/>
  <c r="E113"/>
  <c r="E111"/>
  <c r="E109"/>
  <c r="E107"/>
  <c r="E105"/>
  <c r="E103"/>
  <c r="E101"/>
  <c r="E99"/>
  <c r="E97"/>
  <c r="E95"/>
  <c r="E93"/>
  <c r="E91"/>
  <c r="E89"/>
  <c r="E87"/>
  <c r="E85"/>
  <c r="E83"/>
  <c r="E81"/>
  <c r="E79"/>
  <c r="E77"/>
  <c r="E75"/>
  <c r="E73"/>
  <c r="E71"/>
  <c r="E69"/>
  <c r="E67"/>
  <c r="E65"/>
  <c r="E63"/>
  <c r="E61"/>
  <c r="E59"/>
  <c r="E57"/>
  <c r="E55"/>
  <c r="E53"/>
  <c r="E51"/>
  <c r="E49"/>
  <c r="E47"/>
  <c r="E45"/>
  <c r="U17" i="30" s="1"/>
  <c r="E43" i="32"/>
  <c r="U19" i="30" s="1"/>
  <c r="E41" i="32"/>
  <c r="U16" i="30" s="1"/>
  <c r="E39" i="32"/>
  <c r="E37"/>
  <c r="E35"/>
  <c r="E33"/>
  <c r="E31"/>
  <c r="E29"/>
  <c r="E27"/>
  <c r="E25"/>
  <c r="E23"/>
  <c r="E21"/>
  <c r="E19"/>
  <c r="E17"/>
  <c r="E15"/>
  <c r="E13"/>
  <c r="E11"/>
  <c r="E8"/>
  <c r="E6"/>
  <c r="E4"/>
  <c r="F2"/>
  <c r="F146"/>
  <c r="F144"/>
  <c r="F142"/>
  <c r="F140"/>
  <c r="F138"/>
  <c r="F136"/>
  <c r="F134"/>
  <c r="F132"/>
  <c r="F130"/>
  <c r="F128"/>
  <c r="F126"/>
  <c r="F124"/>
  <c r="F122"/>
  <c r="F120"/>
  <c r="F118"/>
  <c r="F116"/>
  <c r="F114"/>
  <c r="F112"/>
  <c r="F110"/>
  <c r="F108"/>
  <c r="F106"/>
  <c r="F104"/>
  <c r="F102"/>
  <c r="F100"/>
  <c r="F98"/>
  <c r="F96"/>
  <c r="F94"/>
  <c r="F92"/>
  <c r="F90"/>
  <c r="F88"/>
  <c r="F86"/>
  <c r="F84"/>
  <c r="F82"/>
  <c r="F80"/>
  <c r="F78"/>
  <c r="F76"/>
  <c r="F74"/>
  <c r="F72"/>
  <c r="F70"/>
  <c r="F68"/>
  <c r="F66"/>
  <c r="F64"/>
  <c r="F62"/>
  <c r="F60"/>
  <c r="F58"/>
  <c r="F56"/>
  <c r="F54"/>
  <c r="F52"/>
  <c r="F50"/>
  <c r="F48"/>
  <c r="F46"/>
  <c r="F44"/>
  <c r="F42"/>
  <c r="F40"/>
  <c r="F38"/>
  <c r="F36"/>
  <c r="F34"/>
  <c r="F32"/>
  <c r="F30"/>
  <c r="F28"/>
  <c r="F26"/>
  <c r="F24"/>
  <c r="F22"/>
  <c r="F20"/>
  <c r="F18"/>
  <c r="F16"/>
  <c r="F14"/>
  <c r="F12"/>
  <c r="F10"/>
  <c r="F8"/>
  <c r="F6"/>
  <c r="W71" i="33"/>
  <c r="W67"/>
  <c r="W63"/>
  <c r="W57"/>
  <c r="W49"/>
  <c r="W41"/>
  <c r="W27"/>
  <c r="W59"/>
  <c r="W55"/>
  <c r="W51"/>
  <c r="W47"/>
  <c r="W43"/>
  <c r="W39"/>
  <c r="W31"/>
  <c r="W23"/>
  <c r="W37"/>
  <c r="W33"/>
  <c r="W29"/>
  <c r="W25"/>
  <c r="W21"/>
  <c r="C131" i="7"/>
  <c r="D169"/>
  <c r="Y169" s="1"/>
  <c r="K60" i="4"/>
  <c r="K58"/>
  <c r="K56"/>
  <c r="K52"/>
  <c r="K48"/>
  <c r="K46"/>
  <c r="K42"/>
  <c r="K40"/>
  <c r="K38"/>
  <c r="J5" s="1"/>
  <c r="K34"/>
  <c r="H5" s="1"/>
  <c r="K31"/>
  <c r="K29"/>
  <c r="K27"/>
  <c r="K25"/>
  <c r="K23"/>
  <c r="K21"/>
  <c r="D4" s="1"/>
  <c r="K19"/>
  <c r="K17"/>
  <c r="L15"/>
  <c r="L59"/>
  <c r="L57"/>
  <c r="L53"/>
  <c r="L49"/>
  <c r="L47"/>
  <c r="L45"/>
  <c r="L43"/>
  <c r="L41"/>
  <c r="L39"/>
  <c r="L37"/>
  <c r="L35"/>
  <c r="L32"/>
  <c r="L28"/>
  <c r="L26"/>
  <c r="L24"/>
  <c r="L18"/>
  <c r="L16"/>
  <c r="D168" i="7"/>
  <c r="W168" s="1"/>
  <c r="D167"/>
  <c r="W167" s="1"/>
  <c r="C167"/>
  <c r="D158"/>
  <c r="Y158" s="1"/>
  <c r="D157"/>
  <c r="Y157" s="1"/>
  <c r="D165"/>
  <c r="W165" s="1"/>
  <c r="D164"/>
  <c r="W164" s="1"/>
  <c r="D163"/>
  <c r="W163" s="1"/>
  <c r="D162"/>
  <c r="W162" s="1"/>
  <c r="D161"/>
  <c r="W161" s="1"/>
  <c r="D160"/>
  <c r="W160" s="1"/>
  <c r="D159"/>
  <c r="Y159" s="1"/>
  <c r="C166"/>
  <c r="D156"/>
  <c r="D155"/>
  <c r="D151"/>
  <c r="Y151" s="1"/>
  <c r="D153"/>
  <c r="W153" s="1"/>
  <c r="D154"/>
  <c r="Y154" s="1"/>
  <c r="D152"/>
  <c r="W152" s="1"/>
  <c r="D150"/>
  <c r="Y150" s="1"/>
  <c r="D361"/>
  <c r="AA361" s="1"/>
  <c r="D347"/>
  <c r="Z347" s="1"/>
  <c r="D323"/>
  <c r="D5"/>
  <c r="C7"/>
  <c r="C11"/>
  <c r="C15"/>
  <c r="C19"/>
  <c r="C23"/>
  <c r="C27"/>
  <c r="D29"/>
  <c r="Y29" s="1"/>
  <c r="C35"/>
  <c r="C39"/>
  <c r="D41"/>
  <c r="D149"/>
  <c r="W149" s="1"/>
  <c r="D13"/>
  <c r="T13" s="1"/>
  <c r="D392"/>
  <c r="D390"/>
  <c r="AA390" s="1"/>
  <c r="D388"/>
  <c r="AA388" s="1"/>
  <c r="D386"/>
  <c r="AA386" s="1"/>
  <c r="D384"/>
  <c r="AA384" s="1"/>
  <c r="D382"/>
  <c r="AA382" s="1"/>
  <c r="D380"/>
  <c r="AA380" s="1"/>
  <c r="D378"/>
  <c r="D356"/>
  <c r="AA356" s="1"/>
  <c r="D350"/>
  <c r="AA350" s="1"/>
  <c r="D344"/>
  <c r="AA344" s="1"/>
  <c r="D314"/>
  <c r="AA314" s="1"/>
  <c r="D298"/>
  <c r="AA298" s="1"/>
  <c r="D294"/>
  <c r="AA294" s="1"/>
  <c r="D292"/>
  <c r="Z292" s="1"/>
  <c r="D288"/>
  <c r="AA288" s="1"/>
  <c r="D280"/>
  <c r="Z280" s="1"/>
  <c r="D278"/>
  <c r="Z278" s="1"/>
  <c r="D262"/>
  <c r="Z262" s="1"/>
  <c r="D256"/>
  <c r="D254"/>
  <c r="AA254" s="1"/>
  <c r="D246"/>
  <c r="D148"/>
  <c r="W148" s="1"/>
  <c r="D146"/>
  <c r="D144"/>
  <c r="D142"/>
  <c r="W142" s="1"/>
  <c r="D139"/>
  <c r="W139" s="1"/>
  <c r="T8" i="30" s="1"/>
  <c r="D137" i="7"/>
  <c r="W137" s="1"/>
  <c r="D147"/>
  <c r="D145"/>
  <c r="D143"/>
  <c r="W143" s="1"/>
  <c r="D141"/>
  <c r="W141" s="1"/>
  <c r="D140"/>
  <c r="W140" s="1"/>
  <c r="T9" i="30" s="1"/>
  <c r="D138" i="7"/>
  <c r="W138" s="1"/>
  <c r="D136"/>
  <c r="D135"/>
  <c r="C135"/>
  <c r="D134"/>
  <c r="W134" s="1"/>
  <c r="D133"/>
  <c r="W133" s="1"/>
  <c r="D132"/>
  <c r="J45" i="4"/>
  <c r="E277" i="21"/>
  <c r="I91" i="37"/>
  <c r="H91" s="1"/>
  <c r="E91"/>
  <c r="F19"/>
  <c r="F20"/>
  <c r="F24"/>
  <c r="F18"/>
  <c r="F21"/>
  <c r="F23"/>
  <c r="E18"/>
  <c r="E19"/>
  <c r="J101" s="1"/>
  <c r="M247" i="21"/>
  <c r="E273"/>
  <c r="E265"/>
  <c r="E263"/>
  <c r="L266"/>
  <c r="E267"/>
  <c r="J265"/>
  <c r="K265" s="1"/>
  <c r="L275"/>
  <c r="L273"/>
  <c r="L271"/>
  <c r="L269"/>
  <c r="L267"/>
  <c r="L265"/>
  <c r="C10" i="7"/>
  <c r="M273" i="21"/>
  <c r="M271"/>
  <c r="M269"/>
  <c r="M267"/>
  <c r="M265"/>
  <c r="M263"/>
  <c r="M261"/>
  <c r="M259"/>
  <c r="M257"/>
  <c r="M256"/>
  <c r="M254"/>
  <c r="M252"/>
  <c r="M250"/>
  <c r="M248"/>
  <c r="L274"/>
  <c r="L272"/>
  <c r="L270"/>
  <c r="L268"/>
  <c r="M272"/>
  <c r="M270"/>
  <c r="M268"/>
  <c r="M266"/>
  <c r="M264"/>
  <c r="M262"/>
  <c r="M260"/>
  <c r="M258"/>
  <c r="M255"/>
  <c r="M253"/>
  <c r="M251"/>
  <c r="M249"/>
  <c r="K274"/>
  <c r="K272"/>
  <c r="K270"/>
  <c r="K266"/>
  <c r="E275"/>
  <c r="E271"/>
  <c r="E269"/>
  <c r="E274"/>
  <c r="J268"/>
  <c r="K268" s="1"/>
  <c r="L263"/>
  <c r="L264"/>
  <c r="K264"/>
  <c r="E264"/>
  <c r="AB48" i="22"/>
  <c r="E23" i="37"/>
  <c r="J93" s="1"/>
  <c r="E20"/>
  <c r="J90" s="1"/>
  <c r="E24"/>
  <c r="J94" s="1"/>
  <c r="E21"/>
  <c r="J92" s="1"/>
  <c r="AB63" i="28"/>
  <c r="G149" i="11"/>
  <c r="H87"/>
  <c r="H136" s="1"/>
  <c r="H147"/>
  <c r="J35" i="4"/>
  <c r="AC80" i="28"/>
  <c r="AB21"/>
  <c r="AC21"/>
  <c r="F68" i="37"/>
  <c r="B83"/>
  <c r="R83" s="1"/>
  <c r="E68"/>
  <c r="E66"/>
  <c r="J81" s="1"/>
  <c r="F66"/>
  <c r="F67"/>
  <c r="E65"/>
  <c r="J82" s="1"/>
  <c r="E67"/>
  <c r="D85" i="28"/>
  <c r="M83"/>
  <c r="M81"/>
  <c r="M84"/>
  <c r="M82"/>
  <c r="C123" i="7"/>
  <c r="J32" i="4"/>
  <c r="B87" i="37"/>
  <c r="R87" s="1"/>
  <c r="B84"/>
  <c r="R84" s="1"/>
  <c r="B88"/>
  <c r="U33" i="28"/>
  <c r="G82" i="37"/>
  <c r="F65"/>
  <c r="C121" i="7"/>
  <c r="C119"/>
  <c r="N68" i="31"/>
  <c r="N3"/>
  <c r="N63"/>
  <c r="N74"/>
  <c r="N20"/>
  <c r="N18"/>
  <c r="N17"/>
  <c r="N59"/>
  <c r="J40" i="30"/>
  <c r="N65" i="31"/>
  <c r="L60" i="21"/>
  <c r="N58" i="31"/>
  <c r="I40" i="30"/>
  <c r="W17" i="33"/>
  <c r="W15"/>
  <c r="W13"/>
  <c r="W11"/>
  <c r="W9"/>
  <c r="W7"/>
  <c r="W5"/>
  <c r="W3"/>
  <c r="W130"/>
  <c r="W126"/>
  <c r="W122"/>
  <c r="W118"/>
  <c r="W114"/>
  <c r="W110"/>
  <c r="W106"/>
  <c r="W102"/>
  <c r="W98"/>
  <c r="W94"/>
  <c r="W90"/>
  <c r="W86"/>
  <c r="W82"/>
  <c r="W78"/>
  <c r="W74"/>
  <c r="W70"/>
  <c r="W66"/>
  <c r="W62"/>
  <c r="W58"/>
  <c r="W54"/>
  <c r="W50"/>
  <c r="W46"/>
  <c r="W42"/>
  <c r="W38"/>
  <c r="W146"/>
  <c r="W144"/>
  <c r="W142"/>
  <c r="W140"/>
  <c r="W138"/>
  <c r="W136"/>
  <c r="W134"/>
  <c r="U13" i="28"/>
  <c r="F27" i="37"/>
  <c r="F29"/>
  <c r="F3"/>
  <c r="F5"/>
  <c r="F7"/>
  <c r="F39"/>
  <c r="F10"/>
  <c r="F41"/>
  <c r="F43"/>
  <c r="F45"/>
  <c r="F47"/>
  <c r="F12"/>
  <c r="F49"/>
  <c r="F13"/>
  <c r="F14"/>
  <c r="F16"/>
  <c r="F52"/>
  <c r="F54"/>
  <c r="F56"/>
  <c r="F58"/>
  <c r="F61"/>
  <c r="F63"/>
  <c r="E26"/>
  <c r="F28"/>
  <c r="F30"/>
  <c r="F31"/>
  <c r="F32"/>
  <c r="F2"/>
  <c r="F4"/>
  <c r="F6"/>
  <c r="F8"/>
  <c r="F9"/>
  <c r="F40"/>
  <c r="F42"/>
  <c r="F44"/>
  <c r="F46"/>
  <c r="F11"/>
  <c r="F48"/>
  <c r="F50"/>
  <c r="F51"/>
  <c r="F15"/>
  <c r="F17"/>
  <c r="F53"/>
  <c r="F55"/>
  <c r="F57"/>
  <c r="F59"/>
  <c r="F60"/>
  <c r="F62"/>
  <c r="F64"/>
  <c r="I89"/>
  <c r="G89"/>
  <c r="E89"/>
  <c r="D89"/>
  <c r="H90"/>
  <c r="F90"/>
  <c r="B90"/>
  <c r="C90"/>
  <c r="I92"/>
  <c r="E92"/>
  <c r="D92"/>
  <c r="H93"/>
  <c r="F93"/>
  <c r="B93"/>
  <c r="C93"/>
  <c r="I94"/>
  <c r="G94"/>
  <c r="E94"/>
  <c r="D94"/>
  <c r="H101"/>
  <c r="F101"/>
  <c r="B101"/>
  <c r="C101"/>
  <c r="I99"/>
  <c r="H99" s="1"/>
  <c r="H98"/>
  <c r="F98"/>
  <c r="B98"/>
  <c r="C98"/>
  <c r="I97"/>
  <c r="G97"/>
  <c r="E97"/>
  <c r="D97"/>
  <c r="H96"/>
  <c r="F96"/>
  <c r="B96"/>
  <c r="C96"/>
  <c r="I95"/>
  <c r="G95"/>
  <c r="E95"/>
  <c r="D95"/>
  <c r="H89"/>
  <c r="F89"/>
  <c r="B89"/>
  <c r="C89"/>
  <c r="I90"/>
  <c r="G90"/>
  <c r="E90"/>
  <c r="D90"/>
  <c r="H92"/>
  <c r="F92"/>
  <c r="B92"/>
  <c r="C92"/>
  <c r="I93"/>
  <c r="G93"/>
  <c r="E93"/>
  <c r="D93"/>
  <c r="H94"/>
  <c r="F94"/>
  <c r="B94"/>
  <c r="C94"/>
  <c r="I101"/>
  <c r="E101"/>
  <c r="D101"/>
  <c r="I98"/>
  <c r="G98"/>
  <c r="E98"/>
  <c r="D98"/>
  <c r="H97"/>
  <c r="F97"/>
  <c r="B97"/>
  <c r="C97"/>
  <c r="I96"/>
  <c r="G96"/>
  <c r="E96"/>
  <c r="D96"/>
  <c r="H95"/>
  <c r="F95"/>
  <c r="B95"/>
  <c r="C95"/>
  <c r="C75"/>
  <c r="F75"/>
  <c r="H75"/>
  <c r="I77"/>
  <c r="G77"/>
  <c r="E77"/>
  <c r="D77"/>
  <c r="I76"/>
  <c r="G76"/>
  <c r="E76"/>
  <c r="D76"/>
  <c r="I78"/>
  <c r="G78"/>
  <c r="E78"/>
  <c r="D78"/>
  <c r="I80"/>
  <c r="G80"/>
  <c r="E80"/>
  <c r="D80"/>
  <c r="I81"/>
  <c r="G81"/>
  <c r="E81"/>
  <c r="D81"/>
  <c r="I82"/>
  <c r="H82" s="1"/>
  <c r="I83"/>
  <c r="G83"/>
  <c r="E83"/>
  <c r="D83"/>
  <c r="I85"/>
  <c r="H84"/>
  <c r="F84"/>
  <c r="C84"/>
  <c r="I87"/>
  <c r="G87"/>
  <c r="E87"/>
  <c r="D87"/>
  <c r="H88"/>
  <c r="F88"/>
  <c r="C88"/>
  <c r="D75"/>
  <c r="E75"/>
  <c r="G75"/>
  <c r="I75"/>
  <c r="H77"/>
  <c r="F77"/>
  <c r="B77"/>
  <c r="R77" s="1"/>
  <c r="C77"/>
  <c r="H76"/>
  <c r="F76"/>
  <c r="B76"/>
  <c r="R76" s="1"/>
  <c r="C76"/>
  <c r="H78"/>
  <c r="F78"/>
  <c r="B78"/>
  <c r="R78" s="1"/>
  <c r="C78"/>
  <c r="H80"/>
  <c r="F80"/>
  <c r="B80"/>
  <c r="R80" s="1"/>
  <c r="C80"/>
  <c r="H81"/>
  <c r="F81"/>
  <c r="B81"/>
  <c r="R81" s="1"/>
  <c r="C81"/>
  <c r="F82"/>
  <c r="H83"/>
  <c r="F83"/>
  <c r="C83"/>
  <c r="H85"/>
  <c r="I84"/>
  <c r="G84"/>
  <c r="E84"/>
  <c r="D84"/>
  <c r="H87"/>
  <c r="F87"/>
  <c r="C87"/>
  <c r="I88"/>
  <c r="G88"/>
  <c r="E88"/>
  <c r="D88"/>
  <c r="E85"/>
  <c r="C85" s="1"/>
  <c r="F26"/>
  <c r="E64"/>
  <c r="J79" s="1"/>
  <c r="E63"/>
  <c r="J78" s="1"/>
  <c r="E62"/>
  <c r="J77" s="1"/>
  <c r="E61"/>
  <c r="E60"/>
  <c r="J76" s="1"/>
  <c r="E59"/>
  <c r="E58"/>
  <c r="E57"/>
  <c r="E56"/>
  <c r="E55"/>
  <c r="E54"/>
  <c r="E53"/>
  <c r="J75" s="1"/>
  <c r="E52"/>
  <c r="E17"/>
  <c r="J89" s="1"/>
  <c r="E16"/>
  <c r="E15"/>
  <c r="E14"/>
  <c r="E51"/>
  <c r="E13"/>
  <c r="E50"/>
  <c r="E49"/>
  <c r="E48"/>
  <c r="E12"/>
  <c r="E11"/>
  <c r="E47"/>
  <c r="E46"/>
  <c r="E45"/>
  <c r="E44"/>
  <c r="E43"/>
  <c r="E42"/>
  <c r="E41"/>
  <c r="E40"/>
  <c r="E10"/>
  <c r="J98" s="1"/>
  <c r="E9"/>
  <c r="J97" s="1"/>
  <c r="E39"/>
  <c r="J88" s="1"/>
  <c r="E8"/>
  <c r="E7"/>
  <c r="E6"/>
  <c r="E5"/>
  <c r="E4"/>
  <c r="E3"/>
  <c r="J96" s="1"/>
  <c r="E2"/>
  <c r="J95" s="1"/>
  <c r="E32"/>
  <c r="J83" s="1"/>
  <c r="E31"/>
  <c r="E30"/>
  <c r="E29"/>
  <c r="E28"/>
  <c r="J80" s="1"/>
  <c r="E27"/>
  <c r="C117" i="7"/>
  <c r="C116"/>
  <c r="C114"/>
  <c r="T114" s="1"/>
  <c r="C112"/>
  <c r="C110"/>
  <c r="C108"/>
  <c r="C106"/>
  <c r="C104"/>
  <c r="C102"/>
  <c r="C100"/>
  <c r="D130"/>
  <c r="Y130" s="1"/>
  <c r="D128"/>
  <c r="D126"/>
  <c r="Y126" s="1"/>
  <c r="D123"/>
  <c r="Y123" s="1"/>
  <c r="D121"/>
  <c r="D119"/>
  <c r="W119" s="1"/>
  <c r="T53" i="30" s="1"/>
  <c r="D117" i="7"/>
  <c r="Y117" s="1"/>
  <c r="D115"/>
  <c r="Y40" i="30" s="1"/>
  <c r="D113" i="7"/>
  <c r="Y113" s="1"/>
  <c r="D111"/>
  <c r="Y111" s="1"/>
  <c r="D109"/>
  <c r="D107"/>
  <c r="Y107" s="1"/>
  <c r="D105"/>
  <c r="D103"/>
  <c r="D101"/>
  <c r="D99"/>
  <c r="C113"/>
  <c r="T113" s="1"/>
  <c r="C111"/>
  <c r="T111" s="1"/>
  <c r="C109"/>
  <c r="T109" s="1"/>
  <c r="C107"/>
  <c r="T107" s="1"/>
  <c r="C105"/>
  <c r="T105" s="1"/>
  <c r="C103"/>
  <c r="T103" s="1"/>
  <c r="C101"/>
  <c r="T101" s="1"/>
  <c r="C99"/>
  <c r="T99" s="1"/>
  <c r="D129"/>
  <c r="D127"/>
  <c r="Y127" s="1"/>
  <c r="D125"/>
  <c r="Z125" s="1"/>
  <c r="D124"/>
  <c r="AA124" s="1"/>
  <c r="D122"/>
  <c r="Y122" s="1"/>
  <c r="D120"/>
  <c r="D118"/>
  <c r="Y118" s="1"/>
  <c r="D116"/>
  <c r="D112"/>
  <c r="Y112" s="1"/>
  <c r="D110"/>
  <c r="D108"/>
  <c r="D106"/>
  <c r="Y106" s="1"/>
  <c r="D104"/>
  <c r="D102"/>
  <c r="AB16" i="28"/>
  <c r="AB74"/>
  <c r="AC66"/>
  <c r="AB84"/>
  <c r="AC55"/>
  <c r="AC49"/>
  <c r="AC83"/>
  <c r="AB20"/>
  <c r="AB2"/>
  <c r="AB11"/>
  <c r="AB82"/>
  <c r="AB64"/>
  <c r="AB3"/>
  <c r="AB15"/>
  <c r="AB66"/>
  <c r="AB55"/>
  <c r="AB49"/>
  <c r="AB83"/>
  <c r="AC82"/>
  <c r="AC52"/>
  <c r="H146" i="11"/>
  <c r="U50" i="28"/>
  <c r="M74"/>
  <c r="M74" a="1"/>
  <c r="H137" i="11"/>
  <c r="C59" i="7"/>
  <c r="D57"/>
  <c r="C58"/>
  <c r="T58" s="1"/>
  <c r="C22" i="11"/>
  <c r="N11" i="31"/>
  <c r="M313" i="21" s="1"/>
  <c r="N6" i="31"/>
  <c r="L27" i="21"/>
  <c r="L113"/>
  <c r="L261"/>
  <c r="L259"/>
  <c r="L257"/>
  <c r="L256"/>
  <c r="L254"/>
  <c r="L252"/>
  <c r="L250"/>
  <c r="L248"/>
  <c r="L246"/>
  <c r="L244"/>
  <c r="L242"/>
  <c r="L241"/>
  <c r="L239"/>
  <c r="L237"/>
  <c r="L235"/>
  <c r="L233"/>
  <c r="L231"/>
  <c r="L228"/>
  <c r="L227"/>
  <c r="L225"/>
  <c r="L223"/>
  <c r="L221"/>
  <c r="L219"/>
  <c r="L216"/>
  <c r="L214"/>
  <c r="L212"/>
  <c r="L210"/>
  <c r="L208"/>
  <c r="L206"/>
  <c r="L204"/>
  <c r="L202"/>
  <c r="L200"/>
  <c r="L198"/>
  <c r="L196"/>
  <c r="L194"/>
  <c r="L192"/>
  <c r="L190"/>
  <c r="L188"/>
  <c r="L186"/>
  <c r="L184"/>
  <c r="L182"/>
  <c r="L180"/>
  <c r="L178"/>
  <c r="L176"/>
  <c r="L174"/>
  <c r="L172"/>
  <c r="L170"/>
  <c r="L168"/>
  <c r="L166"/>
  <c r="L164"/>
  <c r="L162"/>
  <c r="L160"/>
  <c r="L158"/>
  <c r="L156"/>
  <c r="L154"/>
  <c r="L152"/>
  <c r="L150"/>
  <c r="L148"/>
  <c r="L146"/>
  <c r="L144"/>
  <c r="L142"/>
  <c r="L140"/>
  <c r="L138"/>
  <c r="L136"/>
  <c r="L134"/>
  <c r="L132"/>
  <c r="L130"/>
  <c r="L128"/>
  <c r="L126"/>
  <c r="L124"/>
  <c r="L122"/>
  <c r="L120"/>
  <c r="L118"/>
  <c r="L116"/>
  <c r="L114"/>
  <c r="L112"/>
  <c r="L110"/>
  <c r="L108"/>
  <c r="L106"/>
  <c r="L104"/>
  <c r="L102"/>
  <c r="L100"/>
  <c r="L98"/>
  <c r="L96"/>
  <c r="L94"/>
  <c r="L92"/>
  <c r="L90"/>
  <c r="L88"/>
  <c r="L86"/>
  <c r="L84"/>
  <c r="L82"/>
  <c r="L80"/>
  <c r="L78"/>
  <c r="L76"/>
  <c r="L74"/>
  <c r="L72"/>
  <c r="L70"/>
  <c r="L68"/>
  <c r="L66"/>
  <c r="L64"/>
  <c r="L62"/>
  <c r="L58"/>
  <c r="L56"/>
  <c r="L54"/>
  <c r="L52"/>
  <c r="L50"/>
  <c r="L48"/>
  <c r="L46"/>
  <c r="L44"/>
  <c r="L42"/>
  <c r="L40"/>
  <c r="L38"/>
  <c r="L36"/>
  <c r="L34"/>
  <c r="L32"/>
  <c r="L30"/>
  <c r="L28"/>
  <c r="L262"/>
  <c r="L260"/>
  <c r="L258"/>
  <c r="L255"/>
  <c r="L253"/>
  <c r="L251"/>
  <c r="L249"/>
  <c r="L247"/>
  <c r="L245"/>
  <c r="L243"/>
  <c r="L240"/>
  <c r="L238"/>
  <c r="L236"/>
  <c r="L234"/>
  <c r="L232"/>
  <c r="L230"/>
  <c r="L229"/>
  <c r="L226"/>
  <c r="L224"/>
  <c r="L222"/>
  <c r="L220"/>
  <c r="L218"/>
  <c r="L217"/>
  <c r="L215"/>
  <c r="L213"/>
  <c r="L211"/>
  <c r="L209"/>
  <c r="L207"/>
  <c r="L205"/>
  <c r="L203"/>
  <c r="L201"/>
  <c r="L199"/>
  <c r="L197"/>
  <c r="L195"/>
  <c r="L193"/>
  <c r="L191"/>
  <c r="L189"/>
  <c r="L187"/>
  <c r="L185"/>
  <c r="L183"/>
  <c r="L181"/>
  <c r="L179"/>
  <c r="L177"/>
  <c r="L175"/>
  <c r="L173"/>
  <c r="L171"/>
  <c r="L169"/>
  <c r="L167"/>
  <c r="L165"/>
  <c r="L163"/>
  <c r="L161"/>
  <c r="L159"/>
  <c r="L157"/>
  <c r="L155"/>
  <c r="L153"/>
  <c r="L151"/>
  <c r="L149"/>
  <c r="L147"/>
  <c r="L145"/>
  <c r="L143"/>
  <c r="L141"/>
  <c r="L139"/>
  <c r="L137"/>
  <c r="L135"/>
  <c r="L133"/>
  <c r="L131"/>
  <c r="L129"/>
  <c r="L127"/>
  <c r="L125"/>
  <c r="L123"/>
  <c r="L121"/>
  <c r="L119"/>
  <c r="L117"/>
  <c r="L115"/>
  <c r="L111"/>
  <c r="L109"/>
  <c r="L107"/>
  <c r="L105"/>
  <c r="L103"/>
  <c r="L101"/>
  <c r="L99"/>
  <c r="L97"/>
  <c r="L95"/>
  <c r="L93"/>
  <c r="L91"/>
  <c r="L89"/>
  <c r="L87"/>
  <c r="L85"/>
  <c r="L83"/>
  <c r="L81"/>
  <c r="L79"/>
  <c r="L77"/>
  <c r="L75"/>
  <c r="L73"/>
  <c r="L71"/>
  <c r="L69"/>
  <c r="L67"/>
  <c r="L65"/>
  <c r="L63"/>
  <c r="L61"/>
  <c r="L59"/>
  <c r="L57"/>
  <c r="L55"/>
  <c r="L53"/>
  <c r="L51"/>
  <c r="L49"/>
  <c r="L47"/>
  <c r="L45"/>
  <c r="L43"/>
  <c r="L41"/>
  <c r="L39"/>
  <c r="L37"/>
  <c r="L35"/>
  <c r="L33"/>
  <c r="L31"/>
  <c r="L29"/>
  <c r="N12" i="31"/>
  <c r="M274" i="21" s="1"/>
  <c r="N43" i="31"/>
  <c r="N39"/>
  <c r="I44" i="30"/>
  <c r="N5" i="31"/>
  <c r="C82" i="7"/>
  <c r="C78"/>
  <c r="T78" s="1"/>
  <c r="C84"/>
  <c r="C80"/>
  <c r="C65"/>
  <c r="C60"/>
  <c r="T60" s="1"/>
  <c r="D45"/>
  <c r="D76"/>
  <c r="Y76" s="1"/>
  <c r="C61"/>
  <c r="U9" i="28"/>
  <c r="D62" i="7"/>
  <c r="W62" s="1"/>
  <c r="C85"/>
  <c r="C83"/>
  <c r="C81"/>
  <c r="C79"/>
  <c r="C77"/>
  <c r="C76"/>
  <c r="D52"/>
  <c r="W52" s="1"/>
  <c r="C63"/>
  <c r="C97"/>
  <c r="AJ61" i="4"/>
  <c r="AL61"/>
  <c r="AN61"/>
  <c r="AP61"/>
  <c r="AQ61"/>
  <c r="S42" i="28"/>
  <c r="S40"/>
  <c r="AI61" i="4"/>
  <c r="AK61"/>
  <c r="AM61"/>
  <c r="AO61"/>
  <c r="C98" i="7"/>
  <c r="N19" i="31"/>
  <c r="N13"/>
  <c r="J41" i="30"/>
  <c r="J43"/>
  <c r="J47"/>
  <c r="J3"/>
  <c r="I9"/>
  <c r="J8"/>
  <c r="H8"/>
  <c r="J19"/>
  <c r="H19"/>
  <c r="J42"/>
  <c r="H42"/>
  <c r="H44"/>
  <c r="H41"/>
  <c r="H43"/>
  <c r="H45"/>
  <c r="H47"/>
  <c r="H3"/>
  <c r="H4"/>
  <c r="H9"/>
  <c r="I8"/>
  <c r="I19"/>
  <c r="I42"/>
  <c r="H59" i="11"/>
  <c r="H42"/>
  <c r="H115"/>
  <c r="C23"/>
  <c r="AC61" i="28"/>
  <c r="C96" i="7"/>
  <c r="C95"/>
  <c r="C94"/>
  <c r="T94" s="1"/>
  <c r="C93"/>
  <c r="C92"/>
  <c r="I43" i="30"/>
  <c r="I3"/>
  <c r="I4"/>
  <c r="D68" i="7"/>
  <c r="AA68" s="1"/>
  <c r="I45" i="30"/>
  <c r="I47"/>
  <c r="I41"/>
  <c r="M10" a="1"/>
  <c r="M10" s="1"/>
  <c r="C89" i="7"/>
  <c r="C88"/>
  <c r="C87"/>
  <c r="C86"/>
  <c r="N4" i="31"/>
  <c r="H26" i="30"/>
  <c r="I26"/>
  <c r="C74" i="7"/>
  <c r="H10" i="30"/>
  <c r="I11"/>
  <c r="D69" i="7"/>
  <c r="D67"/>
  <c r="Y67" s="1"/>
  <c r="D75"/>
  <c r="C66"/>
  <c r="D64"/>
  <c r="D66"/>
  <c r="Y66" s="1"/>
  <c r="J16" i="4"/>
  <c r="J19"/>
  <c r="M118" i="21"/>
  <c r="D56" i="7"/>
  <c r="W56" s="1"/>
  <c r="D51"/>
  <c r="W51" s="1"/>
  <c r="T29" i="30" s="1"/>
  <c r="I16"/>
  <c r="J16"/>
  <c r="I53"/>
  <c r="J53"/>
  <c r="I50"/>
  <c r="J49"/>
  <c r="H50"/>
  <c r="I49"/>
  <c r="I48"/>
  <c r="J48"/>
  <c r="I38"/>
  <c r="J38"/>
  <c r="I36"/>
  <c r="J36"/>
  <c r="I34"/>
  <c r="J34"/>
  <c r="I28"/>
  <c r="I29"/>
  <c r="I30"/>
  <c r="J28"/>
  <c r="H28"/>
  <c r="J29"/>
  <c r="H29"/>
  <c r="J30"/>
  <c r="H30"/>
  <c r="N27" i="31"/>
  <c r="N57"/>
  <c r="M40" i="21" s="1"/>
  <c r="N67" i="31"/>
  <c r="M134" i="21" s="1"/>
  <c r="N73" i="31"/>
  <c r="M90" i="21" s="1"/>
  <c r="I22" i="30"/>
  <c r="J22"/>
  <c r="I12"/>
  <c r="J12"/>
  <c r="N61" i="31"/>
  <c r="M218" i="21" s="1"/>
  <c r="N71" i="31"/>
  <c r="M74" i="21" s="1"/>
  <c r="L22"/>
  <c r="M4"/>
  <c r="M8"/>
  <c r="M12"/>
  <c r="M16"/>
  <c r="M24"/>
  <c r="M30"/>
  <c r="M34"/>
  <c r="M36"/>
  <c r="M42"/>
  <c r="M48"/>
  <c r="M70"/>
  <c r="M86"/>
  <c r="M106"/>
  <c r="M140"/>
  <c r="M146"/>
  <c r="M148"/>
  <c r="M150"/>
  <c r="M166"/>
  <c r="M170"/>
  <c r="M206"/>
  <c r="M210"/>
  <c r="M237"/>
  <c r="M239"/>
  <c r="M244"/>
  <c r="L4"/>
  <c r="L6"/>
  <c r="L8"/>
  <c r="L10"/>
  <c r="L12"/>
  <c r="L14"/>
  <c r="L16"/>
  <c r="L18"/>
  <c r="L20"/>
  <c r="L24"/>
  <c r="L26"/>
  <c r="L2"/>
  <c r="N28" i="31"/>
  <c r="H17" i="30"/>
  <c r="N24" i="31"/>
  <c r="M116" i="21" s="1"/>
  <c r="H14" i="30"/>
  <c r="N9" i="31"/>
  <c r="M18" i="21" s="1"/>
  <c r="H7" i="30"/>
  <c r="N72" i="31"/>
  <c r="M14" i="21" s="1"/>
  <c r="H51" i="30"/>
  <c r="N66" i="31"/>
  <c r="H46" i="30"/>
  <c r="N60" i="31"/>
  <c r="M172" i="21" s="1"/>
  <c r="H37" i="30"/>
  <c r="N50" i="31"/>
  <c r="M204" i="21" s="1"/>
  <c r="H33" i="30"/>
  <c r="N48" i="31"/>
  <c r="M186" i="21" s="1"/>
  <c r="H31" i="30"/>
  <c r="N40" i="31"/>
  <c r="M126" i="21" s="1"/>
  <c r="H25" i="30"/>
  <c r="M160" i="21"/>
  <c r="H23" i="30"/>
  <c r="N33" i="31"/>
  <c r="M235" i="21" s="1"/>
  <c r="H20" i="30"/>
  <c r="N21" i="31"/>
  <c r="H11" i="30"/>
  <c r="N26" i="31"/>
  <c r="M214" i="21" s="1"/>
  <c r="N2" i="31"/>
  <c r="M60" i="21" s="1"/>
  <c r="N70" i="31"/>
  <c r="M208" i="21" s="1"/>
  <c r="N62" i="31"/>
  <c r="M120" i="21" s="1"/>
  <c r="N56" i="31"/>
  <c r="M38" i="21" s="1"/>
  <c r="N49" i="31"/>
  <c r="M128" i="21" s="1"/>
  <c r="N34" i="31"/>
  <c r="M56" i="21" s="1"/>
  <c r="N23" i="31"/>
  <c r="M164" i="21" s="1"/>
  <c r="N22" i="31"/>
  <c r="M10" i="21" s="1"/>
  <c r="N25" i="31"/>
  <c r="M178" i="21" s="1"/>
  <c r="L25"/>
  <c r="L23"/>
  <c r="L21"/>
  <c r="L19"/>
  <c r="L17"/>
  <c r="L15"/>
  <c r="L13"/>
  <c r="L11"/>
  <c r="L9"/>
  <c r="L7"/>
  <c r="L5"/>
  <c r="L3"/>
  <c r="M245"/>
  <c r="M240"/>
  <c r="M236"/>
  <c r="M230"/>
  <c r="M224"/>
  <c r="M222"/>
  <c r="M217"/>
  <c r="M213"/>
  <c r="M211"/>
  <c r="M207"/>
  <c r="M195"/>
  <c r="M189"/>
  <c r="M187"/>
  <c r="M185"/>
  <c r="M179"/>
  <c r="M177"/>
  <c r="M169"/>
  <c r="M159"/>
  <c r="M157"/>
  <c r="M155"/>
  <c r="M153"/>
  <c r="M151"/>
  <c r="M145"/>
  <c r="M141"/>
  <c r="M137"/>
  <c r="M129"/>
  <c r="M125"/>
  <c r="M123"/>
  <c r="M117"/>
  <c r="M103"/>
  <c r="M99"/>
  <c r="M97"/>
  <c r="M95"/>
  <c r="M93"/>
  <c r="M91"/>
  <c r="M83"/>
  <c r="M75"/>
  <c r="M73"/>
  <c r="M71"/>
  <c r="M57"/>
  <c r="M51"/>
  <c r="M49"/>
  <c r="M45"/>
  <c r="M41"/>
  <c r="M29"/>
  <c r="M21"/>
  <c r="M9"/>
  <c r="M5"/>
  <c r="M3"/>
  <c r="I10" i="30"/>
  <c r="I18"/>
  <c r="I17"/>
  <c r="I15"/>
  <c r="I14"/>
  <c r="I7"/>
  <c r="I2"/>
  <c r="I51"/>
  <c r="I46"/>
  <c r="I39"/>
  <c r="I37"/>
  <c r="I35"/>
  <c r="I33"/>
  <c r="I32"/>
  <c r="I31"/>
  <c r="I27"/>
  <c r="I25"/>
  <c r="I24"/>
  <c r="I23"/>
  <c r="I21"/>
  <c r="I20"/>
  <c r="I13"/>
  <c r="M142" i="21"/>
  <c r="H15" i="30"/>
  <c r="H2"/>
  <c r="H39"/>
  <c r="H35"/>
  <c r="H32"/>
  <c r="H27"/>
  <c r="H24"/>
  <c r="H21"/>
  <c r="H13"/>
  <c r="N44" i="31"/>
  <c r="M102" i="21" s="1"/>
  <c r="N35" i="31"/>
  <c r="M68" i="21" s="1"/>
  <c r="N29" i="31"/>
  <c r="N47"/>
  <c r="C7" i="22"/>
  <c r="C30"/>
  <c r="C28"/>
  <c r="C26"/>
  <c r="C24"/>
  <c r="C22"/>
  <c r="C19"/>
  <c r="C17"/>
  <c r="C15"/>
  <c r="C13"/>
  <c r="C11"/>
  <c r="C9"/>
  <c r="C29"/>
  <c r="C27"/>
  <c r="C25"/>
  <c r="C23"/>
  <c r="C21"/>
  <c r="C18"/>
  <c r="C16"/>
  <c r="C14"/>
  <c r="C12"/>
  <c r="C10"/>
  <c r="C8"/>
  <c r="X26"/>
  <c r="X7"/>
  <c r="X8"/>
  <c r="X13"/>
  <c r="X15"/>
  <c r="X16"/>
  <c r="X22"/>
  <c r="X24"/>
  <c r="X25"/>
  <c r="X17"/>
  <c r="X30"/>
  <c r="K261" i="21"/>
  <c r="J262"/>
  <c r="K262" s="1"/>
  <c r="X9" i="22"/>
  <c r="X11"/>
  <c r="X12"/>
  <c r="X19"/>
  <c r="X21"/>
  <c r="X28"/>
  <c r="X29"/>
  <c r="J259" i="21"/>
  <c r="K259" s="1"/>
  <c r="J257"/>
  <c r="K257" s="1"/>
  <c r="J256"/>
  <c r="K256" s="1"/>
  <c r="J254"/>
  <c r="K254" s="1"/>
  <c r="J252"/>
  <c r="K252" s="1"/>
  <c r="J250"/>
  <c r="K250" s="1"/>
  <c r="J248"/>
  <c r="K248" s="1"/>
  <c r="J246"/>
  <c r="K246" s="1"/>
  <c r="J244"/>
  <c r="K244" s="1"/>
  <c r="J242"/>
  <c r="K242" s="1"/>
  <c r="J241"/>
  <c r="K241" s="1"/>
  <c r="J239"/>
  <c r="K239" s="1"/>
  <c r="J237"/>
  <c r="K237" s="1"/>
  <c r="J234"/>
  <c r="K234" s="1"/>
  <c r="J230"/>
  <c r="K230" s="1"/>
  <c r="J224"/>
  <c r="K224" s="1"/>
  <c r="J220"/>
  <c r="K220" s="1"/>
  <c r="J217"/>
  <c r="K217" s="1"/>
  <c r="J215"/>
  <c r="K215" s="1"/>
  <c r="J211"/>
  <c r="K211" s="1"/>
  <c r="J207"/>
  <c r="K207" s="1"/>
  <c r="J203"/>
  <c r="K203" s="1"/>
  <c r="J199"/>
  <c r="K199" s="1"/>
  <c r="J195"/>
  <c r="K195" s="1"/>
  <c r="J191"/>
  <c r="K191" s="1"/>
  <c r="J187"/>
  <c r="K187" s="1"/>
  <c r="J183"/>
  <c r="K183" s="1"/>
  <c r="J179"/>
  <c r="K179" s="1"/>
  <c r="J175"/>
  <c r="K175" s="1"/>
  <c r="J171"/>
  <c r="K171" s="1"/>
  <c r="J167"/>
  <c r="K167" s="1"/>
  <c r="J163"/>
  <c r="K163" s="1"/>
  <c r="J159"/>
  <c r="K159" s="1"/>
  <c r="J155"/>
  <c r="K155" s="1"/>
  <c r="J151"/>
  <c r="K151" s="1"/>
  <c r="J147"/>
  <c r="K147" s="1"/>
  <c r="J143"/>
  <c r="K143" s="1"/>
  <c r="J139"/>
  <c r="K139" s="1"/>
  <c r="J135"/>
  <c r="K135" s="1"/>
  <c r="J131"/>
  <c r="K131" s="1"/>
  <c r="J127"/>
  <c r="K127" s="1"/>
  <c r="J123"/>
  <c r="K123" s="1"/>
  <c r="J119"/>
  <c r="K119" s="1"/>
  <c r="J115"/>
  <c r="K115" s="1"/>
  <c r="J111"/>
  <c r="J107"/>
  <c r="J103"/>
  <c r="K103" s="1"/>
  <c r="J99"/>
  <c r="K99" s="1"/>
  <c r="J95"/>
  <c r="K95" s="1"/>
  <c r="J91"/>
  <c r="K91" s="1"/>
  <c r="J87"/>
  <c r="K87" s="1"/>
  <c r="J83"/>
  <c r="K83" s="1"/>
  <c r="J79"/>
  <c r="K79" s="1"/>
  <c r="J75"/>
  <c r="J71"/>
  <c r="K71" s="1"/>
  <c r="J67"/>
  <c r="K67" s="1"/>
  <c r="J63"/>
  <c r="K63" s="1"/>
  <c r="J59"/>
  <c r="K59" s="1"/>
  <c r="J55"/>
  <c r="K55" s="1"/>
  <c r="J51"/>
  <c r="K51" s="1"/>
  <c r="J47"/>
  <c r="K47" s="1"/>
  <c r="J43"/>
  <c r="K43" s="1"/>
  <c r="J39"/>
  <c r="K39" s="1"/>
  <c r="J35"/>
  <c r="J31"/>
  <c r="K31" s="1"/>
  <c r="J27"/>
  <c r="K27" s="1"/>
  <c r="J23"/>
  <c r="K23" s="1"/>
  <c r="J19"/>
  <c r="K19" s="1"/>
  <c r="J15"/>
  <c r="K15" s="1"/>
  <c r="J11"/>
  <c r="K11" s="1"/>
  <c r="J7"/>
  <c r="J3"/>
  <c r="J2"/>
  <c r="J260"/>
  <c r="K260" s="1"/>
  <c r="J258"/>
  <c r="K258" s="1"/>
  <c r="J255"/>
  <c r="K255" s="1"/>
  <c r="J253"/>
  <c r="K253" s="1"/>
  <c r="J251"/>
  <c r="K251" s="1"/>
  <c r="J249"/>
  <c r="K249" s="1"/>
  <c r="J247"/>
  <c r="K247" s="1"/>
  <c r="J245"/>
  <c r="K245" s="1"/>
  <c r="J243"/>
  <c r="K243" s="1"/>
  <c r="J240"/>
  <c r="K240" s="1"/>
  <c r="J238"/>
  <c r="K238" s="1"/>
  <c r="J236"/>
  <c r="K236" s="1"/>
  <c r="J232"/>
  <c r="K232" s="1"/>
  <c r="J229"/>
  <c r="K229" s="1"/>
  <c r="J226"/>
  <c r="K226" s="1"/>
  <c r="J222"/>
  <c r="K222" s="1"/>
  <c r="J218"/>
  <c r="K218" s="1"/>
  <c r="J213"/>
  <c r="J209"/>
  <c r="K209" s="1"/>
  <c r="J205"/>
  <c r="K205" s="1"/>
  <c r="J201"/>
  <c r="K201" s="1"/>
  <c r="J197"/>
  <c r="K197" s="1"/>
  <c r="J193"/>
  <c r="K193" s="1"/>
  <c r="J189"/>
  <c r="K189" s="1"/>
  <c r="J185"/>
  <c r="K185" s="1"/>
  <c r="J181"/>
  <c r="K181" s="1"/>
  <c r="J177"/>
  <c r="K177" s="1"/>
  <c r="J173"/>
  <c r="K173" s="1"/>
  <c r="J169"/>
  <c r="K169" s="1"/>
  <c r="J165"/>
  <c r="K165" s="1"/>
  <c r="J161"/>
  <c r="K161" s="1"/>
  <c r="J157"/>
  <c r="K157" s="1"/>
  <c r="J153"/>
  <c r="K153" s="1"/>
  <c r="J149"/>
  <c r="K149" s="1"/>
  <c r="J145"/>
  <c r="K145" s="1"/>
  <c r="J141"/>
  <c r="K141" s="1"/>
  <c r="J137"/>
  <c r="K137" s="1"/>
  <c r="J133"/>
  <c r="K133" s="1"/>
  <c r="J129"/>
  <c r="K129" s="1"/>
  <c r="J125"/>
  <c r="K125" s="1"/>
  <c r="J121"/>
  <c r="K121" s="1"/>
  <c r="J117"/>
  <c r="K117" s="1"/>
  <c r="J113"/>
  <c r="K113" s="1"/>
  <c r="J109"/>
  <c r="K109" s="1"/>
  <c r="J105"/>
  <c r="K105" s="1"/>
  <c r="J101"/>
  <c r="K101" s="1"/>
  <c r="J97"/>
  <c r="J93"/>
  <c r="K93" s="1"/>
  <c r="J89"/>
  <c r="K89" s="1"/>
  <c r="J85"/>
  <c r="K85" s="1"/>
  <c r="J81"/>
  <c r="K81" s="1"/>
  <c r="J77"/>
  <c r="K77" s="1"/>
  <c r="J73"/>
  <c r="K73" s="1"/>
  <c r="J69"/>
  <c r="K69" s="1"/>
  <c r="J65"/>
  <c r="K65" s="1"/>
  <c r="J61"/>
  <c r="K61" s="1"/>
  <c r="J57"/>
  <c r="K57" s="1"/>
  <c r="J53"/>
  <c r="K53" s="1"/>
  <c r="J49"/>
  <c r="K49" s="1"/>
  <c r="J45"/>
  <c r="K45" s="1"/>
  <c r="J41"/>
  <c r="K41" s="1"/>
  <c r="J37"/>
  <c r="K37" s="1"/>
  <c r="J33"/>
  <c r="K33" s="1"/>
  <c r="J29"/>
  <c r="K29" s="1"/>
  <c r="J25"/>
  <c r="K25" s="1"/>
  <c r="J21"/>
  <c r="K21" s="1"/>
  <c r="J17"/>
  <c r="K17" s="1"/>
  <c r="J13"/>
  <c r="K13" s="1"/>
  <c r="J9"/>
  <c r="J5"/>
  <c r="K5" s="1"/>
  <c r="J4"/>
  <c r="J6"/>
  <c r="J8"/>
  <c r="K8" s="1"/>
  <c r="J10"/>
  <c r="J12"/>
  <c r="K12" s="1"/>
  <c r="J14"/>
  <c r="K14" s="1"/>
  <c r="J16"/>
  <c r="J18"/>
  <c r="J20"/>
  <c r="K20" s="1"/>
  <c r="J22"/>
  <c r="K22" s="1"/>
  <c r="J24"/>
  <c r="K24" s="1"/>
  <c r="J26"/>
  <c r="K26" s="1"/>
  <c r="J28"/>
  <c r="J30"/>
  <c r="K30" s="1"/>
  <c r="J32"/>
  <c r="K32" s="1"/>
  <c r="J34"/>
  <c r="K34" s="1"/>
  <c r="J36"/>
  <c r="K36" s="1"/>
  <c r="J38"/>
  <c r="J40"/>
  <c r="K40" s="1"/>
  <c r="J42"/>
  <c r="K42" s="1"/>
  <c r="J44"/>
  <c r="K44" s="1"/>
  <c r="J46"/>
  <c r="K46" s="1"/>
  <c r="J48"/>
  <c r="K48" s="1"/>
  <c r="J50"/>
  <c r="K50" s="1"/>
  <c r="J52"/>
  <c r="K52" s="1"/>
  <c r="J54"/>
  <c r="K54" s="1"/>
  <c r="J56"/>
  <c r="K56" s="1"/>
  <c r="J58"/>
  <c r="K58" s="1"/>
  <c r="J60"/>
  <c r="J62"/>
  <c r="K62" s="1"/>
  <c r="J64"/>
  <c r="K64" s="1"/>
  <c r="J66"/>
  <c r="K66" s="1"/>
  <c r="J68"/>
  <c r="K68" s="1"/>
  <c r="J70"/>
  <c r="K70" s="1"/>
  <c r="J72"/>
  <c r="K72" s="1"/>
  <c r="J74"/>
  <c r="K74" s="1"/>
  <c r="J76"/>
  <c r="K76" s="1"/>
  <c r="J78"/>
  <c r="K78" s="1"/>
  <c r="J80"/>
  <c r="K80" s="1"/>
  <c r="J82"/>
  <c r="K82" s="1"/>
  <c r="J84"/>
  <c r="K84" s="1"/>
  <c r="J86"/>
  <c r="K86" s="1"/>
  <c r="J88"/>
  <c r="J90"/>
  <c r="K90" s="1"/>
  <c r="J92"/>
  <c r="K92" s="1"/>
  <c r="J94"/>
  <c r="K94" s="1"/>
  <c r="J96"/>
  <c r="K96" s="1"/>
  <c r="J98"/>
  <c r="K98" s="1"/>
  <c r="J100"/>
  <c r="K100" s="1"/>
  <c r="J102"/>
  <c r="K102" s="1"/>
  <c r="J104"/>
  <c r="K104" s="1"/>
  <c r="J106"/>
  <c r="K106" s="1"/>
  <c r="J108"/>
  <c r="K108" s="1"/>
  <c r="J110"/>
  <c r="K110" s="1"/>
  <c r="J112"/>
  <c r="K112" s="1"/>
  <c r="J114"/>
  <c r="K114" s="1"/>
  <c r="J116"/>
  <c r="K116" s="1"/>
  <c r="J118"/>
  <c r="K118" s="1"/>
  <c r="J120"/>
  <c r="K120" s="1"/>
  <c r="J122"/>
  <c r="K122" s="1"/>
  <c r="J124"/>
  <c r="K124" s="1"/>
  <c r="J126"/>
  <c r="J128"/>
  <c r="K128" s="1"/>
  <c r="J130"/>
  <c r="K130" s="1"/>
  <c r="J132"/>
  <c r="K132" s="1"/>
  <c r="J134"/>
  <c r="K134" s="1"/>
  <c r="J136"/>
  <c r="K136" s="1"/>
  <c r="J138"/>
  <c r="K138" s="1"/>
  <c r="J140"/>
  <c r="K140" s="1"/>
  <c r="J142"/>
  <c r="K142" s="1"/>
  <c r="J144"/>
  <c r="J146"/>
  <c r="K146" s="1"/>
  <c r="J148"/>
  <c r="K148" s="1"/>
  <c r="J150"/>
  <c r="K150" s="1"/>
  <c r="J152"/>
  <c r="K152" s="1"/>
  <c r="J154"/>
  <c r="K154" s="1"/>
  <c r="J156"/>
  <c r="K156" s="1"/>
  <c r="J158"/>
  <c r="K158" s="1"/>
  <c r="J160"/>
  <c r="K160" s="1"/>
  <c r="J162"/>
  <c r="K162" s="1"/>
  <c r="J164"/>
  <c r="J166"/>
  <c r="K166" s="1"/>
  <c r="J168"/>
  <c r="K168" s="1"/>
  <c r="J170"/>
  <c r="K170" s="1"/>
  <c r="J172"/>
  <c r="K172" s="1"/>
  <c r="J174"/>
  <c r="K174" s="1"/>
  <c r="J176"/>
  <c r="K176" s="1"/>
  <c r="J178"/>
  <c r="K178" s="1"/>
  <c r="J180"/>
  <c r="K180" s="1"/>
  <c r="J182"/>
  <c r="K182" s="1"/>
  <c r="J184"/>
  <c r="K184" s="1"/>
  <c r="J186"/>
  <c r="K186" s="1"/>
  <c r="J188"/>
  <c r="K188" s="1"/>
  <c r="J190"/>
  <c r="K190" s="1"/>
  <c r="J192"/>
  <c r="K192" s="1"/>
  <c r="J194"/>
  <c r="K194" s="1"/>
  <c r="J196"/>
  <c r="K196" s="1"/>
  <c r="J198"/>
  <c r="K198" s="1"/>
  <c r="J200"/>
  <c r="K200" s="1"/>
  <c r="J202"/>
  <c r="K202" s="1"/>
  <c r="J204"/>
  <c r="K204" s="1"/>
  <c r="J206"/>
  <c r="K206" s="1"/>
  <c r="J208"/>
  <c r="K208" s="1"/>
  <c r="J210"/>
  <c r="K210" s="1"/>
  <c r="J212"/>
  <c r="K212" s="1"/>
  <c r="J214"/>
  <c r="K214" s="1"/>
  <c r="J216"/>
  <c r="K216" s="1"/>
  <c r="J219"/>
  <c r="K219" s="1"/>
  <c r="J221"/>
  <c r="K221" s="1"/>
  <c r="J223"/>
  <c r="K223" s="1"/>
  <c r="J225"/>
  <c r="K225" s="1"/>
  <c r="J227"/>
  <c r="K227" s="1"/>
  <c r="J228"/>
  <c r="K228" s="1"/>
  <c r="J231"/>
  <c r="K231" s="1"/>
  <c r="J233"/>
  <c r="K233" s="1"/>
  <c r="J235"/>
  <c r="K235" s="1"/>
  <c r="S7" i="28"/>
  <c r="V7" s="1"/>
  <c r="X6" i="22"/>
  <c r="X10"/>
  <c r="X14"/>
  <c r="X18"/>
  <c r="X23"/>
  <c r="X27"/>
  <c r="J60" i="4"/>
  <c r="U39" i="37" s="1"/>
  <c r="J58" i="4"/>
  <c r="J56"/>
  <c r="J54"/>
  <c r="J52"/>
  <c r="J50"/>
  <c r="J48"/>
  <c r="J46"/>
  <c r="U37" i="37" s="1"/>
  <c r="J43" i="4"/>
  <c r="J41"/>
  <c r="J39"/>
  <c r="J37"/>
  <c r="J34"/>
  <c r="J30"/>
  <c r="J28"/>
  <c r="J26"/>
  <c r="J24"/>
  <c r="J22"/>
  <c r="J20"/>
  <c r="J17"/>
  <c r="J59"/>
  <c r="J57"/>
  <c r="J55"/>
  <c r="J53"/>
  <c r="J51"/>
  <c r="J49"/>
  <c r="J47"/>
  <c r="J44"/>
  <c r="J42"/>
  <c r="U28" i="37" s="1"/>
  <c r="J40" i="4"/>
  <c r="J38"/>
  <c r="J36"/>
  <c r="J31"/>
  <c r="J29"/>
  <c r="J27"/>
  <c r="J25"/>
  <c r="J23"/>
  <c r="J21"/>
  <c r="J18"/>
  <c r="H141" i="11"/>
  <c r="S70" i="28"/>
  <c r="V70" s="1"/>
  <c r="C55" i="7"/>
  <c r="T55" s="1"/>
  <c r="C54"/>
  <c r="T54" s="1"/>
  <c r="C53"/>
  <c r="C52"/>
  <c r="C50"/>
  <c r="T50" s="1"/>
  <c r="C49"/>
  <c r="C48"/>
  <c r="T48" s="1"/>
  <c r="C46"/>
  <c r="T46" s="1"/>
  <c r="C47"/>
  <c r="U75" i="28"/>
  <c r="S32"/>
  <c r="S29"/>
  <c r="S27"/>
  <c r="AC11"/>
  <c r="Y2"/>
  <c r="Y3"/>
  <c r="S31"/>
  <c r="S66"/>
  <c r="V66" s="1"/>
  <c r="AC7"/>
  <c r="U61"/>
  <c r="M51"/>
  <c r="H77" i="11"/>
  <c r="M37" i="28"/>
  <c r="H154" i="11"/>
  <c r="H161" s="1"/>
  <c r="H169" s="1"/>
  <c r="H170" s="1"/>
  <c r="H177" s="1"/>
  <c r="H180" s="1"/>
  <c r="H209" s="1"/>
  <c r="H254" s="1"/>
  <c r="H255" s="1"/>
  <c r="H257" s="1"/>
  <c r="H259" s="1"/>
  <c r="H261" s="1"/>
  <c r="H266" s="1"/>
  <c r="H274" s="1"/>
  <c r="H277" s="1"/>
  <c r="H279" s="1"/>
  <c r="H286" s="1"/>
  <c r="H287" s="1"/>
  <c r="H289" s="1"/>
  <c r="H290" s="1"/>
  <c r="H291" s="1"/>
  <c r="H294" s="1"/>
  <c r="H295" s="1"/>
  <c r="H298" s="1"/>
  <c r="H312" s="1"/>
  <c r="H318" s="1"/>
  <c r="H339" s="1"/>
  <c r="H342" s="1"/>
  <c r="H352" s="1"/>
  <c r="H353" s="1"/>
  <c r="H156"/>
  <c r="H164" s="1"/>
  <c r="H285" s="1"/>
  <c r="H307" s="1"/>
  <c r="H331" s="1"/>
  <c r="H333" s="1"/>
  <c r="H168"/>
  <c r="H186" s="1"/>
  <c r="H189" s="1"/>
  <c r="H244" s="1"/>
  <c r="H284" s="1"/>
  <c r="H309" s="1"/>
  <c r="H356" s="1"/>
  <c r="H358" s="1"/>
  <c r="H192"/>
  <c r="H197" s="1"/>
  <c r="H203" s="1"/>
  <c r="H206" s="1"/>
  <c r="H215" s="1"/>
  <c r="H223" s="1"/>
  <c r="H429" s="1"/>
  <c r="H438" s="1"/>
  <c r="H242"/>
  <c r="H253" s="1"/>
  <c r="H256" s="1"/>
  <c r="H334" s="1"/>
  <c r="H292"/>
  <c r="H296" s="1"/>
  <c r="H304" s="1"/>
  <c r="H305" s="1"/>
  <c r="H319" s="1"/>
  <c r="H323" s="1"/>
  <c r="H326" s="1"/>
  <c r="H336" s="1"/>
  <c r="H338" s="1"/>
  <c r="H306"/>
  <c r="H341" s="1"/>
  <c r="H346" s="1"/>
  <c r="H349" s="1"/>
  <c r="H354" s="1"/>
  <c r="H316"/>
  <c r="H332" s="1"/>
  <c r="H335" s="1"/>
  <c r="H337" s="1"/>
  <c r="H344" s="1"/>
  <c r="H347" s="1"/>
  <c r="H351" s="1"/>
  <c r="H359" s="1"/>
  <c r="H422"/>
  <c r="H155"/>
  <c r="H166" s="1"/>
  <c r="H167" s="1"/>
  <c r="H178" s="1"/>
  <c r="H179" s="1"/>
  <c r="H200" s="1"/>
  <c r="H218" s="1"/>
  <c r="H249" s="1"/>
  <c r="H269" s="1"/>
  <c r="H272" s="1"/>
  <c r="H273" s="1"/>
  <c r="H280" s="1"/>
  <c r="H281" s="1"/>
  <c r="H282" s="1"/>
  <c r="H288" s="1"/>
  <c r="H299" s="1"/>
  <c r="H157"/>
  <c r="H216" s="1"/>
  <c r="H234" s="1"/>
  <c r="H246" s="1"/>
  <c r="H267" s="1"/>
  <c r="H283" s="1"/>
  <c r="H297" s="1"/>
  <c r="H345" s="1"/>
  <c r="H355" s="1"/>
  <c r="H163"/>
  <c r="H212" s="1"/>
  <c r="H420" s="1"/>
  <c r="H426" s="1"/>
  <c r="H427" s="1"/>
  <c r="H433" s="1"/>
  <c r="H435" s="1"/>
  <c r="H439" s="1"/>
  <c r="H440" s="1"/>
  <c r="H171"/>
  <c r="H175" s="1"/>
  <c r="H176" s="1"/>
  <c r="H187" s="1"/>
  <c r="H217" s="1"/>
  <c r="H252" s="1"/>
  <c r="H264" s="1"/>
  <c r="H191"/>
  <c r="H211" s="1"/>
  <c r="H222" s="1"/>
  <c r="H230" s="1"/>
  <c r="H232" s="1"/>
  <c r="H258" s="1"/>
  <c r="H263" s="1"/>
  <c r="H421" s="1"/>
  <c r="H193"/>
  <c r="H228" s="1"/>
  <c r="H235" s="1"/>
  <c r="H361" s="1"/>
  <c r="H376" s="1"/>
  <c r="H313"/>
  <c r="H321" s="1"/>
  <c r="H325" s="1"/>
  <c r="H343" s="1"/>
  <c r="H348" s="1"/>
  <c r="H363"/>
  <c r="H365" s="1"/>
  <c r="H366" s="1"/>
  <c r="H369" s="1"/>
  <c r="H372" s="1"/>
  <c r="H374" s="1"/>
  <c r="H377" s="1"/>
  <c r="H378" s="1"/>
  <c r="H379" s="1"/>
  <c r="H381" s="1"/>
  <c r="H383" s="1"/>
  <c r="H384" s="1"/>
  <c r="H385" s="1"/>
  <c r="H388" s="1"/>
  <c r="H389" s="1"/>
  <c r="H390" s="1"/>
  <c r="H391" s="1"/>
  <c r="H392" s="1"/>
  <c r="H393" s="1"/>
  <c r="H395" s="1"/>
  <c r="H400" s="1"/>
  <c r="H402" s="1"/>
  <c r="H404" s="1"/>
  <c r="H406" s="1"/>
  <c r="H407" s="1"/>
  <c r="H408" s="1"/>
  <c r="H410" s="1"/>
  <c r="H411" s="1"/>
  <c r="H413" s="1"/>
  <c r="H415" s="1"/>
  <c r="H416" s="1"/>
  <c r="H419" s="1"/>
  <c r="H425" s="1"/>
  <c r="H442" s="1"/>
  <c r="H446" s="1"/>
  <c r="H450" s="1"/>
  <c r="H452" s="1"/>
  <c r="H467" s="1"/>
  <c r="H468" s="1"/>
  <c r="H475" s="1"/>
  <c r="H476" s="1"/>
  <c r="H478" s="1"/>
  <c r="H479" s="1"/>
  <c r="H511" s="1"/>
  <c r="H417"/>
  <c r="H423"/>
  <c r="H430" s="1"/>
  <c r="H509" s="1"/>
  <c r="H159"/>
  <c r="H162" s="1"/>
  <c r="H173" s="1"/>
  <c r="H174" s="1"/>
  <c r="H181" s="1"/>
  <c r="H182" s="1"/>
  <c r="H188" s="1"/>
  <c r="H194" s="1"/>
  <c r="H196" s="1"/>
  <c r="H202" s="1"/>
  <c r="H204" s="1"/>
  <c r="H207" s="1"/>
  <c r="H208" s="1"/>
  <c r="H213" s="1"/>
  <c r="H219" s="1"/>
  <c r="H220" s="1"/>
  <c r="H241" s="1"/>
  <c r="H243" s="1"/>
  <c r="H247" s="1"/>
  <c r="H248" s="1"/>
  <c r="H250" s="1"/>
  <c r="H265" s="1"/>
  <c r="H270" s="1"/>
  <c r="H271" s="1"/>
  <c r="H424" s="1"/>
  <c r="H431" s="1"/>
  <c r="H183"/>
  <c r="H275" s="1"/>
  <c r="H322" s="1"/>
  <c r="H428" s="1"/>
  <c r="H184"/>
  <c r="H315" s="1"/>
  <c r="H320" s="1"/>
  <c r="H330" s="1"/>
  <c r="H185"/>
  <c r="H198" s="1"/>
  <c r="H199" s="1"/>
  <c r="H205" s="1"/>
  <c r="H210" s="1"/>
  <c r="H214" s="1"/>
  <c r="H221" s="1"/>
  <c r="H227" s="1"/>
  <c r="H231" s="1"/>
  <c r="H233" s="1"/>
  <c r="H236" s="1"/>
  <c r="H237" s="1"/>
  <c r="H251" s="1"/>
  <c r="H362" s="1"/>
  <c r="H364" s="1"/>
  <c r="H367" s="1"/>
  <c r="H368" s="1"/>
  <c r="H371" s="1"/>
  <c r="H386" s="1"/>
  <c r="H387" s="1"/>
  <c r="H394" s="1"/>
  <c r="H398" s="1"/>
  <c r="H401" s="1"/>
  <c r="H405" s="1"/>
  <c r="H409" s="1"/>
  <c r="H412" s="1"/>
  <c r="H414" s="1"/>
  <c r="H432" s="1"/>
  <c r="H434" s="1"/>
  <c r="H436" s="1"/>
  <c r="H437" s="1"/>
  <c r="H445" s="1"/>
  <c r="H465" s="1"/>
  <c r="H496" s="1"/>
  <c r="H195"/>
  <c r="H239" s="1"/>
  <c r="H224"/>
  <c r="H226" s="1"/>
  <c r="H370" s="1"/>
  <c r="H396" s="1"/>
  <c r="H453" s="1"/>
  <c r="H499" s="1"/>
  <c r="H225"/>
  <c r="H229" s="1"/>
  <c r="H360" s="1"/>
  <c r="H418" s="1"/>
  <c r="H441" s="1"/>
  <c r="H238"/>
  <c r="H240" s="1"/>
  <c r="H380" s="1"/>
  <c r="H382" s="1"/>
  <c r="H397" s="1"/>
  <c r="H403" s="1"/>
  <c r="H444" s="1"/>
  <c r="H448" s="1"/>
  <c r="H454" s="1"/>
  <c r="H455" s="1"/>
  <c r="H500" s="1"/>
  <c r="H262"/>
  <c r="H278" s="1"/>
  <c r="H300"/>
  <c r="H302" s="1"/>
  <c r="H311" s="1"/>
  <c r="H327" s="1"/>
  <c r="H328" s="1"/>
  <c r="H504" s="1"/>
  <c r="H373"/>
  <c r="H375" s="1"/>
  <c r="H399" s="1"/>
  <c r="G487"/>
  <c r="G489"/>
  <c r="G491"/>
  <c r="G493"/>
  <c r="G495"/>
  <c r="G497"/>
  <c r="G499"/>
  <c r="G501"/>
  <c r="G503"/>
  <c r="G505"/>
  <c r="G507"/>
  <c r="G509"/>
  <c r="G511"/>
  <c r="G513"/>
  <c r="G515"/>
  <c r="G517"/>
  <c r="G516"/>
  <c r="M27" i="28"/>
  <c r="AC19"/>
  <c r="AC15"/>
  <c r="M29"/>
  <c r="M76"/>
  <c r="M77"/>
  <c r="AC12"/>
  <c r="M12"/>
  <c r="M13"/>
  <c r="M15"/>
  <c r="M16"/>
  <c r="M19"/>
  <c r="M20"/>
  <c r="M25"/>
  <c r="M26"/>
  <c r="M28"/>
  <c r="M30"/>
  <c r="M32"/>
  <c r="M52"/>
  <c r="M55"/>
  <c r="M56"/>
  <c r="M57"/>
  <c r="M59"/>
  <c r="M62"/>
  <c r="M66"/>
  <c r="M70"/>
  <c r="AC2"/>
  <c r="AC16"/>
  <c r="M4"/>
  <c r="M61" i="4"/>
  <c r="O61"/>
  <c r="Q61"/>
  <c r="S61"/>
  <c r="U61"/>
  <c r="W61"/>
  <c r="Y61"/>
  <c r="AA61"/>
  <c r="AC61"/>
  <c r="AE61"/>
  <c r="AG61"/>
  <c r="I37" i="11"/>
  <c r="G37" s="1"/>
  <c r="I42"/>
  <c r="G42" s="1"/>
  <c r="I43"/>
  <c r="G43" s="1"/>
  <c r="I46"/>
  <c r="G46" s="1"/>
  <c r="I48"/>
  <c r="G48" s="1"/>
  <c r="I50"/>
  <c r="G50" s="1"/>
  <c r="I52"/>
  <c r="G52" s="1"/>
  <c r="I56"/>
  <c r="G56" s="1"/>
  <c r="I58"/>
  <c r="G58" s="1"/>
  <c r="I62"/>
  <c r="G62" s="1"/>
  <c r="I64"/>
  <c r="G64" s="1"/>
  <c r="I66"/>
  <c r="G66" s="1"/>
  <c r="I68"/>
  <c r="G68" s="1"/>
  <c r="I71"/>
  <c r="G71" s="1"/>
  <c r="I73"/>
  <c r="G73" s="1"/>
  <c r="I76"/>
  <c r="G76" s="1"/>
  <c r="I78"/>
  <c r="G78" s="1"/>
  <c r="I82"/>
  <c r="G82" s="1"/>
  <c r="I84"/>
  <c r="G84" s="1"/>
  <c r="I86"/>
  <c r="G86" s="1"/>
  <c r="I90"/>
  <c r="G90" s="1"/>
  <c r="I92"/>
  <c r="G92" s="1"/>
  <c r="I94"/>
  <c r="G94" s="1"/>
  <c r="I96"/>
  <c r="G96" s="1"/>
  <c r="I98"/>
  <c r="G98" s="1"/>
  <c r="I100"/>
  <c r="G100" s="1"/>
  <c r="I102"/>
  <c r="G102" s="1"/>
  <c r="I104"/>
  <c r="G104" s="1"/>
  <c r="N61" i="4"/>
  <c r="P61"/>
  <c r="R61"/>
  <c r="T61"/>
  <c r="V61"/>
  <c r="X61"/>
  <c r="Z61"/>
  <c r="AF61"/>
  <c r="AH61"/>
  <c r="I44" i="11"/>
  <c r="G44" s="1"/>
  <c r="I45"/>
  <c r="G45" s="1"/>
  <c r="I49"/>
  <c r="G49" s="1"/>
  <c r="I53"/>
  <c r="G53" s="1"/>
  <c r="I59"/>
  <c r="G59" s="1"/>
  <c r="I60"/>
  <c r="G60" s="1"/>
  <c r="I61"/>
  <c r="G61" s="1"/>
  <c r="I65"/>
  <c r="G65" s="1"/>
  <c r="I69"/>
  <c r="G69" s="1"/>
  <c r="I70"/>
  <c r="G70" s="1"/>
  <c r="I74"/>
  <c r="G74" s="1"/>
  <c r="I79"/>
  <c r="G79" s="1"/>
  <c r="I80"/>
  <c r="G80" s="1"/>
  <c r="I85"/>
  <c r="G85" s="1"/>
  <c r="I91"/>
  <c r="G91" s="1"/>
  <c r="I95"/>
  <c r="G95" s="1"/>
  <c r="I99"/>
  <c r="G99" s="1"/>
  <c r="I103"/>
  <c r="G103" s="1"/>
  <c r="AB61" i="4"/>
  <c r="AD61"/>
  <c r="I36" i="11"/>
  <c r="G36" s="1"/>
  <c r="I38"/>
  <c r="G38" s="1"/>
  <c r="I39"/>
  <c r="G39" s="1"/>
  <c r="I40"/>
  <c r="G40" s="1"/>
  <c r="I41"/>
  <c r="G41" s="1"/>
  <c r="I47"/>
  <c r="G47" s="1"/>
  <c r="I51"/>
  <c r="G51" s="1"/>
  <c r="I54"/>
  <c r="G54" s="1"/>
  <c r="I55"/>
  <c r="G55" s="1"/>
  <c r="I57"/>
  <c r="G57" s="1"/>
  <c r="I63"/>
  <c r="G63" s="1"/>
  <c r="I67"/>
  <c r="G67" s="1"/>
  <c r="I72"/>
  <c r="G72" s="1"/>
  <c r="I75"/>
  <c r="G75" s="1"/>
  <c r="I77"/>
  <c r="G77" s="1"/>
  <c r="I81"/>
  <c r="G81" s="1"/>
  <c r="I83"/>
  <c r="G83" s="1"/>
  <c r="I87"/>
  <c r="G87" s="1"/>
  <c r="I88"/>
  <c r="G88" s="1"/>
  <c r="I89"/>
  <c r="G89" s="1"/>
  <c r="I93"/>
  <c r="G93" s="1"/>
  <c r="I97"/>
  <c r="G97" s="1"/>
  <c r="I101"/>
  <c r="G101" s="1"/>
  <c r="I105"/>
  <c r="G105" s="1"/>
  <c r="S37" i="15"/>
  <c r="AL36"/>
  <c r="AH36"/>
  <c r="AD36"/>
  <c r="Z36"/>
  <c r="V36"/>
  <c r="R36"/>
  <c r="AL35"/>
  <c r="AH35"/>
  <c r="AD35"/>
  <c r="Z35"/>
  <c r="V35"/>
  <c r="R35"/>
  <c r="AI34"/>
  <c r="AA34"/>
  <c r="S34"/>
  <c r="AL33"/>
  <c r="AH33"/>
  <c r="AD33"/>
  <c r="Z33"/>
  <c r="V33"/>
  <c r="R33"/>
  <c r="AL31"/>
  <c r="AH31"/>
  <c r="AD31"/>
  <c r="Z31"/>
  <c r="V31"/>
  <c r="R31"/>
  <c r="AI30"/>
  <c r="AA30"/>
  <c r="S30"/>
  <c r="AL28"/>
  <c r="AH28"/>
  <c r="AD28"/>
  <c r="Z28"/>
  <c r="V28"/>
  <c r="R28"/>
  <c r="AL26"/>
  <c r="AH26"/>
  <c r="AD26"/>
  <c r="Z26"/>
  <c r="V26"/>
  <c r="R26"/>
  <c r="AI25"/>
  <c r="AA25"/>
  <c r="S25"/>
  <c r="AL24"/>
  <c r="AH24"/>
  <c r="AD24"/>
  <c r="Z24"/>
  <c r="V24"/>
  <c r="R24"/>
  <c r="AL22"/>
  <c r="AH22"/>
  <c r="AD22"/>
  <c r="Z22"/>
  <c r="V22"/>
  <c r="R22"/>
  <c r="AI21"/>
  <c r="AA21"/>
  <c r="S21"/>
  <c r="AL20"/>
  <c r="AH20"/>
  <c r="AD20"/>
  <c r="Z20"/>
  <c r="V20"/>
  <c r="R20"/>
  <c r="AL18"/>
  <c r="AH18"/>
  <c r="AD18"/>
  <c r="Z18"/>
  <c r="V18"/>
  <c r="R18"/>
  <c r="AI17"/>
  <c r="AA17"/>
  <c r="S17"/>
  <c r="AL16"/>
  <c r="AH16"/>
  <c r="AD16"/>
  <c r="Z16"/>
  <c r="V16"/>
  <c r="R16"/>
  <c r="AL14"/>
  <c r="AH14"/>
  <c r="AD14"/>
  <c r="Z14"/>
  <c r="V14"/>
  <c r="R14"/>
  <c r="AI13"/>
  <c r="AA13"/>
  <c r="S13"/>
  <c r="AL12"/>
  <c r="AH12"/>
  <c r="AD12"/>
  <c r="Z12"/>
  <c r="V12"/>
  <c r="R12"/>
  <c r="AL10"/>
  <c r="AH10"/>
  <c r="AD10"/>
  <c r="Z10"/>
  <c r="V10"/>
  <c r="R10"/>
  <c r="AI9"/>
  <c r="AA9"/>
  <c r="S9"/>
  <c r="AL8"/>
  <c r="AH8"/>
  <c r="AD8"/>
  <c r="Z8"/>
  <c r="V8"/>
  <c r="R8"/>
  <c r="AL6"/>
  <c r="AH6"/>
  <c r="AD6"/>
  <c r="Z6"/>
  <c r="V6"/>
  <c r="R6"/>
  <c r="AI5"/>
  <c r="AA5"/>
  <c r="S5"/>
  <c r="Z4"/>
  <c r="R4"/>
  <c r="W37"/>
  <c r="AN36"/>
  <c r="AJ36"/>
  <c r="AF36"/>
  <c r="AB36"/>
  <c r="X36"/>
  <c r="T36"/>
  <c r="AN35"/>
  <c r="AJ35"/>
  <c r="AF35"/>
  <c r="AB35"/>
  <c r="X35"/>
  <c r="T35"/>
  <c r="AM34"/>
  <c r="AE34"/>
  <c r="W34"/>
  <c r="AN33"/>
  <c r="AJ33"/>
  <c r="AF33"/>
  <c r="AB33"/>
  <c r="X33"/>
  <c r="T33"/>
  <c r="AN31"/>
  <c r="AJ31"/>
  <c r="AF31"/>
  <c r="AB31"/>
  <c r="X31"/>
  <c r="T31"/>
  <c r="AM30"/>
  <c r="AE30"/>
  <c r="W30"/>
  <c r="AN28"/>
  <c r="AJ28"/>
  <c r="AF28"/>
  <c r="AB28"/>
  <c r="X28"/>
  <c r="T28"/>
  <c r="AN26"/>
  <c r="AJ26"/>
  <c r="AF26"/>
  <c r="AB26"/>
  <c r="X26"/>
  <c r="T26"/>
  <c r="AM25"/>
  <c r="AE25"/>
  <c r="W25"/>
  <c r="AN24"/>
  <c r="AJ24"/>
  <c r="AF24"/>
  <c r="AB24"/>
  <c r="X24"/>
  <c r="T24"/>
  <c r="AN22"/>
  <c r="AJ22"/>
  <c r="AF22"/>
  <c r="AB22"/>
  <c r="X22"/>
  <c r="T22"/>
  <c r="AM21"/>
  <c r="AE21"/>
  <c r="W21"/>
  <c r="AN20"/>
  <c r="AJ20"/>
  <c r="AF20"/>
  <c r="AB20"/>
  <c r="X20"/>
  <c r="T20"/>
  <c r="AN18"/>
  <c r="AJ18"/>
  <c r="AF18"/>
  <c r="AB18"/>
  <c r="X18"/>
  <c r="T18"/>
  <c r="AM17"/>
  <c r="AE17"/>
  <c r="W17"/>
  <c r="AN16"/>
  <c r="AJ16"/>
  <c r="AF16"/>
  <c r="AB16"/>
  <c r="X16"/>
  <c r="T16"/>
  <c r="AN14"/>
  <c r="AJ14"/>
  <c r="AF14"/>
  <c r="AB14"/>
  <c r="X14"/>
  <c r="T14"/>
  <c r="AM13"/>
  <c r="AE13"/>
  <c r="W13"/>
  <c r="AN12"/>
  <c r="AJ12"/>
  <c r="AF12"/>
  <c r="AB12"/>
  <c r="X12"/>
  <c r="T12"/>
  <c r="AN10"/>
  <c r="AJ10"/>
  <c r="AF10"/>
  <c r="AB10"/>
  <c r="X10"/>
  <c r="T10"/>
  <c r="AM9"/>
  <c r="AE9"/>
  <c r="W9"/>
  <c r="AN8"/>
  <c r="AJ8"/>
  <c r="AF8"/>
  <c r="AB8"/>
  <c r="X8"/>
  <c r="T8"/>
  <c r="AN6"/>
  <c r="AJ6"/>
  <c r="AF6"/>
  <c r="AB6"/>
  <c r="X6"/>
  <c r="T6"/>
  <c r="AM5"/>
  <c r="AE5"/>
  <c r="W5"/>
  <c r="AN4"/>
  <c r="AJ4"/>
  <c r="AF4"/>
  <c r="AB4"/>
  <c r="X4"/>
  <c r="T4"/>
  <c r="AL4"/>
  <c r="AH4"/>
  <c r="AD4"/>
  <c r="V4"/>
  <c r="AM4"/>
  <c r="AM6"/>
  <c r="AM8"/>
  <c r="AM10"/>
  <c r="AM12"/>
  <c r="AM14"/>
  <c r="AM16"/>
  <c r="AM18"/>
  <c r="AM20"/>
  <c r="AM22"/>
  <c r="AM24"/>
  <c r="AM26"/>
  <c r="AM28"/>
  <c r="AM31"/>
  <c r="AM33"/>
  <c r="AM35"/>
  <c r="AM36"/>
  <c r="AM38"/>
  <c r="AM39"/>
  <c r="AM40"/>
  <c r="AN41"/>
  <c r="AM42"/>
  <c r="AM43"/>
  <c r="AM44"/>
  <c r="AN45"/>
  <c r="AM46"/>
  <c r="AM47"/>
  <c r="AM48"/>
  <c r="AE49"/>
  <c r="AM50"/>
  <c r="AN51"/>
  <c r="AM52"/>
  <c r="AN53"/>
  <c r="AM54"/>
  <c r="AN55"/>
  <c r="AN7"/>
  <c r="AL7"/>
  <c r="AJ7"/>
  <c r="AH7"/>
  <c r="AF7"/>
  <c r="AD7"/>
  <c r="AB7"/>
  <c r="Z7"/>
  <c r="X7"/>
  <c r="V7"/>
  <c r="T7"/>
  <c r="R7"/>
  <c r="AN11"/>
  <c r="AL11"/>
  <c r="AJ11"/>
  <c r="AH11"/>
  <c r="AF11"/>
  <c r="AD11"/>
  <c r="AB11"/>
  <c r="Z11"/>
  <c r="X11"/>
  <c r="V11"/>
  <c r="T11"/>
  <c r="R11"/>
  <c r="AN15"/>
  <c r="AL15"/>
  <c r="AJ15"/>
  <c r="AH15"/>
  <c r="AF15"/>
  <c r="AD15"/>
  <c r="AB15"/>
  <c r="Z15"/>
  <c r="X15"/>
  <c r="V15"/>
  <c r="T15"/>
  <c r="R15"/>
  <c r="AN19"/>
  <c r="AL19"/>
  <c r="AJ19"/>
  <c r="AH19"/>
  <c r="AF19"/>
  <c r="AD19"/>
  <c r="AB19"/>
  <c r="Z19"/>
  <c r="X19"/>
  <c r="V19"/>
  <c r="T19"/>
  <c r="R19"/>
  <c r="AN23"/>
  <c r="AL23"/>
  <c r="AJ23"/>
  <c r="AH23"/>
  <c r="AF23"/>
  <c r="AD23"/>
  <c r="AB23"/>
  <c r="Z23"/>
  <c r="X23"/>
  <c r="V23"/>
  <c r="T23"/>
  <c r="R23"/>
  <c r="AN27"/>
  <c r="AL27"/>
  <c r="AJ27"/>
  <c r="AH27"/>
  <c r="AF27"/>
  <c r="AD27"/>
  <c r="AB27"/>
  <c r="Z27"/>
  <c r="X27"/>
  <c r="V27"/>
  <c r="T27"/>
  <c r="R27"/>
  <c r="AN32"/>
  <c r="AL32"/>
  <c r="AJ32"/>
  <c r="AH32"/>
  <c r="AF32"/>
  <c r="AD32"/>
  <c r="AB32"/>
  <c r="Z32"/>
  <c r="X32"/>
  <c r="V32"/>
  <c r="T32"/>
  <c r="R32"/>
  <c r="U7"/>
  <c r="Y7"/>
  <c r="AC7"/>
  <c r="AG7"/>
  <c r="AK7"/>
  <c r="U11"/>
  <c r="Y11"/>
  <c r="AC11"/>
  <c r="AG11"/>
  <c r="AK11"/>
  <c r="U15"/>
  <c r="Y15"/>
  <c r="AC15"/>
  <c r="AG15"/>
  <c r="AK15"/>
  <c r="U19"/>
  <c r="Y19"/>
  <c r="AC19"/>
  <c r="AG19"/>
  <c r="AK19"/>
  <c r="U23"/>
  <c r="Y23"/>
  <c r="AC23"/>
  <c r="AG23"/>
  <c r="AK23"/>
  <c r="U27"/>
  <c r="Y27"/>
  <c r="AC27"/>
  <c r="AG27"/>
  <c r="AK27"/>
  <c r="U32"/>
  <c r="Y32"/>
  <c r="AC32"/>
  <c r="AG32"/>
  <c r="AK32"/>
  <c r="AN3"/>
  <c r="AL3"/>
  <c r="AJ3"/>
  <c r="AH3"/>
  <c r="AF3"/>
  <c r="AD3"/>
  <c r="AB3"/>
  <c r="Z3"/>
  <c r="X3"/>
  <c r="V3"/>
  <c r="T3"/>
  <c r="R3"/>
  <c r="AN5"/>
  <c r="AL5"/>
  <c r="AJ5"/>
  <c r="AH5"/>
  <c r="AF5"/>
  <c r="AD5"/>
  <c r="AB5"/>
  <c r="Z5"/>
  <c r="X5"/>
  <c r="V5"/>
  <c r="T5"/>
  <c r="R5"/>
  <c r="AN9"/>
  <c r="AL9"/>
  <c r="AJ9"/>
  <c r="AH9"/>
  <c r="AF9"/>
  <c r="AD9"/>
  <c r="AB9"/>
  <c r="Z9"/>
  <c r="X9"/>
  <c r="V9"/>
  <c r="T9"/>
  <c r="R9"/>
  <c r="AN13"/>
  <c r="AL13"/>
  <c r="AJ13"/>
  <c r="AH13"/>
  <c r="AF13"/>
  <c r="AD13"/>
  <c r="AB13"/>
  <c r="Z13"/>
  <c r="X13"/>
  <c r="V13"/>
  <c r="T13"/>
  <c r="R13"/>
  <c r="AN17"/>
  <c r="AL17"/>
  <c r="AJ17"/>
  <c r="AH17"/>
  <c r="AF17"/>
  <c r="AD17"/>
  <c r="AB17"/>
  <c r="Z17"/>
  <c r="X17"/>
  <c r="V17"/>
  <c r="T17"/>
  <c r="R17"/>
  <c r="AN21"/>
  <c r="AL21"/>
  <c r="AJ21"/>
  <c r="AH21"/>
  <c r="AF21"/>
  <c r="AD21"/>
  <c r="AB21"/>
  <c r="Z21"/>
  <c r="X21"/>
  <c r="V21"/>
  <c r="T21"/>
  <c r="R21"/>
  <c r="AN25"/>
  <c r="AL25"/>
  <c r="AJ25"/>
  <c r="AH25"/>
  <c r="AF25"/>
  <c r="AD25"/>
  <c r="AB25"/>
  <c r="Z25"/>
  <c r="X25"/>
  <c r="V25"/>
  <c r="T25"/>
  <c r="R25"/>
  <c r="AN30"/>
  <c r="AL30"/>
  <c r="AJ30"/>
  <c r="AH30"/>
  <c r="AF30"/>
  <c r="AD30"/>
  <c r="AB30"/>
  <c r="Z30"/>
  <c r="X30"/>
  <c r="V30"/>
  <c r="T30"/>
  <c r="R30"/>
  <c r="AN34"/>
  <c r="AL34"/>
  <c r="AJ34"/>
  <c r="AH34"/>
  <c r="AF34"/>
  <c r="AD34"/>
  <c r="AB34"/>
  <c r="Z34"/>
  <c r="X34"/>
  <c r="V34"/>
  <c r="T34"/>
  <c r="R34"/>
  <c r="AN37"/>
  <c r="AL37"/>
  <c r="AJ37"/>
  <c r="AH37"/>
  <c r="AF37"/>
  <c r="AD37"/>
  <c r="AB37"/>
  <c r="Z37"/>
  <c r="X37"/>
  <c r="V37"/>
  <c r="T37"/>
  <c r="R37"/>
  <c r="AM37"/>
  <c r="AK37"/>
  <c r="AI37"/>
  <c r="AG37"/>
  <c r="AE37"/>
  <c r="AC37"/>
  <c r="AA37"/>
  <c r="Y37"/>
  <c r="AN54"/>
  <c r="AL54"/>
  <c r="AJ54"/>
  <c r="AH54"/>
  <c r="AF54"/>
  <c r="AD54"/>
  <c r="AB54"/>
  <c r="Z54"/>
  <c r="X54"/>
  <c r="V54"/>
  <c r="T54"/>
  <c r="R54"/>
  <c r="AN50"/>
  <c r="AL50"/>
  <c r="AJ50"/>
  <c r="AH50"/>
  <c r="AF50"/>
  <c r="AD50"/>
  <c r="AB50"/>
  <c r="Z50"/>
  <c r="V50"/>
  <c r="R50"/>
  <c r="T48"/>
  <c r="AN46"/>
  <c r="AL46"/>
  <c r="AJ46"/>
  <c r="AH46"/>
  <c r="AF46"/>
  <c r="AD46"/>
  <c r="Z46"/>
  <c r="V46"/>
  <c r="R46"/>
  <c r="T44"/>
  <c r="AN42"/>
  <c r="AL42"/>
  <c r="AJ42"/>
  <c r="AH42"/>
  <c r="AF42"/>
  <c r="AD42"/>
  <c r="AB42"/>
  <c r="Z42"/>
  <c r="X42"/>
  <c r="V42"/>
  <c r="R42"/>
  <c r="AN38"/>
  <c r="AL38"/>
  <c r="AJ38"/>
  <c r="AH38"/>
  <c r="AF38"/>
  <c r="AD38"/>
  <c r="AB38"/>
  <c r="Z38"/>
  <c r="X38"/>
  <c r="T38"/>
  <c r="AN52"/>
  <c r="AL52"/>
  <c r="AJ52"/>
  <c r="AH52"/>
  <c r="AF52"/>
  <c r="AD52"/>
  <c r="AB52"/>
  <c r="Z52"/>
  <c r="X52"/>
  <c r="V52"/>
  <c r="T52"/>
  <c r="R52"/>
  <c r="X50"/>
  <c r="T50"/>
  <c r="AN48"/>
  <c r="AL48"/>
  <c r="AJ48"/>
  <c r="AH48"/>
  <c r="AF48"/>
  <c r="AD48"/>
  <c r="AB48"/>
  <c r="Z48"/>
  <c r="X48"/>
  <c r="V48"/>
  <c r="R48"/>
  <c r="AB46"/>
  <c r="X46"/>
  <c r="T46"/>
  <c r="AN44"/>
  <c r="AL44"/>
  <c r="AJ44"/>
  <c r="AH44"/>
  <c r="AF44"/>
  <c r="AD44"/>
  <c r="AB44"/>
  <c r="Z44"/>
  <c r="X44"/>
  <c r="V44"/>
  <c r="R44"/>
  <c r="T42"/>
  <c r="AN40"/>
  <c r="AL40"/>
  <c r="AJ40"/>
  <c r="AH40"/>
  <c r="AF40"/>
  <c r="AD40"/>
  <c r="AB40"/>
  <c r="Z40"/>
  <c r="X40"/>
  <c r="V40"/>
  <c r="T40"/>
  <c r="R40"/>
  <c r="V38"/>
  <c r="R38"/>
  <c r="U3"/>
  <c r="Y3"/>
  <c r="AC3"/>
  <c r="AG3"/>
  <c r="AK3"/>
  <c r="S3"/>
  <c r="W3"/>
  <c r="AA3"/>
  <c r="AE3"/>
  <c r="AI3"/>
  <c r="AM3"/>
  <c r="U5"/>
  <c r="L5" s="1"/>
  <c r="Y5"/>
  <c r="AC5"/>
  <c r="AG5"/>
  <c r="AK5"/>
  <c r="S7"/>
  <c r="W7"/>
  <c r="AA7"/>
  <c r="P7" s="1"/>
  <c r="AE7"/>
  <c r="AI7"/>
  <c r="AM7"/>
  <c r="U9"/>
  <c r="Y9"/>
  <c r="AC9"/>
  <c r="AG9"/>
  <c r="AK9"/>
  <c r="S11"/>
  <c r="W11"/>
  <c r="AA11"/>
  <c r="AE11"/>
  <c r="AI11"/>
  <c r="AM11"/>
  <c r="U13"/>
  <c r="Y13"/>
  <c r="AC13"/>
  <c r="AG13"/>
  <c r="AK13"/>
  <c r="S15"/>
  <c r="W15"/>
  <c r="AA15"/>
  <c r="P15" s="1"/>
  <c r="AE15"/>
  <c r="AI15"/>
  <c r="AM15"/>
  <c r="U17"/>
  <c r="Y17"/>
  <c r="AC17"/>
  <c r="AG17"/>
  <c r="AK17"/>
  <c r="S19"/>
  <c r="W19"/>
  <c r="AA19"/>
  <c r="AE19"/>
  <c r="AI19"/>
  <c r="AM19"/>
  <c r="U21"/>
  <c r="L21" s="1"/>
  <c r="Y21"/>
  <c r="AC21"/>
  <c r="AG21"/>
  <c r="AK21"/>
  <c r="S23"/>
  <c r="W23"/>
  <c r="AA23"/>
  <c r="P23" s="1"/>
  <c r="AE23"/>
  <c r="AI23"/>
  <c r="AM23"/>
  <c r="U25"/>
  <c r="Y25"/>
  <c r="AC25"/>
  <c r="AG25"/>
  <c r="AK25"/>
  <c r="S27"/>
  <c r="W27"/>
  <c r="AA27"/>
  <c r="AE27"/>
  <c r="AI27"/>
  <c r="AM27"/>
  <c r="U30"/>
  <c r="L30" s="1"/>
  <c r="Y30"/>
  <c r="AC30"/>
  <c r="AG30"/>
  <c r="AK30"/>
  <c r="S32"/>
  <c r="W32"/>
  <c r="AA32"/>
  <c r="P32" s="1"/>
  <c r="AE32"/>
  <c r="AI32"/>
  <c r="AM32"/>
  <c r="U34"/>
  <c r="Y34"/>
  <c r="AC34"/>
  <c r="AG34"/>
  <c r="AK34"/>
  <c r="U37"/>
  <c r="L37" s="1"/>
  <c r="S39"/>
  <c r="AA39"/>
  <c r="S41"/>
  <c r="U41"/>
  <c r="W41"/>
  <c r="Y41"/>
  <c r="AA41"/>
  <c r="AC41"/>
  <c r="AE41"/>
  <c r="AG41"/>
  <c r="AI41"/>
  <c r="AK41"/>
  <c r="AM41"/>
  <c r="U43"/>
  <c r="Y43"/>
  <c r="AC43"/>
  <c r="AG43"/>
  <c r="AK43"/>
  <c r="S45"/>
  <c r="U45"/>
  <c r="W45"/>
  <c r="Y45"/>
  <c r="AA45"/>
  <c r="AC45"/>
  <c r="AE45"/>
  <c r="AG45"/>
  <c r="AI45"/>
  <c r="AK45"/>
  <c r="AM45"/>
  <c r="U49"/>
  <c r="Y49"/>
  <c r="AA49"/>
  <c r="AC49"/>
  <c r="AG49"/>
  <c r="AI49"/>
  <c r="AK49"/>
  <c r="AM49"/>
  <c r="S51"/>
  <c r="U51"/>
  <c r="W51"/>
  <c r="Y51"/>
  <c r="AA51"/>
  <c r="AC51"/>
  <c r="AE51"/>
  <c r="AG51"/>
  <c r="AI51"/>
  <c r="AK51"/>
  <c r="AM51"/>
  <c r="S53"/>
  <c r="U53"/>
  <c r="W53"/>
  <c r="Y53"/>
  <c r="AA53"/>
  <c r="AC53"/>
  <c r="AE53"/>
  <c r="AG53"/>
  <c r="AI53"/>
  <c r="AK53"/>
  <c r="AM53"/>
  <c r="S55"/>
  <c r="U55"/>
  <c r="W55"/>
  <c r="Y55"/>
  <c r="AA55"/>
  <c r="AC55"/>
  <c r="AE55"/>
  <c r="AG55"/>
  <c r="AI55"/>
  <c r="AK55"/>
  <c r="AM55"/>
  <c r="S4"/>
  <c r="U4"/>
  <c r="W4"/>
  <c r="Y4"/>
  <c r="AA4"/>
  <c r="AC4"/>
  <c r="AE4"/>
  <c r="AG4"/>
  <c r="AI4"/>
  <c r="AK4"/>
  <c r="S6"/>
  <c r="U6"/>
  <c r="W6"/>
  <c r="Y6"/>
  <c r="O6" s="1"/>
  <c r="AA6"/>
  <c r="AC6"/>
  <c r="AE6"/>
  <c r="AG6"/>
  <c r="AI6"/>
  <c r="AK6"/>
  <c r="S8"/>
  <c r="U8"/>
  <c r="W8"/>
  <c r="Y8"/>
  <c r="O8" s="1"/>
  <c r="AA8"/>
  <c r="AC8"/>
  <c r="AE8"/>
  <c r="AG8"/>
  <c r="AI8"/>
  <c r="AK8"/>
  <c r="S10"/>
  <c r="U10"/>
  <c r="W10"/>
  <c r="Y10"/>
  <c r="O10" s="1"/>
  <c r="AA10"/>
  <c r="AC10"/>
  <c r="AE10"/>
  <c r="AG10"/>
  <c r="AI10"/>
  <c r="AK10"/>
  <c r="S12"/>
  <c r="U12"/>
  <c r="W12"/>
  <c r="Y12"/>
  <c r="O12" s="1"/>
  <c r="AA12"/>
  <c r="AC12"/>
  <c r="AE12"/>
  <c r="AG12"/>
  <c r="AI12"/>
  <c r="AK12"/>
  <c r="S14"/>
  <c r="U14"/>
  <c r="W14"/>
  <c r="Y14"/>
  <c r="AA14"/>
  <c r="AC14"/>
  <c r="AE14"/>
  <c r="AG14"/>
  <c r="AI14"/>
  <c r="AK14"/>
  <c r="S16"/>
  <c r="U16"/>
  <c r="W16"/>
  <c r="Y16"/>
  <c r="O16" s="1"/>
  <c r="AA16"/>
  <c r="AC16"/>
  <c r="AE16"/>
  <c r="AG16"/>
  <c r="AI16"/>
  <c r="AK16"/>
  <c r="S18"/>
  <c r="U18"/>
  <c r="W18"/>
  <c r="Y18"/>
  <c r="O18" s="1"/>
  <c r="AA18"/>
  <c r="AC18"/>
  <c r="AE18"/>
  <c r="AG18"/>
  <c r="AI18"/>
  <c r="AK18"/>
  <c r="S20"/>
  <c r="U20"/>
  <c r="W20"/>
  <c r="Y20"/>
  <c r="O20" s="1"/>
  <c r="AA20"/>
  <c r="AC20"/>
  <c r="AE20"/>
  <c r="AG20"/>
  <c r="AI20"/>
  <c r="AK20"/>
  <c r="S22"/>
  <c r="U22"/>
  <c r="W22"/>
  <c r="Y22"/>
  <c r="AA22"/>
  <c r="AC22"/>
  <c r="AE22"/>
  <c r="AG22"/>
  <c r="AI22"/>
  <c r="AK22"/>
  <c r="S24"/>
  <c r="U24"/>
  <c r="W24"/>
  <c r="Y24"/>
  <c r="O24" s="1"/>
  <c r="AA24"/>
  <c r="AC24"/>
  <c r="AE24"/>
  <c r="AG24"/>
  <c r="AI24"/>
  <c r="AK24"/>
  <c r="S26"/>
  <c r="U26"/>
  <c r="W26"/>
  <c r="Y26"/>
  <c r="O26" s="1"/>
  <c r="AA26"/>
  <c r="AC26"/>
  <c r="AE26"/>
  <c r="AG26"/>
  <c r="AI26"/>
  <c r="AK26"/>
  <c r="S28"/>
  <c r="U28"/>
  <c r="W28"/>
  <c r="Y28"/>
  <c r="O28" s="1"/>
  <c r="AA28"/>
  <c r="AC28"/>
  <c r="AE28"/>
  <c r="AG28"/>
  <c r="AI28"/>
  <c r="AK28"/>
  <c r="S31"/>
  <c r="U31"/>
  <c r="W31"/>
  <c r="Y31"/>
  <c r="O31" s="1"/>
  <c r="AA31"/>
  <c r="AC31"/>
  <c r="AE31"/>
  <c r="AG31"/>
  <c r="AI31"/>
  <c r="AK31"/>
  <c r="S33"/>
  <c r="U33"/>
  <c r="W33"/>
  <c r="Y33"/>
  <c r="O33" s="1"/>
  <c r="AA33"/>
  <c r="AC33"/>
  <c r="AE33"/>
  <c r="AG33"/>
  <c r="AI33"/>
  <c r="AK33"/>
  <c r="S35"/>
  <c r="U35"/>
  <c r="W35"/>
  <c r="Y35"/>
  <c r="O35" s="1"/>
  <c r="AA35"/>
  <c r="AC35"/>
  <c r="AE35"/>
  <c r="AG35"/>
  <c r="AI35"/>
  <c r="AK35"/>
  <c r="S36"/>
  <c r="U36"/>
  <c r="W36"/>
  <c r="Y36"/>
  <c r="O36" s="1"/>
  <c r="AA36"/>
  <c r="AC36"/>
  <c r="AE36"/>
  <c r="AG36"/>
  <c r="AI36"/>
  <c r="AK36"/>
  <c r="S38"/>
  <c r="U38"/>
  <c r="W38"/>
  <c r="Y38"/>
  <c r="AA38"/>
  <c r="AC38"/>
  <c r="AE38"/>
  <c r="AG38"/>
  <c r="AI38"/>
  <c r="AK38"/>
  <c r="R39"/>
  <c r="T39"/>
  <c r="V39"/>
  <c r="X39"/>
  <c r="Z39"/>
  <c r="AB39"/>
  <c r="AD39"/>
  <c r="AF39"/>
  <c r="AH39"/>
  <c r="AJ39"/>
  <c r="AL39"/>
  <c r="AN39"/>
  <c r="S40"/>
  <c r="U40"/>
  <c r="W40"/>
  <c r="Y40"/>
  <c r="AA40"/>
  <c r="AC40"/>
  <c r="AE40"/>
  <c r="AG40"/>
  <c r="AI40"/>
  <c r="AK40"/>
  <c r="R41"/>
  <c r="T41"/>
  <c r="V41"/>
  <c r="X41"/>
  <c r="Z41"/>
  <c r="AB41"/>
  <c r="AD41"/>
  <c r="AF41"/>
  <c r="AH41"/>
  <c r="AJ41"/>
  <c r="AL41"/>
  <c r="S42"/>
  <c r="U42"/>
  <c r="W42"/>
  <c r="Y42"/>
  <c r="AA42"/>
  <c r="AC42"/>
  <c r="AE42"/>
  <c r="AG42"/>
  <c r="AI42"/>
  <c r="AK42"/>
  <c r="R43"/>
  <c r="T43"/>
  <c r="V43"/>
  <c r="X43"/>
  <c r="Z43"/>
  <c r="AB43"/>
  <c r="AD43"/>
  <c r="AF43"/>
  <c r="AH43"/>
  <c r="AJ43"/>
  <c r="AL43"/>
  <c r="AN43"/>
  <c r="S44"/>
  <c r="U44"/>
  <c r="W44"/>
  <c r="Y44"/>
  <c r="AA44"/>
  <c r="AC44"/>
  <c r="AE44"/>
  <c r="AG44"/>
  <c r="AI44"/>
  <c r="AK44"/>
  <c r="R45"/>
  <c r="T45"/>
  <c r="V45"/>
  <c r="X45"/>
  <c r="Z45"/>
  <c r="AB45"/>
  <c r="AD45"/>
  <c r="AF45"/>
  <c r="AH45"/>
  <c r="AJ45"/>
  <c r="AL45"/>
  <c r="S46"/>
  <c r="U46"/>
  <c r="W46"/>
  <c r="Y46"/>
  <c r="AA46"/>
  <c r="AC46"/>
  <c r="AE46"/>
  <c r="AG46"/>
  <c r="AI46"/>
  <c r="AK46"/>
  <c r="R47"/>
  <c r="T47"/>
  <c r="V47"/>
  <c r="X47"/>
  <c r="Z47"/>
  <c r="AB47"/>
  <c r="AD47"/>
  <c r="AF47"/>
  <c r="AH47"/>
  <c r="AJ47"/>
  <c r="AL47"/>
  <c r="AN47"/>
  <c r="S48"/>
  <c r="U48"/>
  <c r="W48"/>
  <c r="Y48"/>
  <c r="AA48"/>
  <c r="AC48"/>
  <c r="AE48"/>
  <c r="AG48"/>
  <c r="AI48"/>
  <c r="AK48"/>
  <c r="R49"/>
  <c r="T49"/>
  <c r="V49"/>
  <c r="X49"/>
  <c r="Z49"/>
  <c r="AB49"/>
  <c r="AD49"/>
  <c r="AF49"/>
  <c r="AH49"/>
  <c r="AJ49"/>
  <c r="AL49"/>
  <c r="AN49"/>
  <c r="S50"/>
  <c r="U50"/>
  <c r="W50"/>
  <c r="Y50"/>
  <c r="AA50"/>
  <c r="AC50"/>
  <c r="AE50"/>
  <c r="AG50"/>
  <c r="AI50"/>
  <c r="AK50"/>
  <c r="R51"/>
  <c r="T51"/>
  <c r="V51"/>
  <c r="X51"/>
  <c r="Z51"/>
  <c r="AB51"/>
  <c r="AD51"/>
  <c r="AF51"/>
  <c r="AH51"/>
  <c r="AJ51"/>
  <c r="AL51"/>
  <c r="S52"/>
  <c r="U52"/>
  <c r="W52"/>
  <c r="Y52"/>
  <c r="AA52"/>
  <c r="AC52"/>
  <c r="AE52"/>
  <c r="AG52"/>
  <c r="AI52"/>
  <c r="AK52"/>
  <c r="R53"/>
  <c r="T53"/>
  <c r="V53"/>
  <c r="X53"/>
  <c r="Z53"/>
  <c r="AB53"/>
  <c r="AD53"/>
  <c r="AF53"/>
  <c r="AH53"/>
  <c r="AJ53"/>
  <c r="AL53"/>
  <c r="S54"/>
  <c r="U54"/>
  <c r="W54"/>
  <c r="Y54"/>
  <c r="AA54"/>
  <c r="AC54"/>
  <c r="AE54"/>
  <c r="AG54"/>
  <c r="AI54"/>
  <c r="AK54"/>
  <c r="R55"/>
  <c r="T55"/>
  <c r="V55"/>
  <c r="X55"/>
  <c r="Z55"/>
  <c r="AB55"/>
  <c r="AD55"/>
  <c r="AF55"/>
  <c r="AH55"/>
  <c r="AJ55"/>
  <c r="AL55"/>
  <c r="I6" i="4"/>
  <c r="L6"/>
  <c r="E3" i="21"/>
  <c r="E5"/>
  <c r="E7"/>
  <c r="E9"/>
  <c r="E11"/>
  <c r="E13"/>
  <c r="E15"/>
  <c r="E17"/>
  <c r="E19"/>
  <c r="E21"/>
  <c r="E23"/>
  <c r="E25"/>
  <c r="E27"/>
  <c r="E29"/>
  <c r="E31"/>
  <c r="E33"/>
  <c r="E35"/>
  <c r="E37"/>
  <c r="E39"/>
  <c r="E41"/>
  <c r="E43"/>
  <c r="E45"/>
  <c r="E47"/>
  <c r="E49"/>
  <c r="E51"/>
  <c r="E53"/>
  <c r="E55"/>
  <c r="E57"/>
  <c r="E59"/>
  <c r="E61"/>
  <c r="E63"/>
  <c r="E65"/>
  <c r="E67"/>
  <c r="E69"/>
  <c r="E71"/>
  <c r="E73"/>
  <c r="E75"/>
  <c r="E77"/>
  <c r="E79"/>
  <c r="E81"/>
  <c r="E83"/>
  <c r="E85"/>
  <c r="E87"/>
  <c r="E89"/>
  <c r="E91"/>
  <c r="E93"/>
  <c r="E95"/>
  <c r="E97"/>
  <c r="E99"/>
  <c r="E101"/>
  <c r="E103"/>
  <c r="E105"/>
  <c r="E107"/>
  <c r="E109"/>
  <c r="E111"/>
  <c r="E113"/>
  <c r="E115"/>
  <c r="E117"/>
  <c r="E119"/>
  <c r="E121"/>
  <c r="E123"/>
  <c r="E125"/>
  <c r="E127"/>
  <c r="E129"/>
  <c r="E131"/>
  <c r="E133"/>
  <c r="E135"/>
  <c r="E137"/>
  <c r="E139"/>
  <c r="E141"/>
  <c r="E143"/>
  <c r="E145"/>
  <c r="E147"/>
  <c r="E149"/>
  <c r="E151"/>
  <c r="E153"/>
  <c r="E155"/>
  <c r="E157"/>
  <c r="E159"/>
  <c r="E161"/>
  <c r="E163"/>
  <c r="E165"/>
  <c r="E167"/>
  <c r="E169"/>
  <c r="E171"/>
  <c r="E173"/>
  <c r="E175"/>
  <c r="E177"/>
  <c r="E179"/>
  <c r="E181"/>
  <c r="E183"/>
  <c r="E185"/>
  <c r="E187"/>
  <c r="E189"/>
  <c r="E191"/>
  <c r="E193"/>
  <c r="E195"/>
  <c r="E197"/>
  <c r="E199"/>
  <c r="E201"/>
  <c r="E203"/>
  <c r="E205"/>
  <c r="E207"/>
  <c r="E209"/>
  <c r="E211"/>
  <c r="E213"/>
  <c r="E215"/>
  <c r="E217"/>
  <c r="E218"/>
  <c r="E220"/>
  <c r="E222"/>
  <c r="E224"/>
  <c r="E226"/>
  <c r="E229"/>
  <c r="E230"/>
  <c r="E232"/>
  <c r="E234"/>
  <c r="E236"/>
  <c r="E238"/>
  <c r="E240"/>
  <c r="E243"/>
  <c r="E245"/>
  <c r="E247"/>
  <c r="E249"/>
  <c r="E251"/>
  <c r="E253"/>
  <c r="E255"/>
  <c r="E258"/>
  <c r="E260"/>
  <c r="E262"/>
  <c r="U39" i="15"/>
  <c r="W39"/>
  <c r="Y39"/>
  <c r="AC39"/>
  <c r="AE39"/>
  <c r="AG39"/>
  <c r="AI39"/>
  <c r="AK39"/>
  <c r="S43"/>
  <c r="W43"/>
  <c r="AA43"/>
  <c r="AE43"/>
  <c r="AI43"/>
  <c r="S47"/>
  <c r="U47"/>
  <c r="W47"/>
  <c r="Y47"/>
  <c r="AA47"/>
  <c r="AC47"/>
  <c r="AE47"/>
  <c r="AG47"/>
  <c r="AI47"/>
  <c r="AK47"/>
  <c r="S49"/>
  <c r="W49"/>
  <c r="E2" i="21"/>
  <c r="E4"/>
  <c r="E6"/>
  <c r="E8"/>
  <c r="E10"/>
  <c r="E12"/>
  <c r="E14"/>
  <c r="E16"/>
  <c r="E18"/>
  <c r="E20"/>
  <c r="E22"/>
  <c r="E24"/>
  <c r="E26"/>
  <c r="E28"/>
  <c r="E30"/>
  <c r="E32"/>
  <c r="E34"/>
  <c r="E36"/>
  <c r="E38"/>
  <c r="E40"/>
  <c r="E42"/>
  <c r="E44"/>
  <c r="E46"/>
  <c r="E48"/>
  <c r="E50"/>
  <c r="E52"/>
  <c r="E54"/>
  <c r="E56"/>
  <c r="E58"/>
  <c r="E60"/>
  <c r="E62"/>
  <c r="E64"/>
  <c r="E66"/>
  <c r="E68"/>
  <c r="E70"/>
  <c r="E72"/>
  <c r="E74"/>
  <c r="E76"/>
  <c r="E78"/>
  <c r="E80"/>
  <c r="E82"/>
  <c r="E84"/>
  <c r="E86"/>
  <c r="E88"/>
  <c r="E90"/>
  <c r="E92"/>
  <c r="E94"/>
  <c r="E96"/>
  <c r="E98"/>
  <c r="E100"/>
  <c r="E102"/>
  <c r="E104"/>
  <c r="E106"/>
  <c r="E108"/>
  <c r="E110"/>
  <c r="E112"/>
  <c r="E114"/>
  <c r="E116"/>
  <c r="E118"/>
  <c r="E120"/>
  <c r="E122"/>
  <c r="E124"/>
  <c r="E126"/>
  <c r="E128"/>
  <c r="E130"/>
  <c r="E132"/>
  <c r="E134"/>
  <c r="E136"/>
  <c r="E138"/>
  <c r="E140"/>
  <c r="E142"/>
  <c r="E144"/>
  <c r="E146"/>
  <c r="E148"/>
  <c r="E150"/>
  <c r="E152"/>
  <c r="E154"/>
  <c r="E156"/>
  <c r="E158"/>
  <c r="E160"/>
  <c r="E162"/>
  <c r="E164"/>
  <c r="E166"/>
  <c r="E168"/>
  <c r="E170"/>
  <c r="E172"/>
  <c r="E174"/>
  <c r="E176"/>
  <c r="E178"/>
  <c r="E180"/>
  <c r="E182"/>
  <c r="E184"/>
  <c r="E186"/>
  <c r="E188"/>
  <c r="E190"/>
  <c r="E192"/>
  <c r="E194"/>
  <c r="E196"/>
  <c r="E198"/>
  <c r="E200"/>
  <c r="E202"/>
  <c r="E204"/>
  <c r="E206"/>
  <c r="E208"/>
  <c r="E210"/>
  <c r="E212"/>
  <c r="E214"/>
  <c r="E216"/>
  <c r="E219"/>
  <c r="E221"/>
  <c r="E223"/>
  <c r="E225"/>
  <c r="E227"/>
  <c r="E228"/>
  <c r="E231"/>
  <c r="E233"/>
  <c r="E235"/>
  <c r="E237"/>
  <c r="E239"/>
  <c r="E241"/>
  <c r="E242"/>
  <c r="E244"/>
  <c r="E246"/>
  <c r="E248"/>
  <c r="E250"/>
  <c r="E252"/>
  <c r="E254"/>
  <c r="E256"/>
  <c r="E257"/>
  <c r="E259"/>
  <c r="E261"/>
  <c r="H516" i="11"/>
  <c r="H443"/>
  <c r="H451" s="1"/>
  <c r="H513" s="1"/>
  <c r="H447"/>
  <c r="H473" s="1"/>
  <c r="H474" s="1"/>
  <c r="H512" s="1"/>
  <c r="H449"/>
  <c r="H464" s="1"/>
  <c r="H480" s="1"/>
  <c r="H508" s="1"/>
  <c r="H456"/>
  <c r="H459" s="1"/>
  <c r="H514" s="1"/>
  <c r="H457"/>
  <c r="H458" s="1"/>
  <c r="H460" s="1"/>
  <c r="H461" s="1"/>
  <c r="H462" s="1"/>
  <c r="H463" s="1"/>
  <c r="H466" s="1"/>
  <c r="H471" s="1"/>
  <c r="H481" s="1"/>
  <c r="H482" s="1"/>
  <c r="H491" s="1"/>
  <c r="H469"/>
  <c r="H498" s="1"/>
  <c r="H470"/>
  <c r="H477" s="1"/>
  <c r="H515" s="1"/>
  <c r="H472"/>
  <c r="H510" s="1"/>
  <c r="G486"/>
  <c r="H487"/>
  <c r="G488"/>
  <c r="H489"/>
  <c r="G490"/>
  <c r="G492"/>
  <c r="H493"/>
  <c r="G494"/>
  <c r="H495"/>
  <c r="G496"/>
  <c r="H497"/>
  <c r="G498"/>
  <c r="G500"/>
  <c r="H501"/>
  <c r="G502"/>
  <c r="H503"/>
  <c r="G504"/>
  <c r="H505"/>
  <c r="G506"/>
  <c r="H507"/>
  <c r="G508"/>
  <c r="G510"/>
  <c r="G512"/>
  <c r="G514"/>
  <c r="H517"/>
  <c r="H486"/>
  <c r="H488"/>
  <c r="H490"/>
  <c r="H492"/>
  <c r="H494"/>
  <c r="H502"/>
  <c r="H506"/>
  <c r="Z187" i="7" l="1"/>
  <c r="V31" i="28"/>
  <c r="Z31"/>
  <c r="V32"/>
  <c r="Z32"/>
  <c r="Z66"/>
  <c r="V27"/>
  <c r="Z27"/>
  <c r="V40"/>
  <c r="Z40"/>
  <c r="V29"/>
  <c r="Z29"/>
  <c r="V42"/>
  <c r="Z42"/>
  <c r="Z7"/>
  <c r="Z70"/>
  <c r="P78" i="37" a="1"/>
  <c r="P78" s="1"/>
  <c r="U64"/>
  <c r="U182" i="7"/>
  <c r="U183"/>
  <c r="U180"/>
  <c r="U181"/>
  <c r="U185"/>
  <c r="T60" i="37"/>
  <c r="K76" s="1"/>
  <c r="X184" i="7"/>
  <c r="AA183"/>
  <c r="T34" i="37"/>
  <c r="K86" s="1"/>
  <c r="T66"/>
  <c r="K81" s="1"/>
  <c r="T65"/>
  <c r="I56" i="15"/>
  <c r="M275" i="21"/>
  <c r="M277"/>
  <c r="M276"/>
  <c r="M329"/>
  <c r="U8" i="22"/>
  <c r="T8"/>
  <c r="O8"/>
  <c r="S8"/>
  <c r="W8"/>
  <c r="P8"/>
  <c r="R20"/>
  <c r="V20"/>
  <c r="R8"/>
  <c r="V8"/>
  <c r="Q8"/>
  <c r="AA176" i="7"/>
  <c r="Z176"/>
  <c r="Z177"/>
  <c r="AA177"/>
  <c r="X182"/>
  <c r="Z178"/>
  <c r="AA178"/>
  <c r="Z181"/>
  <c r="X180"/>
  <c r="E100" i="37"/>
  <c r="U34"/>
  <c r="AC37" i="28"/>
  <c r="U52" i="30"/>
  <c r="U51"/>
  <c r="U21"/>
  <c r="T166" i="7"/>
  <c r="T167"/>
  <c r="T156"/>
  <c r="T151"/>
  <c r="T159"/>
  <c r="T163"/>
  <c r="T169"/>
  <c r="T150"/>
  <c r="T154"/>
  <c r="T158"/>
  <c r="T162"/>
  <c r="T149"/>
  <c r="T153"/>
  <c r="T157"/>
  <c r="T161"/>
  <c r="T165"/>
  <c r="T170"/>
  <c r="T181"/>
  <c r="T217"/>
  <c r="T203"/>
  <c r="T207"/>
  <c r="T213"/>
  <c r="T148"/>
  <c r="T152"/>
  <c r="T160"/>
  <c r="T164"/>
  <c r="T168"/>
  <c r="T155"/>
  <c r="T183"/>
  <c r="T201"/>
  <c r="T205"/>
  <c r="T211"/>
  <c r="T219"/>
  <c r="X177"/>
  <c r="AC13" i="28"/>
  <c r="U177" i="7"/>
  <c r="U121"/>
  <c r="U178"/>
  <c r="AB37" i="28"/>
  <c r="W178" i="7"/>
  <c r="U5" i="28"/>
  <c r="M88" i="37"/>
  <c r="L61" i="4"/>
  <c r="K61"/>
  <c r="C4"/>
  <c r="Z179" i="7"/>
  <c r="W179"/>
  <c r="P87" i="37" a="1"/>
  <c r="P87" s="1"/>
  <c r="P88" a="1"/>
  <c r="P88" s="1"/>
  <c r="J100"/>
  <c r="C100" s="1"/>
  <c r="J91"/>
  <c r="C91" s="1"/>
  <c r="Q20" i="22"/>
  <c r="U20"/>
  <c r="P20"/>
  <c r="O20"/>
  <c r="S20"/>
  <c r="W176" i="7"/>
  <c r="U58" i="28"/>
  <c r="E5" i="4"/>
  <c r="T53" i="7"/>
  <c r="Y17"/>
  <c r="AA8"/>
  <c r="T49"/>
  <c r="Y8"/>
  <c r="AA6"/>
  <c r="U59" i="28"/>
  <c r="T47" i="7"/>
  <c r="L18" i="54"/>
  <c r="T74" i="7"/>
  <c r="T88"/>
  <c r="T95"/>
  <c r="AC74" i="28"/>
  <c r="AC63"/>
  <c r="AC60"/>
  <c r="U136" i="7"/>
  <c r="U135"/>
  <c r="U20"/>
  <c r="U44"/>
  <c r="U100"/>
  <c r="U110"/>
  <c r="U120"/>
  <c r="U3"/>
  <c r="U7"/>
  <c r="U11"/>
  <c r="U15"/>
  <c r="U17"/>
  <c r="U27"/>
  <c r="U41"/>
  <c r="U147"/>
  <c r="U8"/>
  <c r="U174"/>
  <c r="U9"/>
  <c r="U175"/>
  <c r="U106"/>
  <c r="U47"/>
  <c r="U107"/>
  <c r="U4"/>
  <c r="U50"/>
  <c r="U21"/>
  <c r="U155"/>
  <c r="U172"/>
  <c r="U173"/>
  <c r="U48"/>
  <c r="U108"/>
  <c r="U112"/>
  <c r="U49"/>
  <c r="U109"/>
  <c r="U111"/>
  <c r="U114"/>
  <c r="U113"/>
  <c r="U38"/>
  <c r="U37"/>
  <c r="U39"/>
  <c r="U22"/>
  <c r="U24"/>
  <c r="U25"/>
  <c r="U6"/>
  <c r="U122"/>
  <c r="U101"/>
  <c r="U28"/>
  <c r="U30"/>
  <c r="U118"/>
  <c r="U126"/>
  <c r="U29"/>
  <c r="U117"/>
  <c r="U125"/>
  <c r="U46"/>
  <c r="U144"/>
  <c r="U45"/>
  <c r="U104"/>
  <c r="U103"/>
  <c r="U105"/>
  <c r="U12"/>
  <c r="U14"/>
  <c r="U26"/>
  <c r="U32"/>
  <c r="U40"/>
  <c r="U42"/>
  <c r="U102"/>
  <c r="U128"/>
  <c r="U132"/>
  <c r="U146"/>
  <c r="U2"/>
  <c r="U5"/>
  <c r="U19"/>
  <c r="U31"/>
  <c r="U33"/>
  <c r="U35"/>
  <c r="U43"/>
  <c r="U123"/>
  <c r="U131"/>
  <c r="U145"/>
  <c r="U171"/>
  <c r="AC59" i="28"/>
  <c r="AC20"/>
  <c r="AC4"/>
  <c r="W175" i="7"/>
  <c r="L22" i="54" s="1"/>
  <c r="AA64" i="7"/>
  <c r="T89"/>
  <c r="T96"/>
  <c r="T63"/>
  <c r="Z45"/>
  <c r="T100"/>
  <c r="AA12"/>
  <c r="T86"/>
  <c r="T93"/>
  <c r="T98"/>
  <c r="T97"/>
  <c r="T65"/>
  <c r="AA56"/>
  <c r="Y52"/>
  <c r="Y104"/>
  <c r="W104" s="1"/>
  <c r="Y108"/>
  <c r="W108" s="1"/>
  <c r="Y101"/>
  <c r="W101" s="1"/>
  <c r="Y105"/>
  <c r="W105" s="1"/>
  <c r="Y109"/>
  <c r="W109" s="1"/>
  <c r="Y134"/>
  <c r="Y135"/>
  <c r="W135" s="1"/>
  <c r="Y141"/>
  <c r="Y145"/>
  <c r="W145" s="1"/>
  <c r="Y149"/>
  <c r="Y41"/>
  <c r="W41" s="1"/>
  <c r="Y168"/>
  <c r="Y82"/>
  <c r="Y88"/>
  <c r="Y53"/>
  <c r="Y85"/>
  <c r="Y89"/>
  <c r="Y91"/>
  <c r="Y90"/>
  <c r="AA62"/>
  <c r="Y102"/>
  <c r="W102" s="1"/>
  <c r="Y110"/>
  <c r="W110" s="1"/>
  <c r="Y116"/>
  <c r="W116" s="1"/>
  <c r="L23" i="54" s="1"/>
  <c r="Y99" i="7"/>
  <c r="W99" s="1"/>
  <c r="L11" i="54" s="1"/>
  <c r="Y103" i="7"/>
  <c r="W103" s="1"/>
  <c r="Y119"/>
  <c r="Y133"/>
  <c r="Y136"/>
  <c r="W136" s="1"/>
  <c r="Y140"/>
  <c r="Y148"/>
  <c r="Y152"/>
  <c r="Y153"/>
  <c r="Y163"/>
  <c r="Y167"/>
  <c r="Y166"/>
  <c r="Y86"/>
  <c r="Y131"/>
  <c r="W131" s="1"/>
  <c r="Y7"/>
  <c r="W7" s="1"/>
  <c r="Y19"/>
  <c r="W19" s="1"/>
  <c r="Y83"/>
  <c r="Y87"/>
  <c r="AA171"/>
  <c r="Z30"/>
  <c r="Z18"/>
  <c r="Z175"/>
  <c r="Z36"/>
  <c r="T39"/>
  <c r="T23"/>
  <c r="T15"/>
  <c r="T7"/>
  <c r="T77"/>
  <c r="T81"/>
  <c r="T85"/>
  <c r="T82"/>
  <c r="T59"/>
  <c r="T102"/>
  <c r="T106"/>
  <c r="T110"/>
  <c r="T123"/>
  <c r="T135"/>
  <c r="AA36"/>
  <c r="Z12"/>
  <c r="T134"/>
  <c r="T138"/>
  <c r="T141"/>
  <c r="T145"/>
  <c r="T120"/>
  <c r="T128"/>
  <c r="T71"/>
  <c r="T73"/>
  <c r="T137"/>
  <c r="T142"/>
  <c r="T146"/>
  <c r="T51"/>
  <c r="T57"/>
  <c r="T69"/>
  <c r="T75"/>
  <c r="T115"/>
  <c r="T127"/>
  <c r="AA84"/>
  <c r="Z41" i="30" s="1"/>
  <c r="T84" i="7"/>
  <c r="Z87"/>
  <c r="T87"/>
  <c r="AA83"/>
  <c r="T83"/>
  <c r="Z38"/>
  <c r="T38"/>
  <c r="Z14"/>
  <c r="T14"/>
  <c r="Z28"/>
  <c r="T28"/>
  <c r="Z44"/>
  <c r="T44"/>
  <c r="AA16"/>
  <c r="T16"/>
  <c r="T117"/>
  <c r="T121"/>
  <c r="T52"/>
  <c r="Z51"/>
  <c r="Y29" i="30" s="1"/>
  <c r="Z75" i="7"/>
  <c r="Z69"/>
  <c r="T92"/>
  <c r="T76"/>
  <c r="T79"/>
  <c r="T61"/>
  <c r="T80"/>
  <c r="Z57"/>
  <c r="T104"/>
  <c r="T108"/>
  <c r="T112"/>
  <c r="T116"/>
  <c r="T119"/>
  <c r="T10"/>
  <c r="T35"/>
  <c r="T27"/>
  <c r="T19"/>
  <c r="T11"/>
  <c r="T131"/>
  <c r="T132"/>
  <c r="T136"/>
  <c r="T140"/>
  <c r="T143"/>
  <c r="T147"/>
  <c r="T62"/>
  <c r="T64"/>
  <c r="T118"/>
  <c r="T122"/>
  <c r="T133"/>
  <c r="T139"/>
  <c r="T144"/>
  <c r="T5"/>
  <c r="T29"/>
  <c r="T41"/>
  <c r="T45"/>
  <c r="T90"/>
  <c r="T4"/>
  <c r="T8"/>
  <c r="T20"/>
  <c r="T24"/>
  <c r="T32"/>
  <c r="T56"/>
  <c r="T124"/>
  <c r="T21"/>
  <c r="T33"/>
  <c r="T67"/>
  <c r="T2"/>
  <c r="AA3"/>
  <c r="T3"/>
  <c r="AA31"/>
  <c r="T31"/>
  <c r="AA43"/>
  <c r="T43"/>
  <c r="Z42"/>
  <c r="T42"/>
  <c r="Z34"/>
  <c r="X34" s="1"/>
  <c r="T34"/>
  <c r="Z26"/>
  <c r="T26"/>
  <c r="T66"/>
  <c r="T70"/>
  <c r="T72"/>
  <c r="T126"/>
  <c r="T130"/>
  <c r="T129"/>
  <c r="T91"/>
  <c r="T6"/>
  <c r="T18"/>
  <c r="T22"/>
  <c r="T30"/>
  <c r="T40"/>
  <c r="T68"/>
  <c r="T9"/>
  <c r="T17"/>
  <c r="T25"/>
  <c r="T37"/>
  <c r="T125"/>
  <c r="Z85"/>
  <c r="AA44"/>
  <c r="AA28"/>
  <c r="AA22"/>
  <c r="U31" i="28"/>
  <c r="U42"/>
  <c r="U44"/>
  <c r="U30"/>
  <c r="U37"/>
  <c r="AA38" i="7"/>
  <c r="Z24"/>
  <c r="AA14"/>
  <c r="Z86"/>
  <c r="Z22"/>
  <c r="AA30"/>
  <c r="AA174"/>
  <c r="G5" i="4"/>
  <c r="Z32" i="7"/>
  <c r="AA32"/>
  <c r="AA24"/>
  <c r="AA18"/>
  <c r="Z4"/>
  <c r="Y4"/>
  <c r="Y18"/>
  <c r="W18" s="1"/>
  <c r="L7" i="54" s="1"/>
  <c r="Y30" i="7"/>
  <c r="U66" i="28" s="1"/>
  <c r="Z31" i="7"/>
  <c r="Z20"/>
  <c r="AA42"/>
  <c r="Z40"/>
  <c r="AA40"/>
  <c r="AA175"/>
  <c r="X175" s="1"/>
  <c r="Z174"/>
  <c r="AA34"/>
  <c r="AA26"/>
  <c r="Z6"/>
  <c r="X6" s="1"/>
  <c r="AA20"/>
  <c r="U63" i="37"/>
  <c r="U53"/>
  <c r="U65"/>
  <c r="U66"/>
  <c r="M81" s="1"/>
  <c r="U32"/>
  <c r="U36"/>
  <c r="U60"/>
  <c r="M76" s="1"/>
  <c r="U62"/>
  <c r="U33"/>
  <c r="AC22" i="28"/>
  <c r="H82" i="11"/>
  <c r="H89" s="1"/>
  <c r="H95" s="1"/>
  <c r="H96" s="1"/>
  <c r="H97" s="1"/>
  <c r="H133"/>
  <c r="Z352" i="7"/>
  <c r="Z308"/>
  <c r="Z330"/>
  <c r="Z387"/>
  <c r="Y171"/>
  <c r="W171" s="1"/>
  <c r="Y181"/>
  <c r="W181" s="1"/>
  <c r="W187"/>
  <c r="Y179"/>
  <c r="Y183"/>
  <c r="W183" s="1"/>
  <c r="O14" i="15"/>
  <c r="Z166" i="7"/>
  <c r="N48" i="22"/>
  <c r="P27" i="15"/>
  <c r="P19"/>
  <c r="P11"/>
  <c r="AB77" i="28"/>
  <c r="Z25" i="7"/>
  <c r="Z9"/>
  <c r="Z167"/>
  <c r="K280" i="21"/>
  <c r="T15" i="22" s="1"/>
  <c r="Z247" i="7"/>
  <c r="AA90"/>
  <c r="Z16" i="30" s="1"/>
  <c r="Z90" i="7"/>
  <c r="Y16" i="30" s="1"/>
  <c r="AA261" i="7"/>
  <c r="X18"/>
  <c r="Z37"/>
  <c r="AA119"/>
  <c r="Z53" i="30" s="1"/>
  <c r="Z2" i="7"/>
  <c r="X2" s="1"/>
  <c r="Z21"/>
  <c r="Z17"/>
  <c r="Z33"/>
  <c r="Z233"/>
  <c r="Z205"/>
  <c r="Z276"/>
  <c r="AA160"/>
  <c r="AA164"/>
  <c r="AA168"/>
  <c r="Z140"/>
  <c r="Y9" i="30" s="1"/>
  <c r="Z141" i="7"/>
  <c r="Z149"/>
  <c r="Z153"/>
  <c r="Z163"/>
  <c r="Z169"/>
  <c r="Y24" i="30" s="1"/>
  <c r="Z133" i="7"/>
  <c r="Z139"/>
  <c r="Y8" i="30" s="1"/>
  <c r="AA86" i="7"/>
  <c r="Z148"/>
  <c r="AA152"/>
  <c r="Z156"/>
  <c r="Z162"/>
  <c r="Z134"/>
  <c r="Z138"/>
  <c r="Z143"/>
  <c r="Z161"/>
  <c r="Z165"/>
  <c r="AA137"/>
  <c r="AA142"/>
  <c r="AA279"/>
  <c r="AA291"/>
  <c r="Z191"/>
  <c r="Z217"/>
  <c r="Z270"/>
  <c r="AA89"/>
  <c r="Z4" i="30" s="1"/>
  <c r="Z89" i="7"/>
  <c r="Y4" i="30" s="1"/>
  <c r="AA92" i="7"/>
  <c r="Z44" i="30" s="1"/>
  <c r="Z92" i="7"/>
  <c r="Y44" i="30" s="1"/>
  <c r="AA96" i="7"/>
  <c r="Z96"/>
  <c r="AA100"/>
  <c r="Z100"/>
  <c r="AA108"/>
  <c r="Z108"/>
  <c r="AA116"/>
  <c r="Z116"/>
  <c r="AA158"/>
  <c r="Z158"/>
  <c r="AA147"/>
  <c r="Z147"/>
  <c r="AA120"/>
  <c r="Z120"/>
  <c r="AA126"/>
  <c r="Z126"/>
  <c r="AA128"/>
  <c r="Z128"/>
  <c r="AA130"/>
  <c r="Z130"/>
  <c r="AA151"/>
  <c r="Z151"/>
  <c r="AA155"/>
  <c r="Z155"/>
  <c r="AA157"/>
  <c r="Z157"/>
  <c r="AA146"/>
  <c r="Z146"/>
  <c r="AA115"/>
  <c r="Z115"/>
  <c r="AA127"/>
  <c r="Z127"/>
  <c r="AA129"/>
  <c r="Z129"/>
  <c r="AA170"/>
  <c r="Z170"/>
  <c r="AA172"/>
  <c r="Z172"/>
  <c r="AA173"/>
  <c r="Z173"/>
  <c r="AA134"/>
  <c r="AA140"/>
  <c r="Z9" i="30" s="1"/>
  <c r="AA141" i="7"/>
  <c r="AA149"/>
  <c r="AA161"/>
  <c r="AA165"/>
  <c r="AA169"/>
  <c r="Z24" i="30" s="1"/>
  <c r="Z119" i="7"/>
  <c r="Z137"/>
  <c r="Z142"/>
  <c r="Z152"/>
  <c r="Z160"/>
  <c r="Z164"/>
  <c r="Z168"/>
  <c r="AA87"/>
  <c r="X87" s="1"/>
  <c r="AA133"/>
  <c r="AA139"/>
  <c r="AA148"/>
  <c r="AA156"/>
  <c r="AA162"/>
  <c r="AA166"/>
  <c r="Z84"/>
  <c r="Z124"/>
  <c r="Z171"/>
  <c r="AA179"/>
  <c r="AA195"/>
  <c r="AA207"/>
  <c r="AA230"/>
  <c r="AA241"/>
  <c r="AA125"/>
  <c r="AA181"/>
  <c r="AA203"/>
  <c r="AA213"/>
  <c r="AA94"/>
  <c r="Z94"/>
  <c r="AA97"/>
  <c r="Z19" i="30" s="1"/>
  <c r="Z97" i="7"/>
  <c r="Y19" i="30" s="1"/>
  <c r="AA99" i="7"/>
  <c r="Z99"/>
  <c r="AA103"/>
  <c r="Z103"/>
  <c r="AA107"/>
  <c r="Z107"/>
  <c r="AA111"/>
  <c r="Z111"/>
  <c r="AA104"/>
  <c r="Z104"/>
  <c r="AA112"/>
  <c r="Z112"/>
  <c r="AA121"/>
  <c r="Z121"/>
  <c r="AA88"/>
  <c r="Z3" i="30" s="1"/>
  <c r="Z88" i="7"/>
  <c r="AA93"/>
  <c r="Z42" i="30" s="1"/>
  <c r="Z93" i="7"/>
  <c r="Y42" i="30" s="1"/>
  <c r="AA95" i="7"/>
  <c r="Z95"/>
  <c r="AA98"/>
  <c r="Z39" i="30" s="1"/>
  <c r="Z98" i="7"/>
  <c r="Y39" i="30" s="1"/>
  <c r="AA101" i="7"/>
  <c r="Z101"/>
  <c r="AA105"/>
  <c r="Z105"/>
  <c r="AA109"/>
  <c r="Z109"/>
  <c r="AA113"/>
  <c r="Z113"/>
  <c r="AA102"/>
  <c r="Z102"/>
  <c r="AA106"/>
  <c r="Z106"/>
  <c r="AA110"/>
  <c r="Z110"/>
  <c r="AA114"/>
  <c r="Z114"/>
  <c r="AA117"/>
  <c r="Z117"/>
  <c r="AA123"/>
  <c r="Z123"/>
  <c r="AA135"/>
  <c r="Z135"/>
  <c r="AA131"/>
  <c r="Z131"/>
  <c r="AA150"/>
  <c r="Z150"/>
  <c r="AA154"/>
  <c r="Z52" i="30" s="1"/>
  <c r="Z154" i="7"/>
  <c r="AA132"/>
  <c r="Z132"/>
  <c r="AA136"/>
  <c r="Z136"/>
  <c r="AA145"/>
  <c r="Z145"/>
  <c r="AA118"/>
  <c r="Z118"/>
  <c r="AA122"/>
  <c r="Z122"/>
  <c r="AA159"/>
  <c r="Z159"/>
  <c r="AA144"/>
  <c r="Z144"/>
  <c r="AA85"/>
  <c r="X85" s="1"/>
  <c r="Z3"/>
  <c r="X3" s="1"/>
  <c r="Z43"/>
  <c r="AA255"/>
  <c r="AA273"/>
  <c r="AA285"/>
  <c r="Z183"/>
  <c r="X183" s="1"/>
  <c r="Z201"/>
  <c r="Z211"/>
  <c r="Z228"/>
  <c r="Z239"/>
  <c r="Z282"/>
  <c r="Z345"/>
  <c r="Z366"/>
  <c r="AA138"/>
  <c r="AA143"/>
  <c r="X143" s="1"/>
  <c r="AA153"/>
  <c r="AA163"/>
  <c r="AA167"/>
  <c r="Z83"/>
  <c r="X83" s="1"/>
  <c r="Z91"/>
  <c r="Y18" i="30" s="1"/>
  <c r="AA91" i="7"/>
  <c r="Z18" i="30" s="1"/>
  <c r="Y100" i="7"/>
  <c r="W100" s="1"/>
  <c r="AA219"/>
  <c r="AA231"/>
  <c r="AA246"/>
  <c r="AA187"/>
  <c r="AA234"/>
  <c r="AA244"/>
  <c r="L29" i="15"/>
  <c r="K29"/>
  <c r="AA271" i="7"/>
  <c r="AA287"/>
  <c r="Z238"/>
  <c r="Z246"/>
  <c r="Z254"/>
  <c r="Z256"/>
  <c r="Z268"/>
  <c r="Z287"/>
  <c r="AA250"/>
  <c r="AA258"/>
  <c r="AA266"/>
  <c r="AA274"/>
  <c r="AA280"/>
  <c r="Z294"/>
  <c r="Z298"/>
  <c r="Z300"/>
  <c r="Z302"/>
  <c r="Z306"/>
  <c r="Z310"/>
  <c r="Z314"/>
  <c r="Z316"/>
  <c r="Z318"/>
  <c r="Z322"/>
  <c r="Z326"/>
  <c r="Z328"/>
  <c r="Z332"/>
  <c r="Z334"/>
  <c r="Z338"/>
  <c r="Z344"/>
  <c r="Z346"/>
  <c r="Z350"/>
  <c r="Z356"/>
  <c r="Z358"/>
  <c r="Z362"/>
  <c r="Z364"/>
  <c r="Z368"/>
  <c r="Z370"/>
  <c r="Z372"/>
  <c r="Z374"/>
  <c r="Z376"/>
  <c r="Z378"/>
  <c r="Z380"/>
  <c r="Z382"/>
  <c r="Z384"/>
  <c r="Z386"/>
  <c r="Z388"/>
  <c r="Z390"/>
  <c r="Z392"/>
  <c r="Z224"/>
  <c r="Z236"/>
  <c r="Z244"/>
  <c r="Z249"/>
  <c r="Z264"/>
  <c r="AA256"/>
  <c r="AA262"/>
  <c r="AA292"/>
  <c r="AA310"/>
  <c r="AA323"/>
  <c r="AA341"/>
  <c r="AA347"/>
  <c r="AA364"/>
  <c r="AA375"/>
  <c r="AA392"/>
  <c r="AA315"/>
  <c r="AA317"/>
  <c r="AA333"/>
  <c r="AA349"/>
  <c r="AA362"/>
  <c r="AA371"/>
  <c r="AA378"/>
  <c r="AA249"/>
  <c r="AA265"/>
  <c r="AA269"/>
  <c r="Z260"/>
  <c r="Z271"/>
  <c r="Z288"/>
  <c r="AA278"/>
  <c r="AA284"/>
  <c r="Z301"/>
  <c r="Z307"/>
  <c r="Z309"/>
  <c r="Z323"/>
  <c r="Z327"/>
  <c r="Z341"/>
  <c r="Z357"/>
  <c r="Z361"/>
  <c r="Z365"/>
  <c r="Z367"/>
  <c r="Z379"/>
  <c r="AA73"/>
  <c r="Z71"/>
  <c r="P29" i="15"/>
  <c r="O29"/>
  <c r="Q29"/>
  <c r="AC77" i="28"/>
  <c r="AC76"/>
  <c r="C34" i="11"/>
  <c r="X8" i="7"/>
  <c r="Y155"/>
  <c r="W155" s="1"/>
  <c r="L5" i="54" s="1"/>
  <c r="Y137" i="7"/>
  <c r="Y160"/>
  <c r="U49" i="28"/>
  <c r="X14" i="7"/>
  <c r="X22"/>
  <c r="X30"/>
  <c r="X24"/>
  <c r="X32"/>
  <c r="Y2"/>
  <c r="U25" i="28" s="1"/>
  <c r="U71"/>
  <c r="Z73" i="7"/>
  <c r="AA72"/>
  <c r="X36"/>
  <c r="X44"/>
  <c r="AA71"/>
  <c r="Y156"/>
  <c r="Y164"/>
  <c r="Y132"/>
  <c r="W132" s="1"/>
  <c r="Y138"/>
  <c r="Y143"/>
  <c r="Y147"/>
  <c r="W147" s="1"/>
  <c r="Y64"/>
  <c r="Y128"/>
  <c r="Y71"/>
  <c r="Y139"/>
  <c r="Y144"/>
  <c r="U38" i="28"/>
  <c r="U8"/>
  <c r="Y45" i="7"/>
  <c r="Y69"/>
  <c r="Y115"/>
  <c r="Y129"/>
  <c r="Y162"/>
  <c r="Y56"/>
  <c r="Y62"/>
  <c r="Y68"/>
  <c r="Y120"/>
  <c r="W120" s="1"/>
  <c r="Y124"/>
  <c r="W124" s="1"/>
  <c r="L36" i="54" s="1"/>
  <c r="Y73" i="7"/>
  <c r="Y161"/>
  <c r="Y165"/>
  <c r="Y142"/>
  <c r="Y146"/>
  <c r="W146" s="1"/>
  <c r="Y5"/>
  <c r="Y13"/>
  <c r="U21" i="28" s="1"/>
  <c r="U29"/>
  <c r="U20"/>
  <c r="U32"/>
  <c r="Y51" i="7"/>
  <c r="Y57"/>
  <c r="Y75"/>
  <c r="Y121"/>
  <c r="W121" s="1"/>
  <c r="Y125"/>
  <c r="Z72"/>
  <c r="AA70"/>
  <c r="Z70"/>
  <c r="Z77"/>
  <c r="AA77"/>
  <c r="Z81"/>
  <c r="AA81"/>
  <c r="Y43" i="30"/>
  <c r="AA82" i="7"/>
  <c r="Z82"/>
  <c r="AA69"/>
  <c r="Z68"/>
  <c r="Z67"/>
  <c r="AA74"/>
  <c r="Z74"/>
  <c r="AA76"/>
  <c r="Z76"/>
  <c r="Z79"/>
  <c r="AA79"/>
  <c r="Z26" i="30"/>
  <c r="AA80" i="7"/>
  <c r="Z80"/>
  <c r="AA78"/>
  <c r="Z78"/>
  <c r="AA67"/>
  <c r="AA75"/>
  <c r="X125"/>
  <c r="T68" i="28" s="1"/>
  <c r="AA53" i="7"/>
  <c r="Z51" i="30" s="1"/>
  <c r="Z53" i="7"/>
  <c r="AA46"/>
  <c r="Z46"/>
  <c r="X46" s="1"/>
  <c r="AA49"/>
  <c r="Z49"/>
  <c r="AA52"/>
  <c r="Z52"/>
  <c r="AA54"/>
  <c r="Z54"/>
  <c r="AA66"/>
  <c r="Z66"/>
  <c r="AA63"/>
  <c r="Z63"/>
  <c r="AA61"/>
  <c r="Z61"/>
  <c r="AA60"/>
  <c r="Z60"/>
  <c r="X113"/>
  <c r="X114"/>
  <c r="X117"/>
  <c r="X123"/>
  <c r="AA10"/>
  <c r="Z10"/>
  <c r="AA35"/>
  <c r="Z35"/>
  <c r="AA27"/>
  <c r="Z27"/>
  <c r="AA19"/>
  <c r="Z19"/>
  <c r="AA11"/>
  <c r="Z11"/>
  <c r="Z62"/>
  <c r="X124"/>
  <c r="T82" i="28" s="1"/>
  <c r="X82" s="1"/>
  <c r="Y82" s="1"/>
  <c r="AA82" s="1"/>
  <c r="Z13" i="7"/>
  <c r="Z64"/>
  <c r="AA5"/>
  <c r="AA29"/>
  <c r="AA41"/>
  <c r="AA45"/>
  <c r="X45" s="1"/>
  <c r="AA51"/>
  <c r="Z29" i="30" s="1"/>
  <c r="AA57" i="7"/>
  <c r="Z40" i="30"/>
  <c r="X126" i="7"/>
  <c r="Z56"/>
  <c r="X56" s="1"/>
  <c r="AA47"/>
  <c r="Z47"/>
  <c r="AA48"/>
  <c r="Z48"/>
  <c r="AA50"/>
  <c r="Z50"/>
  <c r="AA55"/>
  <c r="Z37" i="30" s="1"/>
  <c r="Z55" i="7"/>
  <c r="Y47" i="30"/>
  <c r="AA65" i="7"/>
  <c r="Z65"/>
  <c r="AA58"/>
  <c r="Z58"/>
  <c r="AA59"/>
  <c r="Z59"/>
  <c r="AA39"/>
  <c r="Z39"/>
  <c r="AA23"/>
  <c r="Z23"/>
  <c r="AA15"/>
  <c r="Z15"/>
  <c r="AA7"/>
  <c r="Z7"/>
  <c r="AA13"/>
  <c r="X150"/>
  <c r="X144"/>
  <c r="Z5"/>
  <c r="Z29"/>
  <c r="Z41"/>
  <c r="X151"/>
  <c r="X118"/>
  <c r="U24" i="28"/>
  <c r="Q36" i="15"/>
  <c r="K36"/>
  <c r="Q35"/>
  <c r="K35"/>
  <c r="Q33"/>
  <c r="K33"/>
  <c r="Q31"/>
  <c r="K31"/>
  <c r="Q28"/>
  <c r="K28"/>
  <c r="Q24"/>
  <c r="K24"/>
  <c r="Q18"/>
  <c r="K18"/>
  <c r="Q16"/>
  <c r="K16"/>
  <c r="Q14"/>
  <c r="K14"/>
  <c r="Q12"/>
  <c r="K12"/>
  <c r="Q10"/>
  <c r="K10"/>
  <c r="Q8"/>
  <c r="K8"/>
  <c r="Q6"/>
  <c r="K6"/>
  <c r="Q4"/>
  <c r="K4"/>
  <c r="P9"/>
  <c r="Q20"/>
  <c r="K20"/>
  <c r="X48" i="22"/>
  <c r="Q26" i="15"/>
  <c r="K26"/>
  <c r="H120" i="11"/>
  <c r="H148"/>
  <c r="AB76" i="28"/>
  <c r="Q22" i="15"/>
  <c r="K22"/>
  <c r="T63" i="28"/>
  <c r="H84" i="11"/>
  <c r="H64"/>
  <c r="U35" i="28"/>
  <c r="U47"/>
  <c r="U82"/>
  <c r="U68"/>
  <c r="M53" i="21"/>
  <c r="M111"/>
  <c r="K126"/>
  <c r="O18" i="22" s="1"/>
  <c r="K38" i="21"/>
  <c r="S25" i="22" s="1"/>
  <c r="K18" i="21"/>
  <c r="U7" i="22" s="1"/>
  <c r="K10" i="21"/>
  <c r="W10" i="22" s="1"/>
  <c r="K6" i="21"/>
  <c r="R30" i="22" s="1"/>
  <c r="K213" i="21"/>
  <c r="U14" i="22" s="1"/>
  <c r="K2" i="21"/>
  <c r="Q16" i="22" s="1"/>
  <c r="K7" i="21"/>
  <c r="T29" i="22" s="1"/>
  <c r="K111" i="21"/>
  <c r="R27" i="22" s="1"/>
  <c r="M7" i="21"/>
  <c r="M15"/>
  <c r="M25"/>
  <c r="M35"/>
  <c r="M55"/>
  <c r="M63"/>
  <c r="M81"/>
  <c r="M85"/>
  <c r="M101"/>
  <c r="M107"/>
  <c r="M115"/>
  <c r="M119"/>
  <c r="M135"/>
  <c r="M139"/>
  <c r="M143"/>
  <c r="M149"/>
  <c r="M161"/>
  <c r="M171"/>
  <c r="M191"/>
  <c r="M197"/>
  <c r="M215"/>
  <c r="M226"/>
  <c r="M156"/>
  <c r="M76"/>
  <c r="K164"/>
  <c r="Q11" i="22" s="1"/>
  <c r="K144" i="21"/>
  <c r="T19" i="22" s="1"/>
  <c r="K88" i="21"/>
  <c r="U23" i="22" s="1"/>
  <c r="K28" i="21"/>
  <c r="S12" i="22" s="1"/>
  <c r="K16" i="21"/>
  <c r="V28" i="22" s="1"/>
  <c r="K4" i="21"/>
  <c r="S21" i="22" s="1"/>
  <c r="K9" i="21"/>
  <c r="R17" i="22" s="1"/>
  <c r="K97" i="21"/>
  <c r="P9" i="22" s="1"/>
  <c r="K3" i="21"/>
  <c r="Q24" i="22" s="1"/>
  <c r="K35" i="21"/>
  <c r="P22" i="22" s="1"/>
  <c r="K75" i="21"/>
  <c r="P13" i="22" s="1"/>
  <c r="K107" i="21"/>
  <c r="V26" i="22" s="1"/>
  <c r="U19" i="28"/>
  <c r="U23"/>
  <c r="U76"/>
  <c r="U34"/>
  <c r="U46"/>
  <c r="U60"/>
  <c r="U80"/>
  <c r="U14"/>
  <c r="U72"/>
  <c r="O22" i="15"/>
  <c r="P13"/>
  <c r="L13"/>
  <c r="M80" i="37"/>
  <c r="N84"/>
  <c r="E82"/>
  <c r="L34" i="15"/>
  <c r="L25"/>
  <c r="L17"/>
  <c r="L9"/>
  <c r="U73" i="28"/>
  <c r="U70"/>
  <c r="U67"/>
  <c r="AB25"/>
  <c r="AB22"/>
  <c r="T8"/>
  <c r="M54" i="21"/>
  <c r="M28"/>
  <c r="M27"/>
  <c r="M61"/>
  <c r="M109"/>
  <c r="M113"/>
  <c r="M183"/>
  <c r="M209"/>
  <c r="M229"/>
  <c r="M232"/>
  <c r="M243"/>
  <c r="M114"/>
  <c r="M26"/>
  <c r="M6"/>
  <c r="T32" i="28"/>
  <c r="U16"/>
  <c r="T20"/>
  <c r="T77"/>
  <c r="M193" i="21"/>
  <c r="M227"/>
  <c r="M200"/>
  <c r="M174"/>
  <c r="M152"/>
  <c r="T21" i="28"/>
  <c r="X21" s="1"/>
  <c r="AC71"/>
  <c r="AC70"/>
  <c r="AC33"/>
  <c r="AC31"/>
  <c r="AC29"/>
  <c r="AC27"/>
  <c r="AC25"/>
  <c r="AC32"/>
  <c r="AC30"/>
  <c r="AC28"/>
  <c r="AC26"/>
  <c r="O4" i="15"/>
  <c r="P43"/>
  <c r="M201" i="21"/>
  <c r="M17"/>
  <c r="M39"/>
  <c r="M43"/>
  <c r="M47"/>
  <c r="M59"/>
  <c r="M133"/>
  <c r="M173"/>
  <c r="M132"/>
  <c r="M110"/>
  <c r="M72"/>
  <c r="M58"/>
  <c r="M52"/>
  <c r="M242"/>
  <c r="M228"/>
  <c r="M19"/>
  <c r="M65"/>
  <c r="M79"/>
  <c r="M89"/>
  <c r="M105"/>
  <c r="M121"/>
  <c r="M131"/>
  <c r="M181"/>
  <c r="M241"/>
  <c r="M192"/>
  <c r="M176"/>
  <c r="M162"/>
  <c r="M154"/>
  <c r="M108"/>
  <c r="M234"/>
  <c r="M219"/>
  <c r="M212"/>
  <c r="M194"/>
  <c r="M112"/>
  <c r="M92"/>
  <c r="M11"/>
  <c r="M33"/>
  <c r="M67"/>
  <c r="M77"/>
  <c r="M163"/>
  <c r="M175"/>
  <c r="M199"/>
  <c r="M205"/>
  <c r="M13"/>
  <c r="M37"/>
  <c r="M69"/>
  <c r="M165"/>
  <c r="M2"/>
  <c r="M246"/>
  <c r="M233"/>
  <c r="M223"/>
  <c r="M216"/>
  <c r="M202"/>
  <c r="M198"/>
  <c r="M190"/>
  <c r="M182"/>
  <c r="M144"/>
  <c r="M138"/>
  <c r="M130"/>
  <c r="M122"/>
  <c r="M104"/>
  <c r="M96"/>
  <c r="M88"/>
  <c r="M84"/>
  <c r="M78"/>
  <c r="M62"/>
  <c r="M50"/>
  <c r="M46"/>
  <c r="M20"/>
  <c r="M22"/>
  <c r="M32"/>
  <c r="M44"/>
  <c r="M64"/>
  <c r="M66"/>
  <c r="M82"/>
  <c r="M98"/>
  <c r="M100"/>
  <c r="M158"/>
  <c r="M23"/>
  <c r="M31"/>
  <c r="M87"/>
  <c r="M127"/>
  <c r="M147"/>
  <c r="M167"/>
  <c r="M203"/>
  <c r="M220"/>
  <c r="M238"/>
  <c r="M231"/>
  <c r="M225"/>
  <c r="M221"/>
  <c r="M196"/>
  <c r="M188"/>
  <c r="M184"/>
  <c r="M180"/>
  <c r="M168"/>
  <c r="M136"/>
  <c r="M124"/>
  <c r="M94"/>
  <c r="M80"/>
  <c r="K60"/>
  <c r="P6" i="22" s="1"/>
  <c r="J61" i="4"/>
  <c r="H71" i="11"/>
  <c r="H72" s="1"/>
  <c r="L47" i="15"/>
  <c r="L39"/>
  <c r="Q55"/>
  <c r="K55"/>
  <c r="P54"/>
  <c r="O53"/>
  <c r="L52"/>
  <c r="Q51"/>
  <c r="K51"/>
  <c r="P50"/>
  <c r="Q49"/>
  <c r="P48"/>
  <c r="P46"/>
  <c r="O45"/>
  <c r="L44"/>
  <c r="O43"/>
  <c r="L42"/>
  <c r="Q41"/>
  <c r="K41"/>
  <c r="P40"/>
  <c r="K39"/>
  <c r="P38"/>
  <c r="P36"/>
  <c r="P35"/>
  <c r="M35" s="1"/>
  <c r="P33"/>
  <c r="P31"/>
  <c r="M31" s="1"/>
  <c r="P28"/>
  <c r="P26"/>
  <c r="M26" s="1"/>
  <c r="P24"/>
  <c r="P22"/>
  <c r="P20"/>
  <c r="P18"/>
  <c r="M18" s="1"/>
  <c r="P16"/>
  <c r="P14"/>
  <c r="P12"/>
  <c r="P10"/>
  <c r="M10" s="1"/>
  <c r="P8"/>
  <c r="P6"/>
  <c r="M6" s="1"/>
  <c r="P4"/>
  <c r="P37"/>
  <c r="O37"/>
  <c r="P34"/>
  <c r="P30"/>
  <c r="P25"/>
  <c r="P21"/>
  <c r="P17"/>
  <c r="P5"/>
  <c r="P3"/>
  <c r="AA56"/>
  <c r="X56"/>
  <c r="O3"/>
  <c r="G518" i="11"/>
  <c r="P47" i="15"/>
  <c r="O55"/>
  <c r="L54"/>
  <c r="Q53"/>
  <c r="K53"/>
  <c r="P52"/>
  <c r="O51"/>
  <c r="L50"/>
  <c r="O49"/>
  <c r="L48"/>
  <c r="O47"/>
  <c r="L46"/>
  <c r="Q45"/>
  <c r="K45"/>
  <c r="P44"/>
  <c r="Q43"/>
  <c r="K43"/>
  <c r="P42"/>
  <c r="O41"/>
  <c r="L40"/>
  <c r="O39"/>
  <c r="L38"/>
  <c r="L36"/>
  <c r="L35"/>
  <c r="L33"/>
  <c r="L31"/>
  <c r="L28"/>
  <c r="L26"/>
  <c r="J26" s="1"/>
  <c r="L24"/>
  <c r="L22"/>
  <c r="L20"/>
  <c r="J20" s="1"/>
  <c r="L18"/>
  <c r="L16"/>
  <c r="L14"/>
  <c r="L12"/>
  <c r="L10"/>
  <c r="L8"/>
  <c r="L6"/>
  <c r="L4"/>
  <c r="P55"/>
  <c r="L53"/>
  <c r="P51"/>
  <c r="P49"/>
  <c r="L49"/>
  <c r="L45"/>
  <c r="L43"/>
  <c r="L41"/>
  <c r="P39"/>
  <c r="AI56"/>
  <c r="S56"/>
  <c r="AG56"/>
  <c r="Y56"/>
  <c r="O40"/>
  <c r="K44"/>
  <c r="O44"/>
  <c r="O46"/>
  <c r="K48"/>
  <c r="O48"/>
  <c r="O50"/>
  <c r="O52"/>
  <c r="O38"/>
  <c r="Q42"/>
  <c r="Q46"/>
  <c r="O54"/>
  <c r="O34"/>
  <c r="O30"/>
  <c r="O25"/>
  <c r="O21"/>
  <c r="O17"/>
  <c r="O13"/>
  <c r="O9"/>
  <c r="M9" s="1"/>
  <c r="O5"/>
  <c r="T56"/>
  <c r="AJ56"/>
  <c r="AN56"/>
  <c r="L32"/>
  <c r="L27"/>
  <c r="L23"/>
  <c r="L19"/>
  <c r="L15"/>
  <c r="L11"/>
  <c r="L7"/>
  <c r="O32"/>
  <c r="M32" s="1"/>
  <c r="O27"/>
  <c r="O23"/>
  <c r="M23" s="1"/>
  <c r="O19"/>
  <c r="M19" s="1"/>
  <c r="O15"/>
  <c r="M15" s="1"/>
  <c r="O11"/>
  <c r="O7"/>
  <c r="M7" s="1"/>
  <c r="U56"/>
  <c r="L3"/>
  <c r="R56"/>
  <c r="K3"/>
  <c r="K49"/>
  <c r="Q47"/>
  <c r="K47"/>
  <c r="Q39"/>
  <c r="L55"/>
  <c r="P53"/>
  <c r="L51"/>
  <c r="P45"/>
  <c r="P41"/>
  <c r="AM56"/>
  <c r="W56"/>
  <c r="AK56"/>
  <c r="K38"/>
  <c r="K40"/>
  <c r="Q40"/>
  <c r="Q44"/>
  <c r="Q48"/>
  <c r="K52"/>
  <c r="Q52"/>
  <c r="Q38"/>
  <c r="K42"/>
  <c r="O42"/>
  <c r="K46"/>
  <c r="K50"/>
  <c r="Q50"/>
  <c r="K54"/>
  <c r="Q54"/>
  <c r="K37"/>
  <c r="J37" s="1"/>
  <c r="Q37"/>
  <c r="K34"/>
  <c r="Q34"/>
  <c r="K30"/>
  <c r="J30" s="1"/>
  <c r="Q30"/>
  <c r="K25"/>
  <c r="Q25"/>
  <c r="K21"/>
  <c r="J21" s="1"/>
  <c r="Q21"/>
  <c r="K17"/>
  <c r="Q17"/>
  <c r="K13"/>
  <c r="Q13"/>
  <c r="K9"/>
  <c r="Q9"/>
  <c r="K5"/>
  <c r="J5" s="1"/>
  <c r="Q5"/>
  <c r="V56"/>
  <c r="Z56"/>
  <c r="Q3"/>
  <c r="AH56"/>
  <c r="AL56"/>
  <c r="K32"/>
  <c r="Q32"/>
  <c r="K27"/>
  <c r="Q27"/>
  <c r="K23"/>
  <c r="Q23"/>
  <c r="K19"/>
  <c r="Q19"/>
  <c r="K15"/>
  <c r="Q15"/>
  <c r="K11"/>
  <c r="Q11"/>
  <c r="K7"/>
  <c r="Q7"/>
  <c r="Q88" i="37" l="1"/>
  <c r="H73" i="11"/>
  <c r="H74" s="1"/>
  <c r="N88" i="37"/>
  <c r="X139" i="7"/>
  <c r="Z8" i="30"/>
  <c r="K102" i="37"/>
  <c r="J4" i="15"/>
  <c r="J8"/>
  <c r="J12"/>
  <c r="J16"/>
  <c r="J24"/>
  <c r="J28"/>
  <c r="J33"/>
  <c r="J36"/>
  <c r="X26" i="7"/>
  <c r="U25" i="37"/>
  <c r="M100" s="1"/>
  <c r="Q100" s="1"/>
  <c r="U17"/>
  <c r="U9"/>
  <c r="U4"/>
  <c r="P10" i="22"/>
  <c r="U19" i="37"/>
  <c r="U11"/>
  <c r="V10" i="22"/>
  <c r="U12" i="37"/>
  <c r="U20"/>
  <c r="Q10" i="22"/>
  <c r="U6" i="37"/>
  <c r="U14"/>
  <c r="U22"/>
  <c r="S10" i="22"/>
  <c r="U3" i="37"/>
  <c r="U16" i="22"/>
  <c r="T16"/>
  <c r="S16"/>
  <c r="R16"/>
  <c r="O21"/>
  <c r="S28"/>
  <c r="P28"/>
  <c r="Q28"/>
  <c r="R13"/>
  <c r="S13"/>
  <c r="O15"/>
  <c r="U15"/>
  <c r="R26"/>
  <c r="T26"/>
  <c r="W26"/>
  <c r="R14"/>
  <c r="T14"/>
  <c r="P12"/>
  <c r="R12"/>
  <c r="V14"/>
  <c r="Q7"/>
  <c r="R7"/>
  <c r="O30"/>
  <c r="P30"/>
  <c r="P25"/>
  <c r="Q25"/>
  <c r="O13"/>
  <c r="V29"/>
  <c r="R28"/>
  <c r="V23"/>
  <c r="V21"/>
  <c r="Q19"/>
  <c r="R19"/>
  <c r="U22"/>
  <c r="Q22"/>
  <c r="V22"/>
  <c r="R22"/>
  <c r="V24"/>
  <c r="R24"/>
  <c r="W24"/>
  <c r="S24"/>
  <c r="O24"/>
  <c r="U9"/>
  <c r="Q9"/>
  <c r="V9"/>
  <c r="R9"/>
  <c r="W17"/>
  <c r="S17"/>
  <c r="O17"/>
  <c r="T17"/>
  <c r="P17"/>
  <c r="U6"/>
  <c r="Q6"/>
  <c r="V6"/>
  <c r="R6"/>
  <c r="V11"/>
  <c r="R11"/>
  <c r="W11"/>
  <c r="S11"/>
  <c r="O11"/>
  <c r="O12"/>
  <c r="W12"/>
  <c r="W14"/>
  <c r="P7"/>
  <c r="S7"/>
  <c r="T7"/>
  <c r="U30"/>
  <c r="V30"/>
  <c r="U26"/>
  <c r="V25"/>
  <c r="W25"/>
  <c r="V16"/>
  <c r="R15"/>
  <c r="U13"/>
  <c r="W29"/>
  <c r="O29"/>
  <c r="W28"/>
  <c r="P23"/>
  <c r="S23"/>
  <c r="T23"/>
  <c r="W21"/>
  <c r="W19"/>
  <c r="O19"/>
  <c r="W27"/>
  <c r="S27"/>
  <c r="O27"/>
  <c r="T27"/>
  <c r="P27"/>
  <c r="T18"/>
  <c r="P18"/>
  <c r="U18"/>
  <c r="Q18"/>
  <c r="Q26"/>
  <c r="U21"/>
  <c r="Q12"/>
  <c r="U19"/>
  <c r="U29"/>
  <c r="W30"/>
  <c r="T25"/>
  <c r="R10"/>
  <c r="U21" i="37"/>
  <c r="U13"/>
  <c r="U5"/>
  <c r="T10" i="22"/>
  <c r="U23" i="37"/>
  <c r="U15"/>
  <c r="U7"/>
  <c r="U8"/>
  <c r="U16"/>
  <c r="U24"/>
  <c r="U10" i="22"/>
  <c r="U10" i="37"/>
  <c r="U18"/>
  <c r="M99" s="1"/>
  <c r="O10" i="22"/>
  <c r="P16"/>
  <c r="O16"/>
  <c r="W16"/>
  <c r="R21"/>
  <c r="T21"/>
  <c r="O28"/>
  <c r="U28"/>
  <c r="V13"/>
  <c r="W13"/>
  <c r="S15"/>
  <c r="P15"/>
  <c r="Q15"/>
  <c r="O26"/>
  <c r="P26"/>
  <c r="S26"/>
  <c r="O14"/>
  <c r="V12"/>
  <c r="T12"/>
  <c r="U12"/>
  <c r="Q14"/>
  <c r="V7"/>
  <c r="S30"/>
  <c r="T30"/>
  <c r="U25"/>
  <c r="W15"/>
  <c r="Q13"/>
  <c r="Q29"/>
  <c r="R29"/>
  <c r="Q23"/>
  <c r="R23"/>
  <c r="Q21"/>
  <c r="V19"/>
  <c r="W22"/>
  <c r="S22"/>
  <c r="O22"/>
  <c r="T22"/>
  <c r="T24"/>
  <c r="P24"/>
  <c r="U24"/>
  <c r="W9"/>
  <c r="S9"/>
  <c r="O9"/>
  <c r="T9"/>
  <c r="U17"/>
  <c r="Q17"/>
  <c r="V17"/>
  <c r="W6"/>
  <c r="S6"/>
  <c r="O6"/>
  <c r="T6"/>
  <c r="T11"/>
  <c r="P11"/>
  <c r="U11"/>
  <c r="P19"/>
  <c r="P14"/>
  <c r="S14"/>
  <c r="W7"/>
  <c r="O7"/>
  <c r="Q30"/>
  <c r="O25"/>
  <c r="R25"/>
  <c r="V15"/>
  <c r="T13"/>
  <c r="P29"/>
  <c r="S29"/>
  <c r="T28"/>
  <c r="W23"/>
  <c r="O23"/>
  <c r="P21"/>
  <c r="S19"/>
  <c r="U27"/>
  <c r="Q27"/>
  <c r="V27"/>
  <c r="V18"/>
  <c r="R18"/>
  <c r="W18"/>
  <c r="S18"/>
  <c r="X176" i="7"/>
  <c r="T58" i="28" s="1"/>
  <c r="X58" s="1"/>
  <c r="Y58" s="1"/>
  <c r="X178" i="7"/>
  <c r="T5" i="28" s="1"/>
  <c r="L14" i="54"/>
  <c r="X181" i="7"/>
  <c r="T24" i="28" s="1"/>
  <c r="M14" i="15"/>
  <c r="J29"/>
  <c r="U65" i="28"/>
  <c r="U22"/>
  <c r="U40"/>
  <c r="X28" i="7"/>
  <c r="X62"/>
  <c r="L4" i="54"/>
  <c r="X167" i="7"/>
  <c r="X84"/>
  <c r="X174"/>
  <c r="T59" i="28" s="1"/>
  <c r="P96" i="37" a="1"/>
  <c r="P96" s="1"/>
  <c r="P90" a="1"/>
  <c r="P90" s="1"/>
  <c r="P75" a="1"/>
  <c r="P75" s="1"/>
  <c r="P98" a="1"/>
  <c r="P98" s="1"/>
  <c r="P97" a="1"/>
  <c r="P97" s="1"/>
  <c r="P101" a="1"/>
  <c r="P101" s="1"/>
  <c r="P95" a="1"/>
  <c r="P95" s="1"/>
  <c r="P89" a="1"/>
  <c r="P89" s="1"/>
  <c r="P92" a="1"/>
  <c r="P92" s="1"/>
  <c r="X179" i="7"/>
  <c r="P94" i="37" a="1"/>
  <c r="P94" s="1"/>
  <c r="P93" a="1"/>
  <c r="P93" s="1"/>
  <c r="L30" i="54"/>
  <c r="L16"/>
  <c r="L15"/>
  <c r="L10"/>
  <c r="L28"/>
  <c r="M11" i="15"/>
  <c r="M27"/>
  <c r="J6"/>
  <c r="J10"/>
  <c r="J14"/>
  <c r="J18"/>
  <c r="J31"/>
  <c r="J35"/>
  <c r="W30" i="7"/>
  <c r="L29" i="54" s="1"/>
  <c r="T30" i="28"/>
  <c r="T25"/>
  <c r="T37"/>
  <c r="Z47" i="30"/>
  <c r="U27" i="28"/>
  <c r="U43"/>
  <c r="U39"/>
  <c r="U7"/>
  <c r="U28"/>
  <c r="U45"/>
  <c r="U12"/>
  <c r="X155" i="7"/>
  <c r="X134"/>
  <c r="T12" i="28"/>
  <c r="X12" s="1"/>
  <c r="Y12" s="1"/>
  <c r="AA12" s="1"/>
  <c r="X86" i="7"/>
  <c r="X146"/>
  <c r="X120"/>
  <c r="X133"/>
  <c r="X116"/>
  <c r="T60" i="28" s="1"/>
  <c r="X60" s="1"/>
  <c r="Y60" s="1"/>
  <c r="AA60" s="1"/>
  <c r="X149" i="7"/>
  <c r="Z43" i="30"/>
  <c r="X135" i="7"/>
  <c r="X109"/>
  <c r="X141"/>
  <c r="Y26" i="30"/>
  <c r="X145" i="7"/>
  <c r="X136"/>
  <c r="X132"/>
  <c r="U52" i="28"/>
  <c r="U4"/>
  <c r="H140" i="11"/>
  <c r="H88"/>
  <c r="H94" s="1"/>
  <c r="H130" s="1"/>
  <c r="H76"/>
  <c r="H116" s="1"/>
  <c r="H93"/>
  <c r="X171" i="7"/>
  <c r="X173"/>
  <c r="X172"/>
  <c r="M29" i="15"/>
  <c r="U41" i="28"/>
  <c r="X148" i="7"/>
  <c r="U26" i="28"/>
  <c r="X110" i="7"/>
  <c r="X121"/>
  <c r="X152"/>
  <c r="X147"/>
  <c r="X108"/>
  <c r="Z45" i="30"/>
  <c r="Y41"/>
  <c r="X166" i="7"/>
  <c r="L48" i="22"/>
  <c r="J22" i="15"/>
  <c r="X131" i="7"/>
  <c r="X90"/>
  <c r="X168"/>
  <c r="X160"/>
  <c r="X29"/>
  <c r="T66" i="28" s="1"/>
  <c r="X164" i="7"/>
  <c r="X91"/>
  <c r="X165"/>
  <c r="X162"/>
  <c r="X161"/>
  <c r="X163"/>
  <c r="X100"/>
  <c r="X89"/>
  <c r="X102"/>
  <c r="X101"/>
  <c r="X88"/>
  <c r="X104"/>
  <c r="X103"/>
  <c r="X99"/>
  <c r="Y3" i="30"/>
  <c r="Y45"/>
  <c r="M13" i="15"/>
  <c r="X41" i="7"/>
  <c r="X5"/>
  <c r="X153"/>
  <c r="X140"/>
  <c r="X142"/>
  <c r="X137"/>
  <c r="X138"/>
  <c r="E99" i="37"/>
  <c r="J99" s="1"/>
  <c r="C99" s="1"/>
  <c r="N82"/>
  <c r="D82" s="1"/>
  <c r="X122" i="7"/>
  <c r="X105"/>
  <c r="X48"/>
  <c r="X54"/>
  <c r="T23" i="28"/>
  <c r="Y53" i="30"/>
  <c r="X119" i="7"/>
  <c r="Y51" i="30"/>
  <c r="X53" i="7"/>
  <c r="X19"/>
  <c r="X27"/>
  <c r="X10"/>
  <c r="X60"/>
  <c r="X52"/>
  <c r="X49"/>
  <c r="X67"/>
  <c r="X82"/>
  <c r="Y52" i="30"/>
  <c r="X7" i="7"/>
  <c r="Y37" i="30"/>
  <c r="X55" i="7"/>
  <c r="X51"/>
  <c r="N80" i="37"/>
  <c r="M87"/>
  <c r="Q87" s="1"/>
  <c r="M85"/>
  <c r="M83"/>
  <c r="M78"/>
  <c r="Q78" s="1"/>
  <c r="T35" i="28"/>
  <c r="J17" i="15"/>
  <c r="J34"/>
  <c r="M22"/>
  <c r="J3"/>
  <c r="H78" i="11"/>
  <c r="H79" s="1"/>
  <c r="H80" s="1"/>
  <c r="H91"/>
  <c r="H128" s="1"/>
  <c r="H142"/>
  <c r="H110"/>
  <c r="H149"/>
  <c r="H117"/>
  <c r="H83"/>
  <c r="H85" s="1"/>
  <c r="H92" s="1"/>
  <c r="H145" s="1"/>
  <c r="H126"/>
  <c r="T13" i="28"/>
  <c r="N76" i="37"/>
  <c r="C82"/>
  <c r="T9" i="28"/>
  <c r="N81" i="37"/>
  <c r="T46" i="28"/>
  <c r="U2" i="37"/>
  <c r="J9" i="15"/>
  <c r="J13"/>
  <c r="J25"/>
  <c r="X20" i="28"/>
  <c r="Y20" s="1"/>
  <c r="X63"/>
  <c r="Y63" s="1"/>
  <c r="M17" i="15"/>
  <c r="M25"/>
  <c r="M34"/>
  <c r="M38"/>
  <c r="J48"/>
  <c r="M40"/>
  <c r="M75" i="37"/>
  <c r="Q75" s="1"/>
  <c r="T33" i="28"/>
  <c r="X77"/>
  <c r="Y77" s="1"/>
  <c r="AA77" s="1"/>
  <c r="T17"/>
  <c r="T75"/>
  <c r="T74"/>
  <c r="T51"/>
  <c r="T50"/>
  <c r="Y21"/>
  <c r="T49"/>
  <c r="M4" i="15"/>
  <c r="T61" i="28"/>
  <c r="T76"/>
  <c r="M43" i="15"/>
  <c r="M50"/>
  <c r="J50"/>
  <c r="J40"/>
  <c r="J55"/>
  <c r="M48"/>
  <c r="M37"/>
  <c r="J39"/>
  <c r="J52"/>
  <c r="J51"/>
  <c r="M36"/>
  <c r="M5"/>
  <c r="M21"/>
  <c r="M30"/>
  <c r="M54"/>
  <c r="M46"/>
  <c r="J44"/>
  <c r="J41"/>
  <c r="H114" i="11"/>
  <c r="H124"/>
  <c r="M20" i="15"/>
  <c r="M12"/>
  <c r="M28"/>
  <c r="J54"/>
  <c r="M8"/>
  <c r="M16"/>
  <c r="M24"/>
  <c r="M33"/>
  <c r="J7"/>
  <c r="J15"/>
  <c r="J23"/>
  <c r="J32"/>
  <c r="J42"/>
  <c r="J47"/>
  <c r="J45"/>
  <c r="M41"/>
  <c r="Q56"/>
  <c r="M39"/>
  <c r="M51"/>
  <c r="M55"/>
  <c r="M42"/>
  <c r="M52"/>
  <c r="M45"/>
  <c r="M53"/>
  <c r="M49"/>
  <c r="M44"/>
  <c r="M47"/>
  <c r="P56"/>
  <c r="M3"/>
  <c r="J11"/>
  <c r="J19"/>
  <c r="J27"/>
  <c r="J46"/>
  <c r="J38"/>
  <c r="J49"/>
  <c r="J43"/>
  <c r="J53"/>
  <c r="M91" i="37" l="1"/>
  <c r="N78"/>
  <c r="N100"/>
  <c r="D100" s="1"/>
  <c r="G91"/>
  <c r="P80" a="1"/>
  <c r="P80" s="1"/>
  <c r="T65" i="28"/>
  <c r="X65" s="1"/>
  <c r="Y65" s="1"/>
  <c r="AA65" s="1"/>
  <c r="H111" i="11"/>
  <c r="H118"/>
  <c r="P81" i="37" a="1"/>
  <c r="P81" s="1"/>
  <c r="Q81" s="1"/>
  <c r="T43" i="28"/>
  <c r="T70"/>
  <c r="T29"/>
  <c r="T19"/>
  <c r="X19" s="1"/>
  <c r="Y19" s="1"/>
  <c r="AA19" s="1"/>
  <c r="T22"/>
  <c r="X22" s="1"/>
  <c r="T39"/>
  <c r="T28"/>
  <c r="T27"/>
  <c r="T34"/>
  <c r="T42"/>
  <c r="T47"/>
  <c r="T7"/>
  <c r="X7" s="1"/>
  <c r="Y7" s="1"/>
  <c r="AA7" s="1"/>
  <c r="T52"/>
  <c r="T31"/>
  <c r="T4"/>
  <c r="T26"/>
  <c r="H127" i="11"/>
  <c r="H131"/>
  <c r="H98"/>
  <c r="H132" s="1"/>
  <c r="H119"/>
  <c r="H109"/>
  <c r="T53" i="28"/>
  <c r="T44"/>
  <c r="T40"/>
  <c r="T45"/>
  <c r="T41"/>
  <c r="N87" i="37"/>
  <c r="N83"/>
  <c r="N75"/>
  <c r="N85"/>
  <c r="D85" s="1"/>
  <c r="G85"/>
  <c r="T38" i="28"/>
  <c r="T72"/>
  <c r="M101" i="37"/>
  <c r="Q101" s="1"/>
  <c r="M93"/>
  <c r="Q93" s="1"/>
  <c r="M97"/>
  <c r="Q97" s="1"/>
  <c r="M89"/>
  <c r="Q89" s="1"/>
  <c r="M95"/>
  <c r="Q95" s="1"/>
  <c r="M96"/>
  <c r="Q96" s="1"/>
  <c r="M90"/>
  <c r="Q90" s="1"/>
  <c r="M94"/>
  <c r="Q94" s="1"/>
  <c r="M98"/>
  <c r="Q98" s="1"/>
  <c r="M92"/>
  <c r="Q92" s="1"/>
  <c r="T16" i="28"/>
  <c r="N99" i="37"/>
  <c r="D99" s="1"/>
  <c r="G99"/>
  <c r="T14" i="28"/>
  <c r="X13" s="1"/>
  <c r="T80"/>
  <c r="H99" i="11"/>
  <c r="H121" s="1"/>
  <c r="T73" i="28"/>
  <c r="T67"/>
  <c r="X66" s="1"/>
  <c r="Y66" s="1"/>
  <c r="AA66" s="1"/>
  <c r="X74"/>
  <c r="Y74" s="1"/>
  <c r="AA74" s="1"/>
  <c r="X59"/>
  <c r="Y59" s="1"/>
  <c r="AA59" s="1"/>
  <c r="X61"/>
  <c r="Y61" s="1"/>
  <c r="AA61" s="1"/>
  <c r="X76"/>
  <c r="Y76" s="1"/>
  <c r="AA76" s="1"/>
  <c r="X49"/>
  <c r="Y49" s="1"/>
  <c r="AA49" s="1"/>
  <c r="T71"/>
  <c r="W48" i="22"/>
  <c r="V48"/>
  <c r="U48"/>
  <c r="S48"/>
  <c r="T48"/>
  <c r="P76" i="37" l="1" a="1"/>
  <c r="P76" s="1"/>
  <c r="Q76" s="1"/>
  <c r="Q80"/>
  <c r="N91"/>
  <c r="D91" s="1"/>
  <c r="X52" i="28"/>
  <c r="Y52" s="1"/>
  <c r="AA52" s="1"/>
  <c r="X4"/>
  <c r="Y4" s="1"/>
  <c r="AA4" s="1"/>
  <c r="T90"/>
  <c r="X25"/>
  <c r="Y25" s="1"/>
  <c r="AA25" s="1"/>
  <c r="X37"/>
  <c r="Y37" s="1"/>
  <c r="AA37" s="1"/>
  <c r="R48" i="22"/>
  <c r="Q48"/>
  <c r="O48"/>
  <c r="P48"/>
  <c r="J48"/>
  <c r="H48"/>
  <c r="I48"/>
  <c r="K48"/>
  <c r="Y22" i="28"/>
  <c r="AA22" s="1"/>
  <c r="N92" i="37"/>
  <c r="N94"/>
  <c r="N96"/>
  <c r="N89"/>
  <c r="N93"/>
  <c r="N98"/>
  <c r="N90"/>
  <c r="N95"/>
  <c r="N97"/>
  <c r="N101"/>
  <c r="X16" i="28"/>
  <c r="Y16" s="1"/>
  <c r="AA16" s="1"/>
  <c r="X14"/>
  <c r="X80"/>
  <c r="Y80" s="1"/>
  <c r="AA80" s="1"/>
  <c r="X70"/>
  <c r="Y70" s="1"/>
  <c r="AA70" s="1"/>
  <c r="Y13"/>
  <c r="C6" i="22"/>
  <c r="B82" i="37"/>
  <c r="R82" s="1"/>
  <c r="F85"/>
  <c r="B85"/>
  <c r="R85" s="1"/>
  <c r="P85" l="1" a="1"/>
  <c r="P85" s="1"/>
  <c r="Q85" s="1"/>
  <c r="F91"/>
  <c r="B91"/>
  <c r="B99"/>
  <c r="F99"/>
  <c r="P83" l="1" a="1"/>
  <c r="P83" s="1"/>
  <c r="Q83" s="1"/>
  <c r="P99" a="1"/>
  <c r="P99" s="1"/>
  <c r="Q99" s="1"/>
  <c r="P91" a="1"/>
  <c r="P91" s="1"/>
  <c r="Q91" s="1"/>
  <c r="B100"/>
  <c r="F100"/>
</calcChain>
</file>

<file path=xl/sharedStrings.xml><?xml version="1.0" encoding="utf-8"?>
<sst xmlns="http://schemas.openxmlformats.org/spreadsheetml/2006/main" count="20927" uniqueCount="3204">
  <si>
    <t>圆机车间每日产量汇总表</t>
    <phoneticPr fontId="0" type="Hiragana"/>
  </si>
  <si>
    <t>黑</t>
  </si>
  <si>
    <t>白</t>
  </si>
  <si>
    <t>代码</t>
    <phoneticPr fontId="0" type="Hiragana"/>
  </si>
  <si>
    <t>规格</t>
    <phoneticPr fontId="0" type="Hiragana"/>
  </si>
  <si>
    <t>分类</t>
    <phoneticPr fontId="0" type="Hiragana"/>
  </si>
  <si>
    <t>花纹</t>
    <phoneticPr fontId="0" type="Hiragana"/>
  </si>
  <si>
    <t>花纹</t>
    <phoneticPr fontId="0" type="Hiragana"/>
  </si>
  <si>
    <t>颜色</t>
    <phoneticPr fontId="0" type="Hiragana"/>
  </si>
  <si>
    <t>颜色</t>
    <phoneticPr fontId="0" type="Hiragana"/>
  </si>
  <si>
    <t>门幅</t>
    <phoneticPr fontId="0" type="Hiragana"/>
  </si>
  <si>
    <t>克重</t>
    <phoneticPr fontId="0" type="Hiragana"/>
  </si>
  <si>
    <t>原丝厂家</t>
    <phoneticPr fontId="0" type="Hiragana"/>
  </si>
  <si>
    <t>期初</t>
    <phoneticPr fontId="0" type="Hiragana"/>
  </si>
  <si>
    <t>总量</t>
    <phoneticPr fontId="0" type="Hiragana"/>
  </si>
  <si>
    <t>总量</t>
    <phoneticPr fontId="0" type="Hiragana"/>
  </si>
  <si>
    <t>B3023乱平纹</t>
  </si>
  <si>
    <t>AA恒力</t>
    <phoneticPr fontId="0" type="Hiragana"/>
  </si>
  <si>
    <t>B3023l</t>
    <phoneticPr fontId="0" type="Hiragana"/>
  </si>
  <si>
    <t>B3023l</t>
    <phoneticPr fontId="0" type="Hiragana"/>
  </si>
  <si>
    <t>乱平纹</t>
    <phoneticPr fontId="0" type="Hiragana"/>
  </si>
  <si>
    <t>长乐</t>
    <phoneticPr fontId="0" type="Hiragana"/>
  </si>
  <si>
    <t>长乐</t>
    <phoneticPr fontId="0" type="Hiragana"/>
  </si>
  <si>
    <t>B3029直平纹</t>
  </si>
  <si>
    <t>大机</t>
    <phoneticPr fontId="0" type="Hiragana"/>
  </si>
  <si>
    <t>B3023w</t>
    <phoneticPr fontId="0" type="Hiragana"/>
  </si>
  <si>
    <t>B3023大W</t>
    <phoneticPr fontId="0" type="Hiragana"/>
  </si>
  <si>
    <t>大W</t>
    <phoneticPr fontId="0" type="Hiragana"/>
  </si>
  <si>
    <t>长乐</t>
    <phoneticPr fontId="0" type="Hiragana"/>
  </si>
  <si>
    <t>B3021z</t>
    <phoneticPr fontId="0" type="Hiragana"/>
  </si>
  <si>
    <t>B3021直平纹</t>
    <phoneticPr fontId="0" type="Hiragana"/>
  </si>
  <si>
    <t>直平纹</t>
    <phoneticPr fontId="0" type="Hiragana"/>
  </si>
  <si>
    <t>直平纹</t>
    <phoneticPr fontId="0" type="Hiragana"/>
  </si>
  <si>
    <t>B3029z</t>
    <phoneticPr fontId="0" type="Hiragana"/>
  </si>
  <si>
    <t>恒力</t>
    <phoneticPr fontId="0" type="Hiragana"/>
  </si>
  <si>
    <t>A5032w</t>
  </si>
  <si>
    <t>小机</t>
    <phoneticPr fontId="0" type="Hiragana"/>
  </si>
  <si>
    <t>A5032w</t>
    <phoneticPr fontId="0" type="Hiragana"/>
  </si>
  <si>
    <t>小w</t>
    <phoneticPr fontId="0" type="Hiragana"/>
  </si>
  <si>
    <t>长乐</t>
    <phoneticPr fontId="0" type="Hiragana"/>
  </si>
  <si>
    <t>A5034斜乱平纹</t>
  </si>
  <si>
    <t>春盛</t>
    <phoneticPr fontId="0" type="Hiragana"/>
  </si>
  <si>
    <t>A5034xl</t>
    <phoneticPr fontId="0" type="Hiragana"/>
  </si>
  <si>
    <t>A5034斜乱平纹</t>
    <phoneticPr fontId="0" type="Hiragana"/>
  </si>
  <si>
    <t>斜乱平纹</t>
  </si>
  <si>
    <t>A5035w</t>
  </si>
  <si>
    <t>固力</t>
    <phoneticPr fontId="0" type="Hiragana"/>
  </si>
  <si>
    <t>A5035w</t>
    <phoneticPr fontId="0" type="Hiragana"/>
  </si>
  <si>
    <t>A5035w</t>
    <phoneticPr fontId="0" type="Hiragana"/>
  </si>
  <si>
    <t>A5035w黑</t>
  </si>
  <si>
    <t>固力有油</t>
    <phoneticPr fontId="0" type="Hiragana"/>
  </si>
  <si>
    <t>A5035wh</t>
    <phoneticPr fontId="0" type="Hiragana"/>
  </si>
  <si>
    <t>黑</t>
    <phoneticPr fontId="0" type="Hiragana"/>
  </si>
  <si>
    <t>黑</t>
    <phoneticPr fontId="0" type="Hiragana"/>
  </si>
  <si>
    <t>B5034大W</t>
  </si>
  <si>
    <t>盛元</t>
    <phoneticPr fontId="0" type="Hiragana"/>
  </si>
  <si>
    <t>B5034W</t>
    <phoneticPr fontId="0" type="Hiragana"/>
  </si>
  <si>
    <t>大W</t>
    <phoneticPr fontId="0" type="Hiragana"/>
  </si>
  <si>
    <t>A5035大W</t>
  </si>
  <si>
    <t>长乐高温</t>
    <phoneticPr fontId="0" type="Hiragana"/>
  </si>
  <si>
    <t>A5035dw</t>
    <phoneticPr fontId="0" type="Hiragana"/>
  </si>
  <si>
    <t>B5036大W高温丝</t>
  </si>
  <si>
    <t>申久</t>
    <phoneticPr fontId="0" type="Hiragana"/>
  </si>
  <si>
    <t>B5036Wgw</t>
    <phoneticPr fontId="0" type="Hiragana"/>
  </si>
  <si>
    <t>大W高温</t>
    <phoneticPr fontId="0" type="Hiragana"/>
  </si>
  <si>
    <t>A5045大W</t>
  </si>
  <si>
    <t>A5045W</t>
    <phoneticPr fontId="0" type="Hiragana"/>
  </si>
  <si>
    <t>A5036直平纹</t>
  </si>
  <si>
    <t>A5036z</t>
    <phoneticPr fontId="0" type="Hiragana"/>
  </si>
  <si>
    <t>直平纹</t>
    <phoneticPr fontId="0" type="Hiragana"/>
  </si>
  <si>
    <t>A5038w</t>
  </si>
  <si>
    <t>A5038w</t>
    <phoneticPr fontId="0" type="Hiragana"/>
  </si>
  <si>
    <t>A5032w 32针</t>
  </si>
  <si>
    <t>A5038xl</t>
    <phoneticPr fontId="0" type="Hiragana"/>
  </si>
  <si>
    <t>A5038斜乱平纹</t>
    <phoneticPr fontId="0" type="Hiragana"/>
  </si>
  <si>
    <t>斜乱平纹</t>
    <phoneticPr fontId="0" type="Hiragana"/>
  </si>
  <si>
    <t>A5032w32</t>
    <phoneticPr fontId="0" type="Hiragana"/>
  </si>
  <si>
    <t>长乐/32针</t>
    <phoneticPr fontId="0" type="Hiragana"/>
  </si>
  <si>
    <t>A5040w</t>
  </si>
  <si>
    <t>A5042w</t>
  </si>
  <si>
    <t>C5034w</t>
  </si>
  <si>
    <t>C5034w</t>
    <phoneticPr fontId="0" type="Hiragana"/>
  </si>
  <si>
    <t>C5034w</t>
    <phoneticPr fontId="0" type="Hiragana"/>
  </si>
  <si>
    <t>B7545w</t>
  </si>
  <si>
    <t>白</t>
    <phoneticPr fontId="0" type="Hiragana"/>
  </si>
  <si>
    <t>白</t>
    <phoneticPr fontId="0" type="Hiragana"/>
  </si>
  <si>
    <t>A7541斜乱平纹</t>
  </si>
  <si>
    <t>A7545斜乱平纹</t>
  </si>
  <si>
    <t>A7545xl</t>
    <phoneticPr fontId="0" type="Hiragana"/>
  </si>
  <si>
    <t>A7545斜乱平纹</t>
    <phoneticPr fontId="0" type="Hiragana"/>
  </si>
  <si>
    <t>B7539斜乱平纹</t>
  </si>
  <si>
    <t>B7539xl</t>
    <phoneticPr fontId="0" type="Hiragana"/>
  </si>
  <si>
    <t>B7539xlcl</t>
    <phoneticPr fontId="0" type="Hiragana"/>
  </si>
  <si>
    <t>B7539斜乱平纹长乐</t>
    <phoneticPr fontId="0" type="Hiragana"/>
  </si>
  <si>
    <t>B7539xlfm</t>
    <phoneticPr fontId="0" type="Hiragana"/>
  </si>
  <si>
    <t>B7539斜乱平纹新凤鸣</t>
    <phoneticPr fontId="0" type="Hiragana"/>
  </si>
  <si>
    <t>新凤鸣</t>
    <phoneticPr fontId="0" type="Hiragana"/>
  </si>
  <si>
    <t>A7548xl</t>
    <phoneticPr fontId="0" type="Hiragana"/>
  </si>
  <si>
    <t>A7549斜乱平纹</t>
  </si>
  <si>
    <t>A7549xl</t>
    <phoneticPr fontId="0" type="Hiragana"/>
  </si>
  <si>
    <t>B7552乱平纹</t>
  </si>
  <si>
    <t>B7552l</t>
    <phoneticPr fontId="0" type="Hiragana"/>
  </si>
  <si>
    <t>B7543大W黑丝</t>
  </si>
  <si>
    <t>B7543Wh</t>
    <phoneticPr fontId="0" type="Hiragana"/>
  </si>
  <si>
    <t>B7549w</t>
  </si>
  <si>
    <t>B7549w</t>
    <phoneticPr fontId="0" type="Hiragana"/>
  </si>
  <si>
    <t>C7542Wb</t>
    <phoneticPr fontId="0" type="Hiragana"/>
  </si>
  <si>
    <t>序号</t>
    <phoneticPr fontId="0" type="Hiragana"/>
  </si>
  <si>
    <t>日期</t>
    <phoneticPr fontId="0" type="Hiragana"/>
  </si>
  <si>
    <t>备注</t>
    <phoneticPr fontId="0" type="Hiragana"/>
  </si>
  <si>
    <t>刘梅、孙小丽</t>
    <phoneticPr fontId="0" type="Hiragana"/>
  </si>
  <si>
    <t>顾卫菊、茅亚萍</t>
    <phoneticPr fontId="0" type="Hiragana"/>
  </si>
  <si>
    <t>A5035wh</t>
    <phoneticPr fontId="0" type="Hiragana"/>
  </si>
  <si>
    <t>黄亚琴、李亚</t>
    <phoneticPr fontId="0" type="Hiragana"/>
  </si>
  <si>
    <t>A5035DW</t>
    <phoneticPr fontId="0" type="Hiragana"/>
  </si>
  <si>
    <t>马红梅、徐琴</t>
    <phoneticPr fontId="0" type="Hiragana"/>
  </si>
  <si>
    <t>B5036Wgw</t>
  </si>
  <si>
    <t>20.5为AA</t>
    <phoneticPr fontId="0" type="Hiragana"/>
  </si>
  <si>
    <t>A5035WH</t>
    <phoneticPr fontId="0" type="Hiragana"/>
  </si>
  <si>
    <t>B3023W</t>
    <phoneticPr fontId="0" type="Hiragana"/>
  </si>
  <si>
    <t>B3029z</t>
  </si>
  <si>
    <t>a5032w</t>
    <phoneticPr fontId="0" type="Hiragana"/>
  </si>
  <si>
    <t>B5034W</t>
  </si>
  <si>
    <t>B7539xl</t>
  </si>
  <si>
    <t>颜色</t>
  </si>
  <si>
    <t>A5035wh</t>
  </si>
  <si>
    <t>原丝厂家</t>
  </si>
  <si>
    <t>A5036z</t>
  </si>
  <si>
    <t>A7545xl</t>
  </si>
  <si>
    <t>A7548xl</t>
  </si>
  <si>
    <t>件数</t>
    <phoneticPr fontId="0" type="Hiragana"/>
  </si>
  <si>
    <t>总件数</t>
    <phoneticPr fontId="0" type="Hiragana"/>
  </si>
  <si>
    <t>加弹车间</t>
    <phoneticPr fontId="0" type="Hiragana"/>
  </si>
  <si>
    <t>加弹规格</t>
    <phoneticPr fontId="0" type="Hiragana"/>
  </si>
  <si>
    <t>春盛</t>
  </si>
  <si>
    <t>20D白</t>
  </si>
  <si>
    <t>固力</t>
  </si>
  <si>
    <t>20D黑</t>
  </si>
  <si>
    <t>恒德</t>
  </si>
  <si>
    <t>20D网络白</t>
  </si>
  <si>
    <t>恒力</t>
  </si>
  <si>
    <t>20D网络黑</t>
  </si>
  <si>
    <t>隆顺</t>
  </si>
  <si>
    <t>30D白</t>
  </si>
  <si>
    <t>荣盛</t>
  </si>
  <si>
    <t>30D黑</t>
  </si>
  <si>
    <t>申久</t>
  </si>
  <si>
    <t>30D网络白</t>
  </si>
  <si>
    <t>盛虹</t>
  </si>
  <si>
    <t>30D网络黑</t>
  </si>
  <si>
    <t>盛元</t>
  </si>
  <si>
    <t>50D白</t>
  </si>
  <si>
    <t>亚正</t>
  </si>
  <si>
    <t>50D黑</t>
  </si>
  <si>
    <t>银宇</t>
  </si>
  <si>
    <t>50D网络白</t>
  </si>
  <si>
    <t>涌金</t>
  </si>
  <si>
    <t>50D网络黑</t>
  </si>
  <si>
    <t>长乐</t>
  </si>
  <si>
    <t>75D白</t>
  </si>
  <si>
    <t>75D黑</t>
  </si>
  <si>
    <t>75D网络白</t>
  </si>
  <si>
    <t>75D网络黑</t>
  </si>
  <si>
    <t>圆机车间</t>
    <phoneticPr fontId="0" type="Hiragana"/>
  </si>
  <si>
    <t>坯布规格</t>
    <phoneticPr fontId="0" type="Hiragana"/>
  </si>
  <si>
    <t>坯布克重</t>
    <phoneticPr fontId="0" type="Hiragana"/>
  </si>
  <si>
    <t>定型克重</t>
    <phoneticPr fontId="0" type="Hiragana"/>
  </si>
  <si>
    <t>200D提花布</t>
  </si>
  <si>
    <t>大W</t>
  </si>
  <si>
    <t>20D36针</t>
  </si>
  <si>
    <t>大W高温</t>
  </si>
  <si>
    <t>20D单面布</t>
  </si>
  <si>
    <t>30D单面布</t>
  </si>
  <si>
    <t>环保丝</t>
  </si>
  <si>
    <t>30D双面布</t>
  </si>
  <si>
    <t>乱平纹</t>
  </si>
  <si>
    <t>50-30-32</t>
  </si>
  <si>
    <t>小w</t>
  </si>
  <si>
    <t>50D单面布</t>
  </si>
  <si>
    <t>75D平纹</t>
  </si>
  <si>
    <t>直平纹</t>
  </si>
  <si>
    <t>A50-30-28</t>
  </si>
  <si>
    <t>提花布</t>
  </si>
  <si>
    <t>A75-30-28</t>
  </si>
  <si>
    <t>单面布</t>
  </si>
  <si>
    <t>B100-30-24</t>
  </si>
  <si>
    <t>双面布</t>
  </si>
  <si>
    <t>B30-30-32</t>
  </si>
  <si>
    <t>平纹</t>
  </si>
  <si>
    <t>B50-30-24</t>
  </si>
  <si>
    <t>B75-30-24</t>
  </si>
  <si>
    <t>C50-26-28</t>
  </si>
  <si>
    <t>C75-30-20</t>
  </si>
  <si>
    <t>喷水车间</t>
    <phoneticPr fontId="0" type="Hiragana"/>
  </si>
  <si>
    <t>15*15</t>
  </si>
  <si>
    <t>20*20</t>
  </si>
  <si>
    <t>197-1</t>
  </si>
  <si>
    <t>2/2</t>
  </si>
  <si>
    <t>20*15</t>
  </si>
  <si>
    <t>146-3</t>
  </si>
  <si>
    <t>3/1</t>
  </si>
  <si>
    <t>30*30</t>
  </si>
  <si>
    <t>197-4</t>
  </si>
  <si>
    <t>50*50</t>
  </si>
  <si>
    <t>197-10</t>
  </si>
  <si>
    <t>50*75</t>
  </si>
  <si>
    <t>75*75</t>
  </si>
  <si>
    <t>143-6</t>
  </si>
  <si>
    <t>75*100</t>
  </si>
  <si>
    <t>75*300</t>
  </si>
  <si>
    <t>190-2</t>
  </si>
  <si>
    <t>75*150</t>
  </si>
  <si>
    <t>75*200</t>
  </si>
  <si>
    <t>100*100</t>
  </si>
  <si>
    <t>190 打样</t>
  </si>
  <si>
    <t>100*200</t>
  </si>
  <si>
    <t>100*300</t>
  </si>
  <si>
    <t>200*300</t>
  </si>
  <si>
    <t>190.5-1</t>
  </si>
  <si>
    <t>190.5-2</t>
  </si>
  <si>
    <t>180-3</t>
  </si>
  <si>
    <t>180-1</t>
  </si>
  <si>
    <t>全局参数</t>
    <phoneticPr fontId="0" type="Hiragana"/>
  </si>
  <si>
    <t>客户代号</t>
  </si>
  <si>
    <t>柜号</t>
  </si>
  <si>
    <t>A90</t>
  </si>
  <si>
    <t>C371</t>
  </si>
  <si>
    <t>A94</t>
  </si>
  <si>
    <t>B493</t>
  </si>
  <si>
    <t>A88</t>
  </si>
  <si>
    <t>C374</t>
  </si>
  <si>
    <t>A57</t>
  </si>
  <si>
    <t>B456</t>
  </si>
  <si>
    <t>B470</t>
  </si>
  <si>
    <t>年</t>
    <phoneticPr fontId="0" type="Hiragana"/>
  </si>
  <si>
    <t>月</t>
    <phoneticPr fontId="0" type="Hiragana"/>
  </si>
  <si>
    <t>显示</t>
    <phoneticPr fontId="0" type="Hiragana"/>
  </si>
  <si>
    <t>重量</t>
    <phoneticPr fontId="0" type="Hiragana"/>
  </si>
  <si>
    <t>B3023l</t>
  </si>
  <si>
    <t>b3023l</t>
    <phoneticPr fontId="0" type="Hiragana"/>
  </si>
  <si>
    <t>客户</t>
    <phoneticPr fontId="0" type="Hiragana"/>
  </si>
  <si>
    <t>柜号</t>
    <phoneticPr fontId="0" type="Hiragana"/>
  </si>
  <si>
    <t>A90</t>
    <phoneticPr fontId="0" type="Hiragana"/>
  </si>
  <si>
    <t>A102</t>
    <phoneticPr fontId="0" type="Hiragana"/>
  </si>
  <si>
    <t>A35</t>
    <phoneticPr fontId="0" type="Hiragana"/>
  </si>
  <si>
    <t>A94</t>
    <phoneticPr fontId="0" type="Hiragana"/>
  </si>
  <si>
    <t>备库</t>
    <phoneticPr fontId="0" type="Hiragana"/>
  </si>
  <si>
    <t>A10</t>
    <phoneticPr fontId="0" type="Hiragana"/>
  </si>
  <si>
    <t>A57</t>
    <phoneticPr fontId="0" type="Hiragana"/>
  </si>
  <si>
    <t>A31</t>
    <phoneticPr fontId="0" type="Hiragana"/>
  </si>
  <si>
    <t>A88</t>
    <phoneticPr fontId="0" type="Hiragana"/>
  </si>
  <si>
    <t>A101</t>
    <phoneticPr fontId="0" type="Hiragana"/>
  </si>
  <si>
    <t>众和</t>
    <phoneticPr fontId="0" type="Hiragana"/>
  </si>
  <si>
    <t>A21</t>
    <phoneticPr fontId="0" type="Hiragana"/>
  </si>
  <si>
    <t>客户代号</t>
    <phoneticPr fontId="0" type="Hiragana"/>
  </si>
  <si>
    <t>坯布品种/规格</t>
    <phoneticPr fontId="0" type="Hiragana"/>
  </si>
  <si>
    <t>数量</t>
    <phoneticPr fontId="0" type="Hiragana"/>
  </si>
  <si>
    <t>合同号</t>
    <phoneticPr fontId="0" type="Hiragana"/>
  </si>
  <si>
    <t>下单日期</t>
    <phoneticPr fontId="0" type="Hiragana"/>
  </si>
  <si>
    <t>要求交期</t>
    <phoneticPr fontId="0" type="Hiragana"/>
  </si>
  <si>
    <t>仓库</t>
  </si>
  <si>
    <t>货架</t>
  </si>
  <si>
    <t>库存数量</t>
  </si>
  <si>
    <t>库存件数</t>
  </si>
  <si>
    <t>预约数量</t>
  </si>
  <si>
    <t>预约件数</t>
  </si>
  <si>
    <t>物料编码</t>
  </si>
  <si>
    <t>规格</t>
  </si>
  <si>
    <t>纹路</t>
  </si>
  <si>
    <t>门幅</t>
  </si>
  <si>
    <t>丝等级</t>
  </si>
  <si>
    <t>克重</t>
  </si>
  <si>
    <t>等级</t>
  </si>
  <si>
    <t>特殊要求</t>
  </si>
  <si>
    <t>单价</t>
  </si>
  <si>
    <t>合计金额</t>
  </si>
  <si>
    <t>备注</t>
  </si>
  <si>
    <t>5区（四面弹）</t>
  </si>
  <si>
    <t>圆机库</t>
  </si>
  <si>
    <t>KD/36/24/18/1/W/30/36/AAA</t>
  </si>
  <si>
    <t>20-30-36  302438</t>
  </si>
  <si>
    <t>A</t>
  </si>
  <si>
    <t>AA</t>
  </si>
  <si>
    <t>已经好几年了</t>
  </si>
  <si>
    <t>老库存，1</t>
  </si>
  <si>
    <t>过道</t>
  </si>
  <si>
    <t>KD/350/96/120/T/W/30/18/AAA</t>
  </si>
  <si>
    <t>AAA</t>
  </si>
  <si>
    <t>大圆机</t>
  </si>
  <si>
    <t>KD/36/24/27/1/W/34/36/AAA</t>
  </si>
  <si>
    <t>西3上</t>
  </si>
  <si>
    <t>大圆机S12151AS</t>
  </si>
  <si>
    <t>KD/36/24/27/1/W/34/36/AA</t>
  </si>
  <si>
    <t>大圆机横条</t>
  </si>
  <si>
    <t>J123/M000</t>
  </si>
  <si>
    <t>KD/36/24/25/1/W/34/36/AAA</t>
  </si>
  <si>
    <t>大圆机135度</t>
  </si>
  <si>
    <t>211591AS6</t>
  </si>
  <si>
    <t>213531AS5</t>
  </si>
  <si>
    <t>KD/55/24/68/1/W/30/36/AAA</t>
  </si>
  <si>
    <t>老库存，大圆机试样</t>
  </si>
  <si>
    <t>小W</t>
  </si>
  <si>
    <t>32针</t>
  </si>
  <si>
    <t>KD/89/48/33/1/W/30/28/AAA</t>
  </si>
  <si>
    <t>大圆机高温</t>
  </si>
  <si>
    <t>KD/89/48/39/1/W/30/28/AAA</t>
  </si>
  <si>
    <t>7.8以后大圆机</t>
  </si>
  <si>
    <t>东华外购30上3个</t>
  </si>
  <si>
    <t>KD/93/36/35/4/B/30/28/AAA</t>
  </si>
  <si>
    <t>A 50-30-28</t>
  </si>
  <si>
    <t>KD/94/36/35/4/B/30/28/AA</t>
  </si>
  <si>
    <t>漏针</t>
  </si>
  <si>
    <t>有油</t>
  </si>
  <si>
    <t>圆机顶</t>
  </si>
  <si>
    <t>毛点</t>
  </si>
  <si>
    <t>圆机顶小机竖条</t>
  </si>
  <si>
    <t>小机常温竖条</t>
  </si>
  <si>
    <t>KD/89/48/32/4/W/30/28/A</t>
  </si>
  <si>
    <t>圆机库顶</t>
  </si>
  <si>
    <t>大机/常温横条</t>
  </si>
  <si>
    <t>最新入库</t>
  </si>
  <si>
    <t>KD/89/48/32/5/W/30/24/AAA</t>
  </si>
  <si>
    <t>常温</t>
  </si>
  <si>
    <t>KD/89/48/38/4/W/30/28/AAA</t>
  </si>
  <si>
    <t>大机/常温</t>
  </si>
  <si>
    <t>KD/89/48/42/4/W/30/28/AAA</t>
  </si>
  <si>
    <t>常温染黑</t>
  </si>
  <si>
    <t>春盛DE715536</t>
  </si>
  <si>
    <t>KD/93/36/36/4/B/30/28/AAAAA</t>
  </si>
  <si>
    <t>横条</t>
  </si>
  <si>
    <t>KD/130/48/48/3/W/30/28/AAA</t>
  </si>
  <si>
    <t>A 75-30-28</t>
  </si>
  <si>
    <t>高温</t>
  </si>
  <si>
    <t>KD/130/48/45/3/W/30/28/AAA</t>
  </si>
  <si>
    <t>换丝了</t>
  </si>
  <si>
    <t>21325换丝了</t>
  </si>
  <si>
    <t>KD/130/48/49/3/W/30/28/AAA</t>
  </si>
  <si>
    <t>KD/89/48/35/4/W/30/28/A</t>
  </si>
  <si>
    <t>大机/常温 横条</t>
  </si>
  <si>
    <t>KD/89/48/32/4/W/30/28/AAA</t>
  </si>
  <si>
    <t>大机常温</t>
  </si>
  <si>
    <t>B 100-30-24</t>
  </si>
  <si>
    <t>染黑</t>
  </si>
  <si>
    <t>KD/55/24/29/1/W/30/32/AAA</t>
  </si>
  <si>
    <t>B 30-30-32</t>
  </si>
  <si>
    <t>AA丝</t>
  </si>
  <si>
    <t>213531/AA丝</t>
  </si>
  <si>
    <t>KD/30/24/31/1/W/30/32/AAA</t>
  </si>
  <si>
    <t>细丝圆机库顶，</t>
  </si>
  <si>
    <t>KD/52/24/21/1/W/30/32/AAA</t>
  </si>
  <si>
    <t>52/24</t>
  </si>
  <si>
    <t>S22101P</t>
  </si>
  <si>
    <t>5-D-11中</t>
  </si>
  <si>
    <t>KD/55/24/21/4/W/30/32/AAA</t>
  </si>
  <si>
    <t>59上2个老库存</t>
  </si>
  <si>
    <t>B 50-30-24</t>
  </si>
  <si>
    <t>高温1</t>
  </si>
  <si>
    <t>高温没开幅1</t>
  </si>
  <si>
    <t>车间退脏1</t>
  </si>
  <si>
    <t>高温染黑1</t>
  </si>
  <si>
    <t>袋子</t>
  </si>
  <si>
    <t>B 75-30-24</t>
  </si>
  <si>
    <t>高温丝130/48</t>
  </si>
  <si>
    <t>东13中高温丝</t>
  </si>
  <si>
    <t>KD/130/48/45/4/W/30/24/AAA</t>
  </si>
  <si>
    <t>大机</t>
  </si>
  <si>
    <t>KD/89/48/40/4/W/26/28/AAA</t>
  </si>
  <si>
    <t>C 50-26-28</t>
  </si>
  <si>
    <t>104/36</t>
  </si>
  <si>
    <t>KD/89/48/34/4/W/26/28/AA</t>
  </si>
  <si>
    <t>小机常温毛点/猫抓的，</t>
  </si>
  <si>
    <t>圆机顶常温横条</t>
  </si>
  <si>
    <t>小机常温横条</t>
  </si>
  <si>
    <t>大机21211</t>
  </si>
  <si>
    <t>UID</t>
    <phoneticPr fontId="0" type="Hiragana"/>
  </si>
  <si>
    <t>物品名称</t>
  </si>
  <si>
    <t>原丝类型</t>
  </si>
  <si>
    <t>用途</t>
  </si>
  <si>
    <t>批号</t>
  </si>
  <si>
    <t>原丝等级</t>
  </si>
  <si>
    <t>DTY/白丝</t>
  </si>
  <si>
    <t>130/48</t>
  </si>
  <si>
    <t>DTY喷水经丝</t>
  </si>
  <si>
    <t>喷水领用</t>
  </si>
  <si>
    <t>S21325</t>
  </si>
  <si>
    <t>D/130/48/W/AAAA/0</t>
  </si>
  <si>
    <t>3区（DTY喷水经丝）</t>
  </si>
  <si>
    <t>AAAA</t>
  </si>
  <si>
    <t>7.79</t>
  </si>
  <si>
    <t>需备库存5180</t>
  </si>
  <si>
    <t>DTY/黑丝</t>
  </si>
  <si>
    <t>132/48</t>
  </si>
  <si>
    <t>D/132/48/B/AAAA/0</t>
  </si>
  <si>
    <t>7.36</t>
  </si>
  <si>
    <t>167/48</t>
  </si>
  <si>
    <t>M15081</t>
  </si>
  <si>
    <t>D/167/48/W/AAA/0</t>
  </si>
  <si>
    <t>天元</t>
  </si>
  <si>
    <t>9.16</t>
  </si>
  <si>
    <t/>
  </si>
  <si>
    <t>167/48*2</t>
  </si>
  <si>
    <t>30017H</t>
  </si>
  <si>
    <t>D/150/48*2/B/AAAA/0</t>
  </si>
  <si>
    <t>11.98</t>
  </si>
  <si>
    <t>172/48</t>
  </si>
  <si>
    <t>D/100/48/W/AAAA/0</t>
  </si>
  <si>
    <t>8.34</t>
  </si>
  <si>
    <t>需备库存14000</t>
  </si>
  <si>
    <t>175/48</t>
  </si>
  <si>
    <t>H-H5121750482</t>
  </si>
  <si>
    <t>D/175/48/B/AAAA/0</t>
  </si>
  <si>
    <t>恒盛</t>
  </si>
  <si>
    <t>9.41</t>
  </si>
  <si>
    <t>22/24</t>
  </si>
  <si>
    <t>DE712224</t>
  </si>
  <si>
    <t>D/22/24/W/AAAA/0</t>
  </si>
  <si>
    <t>49.5</t>
  </si>
  <si>
    <t>11088</t>
  </si>
  <si>
    <t>222/96</t>
  </si>
  <si>
    <t>DE7122296Z</t>
  </si>
  <si>
    <t>D/222/96/W/AAAA/0</t>
  </si>
  <si>
    <t>16.51</t>
  </si>
  <si>
    <t>2377.44</t>
  </si>
  <si>
    <t>30/24</t>
  </si>
  <si>
    <t>D/30/24/W/AAA/0</t>
  </si>
  <si>
    <t>18.56</t>
  </si>
  <si>
    <t>D/30/24/W/AAAA/0</t>
  </si>
  <si>
    <t>18.96</t>
  </si>
  <si>
    <t>333/72</t>
  </si>
  <si>
    <t>A30120</t>
  </si>
  <si>
    <t>D/333/72/W/AAAA/0</t>
  </si>
  <si>
    <t>10.0</t>
  </si>
  <si>
    <t>333/96</t>
  </si>
  <si>
    <t>J-HQ3339611</t>
  </si>
  <si>
    <t>D/333/96/B/AAAA/0</t>
  </si>
  <si>
    <t>恒基</t>
  </si>
  <si>
    <t>9.03</t>
  </si>
  <si>
    <t>35/24</t>
  </si>
  <si>
    <t>S21102P</t>
  </si>
  <si>
    <t>D/35/24/W/AAAA/0</t>
  </si>
  <si>
    <t>16.98</t>
  </si>
  <si>
    <t>355/96</t>
  </si>
  <si>
    <t>D/355/96/B/AAAA/0</t>
  </si>
  <si>
    <t>新凤鸣</t>
  </si>
  <si>
    <t>KP12005</t>
  </si>
  <si>
    <t>D/355/96/W/AAAA/0</t>
  </si>
  <si>
    <t>9.09</t>
  </si>
  <si>
    <t>36/24</t>
  </si>
  <si>
    <t>D/36/24/B/AAAA/0</t>
  </si>
  <si>
    <t>16.24</t>
  </si>
  <si>
    <t>需备库存10000</t>
  </si>
  <si>
    <t>11.26</t>
  </si>
  <si>
    <t>55/24</t>
  </si>
  <si>
    <t>D/55/24/B/AAAA/0</t>
  </si>
  <si>
    <t>14.05</t>
  </si>
  <si>
    <t>89/48</t>
  </si>
  <si>
    <t>S21211</t>
  </si>
  <si>
    <t>D89/48/W/AAAA/0</t>
  </si>
  <si>
    <t>9.56</t>
  </si>
  <si>
    <t>需备库存8100</t>
  </si>
  <si>
    <t>94/36</t>
  </si>
  <si>
    <t>D/94/36/B/AAAA/0</t>
  </si>
  <si>
    <t>9.48</t>
  </si>
  <si>
    <t>1-T 18S</t>
  </si>
  <si>
    <t>DTY圆机丝</t>
  </si>
  <si>
    <t>圆机领用</t>
  </si>
  <si>
    <t>D八</t>
  </si>
  <si>
    <t>2区（DTY圆机丝）</t>
  </si>
  <si>
    <t>12.33</t>
  </si>
  <si>
    <t>2157.75</t>
  </si>
  <si>
    <t>100/36</t>
  </si>
  <si>
    <t>DFB1003610SSZ</t>
  </si>
  <si>
    <t>D/100/36/W/AAAA/0</t>
  </si>
  <si>
    <t>18.1</t>
  </si>
  <si>
    <t>392.77</t>
  </si>
  <si>
    <t>富盛退回样丝</t>
  </si>
  <si>
    <t>109/36</t>
  </si>
  <si>
    <t>D/109/36/W/AAAA/0</t>
  </si>
  <si>
    <t>洪泽</t>
  </si>
  <si>
    <t>15.91</t>
  </si>
  <si>
    <t>1042.105</t>
  </si>
  <si>
    <t>大圆机用</t>
  </si>
  <si>
    <t>1061.197</t>
  </si>
  <si>
    <t>120/36</t>
  </si>
  <si>
    <t>PBT</t>
  </si>
  <si>
    <t>D/120/36/W/AAAA/0</t>
  </si>
  <si>
    <t>1140.3</t>
  </si>
  <si>
    <t>8.26</t>
  </si>
  <si>
    <t>需备库存15000</t>
  </si>
  <si>
    <t>8.56</t>
  </si>
  <si>
    <t>东华加工</t>
  </si>
  <si>
    <t>7.35</t>
  </si>
  <si>
    <t>2460.045</t>
  </si>
  <si>
    <t>10.52</t>
  </si>
  <si>
    <t>575.444</t>
  </si>
  <si>
    <t>DTY黑丝</t>
  </si>
  <si>
    <t>9.0</t>
  </si>
  <si>
    <t>需备库存8000</t>
  </si>
  <si>
    <t>140/48</t>
  </si>
  <si>
    <t>D/140/48/B/AAAA</t>
  </si>
  <si>
    <t>8.97</t>
  </si>
  <si>
    <t>1973.4</t>
  </si>
  <si>
    <t>D/172/48/W/AAAA/0</t>
  </si>
  <si>
    <t>7.51</t>
  </si>
  <si>
    <t>1
100/48，需备库存24000</t>
  </si>
  <si>
    <t>20/24</t>
  </si>
  <si>
    <t>33.0</t>
  </si>
  <si>
    <t>50626.29</t>
  </si>
  <si>
    <t>D/20/24/W/AAAAA/0</t>
  </si>
  <si>
    <t>30.17</t>
  </si>
  <si>
    <t>98686.07</t>
  </si>
  <si>
    <t>/</t>
  </si>
  <si>
    <t>D/20/24/W/AAAA/0</t>
  </si>
  <si>
    <t>34.31</t>
  </si>
  <si>
    <t>16640.35</t>
  </si>
  <si>
    <t>打样</t>
  </si>
  <si>
    <t>17555.0179</t>
  </si>
  <si>
    <t>D/20/24/W/AAA/0</t>
  </si>
  <si>
    <t>28.02</t>
  </si>
  <si>
    <t>5908.8576</t>
  </si>
  <si>
    <t>等级S</t>
  </si>
  <si>
    <t>200/96</t>
  </si>
  <si>
    <t>D15200</t>
  </si>
  <si>
    <t>D/200/96/B/AAAA/0</t>
  </si>
  <si>
    <t>东帝</t>
  </si>
  <si>
    <t>10.27</t>
  </si>
  <si>
    <t>5093.92</t>
  </si>
  <si>
    <t>DTY/白</t>
  </si>
  <si>
    <t>21支</t>
  </si>
  <si>
    <t>T/R</t>
  </si>
  <si>
    <t>16.81</t>
  </si>
  <si>
    <t>1933.15</t>
  </si>
  <si>
    <t>32.0</t>
  </si>
  <si>
    <t>10784</t>
  </si>
  <si>
    <t>需求库存1260</t>
  </si>
  <si>
    <t>IT2059ZC40</t>
  </si>
  <si>
    <t>F/222/96/W/AAAA/0</t>
  </si>
  <si>
    <t>10.41</t>
  </si>
  <si>
    <t>4325.355</t>
  </si>
  <si>
    <t>275/48</t>
  </si>
  <si>
    <t>H278275485</t>
  </si>
  <si>
    <t>D/275/48/W/AAAA/0</t>
  </si>
  <si>
    <t>7.64</t>
  </si>
  <si>
    <t>870.96</t>
  </si>
  <si>
    <t>278/96</t>
  </si>
  <si>
    <t>1T2529ZC-34</t>
  </si>
  <si>
    <t>D/278/96/W/AAAA/0</t>
  </si>
  <si>
    <t>10.06</t>
  </si>
  <si>
    <t>5563.18</t>
  </si>
  <si>
    <t>H-114355962</t>
  </si>
  <si>
    <t>8.81</t>
  </si>
  <si>
    <t>3092.31</t>
  </si>
  <si>
    <t>大圆机用，需备库存5145</t>
  </si>
  <si>
    <t>55/36</t>
  </si>
  <si>
    <t>DE715536-1</t>
  </si>
  <si>
    <t>11.2</t>
  </si>
  <si>
    <t>5913.6</t>
  </si>
  <si>
    <t>70/24</t>
  </si>
  <si>
    <t>DJA702412SZ</t>
  </si>
  <si>
    <t>D/70/24/W/AAAA/0</t>
  </si>
  <si>
    <t>827.17</t>
  </si>
  <si>
    <t>75/48</t>
  </si>
  <si>
    <t>D/75/48/W/AAAA/0</t>
  </si>
  <si>
    <t>威尔</t>
  </si>
  <si>
    <t>10.69</t>
  </si>
  <si>
    <t>2973.958</t>
  </si>
  <si>
    <t>76/36</t>
  </si>
  <si>
    <t>D/76/36/W/AAAA/0</t>
  </si>
  <si>
    <t>80/36</t>
  </si>
  <si>
    <t>DE718036</t>
  </si>
  <si>
    <t>D/80/36/W/AAAA/0</t>
  </si>
  <si>
    <t>19.31</t>
  </si>
  <si>
    <t>3356.078</t>
  </si>
  <si>
    <t>DE718036-1</t>
  </si>
  <si>
    <t>9.8</t>
  </si>
  <si>
    <t>5174.4</t>
  </si>
  <si>
    <t>83/36</t>
  </si>
  <si>
    <t>F845/M0B0</t>
  </si>
  <si>
    <t>12.1</t>
  </si>
  <si>
    <t>6388.8</t>
  </si>
  <si>
    <t>D/89/48/W/AAAA/0</t>
  </si>
  <si>
    <t>12.13</t>
  </si>
  <si>
    <t>135度有温丝</t>
  </si>
  <si>
    <t>D/89/48/W/AAAA/</t>
  </si>
  <si>
    <t>8.11</t>
  </si>
  <si>
    <t>1200.28</t>
  </si>
  <si>
    <t>B等品</t>
  </si>
  <si>
    <t>11.95</t>
  </si>
  <si>
    <t>威尔加工</t>
  </si>
  <si>
    <t>8.28</t>
  </si>
  <si>
    <t>D/89/48/W/AAA/0</t>
  </si>
  <si>
    <t>3441.6</t>
  </si>
  <si>
    <t xml:space="preserve">高温丝  需备库存15000
</t>
  </si>
  <si>
    <t>D94/36/B/AAA/0</t>
  </si>
  <si>
    <t>需备库存5000  固力</t>
  </si>
  <si>
    <t>POY白丝</t>
  </si>
  <si>
    <t>115/36</t>
  </si>
  <si>
    <t>POY原丝</t>
  </si>
  <si>
    <t>加弹领用</t>
  </si>
  <si>
    <t>H-2011150368</t>
  </si>
  <si>
    <t>D/115/36/W/AAAA</t>
  </si>
  <si>
    <t>车间</t>
  </si>
  <si>
    <t>1区（POY原丝）</t>
  </si>
  <si>
    <t>10.4</t>
  </si>
  <si>
    <t>15719.6</t>
  </si>
  <si>
    <t>POY/白丝</t>
  </si>
  <si>
    <t>125/36</t>
  </si>
  <si>
    <t>IP05010</t>
  </si>
  <si>
    <t>7.27</t>
  </si>
  <si>
    <t>14394.6</t>
  </si>
  <si>
    <t>1278.9</t>
  </si>
  <si>
    <t>68</t>
  </si>
  <si>
    <t>0</t>
  </si>
  <si>
    <t>160</t>
  </si>
  <si>
    <t>18</t>
  </si>
  <si>
    <t>43.72</t>
  </si>
  <si>
    <t>55913.508</t>
  </si>
  <si>
    <t>23</t>
  </si>
  <si>
    <t>15.53</t>
  </si>
  <si>
    <t>24</t>
  </si>
  <si>
    <t>2</t>
  </si>
  <si>
    <t>17</t>
  </si>
  <si>
    <t>36.26</t>
  </si>
  <si>
    <t>870.24</t>
  </si>
  <si>
    <t>124</t>
  </si>
  <si>
    <t>7</t>
  </si>
  <si>
    <t>27</t>
  </si>
  <si>
    <t>36.69</t>
  </si>
  <si>
    <t>4549.56</t>
  </si>
  <si>
    <t>28</t>
  </si>
  <si>
    <t>3</t>
  </si>
  <si>
    <t>1027.32</t>
  </si>
  <si>
    <t>60</t>
  </si>
  <si>
    <t>42.57</t>
  </si>
  <si>
    <t>6</t>
  </si>
  <si>
    <t>25</t>
  </si>
  <si>
    <t>220.14</t>
  </si>
  <si>
    <t>1323.5</t>
  </si>
  <si>
    <t>72</t>
  </si>
  <si>
    <t>48559.215</t>
  </si>
  <si>
    <t>22</t>
  </si>
  <si>
    <t>1</t>
  </si>
  <si>
    <t>24.84</t>
  </si>
  <si>
    <t>546.48</t>
  </si>
  <si>
    <t>25.34</t>
  </si>
  <si>
    <t>70.5</t>
  </si>
  <si>
    <t>29.2</t>
  </si>
  <si>
    <t>2058.6</t>
  </si>
  <si>
    <t>34</t>
  </si>
  <si>
    <t>32</t>
  </si>
  <si>
    <t>13.14</t>
  </si>
  <si>
    <t>56</t>
  </si>
  <si>
    <t>33</t>
  </si>
  <si>
    <t>16.15</t>
  </si>
  <si>
    <t>904.4</t>
  </si>
  <si>
    <t>616</t>
  </si>
  <si>
    <t>11</t>
  </si>
  <si>
    <t>39</t>
  </si>
  <si>
    <t>21.59</t>
  </si>
  <si>
    <t>13299.44</t>
  </si>
  <si>
    <t>62.4</t>
  </si>
  <si>
    <t>11.68</t>
  </si>
  <si>
    <t>728.832</t>
  </si>
  <si>
    <t>35</t>
  </si>
  <si>
    <t>12.55</t>
  </si>
  <si>
    <t>00</t>
  </si>
  <si>
    <t>66</t>
  </si>
  <si>
    <t>10</t>
  </si>
  <si>
    <t>14.47</t>
  </si>
  <si>
    <t>20.1</t>
  </si>
  <si>
    <t>20</t>
  </si>
  <si>
    <t>40.8</t>
  </si>
  <si>
    <t>12.52</t>
  </si>
  <si>
    <t>510.816</t>
  </si>
  <si>
    <t>20.5</t>
  </si>
  <si>
    <t>10.61</t>
  </si>
  <si>
    <t>217.505</t>
  </si>
  <si>
    <t>12.86</t>
  </si>
  <si>
    <t>38</t>
  </si>
  <si>
    <t>13</t>
  </si>
  <si>
    <t>12.25</t>
  </si>
  <si>
    <t>42</t>
  </si>
  <si>
    <t>133.8</t>
  </si>
  <si>
    <t>21.34</t>
  </si>
  <si>
    <t>2855.292</t>
  </si>
  <si>
    <t>44</t>
  </si>
  <si>
    <t>12.39</t>
  </si>
  <si>
    <t>545.16</t>
  </si>
  <si>
    <t>48</t>
  </si>
  <si>
    <t>11.14</t>
  </si>
  <si>
    <t>45</t>
  </si>
  <si>
    <t>21325</t>
  </si>
  <si>
    <t>7.4</t>
  </si>
  <si>
    <t>49</t>
  </si>
  <si>
    <t>40.2</t>
  </si>
  <si>
    <t>426.522</t>
  </si>
  <si>
    <t>19.9</t>
  </si>
  <si>
    <t>9.75</t>
  </si>
  <si>
    <t>194.025</t>
  </si>
  <si>
    <t>KD/55/24/23/2/W/30/32/AAA</t>
  </si>
  <si>
    <t>22.14</t>
  </si>
  <si>
    <t>S22101</t>
  </si>
  <si>
    <t>29</t>
  </si>
  <si>
    <t>20.4</t>
  </si>
  <si>
    <t>31</t>
  </si>
  <si>
    <t>19.99</t>
  </si>
  <si>
    <t>407.796</t>
  </si>
  <si>
    <t>155.2</t>
  </si>
  <si>
    <t>8</t>
  </si>
  <si>
    <t>21</t>
  </si>
  <si>
    <t>9.91</t>
  </si>
  <si>
    <t>1538.032</t>
  </si>
  <si>
    <t>19</t>
  </si>
  <si>
    <t>19.65</t>
  </si>
  <si>
    <t>373.35</t>
  </si>
  <si>
    <t>16</t>
  </si>
  <si>
    <t>12.62</t>
  </si>
  <si>
    <t>253.662</t>
  </si>
  <si>
    <t>80.4</t>
  </si>
  <si>
    <t>4</t>
  </si>
  <si>
    <t>1056.456</t>
  </si>
  <si>
    <t>1286.9</t>
  </si>
  <si>
    <t>16240.678</t>
  </si>
  <si>
    <t>61.8</t>
  </si>
  <si>
    <t>721.824</t>
  </si>
  <si>
    <t>12.79</t>
  </si>
  <si>
    <t>KD/130/48/49/4/W/30/24/AAA</t>
  </si>
  <si>
    <t>试样</t>
  </si>
  <si>
    <t>40</t>
  </si>
  <si>
    <t>15.34</t>
  </si>
  <si>
    <t>245</t>
  </si>
  <si>
    <t>14.81</t>
  </si>
  <si>
    <t>A5036z</t>
    <phoneticPr fontId="0" type="Hiragana"/>
  </si>
  <si>
    <t>机台数</t>
    <phoneticPr fontId="0" type="Hiragana"/>
  </si>
  <si>
    <t>B3023w</t>
  </si>
  <si>
    <t>B3021z</t>
  </si>
  <si>
    <t>A5034xl</t>
  </si>
  <si>
    <t>A5035dw</t>
  </si>
  <si>
    <t>A5045W</t>
  </si>
  <si>
    <t>A5038xl</t>
  </si>
  <si>
    <t>A5032w32</t>
  </si>
  <si>
    <t>C5040wsj</t>
  </si>
  <si>
    <t>C5040wcl</t>
  </si>
  <si>
    <t>A7541xl</t>
  </si>
  <si>
    <t>B7539xlcl</t>
  </si>
  <si>
    <t>B7539xlfm</t>
  </si>
  <si>
    <t>A7549xl</t>
  </si>
  <si>
    <t>B7552l</t>
  </si>
  <si>
    <t>B7543Wh</t>
  </si>
  <si>
    <t>C7542Wb</t>
  </si>
  <si>
    <t>B10066z</t>
  </si>
  <si>
    <t>机台号</t>
    <phoneticPr fontId="0" type="Hiragana"/>
  </si>
  <si>
    <t>A7545xl</t>
    <phoneticPr fontId="0" type="Hiragana"/>
  </si>
  <si>
    <t>B3023大W</t>
  </si>
  <si>
    <t>B3021直平纹</t>
  </si>
  <si>
    <t>A5038斜乱平纹</t>
  </si>
  <si>
    <t>规格</t>
    <phoneticPr fontId="0" type="Hiragana"/>
  </si>
  <si>
    <t>代码</t>
    <phoneticPr fontId="0" type="Hiragana"/>
  </si>
  <si>
    <t>花纹</t>
    <phoneticPr fontId="0" type="Hiragana"/>
  </si>
  <si>
    <t>克重</t>
    <phoneticPr fontId="0" type="Hiragana"/>
  </si>
  <si>
    <t>总计</t>
    <phoneticPr fontId="0" type="Hiragana"/>
  </si>
  <si>
    <t>圆机车间机台安排及生产计划</t>
    <phoneticPr fontId="0" type="Hiragana"/>
  </si>
  <si>
    <t>机台号</t>
  </si>
  <si>
    <t>规格一</t>
  </si>
  <si>
    <t>规格二</t>
  </si>
  <si>
    <t>机台数</t>
  </si>
  <si>
    <t>总数</t>
  </si>
  <si>
    <t>加弹车间机台安排及生产计划</t>
    <phoneticPr fontId="0" type="Hiragana"/>
  </si>
  <si>
    <t>门幅</t>
    <phoneticPr fontId="0" type="Hiragana"/>
  </si>
  <si>
    <t>喷水规格</t>
    <phoneticPr fontId="0" type="Hiragana"/>
  </si>
  <si>
    <t>喷水克重</t>
    <phoneticPr fontId="0" type="Hiragana"/>
  </si>
  <si>
    <t>喷水门幅</t>
    <phoneticPr fontId="0" type="Hiragana"/>
  </si>
  <si>
    <t>喷水花纹</t>
    <phoneticPr fontId="0" type="Hiragana"/>
  </si>
  <si>
    <t>30"20针筒8只</t>
    <phoneticPr fontId="0" type="Hiragana"/>
  </si>
  <si>
    <t>全局颜色</t>
    <phoneticPr fontId="0" type="Hiragana"/>
  </si>
  <si>
    <t>机台数</t>
    <phoneticPr fontId="0" type="Hiragana"/>
  </si>
  <si>
    <t>机台号</t>
    <phoneticPr fontId="0" type="Hiragana"/>
  </si>
  <si>
    <t>规格</t>
    <phoneticPr fontId="0" type="Hiragana"/>
  </si>
  <si>
    <t>克重</t>
    <phoneticPr fontId="0" type="Hiragana"/>
  </si>
  <si>
    <t>门幅</t>
    <phoneticPr fontId="0" type="Hiragana"/>
  </si>
  <si>
    <t>辅助</t>
    <phoneticPr fontId="0" type="Hiragana"/>
  </si>
  <si>
    <t>30*50</t>
  </si>
  <si>
    <t>50*50</t>
    <phoneticPr fontId="0" type="Hiragana"/>
  </si>
  <si>
    <t>白</t>
    <phoneticPr fontId="0" type="Hiragana"/>
  </si>
  <si>
    <t>75*75</t>
    <phoneticPr fontId="0" type="Hiragana"/>
  </si>
  <si>
    <t>黑</t>
    <phoneticPr fontId="0" type="Hiragana"/>
  </si>
  <si>
    <t>总计</t>
    <phoneticPr fontId="0" type="Hiragana"/>
  </si>
  <si>
    <t>喷水车间机台安排及生产计划</t>
    <phoneticPr fontId="0" type="Hiragana"/>
  </si>
  <si>
    <t>供应商</t>
    <phoneticPr fontId="0" type="Hiragana"/>
  </si>
  <si>
    <t>132/48,55/24,36/24,94/36</t>
    <phoneticPr fontId="0" type="Hiragana"/>
  </si>
  <si>
    <t>华儒</t>
    <phoneticPr fontId="0" type="Hiragana"/>
  </si>
  <si>
    <t>130/48,89/48,35/24</t>
    <phoneticPr fontId="0" type="Hiragana"/>
  </si>
  <si>
    <t>89/48,35/24</t>
    <phoneticPr fontId="0" type="Hiragana"/>
  </si>
  <si>
    <t>中辰</t>
    <phoneticPr fontId="0" type="Hiragana"/>
  </si>
  <si>
    <t>355/96</t>
    <phoneticPr fontId="0" type="Hiragana"/>
  </si>
  <si>
    <t>172/48,130/48</t>
    <phoneticPr fontId="0" type="Hiragana"/>
  </si>
  <si>
    <t>新凤呜</t>
    <phoneticPr fontId="0" type="Hiragana"/>
  </si>
  <si>
    <t>125/36</t>
    <phoneticPr fontId="0" type="Hiragana"/>
  </si>
  <si>
    <t>恒盛</t>
    <phoneticPr fontId="0" type="Hiragana"/>
  </si>
  <si>
    <t>115/36</t>
    <phoneticPr fontId="0" type="Hiragana"/>
  </si>
  <si>
    <t>33/24,22/24,165/48,222/96,55/36,80/36,167/96</t>
    <phoneticPr fontId="0" type="Hiragana"/>
  </si>
  <si>
    <t>环保白</t>
    <phoneticPr fontId="0" type="Hiragana"/>
  </si>
  <si>
    <t>55/36</t>
    <phoneticPr fontId="0" type="Hiragana"/>
  </si>
  <si>
    <t>盛虹</t>
    <phoneticPr fontId="0" type="Hiragana"/>
  </si>
  <si>
    <t>23/24,33/24,76/36</t>
    <phoneticPr fontId="0" type="Hiragana"/>
  </si>
  <si>
    <t>76/36</t>
    <phoneticPr fontId="0" type="Hiragana"/>
  </si>
  <si>
    <t>恒基</t>
    <phoneticPr fontId="0" type="Hiragana"/>
  </si>
  <si>
    <t>333/96,167/48</t>
    <phoneticPr fontId="0" type="Hiragana"/>
  </si>
  <si>
    <t>隆顺</t>
    <phoneticPr fontId="0" type="Hiragana"/>
  </si>
  <si>
    <t>20/24,30/24</t>
    <phoneticPr fontId="0" type="Hiragana"/>
  </si>
  <si>
    <t>银宇</t>
    <phoneticPr fontId="0" type="Hiragana"/>
  </si>
  <si>
    <t>150/48,167/48</t>
    <phoneticPr fontId="0" type="Hiragana"/>
  </si>
  <si>
    <t>30/24</t>
    <phoneticPr fontId="0" type="Hiragana"/>
  </si>
  <si>
    <t>天元</t>
    <phoneticPr fontId="0" type="Hiragana"/>
  </si>
  <si>
    <t>167/48,333/72,333/96</t>
    <phoneticPr fontId="0" type="Hiragana"/>
  </si>
  <si>
    <t>荣盛</t>
    <phoneticPr fontId="0" type="Hiragana"/>
  </si>
  <si>
    <t>222/96</t>
    <phoneticPr fontId="0" type="Hiragana"/>
  </si>
  <si>
    <t>POY外购</t>
    <phoneticPr fontId="0" type="Hiragana"/>
  </si>
  <si>
    <t>DTY外购</t>
    <phoneticPr fontId="0" type="Hiragana"/>
  </si>
  <si>
    <t>东华</t>
    <phoneticPr fontId="0" type="Hiragana"/>
  </si>
  <si>
    <t>威尔</t>
    <phoneticPr fontId="0" type="Hiragana"/>
  </si>
  <si>
    <t>DTY外加工</t>
    <phoneticPr fontId="0" type="Hiragana"/>
  </si>
  <si>
    <t>四面弹外加工</t>
    <phoneticPr fontId="0" type="Hiragana"/>
  </si>
  <si>
    <t>喷水布外加工</t>
    <phoneticPr fontId="0" type="Hiragana"/>
  </si>
  <si>
    <t>杨拾泉</t>
    <phoneticPr fontId="0" type="Hiragana"/>
  </si>
  <si>
    <t>厚康</t>
    <phoneticPr fontId="0" type="Hiragana"/>
  </si>
  <si>
    <t>徐明彬</t>
    <phoneticPr fontId="0" type="Hiragana"/>
  </si>
  <si>
    <t>大圆机</t>
    <phoneticPr fontId="0" type="Hiragana"/>
  </si>
  <si>
    <t>信德</t>
    <phoneticPr fontId="0" type="Hiragana"/>
  </si>
  <si>
    <t>POY</t>
    <phoneticPr fontId="0" type="Hiragana"/>
  </si>
  <si>
    <t>DTY</t>
    <phoneticPr fontId="0" type="Hiragana"/>
  </si>
  <si>
    <t>POY入库数量</t>
    <phoneticPr fontId="0" type="Hiragana"/>
  </si>
  <si>
    <t>POY领料数量</t>
    <phoneticPr fontId="0" type="Hiragana"/>
  </si>
  <si>
    <t>DTY领料数量</t>
    <phoneticPr fontId="0" type="Hiragana"/>
  </si>
  <si>
    <t>DTY入库数量</t>
    <phoneticPr fontId="0" type="Hiragana"/>
  </si>
  <si>
    <t>DTY废料数量</t>
    <phoneticPr fontId="0" type="Hiragana"/>
  </si>
  <si>
    <t>各机台DTY产量</t>
    <phoneticPr fontId="0" type="Hiragana"/>
  </si>
  <si>
    <t>批次</t>
  </si>
  <si>
    <t>原丝规格</t>
  </si>
  <si>
    <t>用途</t>
    <phoneticPr fontId="0" type="Hiragana"/>
  </si>
  <si>
    <t>POY结余</t>
    <phoneticPr fontId="0" type="Hiragana"/>
  </si>
  <si>
    <t>POY入库</t>
    <phoneticPr fontId="0" type="Hiragana"/>
  </si>
  <si>
    <t>POY领料</t>
    <phoneticPr fontId="0" type="Hiragana"/>
  </si>
  <si>
    <t>DTY结余</t>
    <phoneticPr fontId="0" type="Hiragana"/>
  </si>
  <si>
    <t>DTY期初</t>
    <phoneticPr fontId="0" type="Hiragana"/>
  </si>
  <si>
    <t>DTY领料</t>
    <phoneticPr fontId="0" type="Hiragana"/>
  </si>
  <si>
    <t>DTY入库</t>
    <phoneticPr fontId="0" type="Hiragana"/>
  </si>
  <si>
    <t>DTY废料</t>
    <phoneticPr fontId="0" type="Hiragana"/>
  </si>
  <si>
    <t>50D 135度有温丝</t>
  </si>
  <si>
    <t>圆机</t>
  </si>
  <si>
    <t>50D</t>
  </si>
  <si>
    <t>S21211(146专用）</t>
  </si>
  <si>
    <t>50D 175度高温丝</t>
  </si>
  <si>
    <t>H-20111150368</t>
  </si>
  <si>
    <t>75D  打样</t>
  </si>
  <si>
    <t>高温打样</t>
  </si>
  <si>
    <t>75D 135度低温丝</t>
  </si>
  <si>
    <t>155°打样</t>
  </si>
  <si>
    <t>160°打样</t>
  </si>
  <si>
    <t>170°打样</t>
  </si>
  <si>
    <t>75D</t>
  </si>
  <si>
    <t>20D网络丝</t>
  </si>
  <si>
    <t>喷水</t>
  </si>
  <si>
    <t>30D网络丝</t>
  </si>
  <si>
    <t>S21211</t>
    <phoneticPr fontId="0" type="Hiragana"/>
  </si>
  <si>
    <t>50D网络丝</t>
  </si>
  <si>
    <t>75D网络丝</t>
  </si>
  <si>
    <t>100D网络丝</t>
  </si>
  <si>
    <t>200D网络丝</t>
  </si>
  <si>
    <t>93/36</t>
  </si>
  <si>
    <t>鲁雅尔</t>
  </si>
  <si>
    <t>50D无温丝</t>
  </si>
  <si>
    <t>75D 175度高温丝</t>
  </si>
  <si>
    <t>20D</t>
  </si>
  <si>
    <t>100D</t>
  </si>
  <si>
    <t>HP06080</t>
  </si>
  <si>
    <t>200D</t>
  </si>
  <si>
    <t>200DD大圆机</t>
  </si>
  <si>
    <t>20D打样丝</t>
  </si>
  <si>
    <t>125/48</t>
  </si>
  <si>
    <t>宏泰</t>
  </si>
  <si>
    <t>H-114355961</t>
  </si>
  <si>
    <t>H-278355965</t>
  </si>
  <si>
    <t>W-H805355962</t>
  </si>
  <si>
    <t>H-114525962</t>
  </si>
  <si>
    <t>300D网络丝</t>
  </si>
  <si>
    <t>525/96</t>
  </si>
  <si>
    <t>WH805533961R</t>
  </si>
  <si>
    <t>533/96</t>
  </si>
  <si>
    <t>H-H114533961</t>
  </si>
  <si>
    <t>150D黑</t>
  </si>
  <si>
    <t>150D网络丝</t>
  </si>
  <si>
    <t>150D</t>
  </si>
  <si>
    <t>库存丝</t>
  </si>
  <si>
    <t>150D白</t>
  </si>
  <si>
    <t>3R0775SC</t>
  </si>
  <si>
    <t>外购</t>
    <phoneticPr fontId="0" type="Hiragana"/>
  </si>
  <si>
    <t>委外</t>
    <phoneticPr fontId="0" type="Hiragana"/>
  </si>
  <si>
    <t>加弹领</t>
    <phoneticPr fontId="0" type="Hiragana"/>
  </si>
  <si>
    <t>加弹入</t>
    <phoneticPr fontId="0" type="Hiragana"/>
  </si>
  <si>
    <t>DTY领</t>
    <phoneticPr fontId="0" type="Hiragana"/>
  </si>
  <si>
    <t>DTY入</t>
    <phoneticPr fontId="0" type="Hiragana"/>
  </si>
  <si>
    <t>S21325</t>
    <phoneticPr fontId="0" type="Hiragana"/>
  </si>
  <si>
    <t>50D</t>
    <phoneticPr fontId="0" type="Hiragana"/>
  </si>
  <si>
    <t>S21102P</t>
    <phoneticPr fontId="0" type="Hiragana"/>
  </si>
  <si>
    <t>S21325</t>
    <phoneticPr fontId="0" type="Hiragana"/>
  </si>
  <si>
    <t>S21211</t>
    <phoneticPr fontId="0" type="Hiragana"/>
  </si>
  <si>
    <t>S21102P</t>
    <phoneticPr fontId="0" type="Hiragana"/>
  </si>
  <si>
    <t>175</t>
  </si>
  <si>
    <t>21.7</t>
  </si>
  <si>
    <t>65.5</t>
  </si>
  <si>
    <t>6021</t>
  </si>
  <si>
    <t>66.7</t>
  </si>
  <si>
    <t>6025</t>
  </si>
  <si>
    <t>1511.5</t>
  </si>
  <si>
    <t>63</t>
  </si>
  <si>
    <t>1980</t>
  </si>
  <si>
    <t>334.7</t>
  </si>
  <si>
    <t>12</t>
  </si>
  <si>
    <t>32115</t>
  </si>
  <si>
    <t>54.7</t>
  </si>
  <si>
    <t>84132</t>
  </si>
  <si>
    <t>需备库存8100      固力75/48</t>
  </si>
  <si>
    <t>166</t>
  </si>
  <si>
    <t>220</t>
  </si>
  <si>
    <t>73003</t>
  </si>
  <si>
    <t>1534.13</t>
  </si>
  <si>
    <t>2008</t>
  </si>
  <si>
    <t>3271</t>
  </si>
  <si>
    <t>134</t>
  </si>
  <si>
    <t>2003</t>
  </si>
  <si>
    <t>485</t>
  </si>
  <si>
    <t>14</t>
  </si>
  <si>
    <t>581.87</t>
  </si>
  <si>
    <t>210.88</t>
  </si>
  <si>
    <t>496</t>
  </si>
  <si>
    <t>115</t>
  </si>
  <si>
    <t>337</t>
  </si>
  <si>
    <t>20022</t>
  </si>
  <si>
    <t>144</t>
  </si>
  <si>
    <t>415.5</t>
  </si>
  <si>
    <t>114</t>
  </si>
  <si>
    <t>15802</t>
  </si>
  <si>
    <t>302409</t>
  </si>
  <si>
    <t>18.6</t>
  </si>
  <si>
    <t>351</t>
  </si>
  <si>
    <t>240036</t>
  </si>
  <si>
    <t>240055</t>
  </si>
  <si>
    <t>528</t>
  </si>
  <si>
    <t>45.7</t>
  </si>
  <si>
    <t>278.2</t>
  </si>
  <si>
    <t>32171</t>
  </si>
  <si>
    <t>173.8</t>
  </si>
  <si>
    <t>148</t>
  </si>
  <si>
    <t>360</t>
  </si>
  <si>
    <t>640094</t>
  </si>
  <si>
    <t>需备库存8100       固力</t>
  </si>
  <si>
    <t>5155.52</t>
  </si>
  <si>
    <t>46399.68</t>
  </si>
  <si>
    <t>180</t>
  </si>
  <si>
    <t>D/167/48/W/AAAA/0</t>
  </si>
  <si>
    <t>C5034w</t>
    <phoneticPr fontId="0" type="Hiragana"/>
  </si>
  <si>
    <t>C5034w</t>
    <phoneticPr fontId="0" type="Hiragana"/>
  </si>
  <si>
    <t>纹路</t>
    <phoneticPr fontId="0" type="Hiragana"/>
  </si>
  <si>
    <t>30"32针</t>
    <phoneticPr fontId="0" type="Hiragana"/>
  </si>
  <si>
    <t>30"28针</t>
    <phoneticPr fontId="0" type="Hiragana"/>
  </si>
  <si>
    <t>30"24针</t>
    <phoneticPr fontId="0" type="Hiragana"/>
  </si>
  <si>
    <t>黑丝</t>
    <phoneticPr fontId="0" type="Hiragana"/>
  </si>
  <si>
    <t>小w</t>
    <phoneticPr fontId="0" type="Hiragana"/>
  </si>
  <si>
    <t>圆机花纹</t>
    <phoneticPr fontId="0" type="Hiragana"/>
  </si>
  <si>
    <t>圆机定型克重</t>
    <phoneticPr fontId="0" type="Hiragana"/>
  </si>
  <si>
    <t>圆机定型门幅</t>
    <phoneticPr fontId="0" type="Hiragana"/>
  </si>
  <si>
    <t>XSDC384</t>
    <phoneticPr fontId="0" type="Hiragana"/>
  </si>
  <si>
    <t>A35C385</t>
    <phoneticPr fontId="0" type="Hiragana"/>
  </si>
  <si>
    <t>每月100K做备库</t>
    <phoneticPr fontId="0" type="Hiragana"/>
  </si>
  <si>
    <t>C5034wh</t>
    <phoneticPr fontId="0" type="Hiragana"/>
  </si>
  <si>
    <t>C5034w</t>
    <phoneticPr fontId="0" type="Hiragana"/>
  </si>
  <si>
    <t>黑</t>
    <phoneticPr fontId="0" type="Hiragana"/>
  </si>
  <si>
    <t>固力</t>
    <phoneticPr fontId="0" type="Hiragana"/>
  </si>
  <si>
    <t>C5034wh</t>
    <phoneticPr fontId="0" type="Hiragana"/>
  </si>
  <si>
    <t>众和</t>
    <phoneticPr fontId="0" type="Hiragana"/>
  </si>
  <si>
    <t>A102</t>
    <phoneticPr fontId="0" type="Hiragana"/>
  </si>
  <si>
    <t>A35</t>
    <phoneticPr fontId="0" type="Hiragana"/>
  </si>
  <si>
    <t>A94</t>
    <phoneticPr fontId="0" type="Hiragana"/>
  </si>
  <si>
    <t>A57</t>
    <phoneticPr fontId="0" type="Hiragana"/>
  </si>
  <si>
    <t>A70</t>
    <phoneticPr fontId="0" type="Hiragana"/>
  </si>
  <si>
    <t>A10</t>
    <phoneticPr fontId="0" type="Hiragana"/>
  </si>
  <si>
    <t>A90</t>
    <phoneticPr fontId="0" type="Hiragana"/>
  </si>
  <si>
    <t>A21</t>
    <phoneticPr fontId="0" type="Hiragana"/>
  </si>
  <si>
    <t>A88</t>
    <phoneticPr fontId="0" type="Hiragana"/>
  </si>
  <si>
    <t>B7543W</t>
    <phoneticPr fontId="0" type="Hiragana"/>
  </si>
  <si>
    <t>B7543大W</t>
    <phoneticPr fontId="0" type="Hiragana"/>
  </si>
  <si>
    <t>长乐</t>
    <phoneticPr fontId="0" type="Hiragana"/>
  </si>
  <si>
    <t>大W</t>
    <phoneticPr fontId="0" type="Hiragana"/>
  </si>
  <si>
    <t>B7543W</t>
    <phoneticPr fontId="0" type="Hiragana"/>
  </si>
  <si>
    <t>A5032dw</t>
    <phoneticPr fontId="0" type="Hiragana"/>
  </si>
  <si>
    <t>A5032大W</t>
    <phoneticPr fontId="0" type="Hiragana"/>
  </si>
  <si>
    <t>白</t>
    <phoneticPr fontId="0" type="Hiragana"/>
  </si>
  <si>
    <t>A5032DW</t>
    <phoneticPr fontId="0" type="Hiragana"/>
  </si>
  <si>
    <t>补</t>
    <phoneticPr fontId="0" type="Hiragana"/>
  </si>
  <si>
    <t>补A94</t>
    <phoneticPr fontId="0" type="Hiragana"/>
  </si>
  <si>
    <t>库存</t>
    <phoneticPr fontId="0" type="Hiragana"/>
  </si>
  <si>
    <t>A7549斜乱平纹</t>
    <phoneticPr fontId="0" type="Hiragana"/>
  </si>
  <si>
    <t>重量</t>
  </si>
  <si>
    <t>B3023lyy</t>
    <phoneticPr fontId="0" type="Hiragana"/>
  </si>
  <si>
    <t>众和</t>
    <phoneticPr fontId="0" type="Hiragana"/>
  </si>
  <si>
    <t>补</t>
    <phoneticPr fontId="0" type="Hiragana"/>
  </si>
  <si>
    <t>补A94</t>
    <phoneticPr fontId="0" type="Hiragana"/>
  </si>
  <si>
    <t>A102</t>
    <phoneticPr fontId="0" type="Hiragana"/>
  </si>
  <si>
    <t>A35</t>
    <phoneticPr fontId="0" type="Hiragana"/>
  </si>
  <si>
    <t>A94</t>
    <phoneticPr fontId="0" type="Hiragana"/>
  </si>
  <si>
    <t>库存</t>
    <phoneticPr fontId="0" type="Hiragana"/>
  </si>
  <si>
    <t>A70</t>
    <phoneticPr fontId="0" type="Hiragana"/>
  </si>
  <si>
    <t>A10</t>
    <phoneticPr fontId="0" type="Hiragana"/>
  </si>
  <si>
    <t>A57</t>
    <phoneticPr fontId="0" type="Hiragana"/>
  </si>
  <si>
    <t>A90</t>
    <phoneticPr fontId="0" type="Hiragana"/>
  </si>
  <si>
    <t>A21</t>
    <phoneticPr fontId="0" type="Hiragana"/>
  </si>
  <si>
    <t>A88</t>
    <phoneticPr fontId="0" type="Hiragana"/>
  </si>
  <si>
    <t>B5036Wgw</t>
    <phoneticPr fontId="0" type="Hiragana"/>
  </si>
  <si>
    <t>A5040w</t>
    <phoneticPr fontId="0" type="Hiragana"/>
  </si>
  <si>
    <t>B7543W</t>
  </si>
  <si>
    <t>B7543大W</t>
  </si>
  <si>
    <t>申久</t>
    <phoneticPr fontId="0" type="Hiragana"/>
  </si>
  <si>
    <t>C7542wb</t>
    <phoneticPr fontId="0" type="Hiragana"/>
  </si>
  <si>
    <t>B7543W</t>
    <phoneticPr fontId="0" type="Hiragana"/>
  </si>
  <si>
    <t>寸数</t>
    <phoneticPr fontId="0" type="Hiragana"/>
  </si>
  <si>
    <t>32小w</t>
  </si>
  <si>
    <t>35黑</t>
  </si>
  <si>
    <t>40小w</t>
  </si>
  <si>
    <t>36大W高温</t>
  </si>
  <si>
    <t>43大W</t>
  </si>
  <si>
    <t>45斜乱平纹</t>
  </si>
  <si>
    <t>49小w</t>
  </si>
  <si>
    <t>34小w</t>
  </si>
  <si>
    <t>23乱平纹</t>
  </si>
  <si>
    <t>39斜乱平纹</t>
  </si>
  <si>
    <t>36直平纹</t>
  </si>
  <si>
    <t>30"28针</t>
    <phoneticPr fontId="0" type="Hiragana"/>
  </si>
  <si>
    <t>35小w</t>
    <phoneticPr fontId="0" type="Hiragana"/>
  </si>
  <si>
    <t>35大w</t>
    <phoneticPr fontId="0" type="Hiragana"/>
  </si>
  <si>
    <t>42小w</t>
    <phoneticPr fontId="0" type="Hiragana"/>
  </si>
  <si>
    <t>38小w</t>
    <phoneticPr fontId="0" type="Hiragana"/>
  </si>
  <si>
    <t>23大W</t>
  </si>
  <si>
    <t>21直平纹</t>
  </si>
  <si>
    <t>29直平纹</t>
  </si>
  <si>
    <t>45大W</t>
  </si>
  <si>
    <t>45小w</t>
  </si>
  <si>
    <t>49斜乱平纹</t>
  </si>
  <si>
    <t>32大W</t>
  </si>
  <si>
    <t>30"24针</t>
    <phoneticPr fontId="0" type="Hiragana"/>
  </si>
  <si>
    <t>26"28针</t>
    <phoneticPr fontId="0" type="Hiragana"/>
  </si>
  <si>
    <t>30"32针</t>
    <phoneticPr fontId="0" type="Hiragana"/>
  </si>
  <si>
    <t>尺寸</t>
    <phoneticPr fontId="0" type="Hiragana"/>
  </si>
  <si>
    <t>辅助1</t>
    <phoneticPr fontId="0" type="Hiragana"/>
  </si>
  <si>
    <t>辅助2</t>
    <phoneticPr fontId="0" type="Hiragana"/>
  </si>
  <si>
    <t>A21B518</t>
  </si>
  <si>
    <t>36456</t>
  </si>
  <si>
    <t>分类</t>
  </si>
  <si>
    <t>白高温</t>
  </si>
  <si>
    <t>日产量</t>
  </si>
  <si>
    <t>50威尔</t>
  </si>
  <si>
    <t>50东华</t>
  </si>
  <si>
    <t>50网络</t>
  </si>
  <si>
    <t>20网络</t>
  </si>
  <si>
    <t>30网络</t>
  </si>
  <si>
    <t>75网络</t>
  </si>
  <si>
    <t>日耗量</t>
  </si>
  <si>
    <t>仓库规格</t>
  </si>
  <si>
    <t>A12B523</t>
  </si>
  <si>
    <t>10*10</t>
  </si>
  <si>
    <t>20*30</t>
  </si>
  <si>
    <t>30*100</t>
  </si>
  <si>
    <t>150*300</t>
  </si>
  <si>
    <t>50*50（M5060-66）</t>
  </si>
  <si>
    <t>宽幅</t>
  </si>
  <si>
    <t>HAAAA</t>
  </si>
  <si>
    <t>HAAA</t>
  </si>
  <si>
    <t>HAA</t>
  </si>
  <si>
    <t>次布</t>
  </si>
  <si>
    <t>等级</t>
    <phoneticPr fontId="0" type="Hiragana"/>
  </si>
  <si>
    <t>A88C388</t>
    <phoneticPr fontId="0" type="Hiragana"/>
  </si>
  <si>
    <t>实际18件</t>
    <phoneticPr fontId="0" type="Hiragana"/>
  </si>
  <si>
    <t>白高温</t>
    <phoneticPr fontId="0" type="Hiragana"/>
  </si>
  <si>
    <t>A10B499</t>
    <phoneticPr fontId="0" type="Hiragana"/>
  </si>
  <si>
    <t>75100190.550</t>
    <phoneticPr fontId="0" type="Hiragana"/>
  </si>
  <si>
    <t>200300180106</t>
    <phoneticPr fontId="0" type="Hiragana"/>
  </si>
  <si>
    <t>200300180116</t>
    <phoneticPr fontId="0" type="Hiragana"/>
  </si>
  <si>
    <t>200300180126</t>
    <phoneticPr fontId="0" type="Hiragana"/>
  </si>
  <si>
    <t>75150190.558</t>
    <phoneticPr fontId="0" type="Hiragana"/>
  </si>
  <si>
    <t>75200190.562</t>
    <phoneticPr fontId="0" type="Hiragana"/>
  </si>
  <si>
    <t>75200190.568</t>
    <phoneticPr fontId="0" type="Hiragana"/>
  </si>
  <si>
    <t>75300190.570</t>
    <phoneticPr fontId="0" type="Hiragana"/>
  </si>
  <si>
    <t>5050190.537</t>
    <phoneticPr fontId="0" type="Hiragana"/>
  </si>
  <si>
    <t>7575190.543</t>
    <phoneticPr fontId="0" type="Hiragana"/>
  </si>
  <si>
    <t>303020023</t>
    <phoneticPr fontId="0" type="Hiragana"/>
  </si>
  <si>
    <t>202019717</t>
    <phoneticPr fontId="0" type="Hiragana"/>
  </si>
  <si>
    <t>303019023</t>
    <phoneticPr fontId="0" type="Hiragana"/>
  </si>
  <si>
    <t>75200190.562</t>
    <phoneticPr fontId="0" type="Hiragana"/>
  </si>
  <si>
    <t>75300190.570</t>
    <phoneticPr fontId="0" type="Hiragana"/>
  </si>
  <si>
    <t>10030018896</t>
    <phoneticPr fontId="0" type="Hiragana"/>
  </si>
  <si>
    <t>AAAA</t>
    <phoneticPr fontId="0" type="Hiragana"/>
  </si>
  <si>
    <t>AAA</t>
    <phoneticPr fontId="0" type="Hiragana"/>
  </si>
  <si>
    <t>AA</t>
    <phoneticPr fontId="0" type="Hiragana"/>
  </si>
  <si>
    <t>HAAAA</t>
    <phoneticPr fontId="0" type="Hiragana"/>
  </si>
  <si>
    <t>HAAA</t>
    <phoneticPr fontId="0" type="Hiragana"/>
  </si>
  <si>
    <t>次布</t>
    <phoneticPr fontId="0" type="Hiragana"/>
  </si>
  <si>
    <t>HAA</t>
    <phoneticPr fontId="0" type="Hiragana"/>
  </si>
  <si>
    <t>200300180135</t>
    <phoneticPr fontId="0" type="Hiragana"/>
  </si>
  <si>
    <t>505019035</t>
    <phoneticPr fontId="0" type="Hiragana"/>
  </si>
  <si>
    <t>505019035</t>
    <phoneticPr fontId="0" type="Hiragana"/>
  </si>
  <si>
    <t>1/1</t>
  </si>
  <si>
    <t>1/1</t>
    <phoneticPr fontId="0" type="Hiragana"/>
  </si>
  <si>
    <t>1/1</t>
    <phoneticPr fontId="0" type="Hiragana"/>
  </si>
  <si>
    <t>2/2</t>
    <phoneticPr fontId="0" type="Hiragana"/>
  </si>
  <si>
    <t>3/1</t>
    <phoneticPr fontId="0" type="Hiragana"/>
  </si>
  <si>
    <t>75150190.554</t>
    <phoneticPr fontId="0" type="Hiragana"/>
  </si>
  <si>
    <t>10010018854</t>
    <phoneticPr fontId="0" type="Hiragana"/>
  </si>
  <si>
    <t>200300180116</t>
    <phoneticPr fontId="0" type="Hiragana"/>
  </si>
  <si>
    <t>507519044</t>
    <phoneticPr fontId="0" type="Hiragana"/>
  </si>
  <si>
    <t>151519713</t>
    <phoneticPr fontId="0" type="Hiragana"/>
  </si>
  <si>
    <t>75150190.558</t>
    <phoneticPr fontId="0" type="Hiragana"/>
  </si>
  <si>
    <t>7515018854</t>
    <phoneticPr fontId="0" type="Hiragana"/>
  </si>
  <si>
    <t>303020123</t>
    <phoneticPr fontId="0" type="Hiragana"/>
  </si>
  <si>
    <t>303019223</t>
    <phoneticPr fontId="0" type="Hiragana"/>
  </si>
  <si>
    <t>202014617</t>
    <phoneticPr fontId="0" type="Hiragana"/>
  </si>
  <si>
    <t>200300180106</t>
    <phoneticPr fontId="0" type="Hiragana"/>
  </si>
  <si>
    <t>28*51</t>
    <phoneticPr fontId="0" type="Hiragana"/>
  </si>
  <si>
    <t>B3023lyy</t>
  </si>
  <si>
    <t>众和</t>
    <phoneticPr fontId="0" type="Hiragana"/>
  </si>
  <si>
    <t>A94</t>
    <phoneticPr fontId="0" type="Hiragana"/>
  </si>
  <si>
    <t>A102</t>
    <phoneticPr fontId="0" type="Hiragana"/>
  </si>
  <si>
    <t>A35</t>
    <phoneticPr fontId="0" type="Hiragana"/>
  </si>
  <si>
    <t>库存</t>
    <phoneticPr fontId="0" type="Hiragana"/>
  </si>
  <si>
    <t>A70</t>
    <phoneticPr fontId="0" type="Hiragana"/>
  </si>
  <si>
    <t>A10</t>
    <phoneticPr fontId="0" type="Hiragana"/>
  </si>
  <si>
    <t>A57</t>
    <phoneticPr fontId="0" type="Hiragana"/>
  </si>
  <si>
    <t>A90</t>
    <phoneticPr fontId="0" type="Hiragana"/>
  </si>
  <si>
    <t>A35</t>
    <phoneticPr fontId="0" type="Hiragana"/>
  </si>
  <si>
    <t>A21</t>
    <phoneticPr fontId="0" type="Hiragana"/>
  </si>
  <si>
    <t>A88</t>
    <phoneticPr fontId="0" type="Hiragana"/>
  </si>
  <si>
    <t>A10</t>
    <phoneticPr fontId="0" type="Hiragana"/>
  </si>
  <si>
    <t>骏马</t>
    <phoneticPr fontId="0" type="Hiragana"/>
  </si>
  <si>
    <t>A5040w</t>
    <phoneticPr fontId="0" type="Hiragana"/>
  </si>
  <si>
    <t>大W</t>
    <phoneticPr fontId="0" type="Hiragana"/>
  </si>
  <si>
    <t>42大w</t>
    <phoneticPr fontId="0" type="Hiragana"/>
  </si>
  <si>
    <t>30"20针</t>
    <phoneticPr fontId="0" type="Hiragana"/>
  </si>
  <si>
    <t>A5042w</t>
    <phoneticPr fontId="0" type="Hiragana"/>
  </si>
  <si>
    <t>备注</t>
    <phoneticPr fontId="0" type="Hiragana"/>
  </si>
  <si>
    <t>A90C389</t>
    <phoneticPr fontId="0" type="Hiragana"/>
  </si>
  <si>
    <t>A70C390</t>
    <phoneticPr fontId="0" type="Hiragana"/>
  </si>
  <si>
    <t>门幅</t>
    <phoneticPr fontId="0" type="Hiragana"/>
  </si>
  <si>
    <t>5050190.537</t>
    <phoneticPr fontId="0" type="Hiragana"/>
  </si>
  <si>
    <t>507519044</t>
    <phoneticPr fontId="0" type="Hiragana"/>
  </si>
  <si>
    <t>7575190.543</t>
    <phoneticPr fontId="0" type="Hiragana"/>
  </si>
  <si>
    <t>75100190.550</t>
    <phoneticPr fontId="0" type="Hiragana"/>
  </si>
  <si>
    <t>75150190.558</t>
    <phoneticPr fontId="0" type="Hiragana"/>
  </si>
  <si>
    <t>75300190.570</t>
    <phoneticPr fontId="0" type="Hiragana"/>
  </si>
  <si>
    <t>200300180126</t>
    <phoneticPr fontId="0" type="Hiragana"/>
  </si>
  <si>
    <t>A35C392</t>
    <phoneticPr fontId="0" type="Hiragana"/>
  </si>
  <si>
    <t>总计</t>
    <phoneticPr fontId="0" type="Hiragana"/>
  </si>
  <si>
    <t>A94</t>
    <phoneticPr fontId="0" type="Hiragana"/>
  </si>
  <si>
    <t>A102</t>
    <phoneticPr fontId="0" type="Hiragana"/>
  </si>
  <si>
    <t>A35</t>
    <phoneticPr fontId="0" type="Hiragana"/>
  </si>
  <si>
    <t>库存</t>
    <phoneticPr fontId="0" type="Hiragana"/>
  </si>
  <si>
    <t>A70</t>
    <phoneticPr fontId="0" type="Hiragana"/>
  </si>
  <si>
    <t>A10</t>
    <phoneticPr fontId="0" type="Hiragana"/>
  </si>
  <si>
    <t>A57</t>
    <phoneticPr fontId="0" type="Hiragana"/>
  </si>
  <si>
    <t>A90</t>
    <phoneticPr fontId="0" type="Hiragana"/>
  </si>
  <si>
    <t>骏马</t>
    <phoneticPr fontId="0" type="Hiragana"/>
  </si>
  <si>
    <t>A88</t>
    <phoneticPr fontId="0" type="Hiragana"/>
  </si>
  <si>
    <t>A5035w</t>
    <phoneticPr fontId="0" type="Hiragana"/>
  </si>
  <si>
    <t>303019023</t>
    <phoneticPr fontId="0" type="Hiragana"/>
  </si>
  <si>
    <t>202014617</t>
    <phoneticPr fontId="0" type="Hiragana"/>
  </si>
  <si>
    <t>303014323</t>
    <phoneticPr fontId="0" type="Hiragana"/>
  </si>
  <si>
    <t>303020023</t>
    <phoneticPr fontId="0" type="Hiragana"/>
  </si>
  <si>
    <t>5050190.537</t>
    <phoneticPr fontId="0" type="Hiragana"/>
  </si>
  <si>
    <t>7575190.543</t>
    <phoneticPr fontId="0" type="Hiragana"/>
  </si>
  <si>
    <t>75200190.562</t>
    <phoneticPr fontId="0" type="Hiragana"/>
  </si>
  <si>
    <t>75300190.570</t>
    <phoneticPr fontId="0" type="Hiragana"/>
  </si>
  <si>
    <t>经纱用量(kg)</t>
    <phoneticPr fontId="0" type="Hiragana"/>
  </si>
  <si>
    <t>纬纱用量(kg)</t>
    <phoneticPr fontId="0" type="Hiragana"/>
  </si>
  <si>
    <t>202014317</t>
    <phoneticPr fontId="0" type="Hiragana"/>
  </si>
  <si>
    <t>305019031</t>
    <phoneticPr fontId="0" type="Hiragana"/>
  </si>
  <si>
    <t>7510018850</t>
    <phoneticPr fontId="0" type="Hiragana"/>
  </si>
  <si>
    <t>10030018886</t>
    <phoneticPr fontId="0" type="Hiragana"/>
  </si>
  <si>
    <t>10020018868</t>
    <phoneticPr fontId="0" type="Hiragana"/>
  </si>
  <si>
    <t>10030018882</t>
    <phoneticPr fontId="0" type="Hiragana"/>
  </si>
  <si>
    <t>10020018880</t>
    <phoneticPr fontId="0" type="Hiragana"/>
  </si>
  <si>
    <t>经</t>
    <phoneticPr fontId="0" type="Hiragana"/>
  </si>
  <si>
    <t>纬</t>
    <phoneticPr fontId="0" type="Hiragana"/>
  </si>
  <si>
    <t>总量(m)</t>
    <phoneticPr fontId="0" type="Hiragana"/>
  </si>
  <si>
    <t>颜色选择</t>
    <phoneticPr fontId="0" type="Hiragana"/>
  </si>
  <si>
    <t>2768</t>
  </si>
  <si>
    <t>89.5</t>
  </si>
  <si>
    <t>20787.68</t>
  </si>
  <si>
    <t>A10B532</t>
    <phoneticPr fontId="0" type="Hiragana"/>
  </si>
  <si>
    <t>A35C393</t>
    <phoneticPr fontId="0" type="Hiragana"/>
  </si>
  <si>
    <t>A90C391</t>
    <phoneticPr fontId="0" type="Hiragana"/>
  </si>
  <si>
    <t>计划单规格</t>
    <phoneticPr fontId="0" type="Hiragana"/>
  </si>
  <si>
    <t>计划花纹</t>
    <phoneticPr fontId="0" type="Hiragana"/>
  </si>
  <si>
    <t>定型/坯布门幅</t>
    <phoneticPr fontId="0" type="Hiragana"/>
  </si>
  <si>
    <t>计划门幅</t>
    <phoneticPr fontId="0" type="Hiragana"/>
  </si>
  <si>
    <t>小w</t>
    <phoneticPr fontId="0" type="Hiragana"/>
  </si>
  <si>
    <t>A5035w</t>
    <phoneticPr fontId="0" type="Hiragana"/>
  </si>
  <si>
    <t>75*150</t>
    <phoneticPr fontId="0" type="Hiragana"/>
  </si>
  <si>
    <t>5050190.537</t>
    <phoneticPr fontId="0" type="Hiragana"/>
  </si>
  <si>
    <t>纬纱用量</t>
  </si>
  <si>
    <t>分类2</t>
    <phoneticPr fontId="0" type="Hiragana"/>
  </si>
  <si>
    <t>分类1</t>
    <phoneticPr fontId="0" type="Hiragana"/>
  </si>
  <si>
    <t>DTY圆机丝DE715536-155/3611.2</t>
  </si>
  <si>
    <t>可用天数</t>
    <phoneticPr fontId="0" type="Hiragana"/>
  </si>
  <si>
    <t>D/89/48/W/AAAA/0DTY圆机丝S2121189/4812.13</t>
  </si>
  <si>
    <t>DTY圆机丝S2121189/488.28</t>
  </si>
  <si>
    <t>D94/36/B/AAA/0DTY圆机丝64009494/3610.52</t>
  </si>
  <si>
    <t>D/130/48/W/AAAA/0DTY圆机丝S21325130/488.26</t>
  </si>
  <si>
    <t>DTY圆机丝S21325130/488.56</t>
  </si>
  <si>
    <t>D/130/48/W/AAAA/0DTY圆机丝32115130/4810.52</t>
  </si>
  <si>
    <t>D/132/48/B/AAAA/0DTY圆机丝84132132/489.0</t>
  </si>
  <si>
    <t>D/172/48/W/AAAA/0DTY圆机丝73003172/487.51</t>
  </si>
  <si>
    <t>D/35/24/W/AAAA/0DTY喷水经丝S21102P35/2416.98</t>
  </si>
  <si>
    <t>D/36/24/B/AAAA/0DTY喷水经丝24003636/2416.24</t>
  </si>
  <si>
    <t>D/55/24/B/AAAA/0DTY喷水经丝24005555/2414.05</t>
  </si>
  <si>
    <t>D89/48/W/AAAA/0DTY喷水经丝S2121189/489.56</t>
  </si>
  <si>
    <t>D/94/36/B/AAAA/0DTY喷水经丝64009494/369.48</t>
  </si>
  <si>
    <t>D/130/48/W/AAAA/0DTY喷水经丝S21325130/487.79</t>
  </si>
  <si>
    <t>D/132/48/B/AAAA/0DTY喷水经丝84132132/487.36</t>
  </si>
  <si>
    <t>D/100/48/W/AAAA/0DTY喷水经丝73003172/488.34</t>
  </si>
  <si>
    <t>D/175/48/B/AAAA/0DTY喷水经丝H-H5121750482175/489.41</t>
  </si>
  <si>
    <t>D/355/96/W/AAAA/0DTY喷水经丝KP12005355/969.09</t>
  </si>
  <si>
    <t>A5035dw</t>
    <phoneticPr fontId="0" type="Hiragana"/>
  </si>
  <si>
    <t>A5035wh</t>
    <phoneticPr fontId="0" type="Hiragana"/>
  </si>
  <si>
    <t>20*20</t>
    <phoneticPr fontId="0" type="Hiragana"/>
  </si>
  <si>
    <t>A88C394</t>
    <phoneticPr fontId="0" type="Hiragana"/>
  </si>
  <si>
    <t>B3023w</t>
    <phoneticPr fontId="0" type="Hiragana"/>
  </si>
  <si>
    <t>B10063dw</t>
  </si>
  <si>
    <t>B10063dw</t>
    <phoneticPr fontId="0" type="Hiragana"/>
  </si>
  <si>
    <t>B10063大W</t>
  </si>
  <si>
    <t>B10063大W</t>
    <phoneticPr fontId="0" type="Hiragana"/>
  </si>
  <si>
    <t>申久</t>
    <phoneticPr fontId="0" type="Hiragana"/>
  </si>
  <si>
    <t>A5032w32</t>
    <phoneticPr fontId="0" type="Hiragana"/>
  </si>
  <si>
    <t>A94</t>
    <phoneticPr fontId="0" type="Hiragana"/>
  </si>
  <si>
    <t>A102</t>
    <phoneticPr fontId="0" type="Hiragana"/>
  </si>
  <si>
    <t>A35</t>
    <phoneticPr fontId="0" type="Hiragana"/>
  </si>
  <si>
    <t>库存</t>
    <phoneticPr fontId="0" type="Hiragana"/>
  </si>
  <si>
    <t>A70</t>
    <phoneticPr fontId="0" type="Hiragana"/>
  </si>
  <si>
    <t>A10</t>
    <phoneticPr fontId="0" type="Hiragana"/>
  </si>
  <si>
    <t>A57</t>
    <phoneticPr fontId="0" type="Hiragana"/>
  </si>
  <si>
    <t>A88</t>
    <phoneticPr fontId="0" type="Hiragana"/>
  </si>
  <si>
    <t>A90</t>
    <phoneticPr fontId="0" type="Hiragana"/>
  </si>
  <si>
    <t>骏马</t>
    <phoneticPr fontId="0" type="Hiragana"/>
  </si>
  <si>
    <t>产品规格</t>
  </si>
  <si>
    <t>织造门幅</t>
  </si>
  <si>
    <t>定型克重</t>
  </si>
  <si>
    <t>定型门幅</t>
  </si>
  <si>
    <t>总经根数</t>
  </si>
  <si>
    <t>纬密</t>
  </si>
  <si>
    <t>经纱类型规格</t>
  </si>
  <si>
    <t>纬纱类型规格</t>
  </si>
  <si>
    <t>筘号</t>
  </si>
  <si>
    <t>布边穿法</t>
  </si>
  <si>
    <t>上机门幅</t>
  </si>
  <si>
    <t>纬密组合</t>
  </si>
  <si>
    <t>经纱重量</t>
  </si>
  <si>
    <t/>
  </si>
  <si>
    <t/>
  </si>
  <si>
    <t/>
  </si>
  <si>
    <t>SD-DTY 15D/12F</t>
  </si>
  <si>
    <t>2*6</t>
  </si>
  <si>
    <t>28*52</t>
  </si>
  <si>
    <t>28*56</t>
  </si>
  <si>
    <t>4544</t>
  </si>
  <si>
    <t>28*50</t>
  </si>
  <si>
    <t>28*53</t>
  </si>
  <si>
    <t>SD-DTY 20D/24F</t>
  </si>
  <si>
    <t>SD-DTY 15D/24F</t>
  </si>
  <si>
    <t>2*30</t>
  </si>
  <si>
    <t>28*62</t>
  </si>
  <si>
    <t>SD-DTY 20D/24F黑</t>
  </si>
  <si>
    <t>SD-DTY 30D/24F</t>
  </si>
  <si>
    <t>30*30-27</t>
  </si>
  <si>
    <t>28*51</t>
  </si>
  <si>
    <t>30*30-23</t>
  </si>
  <si>
    <t>SD-DTY 30D/24F 黑丝</t>
  </si>
  <si>
    <t>56*92</t>
  </si>
  <si>
    <t>SD-DTY 75D/48F</t>
  </si>
  <si>
    <t>SD-DTY 100D/48F</t>
  </si>
  <si>
    <t>56*56</t>
  </si>
  <si>
    <t>SD-DTY 50D/48F</t>
  </si>
  <si>
    <t>1*1</t>
  </si>
  <si>
    <t/>
  </si>
  <si>
    <t>28*48</t>
  </si>
  <si>
    <t>56*73</t>
  </si>
  <si>
    <t>SD-DTY 30D/24F黑</t>
  </si>
  <si>
    <t>SD-DTY 100D/48F黑</t>
  </si>
  <si>
    <t>2*28</t>
  </si>
  <si>
    <t>56*82</t>
  </si>
  <si>
    <t>56*96</t>
  </si>
  <si>
    <t>56*89</t>
  </si>
  <si>
    <t>50*50-41</t>
  </si>
  <si>
    <t>50*100-35</t>
  </si>
  <si>
    <t>2*20</t>
  </si>
  <si>
    <t>56*51</t>
  </si>
  <si>
    <t>提花</t>
  </si>
  <si>
    <t>28*77</t>
  </si>
  <si>
    <t>SD-DTY 50D/48F黑丝</t>
  </si>
  <si>
    <t>SD-DTY 50D/36F</t>
  </si>
  <si>
    <t>56*81</t>
  </si>
  <si>
    <t>SD-DTY 50D/36F黑丝</t>
  </si>
  <si>
    <t>SD-DTY 75D/48F黑丝</t>
  </si>
  <si>
    <t>56*99</t>
  </si>
  <si>
    <t>50*75-50</t>
  </si>
  <si>
    <t/>
  </si>
  <si>
    <t>56*76</t>
  </si>
  <si>
    <t>2*27</t>
  </si>
  <si>
    <t>56*70</t>
  </si>
  <si>
    <t>56*86</t>
  </si>
  <si>
    <t>2*40</t>
  </si>
  <si>
    <t>56*94</t>
  </si>
  <si>
    <t>56*67</t>
  </si>
  <si>
    <t>56*75</t>
  </si>
  <si>
    <t>56*78</t>
  </si>
  <si>
    <t/>
  </si>
  <si>
    <t>75*75-45</t>
  </si>
  <si>
    <t>56*80</t>
  </si>
  <si>
    <t>75*75-47</t>
  </si>
  <si>
    <t>75*100-45</t>
  </si>
  <si>
    <t>56*65</t>
  </si>
  <si>
    <t>SD-DTY 100D/48F黑丝</t>
  </si>
  <si>
    <t>75*100双股</t>
  </si>
  <si>
    <t>SD-DTY 200D/72F</t>
  </si>
  <si>
    <t>56*48</t>
  </si>
  <si>
    <t>SD-DTY 200D/48F</t>
  </si>
  <si>
    <t>56*59</t>
  </si>
  <si>
    <t>56*74</t>
  </si>
  <si>
    <t>56*87</t>
  </si>
  <si>
    <t>SD-DTY 150D/48F</t>
  </si>
  <si>
    <t>56*58</t>
  </si>
  <si>
    <t>SD-DTY 150D/48F黑丝</t>
  </si>
  <si>
    <t>56*63</t>
  </si>
  <si>
    <t>75*150-58</t>
  </si>
  <si>
    <t>56*77</t>
  </si>
  <si>
    <t>75*150双股</t>
  </si>
  <si>
    <t>SD-DTY 300D/72F</t>
  </si>
  <si>
    <t>56*61</t>
  </si>
  <si>
    <t>SD-DTY 150D/48F*2</t>
  </si>
  <si>
    <t>56*46</t>
  </si>
  <si>
    <t>SD-DTY 150D/48F*2黑丝</t>
  </si>
  <si>
    <t>100*150双股</t>
  </si>
  <si>
    <t>56*49</t>
  </si>
  <si>
    <t/>
  </si>
  <si>
    <t>SD-DTY 200D/72F黑丝</t>
  </si>
  <si>
    <t>56*62</t>
  </si>
  <si>
    <t>SD-DTY 300D/96F</t>
  </si>
  <si>
    <t/>
  </si>
  <si>
    <t/>
  </si>
  <si>
    <t/>
  </si>
  <si>
    <t/>
  </si>
  <si>
    <t>100*100-70</t>
  </si>
  <si>
    <t>56*83</t>
  </si>
  <si>
    <t>150*100</t>
  </si>
  <si>
    <t>200*200</t>
  </si>
  <si>
    <t/>
  </si>
  <si>
    <t>56*71</t>
  </si>
  <si>
    <t/>
  </si>
  <si>
    <t/>
  </si>
  <si>
    <t>56*54</t>
  </si>
  <si>
    <t>SD-DTY 200D/96F黑丝</t>
  </si>
  <si>
    <t>56*53</t>
  </si>
  <si>
    <t>100*150</t>
  </si>
  <si>
    <t>56*84</t>
  </si>
  <si>
    <t>100*150-71</t>
  </si>
  <si>
    <t>56*68</t>
  </si>
  <si>
    <t>100*150-60</t>
  </si>
  <si>
    <t>56*64</t>
  </si>
  <si>
    <t>150*200</t>
  </si>
  <si>
    <t>SD-DTY 200D/76F黑丝</t>
  </si>
  <si>
    <t/>
  </si>
  <si>
    <t/>
  </si>
  <si>
    <t>56*50</t>
  </si>
  <si>
    <t>SD-DTY 300D/96F黑丝</t>
  </si>
  <si>
    <t>150*150</t>
  </si>
  <si>
    <t/>
  </si>
  <si>
    <t>SD-DTY 200D/48F黑丝</t>
  </si>
  <si>
    <t>SD-DTY 450D/192F</t>
  </si>
  <si>
    <t>56*72</t>
  </si>
  <si>
    <t>56*60</t>
  </si>
  <si>
    <t>100*100双股</t>
  </si>
  <si>
    <t>56*91</t>
  </si>
  <si>
    <t>56*52</t>
  </si>
  <si>
    <t>30*30再生丝</t>
  </si>
  <si>
    <t>75*75再生丝</t>
  </si>
  <si>
    <t>75*200再生丝</t>
  </si>
  <si>
    <t>75*300再生丝</t>
  </si>
  <si>
    <t>50*75-41</t>
  </si>
  <si>
    <t>30*15</t>
  </si>
  <si>
    <t>10101928</t>
    <phoneticPr fontId="0" type="Hiragana"/>
  </si>
  <si>
    <t>151518913</t>
    <phoneticPr fontId="0" type="Hiragana"/>
  </si>
  <si>
    <t>151520513</t>
    <phoneticPr fontId="0" type="Hiragana"/>
  </si>
  <si>
    <t>151514313</t>
    <phoneticPr fontId="0" type="Hiragana"/>
  </si>
  <si>
    <t>151516213</t>
    <phoneticPr fontId="0" type="Hiragana"/>
  </si>
  <si>
    <t>201519717</t>
    <phoneticPr fontId="0" type="Hiragana"/>
  </si>
  <si>
    <t>202023017</t>
    <phoneticPr fontId="0" type="Hiragana"/>
  </si>
  <si>
    <t>202016017</t>
    <phoneticPr fontId="0" type="Hiragana"/>
  </si>
  <si>
    <t>303016025</t>
    <phoneticPr fontId="0" type="Hiragana"/>
  </si>
  <si>
    <t>303019027</t>
    <phoneticPr fontId="0" type="Hiragana"/>
  </si>
  <si>
    <t>303020123</t>
    <phoneticPr fontId="0" type="Hiragana"/>
  </si>
  <si>
    <t>303015423</t>
    <phoneticPr fontId="0" type="Hiragana"/>
  </si>
  <si>
    <t>7510019142</t>
    <phoneticPr fontId="0" type="Hiragana"/>
  </si>
  <si>
    <t>305014331</t>
    <phoneticPr fontId="0" type="Hiragana"/>
  </si>
  <si>
    <t>3010020040</t>
    <phoneticPr fontId="0" type="Hiragana"/>
  </si>
  <si>
    <t>3010019040</t>
    <phoneticPr fontId="0" type="Hiragana"/>
  </si>
  <si>
    <t>505014335</t>
    <phoneticPr fontId="0" type="Hiragana"/>
  </si>
  <si>
    <t>5050157.535</t>
    <phoneticPr fontId="0" type="Hiragana"/>
  </si>
  <si>
    <t>505022635</t>
    <phoneticPr fontId="0" type="Hiragana"/>
  </si>
  <si>
    <t>505019041</t>
    <phoneticPr fontId="0" type="Hiragana"/>
  </si>
  <si>
    <t>5010019035</t>
    <phoneticPr fontId="0" type="Hiragana"/>
  </si>
  <si>
    <t>505020042</t>
    <phoneticPr fontId="0" type="Hiragana"/>
  </si>
  <si>
    <t>507519047</t>
    <phoneticPr fontId="0" type="Hiragana"/>
  </si>
  <si>
    <t>507519550</t>
    <phoneticPr fontId="0" type="Hiragana"/>
  </si>
  <si>
    <t>5075190.541</t>
    <phoneticPr fontId="0" type="Hiragana"/>
  </si>
  <si>
    <t>757514345</t>
    <phoneticPr fontId="0" type="Hiragana"/>
  </si>
  <si>
    <t>757519045</t>
    <phoneticPr fontId="0" type="Hiragana"/>
  </si>
  <si>
    <t>7575190.547</t>
    <phoneticPr fontId="0" type="Hiragana"/>
  </si>
  <si>
    <t>757515645</t>
    <phoneticPr fontId="0" type="Hiragana"/>
  </si>
  <si>
    <t>757520045</t>
    <phoneticPr fontId="0" type="Hiragana"/>
  </si>
  <si>
    <t>757519043</t>
    <phoneticPr fontId="0" type="Hiragana"/>
  </si>
  <si>
    <t>757518845</t>
    <phoneticPr fontId="0" type="Hiragana"/>
  </si>
  <si>
    <t>757519845</t>
    <phoneticPr fontId="0" type="Hiragana"/>
  </si>
  <si>
    <t>757519047</t>
    <phoneticPr fontId="0" type="Hiragana"/>
  </si>
  <si>
    <t>757519850</t>
    <phoneticPr fontId="0" type="Hiragana"/>
  </si>
  <si>
    <t>75100190.545</t>
    <phoneticPr fontId="0" type="Hiragana"/>
  </si>
  <si>
    <t>7510019050</t>
    <phoneticPr fontId="0" type="Hiragana"/>
  </si>
  <si>
    <t>7510019062</t>
    <phoneticPr fontId="0" type="Hiragana"/>
  </si>
  <si>
    <t>75100190.556</t>
    <phoneticPr fontId="0" type="Hiragana"/>
  </si>
  <si>
    <t>7515019065</t>
    <phoneticPr fontId="0" type="Hiragana"/>
  </si>
  <si>
    <t>7515018858</t>
    <phoneticPr fontId="0" type="Hiragana"/>
  </si>
  <si>
    <t>75150190.586</t>
    <phoneticPr fontId="0" type="Hiragana"/>
  </si>
  <si>
    <t>75150190.576</t>
    <phoneticPr fontId="0" type="Hiragana"/>
  </si>
  <si>
    <t>75150190.570</t>
    <phoneticPr fontId="0" type="Hiragana"/>
  </si>
  <si>
    <t>7515020070</t>
    <phoneticPr fontId="0" type="Hiragana"/>
  </si>
  <si>
    <t>10015019085</t>
    <phoneticPr fontId="0" type="Hiragana"/>
  </si>
  <si>
    <t>7520019065</t>
    <phoneticPr fontId="0" type="Hiragana"/>
  </si>
  <si>
    <t>75300190.582</t>
    <phoneticPr fontId="0" type="Hiragana"/>
  </si>
  <si>
    <t>10010019550</t>
    <phoneticPr fontId="0" type="Hiragana"/>
  </si>
  <si>
    <t>10010015872</t>
    <phoneticPr fontId="0" type="Hiragana"/>
  </si>
  <si>
    <t>10010018857</t>
    <phoneticPr fontId="0" type="Hiragana"/>
  </si>
  <si>
    <t>10010019367</t>
    <phoneticPr fontId="0" type="Hiragana"/>
  </si>
  <si>
    <t>10010019570</t>
    <phoneticPr fontId="0" type="Hiragana"/>
  </si>
  <si>
    <t>15010019668</t>
    <phoneticPr fontId="0" type="Hiragana"/>
  </si>
  <si>
    <t>20020018885</t>
    <phoneticPr fontId="0" type="Hiragana"/>
  </si>
  <si>
    <t>200200188103</t>
    <phoneticPr fontId="0" type="Hiragana"/>
  </si>
  <si>
    <t>10020019564</t>
    <phoneticPr fontId="0" type="Hiragana"/>
  </si>
  <si>
    <t>10020020864</t>
    <phoneticPr fontId="0" type="Hiragana"/>
  </si>
  <si>
    <t>10015018868</t>
    <phoneticPr fontId="0" type="Hiragana"/>
  </si>
  <si>
    <t>10015018876</t>
    <phoneticPr fontId="0" type="Hiragana"/>
  </si>
  <si>
    <t>10015019071</t>
    <phoneticPr fontId="0" type="Hiragana"/>
  </si>
  <si>
    <t>10015019060</t>
    <phoneticPr fontId="0" type="Hiragana"/>
  </si>
  <si>
    <t>10020018876</t>
    <phoneticPr fontId="0" type="Hiragana"/>
  </si>
  <si>
    <t>10030019085</t>
    <phoneticPr fontId="0" type="Hiragana"/>
  </si>
  <si>
    <t>10030019090</t>
    <phoneticPr fontId="0" type="Hiragana"/>
  </si>
  <si>
    <t>15015019672</t>
    <phoneticPr fontId="0" type="Hiragana"/>
  </si>
  <si>
    <t>150150203.572</t>
    <phoneticPr fontId="0" type="Hiragana"/>
  </si>
  <si>
    <t>15015018884</t>
    <phoneticPr fontId="0" type="Hiragana"/>
  </si>
  <si>
    <t>15030019594</t>
    <phoneticPr fontId="0" type="Hiragana"/>
  </si>
  <si>
    <t>200300180140</t>
    <phoneticPr fontId="0" type="Hiragana"/>
  </si>
  <si>
    <t>200300180145</t>
    <phoneticPr fontId="0" type="Hiragana"/>
  </si>
  <si>
    <t>200300180155</t>
    <phoneticPr fontId="0" type="Hiragana"/>
  </si>
  <si>
    <t>3010018940</t>
    <phoneticPr fontId="0" type="Hiragana"/>
  </si>
  <si>
    <t>7510018950</t>
    <phoneticPr fontId="0" type="Hiragana"/>
  </si>
  <si>
    <t>10010018953</t>
    <phoneticPr fontId="0" type="Hiragana"/>
  </si>
  <si>
    <t>10010018965</t>
    <phoneticPr fontId="0" type="Hiragana"/>
  </si>
  <si>
    <t>7515018970</t>
    <phoneticPr fontId="0" type="Hiragana"/>
  </si>
  <si>
    <t>10015018982</t>
    <phoneticPr fontId="0" type="Hiragana"/>
  </si>
  <si>
    <t>757519046</t>
    <phoneticPr fontId="0" type="Hiragana"/>
  </si>
  <si>
    <t>7520019060</t>
    <phoneticPr fontId="0" type="Hiragana"/>
  </si>
  <si>
    <t>7530019067</t>
    <phoneticPr fontId="0" type="Hiragana"/>
  </si>
  <si>
    <t>7530019078</t>
    <phoneticPr fontId="0" type="Hiragana"/>
  </si>
  <si>
    <t>A90C341</t>
    <phoneticPr fontId="0" type="Hiragana"/>
  </si>
  <si>
    <t>507514341</t>
    <phoneticPr fontId="0" type="Hiragana"/>
  </si>
  <si>
    <t>301514319</t>
    <phoneticPr fontId="0" type="Hiragana"/>
  </si>
  <si>
    <t>30*30</t>
    <phoneticPr fontId="0" type="Hiragana"/>
  </si>
  <si>
    <t>303020023</t>
    <phoneticPr fontId="0" type="Hiragana"/>
  </si>
  <si>
    <t>B10063dw</t>
    <phoneticPr fontId="0" type="Hiragana"/>
  </si>
  <si>
    <t>202019717</t>
    <phoneticPr fontId="0" type="Hiragana"/>
  </si>
  <si>
    <t>303020023</t>
    <phoneticPr fontId="0" type="Hiragana"/>
  </si>
  <si>
    <t>505019035</t>
    <phoneticPr fontId="0" type="Hiragana"/>
  </si>
  <si>
    <t>507519044</t>
    <phoneticPr fontId="0" type="Hiragana"/>
  </si>
  <si>
    <t>75300190.570</t>
    <phoneticPr fontId="0" type="Hiragana"/>
  </si>
  <si>
    <t>7575190.543</t>
    <phoneticPr fontId="0" type="Hiragana"/>
  </si>
  <si>
    <t>303019023</t>
    <phoneticPr fontId="0" type="Hiragana"/>
  </si>
  <si>
    <t>A88C396</t>
    <phoneticPr fontId="0" type="Hiragana"/>
  </si>
  <si>
    <t>34大W高温</t>
    <phoneticPr fontId="0" type="Hiragana"/>
  </si>
  <si>
    <t>A90C395</t>
    <phoneticPr fontId="0" type="Hiragana"/>
  </si>
  <si>
    <t>26-28</t>
  </si>
  <si>
    <t>30-28</t>
  </si>
  <si>
    <t>白</t>
    <phoneticPr fontId="0" type="Hiragana"/>
  </si>
  <si>
    <t>尺针</t>
  </si>
  <si>
    <t>品名</t>
    <phoneticPr fontId="0" type="Hiragana"/>
  </si>
  <si>
    <t>小w</t>
    <phoneticPr fontId="0" type="Hiragana"/>
  </si>
  <si>
    <t>本白</t>
    <phoneticPr fontId="0" type="Hiragana"/>
  </si>
  <si>
    <t>C5034wh</t>
  </si>
  <si>
    <t>30-24</t>
    <phoneticPr fontId="0" type="Hiragana"/>
  </si>
  <si>
    <t>A5032dw</t>
  </si>
  <si>
    <t>30-20</t>
    <phoneticPr fontId="0" type="Hiragana"/>
  </si>
  <si>
    <t>30-32</t>
    <phoneticPr fontId="0" type="Hiragana"/>
  </si>
  <si>
    <t>XSDC384</t>
    <phoneticPr fontId="0" type="Hiragana"/>
  </si>
  <si>
    <t>A5035wh</t>
    <phoneticPr fontId="0" type="Hiragana"/>
  </si>
  <si>
    <t>A21B518</t>
    <phoneticPr fontId="0" type="Hiragana"/>
  </si>
  <si>
    <t>A5032大W</t>
  </si>
  <si>
    <t>A5042w</t>
    <phoneticPr fontId="0" type="Hiragana"/>
  </si>
  <si>
    <t>A5035w</t>
    <phoneticPr fontId="0" type="Hiragana"/>
  </si>
  <si>
    <t>A21B518</t>
    <phoneticPr fontId="0" type="Hiragana"/>
  </si>
  <si>
    <t>A5032W</t>
    <phoneticPr fontId="0" type="Hiragana"/>
  </si>
  <si>
    <t>黑</t>
    <phoneticPr fontId="0" type="Hiragana"/>
  </si>
  <si>
    <t>A5035wh</t>
    <phoneticPr fontId="0" type="Hiragana"/>
  </si>
  <si>
    <t>黑丝</t>
    <phoneticPr fontId="0" type="Hiragana"/>
  </si>
  <si>
    <t>漂白</t>
    <phoneticPr fontId="0" type="Hiragana"/>
  </si>
  <si>
    <t>A5038w</t>
    <phoneticPr fontId="0" type="Hiragana"/>
  </si>
  <si>
    <t>白</t>
    <phoneticPr fontId="0" type="Hiragana"/>
  </si>
  <si>
    <t>本白</t>
    <phoneticPr fontId="0" type="Hiragana"/>
  </si>
  <si>
    <t>黑丝</t>
    <phoneticPr fontId="0" type="Hiragana"/>
  </si>
  <si>
    <t>黑色</t>
    <phoneticPr fontId="0" type="Hiragana"/>
  </si>
  <si>
    <t>漂白</t>
    <phoneticPr fontId="0" type="Hiragana"/>
  </si>
  <si>
    <t>灰色</t>
    <phoneticPr fontId="0" type="Hiragana"/>
  </si>
  <si>
    <t>B10063dw</t>
    <phoneticPr fontId="0" type="Hiragana"/>
  </si>
  <si>
    <t>A5035w</t>
    <phoneticPr fontId="0" type="Hiragana"/>
  </si>
  <si>
    <t>a5035wh</t>
    <phoneticPr fontId="0" type="Hiragana"/>
  </si>
  <si>
    <t>B5036Wgw</t>
    <phoneticPr fontId="0" type="Hiragana"/>
  </si>
  <si>
    <t>A10B532</t>
    <phoneticPr fontId="0" type="Hiragana"/>
  </si>
  <si>
    <t>C7542Wb</t>
    <phoneticPr fontId="0" type="Hiragana"/>
  </si>
  <si>
    <t>B7550大W</t>
    <phoneticPr fontId="0" type="Hiragana"/>
  </si>
  <si>
    <t>B7550dW</t>
    <phoneticPr fontId="0" type="Hiragana"/>
  </si>
  <si>
    <t>A90C395</t>
    <phoneticPr fontId="0" type="Hiragana"/>
  </si>
  <si>
    <t>A88C394</t>
    <phoneticPr fontId="0" type="Hiragana"/>
  </si>
  <si>
    <t>A5036斜乱平纹</t>
    <phoneticPr fontId="0" type="Hiragana"/>
  </si>
  <si>
    <t>A5036xl</t>
    <phoneticPr fontId="0" type="Hiragana"/>
  </si>
  <si>
    <t>合同号</t>
    <phoneticPr fontId="0" type="Hiragana"/>
  </si>
  <si>
    <t>定型
克重</t>
    <phoneticPr fontId="0" type="Hiragana"/>
  </si>
  <si>
    <t>定型
门幅</t>
    <phoneticPr fontId="0" type="Hiragana"/>
  </si>
  <si>
    <t>需求
重量</t>
    <phoneticPr fontId="0" type="Hiragana"/>
  </si>
  <si>
    <t>库存
(kg)</t>
    <phoneticPr fontId="0" type="Hiragana"/>
  </si>
  <si>
    <t>需织造
(kg)</t>
    <phoneticPr fontId="0" type="Hiragana"/>
  </si>
  <si>
    <t>日产量
(kg)</t>
    <phoneticPr fontId="0" type="Hiragana"/>
  </si>
  <si>
    <t>织造
天数</t>
    <phoneticPr fontId="0" type="Hiragana"/>
  </si>
  <si>
    <t>订单
数量(m)</t>
    <phoneticPr fontId="0" type="Hiragana"/>
  </si>
  <si>
    <t>A35</t>
    <phoneticPr fontId="0" type="Hiragana"/>
  </si>
  <si>
    <t>A94</t>
    <phoneticPr fontId="0" type="Hiragana"/>
  </si>
  <si>
    <t>库存</t>
    <phoneticPr fontId="0" type="Hiragana"/>
  </si>
  <si>
    <t>A10</t>
    <phoneticPr fontId="0" type="Hiragana"/>
  </si>
  <si>
    <t>A57</t>
    <phoneticPr fontId="0" type="Hiragana"/>
  </si>
  <si>
    <t>A88</t>
    <phoneticPr fontId="0" type="Hiragana"/>
  </si>
  <si>
    <t>A90</t>
    <phoneticPr fontId="0" type="Hiragana"/>
  </si>
  <si>
    <t>骏马</t>
    <phoneticPr fontId="0" type="Hiragana"/>
  </si>
  <si>
    <t>A70</t>
    <phoneticPr fontId="0" type="Hiragana"/>
  </si>
  <si>
    <t>实际
件数</t>
    <phoneticPr fontId="0" type="Hiragana"/>
  </si>
  <si>
    <t>已完成
件数</t>
    <phoneticPr fontId="0" type="Hiragana"/>
  </si>
  <si>
    <t>KD/350/96/120/H/W/30/18/AAA</t>
  </si>
  <si>
    <t>200D皇室编</t>
  </si>
  <si>
    <t>皇室编</t>
  </si>
  <si>
    <t>TL2059ZC-40</t>
  </si>
  <si>
    <t>200D乱花布</t>
  </si>
  <si>
    <t>乱花布</t>
  </si>
  <si>
    <t>10.36</t>
  </si>
  <si>
    <t>259</t>
  </si>
  <si>
    <t>80.8</t>
  </si>
  <si>
    <t>2047.472</t>
  </si>
  <si>
    <t>50D四面弹</t>
  </si>
  <si>
    <t>威尔外发</t>
  </si>
  <si>
    <t>75-30-20</t>
  </si>
  <si>
    <t>10.03</t>
  </si>
  <si>
    <t>36</t>
  </si>
  <si>
    <t>KD/89/48/40/4/W/30/28/AAA</t>
  </si>
  <si>
    <t>KD/172/48/63/5/W/30/24/AAA</t>
  </si>
  <si>
    <t>KD/130/48/43/5/W/30/24/AAA</t>
  </si>
  <si>
    <t>KD/30/24/23/2/W/30/32/AAA</t>
  </si>
  <si>
    <t>41.4</t>
  </si>
  <si>
    <t>KD89/48/34/4/B/26/28/A</t>
  </si>
  <si>
    <t>512.946</t>
  </si>
  <si>
    <t>491.8</t>
  </si>
  <si>
    <t>7544.212</t>
  </si>
  <si>
    <t>库存
件数</t>
    <phoneticPr fontId="0" type="Hiragana"/>
  </si>
  <si>
    <t>C5034wh</t>
    <phoneticPr fontId="0" type="Hiragana"/>
  </si>
  <si>
    <t>D/167/48/B/AAAA/0</t>
  </si>
  <si>
    <t>J-HQ1674811</t>
  </si>
  <si>
    <t>9.83</t>
  </si>
  <si>
    <t>1872</t>
  </si>
  <si>
    <t>17147.52</t>
  </si>
  <si>
    <t>240</t>
  </si>
  <si>
    <t>D/89/48/W/AAAA/0DTY圆机丝S2121189/4811.95</t>
  </si>
  <si>
    <t>A102</t>
    <phoneticPr fontId="1" type="noConversion"/>
  </si>
  <si>
    <t>A35</t>
  </si>
  <si>
    <t>A35</t>
    <phoneticPr fontId="1" type="noConversion"/>
  </si>
  <si>
    <t>A94</t>
    <phoneticPr fontId="1" type="noConversion"/>
  </si>
  <si>
    <t>库存</t>
    <phoneticPr fontId="1" type="noConversion"/>
  </si>
  <si>
    <t>A10</t>
    <phoneticPr fontId="1" type="noConversion"/>
  </si>
  <si>
    <t>A57</t>
    <phoneticPr fontId="1" type="noConversion"/>
  </si>
  <si>
    <t>A88</t>
    <phoneticPr fontId="1" type="noConversion"/>
  </si>
  <si>
    <t>A90</t>
    <phoneticPr fontId="1" type="noConversion"/>
  </si>
  <si>
    <t>A21</t>
    <phoneticPr fontId="1" type="noConversion"/>
  </si>
  <si>
    <t>骏马</t>
    <phoneticPr fontId="1" type="noConversion"/>
  </si>
  <si>
    <t>A70</t>
    <phoneticPr fontId="1" type="noConversion"/>
  </si>
  <si>
    <t>每日产量</t>
    <phoneticPr fontId="1" type="noConversion"/>
  </si>
  <si>
    <t>C7542大W 白丝</t>
    <phoneticPr fontId="1" type="noConversion"/>
  </si>
  <si>
    <t>白高温</t>
    <phoneticPr fontId="1" type="noConversion"/>
  </si>
  <si>
    <t>机台</t>
    <phoneticPr fontId="1" type="noConversion"/>
  </si>
  <si>
    <t>C7542Wb</t>
    <phoneticPr fontId="1" type="noConversion"/>
  </si>
  <si>
    <t>C5034w</t>
    <phoneticPr fontId="1" type="noConversion"/>
  </si>
  <si>
    <t>84</t>
  </si>
  <si>
    <t>KD/89/48/36/5/W/30/24/AAA</t>
  </si>
  <si>
    <t>KD/130/48/50/5/W/30/24/AAA</t>
  </si>
  <si>
    <t>C7542大W高温</t>
    <phoneticPr fontId="1" type="noConversion"/>
  </si>
  <si>
    <t>代码</t>
    <phoneticPr fontId="1" type="noConversion"/>
  </si>
  <si>
    <t>B5034W</t>
    <phoneticPr fontId="1" type="noConversion"/>
  </si>
  <si>
    <t>B5034大W高温</t>
    <phoneticPr fontId="1" type="noConversion"/>
  </si>
  <si>
    <t>B5036大W高温</t>
    <phoneticPr fontId="1" type="noConversion"/>
  </si>
  <si>
    <t>大圆机</t>
    <phoneticPr fontId="1" type="noConversion"/>
  </si>
  <si>
    <t>白</t>
    <phoneticPr fontId="1" type="noConversion"/>
  </si>
  <si>
    <t>A5032w</t>
    <phoneticPr fontId="1" type="noConversion"/>
  </si>
  <si>
    <t>上机日期</t>
    <phoneticPr fontId="0" type="Hiragana"/>
  </si>
  <si>
    <t>多个客户等级库存表中引入数据时未区分</t>
    <phoneticPr fontId="1" type="noConversion"/>
  </si>
  <si>
    <t>白</t>
    <phoneticPr fontId="1" type="noConversion"/>
  </si>
  <si>
    <t>长乐</t>
    <phoneticPr fontId="1" type="noConversion"/>
  </si>
  <si>
    <t>A5035w32</t>
  </si>
  <si>
    <t>A5035w32</t>
    <phoneticPr fontId="1" type="noConversion"/>
  </si>
  <si>
    <t>A5035w 32针</t>
    <phoneticPr fontId="1" type="noConversion"/>
  </si>
  <si>
    <t>A5035dw</t>
    <phoneticPr fontId="1" type="noConversion"/>
  </si>
  <si>
    <t>C5040w</t>
    <phoneticPr fontId="0" type="Hiragana"/>
  </si>
  <si>
    <t>序号</t>
    <phoneticPr fontId="1" type="noConversion"/>
  </si>
  <si>
    <t>问题</t>
    <phoneticPr fontId="1" type="noConversion"/>
  </si>
  <si>
    <t>问题表</t>
    <phoneticPr fontId="1" type="noConversion"/>
  </si>
  <si>
    <t>计划表汇总表</t>
    <phoneticPr fontId="1" type="noConversion"/>
  </si>
  <si>
    <t>同一坯布未合并归类</t>
    <phoneticPr fontId="1" type="noConversion"/>
  </si>
  <si>
    <t>原丝库存表</t>
    <phoneticPr fontId="1" type="noConversion"/>
  </si>
  <si>
    <t>A5042w</t>
    <phoneticPr fontId="1" type="noConversion"/>
  </si>
  <si>
    <t>A5038w</t>
    <phoneticPr fontId="1" type="noConversion"/>
  </si>
  <si>
    <t>圆机代码</t>
    <phoneticPr fontId="0" type="Hiragana"/>
  </si>
  <si>
    <t>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</t>
    <phoneticPr fontId="0" type="Hiragana"/>
  </si>
  <si>
    <t>漂白</t>
    <phoneticPr fontId="1" type="noConversion"/>
  </si>
  <si>
    <t>XSDC398</t>
    <phoneticPr fontId="1" type="noConversion"/>
  </si>
  <si>
    <t>灰色</t>
    <phoneticPr fontId="1" type="noConversion"/>
  </si>
  <si>
    <t>黑色</t>
    <phoneticPr fontId="1" type="noConversion"/>
  </si>
  <si>
    <t>A5034xl</t>
    <phoneticPr fontId="1" type="noConversion"/>
  </si>
  <si>
    <t>313.6</t>
  </si>
  <si>
    <t>3957.632</t>
  </si>
  <si>
    <t>B7550dw</t>
  </si>
  <si>
    <t>B7550dw</t>
    <phoneticPr fontId="0" type="Hiragana"/>
  </si>
  <si>
    <t>B7550大W</t>
    <phoneticPr fontId="1" type="noConversion"/>
  </si>
  <si>
    <t>50大W</t>
    <phoneticPr fontId="1" type="noConversion"/>
  </si>
  <si>
    <t>48斜乱平纹</t>
    <phoneticPr fontId="1" type="noConversion"/>
  </si>
  <si>
    <t>B7550dw</t>
    <phoneticPr fontId="1" type="noConversion"/>
  </si>
  <si>
    <t>总计</t>
    <phoneticPr fontId="1" type="noConversion"/>
  </si>
  <si>
    <t>产量
（kg）</t>
    <phoneticPr fontId="0" type="Hiragana"/>
  </si>
  <si>
    <t>A5035w</t>
    <phoneticPr fontId="1" type="noConversion"/>
  </si>
  <si>
    <t>A5035wh</t>
    <phoneticPr fontId="1" type="noConversion"/>
  </si>
  <si>
    <t>黑丝</t>
    <phoneticPr fontId="1" type="noConversion"/>
  </si>
  <si>
    <t>A45B535</t>
    <phoneticPr fontId="1" type="noConversion"/>
  </si>
  <si>
    <t>外购东华</t>
  </si>
  <si>
    <t>13.59</t>
  </si>
  <si>
    <t>东华外购</t>
  </si>
  <si>
    <t>B7550dW</t>
    <phoneticPr fontId="1" type="noConversion"/>
  </si>
  <si>
    <t>分类</t>
    <phoneticPr fontId="1" type="noConversion"/>
  </si>
  <si>
    <t>15</t>
  </si>
  <si>
    <t>26</t>
  </si>
  <si>
    <t>B3023l</t>
    <phoneticPr fontId="1" type="noConversion"/>
  </si>
  <si>
    <t>A94B542</t>
    <phoneticPr fontId="1" type="noConversion"/>
  </si>
  <si>
    <t>A7548xl</t>
    <phoneticPr fontId="1" type="noConversion"/>
  </si>
  <si>
    <t>当前耗量</t>
    <phoneticPr fontId="1" type="noConversion"/>
  </si>
  <si>
    <t>A35C400</t>
    <phoneticPr fontId="1" type="noConversion"/>
  </si>
  <si>
    <t>计划单需求量</t>
    <phoneticPr fontId="1" type="noConversion"/>
  </si>
  <si>
    <t>备注</t>
    <phoneticPr fontId="1" type="noConversion"/>
  </si>
  <si>
    <t>20525.04</t>
  </si>
  <si>
    <t>坯布规格</t>
  </si>
  <si>
    <t>经丝</t>
  </si>
  <si>
    <t>纬丝</t>
  </si>
  <si>
    <t>头份</t>
  </si>
  <si>
    <t>白</t>
    <phoneticPr fontId="1" type="noConversion"/>
  </si>
  <si>
    <t>代码</t>
    <phoneticPr fontId="1" type="noConversion"/>
  </si>
  <si>
    <t>UID</t>
    <phoneticPr fontId="1" type="noConversion"/>
  </si>
  <si>
    <t>15*15</t>
    <phoneticPr fontId="1" type="noConversion"/>
  </si>
  <si>
    <t>1/1</t>
    <phoneticPr fontId="1" type="noConversion"/>
  </si>
  <si>
    <t>28*53</t>
    <phoneticPr fontId="1" type="noConversion"/>
  </si>
  <si>
    <t>经纱用量</t>
    <phoneticPr fontId="1" type="noConversion"/>
  </si>
  <si>
    <t>20*20</t>
    <phoneticPr fontId="1" type="noConversion"/>
  </si>
  <si>
    <t>30*30</t>
    <phoneticPr fontId="1" type="noConversion"/>
  </si>
  <si>
    <t>28*50</t>
    <phoneticPr fontId="1" type="noConversion"/>
  </si>
  <si>
    <t>28*46</t>
    <phoneticPr fontId="1" type="noConversion"/>
  </si>
  <si>
    <t>28*47</t>
    <phoneticPr fontId="1" type="noConversion"/>
  </si>
  <si>
    <t>筘号</t>
    <phoneticPr fontId="1" type="noConversion"/>
  </si>
  <si>
    <t>28*48</t>
    <phoneticPr fontId="1" type="noConversion"/>
  </si>
  <si>
    <t>2/2</t>
    <phoneticPr fontId="1" type="noConversion"/>
  </si>
  <si>
    <t>28*51</t>
    <phoneticPr fontId="1" type="noConversion"/>
  </si>
  <si>
    <t>151519713</t>
  </si>
  <si>
    <t>75150190.554</t>
  </si>
  <si>
    <t>75100190.550</t>
  </si>
  <si>
    <t>151519713</t>
    <phoneticPr fontId="1" type="noConversion"/>
  </si>
  <si>
    <t>202019717</t>
  </si>
  <si>
    <t>202019717</t>
    <phoneticPr fontId="1" type="noConversion"/>
  </si>
  <si>
    <t>202014617</t>
  </si>
  <si>
    <t>202014617</t>
    <phoneticPr fontId="1" type="noConversion"/>
  </si>
  <si>
    <t>303014323</t>
  </si>
  <si>
    <t>303014323</t>
    <phoneticPr fontId="1" type="noConversion"/>
  </si>
  <si>
    <t>303019023</t>
  </si>
  <si>
    <t>303019023</t>
    <phoneticPr fontId="1" type="noConversion"/>
  </si>
  <si>
    <t>303019223</t>
  </si>
  <si>
    <t>303019223</t>
    <phoneticPr fontId="1" type="noConversion"/>
  </si>
  <si>
    <t>303020023</t>
  </si>
  <si>
    <t>303020023</t>
    <phoneticPr fontId="1" type="noConversion"/>
  </si>
  <si>
    <t>303020123</t>
  </si>
  <si>
    <t>303020123</t>
    <phoneticPr fontId="1" type="noConversion"/>
  </si>
  <si>
    <t>5050190.537</t>
  </si>
  <si>
    <t>5050190.537</t>
    <phoneticPr fontId="1" type="noConversion"/>
  </si>
  <si>
    <t>50*50</t>
    <phoneticPr fontId="1" type="noConversion"/>
  </si>
  <si>
    <t>56*89</t>
    <phoneticPr fontId="1" type="noConversion"/>
  </si>
  <si>
    <t>505019035</t>
  </si>
  <si>
    <t>505019035</t>
    <phoneticPr fontId="1" type="noConversion"/>
  </si>
  <si>
    <t>56*86</t>
    <phoneticPr fontId="1" type="noConversion"/>
  </si>
  <si>
    <t>56*96</t>
    <phoneticPr fontId="1" type="noConversion"/>
  </si>
  <si>
    <t>507519044</t>
  </si>
  <si>
    <t>507519044</t>
    <phoneticPr fontId="1" type="noConversion"/>
  </si>
  <si>
    <t>50*75</t>
    <phoneticPr fontId="1" type="noConversion"/>
  </si>
  <si>
    <t>56*81</t>
    <phoneticPr fontId="1" type="noConversion"/>
  </si>
  <si>
    <t>75*100</t>
    <phoneticPr fontId="1" type="noConversion"/>
  </si>
  <si>
    <t>56*77</t>
    <phoneticPr fontId="1" type="noConversion"/>
  </si>
  <si>
    <t>75*150</t>
    <phoneticPr fontId="1" type="noConversion"/>
  </si>
  <si>
    <t>56*58</t>
    <phoneticPr fontId="1" type="noConversion"/>
  </si>
  <si>
    <t>75150190.558</t>
  </si>
  <si>
    <t>56*63</t>
    <phoneticPr fontId="1" type="noConversion"/>
  </si>
  <si>
    <t>黑</t>
    <phoneticPr fontId="1" type="noConversion"/>
  </si>
  <si>
    <t>56*56</t>
    <phoneticPr fontId="1" type="noConversion"/>
  </si>
  <si>
    <t>75*200</t>
    <phoneticPr fontId="1" type="noConversion"/>
  </si>
  <si>
    <t>75*300</t>
    <phoneticPr fontId="1" type="noConversion"/>
  </si>
  <si>
    <t>75*75</t>
    <phoneticPr fontId="1" type="noConversion"/>
  </si>
  <si>
    <t>56*78</t>
    <phoneticPr fontId="1" type="noConversion"/>
  </si>
  <si>
    <t>100*100</t>
    <phoneticPr fontId="1" type="noConversion"/>
  </si>
  <si>
    <t>100*300</t>
    <phoneticPr fontId="1" type="noConversion"/>
  </si>
  <si>
    <t>56*68</t>
    <phoneticPr fontId="1" type="noConversion"/>
  </si>
  <si>
    <t>200*300</t>
    <phoneticPr fontId="1" type="noConversion"/>
  </si>
  <si>
    <t>56*82</t>
    <phoneticPr fontId="1" type="noConversion"/>
  </si>
  <si>
    <t>56*50</t>
    <phoneticPr fontId="1" type="noConversion"/>
  </si>
  <si>
    <t>56*59</t>
    <phoneticPr fontId="1" type="noConversion"/>
  </si>
  <si>
    <t>56*75</t>
    <phoneticPr fontId="1" type="noConversion"/>
  </si>
  <si>
    <t>56*64</t>
    <phoneticPr fontId="1" type="noConversion"/>
  </si>
  <si>
    <t>200300180135</t>
  </si>
  <si>
    <t>7515018854</t>
  </si>
  <si>
    <t>75200190.562</t>
  </si>
  <si>
    <t>75300190.570</t>
  </si>
  <si>
    <t>7575190.543</t>
  </si>
  <si>
    <t>10010018854</t>
  </si>
  <si>
    <t>10030018896</t>
  </si>
  <si>
    <t>200300180116</t>
  </si>
  <si>
    <t>200300180106</t>
  </si>
  <si>
    <t>200300180126</t>
  </si>
  <si>
    <t>5050190.537</t>
    <phoneticPr fontId="1" type="noConversion"/>
  </si>
  <si>
    <t>2/2</t>
    <phoneticPr fontId="1" type="noConversion"/>
  </si>
  <si>
    <t>A94B536</t>
    <phoneticPr fontId="1" type="noConversion"/>
  </si>
  <si>
    <t>合同号</t>
    <phoneticPr fontId="1" type="noConversion"/>
  </si>
  <si>
    <t>客户</t>
    <phoneticPr fontId="1" type="noConversion"/>
  </si>
  <si>
    <t>柜号</t>
    <phoneticPr fontId="1" type="noConversion"/>
  </si>
  <si>
    <t>等级</t>
    <phoneticPr fontId="1" type="noConversion"/>
  </si>
  <si>
    <t>订单数量</t>
    <phoneticPr fontId="1" type="noConversion"/>
  </si>
  <si>
    <t>坯布需求</t>
    <phoneticPr fontId="1" type="noConversion"/>
  </si>
  <si>
    <t>A94B536</t>
    <phoneticPr fontId="1" type="noConversion"/>
  </si>
  <si>
    <t>7575190.543</t>
    <phoneticPr fontId="1" type="noConversion"/>
  </si>
  <si>
    <t>75150190.558</t>
    <phoneticPr fontId="1" type="noConversion"/>
  </si>
  <si>
    <t>经纱</t>
    <phoneticPr fontId="1" type="noConversion"/>
  </si>
  <si>
    <t>纬纱</t>
    <phoneticPr fontId="1" type="noConversion"/>
  </si>
  <si>
    <t>本白</t>
    <phoneticPr fontId="1" type="noConversion"/>
  </si>
  <si>
    <t>A186B522</t>
    <phoneticPr fontId="1" type="noConversion"/>
  </si>
  <si>
    <t>7575190.545</t>
    <phoneticPr fontId="1" type="noConversion"/>
  </si>
  <si>
    <t>7575190.545</t>
    <phoneticPr fontId="1" type="noConversion"/>
  </si>
  <si>
    <t>757518845</t>
    <phoneticPr fontId="1" type="noConversion"/>
  </si>
  <si>
    <t>757518845</t>
    <phoneticPr fontId="1" type="noConversion"/>
  </si>
  <si>
    <t>A192B496</t>
    <phoneticPr fontId="1" type="noConversion"/>
  </si>
  <si>
    <t>75150190.558</t>
    <phoneticPr fontId="1" type="noConversion"/>
  </si>
  <si>
    <t>7515018858</t>
    <phoneticPr fontId="1" type="noConversion"/>
  </si>
  <si>
    <t>7515018858</t>
    <phoneticPr fontId="1" type="noConversion"/>
  </si>
  <si>
    <t>B3023lhl</t>
  </si>
  <si>
    <t>B3023lhl</t>
    <phoneticPr fontId="0" type="Hiragana"/>
  </si>
  <si>
    <t>恒力</t>
    <phoneticPr fontId="0" type="Hiragana"/>
  </si>
  <si>
    <t>B3023wyy</t>
  </si>
  <si>
    <t>B3023wyy</t>
    <phoneticPr fontId="0" type="Hiragana"/>
  </si>
  <si>
    <t>B3023l</t>
    <phoneticPr fontId="1" type="noConversion"/>
  </si>
  <si>
    <t>58708.99</t>
  </si>
  <si>
    <t>54000</t>
  </si>
  <si>
    <t>200</t>
  </si>
  <si>
    <t>62848.8</t>
  </si>
  <si>
    <t>4053.6</t>
  </si>
  <si>
    <t>10020018878</t>
    <phoneticPr fontId="1" type="noConversion"/>
  </si>
  <si>
    <t>10020018878</t>
    <phoneticPr fontId="1" type="noConversion"/>
  </si>
  <si>
    <t>100*200</t>
    <phoneticPr fontId="1" type="noConversion"/>
  </si>
  <si>
    <t>10030018886</t>
    <phoneticPr fontId="1" type="noConversion"/>
  </si>
  <si>
    <t>10030018886</t>
    <phoneticPr fontId="1" type="noConversion"/>
  </si>
  <si>
    <t>15030018096</t>
    <phoneticPr fontId="1" type="noConversion"/>
  </si>
  <si>
    <t>56*55</t>
    <phoneticPr fontId="1" type="noConversion"/>
  </si>
  <si>
    <t>15030018096</t>
    <phoneticPr fontId="1" type="noConversion"/>
  </si>
  <si>
    <t>150*300</t>
    <phoneticPr fontId="1" type="noConversion"/>
  </si>
  <si>
    <t>坯布克重</t>
    <phoneticPr fontId="1" type="noConversion"/>
  </si>
  <si>
    <t>150300180106</t>
    <phoneticPr fontId="1" type="noConversion"/>
  </si>
  <si>
    <t>150300180106</t>
    <phoneticPr fontId="1" type="noConversion"/>
  </si>
  <si>
    <t>200300180116</t>
    <phoneticPr fontId="1" type="noConversion"/>
  </si>
  <si>
    <t>200300180126</t>
    <phoneticPr fontId="1" type="noConversion"/>
  </si>
  <si>
    <t>200300180126</t>
    <phoneticPr fontId="1" type="noConversion"/>
  </si>
  <si>
    <t>A28B527</t>
    <phoneticPr fontId="1" type="noConversion"/>
  </si>
  <si>
    <t>7520018862</t>
    <phoneticPr fontId="1" type="noConversion"/>
  </si>
  <si>
    <t>7520018862</t>
    <phoneticPr fontId="1" type="noConversion"/>
  </si>
  <si>
    <t>10020018886</t>
    <phoneticPr fontId="1" type="noConversion"/>
  </si>
  <si>
    <t>10020018886</t>
    <phoneticPr fontId="1" type="noConversion"/>
  </si>
  <si>
    <t>10030018096</t>
    <phoneticPr fontId="1" type="noConversion"/>
  </si>
  <si>
    <t>10030018096</t>
    <phoneticPr fontId="1" type="noConversion"/>
  </si>
  <si>
    <t>305019731</t>
    <phoneticPr fontId="1" type="noConversion"/>
  </si>
  <si>
    <t>A19B540</t>
    <phoneticPr fontId="1" type="noConversion"/>
  </si>
  <si>
    <t>305019731</t>
    <phoneticPr fontId="1" type="noConversion"/>
  </si>
  <si>
    <t>30*50</t>
    <phoneticPr fontId="1" type="noConversion"/>
  </si>
  <si>
    <t>A19B540</t>
    <phoneticPr fontId="1" type="noConversion"/>
  </si>
  <si>
    <t>A28B528</t>
    <phoneticPr fontId="1" type="noConversion"/>
  </si>
  <si>
    <t>75200190.562</t>
    <phoneticPr fontId="1" type="noConversion"/>
  </si>
  <si>
    <t>A28B528</t>
    <phoneticPr fontId="1" type="noConversion"/>
  </si>
  <si>
    <t>A60B531</t>
    <phoneticPr fontId="1" type="noConversion"/>
  </si>
  <si>
    <t>7515018854</t>
    <phoneticPr fontId="1" type="noConversion"/>
  </si>
  <si>
    <t>A90C403</t>
    <phoneticPr fontId="1" type="noConversion"/>
  </si>
  <si>
    <t>5</t>
  </si>
  <si>
    <t>KD/89/48/35/4/W/30/32/AAA</t>
  </si>
  <si>
    <t>32针/常温</t>
  </si>
  <si>
    <t>143</t>
  </si>
  <si>
    <t>KD/89/48/35/4/W/30/28/AAA</t>
  </si>
  <si>
    <t>大机 常温</t>
  </si>
  <si>
    <t>KD/89/48/34/3/W/30/28/AAA</t>
  </si>
  <si>
    <t>350.6</t>
  </si>
  <si>
    <t>3719.866</t>
  </si>
  <si>
    <t>客户规格</t>
  </si>
  <si>
    <t>本厂规格</t>
  </si>
  <si>
    <t>染整工艺</t>
  </si>
  <si>
    <t>7区（喷水布）</t>
  </si>
  <si>
    <t>F/100/100/54/188/1/1/W/AAA</t>
  </si>
  <si>
    <t>54.0</t>
  </si>
  <si>
    <t>188</t>
  </si>
  <si>
    <t>1.05</t>
  </si>
  <si>
    <t>4249.35</t>
  </si>
  <si>
    <t>F/100/200/78/188/3/1/B/AAA</t>
  </si>
  <si>
    <t>78.0</t>
  </si>
  <si>
    <t>1.56</t>
  </si>
  <si>
    <t>70192.2</t>
  </si>
  <si>
    <t>F/100/200/78/188/3/1/W/AAA</t>
  </si>
  <si>
    <t>1.23</t>
  </si>
  <si>
    <t>24267.9</t>
  </si>
  <si>
    <t>F/100/300/82/188/3/1/W/AAA</t>
  </si>
  <si>
    <t>82.0</t>
  </si>
  <si>
    <t>1.21</t>
  </si>
  <si>
    <t>7423.35</t>
  </si>
  <si>
    <t>F/100/300/82/188/3/1/B/AAA</t>
  </si>
  <si>
    <t>1.38</t>
  </si>
  <si>
    <t>11750.7</t>
  </si>
  <si>
    <t>F/100/300/86/188/3/1/B/AAA</t>
  </si>
  <si>
    <t>86.0</t>
  </si>
  <si>
    <t>1.39</t>
  </si>
  <si>
    <t>F/100/300/96/188/3/1/W/AAA</t>
  </si>
  <si>
    <t>96.0</t>
  </si>
  <si>
    <t>1.47</t>
  </si>
  <si>
    <t>49142.1</t>
  </si>
  <si>
    <t>F/15/15/13/197/1/1/W/AAA</t>
  </si>
  <si>
    <t>13.0</t>
  </si>
  <si>
    <t>197</t>
  </si>
  <si>
    <t>1.69</t>
  </si>
  <si>
    <t>3001</t>
  </si>
  <si>
    <t>F/15/15/13/197/1/1/W/AAAA</t>
  </si>
  <si>
    <t>5071.69</t>
  </si>
  <si>
    <t>F/15/15/13/146/1/1/W/AAA</t>
  </si>
  <si>
    <t>146</t>
  </si>
  <si>
    <t>1.42</t>
  </si>
  <si>
    <t>50478.16</t>
  </si>
  <si>
    <t>F/15/15/13/197/1/1/W/AA</t>
  </si>
  <si>
    <t>2122</t>
  </si>
  <si>
    <t>F/15/15/13/146/1/1/W/AA</t>
  </si>
  <si>
    <t>烘干布</t>
  </si>
  <si>
    <t>2228.1</t>
  </si>
  <si>
    <t>烘干</t>
  </si>
  <si>
    <t>914</t>
  </si>
  <si>
    <t>15*15-1</t>
  </si>
  <si>
    <t>1.66</t>
  </si>
  <si>
    <t>1517.24</t>
  </si>
  <si>
    <t>7-F-11下</t>
  </si>
  <si>
    <t>26303</t>
  </si>
  <si>
    <t>F/20/15/15/197/1/1/W/AAA</t>
  </si>
  <si>
    <t>15.0</t>
  </si>
  <si>
    <t>1.2</t>
  </si>
  <si>
    <t>31563.6</t>
  </si>
  <si>
    <t>2405</t>
  </si>
  <si>
    <t>2886</t>
  </si>
  <si>
    <t>7-A-26上</t>
  </si>
  <si>
    <t>2343</t>
  </si>
  <si>
    <t>F/20/15/15/197/1/1/W/AA</t>
  </si>
  <si>
    <t>20*15-1</t>
  </si>
  <si>
    <t>2881.89</t>
  </si>
  <si>
    <t>3182</t>
  </si>
  <si>
    <t>环保</t>
  </si>
  <si>
    <t>17.0</t>
  </si>
  <si>
    <t>4518.44</t>
  </si>
  <si>
    <t>F/20/20/17/197/1/1/W/AAA</t>
  </si>
  <si>
    <t>5037.9</t>
  </si>
  <si>
    <t>3192</t>
  </si>
  <si>
    <t>1.4</t>
  </si>
  <si>
    <t>4468.8</t>
  </si>
  <si>
    <t>环保 打样</t>
  </si>
  <si>
    <t>F/20/20/17/197/1/1/W/AAAA</t>
  </si>
  <si>
    <t>1.04</t>
  </si>
  <si>
    <t>1.24</t>
  </si>
  <si>
    <t>20*20-1</t>
  </si>
  <si>
    <t>1.27</t>
  </si>
  <si>
    <t>0.91</t>
  </si>
  <si>
    <t>23073.05</t>
  </si>
  <si>
    <t>41</t>
  </si>
  <si>
    <t>骏马湿布</t>
  </si>
  <si>
    <t>48343.05</t>
  </si>
  <si>
    <t>15861</t>
  </si>
  <si>
    <t>F/20/20/17/146/1/1/W/AAA</t>
  </si>
  <si>
    <t>19667.64</t>
  </si>
  <si>
    <t>0.86</t>
  </si>
  <si>
    <t>5807</t>
  </si>
  <si>
    <t>F/20/20/17/197/1/1/W/AA</t>
  </si>
  <si>
    <t>0.98</t>
  </si>
  <si>
    <t>5690.86</t>
  </si>
  <si>
    <t>20*20-10</t>
  </si>
  <si>
    <t>1.29</t>
  </si>
  <si>
    <t>143966.58</t>
  </si>
  <si>
    <t>1.13</t>
  </si>
  <si>
    <t>9400.47</t>
  </si>
  <si>
    <t>46</t>
  </si>
  <si>
    <t>64884.6</t>
  </si>
  <si>
    <t>7-A-15上</t>
  </si>
  <si>
    <t>1255</t>
  </si>
  <si>
    <t>F/20/20/17/190/乱纹/W/AA</t>
  </si>
  <si>
    <t>20*20-2</t>
  </si>
  <si>
    <t>乱纹</t>
  </si>
  <si>
    <t>190</t>
  </si>
  <si>
    <t>1.51</t>
  </si>
  <si>
    <t>1895.05</t>
  </si>
  <si>
    <t>20*20-3</t>
  </si>
  <si>
    <t>F/20/20/17/197/1/1/B/AAAA</t>
  </si>
  <si>
    <t>20*20-4</t>
  </si>
  <si>
    <t>0.96</t>
  </si>
  <si>
    <t>2758</t>
  </si>
  <si>
    <t>F/20/20/17/197/1/1/B/AA</t>
  </si>
  <si>
    <t>2647.68</t>
  </si>
  <si>
    <t>老库存</t>
  </si>
  <si>
    <t>1485</t>
  </si>
  <si>
    <t>F/20/20/17/197/1/1/B/AAA</t>
  </si>
  <si>
    <t>1425.6</t>
  </si>
  <si>
    <t>16706</t>
  </si>
  <si>
    <t>20*20-6</t>
  </si>
  <si>
    <t>16371.88</t>
  </si>
  <si>
    <t>16759</t>
  </si>
  <si>
    <t>20*20-8</t>
  </si>
  <si>
    <t>0.97</t>
  </si>
  <si>
    <t>16256.23</t>
  </si>
  <si>
    <t>952</t>
  </si>
  <si>
    <t>20*20-9</t>
  </si>
  <si>
    <t>1.99</t>
  </si>
  <si>
    <t>1894.48</t>
  </si>
  <si>
    <t>15160</t>
  </si>
  <si>
    <t>14705.2</t>
  </si>
  <si>
    <t>F/200/300/116/180/3/1/W/AAA</t>
  </si>
  <si>
    <t>116.0</t>
  </si>
  <si>
    <t>1.89</t>
  </si>
  <si>
    <t>F/200/300/116/180/3/1/B/AAA</t>
  </si>
  <si>
    <t>F/200/300/126/180/3/1/B/AAA</t>
  </si>
  <si>
    <t>126.0</t>
  </si>
  <si>
    <t>2.01</t>
  </si>
  <si>
    <t>F/200/300/126/180/3/1/W/AAA</t>
  </si>
  <si>
    <t>1.82</t>
  </si>
  <si>
    <t>F/200/300/106/180/3/1/B/AAA</t>
  </si>
  <si>
    <t>106.0</t>
  </si>
  <si>
    <t>432798.6</t>
  </si>
  <si>
    <t>F/200/300/106/180/3/1/W/AAA</t>
  </si>
  <si>
    <t>18868.74</t>
  </si>
  <si>
    <t>F/200/300/135/180/3/1/B/AAA</t>
  </si>
  <si>
    <t>135.0</t>
  </si>
  <si>
    <t>2.53</t>
  </si>
  <si>
    <t>22415.8</t>
  </si>
  <si>
    <t>F/200/300/135/180/3/1/W/AAA</t>
  </si>
  <si>
    <t>2.4</t>
  </si>
  <si>
    <t>36000</t>
  </si>
  <si>
    <t>1962</t>
  </si>
  <si>
    <t>鑫茂</t>
  </si>
  <si>
    <t>0.0</t>
  </si>
  <si>
    <t>窄幅</t>
  </si>
  <si>
    <t>1.14</t>
  </si>
  <si>
    <t>2236.68</t>
  </si>
  <si>
    <t>F/30/30/0/宽幅/1/1/W/AAA</t>
  </si>
  <si>
    <t>烘干 泓涵</t>
  </si>
  <si>
    <t>0.88</t>
  </si>
  <si>
    <t>1238</t>
  </si>
  <si>
    <t>23.0</t>
  </si>
  <si>
    <t>201</t>
  </si>
  <si>
    <t>2.06</t>
  </si>
  <si>
    <t>2550.28</t>
  </si>
  <si>
    <t>环保加密打样</t>
  </si>
  <si>
    <t>0.82</t>
  </si>
  <si>
    <t>815</t>
  </si>
  <si>
    <t>烘干 鑫茂</t>
  </si>
  <si>
    <t>165</t>
  </si>
  <si>
    <t>717.2</t>
  </si>
  <si>
    <t>F/30/30/23/192/1/1/W/AAA</t>
  </si>
  <si>
    <t>192</t>
  </si>
  <si>
    <t>0.85</t>
  </si>
  <si>
    <t>16564.8</t>
  </si>
  <si>
    <t>烘干 徐明彬</t>
  </si>
  <si>
    <t>0.81</t>
  </si>
  <si>
    <t>324</t>
  </si>
  <si>
    <t>涂层退回</t>
  </si>
  <si>
    <t>9</t>
  </si>
  <si>
    <t>F/30/30/23/1921/1/W/AAAA</t>
  </si>
  <si>
    <t>0.83</t>
  </si>
  <si>
    <t>0.74</t>
  </si>
  <si>
    <t>5975</t>
  </si>
  <si>
    <t>1.5</t>
  </si>
  <si>
    <t>8962.5</t>
  </si>
  <si>
    <t>9512.34</t>
  </si>
  <si>
    <t>环保丝 打样</t>
  </si>
  <si>
    <t>77</t>
  </si>
  <si>
    <t>189</t>
  </si>
  <si>
    <t>1010</t>
  </si>
  <si>
    <t>F/30/30/23/192/1/1/W/AA</t>
  </si>
  <si>
    <t>0.93</t>
  </si>
  <si>
    <t>939.3</t>
  </si>
  <si>
    <t>1913</t>
  </si>
  <si>
    <t>2639.94</t>
  </si>
  <si>
    <t>F/30/30/23/201/2/2/W/AAA</t>
  </si>
  <si>
    <t>0.99</t>
  </si>
  <si>
    <t>14032.26</t>
  </si>
  <si>
    <t>2242</t>
  </si>
  <si>
    <t>1838.44</t>
  </si>
  <si>
    <t>1624</t>
  </si>
  <si>
    <t>F/30/30/23/190/1/1/W/AAA</t>
  </si>
  <si>
    <t>0.87</t>
  </si>
  <si>
    <t>1412.88</t>
  </si>
  <si>
    <t>F/30/30/23/201/2/2/W/AA</t>
  </si>
  <si>
    <t>8048.7</t>
  </si>
  <si>
    <t>30*30-1</t>
  </si>
  <si>
    <t>36904.1</t>
  </si>
  <si>
    <t>33711.39</t>
  </si>
  <si>
    <t>30*30-11</t>
  </si>
  <si>
    <t>996.3</t>
  </si>
  <si>
    <t>310.23</t>
  </si>
  <si>
    <t>1131</t>
  </si>
  <si>
    <t>30*30-12</t>
  </si>
  <si>
    <t>1.32</t>
  </si>
  <si>
    <t>1492.92</t>
  </si>
  <si>
    <t>可发骏马</t>
  </si>
  <si>
    <t>4539.48</t>
  </si>
  <si>
    <t>30*30-14</t>
  </si>
  <si>
    <t>1.37</t>
  </si>
  <si>
    <t>1439.87</t>
  </si>
  <si>
    <t>835</t>
  </si>
  <si>
    <t>30*30-2</t>
  </si>
  <si>
    <t>环保打样</t>
  </si>
  <si>
    <t>2.04</t>
  </si>
  <si>
    <t>1703.4</t>
  </si>
  <si>
    <t>5291</t>
  </si>
  <si>
    <t>4497.35</t>
  </si>
  <si>
    <t>加密环保打样</t>
  </si>
  <si>
    <t>1356</t>
  </si>
  <si>
    <t>2.08</t>
  </si>
  <si>
    <t>2820.48</t>
  </si>
  <si>
    <t>环保加密</t>
  </si>
  <si>
    <t>4242</t>
  </si>
  <si>
    <t>5938.8</t>
  </si>
  <si>
    <t>1217</t>
  </si>
  <si>
    <t>30*30-3</t>
  </si>
  <si>
    <t>加密环保</t>
  </si>
  <si>
    <t>2482.68</t>
  </si>
  <si>
    <t>30*30-4</t>
  </si>
  <si>
    <t>30*30-5</t>
  </si>
  <si>
    <t>2174.9</t>
  </si>
  <si>
    <t>30*30-9</t>
  </si>
  <si>
    <t>0.65</t>
  </si>
  <si>
    <t>738.4</t>
  </si>
  <si>
    <t>35.0</t>
  </si>
  <si>
    <t>20244.45</t>
  </si>
  <si>
    <t>788</t>
  </si>
  <si>
    <t>F/50/50/37/190.5/1/1/W/HAAA</t>
  </si>
  <si>
    <t>37.0</t>
  </si>
  <si>
    <t>190.5</t>
  </si>
  <si>
    <t>764.36</t>
  </si>
  <si>
    <t>7079</t>
  </si>
  <si>
    <t>10618.5</t>
  </si>
  <si>
    <t>1737</t>
  </si>
  <si>
    <t>1580.67</t>
  </si>
  <si>
    <t>吉时达</t>
  </si>
  <si>
    <t>0.9</t>
  </si>
  <si>
    <t>23021.1</t>
  </si>
  <si>
    <t>杨拾泉加工</t>
  </si>
  <si>
    <t>50*50-1</t>
  </si>
  <si>
    <t>F/50/50/37/190.5/2/2/W/AA</t>
  </si>
  <si>
    <t>F/50/50/37/190.5/2/2/B/AAA</t>
  </si>
  <si>
    <t>50*50-2</t>
  </si>
  <si>
    <t>0.95</t>
  </si>
  <si>
    <t>7-附F-33</t>
  </si>
  <si>
    <t>F/50/50/37/190/2/2/B/AA</t>
  </si>
  <si>
    <t>50*50-3</t>
  </si>
  <si>
    <t>F/50/75/44/190/1/1/W/AAA</t>
  </si>
  <si>
    <t>50*75-1</t>
  </si>
  <si>
    <t>44.0</t>
  </si>
  <si>
    <t>0.84</t>
  </si>
  <si>
    <t>50.0</t>
  </si>
  <si>
    <t>15946.2</t>
  </si>
  <si>
    <t>599</t>
  </si>
  <si>
    <t>47.0</t>
  </si>
  <si>
    <t>575.04</t>
  </si>
  <si>
    <t>7-F-3下</t>
  </si>
  <si>
    <t>10629</t>
  </si>
  <si>
    <t>10203.84</t>
  </si>
  <si>
    <t>7-F-19下</t>
  </si>
  <si>
    <t>1881</t>
  </si>
  <si>
    <t>1805.76</t>
  </si>
  <si>
    <t>75*100-2</t>
  </si>
  <si>
    <t>45.0</t>
  </si>
  <si>
    <t>191</t>
  </si>
  <si>
    <t>0.89</t>
  </si>
  <si>
    <t>15225.23</t>
  </si>
  <si>
    <t>F/75/150/58/190.5/2/2/W/AAA</t>
  </si>
  <si>
    <t>58.0</t>
  </si>
  <si>
    <t>14496.84</t>
  </si>
  <si>
    <t>F/75/150/58/190.5/2/2/W/AA</t>
  </si>
  <si>
    <t>F/75/150/54/190.5/3/1/W/AAA</t>
  </si>
  <si>
    <t>6764.94</t>
  </si>
  <si>
    <t>1782</t>
  </si>
  <si>
    <t>1692.9</t>
  </si>
  <si>
    <t>3953</t>
  </si>
  <si>
    <t>70.0</t>
  </si>
  <si>
    <t>4466.89</t>
  </si>
  <si>
    <t>F/75/300/70/190.5/2/2/B/AA</t>
  </si>
  <si>
    <t>1.18</t>
  </si>
  <si>
    <t>F/75/300/70/190.5/2/2/B/AAA</t>
  </si>
  <si>
    <t>F/75/300/70/190.5/2/2/W/AAA</t>
  </si>
  <si>
    <t>1.41</t>
  </si>
  <si>
    <t>6556.5</t>
  </si>
  <si>
    <t>7-F-17下</t>
  </si>
  <si>
    <t>630</t>
  </si>
  <si>
    <t>198</t>
  </si>
  <si>
    <t>1.0</t>
  </si>
  <si>
    <t>7-A-33上</t>
  </si>
  <si>
    <t>602</t>
  </si>
  <si>
    <t>F/75/75/45/156/1/1/W/AAA</t>
  </si>
  <si>
    <t>156</t>
  </si>
  <si>
    <t>0.68</t>
  </si>
  <si>
    <t>409.36</t>
  </si>
  <si>
    <t>522</t>
  </si>
  <si>
    <t>F/75/75/50/198/2/2/W/HAAA</t>
  </si>
  <si>
    <t>495.9</t>
  </si>
  <si>
    <t>10199</t>
  </si>
  <si>
    <t>F/75/75/50/198/2/2/W/AAA</t>
  </si>
  <si>
    <t>1.01</t>
  </si>
  <si>
    <t>10300.99</t>
  </si>
  <si>
    <t>3260</t>
  </si>
  <si>
    <t>3292.6</t>
  </si>
  <si>
    <t>54</t>
  </si>
  <si>
    <t>43.0</t>
  </si>
  <si>
    <t>35815.38</t>
  </si>
  <si>
    <t>杨拾泉</t>
  </si>
  <si>
    <t>7-D-28上</t>
  </si>
  <si>
    <t>849</t>
  </si>
  <si>
    <t>F/75/75/65/183/1/1/W/AAA</t>
  </si>
  <si>
    <t>65.0</t>
  </si>
  <si>
    <t>183</t>
  </si>
  <si>
    <t>882.96</t>
  </si>
  <si>
    <t>长丝</t>
  </si>
  <si>
    <t>7-D-26下</t>
  </si>
  <si>
    <t>9591</t>
  </si>
  <si>
    <t>F/75/75/45/143/3/1/B/AAA</t>
  </si>
  <si>
    <t>7864.62</t>
  </si>
  <si>
    <t>1老库存</t>
  </si>
  <si>
    <t>厚康</t>
  </si>
  <si>
    <t>75*75-1</t>
  </si>
  <si>
    <t>13210.46</t>
  </si>
  <si>
    <t>厚康 加工</t>
  </si>
  <si>
    <t>760</t>
  </si>
  <si>
    <t>706.8</t>
  </si>
  <si>
    <t>5264</t>
  </si>
  <si>
    <t>4632.32</t>
  </si>
  <si>
    <t>2420</t>
  </si>
  <si>
    <t>75*75-2</t>
  </si>
  <si>
    <t>已验</t>
  </si>
  <si>
    <t>厚康 已验</t>
  </si>
  <si>
    <t>徐明彬</t>
  </si>
  <si>
    <t>大机丝</t>
  </si>
  <si>
    <t>15967.62</t>
  </si>
  <si>
    <t>1.95</t>
  </si>
  <si>
    <t>72758.4</t>
  </si>
  <si>
    <t>厚康加工</t>
  </si>
  <si>
    <t>F/75/75/45/190.5/2/2/W/AA</t>
  </si>
  <si>
    <t>75*75-3</t>
  </si>
  <si>
    <t>4022.1</t>
  </si>
  <si>
    <t>F/75/75/43/190.5/2/2/W/AA</t>
  </si>
  <si>
    <t>2118.54</t>
  </si>
  <si>
    <t>F/75/75/43/190.5/2/2/W/AAA</t>
  </si>
  <si>
    <t>F/75/75/45/190.5/2/2/W/AAA</t>
  </si>
  <si>
    <t>14565.6</t>
  </si>
  <si>
    <t>843</t>
  </si>
  <si>
    <t>75*75-5</t>
  </si>
  <si>
    <t>0.92</t>
  </si>
  <si>
    <t>775.56</t>
  </si>
  <si>
    <t>763</t>
  </si>
  <si>
    <t>701.96</t>
  </si>
  <si>
    <t>75*75-6</t>
  </si>
  <si>
    <t>小机丝</t>
  </si>
  <si>
    <t>7564.8</t>
  </si>
  <si>
    <t>2060</t>
  </si>
  <si>
    <t>次布烘干</t>
  </si>
  <si>
    <t>3325</t>
  </si>
  <si>
    <t>39920.704</t>
  </si>
  <si>
    <t>225360.456</t>
  </si>
  <si>
    <t>79985.637</t>
  </si>
  <si>
    <t>圆机</t>
    <phoneticPr fontId="1" type="noConversion"/>
  </si>
  <si>
    <t>50D无温丝</t>
    <phoneticPr fontId="1" type="noConversion"/>
  </si>
  <si>
    <t>50D无温白</t>
  </si>
  <si>
    <t>50D无温白</t>
    <phoneticPr fontId="1" type="noConversion"/>
  </si>
  <si>
    <t>50D135度白</t>
  </si>
  <si>
    <t>50D135度白</t>
    <phoneticPr fontId="1" type="noConversion"/>
  </si>
  <si>
    <t>50D黑</t>
    <phoneticPr fontId="1" type="noConversion"/>
  </si>
  <si>
    <t>75D135度低温白</t>
  </si>
  <si>
    <t>75D135度低温白</t>
    <phoneticPr fontId="1" type="noConversion"/>
  </si>
  <si>
    <t>34斜乱平纹</t>
    <phoneticPr fontId="1" type="noConversion"/>
  </si>
  <si>
    <t>A5035dw</t>
    <phoneticPr fontId="1" type="noConversion"/>
  </si>
  <si>
    <t>B5036Wgw</t>
    <phoneticPr fontId="1" type="noConversion"/>
  </si>
  <si>
    <t>备注</t>
    <phoneticPr fontId="1" type="noConversion"/>
  </si>
  <si>
    <t>备货50K米</t>
    <phoneticPr fontId="1" type="noConversion"/>
  </si>
  <si>
    <t>177</t>
  </si>
  <si>
    <t>32605</t>
  </si>
  <si>
    <t>坯布需求合计(Kg)</t>
  </si>
  <si>
    <t>B7545w</t>
    <phoneticPr fontId="1" type="noConversion"/>
  </si>
  <si>
    <t>小w</t>
    <phoneticPr fontId="1" type="noConversion"/>
  </si>
  <si>
    <t>漂白</t>
    <phoneticPr fontId="1" type="noConversion"/>
  </si>
  <si>
    <t>A31B550</t>
    <phoneticPr fontId="1" type="noConversion"/>
  </si>
  <si>
    <t>定型量</t>
    <phoneticPr fontId="0" type="Hiragana"/>
  </si>
  <si>
    <t>A5035w</t>
    <phoneticPr fontId="1" type="noConversion"/>
  </si>
  <si>
    <t>A7549xl</t>
    <phoneticPr fontId="1" type="noConversion"/>
  </si>
  <si>
    <t>A35</t>
    <phoneticPr fontId="1" type="noConversion"/>
  </si>
  <si>
    <t>A94</t>
    <phoneticPr fontId="1" type="noConversion"/>
  </si>
  <si>
    <t>库存</t>
    <phoneticPr fontId="1" type="noConversion"/>
  </si>
  <si>
    <t>XSD</t>
    <phoneticPr fontId="1" type="noConversion"/>
  </si>
  <si>
    <t>A10</t>
    <phoneticPr fontId="1" type="noConversion"/>
  </si>
  <si>
    <t>A57</t>
    <phoneticPr fontId="1" type="noConversion"/>
  </si>
  <si>
    <t>A88</t>
    <phoneticPr fontId="1" type="noConversion"/>
  </si>
  <si>
    <t>A90</t>
    <phoneticPr fontId="1" type="noConversion"/>
  </si>
  <si>
    <t>A21</t>
    <phoneticPr fontId="1" type="noConversion"/>
  </si>
  <si>
    <t>A70</t>
    <phoneticPr fontId="1" type="noConversion"/>
  </si>
  <si>
    <t>申久</t>
    <phoneticPr fontId="1" type="noConversion"/>
  </si>
  <si>
    <t>C5040wsj</t>
    <phoneticPr fontId="1" type="noConversion"/>
  </si>
  <si>
    <t>C5040wsj</t>
    <phoneticPr fontId="0" type="Hiragana"/>
  </si>
  <si>
    <t>C5040wsj</t>
    <phoneticPr fontId="1" type="noConversion"/>
  </si>
  <si>
    <t>C5040wsj</t>
    <phoneticPr fontId="1" type="noConversion"/>
  </si>
  <si>
    <t>A5035wh</t>
    <phoneticPr fontId="1" type="noConversion"/>
  </si>
  <si>
    <t>C75-30-20</t>
    <phoneticPr fontId="1" type="noConversion"/>
  </si>
  <si>
    <t>B75-30-24</t>
    <phoneticPr fontId="1" type="noConversion"/>
  </si>
  <si>
    <t>A5035wh</t>
    <phoneticPr fontId="1" type="noConversion"/>
  </si>
  <si>
    <t>黑丝</t>
    <phoneticPr fontId="1" type="noConversion"/>
  </si>
  <si>
    <t>A10B549</t>
    <phoneticPr fontId="1" type="noConversion"/>
  </si>
  <si>
    <t>A5032w</t>
    <phoneticPr fontId="1" type="noConversion"/>
  </si>
  <si>
    <t>灰色</t>
    <phoneticPr fontId="1" type="noConversion"/>
  </si>
  <si>
    <t>B7549w</t>
    <phoneticPr fontId="1" type="noConversion"/>
  </si>
  <si>
    <t>A10B546</t>
    <phoneticPr fontId="1" type="noConversion"/>
  </si>
  <si>
    <t>黑色</t>
    <phoneticPr fontId="1" type="noConversion"/>
  </si>
  <si>
    <t>完成日期</t>
    <phoneticPr fontId="1" type="noConversion"/>
  </si>
  <si>
    <t>上机日期</t>
    <phoneticPr fontId="1" type="noConversion"/>
  </si>
  <si>
    <t>完成日期</t>
    <phoneticPr fontId="0" type="Hiragana"/>
  </si>
  <si>
    <t>56*69</t>
    <phoneticPr fontId="1" type="noConversion"/>
  </si>
  <si>
    <t>56*56</t>
    <phoneticPr fontId="1" type="noConversion"/>
  </si>
  <si>
    <t>56*65</t>
    <phoneticPr fontId="1" type="noConversion"/>
  </si>
  <si>
    <t>28*48</t>
    <phoneticPr fontId="1" type="noConversion"/>
  </si>
  <si>
    <t>56*54</t>
    <phoneticPr fontId="1" type="noConversion"/>
  </si>
  <si>
    <t>56*46</t>
    <phoneticPr fontId="1" type="noConversion"/>
  </si>
  <si>
    <t>56*86</t>
    <phoneticPr fontId="1" type="noConversion"/>
  </si>
  <si>
    <t>75150190.554</t>
    <phoneticPr fontId="1" type="noConversion"/>
  </si>
  <si>
    <t>黑</t>
    <phoneticPr fontId="1" type="noConversion"/>
  </si>
  <si>
    <t>75100190.550</t>
    <phoneticPr fontId="1" type="noConversion"/>
  </si>
  <si>
    <t>D/104/36/W/AAAA/0</t>
  </si>
  <si>
    <t>177148.944</t>
  </si>
  <si>
    <t>日产量</t>
    <phoneticPr fontId="1" type="noConversion"/>
  </si>
  <si>
    <t>喷水</t>
    <phoneticPr fontId="1" type="noConversion"/>
  </si>
  <si>
    <t>100网络</t>
    <phoneticPr fontId="1" type="noConversion"/>
  </si>
  <si>
    <t>378734.6874</t>
  </si>
  <si>
    <t>D/15/12/W/AAAA/0</t>
  </si>
  <si>
    <t>KJ-151230</t>
  </si>
  <si>
    <t>15/12</t>
  </si>
  <si>
    <t>55.0</t>
  </si>
  <si>
    <t>43972.5</t>
  </si>
  <si>
    <t>97556.0152</t>
  </si>
  <si>
    <t>B7539xl</t>
    <phoneticPr fontId="1" type="noConversion"/>
  </si>
  <si>
    <t>斜乱平纹</t>
    <phoneticPr fontId="1" type="noConversion"/>
  </si>
  <si>
    <t>A94B552</t>
  </si>
  <si>
    <t>A94B552</t>
    <phoneticPr fontId="1" type="noConversion"/>
  </si>
  <si>
    <t>本白</t>
    <phoneticPr fontId="0" type="Hiragana"/>
  </si>
  <si>
    <t>B50-30-24</t>
    <phoneticPr fontId="1" type="noConversion"/>
  </si>
  <si>
    <t>B5034W</t>
    <phoneticPr fontId="1" type="noConversion"/>
  </si>
  <si>
    <t>B7539斜乱平纹</t>
    <phoneticPr fontId="1" type="noConversion"/>
  </si>
  <si>
    <t>A7545xl</t>
    <phoneticPr fontId="1" type="noConversion"/>
  </si>
  <si>
    <t>骏马</t>
    <phoneticPr fontId="1" type="noConversion"/>
  </si>
  <si>
    <t>A94B516</t>
    <phoneticPr fontId="1" type="noConversion"/>
  </si>
  <si>
    <t>大W</t>
    <phoneticPr fontId="1" type="noConversion"/>
  </si>
  <si>
    <t>A102B553</t>
    <phoneticPr fontId="1" type="noConversion"/>
  </si>
  <si>
    <t>银宇</t>
    <phoneticPr fontId="1" type="noConversion"/>
  </si>
  <si>
    <t>7515018854</t>
    <phoneticPr fontId="1" type="noConversion"/>
  </si>
  <si>
    <t>A90C404</t>
    <phoneticPr fontId="1" type="noConversion"/>
  </si>
  <si>
    <t>B3023wyy</t>
    <phoneticPr fontId="1" type="noConversion"/>
  </si>
  <si>
    <t>A5038dw</t>
    <phoneticPr fontId="1" type="noConversion"/>
  </si>
  <si>
    <t>A88C405</t>
    <phoneticPr fontId="1" type="noConversion"/>
  </si>
  <si>
    <t>A5038dw</t>
    <phoneticPr fontId="1" type="noConversion"/>
  </si>
  <si>
    <t>A5038大W</t>
    <phoneticPr fontId="1" type="noConversion"/>
  </si>
  <si>
    <t>白</t>
    <phoneticPr fontId="1" type="noConversion"/>
  </si>
  <si>
    <t>13576.5</t>
  </si>
  <si>
    <t>104191.64</t>
  </si>
  <si>
    <t>28404.7336</t>
  </si>
  <si>
    <t>80286.4864</t>
  </si>
  <si>
    <t>90</t>
  </si>
  <si>
    <t>26380.8</t>
  </si>
  <si>
    <t>19523.94</t>
  </si>
  <si>
    <t>188676.32</t>
  </si>
  <si>
    <t>86473.1135</t>
  </si>
  <si>
    <t>260182.092</t>
  </si>
  <si>
    <t>119892.92</t>
  </si>
  <si>
    <t>16414.82</t>
  </si>
  <si>
    <t>546</t>
  </si>
  <si>
    <t>196157.099</t>
  </si>
  <si>
    <t>60063.12</t>
  </si>
  <si>
    <t>45140.0628</t>
  </si>
  <si>
    <t>8.58</t>
  </si>
  <si>
    <t>35699.62</t>
  </si>
  <si>
    <t>DTY圆机丝64009494/368.58</t>
  </si>
  <si>
    <t>白</t>
    <phoneticPr fontId="1" type="noConversion"/>
  </si>
  <si>
    <t>东华加工  高温</t>
    <phoneticPr fontId="1" type="noConversion"/>
  </si>
  <si>
    <t>威尔加工</t>
    <phoneticPr fontId="1" type="noConversion"/>
  </si>
  <si>
    <t>自加工</t>
    <phoneticPr fontId="1" type="noConversion"/>
  </si>
  <si>
    <t>D/104/36/W/AAAA/0DTY圆机丝32605104/369.0</t>
  </si>
  <si>
    <t>威尔暂不加工</t>
    <phoneticPr fontId="1" type="noConversion"/>
  </si>
  <si>
    <t>东华加工</t>
    <phoneticPr fontId="1" type="noConversion"/>
  </si>
  <si>
    <t>日产量</t>
    <phoneticPr fontId="1" type="noConversion"/>
  </si>
  <si>
    <t>委外日产量</t>
    <phoneticPr fontId="1" type="noConversion"/>
  </si>
  <si>
    <t>20网络</t>
    <phoneticPr fontId="1" type="noConversion"/>
  </si>
  <si>
    <t>30网络</t>
    <phoneticPr fontId="1" type="noConversion"/>
  </si>
  <si>
    <t>50网络</t>
    <phoneticPr fontId="1" type="noConversion"/>
  </si>
  <si>
    <t>75网络</t>
    <phoneticPr fontId="1" type="noConversion"/>
  </si>
  <si>
    <t>100网络</t>
    <phoneticPr fontId="1" type="noConversion"/>
  </si>
  <si>
    <t>200网络</t>
    <phoneticPr fontId="1" type="noConversion"/>
  </si>
  <si>
    <t>日耗量</t>
    <phoneticPr fontId="1" type="noConversion"/>
  </si>
  <si>
    <t>白无温</t>
    <phoneticPr fontId="1" type="noConversion"/>
  </si>
  <si>
    <t>白无温</t>
    <phoneticPr fontId="1" type="noConversion"/>
  </si>
  <si>
    <t>50D</t>
    <phoneticPr fontId="1" type="noConversion"/>
  </si>
  <si>
    <t>135度自加工</t>
    <phoneticPr fontId="1" type="noConversion"/>
  </si>
  <si>
    <t>175度东华加工</t>
    <phoneticPr fontId="1" type="noConversion"/>
  </si>
  <si>
    <t>无温自加工</t>
    <phoneticPr fontId="1" type="noConversion"/>
  </si>
  <si>
    <t>130/48</t>
    <phoneticPr fontId="1" type="noConversion"/>
  </si>
  <si>
    <t>经丝用量
(Kg)</t>
    <phoneticPr fontId="1" type="noConversion"/>
  </si>
  <si>
    <t>纬丝用量
(Kg)</t>
    <phoneticPr fontId="1" type="noConversion"/>
  </si>
  <si>
    <t>下单日期</t>
    <phoneticPr fontId="1" type="noConversion"/>
  </si>
  <si>
    <t>上机日期</t>
    <phoneticPr fontId="1" type="noConversion"/>
  </si>
  <si>
    <t>完成日期</t>
    <phoneticPr fontId="1" type="noConversion"/>
  </si>
  <si>
    <t>库存</t>
    <phoneticPr fontId="1" type="noConversion"/>
  </si>
  <si>
    <t>需织造</t>
    <phoneticPr fontId="1" type="noConversion"/>
  </si>
  <si>
    <t>织造
天数</t>
    <phoneticPr fontId="1" type="noConversion"/>
  </si>
  <si>
    <t>F/100/300/96/188/3/1/B/AAA</t>
  </si>
  <si>
    <t>1.59</t>
  </si>
  <si>
    <t>25074.3</t>
  </si>
  <si>
    <t>F/100/300/86/188/3/1/W/AAA</t>
  </si>
  <si>
    <t>20898</t>
  </si>
  <si>
    <t>21016.8</t>
  </si>
  <si>
    <t>66751.62</t>
  </si>
  <si>
    <t>11076</t>
  </si>
  <si>
    <t>18718.44</t>
  </si>
  <si>
    <t>14983.46</t>
  </si>
  <si>
    <t>41888</t>
  </si>
  <si>
    <t>36023.68</t>
  </si>
  <si>
    <t>83566.08</t>
  </si>
  <si>
    <t>42865.2</t>
  </si>
  <si>
    <t>70067.9</t>
  </si>
  <si>
    <t>26532</t>
  </si>
  <si>
    <t>32061.12</t>
  </si>
  <si>
    <t>9249</t>
  </si>
  <si>
    <t>161</t>
  </si>
  <si>
    <t>7861.65</t>
  </si>
  <si>
    <t>2822.44</t>
  </si>
  <si>
    <t>16234</t>
  </si>
  <si>
    <t>13474.22</t>
  </si>
  <si>
    <t>84663</t>
  </si>
  <si>
    <t>71</t>
  </si>
  <si>
    <t>62650.62</t>
  </si>
  <si>
    <t>32061.15</t>
  </si>
  <si>
    <t>159873.1</t>
  </si>
  <si>
    <t>149</t>
  </si>
  <si>
    <t>23247.5</t>
  </si>
  <si>
    <t>16082</t>
  </si>
  <si>
    <t>鑫茂HAAA</t>
  </si>
  <si>
    <t>93264.42</t>
  </si>
  <si>
    <t>19061</t>
  </si>
  <si>
    <t>17154.9</t>
  </si>
  <si>
    <t>22581.98</t>
  </si>
  <si>
    <t>4700</t>
  </si>
  <si>
    <t>3854</t>
  </si>
  <si>
    <t>20309.64</t>
  </si>
  <si>
    <t>2752</t>
  </si>
  <si>
    <t>2229.12</t>
  </si>
  <si>
    <t>6688.86</t>
  </si>
  <si>
    <t>30183</t>
  </si>
  <si>
    <t>24448.23</t>
  </si>
  <si>
    <t>F/50/50/37/190.5/1/1/B/AAA</t>
  </si>
  <si>
    <t>1.08</t>
  </si>
  <si>
    <t>13831.56</t>
  </si>
  <si>
    <t>58952</t>
  </si>
  <si>
    <t>81</t>
  </si>
  <si>
    <t>54825.36</t>
  </si>
  <si>
    <t>9802.82</t>
  </si>
  <si>
    <t>F/50/50/37/190.5/1/1/W/AAA</t>
  </si>
  <si>
    <t>10431.38</t>
  </si>
  <si>
    <t>4194.25</t>
  </si>
  <si>
    <t>F/50/75/44/190/1/1/W/HAAA</t>
  </si>
  <si>
    <t>661.92</t>
  </si>
  <si>
    <t>13434.96</t>
  </si>
  <si>
    <t>21819.2</t>
  </si>
  <si>
    <t>2682.16</t>
  </si>
  <si>
    <t>3734.44</t>
  </si>
  <si>
    <t>26066.1</t>
  </si>
  <si>
    <t>11677.28</t>
  </si>
  <si>
    <t>182922</t>
  </si>
  <si>
    <t>1656</t>
  </si>
  <si>
    <t>15765.36</t>
  </si>
  <si>
    <t>8300</t>
  </si>
  <si>
    <t>75*75-4</t>
  </si>
  <si>
    <t>代码</t>
    <phoneticPr fontId="1" type="noConversion"/>
  </si>
  <si>
    <t>10020018878</t>
    <phoneticPr fontId="1" type="noConversion"/>
  </si>
  <si>
    <t>10010018854</t>
    <phoneticPr fontId="1" type="noConversion"/>
  </si>
  <si>
    <t>10030018882</t>
    <phoneticPr fontId="1" type="noConversion"/>
  </si>
  <si>
    <t>10030018896</t>
    <phoneticPr fontId="1" type="noConversion"/>
  </si>
  <si>
    <t>10030018886</t>
    <phoneticPr fontId="1" type="noConversion"/>
  </si>
  <si>
    <t>151519713</t>
    <phoneticPr fontId="1" type="noConversion"/>
  </si>
  <si>
    <t>151514613</t>
    <phoneticPr fontId="1" type="noConversion"/>
  </si>
  <si>
    <t>200300180116</t>
    <phoneticPr fontId="1" type="noConversion"/>
  </si>
  <si>
    <t>200300180126</t>
    <phoneticPr fontId="1" type="noConversion"/>
  </si>
  <si>
    <t>200300180106</t>
    <phoneticPr fontId="1" type="noConversion"/>
  </si>
  <si>
    <t>200300180135</t>
    <phoneticPr fontId="1" type="noConversion"/>
  </si>
  <si>
    <t>303014923</t>
    <phoneticPr fontId="1" type="noConversion"/>
  </si>
  <si>
    <t>303016123</t>
    <phoneticPr fontId="1" type="noConversion"/>
  </si>
  <si>
    <t>303016523</t>
    <phoneticPr fontId="1" type="noConversion"/>
  </si>
  <si>
    <t>303018923</t>
    <phoneticPr fontId="1" type="noConversion"/>
  </si>
  <si>
    <t>303019023</t>
    <phoneticPr fontId="1" type="noConversion"/>
  </si>
  <si>
    <t>5050190.537</t>
    <phoneticPr fontId="1" type="noConversion"/>
  </si>
  <si>
    <t>3/1</t>
    <phoneticPr fontId="1" type="noConversion"/>
  </si>
  <si>
    <t>3/1</t>
    <phoneticPr fontId="1" type="noConversion"/>
  </si>
  <si>
    <t>7575190.543</t>
    <phoneticPr fontId="1" type="noConversion"/>
  </si>
  <si>
    <t>46787.61</t>
  </si>
  <si>
    <t>1526</t>
  </si>
  <si>
    <t>364475.4819</t>
  </si>
  <si>
    <t>2160</t>
  </si>
  <si>
    <t>21600</t>
  </si>
  <si>
    <t>HP06074</t>
  </si>
  <si>
    <t>2/2</t>
    <phoneticPr fontId="1" type="noConversion"/>
  </si>
  <si>
    <t>A70C406</t>
    <phoneticPr fontId="1" type="noConversion"/>
  </si>
  <si>
    <t>A5040w</t>
    <phoneticPr fontId="1" type="noConversion"/>
  </si>
  <si>
    <t>A70C406</t>
    <phoneticPr fontId="1" type="noConversion"/>
  </si>
  <si>
    <t>威尔</t>
    <phoneticPr fontId="1" type="noConversion"/>
  </si>
  <si>
    <t>HP06074-1</t>
  </si>
  <si>
    <t>HP06074-1</t>
    <phoneticPr fontId="1" type="noConversion"/>
  </si>
  <si>
    <t>100D网络白</t>
  </si>
  <si>
    <t>100D网络白</t>
    <phoneticPr fontId="1" type="noConversion"/>
  </si>
  <si>
    <t>A102</t>
    <phoneticPr fontId="1" type="noConversion"/>
  </si>
  <si>
    <t>200D网络黑</t>
  </si>
  <si>
    <t>200D网络黑</t>
    <phoneticPr fontId="1" type="noConversion"/>
  </si>
  <si>
    <t>KD/89/48/36/3/W/30/28/AAA</t>
  </si>
  <si>
    <t>191.8</t>
  </si>
  <si>
    <t>2136.652</t>
  </si>
  <si>
    <t>A5036斜乱平纹</t>
    <phoneticPr fontId="1" type="noConversion"/>
  </si>
  <si>
    <t>A5036xl</t>
  </si>
  <si>
    <t>A5036xl</t>
    <phoneticPr fontId="1" type="noConversion"/>
  </si>
  <si>
    <t>B3023wyy</t>
    <phoneticPr fontId="1" type="noConversion"/>
  </si>
  <si>
    <t>A5036xl</t>
    <phoneticPr fontId="1" type="noConversion"/>
  </si>
  <si>
    <t>36斜乱平纹</t>
    <phoneticPr fontId="1" type="noConversion"/>
  </si>
  <si>
    <t>A102B556</t>
    <phoneticPr fontId="1" type="noConversion"/>
  </si>
  <si>
    <t>B3023wyy</t>
    <phoneticPr fontId="1" type="noConversion"/>
  </si>
  <si>
    <t>B3023大W银宇</t>
    <phoneticPr fontId="1" type="noConversion"/>
  </si>
  <si>
    <t>直平纹</t>
    <phoneticPr fontId="1" type="noConversion"/>
  </si>
  <si>
    <t>A90C407</t>
    <phoneticPr fontId="1" type="noConversion"/>
  </si>
  <si>
    <t>505019035</t>
    <phoneticPr fontId="1" type="noConversion"/>
  </si>
  <si>
    <t>圆机尺寸</t>
    <phoneticPr fontId="1" type="noConversion"/>
  </si>
  <si>
    <t>B10063dw</t>
    <phoneticPr fontId="1" type="noConversion"/>
  </si>
  <si>
    <t>1/1</t>
    <phoneticPr fontId="1" type="noConversion"/>
  </si>
  <si>
    <t>10460.736</t>
  </si>
  <si>
    <t>94/36</t>
    <phoneticPr fontId="1" type="noConversion"/>
  </si>
  <si>
    <t>A7548斜乱平纹</t>
    <phoneticPr fontId="0" type="Hiragana"/>
  </si>
  <si>
    <t>白高温</t>
    <phoneticPr fontId="1" type="noConversion"/>
  </si>
  <si>
    <t>A7548斜乱平纹</t>
    <phoneticPr fontId="1" type="noConversion"/>
  </si>
  <si>
    <t>已完成件</t>
    <phoneticPr fontId="1" type="noConversion"/>
  </si>
  <si>
    <t>KD/89/48/38/5/W/30/28/AAA</t>
  </si>
  <si>
    <t>14.87</t>
  </si>
  <si>
    <t>38大W</t>
    <phoneticPr fontId="1" type="noConversion"/>
  </si>
  <si>
    <t>A7548xl</t>
    <phoneticPr fontId="0" type="Hiragana"/>
  </si>
  <si>
    <t>B3023l</t>
    <phoneticPr fontId="1" type="noConversion"/>
  </si>
  <si>
    <t>预计完成日期</t>
    <phoneticPr fontId="1" type="noConversion"/>
  </si>
  <si>
    <t>产量1</t>
    <phoneticPr fontId="1" type="noConversion"/>
  </si>
  <si>
    <t>产量2</t>
    <phoneticPr fontId="1" type="noConversion"/>
  </si>
  <si>
    <t>352.1</t>
  </si>
  <si>
    <t>299</t>
  </si>
  <si>
    <t>65</t>
  </si>
  <si>
    <t>200网络</t>
    <phoneticPr fontId="1" type="noConversion"/>
  </si>
  <si>
    <t>喷水</t>
    <phoneticPr fontId="1" type="noConversion"/>
  </si>
  <si>
    <t>151514613</t>
    <phoneticPr fontId="1" type="noConversion"/>
  </si>
  <si>
    <t>15*15</t>
    <phoneticPr fontId="1" type="noConversion"/>
  </si>
  <si>
    <t>1/1</t>
    <phoneticPr fontId="1" type="noConversion"/>
  </si>
  <si>
    <t>A90C410</t>
    <phoneticPr fontId="1" type="noConversion"/>
  </si>
  <si>
    <t>283.4</t>
  </si>
  <si>
    <t>4100.798</t>
  </si>
  <si>
    <t>447.2</t>
  </si>
  <si>
    <t>9901.008</t>
  </si>
  <si>
    <t>213.8</t>
  </si>
  <si>
    <t>只做白的</t>
  </si>
  <si>
    <t>412.6</t>
  </si>
  <si>
    <t>8107.59</t>
  </si>
  <si>
    <t>12738</t>
  </si>
  <si>
    <t>476</t>
  </si>
  <si>
    <t>206865.12</t>
  </si>
  <si>
    <t>456</t>
  </si>
  <si>
    <t>537</t>
  </si>
  <si>
    <t>741.2</t>
  </si>
  <si>
    <t>31552.884</t>
  </si>
  <si>
    <t>113.8</t>
  </si>
  <si>
    <t>1207.418</t>
  </si>
  <si>
    <t>155</t>
  </si>
  <si>
    <t>PE615524</t>
  </si>
  <si>
    <t>B7545w</t>
    <phoneticPr fontId="1" type="noConversion"/>
  </si>
  <si>
    <t>A7551xl</t>
    <phoneticPr fontId="0" type="Hiragana"/>
  </si>
  <si>
    <t>黑</t>
    <phoneticPr fontId="1" type="noConversion"/>
  </si>
  <si>
    <t>固力</t>
    <phoneticPr fontId="1" type="noConversion"/>
  </si>
  <si>
    <t>A7551xl</t>
    <phoneticPr fontId="1" type="noConversion"/>
  </si>
  <si>
    <t>A102</t>
    <phoneticPr fontId="1" type="noConversion"/>
  </si>
  <si>
    <t>A35</t>
    <phoneticPr fontId="1" type="noConversion"/>
  </si>
  <si>
    <t>A94</t>
    <phoneticPr fontId="1" type="noConversion"/>
  </si>
  <si>
    <t>库存</t>
    <phoneticPr fontId="1" type="noConversion"/>
  </si>
  <si>
    <t>A10</t>
    <phoneticPr fontId="1" type="noConversion"/>
  </si>
  <si>
    <t>A57</t>
    <phoneticPr fontId="1" type="noConversion"/>
  </si>
  <si>
    <t>A90</t>
    <phoneticPr fontId="1" type="noConversion"/>
  </si>
  <si>
    <t>A88</t>
    <phoneticPr fontId="1" type="noConversion"/>
  </si>
  <si>
    <t>A70</t>
    <phoneticPr fontId="1" type="noConversion"/>
  </si>
  <si>
    <t>A31</t>
    <phoneticPr fontId="1" type="noConversion"/>
  </si>
  <si>
    <t>A90试样</t>
    <phoneticPr fontId="1" type="noConversion"/>
  </si>
  <si>
    <t>D/167/48/B/AAA/0</t>
  </si>
  <si>
    <t>2505.6</t>
  </si>
  <si>
    <t>24630.048</t>
  </si>
  <si>
    <t>1540</t>
  </si>
  <si>
    <t>50</t>
  </si>
  <si>
    <t>D/33/24/W/AAAA/</t>
  </si>
  <si>
    <t>213531AS</t>
  </si>
  <si>
    <t>33/24</t>
  </si>
  <si>
    <t>18.81</t>
  </si>
  <si>
    <t>28967.4</t>
  </si>
  <si>
    <t>白</t>
    <phoneticPr fontId="1" type="noConversion"/>
  </si>
  <si>
    <t>5743.3</t>
  </si>
  <si>
    <t>85058.273</t>
  </si>
  <si>
    <t>A7551xlh</t>
    <phoneticPr fontId="0" type="Hiragana"/>
  </si>
  <si>
    <t>长乐</t>
    <phoneticPr fontId="1" type="noConversion"/>
  </si>
  <si>
    <t>A7551xlh</t>
    <phoneticPr fontId="1" type="noConversion"/>
  </si>
  <si>
    <t>漂白</t>
  </si>
  <si>
    <t>漂白</t>
    <phoneticPr fontId="1" type="noConversion"/>
  </si>
  <si>
    <t>A90C414</t>
    <phoneticPr fontId="1" type="noConversion"/>
  </si>
  <si>
    <t>202019717</t>
    <phoneticPr fontId="1" type="noConversion"/>
  </si>
  <si>
    <t>1/1</t>
    <phoneticPr fontId="1" type="noConversion"/>
  </si>
  <si>
    <t>本白</t>
  </si>
  <si>
    <t>A12B565</t>
    <phoneticPr fontId="1" type="noConversion"/>
  </si>
  <si>
    <t>A5035w</t>
    <phoneticPr fontId="1" type="noConversion"/>
  </si>
  <si>
    <t>XSDC415</t>
    <phoneticPr fontId="1" type="noConversion"/>
  </si>
  <si>
    <t>303019023</t>
    <phoneticPr fontId="1" type="noConversion"/>
  </si>
  <si>
    <t>A254B566</t>
    <phoneticPr fontId="1" type="noConversion"/>
  </si>
  <si>
    <t>黑色</t>
  </si>
  <si>
    <t>黑色</t>
    <phoneticPr fontId="1" type="noConversion"/>
  </si>
  <si>
    <t>A5035wh</t>
    <phoneticPr fontId="1" type="noConversion"/>
  </si>
  <si>
    <t>A23B563</t>
  </si>
  <si>
    <t>A23B563</t>
    <phoneticPr fontId="1" type="noConversion"/>
  </si>
  <si>
    <t>202019017</t>
    <phoneticPr fontId="1" type="noConversion"/>
  </si>
  <si>
    <t>A5027z</t>
  </si>
  <si>
    <t>A5027z</t>
    <phoneticPr fontId="0" type="Hiragana"/>
  </si>
  <si>
    <t>A5027直平纹</t>
    <phoneticPr fontId="1" type="noConversion"/>
  </si>
  <si>
    <t>直平纹</t>
    <phoneticPr fontId="0" type="Hiragana"/>
  </si>
  <si>
    <t>A5027z</t>
    <phoneticPr fontId="1" type="noConversion"/>
  </si>
  <si>
    <t>A23</t>
    <phoneticPr fontId="1" type="noConversion"/>
  </si>
  <si>
    <t>辅助列</t>
    <phoneticPr fontId="1" type="noConversion"/>
  </si>
  <si>
    <t>75150190.558</t>
    <phoneticPr fontId="1" type="noConversion"/>
  </si>
  <si>
    <t>3/1</t>
    <phoneticPr fontId="1" type="noConversion"/>
  </si>
  <si>
    <t>A60B561</t>
    <phoneticPr fontId="1" type="noConversion"/>
  </si>
  <si>
    <t>等级</t>
    <phoneticPr fontId="1" type="noConversion"/>
  </si>
  <si>
    <t>7515018858</t>
    <phoneticPr fontId="1" type="noConversion"/>
  </si>
  <si>
    <t>黑丝</t>
  </si>
  <si>
    <t>黑丝</t>
    <phoneticPr fontId="1" type="noConversion"/>
  </si>
  <si>
    <t>10030018886</t>
    <phoneticPr fontId="1" type="noConversion"/>
  </si>
  <si>
    <t>15030018096</t>
    <phoneticPr fontId="1" type="noConversion"/>
  </si>
  <si>
    <t>150300180106</t>
    <phoneticPr fontId="1" type="noConversion"/>
  </si>
  <si>
    <t>200300180116</t>
    <phoneticPr fontId="1" type="noConversion"/>
  </si>
  <si>
    <t>200300180126</t>
    <phoneticPr fontId="1" type="noConversion"/>
  </si>
  <si>
    <t>B3023l</t>
    <phoneticPr fontId="1" type="noConversion"/>
  </si>
  <si>
    <t>乱平纹</t>
    <phoneticPr fontId="1" type="noConversion"/>
  </si>
  <si>
    <t>A94B567</t>
    <phoneticPr fontId="1" type="noConversion"/>
  </si>
  <si>
    <t>A21B558</t>
    <phoneticPr fontId="1" type="noConversion"/>
  </si>
  <si>
    <t>7575190.545</t>
    <phoneticPr fontId="1" type="noConversion"/>
  </si>
  <si>
    <t>KD/89/48/27/1/W/30/28/AAA</t>
  </si>
  <si>
    <t>14.4</t>
  </si>
  <si>
    <t xml:space="preserve">
</t>
  </si>
  <si>
    <t>4443.6</t>
  </si>
  <si>
    <t>217</t>
  </si>
  <si>
    <t>56833.644</t>
  </si>
  <si>
    <t>A70C408</t>
    <phoneticPr fontId="1" type="noConversion"/>
  </si>
  <si>
    <t>7575190.543</t>
    <phoneticPr fontId="1" type="noConversion"/>
  </si>
  <si>
    <t>2/2</t>
    <phoneticPr fontId="1" type="noConversion"/>
  </si>
  <si>
    <t>A70C409</t>
    <phoneticPr fontId="1" type="noConversion"/>
  </si>
  <si>
    <t>湖蓝</t>
    <phoneticPr fontId="1" type="noConversion"/>
  </si>
  <si>
    <t>骏马</t>
    <phoneticPr fontId="1" type="noConversion"/>
  </si>
  <si>
    <t>A145C411</t>
    <phoneticPr fontId="1" type="noConversion"/>
  </si>
  <si>
    <t>AA</t>
    <phoneticPr fontId="1" type="noConversion"/>
  </si>
  <si>
    <t>AAA</t>
    <phoneticPr fontId="1" type="noConversion"/>
  </si>
  <si>
    <t>A35B431</t>
    <phoneticPr fontId="1" type="noConversion"/>
  </si>
  <si>
    <t>A184B564</t>
    <phoneticPr fontId="1" type="noConversion"/>
  </si>
  <si>
    <t>A90B416</t>
    <phoneticPr fontId="1" type="noConversion"/>
  </si>
  <si>
    <t>7510019143</t>
    <phoneticPr fontId="1" type="noConversion"/>
  </si>
  <si>
    <t>A</t>
    <phoneticPr fontId="1" type="noConversion"/>
  </si>
  <si>
    <t>A70C417</t>
    <phoneticPr fontId="1" type="noConversion"/>
  </si>
  <si>
    <t>骏马4500004341</t>
    <phoneticPr fontId="1" type="noConversion"/>
  </si>
  <si>
    <t>5050190.537</t>
    <phoneticPr fontId="1" type="noConversion"/>
  </si>
  <si>
    <t>A90C418</t>
    <phoneticPr fontId="1" type="noConversion"/>
  </si>
  <si>
    <t>R19110113</t>
  </si>
  <si>
    <t>R19110114</t>
  </si>
  <si>
    <t>R19110115R19110116</t>
  </si>
  <si>
    <t>303020023</t>
    <phoneticPr fontId="1" type="noConversion"/>
  </si>
  <si>
    <t>A261B571</t>
    <phoneticPr fontId="1" type="noConversion"/>
  </si>
  <si>
    <t>R19110119</t>
  </si>
  <si>
    <t>R19110101</t>
  </si>
  <si>
    <t>7575190.543</t>
    <phoneticPr fontId="1" type="noConversion"/>
  </si>
  <si>
    <t>4767</t>
  </si>
  <si>
    <t>5005.35</t>
  </si>
  <si>
    <t>13635</t>
  </si>
  <si>
    <t>16771.05</t>
  </si>
  <si>
    <t>2467</t>
  </si>
  <si>
    <t>3404.46</t>
  </si>
  <si>
    <t>500</t>
  </si>
  <si>
    <t>695</t>
  </si>
  <si>
    <t>57200</t>
  </si>
  <si>
    <t>96668</t>
  </si>
  <si>
    <t>1635</t>
  </si>
  <si>
    <t>2321.7</t>
  </si>
  <si>
    <t>89443</t>
  </si>
  <si>
    <t>127009.06</t>
  </si>
  <si>
    <t>1457</t>
  </si>
  <si>
    <t>烘干打样</t>
  </si>
  <si>
    <t>5330</t>
  </si>
  <si>
    <t>5596.5</t>
  </si>
  <si>
    <t>F/20/20/17/197/1/1/W/HAAAA</t>
  </si>
  <si>
    <t>13475</t>
  </si>
  <si>
    <t>F/20/20/17/197/1/1/W/HAAA</t>
  </si>
  <si>
    <t>17382.75</t>
  </si>
  <si>
    <t>42316</t>
  </si>
  <si>
    <t>47817.08</t>
  </si>
  <si>
    <t>2400</t>
  </si>
  <si>
    <t>4536</t>
  </si>
  <si>
    <t>5299</t>
  </si>
  <si>
    <t>4345.18</t>
  </si>
  <si>
    <t>9350</t>
  </si>
  <si>
    <t>9256.5</t>
  </si>
  <si>
    <t>625</t>
  </si>
  <si>
    <t>6856</t>
  </si>
  <si>
    <t>5553.36</t>
  </si>
  <si>
    <t>1197</t>
  </si>
  <si>
    <t>969.57</t>
  </si>
  <si>
    <t>11138</t>
  </si>
  <si>
    <t>15704.58</t>
  </si>
  <si>
    <t>2323</t>
  </si>
  <si>
    <t>14400</t>
  </si>
  <si>
    <t>19872</t>
  </si>
  <si>
    <t>11812</t>
  </si>
  <si>
    <t>10040.2</t>
  </si>
  <si>
    <t>37231</t>
  </si>
  <si>
    <t>S21211-2</t>
  </si>
  <si>
    <t>33507.9</t>
  </si>
  <si>
    <t>F/50/50/37/190.5/2/2/W/AAA</t>
  </si>
  <si>
    <t>935</t>
  </si>
  <si>
    <t>F/50/50/37/190.5/2/2/B/AA</t>
  </si>
  <si>
    <t>888.25</t>
  </si>
  <si>
    <t>F/50/50/35/190/1/1/W/AAA</t>
  </si>
  <si>
    <t>50*50-66-1</t>
  </si>
  <si>
    <t>1.12</t>
  </si>
  <si>
    <t>1.02</t>
  </si>
  <si>
    <t>3052</t>
  </si>
  <si>
    <t>3174.08</t>
  </si>
  <si>
    <t>F/75/150/58/190.5/2/2/W/HAA</t>
  </si>
  <si>
    <t>567.84</t>
  </si>
  <si>
    <t>F/75/200/62/190.5/2/2/B/AAA</t>
  </si>
  <si>
    <t>62.0</t>
  </si>
  <si>
    <t>1.28</t>
  </si>
  <si>
    <t>6193</t>
  </si>
  <si>
    <t>548</t>
  </si>
  <si>
    <t>F/75/300/70/190.5/2/2/W/AA</t>
  </si>
  <si>
    <t>772.68</t>
  </si>
  <si>
    <t>10515</t>
  </si>
  <si>
    <t>14826.15</t>
  </si>
  <si>
    <t>97995</t>
  </si>
  <si>
    <t>138</t>
  </si>
  <si>
    <t>S21325-6</t>
  </si>
  <si>
    <t>87215.55</t>
  </si>
  <si>
    <t>F/75/75/43/190.5/2/2/B/AAA</t>
  </si>
  <si>
    <t>0.94</t>
  </si>
  <si>
    <t>15356</t>
  </si>
  <si>
    <t>13206.16</t>
  </si>
  <si>
    <t>499.41</t>
  </si>
  <si>
    <t>13895</t>
  </si>
  <si>
    <t>12922.35</t>
  </si>
  <si>
    <t>7573</t>
  </si>
  <si>
    <t>6815.7</t>
  </si>
  <si>
    <t>R19110112</t>
  </si>
  <si>
    <t>R19103101</t>
  </si>
  <si>
    <t>R19103102</t>
  </si>
  <si>
    <t>R19103103</t>
  </si>
  <si>
    <t>R19103106</t>
  </si>
  <si>
    <t>R19103105</t>
    <phoneticPr fontId="1" type="noConversion"/>
  </si>
  <si>
    <t>R19103107</t>
  </si>
  <si>
    <t>R19103108</t>
  </si>
  <si>
    <t>R19103109</t>
  </si>
  <si>
    <t>R19103110</t>
  </si>
  <si>
    <t>R19103111</t>
  </si>
  <si>
    <t>R19103113</t>
  </si>
  <si>
    <t>R19103115</t>
  </si>
  <si>
    <t>R19110104R19103116</t>
    <phoneticPr fontId="1" type="noConversion"/>
  </si>
  <si>
    <t>R19103119</t>
  </si>
  <si>
    <t>R19103120</t>
  </si>
  <si>
    <t>R19103121</t>
  </si>
  <si>
    <t>222</t>
  </si>
  <si>
    <t>57</t>
  </si>
  <si>
    <t>238.8</t>
  </si>
  <si>
    <t>2660.232</t>
  </si>
  <si>
    <t>A5038dw</t>
  </si>
  <si>
    <t>A5036xlh</t>
  </si>
  <si>
    <t>A5036xlh</t>
    <phoneticPr fontId="1" type="noConversion"/>
  </si>
  <si>
    <t>1920</t>
  </si>
  <si>
    <t>17587.2</t>
  </si>
  <si>
    <t>100</t>
  </si>
  <si>
    <t>1856</t>
  </si>
  <si>
    <t>280</t>
  </si>
  <si>
    <t>5208</t>
  </si>
  <si>
    <t>3891.3</t>
  </si>
  <si>
    <t>120</t>
  </si>
  <si>
    <t>35371.917</t>
  </si>
  <si>
    <t>R19103001-R19103006</t>
    <phoneticPr fontId="1" type="noConversion"/>
  </si>
  <si>
    <t>R19103012</t>
  </si>
  <si>
    <t>R19103013</t>
  </si>
  <si>
    <t>R19103014</t>
  </si>
  <si>
    <t>R19103018</t>
  </si>
  <si>
    <t>R19103020</t>
  </si>
  <si>
    <t>A195B555</t>
    <phoneticPr fontId="1" type="noConversion"/>
  </si>
  <si>
    <t>R19103022</t>
  </si>
  <si>
    <t>黑204，漂白210</t>
    <phoneticPr fontId="1" type="noConversion"/>
  </si>
  <si>
    <t>H-H5563550961</t>
  </si>
  <si>
    <t>R19102901</t>
  </si>
  <si>
    <t>春盛</t>
    <phoneticPr fontId="1" type="noConversion"/>
  </si>
  <si>
    <t>55/24</t>
    <phoneticPr fontId="1" type="noConversion"/>
  </si>
  <si>
    <t>399.7</t>
  </si>
  <si>
    <t>3929.051</t>
  </si>
  <si>
    <t>67</t>
  </si>
  <si>
    <t>R19102902</t>
  </si>
  <si>
    <t>R19102920</t>
  </si>
  <si>
    <t>40</t>
    <phoneticPr fontId="1" type="noConversion"/>
  </si>
  <si>
    <t>R19102921</t>
  </si>
  <si>
    <t>R19102922</t>
  </si>
  <si>
    <t>R19103021/R19102927/R19102928</t>
    <phoneticPr fontId="1" type="noConversion"/>
  </si>
  <si>
    <t>R19110206</t>
  </si>
  <si>
    <t>R19110207</t>
  </si>
  <si>
    <t>R19110213</t>
  </si>
  <si>
    <t>R19103112/R19110214</t>
    <phoneticPr fontId="1" type="noConversion"/>
  </si>
  <si>
    <t>清库存R19102805</t>
    <phoneticPr fontId="1" type="noConversion"/>
  </si>
  <si>
    <t>R19102706</t>
  </si>
  <si>
    <t>R19102707</t>
  </si>
  <si>
    <t>R19102709</t>
  </si>
  <si>
    <t>R19102718</t>
  </si>
  <si>
    <t>R19102719</t>
  </si>
  <si>
    <t>R19102720</t>
  </si>
  <si>
    <t>R19102721</t>
  </si>
  <si>
    <t>A70-2C419</t>
  </si>
  <si>
    <t>A70-2C419</t>
    <phoneticPr fontId="1" type="noConversion"/>
  </si>
  <si>
    <t>7520018862</t>
    <phoneticPr fontId="1" type="noConversion"/>
  </si>
  <si>
    <t>75200190.562</t>
    <phoneticPr fontId="1" type="noConversion"/>
  </si>
  <si>
    <t>10020018886</t>
    <phoneticPr fontId="1" type="noConversion"/>
  </si>
  <si>
    <t>R19110301</t>
  </si>
  <si>
    <t>R19110302</t>
  </si>
  <si>
    <t>R19102704/R19110303</t>
    <phoneticPr fontId="1" type="noConversion"/>
  </si>
  <si>
    <t>R19110304</t>
  </si>
  <si>
    <t>R19110305</t>
  </si>
  <si>
    <t>R19110110/R19110111/R19110306</t>
    <phoneticPr fontId="1" type="noConversion"/>
  </si>
  <si>
    <t>R19110307</t>
  </si>
  <si>
    <t>56*56</t>
    <phoneticPr fontId="1" type="noConversion"/>
  </si>
  <si>
    <t>R19110308</t>
  </si>
  <si>
    <t>R19110309/R19110310</t>
    <phoneticPr fontId="1" type="noConversion"/>
  </si>
  <si>
    <t>R19110311/R19110312</t>
    <phoneticPr fontId="1" type="noConversion"/>
  </si>
  <si>
    <t>需加弹量</t>
    <phoneticPr fontId="1" type="noConversion"/>
  </si>
  <si>
    <t>75100190.550</t>
    <phoneticPr fontId="1" type="noConversion"/>
  </si>
  <si>
    <t>AAAA</t>
    <phoneticPr fontId="1" type="noConversion"/>
  </si>
  <si>
    <t>505019035</t>
    <phoneticPr fontId="1" type="noConversion"/>
  </si>
  <si>
    <t>75150190.554</t>
    <phoneticPr fontId="1" type="noConversion"/>
  </si>
  <si>
    <t>75300190.570</t>
    <phoneticPr fontId="1" type="noConversion"/>
  </si>
  <si>
    <t>10030018896</t>
    <phoneticPr fontId="1" type="noConversion"/>
  </si>
  <si>
    <t>200300180106</t>
    <phoneticPr fontId="1" type="noConversion"/>
  </si>
  <si>
    <t>HAAAA</t>
    <phoneticPr fontId="1" type="noConversion"/>
  </si>
  <si>
    <t>次布</t>
    <phoneticPr fontId="1" type="noConversion"/>
  </si>
  <si>
    <t>辅助</t>
    <phoneticPr fontId="1" type="noConversion"/>
  </si>
  <si>
    <t>22627.7</t>
  </si>
  <si>
    <t>732.5</t>
  </si>
  <si>
    <t>216320.812</t>
  </si>
  <si>
    <t>551</t>
  </si>
  <si>
    <t>74.5</t>
  </si>
  <si>
    <t>威尔外加工</t>
  </si>
  <si>
    <t>737.2</t>
  </si>
  <si>
    <t>10962.164</t>
  </si>
  <si>
    <t>2454</t>
  </si>
  <si>
    <t>F/20/2017/197/1/1/W/HAAAA</t>
  </si>
  <si>
    <t>1.06</t>
  </si>
  <si>
    <t>2601.24</t>
  </si>
  <si>
    <t>1836</t>
  </si>
  <si>
    <t>3341.52</t>
  </si>
  <si>
    <t>241846</t>
  </si>
  <si>
    <t>507</t>
  </si>
  <si>
    <t>377279.76</t>
  </si>
  <si>
    <t>26904</t>
  </si>
  <si>
    <t>22868.4</t>
  </si>
  <si>
    <t>850</t>
  </si>
  <si>
    <t>1703</t>
  </si>
  <si>
    <t>2333.11</t>
  </si>
  <si>
    <t>2827</t>
  </si>
  <si>
    <t>16173</t>
  </si>
  <si>
    <t>18113.76</t>
  </si>
  <si>
    <t>440</t>
  </si>
  <si>
    <t>F/75/100/50/190.5/2/2/B/AA</t>
  </si>
  <si>
    <t>1.07</t>
  </si>
  <si>
    <t>470.8</t>
  </si>
  <si>
    <t>6983</t>
  </si>
  <si>
    <t>6494.19</t>
  </si>
  <si>
    <t>17397</t>
  </si>
  <si>
    <t>16353.18</t>
  </si>
  <si>
    <t>改机通知单</t>
    <phoneticPr fontId="1" type="noConversion"/>
  </si>
  <si>
    <t>车间:</t>
    <phoneticPr fontId="1" type="noConversion"/>
  </si>
  <si>
    <t>日期:</t>
    <phoneticPr fontId="1" type="noConversion"/>
  </si>
  <si>
    <t>原品种</t>
    <phoneticPr fontId="1" type="noConversion"/>
  </si>
  <si>
    <t>改机品种</t>
    <phoneticPr fontId="1" type="noConversion"/>
  </si>
  <si>
    <t>数量</t>
    <phoneticPr fontId="1" type="noConversion"/>
  </si>
  <si>
    <t>机台数量</t>
    <phoneticPr fontId="1" type="noConversion"/>
  </si>
  <si>
    <t>订单号</t>
    <phoneticPr fontId="1" type="noConversion"/>
  </si>
  <si>
    <t>直平纹</t>
    <phoneticPr fontId="1" type="noConversion"/>
  </si>
  <si>
    <t>A10B499</t>
    <phoneticPr fontId="1" type="noConversion"/>
  </si>
  <si>
    <t>20*20</t>
    <phoneticPr fontId="1" type="noConversion"/>
  </si>
  <si>
    <t>R19103122</t>
    <phoneticPr fontId="1" type="noConversion"/>
  </si>
  <si>
    <t>A35B431</t>
    <phoneticPr fontId="0" type="Hiragana"/>
  </si>
  <si>
    <t>H-H5563550961</t>
    <phoneticPr fontId="1" type="noConversion"/>
  </si>
  <si>
    <t>305019031</t>
    <phoneticPr fontId="1" type="noConversion"/>
  </si>
  <si>
    <t>HAAA</t>
    <phoneticPr fontId="1" type="noConversion"/>
  </si>
  <si>
    <t>H-H5563550961</t>
    <phoneticPr fontId="1" type="noConversion"/>
  </si>
  <si>
    <t>200网络</t>
    <phoneticPr fontId="1" type="noConversion"/>
  </si>
  <si>
    <t xml:space="preserve">徐明彬 </t>
  </si>
  <si>
    <t>54028</t>
  </si>
  <si>
    <t>47</t>
  </si>
  <si>
    <t>44302.96</t>
  </si>
  <si>
    <t>15497</t>
  </si>
  <si>
    <t>12552.57</t>
  </si>
  <si>
    <t>2587</t>
  </si>
  <si>
    <t>22756</t>
  </si>
  <si>
    <t>31175.72</t>
  </si>
  <si>
    <t>徐明彬加工</t>
  </si>
  <si>
    <t>5463</t>
  </si>
  <si>
    <t>30*50-2</t>
  </si>
  <si>
    <t>31.0</t>
  </si>
  <si>
    <t>4643.55</t>
  </si>
  <si>
    <t>11063</t>
  </si>
  <si>
    <t>10731.11</t>
  </si>
  <si>
    <t>5332</t>
  </si>
  <si>
    <t>5438.64</t>
  </si>
  <si>
    <t>36155</t>
  </si>
  <si>
    <t>32539.5</t>
  </si>
  <si>
    <t>10466</t>
  </si>
  <si>
    <t>9314.74</t>
  </si>
  <si>
    <t>A5038w</t>
    <phoneticPr fontId="1" type="noConversion"/>
  </si>
  <si>
    <t>A10B572</t>
    <phoneticPr fontId="1" type="noConversion"/>
  </si>
  <si>
    <t>27直平纹</t>
    <phoneticPr fontId="1" type="noConversion"/>
  </si>
  <si>
    <t>B7545W</t>
    <phoneticPr fontId="0" type="Hiragana"/>
  </si>
  <si>
    <t>A5032dw</t>
    <phoneticPr fontId="1" type="noConversion"/>
  </si>
  <si>
    <t>B5034w</t>
    <phoneticPr fontId="0" type="Hiragana"/>
  </si>
  <si>
    <t>未完成
件数</t>
    <phoneticPr fontId="0" type="Hiragana"/>
  </si>
  <si>
    <t>50D/75D白丝中未去除高温丝,无温丝</t>
    <phoneticPr fontId="1" type="noConversion"/>
  </si>
  <si>
    <t>计划单号</t>
    <phoneticPr fontId="0" type="Hiragana"/>
  </si>
  <si>
    <t>R19110401/R19110402</t>
    <phoneticPr fontId="1" type="noConversion"/>
  </si>
  <si>
    <t>R19110408</t>
  </si>
  <si>
    <t>启东千帆印染有限公司</t>
    <phoneticPr fontId="1" type="noConversion"/>
  </si>
  <si>
    <t>姓名</t>
    <phoneticPr fontId="1" type="noConversion"/>
  </si>
  <si>
    <t>岗位</t>
    <phoneticPr fontId="1" type="noConversion"/>
  </si>
  <si>
    <t>职位</t>
    <phoneticPr fontId="1" type="noConversion"/>
  </si>
  <si>
    <t>陈池</t>
    <phoneticPr fontId="1" type="noConversion"/>
  </si>
  <si>
    <t>生产部</t>
    <phoneticPr fontId="1" type="noConversion"/>
  </si>
  <si>
    <t>总经理</t>
    <phoneticPr fontId="1" type="noConversion"/>
  </si>
  <si>
    <t>余小明</t>
    <phoneticPr fontId="1" type="noConversion"/>
  </si>
  <si>
    <t>加弹部</t>
    <phoneticPr fontId="1" type="noConversion"/>
  </si>
  <si>
    <t>经理</t>
    <phoneticPr fontId="1" type="noConversion"/>
  </si>
  <si>
    <t>联系电话</t>
    <phoneticPr fontId="1" type="noConversion"/>
  </si>
  <si>
    <t>刘涛</t>
    <phoneticPr fontId="1" type="noConversion"/>
  </si>
  <si>
    <t>施宏声</t>
    <phoneticPr fontId="1" type="noConversion"/>
  </si>
  <si>
    <t>沈海荣</t>
    <phoneticPr fontId="1" type="noConversion"/>
  </si>
  <si>
    <t>织造一部(大园机)</t>
    <phoneticPr fontId="1" type="noConversion"/>
  </si>
  <si>
    <t>织造二部(小园机)</t>
    <phoneticPr fontId="1" type="noConversion"/>
  </si>
  <si>
    <t>织造三部(喷水)</t>
    <phoneticPr fontId="1" type="noConversion"/>
  </si>
  <si>
    <t>李平义</t>
    <phoneticPr fontId="1" type="noConversion"/>
  </si>
  <si>
    <t>染整部</t>
    <phoneticPr fontId="1" type="noConversion"/>
  </si>
  <si>
    <t>汤珺</t>
    <phoneticPr fontId="1" type="noConversion"/>
  </si>
  <si>
    <t>涂复部</t>
    <phoneticPr fontId="1" type="noConversion"/>
  </si>
  <si>
    <t>郭健辉</t>
    <phoneticPr fontId="1" type="noConversion"/>
  </si>
  <si>
    <t>设备部</t>
    <phoneticPr fontId="1" type="noConversion"/>
  </si>
  <si>
    <t>地址:江苏省启东市滨江精细化工园滨江路8号</t>
    <phoneticPr fontId="1" type="noConversion"/>
  </si>
  <si>
    <t>尺针</t>
    <phoneticPr fontId="1" type="noConversion"/>
  </si>
  <si>
    <t>30-32</t>
    <phoneticPr fontId="1" type="noConversion"/>
  </si>
  <si>
    <t>30-28</t>
    <phoneticPr fontId="1" type="noConversion"/>
  </si>
  <si>
    <t>26-28</t>
    <phoneticPr fontId="1" type="noConversion"/>
  </si>
  <si>
    <t>30-24</t>
    <phoneticPr fontId="1" type="noConversion"/>
  </si>
  <si>
    <t>30-20</t>
    <phoneticPr fontId="1" type="noConversion"/>
  </si>
  <si>
    <t>机台数</t>
    <phoneticPr fontId="1" type="noConversion"/>
  </si>
  <si>
    <t>克重</t>
    <phoneticPr fontId="1" type="noConversion"/>
  </si>
  <si>
    <t>纹路</t>
    <phoneticPr fontId="1" type="noConversion"/>
  </si>
  <si>
    <t>小w黑丝</t>
    <phoneticPr fontId="1" type="noConversion"/>
  </si>
  <si>
    <t>A23</t>
    <phoneticPr fontId="1" type="noConversion"/>
  </si>
  <si>
    <t>未完成</t>
    <phoneticPr fontId="1" type="noConversion"/>
  </si>
  <si>
    <t>9.85</t>
  </si>
  <si>
    <t>12.3</t>
  </si>
  <si>
    <t>226.628</t>
  </si>
  <si>
    <t>174</t>
  </si>
  <si>
    <t>A31</t>
    <phoneticPr fontId="1" type="noConversion"/>
  </si>
  <si>
    <t>小W</t>
    <phoneticPr fontId="1" type="noConversion"/>
  </si>
  <si>
    <t>A5035w32</t>
    <phoneticPr fontId="0" type="Hiragana"/>
  </si>
  <si>
    <t>A5035w 32针</t>
    <phoneticPr fontId="1" type="noConversion"/>
  </si>
  <si>
    <t>R19102411</t>
  </si>
  <si>
    <t>R19102128</t>
    <phoneticPr fontId="1" type="noConversion"/>
  </si>
  <si>
    <t>未织件数</t>
    <phoneticPr fontId="1" type="noConversion"/>
  </si>
  <si>
    <t>未织米数</t>
    <phoneticPr fontId="1" type="noConversion"/>
  </si>
  <si>
    <t>A5035w32</t>
    <phoneticPr fontId="1" type="noConversion"/>
  </si>
  <si>
    <t>248.5</t>
  </si>
  <si>
    <t>6542.4</t>
  </si>
  <si>
    <t>59077.872</t>
  </si>
  <si>
    <t>7.53</t>
  </si>
  <si>
    <t>4785</t>
  </si>
  <si>
    <t>6.86</t>
  </si>
  <si>
    <t>32825.1</t>
  </si>
  <si>
    <t>802</t>
  </si>
  <si>
    <t>19.92</t>
  </si>
  <si>
    <t>15975.84</t>
  </si>
  <si>
    <t>24290</t>
  </si>
  <si>
    <t>31334.1</t>
  </si>
  <si>
    <t>2.52</t>
  </si>
  <si>
    <t>3671.64</t>
  </si>
  <si>
    <t>22193.16</t>
  </si>
  <si>
    <t>1.26</t>
  </si>
  <si>
    <t>787.5</t>
  </si>
  <si>
    <t>1173</t>
  </si>
  <si>
    <t>3901.26</t>
  </si>
  <si>
    <t>1.36</t>
  </si>
  <si>
    <t>3518.32</t>
  </si>
  <si>
    <t>3159.28</t>
  </si>
  <si>
    <t>1.55</t>
  </si>
  <si>
    <t>37385</t>
  </si>
  <si>
    <t>47852.8</t>
  </si>
  <si>
    <t>1.33</t>
  </si>
  <si>
    <t>8236.69</t>
  </si>
  <si>
    <t>3436.4</t>
  </si>
  <si>
    <t>2351.52</t>
  </si>
  <si>
    <t>未完成米数</t>
    <phoneticPr fontId="1" type="noConversion"/>
  </si>
  <si>
    <t>预计天数</t>
    <phoneticPr fontId="1" type="noConversion"/>
  </si>
  <si>
    <t>辅助1</t>
    <phoneticPr fontId="1" type="noConversion"/>
  </si>
  <si>
    <t>A5036w</t>
    <phoneticPr fontId="1" type="noConversion"/>
  </si>
  <si>
    <t>本白</t>
    <phoneticPr fontId="1" type="noConversion"/>
  </si>
  <si>
    <t>A187B577</t>
    <phoneticPr fontId="1" type="noConversion"/>
  </si>
  <si>
    <t>A5036小w</t>
    <phoneticPr fontId="1" type="noConversion"/>
  </si>
  <si>
    <t>小w</t>
    <phoneticPr fontId="1" type="noConversion"/>
  </si>
  <si>
    <t>R19110510</t>
  </si>
  <si>
    <t>R19110512</t>
  </si>
  <si>
    <t>R19110513</t>
  </si>
  <si>
    <t>R19110514</t>
  </si>
  <si>
    <t>R19110515</t>
  </si>
  <si>
    <t>R19110516</t>
  </si>
  <si>
    <t>R19101804/R19101911/R19102010/R19102216/R19110521</t>
    <phoneticPr fontId="1" type="noConversion"/>
  </si>
  <si>
    <t>303019223</t>
    <phoneticPr fontId="1" type="noConversion"/>
  </si>
  <si>
    <t>507519044</t>
    <phoneticPr fontId="1" type="noConversion"/>
  </si>
  <si>
    <t>12615.3</t>
  </si>
  <si>
    <t>434</t>
  </si>
  <si>
    <t>239186.088</t>
  </si>
  <si>
    <t>675.31</t>
  </si>
  <si>
    <t>5794.1598</t>
  </si>
  <si>
    <t>DTY喷水经丝HP06074355/966.86</t>
  </si>
  <si>
    <t>DTY喷水经丝H-H5563550961355/967.53</t>
  </si>
  <si>
    <t>A5032W</t>
    <phoneticPr fontId="1" type="noConversion"/>
  </si>
  <si>
    <t>亚白</t>
    <phoneticPr fontId="1" type="noConversion"/>
  </si>
  <si>
    <t>XSDC420</t>
  </si>
  <si>
    <t>XSDC420</t>
    <phoneticPr fontId="1" type="noConversion"/>
  </si>
  <si>
    <t>备注</t>
    <phoneticPr fontId="1" type="noConversion"/>
  </si>
  <si>
    <t>修改为A5038w</t>
    <phoneticPr fontId="1" type="noConversion"/>
  </si>
  <si>
    <t>提取未完成客户名</t>
    <phoneticPr fontId="1" type="noConversion"/>
  </si>
  <si>
    <t>plan</t>
    <phoneticPr fontId="1" type="noConversion"/>
  </si>
  <si>
    <t xml:space="preserve">未完成 </t>
    <phoneticPr fontId="1" type="noConversion"/>
  </si>
  <si>
    <t>未完成栏数据有误</t>
    <phoneticPr fontId="1" type="noConversion"/>
  </si>
  <si>
    <t>喷水计划汇总表</t>
    <phoneticPr fontId="1" type="noConversion"/>
  </si>
  <si>
    <t>颜色</t>
    <phoneticPr fontId="0" type="Hiragana"/>
  </si>
  <si>
    <t>123</t>
  </si>
  <si>
    <t>580</t>
  </si>
  <si>
    <t>19.5</t>
  </si>
  <si>
    <t>11.05</t>
  </si>
  <si>
    <t>6409</t>
  </si>
  <si>
    <t>175度高温丝</t>
  </si>
  <si>
    <t>14066.32</t>
  </si>
  <si>
    <t>103528.1152</t>
  </si>
  <si>
    <t>3947.64</t>
  </si>
  <si>
    <t>127</t>
  </si>
  <si>
    <t>47292.7272</t>
  </si>
  <si>
    <t>12050</t>
  </si>
  <si>
    <t>398.5</t>
  </si>
  <si>
    <t>100497</t>
  </si>
  <si>
    <t>4567.8</t>
  </si>
  <si>
    <t>156.5</t>
  </si>
  <si>
    <t>77561.244</t>
  </si>
  <si>
    <t>7041</t>
  </si>
  <si>
    <t>53018.73</t>
  </si>
  <si>
    <t>8638.32</t>
  </si>
  <si>
    <t>251.5</t>
  </si>
  <si>
    <t>121368.396</t>
  </si>
  <si>
    <t>3342.3</t>
  </si>
  <si>
    <t>32921.655</t>
  </si>
  <si>
    <t>2799.4</t>
  </si>
  <si>
    <t>142</t>
  </si>
  <si>
    <t>29701.634</t>
  </si>
  <si>
    <t>53.3</t>
  </si>
  <si>
    <t>655.59</t>
  </si>
  <si>
    <t>98.3</t>
  </si>
  <si>
    <t>3606.627</t>
  </si>
  <si>
    <t>519.3</t>
  </si>
  <si>
    <t>10380.807</t>
  </si>
  <si>
    <t>14050</t>
  </si>
  <si>
    <t>21918</t>
  </si>
  <si>
    <t>5150</t>
  </si>
  <si>
    <t>6231.5</t>
  </si>
  <si>
    <t>25170</t>
  </si>
  <si>
    <t>40020.3</t>
  </si>
  <si>
    <t>14810</t>
  </si>
  <si>
    <t>18216.3</t>
  </si>
  <si>
    <t>21773</t>
  </si>
  <si>
    <t>22643.92</t>
  </si>
  <si>
    <t>24050</t>
  </si>
  <si>
    <t>30543.5</t>
  </si>
  <si>
    <t>78485</t>
  </si>
  <si>
    <t>71421.35</t>
  </si>
  <si>
    <t>50457</t>
  </si>
  <si>
    <t>52979.85</t>
  </si>
  <si>
    <t>21299</t>
  </si>
  <si>
    <t>18317.14</t>
  </si>
  <si>
    <t>9773</t>
  </si>
  <si>
    <t>11043.49</t>
  </si>
  <si>
    <t>93209</t>
  </si>
  <si>
    <t>70</t>
  </si>
  <si>
    <t>89480.64</t>
  </si>
  <si>
    <t>46100</t>
  </si>
  <si>
    <t>91739</t>
  </si>
  <si>
    <t>50900</t>
  </si>
  <si>
    <t>128</t>
  </si>
  <si>
    <t>102309</t>
  </si>
  <si>
    <t>8600</t>
  </si>
  <si>
    <t>20640</t>
  </si>
  <si>
    <t>4728</t>
  </si>
  <si>
    <t>4018.8</t>
  </si>
  <si>
    <t>28293</t>
  </si>
  <si>
    <t>24049.05</t>
  </si>
  <si>
    <t>67222</t>
  </si>
  <si>
    <t>66549.78</t>
  </si>
  <si>
    <t>2319</t>
  </si>
  <si>
    <t>6233</t>
  </si>
  <si>
    <t>5672.03</t>
  </si>
  <si>
    <t>3980</t>
  </si>
  <si>
    <t>3223.8</t>
  </si>
  <si>
    <t>64390</t>
  </si>
  <si>
    <t>52799.8</t>
  </si>
  <si>
    <t>17908</t>
  </si>
  <si>
    <t>16296.28</t>
  </si>
  <si>
    <t>2598</t>
  </si>
  <si>
    <t>30*50-3</t>
  </si>
  <si>
    <t>29145</t>
  </si>
  <si>
    <t>28270.65</t>
  </si>
  <si>
    <t>40382</t>
  </si>
  <si>
    <t>39170.54</t>
  </si>
  <si>
    <t>10525</t>
  </si>
  <si>
    <t>9998.75</t>
  </si>
  <si>
    <t>24518</t>
  </si>
  <si>
    <t>20595.12</t>
  </si>
  <si>
    <t>5195</t>
  </si>
  <si>
    <t>651</t>
  </si>
  <si>
    <t>13528</t>
  </si>
  <si>
    <t>12039.92</t>
  </si>
  <si>
    <t>14082</t>
  </si>
  <si>
    <t>21827.1</t>
  </si>
  <si>
    <t>15280</t>
  </si>
  <si>
    <t>17419.2</t>
  </si>
  <si>
    <t>42063</t>
  </si>
  <si>
    <t>37436.07</t>
  </si>
  <si>
    <t>56518</t>
  </si>
  <si>
    <t>89</t>
  </si>
  <si>
    <t>53692.1</t>
  </si>
  <si>
    <t>8250</t>
  </si>
  <si>
    <t>75*150-2</t>
  </si>
  <si>
    <t>F/75/200/62/190.5/2/2/W/AAA</t>
  </si>
  <si>
    <t>1.1</t>
  </si>
  <si>
    <t>2640</t>
  </si>
  <si>
    <t>13836</t>
  </si>
  <si>
    <t>16326.48</t>
  </si>
  <si>
    <t>211947</t>
  </si>
  <si>
    <t>407</t>
  </si>
  <si>
    <t>273411.63</t>
  </si>
  <si>
    <t>29050</t>
  </si>
  <si>
    <t>26435.5</t>
  </si>
  <si>
    <t>24304</t>
  </si>
  <si>
    <t>1.8</t>
  </si>
  <si>
    <t>43747.2</t>
  </si>
  <si>
    <t>30508</t>
  </si>
  <si>
    <t>26236.88</t>
  </si>
  <si>
    <t>37689</t>
  </si>
  <si>
    <t>51257.04</t>
  </si>
  <si>
    <t>205553</t>
  </si>
  <si>
    <t>400828.35</t>
  </si>
  <si>
    <t>25865</t>
  </si>
  <si>
    <t>白高温</t>
    <phoneticPr fontId="1" type="noConversion"/>
  </si>
  <si>
    <t>D/130/48/W/AAAA/0DTY圆机丝S21325130/4811.05</t>
  </si>
  <si>
    <t>白高温</t>
    <phoneticPr fontId="1" type="noConversion"/>
  </si>
  <si>
    <t>75D 175度高温丝</t>
    <phoneticPr fontId="1" type="noConversion"/>
  </si>
  <si>
    <t>园机</t>
    <phoneticPr fontId="1" type="noConversion"/>
  </si>
  <si>
    <t>A10B578</t>
    <phoneticPr fontId="1" type="noConversion"/>
  </si>
  <si>
    <t>a5032w</t>
    <phoneticPr fontId="1" type="noConversion"/>
  </si>
  <si>
    <t>灰色</t>
    <phoneticPr fontId="1" type="noConversion"/>
  </si>
  <si>
    <t>A10B578</t>
    <phoneticPr fontId="1" type="noConversion"/>
  </si>
  <si>
    <t>75D175度高温白</t>
  </si>
  <si>
    <t>75D175度高温白</t>
    <phoneticPr fontId="1" type="noConversion"/>
  </si>
  <si>
    <t>75D175度高温白</t>
    <phoneticPr fontId="1" type="noConversion"/>
  </si>
  <si>
    <t>R19110524/R19110525</t>
    <phoneticPr fontId="1" type="noConversion"/>
  </si>
  <si>
    <t>R19110526</t>
  </si>
  <si>
    <t>R19110527</t>
  </si>
  <si>
    <t>R19110528</t>
  </si>
  <si>
    <t>10030018882</t>
    <phoneticPr fontId="1" type="noConversion"/>
  </si>
  <si>
    <t>200300180135</t>
    <phoneticPr fontId="1" type="noConversion"/>
  </si>
  <si>
    <t>100*300</t>
    <phoneticPr fontId="1" type="noConversion"/>
  </si>
  <si>
    <t>外购</t>
    <phoneticPr fontId="1" type="noConversion"/>
  </si>
  <si>
    <t>30网络</t>
    <phoneticPr fontId="1" type="noConversion"/>
  </si>
  <si>
    <t>D/30/24/W/AAAA/0DTY喷水经丝1580230/2418.96</t>
  </si>
  <si>
    <t>A90C421</t>
    <phoneticPr fontId="1" type="noConversion"/>
  </si>
  <si>
    <t>A90C421</t>
    <phoneticPr fontId="1" type="noConversion"/>
  </si>
  <si>
    <t>R19110607</t>
  </si>
  <si>
    <t>R19110608</t>
  </si>
  <si>
    <t>R19110609</t>
  </si>
  <si>
    <t>3380</t>
  </si>
  <si>
    <t>52491.4</t>
  </si>
  <si>
    <t>389.2</t>
  </si>
  <si>
    <t>4129.412</t>
  </si>
  <si>
    <t>3252.3</t>
  </si>
  <si>
    <t>172</t>
  </si>
  <si>
    <t>44198.757</t>
  </si>
  <si>
    <t>1346.2</t>
  </si>
  <si>
    <t>13502.386</t>
  </si>
  <si>
    <t>1849.2</t>
  </si>
  <si>
    <t>26628.48</t>
  </si>
  <si>
    <t>284.8</t>
  </si>
  <si>
    <t>3574.24</t>
  </si>
  <si>
    <t>5391.8</t>
  </si>
  <si>
    <t>273</t>
  </si>
  <si>
    <t>116408.962</t>
  </si>
  <si>
    <t>573.5</t>
  </si>
  <si>
    <t>7375.21</t>
  </si>
  <si>
    <t>165.5</t>
  </si>
  <si>
    <t>1755.955</t>
  </si>
  <si>
    <t>1071.2</t>
  </si>
  <si>
    <t>11365.432</t>
  </si>
  <si>
    <t>504.2</t>
  </si>
  <si>
    <t>5616.788</t>
  </si>
  <si>
    <t>565.6</t>
  </si>
  <si>
    <t>4185.44</t>
  </si>
  <si>
    <t>974</t>
  </si>
  <si>
    <t>12291.88</t>
  </si>
  <si>
    <t>1525.6</t>
  </si>
  <si>
    <t>19619.216</t>
  </si>
  <si>
    <t>3589.3</t>
  </si>
  <si>
    <t>39984.802</t>
  </si>
  <si>
    <t>3787.1</t>
  </si>
  <si>
    <t>194</t>
  </si>
  <si>
    <t>46391.975</t>
  </si>
  <si>
    <t>3621</t>
  </si>
  <si>
    <t>32589</t>
  </si>
  <si>
    <t>5036</t>
  </si>
  <si>
    <t>41597.36</t>
  </si>
  <si>
    <t>17316</t>
  </si>
  <si>
    <t>210043.08</t>
  </si>
  <si>
    <t>4770.7</t>
  </si>
  <si>
    <t>39501.396</t>
  </si>
  <si>
    <t>2037.5</t>
  </si>
  <si>
    <t>21434.5</t>
  </si>
  <si>
    <t>D/89/48/W/AAA/0DTY圆机丝S2121189/489.56</t>
  </si>
  <si>
    <t>B5034w</t>
    <phoneticPr fontId="1" type="noConversion"/>
  </si>
  <si>
    <t>B5036Wgw</t>
    <phoneticPr fontId="1" type="noConversion"/>
  </si>
  <si>
    <t>产量
（件）</t>
    <phoneticPr fontId="0" type="Hiragana"/>
  </si>
  <si>
    <t>303014323</t>
    <phoneticPr fontId="1" type="noConversion"/>
  </si>
  <si>
    <t>A12B579</t>
    <phoneticPr fontId="1" type="noConversion"/>
  </si>
  <si>
    <t>202014617</t>
    <phoneticPr fontId="1" type="noConversion"/>
  </si>
  <si>
    <t>原为143实用146</t>
    <phoneticPr fontId="1" type="noConversion"/>
  </si>
</sst>
</file>

<file path=xl/styles.xml><?xml version="1.0" encoding="utf-8"?>
<styleSheet xmlns="http://schemas.openxmlformats.org/spreadsheetml/2006/main">
  <numFmts count="14">
    <numFmt numFmtId="176" formatCode="yyyy\-m\-d"/>
    <numFmt numFmtId="177" formatCode="#&quot;克&quot;"/>
    <numFmt numFmtId="178" formatCode="#&quot;D&quot;"/>
    <numFmt numFmtId="179" formatCode="#&quot;年&quot;"/>
    <numFmt numFmtId="180" formatCode="#&quot;月&quot;"/>
    <numFmt numFmtId="181" formatCode="#&quot;号&quot;"/>
    <numFmt numFmtId="182" formatCode="#&quot;件&quot;"/>
    <numFmt numFmtId="183" formatCode="#&quot;号机&quot;"/>
    <numFmt numFmtId="184" formatCode="0.00_);[Red]\(0.00\)"/>
    <numFmt numFmtId="185" formatCode="#&quot;kg&quot;"/>
    <numFmt numFmtId="186" formatCode="0.00_ "/>
    <numFmt numFmtId="187" formatCode="0_ "/>
    <numFmt numFmtId="188" formatCode="0.0_ "/>
    <numFmt numFmtId="189" formatCode="#/#"/>
  </numFmts>
  <fonts count="55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2"/>
      <color theme="1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  <font>
      <sz val="11"/>
      <color indexed="8"/>
      <name val="宋体"/>
      <family val="2"/>
      <scheme val="minor"/>
    </font>
    <font>
      <sz val="12"/>
      <name val="宋体"/>
      <family val="3"/>
      <charset val="134"/>
    </font>
    <font>
      <b/>
      <sz val="11"/>
      <color theme="1"/>
      <name val="宋体"/>
      <family val="3"/>
      <charset val="134"/>
      <scheme val="minor"/>
    </font>
    <font>
      <b/>
      <sz val="11"/>
      <color indexed="8"/>
      <name val="宋体"/>
      <family val="3"/>
      <charset val="134"/>
    </font>
    <font>
      <b/>
      <sz val="12"/>
      <color indexed="8"/>
      <name val="Calibri"/>
      <family val="2"/>
    </font>
    <font>
      <b/>
      <sz val="11"/>
      <color indexed="8"/>
      <name val="Calibri"/>
      <family val="2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b/>
      <sz val="16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</font>
    <font>
      <b/>
      <u/>
      <sz val="11"/>
      <color theme="1"/>
      <name val="宋体"/>
      <family val="3"/>
      <charset val="134"/>
    </font>
    <font>
      <b/>
      <u/>
      <sz val="11"/>
      <color theme="1"/>
      <name val="宋体"/>
      <family val="3"/>
      <charset val="134"/>
      <scheme val="minor"/>
    </font>
    <font>
      <b/>
      <sz val="12"/>
      <color indexed="8"/>
      <name val="宋体"/>
      <family val="3"/>
      <charset val="134"/>
    </font>
    <font>
      <sz val="11"/>
      <color theme="1"/>
      <name val="宋体"/>
      <family val="2"/>
      <scheme val="minor"/>
    </font>
    <font>
      <sz val="11"/>
      <color indexed="8"/>
      <name val="宋体"/>
      <family val="2"/>
      <scheme val="minor"/>
    </font>
    <font>
      <sz val="12"/>
      <name val="宋体"/>
      <family val="3"/>
      <charset val="134"/>
    </font>
    <font>
      <b/>
      <sz val="11"/>
      <color indexed="8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2"/>
      <color theme="1"/>
      <name val="宋体"/>
      <family val="3"/>
      <charset val="134"/>
    </font>
    <font>
      <sz val="12"/>
      <color rgb="FFFF0000"/>
      <name val="宋体"/>
      <family val="3"/>
      <charset val="134"/>
    </font>
    <font>
      <sz val="8"/>
      <name val="宋体"/>
      <family val="3"/>
      <charset val="134"/>
    </font>
    <font>
      <sz val="11"/>
      <name val="宋体"/>
      <family val="3"/>
      <charset val="134"/>
    </font>
    <font>
      <sz val="11"/>
      <color rgb="FFFF0000"/>
      <name val="宋体"/>
      <family val="3"/>
      <charset val="134"/>
    </font>
    <font>
      <sz val="11"/>
      <color indexed="8"/>
      <name val="宋体"/>
      <family val="3"/>
      <charset val="134"/>
    </font>
    <font>
      <b/>
      <sz val="11"/>
      <name val="宋体"/>
      <family val="3"/>
      <charset val="134"/>
    </font>
    <font>
      <b/>
      <sz val="11"/>
      <color rgb="FFFF0000"/>
      <name val="宋体"/>
      <family val="3"/>
      <charset val="134"/>
    </font>
    <font>
      <sz val="11"/>
      <color rgb="FF0070C0"/>
      <name val="宋体"/>
      <family val="3"/>
      <charset val="134"/>
    </font>
    <font>
      <sz val="12"/>
      <color indexed="10"/>
      <name val="宋体"/>
      <family val="3"/>
      <charset val="134"/>
    </font>
    <font>
      <sz val="12"/>
      <color theme="1"/>
      <name val="宋体"/>
      <family val="3"/>
      <charset val="134"/>
      <scheme val="minor"/>
    </font>
    <font>
      <b/>
      <sz val="10"/>
      <color theme="1"/>
      <name val="宋体"/>
      <family val="2"/>
      <charset val="134"/>
      <scheme val="minor"/>
    </font>
    <font>
      <b/>
      <sz val="10"/>
      <color theme="1"/>
      <name val="宋体"/>
      <family val="3"/>
      <charset val="134"/>
      <scheme val="minor"/>
    </font>
    <font>
      <sz val="9"/>
      <color rgb="FF003F59"/>
      <name val="Arial"/>
      <family val="2"/>
    </font>
    <font>
      <b/>
      <sz val="18"/>
      <color theme="1"/>
      <name val="宋体"/>
      <family val="3"/>
      <charset val="134"/>
      <scheme val="minor"/>
    </font>
    <font>
      <sz val="28"/>
      <color theme="1"/>
      <name val="宋体"/>
      <family val="2"/>
      <charset val="134"/>
      <scheme val="minor"/>
    </font>
    <font>
      <sz val="28"/>
      <color theme="1"/>
      <name val="宋体"/>
      <family val="3"/>
      <charset val="134"/>
      <scheme val="minor"/>
    </font>
  </fonts>
  <fills count="4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indexed="23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</fills>
  <borders count="34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dotted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90">
    <xf numFmtId="0" fontId="0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10" applyNumberFormat="0" applyFill="0" applyAlignment="0" applyProtection="0">
      <alignment vertical="center"/>
    </xf>
    <xf numFmtId="0" fontId="13" fillId="0" borderId="11" applyNumberFormat="0" applyFill="0" applyAlignment="0" applyProtection="0">
      <alignment vertical="center"/>
    </xf>
    <xf numFmtId="0" fontId="14" fillId="0" borderId="12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8" fillId="11" borderId="13" applyNumberFormat="0" applyAlignment="0" applyProtection="0">
      <alignment vertical="center"/>
    </xf>
    <xf numFmtId="0" fontId="19" fillId="12" borderId="14" applyNumberFormat="0" applyAlignment="0" applyProtection="0">
      <alignment vertical="center"/>
    </xf>
    <xf numFmtId="0" fontId="20" fillId="12" borderId="13" applyNumberFormat="0" applyAlignment="0" applyProtection="0">
      <alignment vertical="center"/>
    </xf>
    <xf numFmtId="0" fontId="21" fillId="0" borderId="15" applyNumberFormat="0" applyFill="0" applyAlignment="0" applyProtection="0">
      <alignment vertical="center"/>
    </xf>
    <xf numFmtId="0" fontId="22" fillId="13" borderId="16" applyNumberFormat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0" fillId="14" borderId="17" applyNumberFormat="0" applyFont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18" applyNumberFormat="0" applyFill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26" fillId="34" borderId="0" applyNumberFormat="0" applyBorder="0" applyAlignment="0" applyProtection="0">
      <alignment vertical="center"/>
    </xf>
    <xf numFmtId="0" fontId="26" fillId="35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2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4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6" fillId="0" borderId="0">
      <alignment vertical="center"/>
    </xf>
    <xf numFmtId="0" fontId="4" fillId="0" borderId="0">
      <alignment vertical="center"/>
    </xf>
    <xf numFmtId="0" fontId="48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</cellStyleXfs>
  <cellXfs count="39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shrinkToFit="1"/>
    </xf>
    <xf numFmtId="0" fontId="0" fillId="0" borderId="0" xfId="0" applyFill="1" applyAlignment="1">
      <alignment horizontal="center" vertical="center"/>
    </xf>
    <xf numFmtId="0" fontId="0" fillId="0" borderId="1" xfId="0" applyBorder="1" applyAlignment="1">
      <alignment horizontal="center" vertical="center" shrinkToFit="1"/>
    </xf>
    <xf numFmtId="177" fontId="0" fillId="0" borderId="1" xfId="0" applyNumberFormat="1" applyBorder="1" applyAlignment="1">
      <alignment horizontal="center" vertical="center" shrinkToFit="1"/>
    </xf>
    <xf numFmtId="177" fontId="0" fillId="0" borderId="1" xfId="0" applyNumberFormat="1" applyBorder="1" applyAlignment="1">
      <alignment horizontal="center" vertical="center"/>
    </xf>
    <xf numFmtId="178" fontId="0" fillId="0" borderId="1" xfId="0" applyNumberFormat="1" applyBorder="1" applyAlignment="1">
      <alignment horizontal="center" vertical="center" shrinkToFit="1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shrinkToFit="1"/>
    </xf>
    <xf numFmtId="0" fontId="0" fillId="0" borderId="2" xfId="0" applyBorder="1" applyAlignment="1">
      <alignment horizontal="center" vertical="center"/>
    </xf>
    <xf numFmtId="179" fontId="0" fillId="2" borderId="3" xfId="0" applyNumberFormat="1" applyFill="1" applyBorder="1" applyAlignment="1">
      <alignment horizontal="center" vertical="center"/>
    </xf>
    <xf numFmtId="180" fontId="0" fillId="2" borderId="3" xfId="0" applyNumberFormat="1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4" xfId="0" applyBorder="1" applyAlignment="1">
      <alignment horizontal="center" vertical="center" shrinkToFit="1"/>
    </xf>
    <xf numFmtId="0" fontId="0" fillId="3" borderId="4" xfId="0" applyFill="1" applyBorder="1" applyAlignment="1">
      <alignment horizontal="center" vertical="center"/>
    </xf>
    <xf numFmtId="181" fontId="0" fillId="4" borderId="4" xfId="0" applyNumberFormat="1" applyFill="1" applyBorder="1" applyAlignment="1">
      <alignment horizontal="center" vertical="center"/>
    </xf>
    <xf numFmtId="178" fontId="0" fillId="0" borderId="4" xfId="0" applyNumberFormat="1" applyBorder="1" applyAlignment="1">
      <alignment horizontal="center" vertical="center" shrinkToFit="1"/>
    </xf>
    <xf numFmtId="0" fontId="0" fillId="4" borderId="4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0" borderId="5" xfId="0" applyBorder="1" applyAlignment="1">
      <alignment horizontal="center" vertical="center" shrinkToFit="1"/>
    </xf>
    <xf numFmtId="0" fontId="0" fillId="0" borderId="5" xfId="0" applyBorder="1" applyAlignment="1">
      <alignment horizontal="center" vertical="center"/>
    </xf>
    <xf numFmtId="176" fontId="0" fillId="0" borderId="5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176" fontId="0" fillId="2" borderId="1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80" fontId="0" fillId="2" borderId="4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182" fontId="6" fillId="6" borderId="1" xfId="0" applyNumberFormat="1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182" fontId="0" fillId="6" borderId="1" xfId="0" applyNumberFormat="1" applyFill="1" applyBorder="1" applyAlignment="1">
      <alignment horizontal="center" vertical="center"/>
    </xf>
    <xf numFmtId="0" fontId="4" fillId="0" borderId="0" xfId="1" applyAlignment="1">
      <alignment horizontal="center" vertical="center"/>
    </xf>
    <xf numFmtId="0" fontId="0" fillId="0" borderId="6" xfId="0" applyBorder="1" applyAlignment="1">
      <alignment horizontal="center" vertical="center" shrinkToFi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0" xfId="0" applyNumberFormat="1" applyAlignment="1">
      <alignment horizontal="center" vertical="center" shrinkToFit="1"/>
    </xf>
    <xf numFmtId="0" fontId="6" fillId="0" borderId="1" xfId="0" applyFont="1" applyBorder="1" applyAlignment="1">
      <alignment horizontal="center" vertical="center" shrinkToFit="1"/>
    </xf>
    <xf numFmtId="0" fontId="6" fillId="0" borderId="1" xfId="0" applyFont="1" applyFill="1" applyBorder="1" applyAlignment="1">
      <alignment horizontal="center" vertical="center" shrinkToFit="1"/>
    </xf>
    <xf numFmtId="0" fontId="0" fillId="0" borderId="4" xfId="0" applyNumberFormat="1" applyBorder="1" applyAlignment="1">
      <alignment horizontal="center" vertical="center" shrinkToFit="1"/>
    </xf>
    <xf numFmtId="0" fontId="0" fillId="0" borderId="4" xfId="0" applyNumberFormat="1" applyBorder="1" applyAlignment="1">
      <alignment horizontal="center" vertical="center"/>
    </xf>
    <xf numFmtId="183" fontId="0" fillId="0" borderId="4" xfId="0" applyNumberForma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27" fillId="0" borderId="19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 shrinkToFit="1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left" vertical="top" wrapText="1" shrinkToFit="1"/>
    </xf>
    <xf numFmtId="0" fontId="0" fillId="0" borderId="4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80" fontId="0" fillId="39" borderId="4" xfId="0" applyNumberFormat="1" applyFill="1" applyBorder="1" applyAlignment="1">
      <alignment horizontal="center" vertical="center"/>
    </xf>
    <xf numFmtId="180" fontId="0" fillId="5" borderId="4" xfId="0" applyNumberFormat="1" applyFill="1" applyBorder="1" applyAlignment="1">
      <alignment horizontal="center" vertical="center"/>
    </xf>
    <xf numFmtId="180" fontId="0" fillId="40" borderId="4" xfId="0" applyNumberFormat="1" applyFill="1" applyBorder="1" applyAlignment="1">
      <alignment horizontal="center" vertical="center"/>
    </xf>
    <xf numFmtId="180" fontId="0" fillId="41" borderId="4" xfId="0" applyNumberFormat="1" applyFill="1" applyBorder="1" applyAlignment="1">
      <alignment horizontal="center" vertical="center"/>
    </xf>
    <xf numFmtId="183" fontId="0" fillId="42" borderId="4" xfId="0" applyNumberFormat="1" applyFill="1" applyBorder="1" applyAlignment="1">
      <alignment horizontal="center" vertical="center"/>
    </xf>
    <xf numFmtId="0" fontId="0" fillId="39" borderId="4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40" borderId="4" xfId="0" applyFill="1" applyBorder="1" applyAlignment="1">
      <alignment horizontal="center" vertical="center"/>
    </xf>
    <xf numFmtId="0" fontId="0" fillId="41" borderId="4" xfId="0" applyFill="1" applyBorder="1" applyAlignment="1">
      <alignment horizontal="center" vertical="center"/>
    </xf>
    <xf numFmtId="0" fontId="0" fillId="42" borderId="4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 shrinkToFit="1"/>
    </xf>
    <xf numFmtId="0" fontId="6" fillId="0" borderId="4" xfId="0" applyFont="1" applyBorder="1" applyAlignment="1">
      <alignment horizontal="center" vertical="center"/>
    </xf>
    <xf numFmtId="176" fontId="6" fillId="0" borderId="21" xfId="0" applyNumberFormat="1" applyFont="1" applyBorder="1" applyAlignment="1">
      <alignment horizontal="center" vertical="center"/>
    </xf>
    <xf numFmtId="176" fontId="6" fillId="0" borderId="4" xfId="0" applyNumberFormat="1" applyFont="1" applyBorder="1" applyAlignment="1">
      <alignment horizontal="center" vertical="center"/>
    </xf>
    <xf numFmtId="176" fontId="6" fillId="0" borderId="0" xfId="0" applyNumberFormat="1" applyFon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76" fontId="0" fillId="0" borderId="23" xfId="0" applyNumberFormat="1" applyBorder="1" applyAlignment="1">
      <alignment horizontal="center" vertical="center"/>
    </xf>
    <xf numFmtId="176" fontId="0" fillId="0" borderId="9" xfId="0" applyNumberFormat="1" applyBorder="1" applyAlignment="1">
      <alignment horizontal="center" vertical="center"/>
    </xf>
    <xf numFmtId="176" fontId="0" fillId="0" borderId="6" xfId="0" applyNumberFormat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4" xfId="0" applyBorder="1" applyAlignment="1">
      <alignment horizontal="center" vertical="center"/>
    </xf>
    <xf numFmtId="183" fontId="0" fillId="42" borderId="21" xfId="0" applyNumberFormat="1" applyFill="1" applyBorder="1" applyAlignment="1">
      <alignment horizontal="center" vertical="center"/>
    </xf>
    <xf numFmtId="0" fontId="0" fillId="42" borderId="21" xfId="0" applyFill="1" applyBorder="1" applyAlignment="1">
      <alignment horizontal="center" vertical="center"/>
    </xf>
    <xf numFmtId="179" fontId="0" fillId="39" borderId="4" xfId="0" applyNumberFormat="1" applyFill="1" applyBorder="1" applyAlignment="1">
      <alignment horizontal="center" vertical="center" shrinkToFi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49" fontId="0" fillId="0" borderId="5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0" fillId="0" borderId="8" xfId="0" applyNumberFormat="1" applyBorder="1" applyAlignment="1">
      <alignment horizontal="center" vertical="center"/>
    </xf>
    <xf numFmtId="49" fontId="0" fillId="0" borderId="9" xfId="0" applyNumberFormat="1" applyBorder="1" applyAlignment="1">
      <alignment horizontal="center" vertical="center"/>
    </xf>
    <xf numFmtId="49" fontId="0" fillId="0" borderId="4" xfId="0" applyNumberFormat="1" applyBorder="1" applyAlignment="1">
      <alignment horizontal="center" vertical="center"/>
    </xf>
    <xf numFmtId="49" fontId="0" fillId="2" borderId="1" xfId="0" applyNumberFormat="1" applyFill="1" applyBorder="1" applyAlignment="1">
      <alignment horizontal="center" vertical="center"/>
    </xf>
    <xf numFmtId="49" fontId="0" fillId="0" borderId="0" xfId="0" applyNumberFormat="1" applyAlignment="1">
      <alignment horizontal="center" vertical="center" shrinkToFit="1"/>
    </xf>
    <xf numFmtId="14" fontId="0" fillId="0" borderId="0" xfId="0" applyNumberFormat="1" applyAlignment="1">
      <alignment horizontal="center" vertical="center"/>
    </xf>
    <xf numFmtId="49" fontId="0" fillId="0" borderId="4" xfId="0" applyNumberFormat="1" applyBorder="1" applyAlignment="1">
      <alignment horizontal="center" vertical="center" shrinkToFit="1"/>
    </xf>
    <xf numFmtId="0" fontId="0" fillId="0" borderId="4" xfId="0" applyBorder="1" applyAlignment="1">
      <alignment horizontal="center" vertical="center" shrinkToFit="1"/>
    </xf>
    <xf numFmtId="0" fontId="0" fillId="0" borderId="4" xfId="0" applyBorder="1" applyAlignment="1">
      <alignment horizontal="center" vertical="center" shrinkToFit="1"/>
    </xf>
    <xf numFmtId="0" fontId="0" fillId="0" borderId="0" xfId="0" applyAlignment="1">
      <alignment horizontal="center" vertical="center"/>
    </xf>
    <xf numFmtId="0" fontId="28" fillId="0" borderId="1" xfId="0" applyFont="1" applyBorder="1" applyAlignment="1">
      <alignment horizontal="center" vertical="center"/>
    </xf>
    <xf numFmtId="0" fontId="0" fillId="0" borderId="21" xfId="0" applyBorder="1" applyAlignment="1">
      <alignment horizontal="center" vertical="center" shrinkToFit="1"/>
    </xf>
    <xf numFmtId="0" fontId="3" fillId="0" borderId="20" xfId="0" applyFont="1" applyBorder="1" applyAlignment="1">
      <alignment vertical="center"/>
    </xf>
    <xf numFmtId="184" fontId="0" fillId="0" borderId="5" xfId="0" applyNumberFormat="1" applyBorder="1" applyAlignment="1">
      <alignment horizontal="center" vertical="center"/>
    </xf>
    <xf numFmtId="184" fontId="0" fillId="0" borderId="1" xfId="0" applyNumberForma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5" xfId="0" applyNumberFormat="1" applyBorder="1" applyAlignment="1">
      <alignment horizontal="center" vertical="center"/>
    </xf>
    <xf numFmtId="185" fontId="0" fillId="0" borderId="0" xfId="0" applyNumberFormat="1" applyAlignment="1">
      <alignment horizontal="center" vertical="center" shrinkToFit="1"/>
    </xf>
    <xf numFmtId="0" fontId="0" fillId="0" borderId="4" xfId="0" applyBorder="1" applyAlignment="1">
      <alignment horizontal="center" vertical="center" shrinkToFit="1"/>
    </xf>
    <xf numFmtId="0" fontId="0" fillId="0" borderId="0" xfId="0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76" fontId="6" fillId="0" borderId="1" xfId="0" applyNumberFormat="1" applyFont="1" applyFill="1" applyBorder="1" applyAlignment="1">
      <alignment horizontal="center" vertical="center"/>
    </xf>
    <xf numFmtId="176" fontId="0" fillId="0" borderId="1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189" fontId="0" fillId="0" borderId="0" xfId="0" applyNumberFormat="1" applyAlignment="1">
      <alignment horizontal="center" vertical="center"/>
    </xf>
    <xf numFmtId="0" fontId="40" fillId="0" borderId="4" xfId="57" applyFont="1" applyFill="1" applyBorder="1" applyAlignment="1">
      <alignment horizontal="center" vertical="center"/>
    </xf>
    <xf numFmtId="0" fontId="41" fillId="0" borderId="4" xfId="57" applyFont="1" applyFill="1" applyBorder="1" applyAlignment="1">
      <alignment horizontal="center" vertical="center"/>
    </xf>
    <xf numFmtId="58" fontId="41" fillId="0" borderId="4" xfId="57" applyNumberFormat="1" applyFont="1" applyFill="1" applyBorder="1" applyAlignment="1">
      <alignment horizontal="center" vertical="center"/>
    </xf>
    <xf numFmtId="0" fontId="41" fillId="0" borderId="4" xfId="57" applyNumberFormat="1" applyFont="1" applyFill="1" applyBorder="1" applyAlignment="1">
      <alignment horizontal="center" vertical="center"/>
    </xf>
    <xf numFmtId="0" fontId="42" fillId="0" borderId="4" xfId="57" applyFont="1" applyFill="1" applyBorder="1" applyAlignment="1">
      <alignment horizontal="center" vertical="center"/>
    </xf>
    <xf numFmtId="187" fontId="5" fillId="0" borderId="4" xfId="57" applyNumberFormat="1" applyFont="1" applyFill="1" applyBorder="1" applyAlignment="1">
      <alignment horizontal="center" vertical="center"/>
    </xf>
    <xf numFmtId="187" fontId="38" fillId="0" borderId="4" xfId="57" applyNumberFormat="1" applyFont="1" applyFill="1" applyBorder="1" applyAlignment="1">
      <alignment horizontal="center" vertical="center"/>
    </xf>
    <xf numFmtId="187" fontId="39" fillId="0" borderId="4" xfId="57" applyNumberFormat="1" applyFont="1" applyFill="1" applyBorder="1" applyAlignment="1">
      <alignment horizontal="center" vertical="center"/>
    </xf>
    <xf numFmtId="188" fontId="5" fillId="0" borderId="4" xfId="57" applyNumberFormat="1" applyFont="1" applyFill="1" applyBorder="1" applyAlignment="1">
      <alignment horizontal="center" vertical="center"/>
    </xf>
    <xf numFmtId="0" fontId="41" fillId="0" borderId="4" xfId="57" applyFont="1" applyFill="1" applyBorder="1" applyAlignment="1">
      <alignment horizontal="center" vertical="center" wrapText="1"/>
    </xf>
    <xf numFmtId="58" fontId="41" fillId="0" borderId="4" xfId="57" applyNumberFormat="1" applyFont="1" applyFill="1" applyBorder="1" applyAlignment="1">
      <alignment horizontal="center" vertical="center" wrapText="1"/>
    </xf>
    <xf numFmtId="0" fontId="41" fillId="0" borderId="4" xfId="57" applyNumberFormat="1" applyFont="1" applyFill="1" applyBorder="1" applyAlignment="1">
      <alignment horizontal="center" vertical="center" wrapText="1"/>
    </xf>
    <xf numFmtId="0" fontId="28" fillId="0" borderId="4" xfId="57" applyFont="1" applyFill="1" applyBorder="1" applyAlignment="1">
      <alignment horizontal="center" vertical="center"/>
    </xf>
    <xf numFmtId="58" fontId="28" fillId="0" borderId="4" xfId="57" applyNumberFormat="1" applyFont="1" applyFill="1" applyBorder="1" applyAlignment="1">
      <alignment horizontal="center" vertical="center"/>
    </xf>
    <xf numFmtId="0" fontId="28" fillId="0" borderId="4" xfId="57" applyNumberFormat="1" applyFont="1" applyFill="1" applyBorder="1" applyAlignment="1">
      <alignment horizontal="center" vertical="center"/>
    </xf>
    <xf numFmtId="0" fontId="5" fillId="0" borderId="0" xfId="57" applyFont="1" applyFill="1" applyBorder="1" applyAlignment="1">
      <alignment horizontal="center" vertical="center"/>
    </xf>
    <xf numFmtId="0" fontId="5" fillId="0" borderId="4" xfId="57" applyFont="1" applyFill="1" applyBorder="1" applyAlignment="1">
      <alignment horizontal="center" vertical="center" wrapText="1"/>
    </xf>
    <xf numFmtId="187" fontId="39" fillId="0" borderId="4" xfId="57" applyNumberFormat="1" applyFont="1" applyFill="1" applyBorder="1" applyAlignment="1">
      <alignment horizontal="center" vertical="center" wrapText="1"/>
    </xf>
    <xf numFmtId="186" fontId="38" fillId="0" borderId="4" xfId="57" applyNumberFormat="1" applyFont="1" applyFill="1" applyBorder="1" applyAlignment="1">
      <alignment horizontal="center" vertical="center"/>
    </xf>
    <xf numFmtId="0" fontId="41" fillId="0" borderId="3" xfId="57" applyNumberFormat="1" applyFont="1" applyFill="1" applyBorder="1" applyAlignment="1">
      <alignment horizontal="center" vertical="center"/>
    </xf>
    <xf numFmtId="0" fontId="41" fillId="0" borderId="3" xfId="57" applyFont="1" applyFill="1" applyBorder="1" applyAlignment="1">
      <alignment horizontal="center" vertical="center"/>
    </xf>
    <xf numFmtId="0" fontId="39" fillId="0" borderId="4" xfId="57" applyFont="1" applyFill="1" applyBorder="1" applyAlignment="1">
      <alignment horizontal="center" vertical="center"/>
    </xf>
    <xf numFmtId="0" fontId="39" fillId="0" borderId="0" xfId="57" applyFont="1" applyFill="1" applyBorder="1" applyAlignment="1">
      <alignment horizontal="center" vertical="center"/>
    </xf>
    <xf numFmtId="186" fontId="39" fillId="0" borderId="4" xfId="57" applyNumberFormat="1" applyFont="1" applyFill="1" applyBorder="1" applyAlignment="1">
      <alignment horizontal="center" vertical="center"/>
    </xf>
    <xf numFmtId="187" fontId="38" fillId="0" borderId="3" xfId="57" applyNumberFormat="1" applyFont="1" applyFill="1" applyBorder="1" applyAlignment="1">
      <alignment horizontal="center" vertical="center"/>
    </xf>
    <xf numFmtId="0" fontId="5" fillId="0" borderId="4" xfId="57" applyNumberFormat="1" applyFont="1" applyFill="1" applyBorder="1" applyAlignment="1">
      <alignment horizontal="center" vertical="center"/>
    </xf>
    <xf numFmtId="0" fontId="5" fillId="0" borderId="4" xfId="57" applyFont="1" applyFill="1" applyBorder="1" applyAlignment="1">
      <alignment horizontal="center" vertical="center"/>
    </xf>
    <xf numFmtId="0" fontId="38" fillId="0" borderId="4" xfId="57" applyFont="1" applyFill="1" applyBorder="1" applyAlignment="1">
      <alignment horizontal="center" vertical="center"/>
    </xf>
    <xf numFmtId="186" fontId="5" fillId="0" borderId="4" xfId="57" applyNumberFormat="1" applyFont="1" applyFill="1" applyBorder="1" applyAlignment="1">
      <alignment horizontal="center" vertical="center"/>
    </xf>
    <xf numFmtId="0" fontId="5" fillId="0" borderId="3" xfId="57" applyFont="1" applyFill="1" applyBorder="1" applyAlignment="1">
      <alignment horizontal="center" vertical="center"/>
    </xf>
    <xf numFmtId="0" fontId="42" fillId="0" borderId="24" xfId="57" applyFont="1" applyFill="1" applyBorder="1" applyAlignment="1">
      <alignment horizontal="center" vertical="center"/>
    </xf>
    <xf numFmtId="0" fontId="5" fillId="0" borderId="3" xfId="57" applyNumberFormat="1" applyFont="1" applyFill="1" applyBorder="1" applyAlignment="1">
      <alignment horizontal="center" vertical="center"/>
    </xf>
    <xf numFmtId="0" fontId="38" fillId="0" borderId="3" xfId="57" applyFont="1" applyFill="1" applyBorder="1" applyAlignment="1">
      <alignment horizontal="center" vertical="center"/>
    </xf>
    <xf numFmtId="186" fontId="5" fillId="0" borderId="3" xfId="57" applyNumberFormat="1" applyFont="1" applyFill="1" applyBorder="1" applyAlignment="1">
      <alignment horizontal="center" vertical="center"/>
    </xf>
    <xf numFmtId="0" fontId="43" fillId="0" borderId="4" xfId="57" applyFont="1" applyFill="1" applyBorder="1" applyAlignment="1">
      <alignment horizontal="center" vertical="center"/>
    </xf>
    <xf numFmtId="58" fontId="43" fillId="0" borderId="4" xfId="57" applyNumberFormat="1" applyFont="1" applyFill="1" applyBorder="1" applyAlignment="1">
      <alignment horizontal="center" vertical="center"/>
    </xf>
    <xf numFmtId="0" fontId="43" fillId="0" borderId="4" xfId="57" applyNumberFormat="1" applyFont="1" applyFill="1" applyBorder="1" applyAlignment="1">
      <alignment horizontal="center" vertical="center"/>
    </xf>
    <xf numFmtId="0" fontId="37" fillId="0" borderId="4" xfId="57" applyFont="1" applyFill="1" applyBorder="1" applyAlignment="1">
      <alignment horizontal="center" vertical="center"/>
    </xf>
    <xf numFmtId="187" fontId="47" fillId="0" borderId="4" xfId="57" applyNumberFormat="1" applyFont="1" applyFill="1" applyBorder="1" applyAlignment="1">
      <alignment horizontal="center" vertical="center"/>
    </xf>
    <xf numFmtId="186" fontId="37" fillId="0" borderId="4" xfId="57" applyNumberFormat="1" applyFont="1" applyFill="1" applyBorder="1" applyAlignment="1">
      <alignment horizontal="center" vertical="center"/>
    </xf>
    <xf numFmtId="0" fontId="45" fillId="0" borderId="4" xfId="57" applyNumberFormat="1" applyFont="1" applyFill="1" applyBorder="1" applyAlignment="1">
      <alignment horizontal="center" vertical="center"/>
    </xf>
    <xf numFmtId="0" fontId="44" fillId="0" borderId="4" xfId="57" applyNumberFormat="1" applyFont="1" applyFill="1" applyBorder="1" applyAlignment="1">
      <alignment horizontal="center" vertical="center"/>
    </xf>
    <xf numFmtId="187" fontId="37" fillId="0" borderId="4" xfId="57" applyNumberFormat="1" applyFont="1" applyFill="1" applyBorder="1" applyAlignment="1">
      <alignment horizontal="center" vertical="center"/>
    </xf>
    <xf numFmtId="0" fontId="46" fillId="0" borderId="4" xfId="57" applyNumberFormat="1" applyFont="1" applyFill="1" applyBorder="1" applyAlignment="1">
      <alignment horizontal="center" vertical="center"/>
    </xf>
    <xf numFmtId="0" fontId="42" fillId="0" borderId="4" xfId="57" applyNumberFormat="1" applyFont="1" applyFill="1" applyBorder="1" applyAlignment="1">
      <alignment horizontal="center" vertical="center"/>
    </xf>
    <xf numFmtId="0" fontId="7" fillId="0" borderId="4" xfId="57" applyNumberFormat="1" applyFont="1" applyFill="1" applyBorder="1" applyAlignment="1">
      <alignment horizontal="center" vertical="center"/>
    </xf>
    <xf numFmtId="0" fontId="44" fillId="0" borderId="4" xfId="57" applyNumberFormat="1" applyFont="1" applyFill="1" applyBorder="1" applyAlignment="1">
      <alignment horizontal="center" vertical="center" wrapText="1"/>
    </xf>
    <xf numFmtId="186" fontId="5" fillId="0" borderId="4" xfId="57" applyNumberFormat="1" applyFont="1" applyFill="1" applyBorder="1" applyAlignment="1">
      <alignment horizontal="center" vertical="center" wrapText="1"/>
    </xf>
    <xf numFmtId="58" fontId="42" fillId="0" borderId="4" xfId="57" applyNumberFormat="1" applyFont="1" applyFill="1" applyBorder="1" applyAlignment="1">
      <alignment horizontal="center" vertical="center"/>
    </xf>
    <xf numFmtId="187" fontId="39" fillId="0" borderId="3" xfId="57" applyNumberFormat="1" applyFont="1" applyFill="1" applyBorder="1" applyAlignment="1">
      <alignment horizontal="center" vertical="center"/>
    </xf>
    <xf numFmtId="189" fontId="5" fillId="0" borderId="3" xfId="57" applyNumberFormat="1" applyFont="1" applyFill="1" applyBorder="1" applyAlignment="1">
      <alignment horizontal="center" vertical="center"/>
    </xf>
    <xf numFmtId="189" fontId="41" fillId="0" borderId="4" xfId="57" applyNumberFormat="1" applyFont="1" applyFill="1" applyBorder="1" applyAlignment="1">
      <alignment horizontal="center" vertical="center"/>
    </xf>
    <xf numFmtId="189" fontId="42" fillId="0" borderId="4" xfId="57" applyNumberFormat="1" applyFont="1" applyFill="1" applyBorder="1" applyAlignment="1">
      <alignment horizontal="center" vertical="center"/>
    </xf>
    <xf numFmtId="189" fontId="43" fillId="0" borderId="4" xfId="57" applyNumberFormat="1" applyFont="1" applyFill="1" applyBorder="1" applyAlignment="1">
      <alignment horizontal="center" vertical="center"/>
    </xf>
    <xf numFmtId="189" fontId="5" fillId="0" borderId="4" xfId="57" applyNumberFormat="1" applyFont="1" applyFill="1" applyBorder="1" applyAlignment="1">
      <alignment horizontal="center" vertical="center"/>
    </xf>
    <xf numFmtId="0" fontId="0" fillId="0" borderId="0" xfId="0" applyFill="1" applyAlignment="1">
      <alignment horizontal="center" vertical="center" shrinkToFit="1"/>
    </xf>
    <xf numFmtId="176" fontId="0" fillId="0" borderId="0" xfId="0" applyNumberFormat="1" applyAlignment="1">
      <alignment horizontal="center" vertical="center" shrinkToFit="1"/>
    </xf>
    <xf numFmtId="0" fontId="0" fillId="2" borderId="0" xfId="0" applyFill="1" applyBorder="1" applyAlignment="1">
      <alignment horizontal="center" vertical="center"/>
    </xf>
    <xf numFmtId="0" fontId="27" fillId="0" borderId="4" xfId="0" applyFont="1" applyBorder="1" applyAlignment="1">
      <alignment horizontal="center" vertical="center"/>
    </xf>
    <xf numFmtId="0" fontId="27" fillId="0" borderId="20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 shrinkToFit="1"/>
    </xf>
    <xf numFmtId="0" fontId="0" fillId="0" borderId="0" xfId="0" applyAlignment="1">
      <alignment horizontal="center" vertical="center"/>
    </xf>
    <xf numFmtId="0" fontId="29" fillId="0" borderId="0" xfId="0" applyFont="1" applyAlignment="1">
      <alignment horizontal="left" vertical="center"/>
    </xf>
    <xf numFmtId="0" fontId="30" fillId="0" borderId="0" xfId="0" applyFont="1" applyAlignment="1">
      <alignment horizontal="left" vertical="center"/>
    </xf>
    <xf numFmtId="0" fontId="30" fillId="0" borderId="0" xfId="0" applyFont="1" applyBorder="1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0" fillId="0" borderId="4" xfId="0" applyBorder="1" applyAlignment="1">
      <alignment horizontal="center" vertical="center"/>
    </xf>
    <xf numFmtId="182" fontId="0" fillId="0" borderId="4" xfId="0" applyNumberFormat="1" applyFont="1" applyBorder="1" applyAlignment="1">
      <alignment horizontal="center" vertical="center"/>
    </xf>
    <xf numFmtId="0" fontId="25" fillId="0" borderId="4" xfId="0" applyFont="1" applyBorder="1" applyAlignment="1">
      <alignment horizontal="center" vertical="center"/>
    </xf>
    <xf numFmtId="0" fontId="25" fillId="0" borderId="4" xfId="0" applyFont="1" applyBorder="1" applyAlignment="1">
      <alignment horizontal="center" vertical="center" wrapText="1"/>
    </xf>
    <xf numFmtId="186" fontId="25" fillId="0" borderId="4" xfId="0" applyNumberFormat="1" applyFont="1" applyBorder="1" applyAlignment="1">
      <alignment horizontal="center" vertical="center" wrapText="1"/>
    </xf>
    <xf numFmtId="182" fontId="25" fillId="0" borderId="4" xfId="0" applyNumberFormat="1" applyFont="1" applyBorder="1" applyAlignment="1">
      <alignment horizontal="center" vertical="center" wrapText="1"/>
    </xf>
    <xf numFmtId="0" fontId="9" fillId="7" borderId="0" xfId="60" applyFont="1" applyFill="1" applyAlignment="1">
      <alignment horizontal="center" vertical="center"/>
    </xf>
    <xf numFmtId="0" fontId="4" fillId="0" borderId="0" xfId="60" applyAlignment="1">
      <alignment horizontal="center" vertical="center"/>
    </xf>
    <xf numFmtId="0" fontId="4" fillId="0" borderId="0" xfId="60" applyNumberForma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6" fillId="0" borderId="4" xfId="0" applyNumberFormat="1" applyFont="1" applyBorder="1" applyAlignment="1">
      <alignment horizontal="center" vertical="center" shrinkToFit="1"/>
    </xf>
    <xf numFmtId="0" fontId="0" fillId="0" borderId="27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27" fillId="0" borderId="19" xfId="0" applyFont="1" applyBorder="1" applyAlignment="1">
      <alignment horizontal="center" vertical="center" shrinkToFit="1"/>
    </xf>
    <xf numFmtId="0" fontId="0" fillId="0" borderId="19" xfId="0" applyBorder="1" applyAlignment="1">
      <alignment horizontal="center" vertical="center" shrinkToFit="1"/>
    </xf>
    <xf numFmtId="0" fontId="6" fillId="0" borderId="4" xfId="0" applyFont="1" applyBorder="1" applyAlignment="1">
      <alignment horizontal="center" vertical="center" shrinkToFit="1"/>
    </xf>
    <xf numFmtId="0" fontId="30" fillId="0" borderId="0" xfId="0" applyFont="1" applyBorder="1" applyAlignment="1">
      <alignment horizontal="center" vertical="center" shrinkToFit="1"/>
    </xf>
    <xf numFmtId="0" fontId="30" fillId="0" borderId="0" xfId="0" applyFont="1" applyAlignment="1">
      <alignment horizontal="left" vertical="center" shrinkToFit="1"/>
    </xf>
    <xf numFmtId="0" fontId="0" fillId="0" borderId="0" xfId="0" applyAlignment="1">
      <alignment vertical="center" shrinkToFit="1"/>
    </xf>
    <xf numFmtId="0" fontId="0" fillId="0" borderId="4" xfId="0" applyFont="1" applyBorder="1" applyAlignment="1">
      <alignment horizontal="center" vertical="center"/>
    </xf>
    <xf numFmtId="186" fontId="0" fillId="0" borderId="0" xfId="0" applyNumberFormat="1" applyAlignment="1">
      <alignment horizontal="center" vertical="center"/>
    </xf>
    <xf numFmtId="0" fontId="25" fillId="0" borderId="4" xfId="0" applyFont="1" applyBorder="1" applyAlignment="1">
      <alignment horizontal="center" vertical="center" shrinkToFit="1"/>
    </xf>
    <xf numFmtId="0" fontId="0" fillId="0" borderId="4" xfId="0" applyBorder="1" applyAlignment="1">
      <alignment horizontal="center" vertical="center" shrinkToFit="1"/>
    </xf>
    <xf numFmtId="0" fontId="0" fillId="0" borderId="0" xfId="0" applyAlignment="1">
      <alignment horizontal="center" vertical="center"/>
    </xf>
    <xf numFmtId="0" fontId="49" fillId="0" borderId="4" xfId="0" applyFont="1" applyBorder="1" applyAlignment="1">
      <alignment horizontal="center" vertical="center" wrapText="1"/>
    </xf>
    <xf numFmtId="0" fontId="0" fillId="0" borderId="4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center" shrinkToFit="1"/>
    </xf>
    <xf numFmtId="0" fontId="4" fillId="0" borderId="0" xfId="62" applyAlignment="1">
      <alignment horizontal="center" vertical="center"/>
    </xf>
    <xf numFmtId="0" fontId="9" fillId="7" borderId="0" xfId="60" applyNumberFormat="1" applyFont="1" applyFill="1" applyAlignment="1">
      <alignment horizontal="center" vertical="center"/>
    </xf>
    <xf numFmtId="186" fontId="4" fillId="0" borderId="0" xfId="60" applyNumberFormat="1" applyAlignment="1">
      <alignment horizontal="center" vertical="center"/>
    </xf>
    <xf numFmtId="186" fontId="0" fillId="0" borderId="4" xfId="0" applyNumberFormat="1" applyFont="1" applyBorder="1" applyAlignment="1">
      <alignment horizontal="center" vertical="center"/>
    </xf>
    <xf numFmtId="186" fontId="0" fillId="0" borderId="4" xfId="0" applyNumberFormat="1" applyBorder="1" applyAlignment="1">
      <alignment horizontal="center" vertical="center"/>
    </xf>
    <xf numFmtId="187" fontId="25" fillId="0" borderId="4" xfId="0" applyNumberFormat="1" applyFont="1" applyBorder="1" applyAlignment="1">
      <alignment horizontal="center" vertical="center" wrapText="1"/>
    </xf>
    <xf numFmtId="187" fontId="0" fillId="0" borderId="4" xfId="0" applyNumberFormat="1" applyBorder="1" applyAlignment="1">
      <alignment horizontal="center" vertical="center"/>
    </xf>
    <xf numFmtId="187" fontId="0" fillId="0" borderId="0" xfId="0" applyNumberFormat="1" applyAlignment="1">
      <alignment horizontal="center" vertical="center"/>
    </xf>
    <xf numFmtId="176" fontId="25" fillId="0" borderId="4" xfId="0" applyNumberFormat="1" applyFont="1" applyBorder="1" applyAlignment="1">
      <alignment horizontal="center" vertical="center" shrinkToFit="1"/>
    </xf>
    <xf numFmtId="176" fontId="0" fillId="0" borderId="4" xfId="0" applyNumberFormat="1" applyFont="1" applyBorder="1" applyAlignment="1">
      <alignment horizontal="center" vertical="center" shrinkToFit="1"/>
    </xf>
    <xf numFmtId="0" fontId="0" fillId="0" borderId="4" xfId="0" applyNumberFormat="1" applyBorder="1" applyAlignment="1">
      <alignment horizontal="center" vertical="center"/>
    </xf>
    <xf numFmtId="0" fontId="0" fillId="0" borderId="24" xfId="0" applyNumberFormat="1" applyBorder="1" applyAlignment="1">
      <alignment horizontal="center" vertical="center"/>
    </xf>
    <xf numFmtId="0" fontId="0" fillId="0" borderId="25" xfId="0" applyFill="1" applyBorder="1" applyAlignment="1">
      <alignment horizontal="center" vertical="center"/>
    </xf>
    <xf numFmtId="176" fontId="50" fillId="0" borderId="0" xfId="0" applyNumberFormat="1" applyFont="1" applyAlignment="1">
      <alignment horizontal="center" vertical="center"/>
    </xf>
    <xf numFmtId="0" fontId="5" fillId="0" borderId="4" xfId="57" applyFont="1" applyFill="1" applyBorder="1" applyAlignment="1">
      <alignment horizontal="center" vertical="center" shrinkToFit="1"/>
    </xf>
    <xf numFmtId="187" fontId="5" fillId="0" borderId="4" xfId="57" applyNumberFormat="1" applyFont="1" applyFill="1" applyBorder="1" applyAlignment="1">
      <alignment horizontal="center" vertical="center" shrinkToFit="1"/>
    </xf>
    <xf numFmtId="0" fontId="37" fillId="0" borderId="4" xfId="57" applyFont="1" applyFill="1" applyBorder="1" applyAlignment="1">
      <alignment horizontal="center" vertical="center" shrinkToFit="1"/>
    </xf>
    <xf numFmtId="0" fontId="5" fillId="0" borderId="0" xfId="57" applyFont="1" applyFill="1" applyBorder="1" applyAlignment="1">
      <alignment horizontal="center" vertical="center" shrinkToFit="1"/>
    </xf>
    <xf numFmtId="0" fontId="38" fillId="0" borderId="4" xfId="57" applyFont="1" applyFill="1" applyBorder="1" applyAlignment="1">
      <alignment horizontal="center" vertical="center" shrinkToFit="1"/>
    </xf>
    <xf numFmtId="0" fontId="39" fillId="0" borderId="4" xfId="57" applyFont="1" applyFill="1" applyBorder="1" applyAlignment="1">
      <alignment horizontal="center" vertical="center" shrinkToFit="1"/>
    </xf>
    <xf numFmtId="0" fontId="5" fillId="0" borderId="3" xfId="57" applyFont="1" applyFill="1" applyBorder="1" applyAlignment="1">
      <alignment horizontal="center" vertical="center" shrinkToFit="1"/>
    </xf>
    <xf numFmtId="0" fontId="0" fillId="0" borderId="4" xfId="0" applyFill="1" applyBorder="1" applyAlignment="1">
      <alignment horizontal="center" vertical="center" shrinkToFit="1"/>
    </xf>
    <xf numFmtId="49" fontId="6" fillId="0" borderId="1" xfId="0" applyNumberFormat="1" applyFont="1" applyBorder="1" applyAlignment="1">
      <alignment horizontal="center" vertical="center"/>
    </xf>
    <xf numFmtId="49" fontId="0" fillId="0" borderId="1" xfId="0" applyNumberFormat="1" applyFill="1" applyBorder="1" applyAlignment="1">
      <alignment horizontal="center" vertical="center"/>
    </xf>
    <xf numFmtId="0" fontId="25" fillId="0" borderId="4" xfId="0" applyNumberFormat="1" applyFont="1" applyBorder="1" applyAlignment="1">
      <alignment horizontal="center" vertical="center" wrapText="1"/>
    </xf>
    <xf numFmtId="0" fontId="0" fillId="0" borderId="3" xfId="0" applyFont="1" applyBorder="1" applyAlignment="1">
      <alignment horizontal="center" vertical="center"/>
    </xf>
    <xf numFmtId="0" fontId="0" fillId="0" borderId="3" xfId="0" applyNumberFormat="1" applyBorder="1" applyAlignment="1">
      <alignment horizontal="center" vertical="center"/>
    </xf>
    <xf numFmtId="0" fontId="0" fillId="0" borderId="24" xfId="0" applyNumberFormat="1" applyBorder="1" applyAlignment="1">
      <alignment horizontal="center" vertical="center"/>
    </xf>
    <xf numFmtId="0" fontId="0" fillId="0" borderId="4" xfId="0" applyNumberFormat="1" applyBorder="1" applyAlignment="1">
      <alignment horizontal="center" vertical="center"/>
    </xf>
    <xf numFmtId="0" fontId="0" fillId="0" borderId="3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center" shrinkToFit="1"/>
    </xf>
    <xf numFmtId="0" fontId="0" fillId="0" borderId="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187" fontId="0" fillId="0" borderId="3" xfId="0" applyNumberFormat="1" applyBorder="1" applyAlignment="1">
      <alignment horizontal="center" vertical="center"/>
    </xf>
    <xf numFmtId="186" fontId="0" fillId="0" borderId="3" xfId="0" applyNumberFormat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 shrinkToFit="1"/>
    </xf>
    <xf numFmtId="0" fontId="0" fillId="0" borderId="4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84" fontId="25" fillId="0" borderId="4" xfId="0" applyNumberFormat="1" applyFont="1" applyBorder="1" applyAlignment="1">
      <alignment horizontal="center" vertical="center" wrapText="1"/>
    </xf>
    <xf numFmtId="184" fontId="0" fillId="0" borderId="4" xfId="0" applyNumberFormat="1" applyFont="1" applyBorder="1" applyAlignment="1">
      <alignment horizontal="center" vertical="center"/>
    </xf>
    <xf numFmtId="184" fontId="0" fillId="0" borderId="3" xfId="0" applyNumberFormat="1" applyFont="1" applyBorder="1" applyAlignment="1">
      <alignment horizontal="center" vertical="center"/>
    </xf>
    <xf numFmtId="184" fontId="0" fillId="0" borderId="4" xfId="0" applyNumberFormat="1" applyBorder="1" applyAlignment="1">
      <alignment horizontal="center" vertical="center"/>
    </xf>
    <xf numFmtId="184" fontId="0" fillId="0" borderId="3" xfId="0" applyNumberFormat="1" applyBorder="1" applyAlignment="1">
      <alignment horizontal="center" vertical="center"/>
    </xf>
    <xf numFmtId="184" fontId="0" fillId="0" borderId="0" xfId="0" applyNumberFormat="1" applyAlignment="1">
      <alignment horizontal="center" vertical="center"/>
    </xf>
    <xf numFmtId="49" fontId="0" fillId="2" borderId="0" xfId="0" applyNumberFormat="1" applyFill="1" applyBorder="1" applyAlignment="1">
      <alignment horizontal="center" vertical="center"/>
    </xf>
    <xf numFmtId="186" fontId="0" fillId="6" borderId="1" xfId="0" applyNumberFormat="1" applyFill="1" applyBorder="1" applyAlignment="1">
      <alignment horizontal="center" vertical="center"/>
    </xf>
    <xf numFmtId="49" fontId="5" fillId="0" borderId="4" xfId="57" applyNumberFormat="1" applyFont="1" applyFill="1" applyBorder="1" applyAlignment="1">
      <alignment horizontal="center" vertical="center"/>
    </xf>
    <xf numFmtId="49" fontId="0" fillId="0" borderId="0" xfId="0" applyNumberFormat="1">
      <alignment vertical="center"/>
    </xf>
    <xf numFmtId="0" fontId="0" fillId="0" borderId="4" xfId="0" applyNumberFormat="1" applyFont="1" applyFill="1" applyBorder="1" applyAlignment="1">
      <alignment horizontal="center" vertical="center"/>
    </xf>
    <xf numFmtId="184" fontId="0" fillId="0" borderId="24" xfId="0" applyNumberFormat="1" applyBorder="1" applyAlignment="1">
      <alignment horizontal="center" vertical="center"/>
    </xf>
    <xf numFmtId="0" fontId="6" fillId="0" borderId="1" xfId="0" applyNumberFormat="1" applyFont="1" applyFill="1" applyBorder="1" applyAlignment="1">
      <alignment horizontal="center" vertical="center"/>
    </xf>
    <xf numFmtId="0" fontId="0" fillId="0" borderId="1" xfId="0" applyNumberFormat="1" applyFill="1" applyBorder="1" applyAlignment="1">
      <alignment horizontal="center" vertical="center"/>
    </xf>
    <xf numFmtId="182" fontId="6" fillId="0" borderId="1" xfId="0" applyNumberFormat="1" applyFont="1" applyFill="1" applyBorder="1" applyAlignment="1">
      <alignment horizontal="center" vertical="center"/>
    </xf>
    <xf numFmtId="0" fontId="9" fillId="7" borderId="0" xfId="71" applyFont="1" applyFill="1" applyAlignment="1">
      <alignment horizontal="center" vertical="center"/>
    </xf>
    <xf numFmtId="0" fontId="4" fillId="0" borderId="0" xfId="71" applyAlignment="1">
      <alignment horizontal="center" vertical="center"/>
    </xf>
    <xf numFmtId="0" fontId="4" fillId="2" borderId="0" xfId="71" applyFill="1" applyAlignment="1">
      <alignment horizontal="center" vertical="center"/>
    </xf>
    <xf numFmtId="0" fontId="0" fillId="43" borderId="0" xfId="0" applyFill="1" applyAlignment="1">
      <alignment horizontal="center" vertical="center"/>
    </xf>
    <xf numFmtId="0" fontId="4" fillId="43" borderId="0" xfId="71" applyFill="1" applyAlignment="1">
      <alignment horizontal="center" vertical="center"/>
    </xf>
    <xf numFmtId="176" fontId="48" fillId="2" borderId="0" xfId="0" applyNumberFormat="1" applyFont="1" applyFill="1" applyAlignment="1">
      <alignment horizontal="center" vertical="center" shrinkToFit="1"/>
    </xf>
    <xf numFmtId="14" fontId="0" fillId="0" borderId="0" xfId="0" applyNumberFormat="1">
      <alignment vertical="center"/>
    </xf>
    <xf numFmtId="0" fontId="8" fillId="0" borderId="4" xfId="1" applyFont="1" applyFill="1" applyBorder="1" applyAlignment="1">
      <alignment horizontal="center" vertical="center"/>
    </xf>
    <xf numFmtId="0" fontId="8" fillId="0" borderId="4" xfId="1" applyFont="1" applyFill="1" applyBorder="1" applyAlignment="1">
      <alignment horizontal="center" vertical="center" shrinkToFit="1"/>
    </xf>
    <xf numFmtId="0" fontId="31" fillId="0" borderId="4" xfId="1" applyFont="1" applyFill="1" applyBorder="1" applyAlignment="1">
      <alignment horizontal="center" vertical="center"/>
    </xf>
    <xf numFmtId="0" fontId="35" fillId="0" borderId="4" xfId="1" applyFont="1" applyFill="1" applyBorder="1" applyAlignment="1">
      <alignment horizontal="center" vertical="center"/>
    </xf>
    <xf numFmtId="0" fontId="0" fillId="43" borderId="4" xfId="0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4" fillId="0" borderId="0" xfId="73">
      <alignment vertical="center"/>
    </xf>
    <xf numFmtId="0" fontId="9" fillId="7" borderId="0" xfId="73" applyFont="1" applyFill="1" applyAlignment="1">
      <alignment horizontal="center" vertical="center"/>
    </xf>
    <xf numFmtId="49" fontId="7" fillId="7" borderId="0" xfId="73" applyNumberFormat="1" applyFont="1" applyFill="1" applyAlignment="1">
      <alignment horizontal="center" vertical="center"/>
    </xf>
    <xf numFmtId="0" fontId="4" fillId="0" borderId="0" xfId="76" applyAlignment="1">
      <alignment horizontal="center" vertical="center"/>
    </xf>
    <xf numFmtId="0" fontId="6" fillId="0" borderId="27" xfId="0" applyFont="1" applyFill="1" applyBorder="1" applyAlignment="1">
      <alignment horizontal="center" vertical="center"/>
    </xf>
    <xf numFmtId="0" fontId="0" fillId="40" borderId="0" xfId="0" applyFill="1">
      <alignment vertical="center"/>
    </xf>
    <xf numFmtId="0" fontId="27" fillId="0" borderId="21" xfId="0" applyFont="1" applyBorder="1" applyAlignment="1">
      <alignment horizontal="center" vertical="center"/>
    </xf>
    <xf numFmtId="0" fontId="27" fillId="0" borderId="28" xfId="0" applyFont="1" applyBorder="1" applyAlignment="1">
      <alignment horizontal="center" vertical="center"/>
    </xf>
    <xf numFmtId="0" fontId="27" fillId="0" borderId="29" xfId="0" applyFont="1" applyBorder="1" applyAlignment="1">
      <alignment horizontal="center" vertical="center"/>
    </xf>
    <xf numFmtId="0" fontId="27" fillId="0" borderId="21" xfId="0" applyFont="1" applyBorder="1" applyAlignment="1">
      <alignment horizontal="center" vertical="center" shrinkToFit="1"/>
    </xf>
    <xf numFmtId="0" fontId="27" fillId="0" borderId="28" xfId="0" applyFont="1" applyBorder="1" applyAlignment="1">
      <alignment horizontal="center" vertical="center" shrinkToFit="1"/>
    </xf>
    <xf numFmtId="0" fontId="27" fillId="0" borderId="29" xfId="0" applyFont="1" applyBorder="1" applyAlignment="1">
      <alignment horizontal="center" vertical="center" shrinkToFit="1"/>
    </xf>
    <xf numFmtId="176" fontId="0" fillId="39" borderId="32" xfId="0" applyNumberFormat="1" applyFill="1" applyBorder="1" applyAlignment="1">
      <alignment horizontal="center" vertical="center"/>
    </xf>
    <xf numFmtId="176" fontId="0" fillId="39" borderId="20" xfId="0" applyNumberForma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7" fillId="0" borderId="20" xfId="0" applyFont="1" applyBorder="1" applyAlignment="1">
      <alignment horizontal="center" vertical="center"/>
    </xf>
    <xf numFmtId="0" fontId="0" fillId="0" borderId="3" xfId="0" applyNumberFormat="1" applyBorder="1" applyAlignment="1">
      <alignment horizontal="center" vertical="center"/>
    </xf>
    <xf numFmtId="0" fontId="0" fillId="0" borderId="25" xfId="0" applyNumberFormat="1" applyBorder="1" applyAlignment="1">
      <alignment horizontal="center" vertical="center"/>
    </xf>
    <xf numFmtId="0" fontId="0" fillId="0" borderId="24" xfId="0" applyNumberFormat="1" applyBorder="1" applyAlignment="1">
      <alignment horizontal="center" vertical="center"/>
    </xf>
    <xf numFmtId="184" fontId="0" fillId="0" borderId="3" xfId="0" applyNumberFormat="1" applyBorder="1" applyAlignment="1">
      <alignment horizontal="center" vertical="center"/>
    </xf>
    <xf numFmtId="184" fontId="0" fillId="0" borderId="25" xfId="0" applyNumberFormat="1" applyBorder="1" applyAlignment="1">
      <alignment horizontal="center" vertical="center"/>
    </xf>
    <xf numFmtId="184" fontId="0" fillId="0" borderId="24" xfId="0" applyNumberForma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24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 shrinkToFit="1"/>
    </xf>
    <xf numFmtId="0" fontId="0" fillId="0" borderId="24" xfId="0" applyBorder="1" applyAlignment="1">
      <alignment horizontal="center" vertical="center" shrinkToFit="1"/>
    </xf>
    <xf numFmtId="0" fontId="0" fillId="0" borderId="3" xfId="0" applyNumberFormat="1" applyFont="1" applyBorder="1" applyAlignment="1">
      <alignment horizontal="center" vertical="center"/>
    </xf>
    <xf numFmtId="0" fontId="0" fillId="0" borderId="24" xfId="0" applyNumberFormat="1" applyFont="1" applyBorder="1" applyAlignment="1">
      <alignment horizontal="center" vertical="center"/>
    </xf>
    <xf numFmtId="184" fontId="0" fillId="0" borderId="3" xfId="0" applyNumberFormat="1" applyFont="1" applyBorder="1" applyAlignment="1">
      <alignment horizontal="center" vertical="center"/>
    </xf>
    <xf numFmtId="184" fontId="0" fillId="0" borderId="25" xfId="0" applyNumberFormat="1" applyFont="1" applyBorder="1" applyAlignment="1">
      <alignment horizontal="center" vertical="center"/>
    </xf>
    <xf numFmtId="184" fontId="0" fillId="0" borderId="24" xfId="0" applyNumberFormat="1" applyFont="1" applyBorder="1" applyAlignment="1">
      <alignment horizontal="center" vertical="center"/>
    </xf>
    <xf numFmtId="0" fontId="0" fillId="0" borderId="25" xfId="0" applyBorder="1" applyAlignment="1">
      <alignment horizontal="center" vertical="center" shrinkToFit="1"/>
    </xf>
    <xf numFmtId="0" fontId="0" fillId="0" borderId="25" xfId="0" applyFont="1" applyBorder="1" applyAlignment="1">
      <alignment horizontal="center" vertical="center"/>
    </xf>
    <xf numFmtId="0" fontId="0" fillId="0" borderId="25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187" fontId="0" fillId="0" borderId="3" xfId="0" applyNumberFormat="1" applyBorder="1" applyAlignment="1">
      <alignment horizontal="center" vertical="center"/>
    </xf>
    <xf numFmtId="187" fontId="0" fillId="0" borderId="24" xfId="0" applyNumberFormat="1" applyBorder="1" applyAlignment="1">
      <alignment horizontal="center" vertical="center"/>
    </xf>
    <xf numFmtId="186" fontId="0" fillId="0" borderId="3" xfId="0" applyNumberFormat="1" applyBorder="1" applyAlignment="1">
      <alignment horizontal="center" vertical="center"/>
    </xf>
    <xf numFmtId="186" fontId="0" fillId="0" borderId="25" xfId="0" applyNumberFormat="1" applyBorder="1" applyAlignment="1">
      <alignment horizontal="center" vertical="center"/>
    </xf>
    <xf numFmtId="186" fontId="0" fillId="0" borderId="24" xfId="0" applyNumberFormat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4" xfId="0" applyNumberFormat="1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 shrinkToFit="1"/>
    </xf>
    <xf numFmtId="187" fontId="0" fillId="0" borderId="25" xfId="0" applyNumberFormat="1" applyBorder="1" applyAlignment="1">
      <alignment horizontal="center" vertical="center"/>
    </xf>
    <xf numFmtId="0" fontId="0" fillId="0" borderId="4" xfId="0" applyNumberFormat="1" applyBorder="1" applyAlignment="1">
      <alignment horizontal="center" vertical="center"/>
    </xf>
    <xf numFmtId="0" fontId="27" fillId="0" borderId="26" xfId="0" applyFont="1" applyBorder="1" applyAlignment="1">
      <alignment horizontal="center" vertical="center"/>
    </xf>
    <xf numFmtId="0" fontId="27" fillId="0" borderId="6" xfId="0" applyFont="1" applyBorder="1" applyAlignment="1">
      <alignment horizontal="center" vertical="center"/>
    </xf>
    <xf numFmtId="0" fontId="27" fillId="0" borderId="30" xfId="0" applyFont="1" applyBorder="1" applyAlignment="1">
      <alignment horizontal="center" vertical="center"/>
    </xf>
    <xf numFmtId="0" fontId="27" fillId="0" borderId="7" xfId="0" applyFont="1" applyBorder="1" applyAlignment="1">
      <alignment horizontal="center" vertical="center"/>
    </xf>
    <xf numFmtId="0" fontId="27" fillId="0" borderId="31" xfId="0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4" fillId="43" borderId="0" xfId="80" applyFill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176" fontId="6" fillId="0" borderId="1" xfId="0" applyNumberFormat="1" applyFont="1" applyFill="1" applyBorder="1" applyAlignment="1">
      <alignment horizontal="center" vertical="center" shrinkToFit="1"/>
    </xf>
    <xf numFmtId="176" fontId="0" fillId="0" borderId="1" xfId="0" applyNumberFormat="1" applyFill="1" applyBorder="1" applyAlignment="1">
      <alignment horizontal="center" vertical="center" shrinkToFit="1"/>
    </xf>
    <xf numFmtId="182" fontId="0" fillId="0" borderId="1" xfId="0" applyNumberFormat="1" applyFill="1" applyBorder="1" applyAlignment="1">
      <alignment horizontal="center" vertical="center" shrinkToFit="1"/>
    </xf>
    <xf numFmtId="176" fontId="0" fillId="0" borderId="4" xfId="0" applyNumberFormat="1" applyBorder="1" applyAlignment="1">
      <alignment horizontal="center" vertical="center"/>
    </xf>
    <xf numFmtId="0" fontId="4" fillId="0" borderId="0" xfId="81">
      <alignment vertical="center"/>
    </xf>
    <xf numFmtId="0" fontId="0" fillId="6" borderId="1" xfId="0" applyNumberFormat="1" applyFill="1" applyBorder="1" applyAlignment="1">
      <alignment horizontal="center" vertical="center"/>
    </xf>
    <xf numFmtId="0" fontId="52" fillId="0" borderId="4" xfId="0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52" fillId="0" borderId="3" xfId="0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4" fillId="43" borderId="0" xfId="83" applyFill="1" applyAlignment="1">
      <alignment horizontal="center" vertical="center"/>
    </xf>
    <xf numFmtId="0" fontId="4" fillId="0" borderId="0" xfId="1" applyAlignment="1">
      <alignment vertical="center"/>
    </xf>
    <xf numFmtId="0" fontId="4" fillId="0" borderId="0" xfId="60" applyAlignment="1">
      <alignment vertical="center"/>
    </xf>
    <xf numFmtId="186" fontId="4" fillId="0" borderId="0" xfId="60" applyNumberFormat="1" applyAlignment="1">
      <alignment vertical="center"/>
    </xf>
    <xf numFmtId="0" fontId="4" fillId="0" borderId="0" xfId="60" applyNumberFormat="1" applyAlignment="1">
      <alignment vertical="center"/>
    </xf>
    <xf numFmtId="0" fontId="0" fillId="0" borderId="0" xfId="0" applyFont="1" applyBorder="1" applyAlignment="1">
      <alignment vertical="center"/>
    </xf>
    <xf numFmtId="0" fontId="4" fillId="0" borderId="0" xfId="69" applyAlignment="1">
      <alignment vertical="center"/>
    </xf>
    <xf numFmtId="0" fontId="4" fillId="0" borderId="0" xfId="74" applyAlignment="1">
      <alignment vertical="center"/>
    </xf>
    <xf numFmtId="0" fontId="4" fillId="0" borderId="0" xfId="67" applyAlignment="1">
      <alignment vertical="center"/>
    </xf>
    <xf numFmtId="0" fontId="4" fillId="0" borderId="0" xfId="61" applyAlignment="1">
      <alignment vertical="center"/>
    </xf>
    <xf numFmtId="0" fontId="4" fillId="0" borderId="0" xfId="68" applyAlignment="1">
      <alignment vertical="center"/>
    </xf>
    <xf numFmtId="0" fontId="4" fillId="0" borderId="0" xfId="63" applyAlignment="1">
      <alignment vertical="center"/>
    </xf>
    <xf numFmtId="0" fontId="4" fillId="0" borderId="0" xfId="69" applyNumberFormat="1" applyAlignment="1">
      <alignment vertical="center"/>
    </xf>
    <xf numFmtId="0" fontId="4" fillId="0" borderId="0" xfId="75" applyAlignment="1">
      <alignment vertical="center"/>
    </xf>
    <xf numFmtId="0" fontId="4" fillId="0" borderId="0" xfId="77" applyAlignment="1">
      <alignment vertical="center"/>
    </xf>
    <xf numFmtId="0" fontId="4" fillId="0" borderId="0" xfId="82" applyAlignment="1">
      <alignment vertical="center"/>
    </xf>
    <xf numFmtId="0" fontId="53" fillId="0" borderId="4" xfId="0" applyFont="1" applyBorder="1" applyAlignment="1">
      <alignment horizontal="center" vertical="center"/>
    </xf>
    <xf numFmtId="0" fontId="54" fillId="0" borderId="4" xfId="0" applyFont="1" applyBorder="1" applyAlignment="1">
      <alignment horizontal="center" vertical="center"/>
    </xf>
    <xf numFmtId="0" fontId="27" fillId="0" borderId="33" xfId="0" applyFont="1" applyBorder="1" applyAlignment="1">
      <alignment horizontal="left" vertical="center"/>
    </xf>
    <xf numFmtId="0" fontId="4" fillId="0" borderId="0" xfId="84">
      <alignment vertical="center"/>
    </xf>
    <xf numFmtId="17" fontId="0" fillId="0" borderId="4" xfId="0" applyNumberFormat="1" applyBorder="1" applyAlignment="1">
      <alignment horizontal="center" vertical="center"/>
    </xf>
    <xf numFmtId="0" fontId="0" fillId="0" borderId="4" xfId="0" applyFont="1" applyBorder="1" applyAlignment="1">
      <alignment horizontal="center" vertical="center" shrinkToFit="1"/>
    </xf>
    <xf numFmtId="187" fontId="0" fillId="0" borderId="1" xfId="0" applyNumberFormat="1" applyFill="1" applyBorder="1" applyAlignment="1">
      <alignment horizontal="center" vertical="center"/>
    </xf>
    <xf numFmtId="0" fontId="4" fillId="0" borderId="0" xfId="85" applyAlignment="1">
      <alignment horizontal="center" vertical="center"/>
    </xf>
    <xf numFmtId="0" fontId="4" fillId="0" borderId="0" xfId="87">
      <alignment vertical="center"/>
    </xf>
    <xf numFmtId="0" fontId="9" fillId="7" borderId="0" xfId="87" applyFont="1" applyFill="1" applyAlignment="1">
      <alignment horizontal="center" vertical="center"/>
    </xf>
    <xf numFmtId="0" fontId="4" fillId="0" borderId="0" xfId="86" applyAlignment="1">
      <alignment horizontal="center" vertical="center"/>
    </xf>
    <xf numFmtId="0" fontId="4" fillId="0" borderId="0" xfId="88">
      <alignment vertical="center"/>
    </xf>
    <xf numFmtId="0" fontId="9" fillId="7" borderId="0" xfId="88" applyFont="1" applyFill="1" applyAlignment="1">
      <alignment horizontal="center" vertical="center"/>
    </xf>
    <xf numFmtId="0" fontId="4" fillId="0" borderId="0" xfId="89">
      <alignment vertical="center"/>
    </xf>
    <xf numFmtId="0" fontId="9" fillId="7" borderId="0" xfId="89" applyFont="1" applyFill="1" applyAlignment="1">
      <alignment horizontal="center" vertical="center"/>
    </xf>
    <xf numFmtId="0" fontId="9" fillId="7" borderId="0" xfId="71" applyFont="1" applyFill="1" applyAlignment="1">
      <alignment horizontal="center" vertical="center" shrinkToFit="1"/>
    </xf>
    <xf numFmtId="0" fontId="4" fillId="43" borderId="0" xfId="71" applyFill="1" applyAlignment="1">
      <alignment horizontal="center" vertical="center" shrinkToFit="1"/>
    </xf>
    <xf numFmtId="0" fontId="4" fillId="0" borderId="0" xfId="71" applyAlignment="1">
      <alignment horizontal="center" vertical="center" shrinkToFit="1"/>
    </xf>
    <xf numFmtId="0" fontId="4" fillId="43" borderId="0" xfId="80" applyFill="1" applyAlignment="1">
      <alignment horizontal="center" vertical="center" shrinkToFit="1"/>
    </xf>
    <xf numFmtId="0" fontId="4" fillId="43" borderId="0" xfId="83" applyFill="1" applyAlignment="1">
      <alignment horizontal="center" vertical="center" shrinkToFit="1"/>
    </xf>
    <xf numFmtId="0" fontId="4" fillId="2" borderId="0" xfId="71" applyFill="1" applyAlignment="1">
      <alignment horizontal="center" vertical="center" shrinkToFit="1"/>
    </xf>
    <xf numFmtId="0" fontId="4" fillId="0" borderId="0" xfId="86" applyAlignment="1">
      <alignment horizontal="center" vertical="center" shrinkToFit="1"/>
    </xf>
    <xf numFmtId="0" fontId="4" fillId="0" borderId="0" xfId="76" applyAlignment="1">
      <alignment horizontal="center" vertical="center" shrinkToFit="1"/>
    </xf>
    <xf numFmtId="0" fontId="31" fillId="0" borderId="4" xfId="1" applyFont="1" applyFill="1" applyBorder="1" applyAlignment="1">
      <alignment horizontal="center" vertical="center" shrinkToFit="1"/>
    </xf>
    <xf numFmtId="0" fontId="0" fillId="39" borderId="4" xfId="0" applyFill="1" applyBorder="1" applyAlignment="1">
      <alignment horizontal="center" vertical="center" shrinkToFit="1"/>
    </xf>
    <xf numFmtId="0" fontId="0" fillId="0" borderId="1" xfId="0" applyFill="1" applyBorder="1" applyAlignment="1">
      <alignment horizontal="center" vertical="center" shrinkToFit="1"/>
    </xf>
    <xf numFmtId="176" fontId="0" fillId="0" borderId="1" xfId="0" applyNumberFormat="1" applyBorder="1" applyAlignment="1">
      <alignment horizontal="center" vertical="center" shrinkToFit="1"/>
    </xf>
    <xf numFmtId="0" fontId="51" fillId="0" borderId="1" xfId="0" applyFont="1" applyBorder="1" applyAlignment="1">
      <alignment horizontal="center" vertical="center"/>
    </xf>
    <xf numFmtId="182" fontId="0" fillId="0" borderId="1" xfId="0" applyNumberFormat="1" applyBorder="1" applyAlignment="1">
      <alignment horizontal="center" vertical="center"/>
    </xf>
    <xf numFmtId="0" fontId="0" fillId="0" borderId="24" xfId="0" applyBorder="1">
      <alignment vertical="center"/>
    </xf>
  </cellXfs>
  <cellStyles count="90">
    <cellStyle name="20% - Accent1" xfId="22" builtinId="30" customBuiltin="1"/>
    <cellStyle name="20% - Accent2" xfId="26" builtinId="34" customBuiltin="1"/>
    <cellStyle name="20% - Accent3" xfId="30" builtinId="38" customBuiltin="1"/>
    <cellStyle name="20% - Accent4" xfId="34" builtinId="42" customBuiltin="1"/>
    <cellStyle name="20% - Accent5" xfId="38" builtinId="46" customBuiltin="1"/>
    <cellStyle name="20% - Accent6" xfId="42" builtinId="50" customBuiltin="1"/>
    <cellStyle name="40% - Accent1" xfId="23" builtinId="31" customBuiltin="1"/>
    <cellStyle name="40% - Accent2" xfId="27" builtinId="35" customBuiltin="1"/>
    <cellStyle name="40% - Accent3" xfId="31" builtinId="39" customBuiltin="1"/>
    <cellStyle name="40% - Accent4" xfId="35" builtinId="43" customBuiltin="1"/>
    <cellStyle name="40% - Accent5" xfId="39" builtinId="47" customBuiltin="1"/>
    <cellStyle name="40% - Accent6" xfId="43" builtinId="51" customBuiltin="1"/>
    <cellStyle name="60% - Accent1" xfId="24" builtinId="32" customBuiltin="1"/>
    <cellStyle name="60% - Accent2" xfId="28" builtinId="36" customBuiltin="1"/>
    <cellStyle name="60% - Accent3" xfId="32" builtinId="40" customBuiltin="1"/>
    <cellStyle name="60% - Accent4" xfId="36" builtinId="44" customBuiltin="1"/>
    <cellStyle name="60% - Accent5" xfId="40" builtinId="48" customBuiltin="1"/>
    <cellStyle name="60% - Accent6" xfId="44" builtinId="52" customBuiltin="1"/>
    <cellStyle name="Accent1" xfId="21" builtinId="29" customBuiltin="1"/>
    <cellStyle name="Accent2" xfId="25" builtinId="33" customBuiltin="1"/>
    <cellStyle name="Accent3" xfId="29" builtinId="37" customBuiltin="1"/>
    <cellStyle name="Accent4" xfId="33" builtinId="41" customBuiltin="1"/>
    <cellStyle name="Accent5" xfId="37" builtinId="45" customBuiltin="1"/>
    <cellStyle name="Accent6" xfId="41" builtinId="49" customBuiltin="1"/>
    <cellStyle name="Bad" xfId="10" builtinId="27" customBuiltin="1"/>
    <cellStyle name="Calculation" xfId="14" builtinId="22" customBuiltin="1"/>
    <cellStyle name="Check Cell" xfId="16" builtinId="23" customBuiltin="1"/>
    <cellStyle name="Explanatory Text" xfId="19" builtinId="53" customBuiltin="1"/>
    <cellStyle name="Good" xfId="9" builtinId="26" customBuiltin="1"/>
    <cellStyle name="Heading 1" xfId="5" builtinId="16" customBuiltin="1"/>
    <cellStyle name="Heading 2" xfId="6" builtinId="17" customBuiltin="1"/>
    <cellStyle name="Heading 3" xfId="7" builtinId="18" customBuiltin="1"/>
    <cellStyle name="Heading 4" xfId="8" builtinId="19" customBuiltin="1"/>
    <cellStyle name="Input" xfId="12" builtinId="20" customBuiltin="1"/>
    <cellStyle name="Linked Cell" xfId="15" builtinId="24" customBuiltin="1"/>
    <cellStyle name="Neutral" xfId="11" builtinId="28" customBuiltin="1"/>
    <cellStyle name="Normal" xfId="0" builtinId="0"/>
    <cellStyle name="Normal 10" xfId="69"/>
    <cellStyle name="Normal 12" xfId="70"/>
    <cellStyle name="Normal 13" xfId="71"/>
    <cellStyle name="Normal 15" xfId="81"/>
    <cellStyle name="Normal 16" xfId="72"/>
    <cellStyle name="Normal 18" xfId="63"/>
    <cellStyle name="Normal 19" xfId="64"/>
    <cellStyle name="Normal 2" xfId="68"/>
    <cellStyle name="Normal 20" xfId="65"/>
    <cellStyle name="Normal 21" xfId="66"/>
    <cellStyle name="Normal 22" xfId="67"/>
    <cellStyle name="Normal 23" xfId="73"/>
    <cellStyle name="Normal 26" xfId="74"/>
    <cellStyle name="Normal 29" xfId="75"/>
    <cellStyle name="Normal 30" xfId="76"/>
    <cellStyle name="Normal 34" xfId="77"/>
    <cellStyle name="Normal 37" xfId="78"/>
    <cellStyle name="Normal 38" xfId="79"/>
    <cellStyle name="Normal 4" xfId="61"/>
    <cellStyle name="Normal 54" xfId="82"/>
    <cellStyle name="Normal 55" xfId="83"/>
    <cellStyle name="Normal 57" xfId="84"/>
    <cellStyle name="Normal 63" xfId="85"/>
    <cellStyle name="Normal 66" xfId="86"/>
    <cellStyle name="Normal 69" xfId="87"/>
    <cellStyle name="Normal 70" xfId="88"/>
    <cellStyle name="Normal 71" xfId="89"/>
    <cellStyle name="Normal 8" xfId="62"/>
    <cellStyle name="Normal 9" xfId="80"/>
    <cellStyle name="Note" xfId="18" builtinId="10" customBuiltin="1"/>
    <cellStyle name="Output" xfId="13" builtinId="21" customBuiltin="1"/>
    <cellStyle name="Title" xfId="4" builtinId="15" customBuiltin="1"/>
    <cellStyle name="Total" xfId="20" builtinId="25" customBuiltin="1"/>
    <cellStyle name="Warning Text" xfId="17" builtinId="11" customBuiltin="1"/>
    <cellStyle name="常规 10" xfId="56"/>
    <cellStyle name="常规 11" xfId="59"/>
    <cellStyle name="常规 12" xfId="60"/>
    <cellStyle name="常规 13" xfId="57"/>
    <cellStyle name="常规 18" xfId="58"/>
    <cellStyle name="常规 2" xfId="1"/>
    <cellStyle name="常规 2 2" xfId="50"/>
    <cellStyle name="常规 3" xfId="2"/>
    <cellStyle name="常规 3 2" xfId="51"/>
    <cellStyle name="常规 4" xfId="3"/>
    <cellStyle name="常规 4 2" xfId="52"/>
    <cellStyle name="常规 5" xfId="45"/>
    <cellStyle name="常规 5 2" xfId="53"/>
    <cellStyle name="常规 6" xfId="46"/>
    <cellStyle name="常规 6 2" xfId="49"/>
    <cellStyle name="常规 7" xfId="47"/>
    <cellStyle name="常规 7 2" xfId="54"/>
    <cellStyle name="常规 8" xfId="48"/>
    <cellStyle name="常规 9" xfId="55"/>
  </cellStyles>
  <dxfs count="7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BS60"/>
  <sheetViews>
    <sheetView topLeftCell="C1" workbookViewId="0">
      <selection activeCell="AC22" sqref="AC22"/>
    </sheetView>
  </sheetViews>
  <sheetFormatPr defaultRowHeight="13.5"/>
  <cols>
    <col min="1" max="1" width="41.625" hidden="1" customWidth="1"/>
    <col min="2" max="2" width="9.625" customWidth="1"/>
    <col min="3" max="3" width="16.625" bestFit="1" customWidth="1"/>
    <col min="5" max="5" width="8.25" bestFit="1" customWidth="1"/>
    <col min="6" max="6" width="6.5" customWidth="1"/>
    <col min="7" max="7" width="9" bestFit="1" customWidth="1"/>
    <col min="8" max="8" width="7.875" customWidth="1"/>
    <col min="9" max="9" width="8.5" bestFit="1" customWidth="1"/>
    <col min="10" max="12" width="9" hidden="1" customWidth="1"/>
    <col min="13" max="16" width="9" customWidth="1"/>
    <col min="17" max="24" width="9" hidden="1" customWidth="1"/>
    <col min="25" max="26" width="5.375" hidden="1" customWidth="1"/>
    <col min="30" max="32" width="9" hidden="1" customWidth="1"/>
  </cols>
  <sheetData>
    <row r="1" spans="1:71" ht="20.25">
      <c r="C1" s="81">
        <v>2019</v>
      </c>
      <c r="D1" s="55">
        <v>11</v>
      </c>
      <c r="E1" s="291">
        <f ca="1">TODAY()-1</f>
        <v>43774</v>
      </c>
      <c r="F1" s="292"/>
      <c r="J1" s="175" t="s">
        <v>829</v>
      </c>
      <c r="K1" s="175"/>
      <c r="L1" s="175"/>
      <c r="M1" s="285" t="s">
        <v>830</v>
      </c>
      <c r="N1" s="286"/>
      <c r="O1" s="286"/>
      <c r="P1" s="287"/>
      <c r="Q1" s="174"/>
      <c r="R1" s="174" t="s">
        <v>831</v>
      </c>
      <c r="S1" s="174"/>
      <c r="T1" s="174"/>
      <c r="U1" s="174" t="s">
        <v>832</v>
      </c>
      <c r="V1" s="174"/>
      <c r="W1" s="174"/>
      <c r="X1" s="174" t="s">
        <v>833</v>
      </c>
      <c r="Y1" s="174"/>
      <c r="Z1" s="174"/>
      <c r="AA1" s="288" t="s">
        <v>834</v>
      </c>
      <c r="AB1" s="289"/>
      <c r="AC1" s="290"/>
      <c r="AD1" s="285" t="s">
        <v>835</v>
      </c>
      <c r="AE1" s="286"/>
      <c r="AF1" s="287"/>
      <c r="AG1" s="285" t="s">
        <v>836</v>
      </c>
      <c r="AH1" s="286"/>
      <c r="AI1" s="286"/>
      <c r="AJ1" s="286"/>
      <c r="AK1" s="286"/>
      <c r="AL1" s="286"/>
      <c r="AM1" s="286"/>
      <c r="AN1" s="287"/>
    </row>
    <row r="2" spans="1:71" ht="23.25" customHeight="1">
      <c r="B2" s="14" t="s">
        <v>837</v>
      </c>
      <c r="C2" s="98" t="s">
        <v>267</v>
      </c>
      <c r="D2" s="53" t="s">
        <v>838</v>
      </c>
      <c r="E2" s="78" t="s">
        <v>1057</v>
      </c>
      <c r="F2" s="53" t="s">
        <v>124</v>
      </c>
      <c r="G2" s="53" t="s">
        <v>126</v>
      </c>
      <c r="H2" s="53" t="s">
        <v>839</v>
      </c>
      <c r="I2" s="78" t="s">
        <v>1059</v>
      </c>
      <c r="J2" s="53" t="s">
        <v>840</v>
      </c>
      <c r="K2" s="53" t="s">
        <v>841</v>
      </c>
      <c r="L2" s="53" t="s">
        <v>842</v>
      </c>
      <c r="M2" s="53" t="s">
        <v>843</v>
      </c>
      <c r="N2" s="53" t="s">
        <v>844</v>
      </c>
      <c r="O2" s="53" t="s">
        <v>845</v>
      </c>
      <c r="P2" s="53" t="s">
        <v>846</v>
      </c>
      <c r="Q2" s="53" t="s">
        <v>847</v>
      </c>
      <c r="R2" s="55">
        <v>10</v>
      </c>
      <c r="S2" s="55">
        <v>11</v>
      </c>
      <c r="T2" s="55">
        <v>12</v>
      </c>
      <c r="U2" s="55">
        <v>10</v>
      </c>
      <c r="V2" s="55">
        <v>11</v>
      </c>
      <c r="W2" s="55">
        <v>12</v>
      </c>
      <c r="X2" s="56">
        <v>10</v>
      </c>
      <c r="Y2" s="56">
        <v>11</v>
      </c>
      <c r="Z2" s="56">
        <v>12</v>
      </c>
      <c r="AA2" s="57">
        <v>10</v>
      </c>
      <c r="AB2" s="57">
        <v>11</v>
      </c>
      <c r="AC2" s="57">
        <v>12</v>
      </c>
      <c r="AD2" s="58">
        <v>10</v>
      </c>
      <c r="AE2" s="58">
        <v>11</v>
      </c>
      <c r="AF2" s="58">
        <v>12</v>
      </c>
      <c r="AG2" s="59">
        <v>1</v>
      </c>
      <c r="AH2" s="59">
        <v>2</v>
      </c>
      <c r="AI2" s="59">
        <v>3</v>
      </c>
      <c r="AJ2" s="59">
        <v>4</v>
      </c>
      <c r="AK2" s="59">
        <v>5</v>
      </c>
      <c r="AL2" s="59">
        <v>6</v>
      </c>
      <c r="AM2" s="59">
        <v>7</v>
      </c>
      <c r="AN2" s="79">
        <v>8</v>
      </c>
      <c r="AO2" s="8">
        <v>1</v>
      </c>
      <c r="AP2" s="8">
        <v>2</v>
      </c>
      <c r="AQ2" s="8">
        <v>3</v>
      </c>
      <c r="AR2" s="8">
        <v>4</v>
      </c>
      <c r="AS2" s="8">
        <v>5</v>
      </c>
      <c r="AT2" s="8">
        <v>6</v>
      </c>
      <c r="AU2" s="8">
        <v>7</v>
      </c>
      <c r="AV2" s="8">
        <v>8</v>
      </c>
      <c r="AW2" s="8">
        <v>9</v>
      </c>
      <c r="AX2" s="8">
        <v>10</v>
      </c>
      <c r="AY2" s="8">
        <v>11</v>
      </c>
      <c r="AZ2" s="8">
        <v>12</v>
      </c>
      <c r="BA2" s="8">
        <v>13</v>
      </c>
      <c r="BB2" s="8">
        <v>14</v>
      </c>
      <c r="BC2" s="8">
        <v>15</v>
      </c>
      <c r="BD2" s="8">
        <v>16</v>
      </c>
      <c r="BE2" s="8">
        <v>17</v>
      </c>
      <c r="BF2" s="8">
        <v>18</v>
      </c>
      <c r="BG2" s="8">
        <v>19</v>
      </c>
      <c r="BH2" s="8">
        <v>20</v>
      </c>
      <c r="BI2" s="8">
        <v>21</v>
      </c>
      <c r="BJ2" s="8">
        <v>22</v>
      </c>
      <c r="BK2" s="8">
        <v>23</v>
      </c>
      <c r="BL2" s="8">
        <v>24</v>
      </c>
      <c r="BM2" s="8">
        <v>25</v>
      </c>
      <c r="BN2" s="8">
        <v>26</v>
      </c>
      <c r="BO2" s="8">
        <v>27</v>
      </c>
      <c r="BP2" s="8">
        <v>28</v>
      </c>
      <c r="BQ2" s="8">
        <v>29</v>
      </c>
      <c r="BR2" s="8">
        <v>30</v>
      </c>
      <c r="BS2" s="8">
        <v>31</v>
      </c>
    </row>
    <row r="3" spans="1:71" ht="18" customHeight="1">
      <c r="A3" s="51" t="str">
        <f>B3&amp;C3&amp;D3&amp;F3&amp;H3</f>
        <v>S2121150D 135度有温丝89/48白圆机</v>
      </c>
      <c r="B3" s="14" t="s">
        <v>456</v>
      </c>
      <c r="C3" s="98" t="s">
        <v>848</v>
      </c>
      <c r="D3" s="53" t="s">
        <v>455</v>
      </c>
      <c r="E3" s="78">
        <v>50</v>
      </c>
      <c r="F3" s="53" t="s">
        <v>2</v>
      </c>
      <c r="G3" s="53" t="s">
        <v>158</v>
      </c>
      <c r="H3" s="53" t="s">
        <v>849</v>
      </c>
      <c r="I3" s="78">
        <f ca="1">IF(SUMIFS(jt!M:M,jt!A:A,加弹汇总表!A3,jt!O:O,加弹汇总表!$E$1)=0,0,SUM(AO3:BS3)/COUNTIF(AO3:BS3,"&lt;&gt;0"))</f>
        <v>1912.9</v>
      </c>
      <c r="J3" s="53">
        <f>K3-L3</f>
        <v>0</v>
      </c>
      <c r="K3" s="53">
        <f>SUM(R3:T3)</f>
        <v>0</v>
      </c>
      <c r="L3" s="53">
        <f>SUM(U3:W3)</f>
        <v>0</v>
      </c>
      <c r="M3" s="53">
        <f t="shared" ref="M3:M55" si="0">N3+P3-O3</f>
        <v>56426</v>
      </c>
      <c r="N3" s="53">
        <v>4416</v>
      </c>
      <c r="O3" s="53">
        <f t="shared" ref="O3:O35" si="1">SUM(X3:Z3)</f>
        <v>0</v>
      </c>
      <c r="P3" s="53">
        <f t="shared" ref="P3:P55" si="2">SUM(AA3:AC3)</f>
        <v>52010</v>
      </c>
      <c r="Q3" s="53">
        <f t="shared" ref="Q3:Q55" si="3">SUM(AD3:AF3)</f>
        <v>0</v>
      </c>
      <c r="R3" s="60">
        <f>SUMIFS(jt!$K:$K,jt!$A:$A,加弹汇总表!$A3,jt!$R:$R,加弹汇总表!R$2)</f>
        <v>0</v>
      </c>
      <c r="S3" s="60">
        <f>SUMIFS(jt!$K:$K,jt!$A:$A,加弹汇总表!$A3,jt!$R:$R,加弹汇总表!S$2)</f>
        <v>0</v>
      </c>
      <c r="T3" s="60">
        <f>SUMIFS(jt!$K:$K,jt!$A:$A,加弹汇总表!$A3,jt!$R:$R,加弹汇总表!T$2)</f>
        <v>0</v>
      </c>
      <c r="U3" s="60">
        <f>SUMIFS(jt!$J:$J,jt!$A:$A,加弹汇总表!$A3,jt!$R:$R,加弹汇总表!U$2)</f>
        <v>0</v>
      </c>
      <c r="V3" s="60">
        <f>SUMIFS(jt!$J:$J,jt!$A:$A,加弹汇总表!$A3,jt!$R:$R,加弹汇总表!V$2)</f>
        <v>0</v>
      </c>
      <c r="W3" s="60">
        <f>SUMIFS(jt!$J:$J,jt!$A:$A,加弹汇总表!$A3,jt!$R:$R,加弹汇总表!W$2)</f>
        <v>0</v>
      </c>
      <c r="X3" s="61">
        <f>SUMIFS(jt!$L:$L,jt!$A:$A,加弹汇总表!$A3,jt!$R:$R,加弹汇总表!X$2)</f>
        <v>0</v>
      </c>
      <c r="Y3" s="61">
        <f>SUMIFS(jt!$L:$L,jt!$A:$A,加弹汇总表!$A3,jt!$R:$R,加弹汇总表!Y$2)</f>
        <v>0</v>
      </c>
      <c r="Z3" s="61">
        <f>SUMIFS(jt!$L:$L,jt!$A:$A,加弹汇总表!$A3,jt!$R:$R,加弹汇总表!Z$2)</f>
        <v>0</v>
      </c>
      <c r="AA3" s="62">
        <f>SUMIFS(jt!$M:$M,jt!$A:$A,加弹汇总表!$A3,jt!$R:$R,加弹汇总表!AA$2)</f>
        <v>42445.5</v>
      </c>
      <c r="AB3" s="62">
        <f>SUMIFS(jt!$M:$M,jt!$A:$A,加弹汇总表!$A3,jt!$R:$R,加弹汇总表!AB$2)</f>
        <v>9564.5</v>
      </c>
      <c r="AC3" s="62">
        <f>SUMIFS(jt!$M:$M,jt!$A:$A,加弹汇总表!$A3,jt!$R:$R,加弹汇总表!AC$2)</f>
        <v>0</v>
      </c>
      <c r="AD3" s="63">
        <f>SUMIFS(jt!$N:$N,jt!$A:$A,加弹汇总表!$A3,jt!$R:$R,加弹汇总表!AD$2)</f>
        <v>0</v>
      </c>
      <c r="AE3" s="63">
        <f>SUMIFS(jt!$N:$N,jt!$A:$A,加弹汇总表!$A3,jt!$R:$R,加弹汇总表!AE$2)</f>
        <v>0</v>
      </c>
      <c r="AF3" s="63">
        <f>SUMIFS(jt!$N:$N,jt!$A:$A,加弹汇总表!$A3,jt!$R:$R,加弹汇总表!AF$2)</f>
        <v>0</v>
      </c>
      <c r="AG3" s="64">
        <f>SUMIFS(jt!$M:$M,jt!$A:$A,加弹汇总表!$A3,jt!$C:$C,加弹汇总表!AG$2)</f>
        <v>0</v>
      </c>
      <c r="AH3" s="64">
        <f>SUMIFS(jt!$M:$M,jt!$A:$A,加弹汇总表!$A3,jt!$C:$C,加弹汇总表!AH$2)</f>
        <v>28712</v>
      </c>
      <c r="AI3" s="64">
        <f>SUMIFS(jt!$M:$M,jt!$A:$A,加弹汇总表!$A3,jt!$C:$C,加弹汇总表!AI$2)</f>
        <v>0</v>
      </c>
      <c r="AJ3" s="64">
        <f>SUMIFS(jt!$M:$M,jt!$A:$A,加弹汇总表!$A3,jt!$C:$C,加弹汇总表!AJ$2)</f>
        <v>23298</v>
      </c>
      <c r="AK3" s="64">
        <f>SUMIFS(jt!$M:$M,jt!$A:$A,加弹汇总表!$A3,jt!$C:$C,加弹汇总表!AK$2)</f>
        <v>0</v>
      </c>
      <c r="AL3" s="64">
        <f>SUMIFS(jt!$M:$M,jt!$A:$A,加弹汇总表!$A3,jt!$C:$C,加弹汇总表!AL$2)</f>
        <v>0</v>
      </c>
      <c r="AM3" s="64">
        <f>SUMIFS(jt!$M:$M,jt!$A:$A,加弹汇总表!$A3,jt!$C:$C,加弹汇总表!AM$2)</f>
        <v>0</v>
      </c>
      <c r="AN3" s="80">
        <f>SUMIFS(jt!$M:$M,jt!$A:$A,加弹汇总表!$A3,jt!$C:$C,加弹汇总表!AN$2)</f>
        <v>0</v>
      </c>
      <c r="AO3" s="8">
        <f>SUMIFS(jt!$M:$M,jt!$B:$B,加弹汇总表!$B3,jt!$D:$D,加弹汇总表!$C3,jt!$F:$F,加弹汇总表!$F3,jt!$O:$O,加弹汇总表!$C$1&amp;"/"&amp;加弹汇总表!$D$1&amp;"/"&amp;加弹汇总表!AO$2)</f>
        <v>1768</v>
      </c>
      <c r="AP3" s="8">
        <f>SUMIFS(jt!$M:$M,jt!$B:$B,加弹汇总表!$B3,jt!$D:$D,加弹汇总表!$C3,jt!$F:$F,加弹汇总表!$F3,jt!$O:$O,加弹汇总表!$C$1&amp;"/"&amp;加弹汇总表!$D$1&amp;"/"&amp;加弹汇总表!AP$2)</f>
        <v>1743</v>
      </c>
      <c r="AQ3" s="8">
        <f>SUMIFS(jt!$M:$M,jt!$B:$B,加弹汇总表!$B3,jt!$D:$D,加弹汇总表!$C3,jt!$F:$F,加弹汇总表!$F3,jt!$O:$O,加弹汇总表!$C$1&amp;"/"&amp;加弹汇总表!$D$1&amp;"/"&amp;加弹汇总表!AQ$2)</f>
        <v>1903.5</v>
      </c>
      <c r="AR3" s="8">
        <f>SUMIFS(jt!$M:$M,jt!$B:$B,加弹汇总表!$B3,jt!$D:$D,加弹汇总表!$C3,jt!$F:$F,加弹汇总表!$F3,jt!$O:$O,加弹汇总表!$C$1&amp;"/"&amp;加弹汇总表!$D$1&amp;"/"&amp;加弹汇总表!AR$2)</f>
        <v>2360</v>
      </c>
      <c r="AS3" s="8">
        <f>SUMIFS(jt!$M:$M,jt!$B:$B,加弹汇总表!$B3,jt!$D:$D,加弹汇总表!$C3,jt!$F:$F,加弹汇总表!$F3,jt!$O:$O,加弹汇总表!$C$1&amp;"/"&amp;加弹汇总表!$D$1&amp;"/"&amp;加弹汇总表!AS$2)</f>
        <v>1790</v>
      </c>
      <c r="AT3" s="8">
        <f>SUMIFS(jt!$M:$M,jt!$B:$B,加弹汇总表!$B3,jt!$D:$D,加弹汇总表!$C3,jt!$F:$F,加弹汇总表!$F3,jt!$O:$O,加弹汇总表!$C$1&amp;"/"&amp;加弹汇总表!$D$1&amp;"/"&amp;加弹汇总表!AT$2)</f>
        <v>0</v>
      </c>
      <c r="AU3" s="8">
        <f>SUMIFS(jt!$M:$M,jt!$B:$B,加弹汇总表!$B3,jt!$D:$D,加弹汇总表!$C3,jt!$F:$F,加弹汇总表!$F3,jt!$O:$O,加弹汇总表!$C$1&amp;"/"&amp;加弹汇总表!$D$1&amp;"/"&amp;加弹汇总表!AU$2)</f>
        <v>0</v>
      </c>
      <c r="AV3" s="8">
        <f>SUMIFS(jt!$M:$M,jt!$B:$B,加弹汇总表!$B3,jt!$D:$D,加弹汇总表!$C3,jt!$F:$F,加弹汇总表!$F3,jt!$O:$O,加弹汇总表!$C$1&amp;"/"&amp;加弹汇总表!$D$1&amp;"/"&amp;加弹汇总表!AV$2)</f>
        <v>0</v>
      </c>
      <c r="AW3" s="8">
        <f>SUMIFS(jt!$M:$M,jt!$B:$B,加弹汇总表!$B3,jt!$D:$D,加弹汇总表!$C3,jt!$F:$F,加弹汇总表!$F3,jt!$O:$O,加弹汇总表!$C$1&amp;"/"&amp;加弹汇总表!$D$1&amp;"/"&amp;加弹汇总表!AW$2)</f>
        <v>0</v>
      </c>
      <c r="AX3" s="8">
        <f>SUMIFS(jt!$M:$M,jt!$B:$B,加弹汇总表!$B3,jt!$D:$D,加弹汇总表!$C3,jt!$F:$F,加弹汇总表!$F3,jt!$O:$O,加弹汇总表!$C$1&amp;"/"&amp;加弹汇总表!$D$1&amp;"/"&amp;加弹汇总表!AX$2)</f>
        <v>0</v>
      </c>
      <c r="AY3" s="8">
        <f>SUMIFS(jt!$M:$M,jt!$B:$B,加弹汇总表!$B3,jt!$D:$D,加弹汇总表!$C3,jt!$F:$F,加弹汇总表!$F3,jt!$O:$O,加弹汇总表!$C$1&amp;"/"&amp;加弹汇总表!$D$1&amp;"/"&amp;加弹汇总表!AY$2)</f>
        <v>0</v>
      </c>
      <c r="AZ3" s="8">
        <f>SUMIFS(jt!$M:$M,jt!$B:$B,加弹汇总表!$B3,jt!$D:$D,加弹汇总表!$C3,jt!$F:$F,加弹汇总表!$F3,jt!$O:$O,加弹汇总表!$C$1&amp;"/"&amp;加弹汇总表!$D$1&amp;"/"&amp;加弹汇总表!AZ$2)</f>
        <v>0</v>
      </c>
      <c r="BA3" s="8">
        <f>SUMIFS(jt!$M:$M,jt!$B:$B,加弹汇总表!$B3,jt!$D:$D,加弹汇总表!$C3,jt!$F:$F,加弹汇总表!$F3,jt!$O:$O,加弹汇总表!$C$1&amp;"/"&amp;加弹汇总表!$D$1&amp;"/"&amp;加弹汇总表!BA$2)</f>
        <v>0</v>
      </c>
      <c r="BB3" s="8">
        <f>SUMIFS(jt!$M:$M,jt!$B:$B,加弹汇总表!$B3,jt!$D:$D,加弹汇总表!$C3,jt!$F:$F,加弹汇总表!$F3,jt!$O:$O,加弹汇总表!$C$1&amp;"/"&amp;加弹汇总表!$D$1&amp;"/"&amp;加弹汇总表!BB$2)</f>
        <v>0</v>
      </c>
      <c r="BC3" s="8">
        <f>SUMIFS(jt!$M:$M,jt!$B:$B,加弹汇总表!$B3,jt!$D:$D,加弹汇总表!$C3,jt!$F:$F,加弹汇总表!$F3,jt!$O:$O,加弹汇总表!$C$1&amp;"/"&amp;加弹汇总表!$D$1&amp;"/"&amp;加弹汇总表!BC$2)</f>
        <v>0</v>
      </c>
      <c r="BD3" s="8">
        <f>SUMIFS(jt!$M:$M,jt!$B:$B,加弹汇总表!$B3,jt!$D:$D,加弹汇总表!$C3,jt!$F:$F,加弹汇总表!$F3,jt!$O:$O,加弹汇总表!$C$1&amp;"/"&amp;加弹汇总表!$D$1&amp;"/"&amp;加弹汇总表!BD$2)</f>
        <v>0</v>
      </c>
      <c r="BE3" s="8">
        <f>SUMIFS(jt!$M:$M,jt!$B:$B,加弹汇总表!$B3,jt!$D:$D,加弹汇总表!$C3,jt!$F:$F,加弹汇总表!$F3,jt!$O:$O,加弹汇总表!$C$1&amp;"/"&amp;加弹汇总表!$D$1&amp;"/"&amp;加弹汇总表!BE$2)</f>
        <v>0</v>
      </c>
      <c r="BF3" s="8">
        <f>SUMIFS(jt!$M:$M,jt!$B:$B,加弹汇总表!$B3,jt!$D:$D,加弹汇总表!$C3,jt!$F:$F,加弹汇总表!$F3,jt!$O:$O,加弹汇总表!$C$1&amp;"/"&amp;加弹汇总表!$D$1&amp;"/"&amp;加弹汇总表!BF$2)</f>
        <v>0</v>
      </c>
      <c r="BG3" s="8">
        <f>SUMIFS(jt!$M:$M,jt!$B:$B,加弹汇总表!$B3,jt!$D:$D,加弹汇总表!$C3,jt!$F:$F,加弹汇总表!$F3,jt!$O:$O,加弹汇总表!$C$1&amp;"/"&amp;加弹汇总表!$D$1&amp;"/"&amp;加弹汇总表!BG$2)</f>
        <v>0</v>
      </c>
      <c r="BH3" s="8">
        <f>SUMIFS(jt!$M:$M,jt!$B:$B,加弹汇总表!$B3,jt!$D:$D,加弹汇总表!$C3,jt!$F:$F,加弹汇总表!$F3,jt!$O:$O,加弹汇总表!$C$1&amp;"/"&amp;加弹汇总表!$D$1&amp;"/"&amp;加弹汇总表!BH$2)</f>
        <v>0</v>
      </c>
      <c r="BI3" s="8">
        <f>SUMIFS(jt!$M:$M,jt!$B:$B,加弹汇总表!$B3,jt!$D:$D,加弹汇总表!$C3,jt!$F:$F,加弹汇总表!$F3,jt!$O:$O,加弹汇总表!$C$1&amp;"/"&amp;加弹汇总表!$D$1&amp;"/"&amp;加弹汇总表!BI$2)</f>
        <v>0</v>
      </c>
      <c r="BJ3" s="8">
        <f>SUMIFS(jt!$M:$M,jt!$B:$B,加弹汇总表!$B3,jt!$D:$D,加弹汇总表!$C3,jt!$F:$F,加弹汇总表!$F3,jt!$O:$O,加弹汇总表!$C$1&amp;"/"&amp;加弹汇总表!$D$1&amp;"/"&amp;加弹汇总表!BJ$2)</f>
        <v>0</v>
      </c>
      <c r="BK3" s="8">
        <f>SUMIFS(jt!$M:$M,jt!$B:$B,加弹汇总表!$B3,jt!$D:$D,加弹汇总表!$C3,jt!$F:$F,加弹汇总表!$F3,jt!$O:$O,加弹汇总表!$C$1&amp;"/"&amp;加弹汇总表!$D$1&amp;"/"&amp;加弹汇总表!BK$2)</f>
        <v>0</v>
      </c>
      <c r="BL3" s="8">
        <f>SUMIFS(jt!$M:$M,jt!$B:$B,加弹汇总表!$B3,jt!$D:$D,加弹汇总表!$C3,jt!$F:$F,加弹汇总表!$F3,jt!$O:$O,加弹汇总表!$C$1&amp;"/"&amp;加弹汇总表!$D$1&amp;"/"&amp;加弹汇总表!BL$2)</f>
        <v>0</v>
      </c>
      <c r="BM3" s="8">
        <f>SUMIFS(jt!$M:$M,jt!$B:$B,加弹汇总表!$B3,jt!$D:$D,加弹汇总表!$C3,jt!$F:$F,加弹汇总表!$F3,jt!$O:$O,加弹汇总表!$C$1&amp;"/"&amp;加弹汇总表!$D$1&amp;"/"&amp;加弹汇总表!BM$2)</f>
        <v>0</v>
      </c>
      <c r="BN3" s="8">
        <f>SUMIFS(jt!$M:$M,jt!$B:$B,加弹汇总表!$B3,jt!$D:$D,加弹汇总表!$C3,jt!$F:$F,加弹汇总表!$F3,jt!$O:$O,加弹汇总表!$C$1&amp;"/"&amp;加弹汇总表!$D$1&amp;"/"&amp;加弹汇总表!BN$2)</f>
        <v>0</v>
      </c>
      <c r="BO3" s="8">
        <f>SUMIFS(jt!$M:$M,jt!$B:$B,加弹汇总表!$B3,jt!$D:$D,加弹汇总表!$C3,jt!$F:$F,加弹汇总表!$F3,jt!$O:$O,加弹汇总表!$C$1&amp;"/"&amp;加弹汇总表!$D$1&amp;"/"&amp;加弹汇总表!BO$2)</f>
        <v>0</v>
      </c>
      <c r="BP3" s="8">
        <f>SUMIFS(jt!$M:$M,jt!$B:$B,加弹汇总表!$B3,jt!$D:$D,加弹汇总表!$C3,jt!$F:$F,加弹汇总表!$F3,jt!$O:$O,加弹汇总表!$C$1&amp;"/"&amp;加弹汇总表!$D$1&amp;"/"&amp;加弹汇总表!BP$2)</f>
        <v>0</v>
      </c>
      <c r="BQ3" s="8">
        <f>SUMIFS(jt!$M:$M,jt!$B:$B,加弹汇总表!$B3,jt!$D:$D,加弹汇总表!$C3,jt!$F:$F,加弹汇总表!$F3,jt!$O:$O,加弹汇总表!$C$1&amp;"/"&amp;加弹汇总表!$D$1&amp;"/"&amp;加弹汇总表!BQ$2)</f>
        <v>0</v>
      </c>
      <c r="BR3" s="8">
        <f>SUMIFS(jt!$M:$M,jt!$B:$B,加弹汇总表!$B3,jt!$D:$D,加弹汇总表!$C3,jt!$F:$F,加弹汇总表!$F3,jt!$O:$O,加弹汇总表!$C$1&amp;"/"&amp;加弹汇总表!$D$1&amp;"/"&amp;加弹汇总表!BR$2)</f>
        <v>0</v>
      </c>
      <c r="BS3" s="8">
        <f>SUMIFS(jt!$M:$M,jt!$B:$B,加弹汇总表!$B3,jt!$D:$D,加弹汇总表!$C3,jt!$F:$F,加弹汇总表!$F3,jt!$O:$O,加弹汇总表!$C$1&amp;"/"&amp;加弹汇总表!$D$1&amp;"/"&amp;加弹汇总表!BS$2)</f>
        <v>0</v>
      </c>
    </row>
    <row r="4" spans="1:71" ht="18" customHeight="1">
      <c r="A4" s="250" t="str">
        <f t="shared" ref="A4:A58" si="4">B4&amp;C4&amp;D4&amp;F4&amp;H4</f>
        <v>3260550D无温丝104/36白无温圆机</v>
      </c>
      <c r="B4" s="14">
        <v>32605</v>
      </c>
      <c r="C4" s="176" t="s">
        <v>2213</v>
      </c>
      <c r="D4" s="53" t="s">
        <v>368</v>
      </c>
      <c r="E4" s="194">
        <v>50</v>
      </c>
      <c r="F4" s="194" t="s">
        <v>2344</v>
      </c>
      <c r="G4" s="53" t="s">
        <v>146</v>
      </c>
      <c r="H4" s="182" t="s">
        <v>849</v>
      </c>
      <c r="I4" s="246">
        <f ca="1">IF(SUMIFS(jt!M:M,jt!A:A,加弹汇总表!A4,jt!O:O,加弹汇总表!$E$1)=0,0,SUM(AO4:BS4)/COUNTIF(AO4:BS4,"&lt;&gt;0"))</f>
        <v>856.5</v>
      </c>
      <c r="J4" s="53">
        <f t="shared" ref="J4:J55" si="5">K4-L4</f>
        <v>0</v>
      </c>
      <c r="K4" s="53">
        <f t="shared" ref="K4:K52" si="6">SUM(R4:T4)</f>
        <v>0</v>
      </c>
      <c r="L4" s="53">
        <f t="shared" ref="L4:L55" si="7">SUM(U4:W4)</f>
        <v>0</v>
      </c>
      <c r="M4" s="53">
        <f t="shared" si="0"/>
        <v>10233</v>
      </c>
      <c r="N4" s="53"/>
      <c r="O4" s="53">
        <f t="shared" si="1"/>
        <v>0</v>
      </c>
      <c r="P4" s="53">
        <f t="shared" si="2"/>
        <v>10233</v>
      </c>
      <c r="Q4" s="53">
        <f t="shared" si="3"/>
        <v>0</v>
      </c>
      <c r="R4" s="60">
        <f>SUMIFS(jt!$K:$K,jt!$A:$A,加弹汇总表!$A4,jt!$R:$R,加弹汇总表!R$2)</f>
        <v>0</v>
      </c>
      <c r="S4" s="60">
        <f>SUMIFS(jt!$K:$K,jt!$A:$A,加弹汇总表!$A4,jt!$R:$R,加弹汇总表!S$2)</f>
        <v>0</v>
      </c>
      <c r="T4" s="60">
        <f>SUMIFS(jt!$K:$K,jt!$A:$A,加弹汇总表!$A4,jt!$R:$R,加弹汇总表!T$2)</f>
        <v>0</v>
      </c>
      <c r="U4" s="60">
        <f>SUMIFS(jt!$J:$J,jt!$A:$A,加弹汇总表!$A4,jt!$R:$R,加弹汇总表!U$2)</f>
        <v>0</v>
      </c>
      <c r="V4" s="60">
        <f>SUMIFS(jt!$J:$J,jt!$A:$A,加弹汇总表!$A4,jt!$R:$R,加弹汇总表!V$2)</f>
        <v>0</v>
      </c>
      <c r="W4" s="60">
        <f>SUMIFS(jt!$J:$J,jt!$A:$A,加弹汇总表!$A4,jt!$R:$R,加弹汇总表!W$2)</f>
        <v>0</v>
      </c>
      <c r="X4" s="61">
        <f>SUMIFS(jt!$L:$L,jt!$A:$A,加弹汇总表!$A4,jt!$R:$R,加弹汇总表!X$2)</f>
        <v>0</v>
      </c>
      <c r="Y4" s="61">
        <f>SUMIFS(jt!$L:$L,jt!$A:$A,加弹汇总表!$A4,jt!$R:$R,加弹汇总表!Y$2)</f>
        <v>0</v>
      </c>
      <c r="Z4" s="61">
        <f>SUMIFS(jt!$L:$L,jt!$A:$A,加弹汇总表!$A4,jt!$R:$R,加弹汇总表!Z$2)</f>
        <v>0</v>
      </c>
      <c r="AA4" s="62">
        <f>SUMIFS(jt!$M:$M,jt!$A:$A,加弹汇总表!$A4,jt!$R:$R,加弹汇总表!AA$2)</f>
        <v>5950.5</v>
      </c>
      <c r="AB4" s="62">
        <f>SUMIFS(jt!$M:$M,jt!$A:$A,加弹汇总表!$A4,jt!$R:$R,加弹汇总表!AB$2)</f>
        <v>4282.5</v>
      </c>
      <c r="AC4" s="62">
        <f>SUMIFS(jt!$M:$M,jt!$A:$A,加弹汇总表!$A4,jt!$R:$R,加弹汇总表!AC$2)</f>
        <v>0</v>
      </c>
      <c r="AD4" s="63">
        <f>SUMIFS(jt!$N:$N,jt!$A:$A,加弹汇总表!$A4,jt!$R:$R,加弹汇总表!AD$2)</f>
        <v>0</v>
      </c>
      <c r="AE4" s="63">
        <f>SUMIFS(jt!$N:$N,jt!$A:$A,加弹汇总表!$A4,jt!$R:$R,加弹汇总表!AE$2)</f>
        <v>0</v>
      </c>
      <c r="AF4" s="63">
        <f>SUMIFS(jt!$N:$N,jt!$A:$A,加弹汇总表!$A4,jt!$R:$R,加弹汇总表!AF$2)</f>
        <v>0</v>
      </c>
      <c r="AG4" s="64">
        <f>SUMIFS(jt!$M:$M,jt!$A:$A,加弹汇总表!$A4,jt!$C:$C,加弹汇总表!AG$2)</f>
        <v>10233</v>
      </c>
      <c r="AH4" s="64">
        <f>SUMIFS(jt!$M:$M,jt!$A:$A,加弹汇总表!$A4,jt!$C:$C,加弹汇总表!AH$2)</f>
        <v>0</v>
      </c>
      <c r="AI4" s="64">
        <f>SUMIFS(jt!$M:$M,jt!$A:$A,加弹汇总表!$A4,jt!$C:$C,加弹汇总表!AI$2)</f>
        <v>0</v>
      </c>
      <c r="AJ4" s="64">
        <f>SUMIFS(jt!$M:$M,jt!$A:$A,加弹汇总表!$A4,jt!$C:$C,加弹汇总表!AJ$2)</f>
        <v>0</v>
      </c>
      <c r="AK4" s="64">
        <f>SUMIFS(jt!$M:$M,jt!$A:$A,加弹汇总表!$A4,jt!$C:$C,加弹汇总表!AK$2)</f>
        <v>0</v>
      </c>
      <c r="AL4" s="64">
        <f>SUMIFS(jt!$M:$M,jt!$A:$A,加弹汇总表!$A4,jt!$C:$C,加弹汇总表!AL$2)</f>
        <v>0</v>
      </c>
      <c r="AM4" s="64">
        <f>SUMIFS(jt!$M:$M,jt!$A:$A,加弹汇总表!$A4,jt!$C:$C,加弹汇总表!AM$2)</f>
        <v>0</v>
      </c>
      <c r="AN4" s="80">
        <f>SUMIFS(jt!$M:$M,jt!$A:$A,加弹汇总表!$A4,jt!$C:$C,加弹汇总表!AN$2)</f>
        <v>0</v>
      </c>
      <c r="AO4" s="8">
        <f>SUMIFS(jt!$M:$M,jt!$B:$B,加弹汇总表!$B4,jt!$D:$D,加弹汇总表!$C4,jt!$F:$F,加弹汇总表!$F4,jt!$O:$O,加弹汇总表!$C$1&amp;"/"&amp;加弹汇总表!$D$1&amp;"/"&amp;加弹汇总表!AO$2)</f>
        <v>682.5</v>
      </c>
      <c r="AP4" s="8">
        <f>SUMIFS(jt!$M:$M,jt!$B:$B,加弹汇总表!$B4,jt!$D:$D,加弹汇总表!$C4,jt!$F:$F,加弹汇总表!$F4,jt!$O:$O,加弹汇总表!$C$1&amp;"/"&amp;加弹汇总表!$D$1&amp;"/"&amp;加弹汇总表!AP$2)</f>
        <v>622</v>
      </c>
      <c r="AQ4" s="8">
        <f>SUMIFS(jt!$M:$M,jt!$B:$B,加弹汇总表!$B4,jt!$D:$D,加弹汇总表!$C4,jt!$F:$F,加弹汇总表!$F4,jt!$O:$O,加弹汇总表!$C$1&amp;"/"&amp;加弹汇总表!$D$1&amp;"/"&amp;加弹汇总表!AQ$2)</f>
        <v>1183</v>
      </c>
      <c r="AR4" s="8">
        <f>SUMIFS(jt!$M:$M,jt!$B:$B,加弹汇总表!$B4,jt!$D:$D,加弹汇总表!$C4,jt!$F:$F,加弹汇总表!$F4,jt!$O:$O,加弹汇总表!$C$1&amp;"/"&amp;加弹汇总表!$D$1&amp;"/"&amp;加弹汇总表!AR$2)</f>
        <v>573</v>
      </c>
      <c r="AS4" s="8">
        <f>SUMIFS(jt!$M:$M,jt!$B:$B,加弹汇总表!$B4,jt!$D:$D,加弹汇总表!$C4,jt!$F:$F,加弹汇总表!$F4,jt!$O:$O,加弹汇总表!$C$1&amp;"/"&amp;加弹汇总表!$D$1&amp;"/"&amp;加弹汇总表!AS$2)</f>
        <v>1222</v>
      </c>
      <c r="AT4" s="8">
        <f>SUMIFS(jt!$M:$M,jt!$B:$B,加弹汇总表!$B4,jt!$D:$D,加弹汇总表!$C4,jt!$F:$F,加弹汇总表!$F4,jt!$O:$O,加弹汇总表!$C$1&amp;"/"&amp;加弹汇总表!$D$1&amp;"/"&amp;加弹汇总表!AT$2)</f>
        <v>0</v>
      </c>
      <c r="AU4" s="8">
        <f>SUMIFS(jt!$M:$M,jt!$B:$B,加弹汇总表!$B4,jt!$D:$D,加弹汇总表!$C4,jt!$F:$F,加弹汇总表!$F4,jt!$O:$O,加弹汇总表!$C$1&amp;"/"&amp;加弹汇总表!$D$1&amp;"/"&amp;加弹汇总表!AU$2)</f>
        <v>0</v>
      </c>
      <c r="AV4" s="8">
        <f>SUMIFS(jt!$M:$M,jt!$B:$B,加弹汇总表!$B4,jt!$D:$D,加弹汇总表!$C4,jt!$F:$F,加弹汇总表!$F4,jt!$O:$O,加弹汇总表!$C$1&amp;"/"&amp;加弹汇总表!$D$1&amp;"/"&amp;加弹汇总表!AV$2)</f>
        <v>0</v>
      </c>
      <c r="AW4" s="8">
        <f>SUMIFS(jt!$M:$M,jt!$B:$B,加弹汇总表!$B4,jt!$D:$D,加弹汇总表!$C4,jt!$F:$F,加弹汇总表!$F4,jt!$O:$O,加弹汇总表!$C$1&amp;"/"&amp;加弹汇总表!$D$1&amp;"/"&amp;加弹汇总表!AW$2)</f>
        <v>0</v>
      </c>
      <c r="AX4" s="8">
        <f>SUMIFS(jt!$M:$M,jt!$B:$B,加弹汇总表!$B4,jt!$D:$D,加弹汇总表!$C4,jt!$F:$F,加弹汇总表!$F4,jt!$O:$O,加弹汇总表!$C$1&amp;"/"&amp;加弹汇总表!$D$1&amp;"/"&amp;加弹汇总表!AX$2)</f>
        <v>0</v>
      </c>
      <c r="AY4" s="8">
        <f>SUMIFS(jt!$M:$M,jt!$B:$B,加弹汇总表!$B4,jt!$D:$D,加弹汇总表!$C4,jt!$F:$F,加弹汇总表!$F4,jt!$O:$O,加弹汇总表!$C$1&amp;"/"&amp;加弹汇总表!$D$1&amp;"/"&amp;加弹汇总表!AY$2)</f>
        <v>0</v>
      </c>
      <c r="AZ4" s="8">
        <f>SUMIFS(jt!$M:$M,jt!$B:$B,加弹汇总表!$B4,jt!$D:$D,加弹汇总表!$C4,jt!$F:$F,加弹汇总表!$F4,jt!$O:$O,加弹汇总表!$C$1&amp;"/"&amp;加弹汇总表!$D$1&amp;"/"&amp;加弹汇总表!AZ$2)</f>
        <v>0</v>
      </c>
      <c r="BA4" s="8">
        <f>SUMIFS(jt!$M:$M,jt!$B:$B,加弹汇总表!$B4,jt!$D:$D,加弹汇总表!$C4,jt!$F:$F,加弹汇总表!$F4,jt!$O:$O,加弹汇总表!$C$1&amp;"/"&amp;加弹汇总表!$D$1&amp;"/"&amp;加弹汇总表!BA$2)</f>
        <v>0</v>
      </c>
      <c r="BB4" s="8">
        <f>SUMIFS(jt!$M:$M,jt!$B:$B,加弹汇总表!$B4,jt!$D:$D,加弹汇总表!$C4,jt!$F:$F,加弹汇总表!$F4,jt!$O:$O,加弹汇总表!$C$1&amp;"/"&amp;加弹汇总表!$D$1&amp;"/"&amp;加弹汇总表!BB$2)</f>
        <v>0</v>
      </c>
      <c r="BC4" s="8">
        <f>SUMIFS(jt!$M:$M,jt!$B:$B,加弹汇总表!$B4,jt!$D:$D,加弹汇总表!$C4,jt!$F:$F,加弹汇总表!$F4,jt!$O:$O,加弹汇总表!$C$1&amp;"/"&amp;加弹汇总表!$D$1&amp;"/"&amp;加弹汇总表!BC$2)</f>
        <v>0</v>
      </c>
      <c r="BD4" s="8">
        <f>SUMIFS(jt!$M:$M,jt!$B:$B,加弹汇总表!$B4,jt!$D:$D,加弹汇总表!$C4,jt!$F:$F,加弹汇总表!$F4,jt!$O:$O,加弹汇总表!$C$1&amp;"/"&amp;加弹汇总表!$D$1&amp;"/"&amp;加弹汇总表!BD$2)</f>
        <v>0</v>
      </c>
      <c r="BE4" s="8">
        <f>SUMIFS(jt!$M:$M,jt!$B:$B,加弹汇总表!$B4,jt!$D:$D,加弹汇总表!$C4,jt!$F:$F,加弹汇总表!$F4,jt!$O:$O,加弹汇总表!$C$1&amp;"/"&amp;加弹汇总表!$D$1&amp;"/"&amp;加弹汇总表!BE$2)</f>
        <v>0</v>
      </c>
      <c r="BF4" s="8">
        <f>SUMIFS(jt!$M:$M,jt!$B:$B,加弹汇总表!$B4,jt!$D:$D,加弹汇总表!$C4,jt!$F:$F,加弹汇总表!$F4,jt!$O:$O,加弹汇总表!$C$1&amp;"/"&amp;加弹汇总表!$D$1&amp;"/"&amp;加弹汇总表!BF$2)</f>
        <v>0</v>
      </c>
      <c r="BG4" s="8">
        <f>SUMIFS(jt!$M:$M,jt!$B:$B,加弹汇总表!$B4,jt!$D:$D,加弹汇总表!$C4,jt!$F:$F,加弹汇总表!$F4,jt!$O:$O,加弹汇总表!$C$1&amp;"/"&amp;加弹汇总表!$D$1&amp;"/"&amp;加弹汇总表!BG$2)</f>
        <v>0</v>
      </c>
      <c r="BH4" s="8">
        <f>SUMIFS(jt!$M:$M,jt!$B:$B,加弹汇总表!$B4,jt!$D:$D,加弹汇总表!$C4,jt!$F:$F,加弹汇总表!$F4,jt!$O:$O,加弹汇总表!$C$1&amp;"/"&amp;加弹汇总表!$D$1&amp;"/"&amp;加弹汇总表!BH$2)</f>
        <v>0</v>
      </c>
      <c r="BI4" s="8">
        <f>SUMIFS(jt!$M:$M,jt!$B:$B,加弹汇总表!$B4,jt!$D:$D,加弹汇总表!$C4,jt!$F:$F,加弹汇总表!$F4,jt!$O:$O,加弹汇总表!$C$1&amp;"/"&amp;加弹汇总表!$D$1&amp;"/"&amp;加弹汇总表!BI$2)</f>
        <v>0</v>
      </c>
      <c r="BJ4" s="8">
        <f>SUMIFS(jt!$M:$M,jt!$B:$B,加弹汇总表!$B4,jt!$D:$D,加弹汇总表!$C4,jt!$F:$F,加弹汇总表!$F4,jt!$O:$O,加弹汇总表!$C$1&amp;"/"&amp;加弹汇总表!$D$1&amp;"/"&amp;加弹汇总表!BJ$2)</f>
        <v>0</v>
      </c>
      <c r="BK4" s="8">
        <f>SUMIFS(jt!$M:$M,jt!$B:$B,加弹汇总表!$B4,jt!$D:$D,加弹汇总表!$C4,jt!$F:$F,加弹汇总表!$F4,jt!$O:$O,加弹汇总表!$C$1&amp;"/"&amp;加弹汇总表!$D$1&amp;"/"&amp;加弹汇总表!BK$2)</f>
        <v>0</v>
      </c>
      <c r="BL4" s="8">
        <f>SUMIFS(jt!$M:$M,jt!$B:$B,加弹汇总表!$B4,jt!$D:$D,加弹汇总表!$C4,jt!$F:$F,加弹汇总表!$F4,jt!$O:$O,加弹汇总表!$C$1&amp;"/"&amp;加弹汇总表!$D$1&amp;"/"&amp;加弹汇总表!BL$2)</f>
        <v>0</v>
      </c>
      <c r="BM4" s="8">
        <f>SUMIFS(jt!$M:$M,jt!$B:$B,加弹汇总表!$B4,jt!$D:$D,加弹汇总表!$C4,jt!$F:$F,加弹汇总表!$F4,jt!$O:$O,加弹汇总表!$C$1&amp;"/"&amp;加弹汇总表!$D$1&amp;"/"&amp;加弹汇总表!BM$2)</f>
        <v>0</v>
      </c>
      <c r="BN4" s="8">
        <f>SUMIFS(jt!$M:$M,jt!$B:$B,加弹汇总表!$B4,jt!$D:$D,加弹汇总表!$C4,jt!$F:$F,加弹汇总表!$F4,jt!$O:$O,加弹汇总表!$C$1&amp;"/"&amp;加弹汇总表!$D$1&amp;"/"&amp;加弹汇总表!BN$2)</f>
        <v>0</v>
      </c>
      <c r="BO4" s="8">
        <f>SUMIFS(jt!$M:$M,jt!$B:$B,加弹汇总表!$B4,jt!$D:$D,加弹汇总表!$C4,jt!$F:$F,加弹汇总表!$F4,jt!$O:$O,加弹汇总表!$C$1&amp;"/"&amp;加弹汇总表!$D$1&amp;"/"&amp;加弹汇总表!BO$2)</f>
        <v>0</v>
      </c>
      <c r="BP4" s="8">
        <f>SUMIFS(jt!$M:$M,jt!$B:$B,加弹汇总表!$B4,jt!$D:$D,加弹汇总表!$C4,jt!$F:$F,加弹汇总表!$F4,jt!$O:$O,加弹汇总表!$C$1&amp;"/"&amp;加弹汇总表!$D$1&amp;"/"&amp;加弹汇总表!BP$2)</f>
        <v>0</v>
      </c>
      <c r="BQ4" s="8">
        <f>SUMIFS(jt!$M:$M,jt!$B:$B,加弹汇总表!$B4,jt!$D:$D,加弹汇总表!$C4,jt!$F:$F,加弹汇总表!$F4,jt!$O:$O,加弹汇总表!$C$1&amp;"/"&amp;加弹汇总表!$D$1&amp;"/"&amp;加弹汇总表!BQ$2)</f>
        <v>0</v>
      </c>
      <c r="BR4" s="8">
        <f>SUMIFS(jt!$M:$M,jt!$B:$B,加弹汇总表!$B4,jt!$D:$D,加弹汇总表!$C4,jt!$F:$F,加弹汇总表!$F4,jt!$O:$O,加弹汇总表!$C$1&amp;"/"&amp;加弹汇总表!$D$1&amp;"/"&amp;加弹汇总表!BR$2)</f>
        <v>0</v>
      </c>
      <c r="BS4" s="8">
        <f>SUMIFS(jt!$M:$M,jt!$B:$B,加弹汇总表!$B4,jt!$D:$D,加弹汇总表!$C4,jt!$F:$F,加弹汇总表!$F4,jt!$O:$O,加弹汇总表!$C$1&amp;"/"&amp;加弹汇总表!$D$1&amp;"/"&amp;加弹汇总表!BS$2)</f>
        <v>0</v>
      </c>
    </row>
    <row r="5" spans="1:71" ht="18" customHeight="1">
      <c r="A5" s="250" t="str">
        <f t="shared" si="4"/>
        <v>S21211(146专用）50D 175度高温丝89/48白</v>
      </c>
      <c r="B5" s="14" t="s">
        <v>851</v>
      </c>
      <c r="C5" s="98" t="s">
        <v>852</v>
      </c>
      <c r="D5" s="53" t="s">
        <v>455</v>
      </c>
      <c r="E5" s="78"/>
      <c r="F5" s="53" t="s">
        <v>2</v>
      </c>
      <c r="G5" s="53" t="s">
        <v>158</v>
      </c>
      <c r="H5" s="53"/>
      <c r="I5" s="246">
        <f ca="1">IF(SUMIFS(jt!M:M,jt!A:A,加弹汇总表!A5,jt!O:O,加弹汇总表!$E$1)=0,0,SUM(AO5:BS5)/COUNTIF(AO5:BS5,"&lt;&gt;0"))</f>
        <v>0</v>
      </c>
      <c r="J5" s="53">
        <f t="shared" si="5"/>
        <v>0</v>
      </c>
      <c r="K5" s="53">
        <f t="shared" si="6"/>
        <v>0</v>
      </c>
      <c r="L5" s="53">
        <f t="shared" si="7"/>
        <v>0</v>
      </c>
      <c r="M5" s="53">
        <f t="shared" si="0"/>
        <v>0</v>
      </c>
      <c r="N5" s="53"/>
      <c r="O5" s="53">
        <f t="shared" si="1"/>
        <v>0</v>
      </c>
      <c r="P5" s="53">
        <f t="shared" si="2"/>
        <v>0</v>
      </c>
      <c r="Q5" s="53">
        <f t="shared" si="3"/>
        <v>0</v>
      </c>
      <c r="R5" s="60">
        <f>SUMIFS(jt!$K:$K,jt!$A:$A,加弹汇总表!$A5,jt!$R:$R,加弹汇总表!R$2)</f>
        <v>0</v>
      </c>
      <c r="S5" s="60">
        <f>SUMIFS(jt!$K:$K,jt!$A:$A,加弹汇总表!$A5,jt!$R:$R,加弹汇总表!S$2)</f>
        <v>0</v>
      </c>
      <c r="T5" s="60">
        <f>SUMIFS(jt!$K:$K,jt!$A:$A,加弹汇总表!$A5,jt!$R:$R,加弹汇总表!T$2)</f>
        <v>0</v>
      </c>
      <c r="U5" s="60">
        <f>SUMIFS(jt!$J:$J,jt!$A:$A,加弹汇总表!$A5,jt!$R:$R,加弹汇总表!U$2)</f>
        <v>0</v>
      </c>
      <c r="V5" s="60">
        <f>SUMIFS(jt!$J:$J,jt!$A:$A,加弹汇总表!$A5,jt!$R:$R,加弹汇总表!V$2)</f>
        <v>0</v>
      </c>
      <c r="W5" s="60">
        <f>SUMIFS(jt!$J:$J,jt!$A:$A,加弹汇总表!$A5,jt!$R:$R,加弹汇总表!W$2)</f>
        <v>0</v>
      </c>
      <c r="X5" s="61">
        <f>SUMIFS(jt!$L:$L,jt!$A:$A,加弹汇总表!$A5,jt!$R:$R,加弹汇总表!X$2)</f>
        <v>0</v>
      </c>
      <c r="Y5" s="61">
        <f>SUMIFS(jt!$L:$L,jt!$A:$A,加弹汇总表!$A5,jt!$R:$R,加弹汇总表!Y$2)</f>
        <v>0</v>
      </c>
      <c r="Z5" s="61">
        <f>SUMIFS(jt!$L:$L,jt!$A:$A,加弹汇总表!$A5,jt!$R:$R,加弹汇总表!Z$2)</f>
        <v>0</v>
      </c>
      <c r="AA5" s="62">
        <f>SUMIFS(jt!$M:$M,jt!$A:$A,加弹汇总表!$A5,jt!$R:$R,加弹汇总表!AA$2)</f>
        <v>0</v>
      </c>
      <c r="AB5" s="62">
        <f>SUMIFS(jt!$M:$M,jt!$A:$A,加弹汇总表!$A5,jt!$R:$R,加弹汇总表!AB$2)</f>
        <v>0</v>
      </c>
      <c r="AC5" s="62">
        <f>SUMIFS(jt!$M:$M,jt!$A:$A,加弹汇总表!$A5,jt!$R:$R,加弹汇总表!AC$2)</f>
        <v>0</v>
      </c>
      <c r="AD5" s="63">
        <f>SUMIFS(jt!$N:$N,jt!$A:$A,加弹汇总表!$A5,jt!$R:$R,加弹汇总表!AD$2)</f>
        <v>0</v>
      </c>
      <c r="AE5" s="63">
        <f>SUMIFS(jt!$N:$N,jt!$A:$A,加弹汇总表!$A5,jt!$R:$R,加弹汇总表!AE$2)</f>
        <v>0</v>
      </c>
      <c r="AF5" s="63">
        <f>SUMIFS(jt!$N:$N,jt!$A:$A,加弹汇总表!$A5,jt!$R:$R,加弹汇总表!AF$2)</f>
        <v>0</v>
      </c>
      <c r="AG5" s="64">
        <f>SUMIFS(jt!$M:$M,jt!$A:$A,加弹汇总表!$A5,jt!$C:$C,加弹汇总表!AG$2)</f>
        <v>0</v>
      </c>
      <c r="AH5" s="64">
        <f>SUMIFS(jt!$M:$M,jt!$A:$A,加弹汇总表!$A5,jt!$C:$C,加弹汇总表!AH$2)</f>
        <v>0</v>
      </c>
      <c r="AI5" s="64">
        <f>SUMIFS(jt!$M:$M,jt!$A:$A,加弹汇总表!$A5,jt!$C:$C,加弹汇总表!AI$2)</f>
        <v>0</v>
      </c>
      <c r="AJ5" s="64">
        <f>SUMIFS(jt!$M:$M,jt!$A:$A,加弹汇总表!$A5,jt!$C:$C,加弹汇总表!AJ$2)</f>
        <v>0</v>
      </c>
      <c r="AK5" s="64">
        <f>SUMIFS(jt!$M:$M,jt!$A:$A,加弹汇总表!$A5,jt!$C:$C,加弹汇总表!AK$2)</f>
        <v>0</v>
      </c>
      <c r="AL5" s="64">
        <f>SUMIFS(jt!$M:$M,jt!$A:$A,加弹汇总表!$A5,jt!$C:$C,加弹汇总表!AL$2)</f>
        <v>0</v>
      </c>
      <c r="AM5" s="64">
        <f>SUMIFS(jt!$M:$M,jt!$A:$A,加弹汇总表!$A5,jt!$C:$C,加弹汇总表!AM$2)</f>
        <v>0</v>
      </c>
      <c r="AN5" s="80">
        <f>SUMIFS(jt!$M:$M,jt!$A:$A,加弹汇总表!$A5,jt!$C:$C,加弹汇总表!AN$2)</f>
        <v>0</v>
      </c>
      <c r="AO5" s="8">
        <f>SUMIFS(jt!$M:$M,jt!$B:$B,加弹汇总表!$B5,jt!$D:$D,加弹汇总表!$C5,jt!$F:$F,加弹汇总表!$F5,jt!$O:$O,加弹汇总表!$C$1&amp;"/"&amp;加弹汇总表!$D$1&amp;"/"&amp;加弹汇总表!AO$2)</f>
        <v>0</v>
      </c>
      <c r="AP5" s="8">
        <f>SUMIFS(jt!$M:$M,jt!$B:$B,加弹汇总表!$B5,jt!$D:$D,加弹汇总表!$C5,jt!$F:$F,加弹汇总表!$F5,jt!$O:$O,加弹汇总表!$C$1&amp;"/"&amp;加弹汇总表!$D$1&amp;"/"&amp;加弹汇总表!AP$2)</f>
        <v>0</v>
      </c>
      <c r="AQ5" s="8">
        <f>SUMIFS(jt!$M:$M,jt!$B:$B,加弹汇总表!$B5,jt!$D:$D,加弹汇总表!$C5,jt!$F:$F,加弹汇总表!$F5,jt!$O:$O,加弹汇总表!$C$1&amp;"/"&amp;加弹汇总表!$D$1&amp;"/"&amp;加弹汇总表!AQ$2)</f>
        <v>0</v>
      </c>
      <c r="AR5" s="8">
        <f>SUMIFS(jt!$M:$M,jt!$B:$B,加弹汇总表!$B5,jt!$D:$D,加弹汇总表!$C5,jt!$F:$F,加弹汇总表!$F5,jt!$O:$O,加弹汇总表!$C$1&amp;"/"&amp;加弹汇总表!$D$1&amp;"/"&amp;加弹汇总表!AR$2)</f>
        <v>0</v>
      </c>
      <c r="AS5" s="8">
        <f>SUMIFS(jt!$M:$M,jt!$B:$B,加弹汇总表!$B5,jt!$D:$D,加弹汇总表!$C5,jt!$F:$F,加弹汇总表!$F5,jt!$O:$O,加弹汇总表!$C$1&amp;"/"&amp;加弹汇总表!$D$1&amp;"/"&amp;加弹汇总表!AS$2)</f>
        <v>0</v>
      </c>
      <c r="AT5" s="8">
        <f>SUMIFS(jt!$M:$M,jt!$B:$B,加弹汇总表!$B5,jt!$D:$D,加弹汇总表!$C5,jt!$F:$F,加弹汇总表!$F5,jt!$O:$O,加弹汇总表!$C$1&amp;"/"&amp;加弹汇总表!$D$1&amp;"/"&amp;加弹汇总表!AT$2)</f>
        <v>0</v>
      </c>
      <c r="AU5" s="8">
        <f>SUMIFS(jt!$M:$M,jt!$B:$B,加弹汇总表!$B5,jt!$D:$D,加弹汇总表!$C5,jt!$F:$F,加弹汇总表!$F5,jt!$O:$O,加弹汇总表!$C$1&amp;"/"&amp;加弹汇总表!$D$1&amp;"/"&amp;加弹汇总表!AU$2)</f>
        <v>0</v>
      </c>
      <c r="AV5" s="8">
        <f>SUMIFS(jt!$M:$M,jt!$B:$B,加弹汇总表!$B5,jt!$D:$D,加弹汇总表!$C5,jt!$F:$F,加弹汇总表!$F5,jt!$O:$O,加弹汇总表!$C$1&amp;"/"&amp;加弹汇总表!$D$1&amp;"/"&amp;加弹汇总表!AV$2)</f>
        <v>0</v>
      </c>
      <c r="AW5" s="8">
        <f>SUMIFS(jt!$M:$M,jt!$B:$B,加弹汇总表!$B5,jt!$D:$D,加弹汇总表!$C5,jt!$F:$F,加弹汇总表!$F5,jt!$O:$O,加弹汇总表!$C$1&amp;"/"&amp;加弹汇总表!$D$1&amp;"/"&amp;加弹汇总表!AW$2)</f>
        <v>0</v>
      </c>
      <c r="AX5" s="8">
        <f>SUMIFS(jt!$M:$M,jt!$B:$B,加弹汇总表!$B5,jt!$D:$D,加弹汇总表!$C5,jt!$F:$F,加弹汇总表!$F5,jt!$O:$O,加弹汇总表!$C$1&amp;"/"&amp;加弹汇总表!$D$1&amp;"/"&amp;加弹汇总表!AX$2)</f>
        <v>0</v>
      </c>
      <c r="AY5" s="8">
        <f>SUMIFS(jt!$M:$M,jt!$B:$B,加弹汇总表!$B5,jt!$D:$D,加弹汇总表!$C5,jt!$F:$F,加弹汇总表!$F5,jt!$O:$O,加弹汇总表!$C$1&amp;"/"&amp;加弹汇总表!$D$1&amp;"/"&amp;加弹汇总表!AY$2)</f>
        <v>0</v>
      </c>
      <c r="AZ5" s="8">
        <f>SUMIFS(jt!$M:$M,jt!$B:$B,加弹汇总表!$B5,jt!$D:$D,加弹汇总表!$C5,jt!$F:$F,加弹汇总表!$F5,jt!$O:$O,加弹汇总表!$C$1&amp;"/"&amp;加弹汇总表!$D$1&amp;"/"&amp;加弹汇总表!AZ$2)</f>
        <v>0</v>
      </c>
      <c r="BA5" s="8">
        <f>SUMIFS(jt!$M:$M,jt!$B:$B,加弹汇总表!$B5,jt!$D:$D,加弹汇总表!$C5,jt!$F:$F,加弹汇总表!$F5,jt!$O:$O,加弹汇总表!$C$1&amp;"/"&amp;加弹汇总表!$D$1&amp;"/"&amp;加弹汇总表!BA$2)</f>
        <v>0</v>
      </c>
      <c r="BB5" s="8">
        <f>SUMIFS(jt!$M:$M,jt!$B:$B,加弹汇总表!$B5,jt!$D:$D,加弹汇总表!$C5,jt!$F:$F,加弹汇总表!$F5,jt!$O:$O,加弹汇总表!$C$1&amp;"/"&amp;加弹汇总表!$D$1&amp;"/"&amp;加弹汇总表!BB$2)</f>
        <v>0</v>
      </c>
      <c r="BC5" s="8">
        <f>SUMIFS(jt!$M:$M,jt!$B:$B,加弹汇总表!$B5,jt!$D:$D,加弹汇总表!$C5,jt!$F:$F,加弹汇总表!$F5,jt!$O:$O,加弹汇总表!$C$1&amp;"/"&amp;加弹汇总表!$D$1&amp;"/"&amp;加弹汇总表!BC$2)</f>
        <v>0</v>
      </c>
      <c r="BD5" s="8">
        <f>SUMIFS(jt!$M:$M,jt!$B:$B,加弹汇总表!$B5,jt!$D:$D,加弹汇总表!$C5,jt!$F:$F,加弹汇总表!$F5,jt!$O:$O,加弹汇总表!$C$1&amp;"/"&amp;加弹汇总表!$D$1&amp;"/"&amp;加弹汇总表!BD$2)</f>
        <v>0</v>
      </c>
      <c r="BE5" s="8">
        <f>SUMIFS(jt!$M:$M,jt!$B:$B,加弹汇总表!$B5,jt!$D:$D,加弹汇总表!$C5,jt!$F:$F,加弹汇总表!$F5,jt!$O:$O,加弹汇总表!$C$1&amp;"/"&amp;加弹汇总表!$D$1&amp;"/"&amp;加弹汇总表!BE$2)</f>
        <v>0</v>
      </c>
      <c r="BF5" s="8">
        <f>SUMIFS(jt!$M:$M,jt!$B:$B,加弹汇总表!$B5,jt!$D:$D,加弹汇总表!$C5,jt!$F:$F,加弹汇总表!$F5,jt!$O:$O,加弹汇总表!$C$1&amp;"/"&amp;加弹汇总表!$D$1&amp;"/"&amp;加弹汇总表!BF$2)</f>
        <v>0</v>
      </c>
      <c r="BG5" s="8">
        <f>SUMIFS(jt!$M:$M,jt!$B:$B,加弹汇总表!$B5,jt!$D:$D,加弹汇总表!$C5,jt!$F:$F,加弹汇总表!$F5,jt!$O:$O,加弹汇总表!$C$1&amp;"/"&amp;加弹汇总表!$D$1&amp;"/"&amp;加弹汇总表!BG$2)</f>
        <v>0</v>
      </c>
      <c r="BH5" s="8">
        <f>SUMIFS(jt!$M:$M,jt!$B:$B,加弹汇总表!$B5,jt!$D:$D,加弹汇总表!$C5,jt!$F:$F,加弹汇总表!$F5,jt!$O:$O,加弹汇总表!$C$1&amp;"/"&amp;加弹汇总表!$D$1&amp;"/"&amp;加弹汇总表!BH$2)</f>
        <v>0</v>
      </c>
      <c r="BI5" s="8">
        <f>SUMIFS(jt!$M:$M,jt!$B:$B,加弹汇总表!$B5,jt!$D:$D,加弹汇总表!$C5,jt!$F:$F,加弹汇总表!$F5,jt!$O:$O,加弹汇总表!$C$1&amp;"/"&amp;加弹汇总表!$D$1&amp;"/"&amp;加弹汇总表!BI$2)</f>
        <v>0</v>
      </c>
      <c r="BJ5" s="8">
        <f>SUMIFS(jt!$M:$M,jt!$B:$B,加弹汇总表!$B5,jt!$D:$D,加弹汇总表!$C5,jt!$F:$F,加弹汇总表!$F5,jt!$O:$O,加弹汇总表!$C$1&amp;"/"&amp;加弹汇总表!$D$1&amp;"/"&amp;加弹汇总表!BJ$2)</f>
        <v>0</v>
      </c>
      <c r="BK5" s="8">
        <f>SUMIFS(jt!$M:$M,jt!$B:$B,加弹汇总表!$B5,jt!$D:$D,加弹汇总表!$C5,jt!$F:$F,加弹汇总表!$F5,jt!$O:$O,加弹汇总表!$C$1&amp;"/"&amp;加弹汇总表!$D$1&amp;"/"&amp;加弹汇总表!BK$2)</f>
        <v>0</v>
      </c>
      <c r="BL5" s="8">
        <f>SUMIFS(jt!$M:$M,jt!$B:$B,加弹汇总表!$B5,jt!$D:$D,加弹汇总表!$C5,jt!$F:$F,加弹汇总表!$F5,jt!$O:$O,加弹汇总表!$C$1&amp;"/"&amp;加弹汇总表!$D$1&amp;"/"&amp;加弹汇总表!BL$2)</f>
        <v>0</v>
      </c>
      <c r="BM5" s="8">
        <f>SUMIFS(jt!$M:$M,jt!$B:$B,加弹汇总表!$B5,jt!$D:$D,加弹汇总表!$C5,jt!$F:$F,加弹汇总表!$F5,jt!$O:$O,加弹汇总表!$C$1&amp;"/"&amp;加弹汇总表!$D$1&amp;"/"&amp;加弹汇总表!BM$2)</f>
        <v>0</v>
      </c>
      <c r="BN5" s="8">
        <f>SUMIFS(jt!$M:$M,jt!$B:$B,加弹汇总表!$B5,jt!$D:$D,加弹汇总表!$C5,jt!$F:$F,加弹汇总表!$F5,jt!$O:$O,加弹汇总表!$C$1&amp;"/"&amp;加弹汇总表!$D$1&amp;"/"&amp;加弹汇总表!BN$2)</f>
        <v>0</v>
      </c>
      <c r="BO5" s="8">
        <f>SUMIFS(jt!$M:$M,jt!$B:$B,加弹汇总表!$B5,jt!$D:$D,加弹汇总表!$C5,jt!$F:$F,加弹汇总表!$F5,jt!$O:$O,加弹汇总表!$C$1&amp;"/"&amp;加弹汇总表!$D$1&amp;"/"&amp;加弹汇总表!BO$2)</f>
        <v>0</v>
      </c>
      <c r="BP5" s="8">
        <f>SUMIFS(jt!$M:$M,jt!$B:$B,加弹汇总表!$B5,jt!$D:$D,加弹汇总表!$C5,jt!$F:$F,加弹汇总表!$F5,jt!$O:$O,加弹汇总表!$C$1&amp;"/"&amp;加弹汇总表!$D$1&amp;"/"&amp;加弹汇总表!BP$2)</f>
        <v>0</v>
      </c>
      <c r="BQ5" s="8">
        <f>SUMIFS(jt!$M:$M,jt!$B:$B,加弹汇总表!$B5,jt!$D:$D,加弹汇总表!$C5,jt!$F:$F,加弹汇总表!$F5,jt!$O:$O,加弹汇总表!$C$1&amp;"/"&amp;加弹汇总表!$D$1&amp;"/"&amp;加弹汇总表!BQ$2)</f>
        <v>0</v>
      </c>
      <c r="BR5" s="8">
        <f>SUMIFS(jt!$M:$M,jt!$B:$B,加弹汇总表!$B5,jt!$D:$D,加弹汇总表!$C5,jt!$F:$F,加弹汇总表!$F5,jt!$O:$O,加弹汇总表!$C$1&amp;"/"&amp;加弹汇总表!$D$1&amp;"/"&amp;加弹汇总表!BR$2)</f>
        <v>0</v>
      </c>
      <c r="BS5" s="8">
        <f>SUMIFS(jt!$M:$M,jt!$B:$B,加弹汇总表!$B5,jt!$D:$D,加弹汇总表!$C5,jt!$F:$F,加弹汇总表!$F5,jt!$O:$O,加弹汇总表!$C$1&amp;"/"&amp;加弹汇总表!$D$1&amp;"/"&amp;加弹汇总表!BS$2)</f>
        <v>0</v>
      </c>
    </row>
    <row r="6" spans="1:71" ht="18" customHeight="1">
      <c r="A6" s="250" t="str">
        <f t="shared" si="4"/>
        <v>64009450D94/36黑圆机</v>
      </c>
      <c r="B6" s="14">
        <v>640094</v>
      </c>
      <c r="C6" s="98" t="s">
        <v>850</v>
      </c>
      <c r="D6" s="53" t="s">
        <v>460</v>
      </c>
      <c r="E6" s="78">
        <v>50</v>
      </c>
      <c r="F6" s="53" t="s">
        <v>1</v>
      </c>
      <c r="G6" s="53" t="s">
        <v>136</v>
      </c>
      <c r="H6" s="53" t="s">
        <v>849</v>
      </c>
      <c r="I6" s="246">
        <f ca="1">IF(SUMIFS(jt!M:M,jt!A:A,加弹汇总表!A6,jt!O:O,加弹汇总表!$E$1)=0,0,SUM(AO6:BS6)/COUNTIF(AO6:BS6,"&lt;&gt;0"))</f>
        <v>604.29999999999995</v>
      </c>
      <c r="J6" s="53">
        <f t="shared" si="5"/>
        <v>0</v>
      </c>
      <c r="K6" s="53">
        <f t="shared" si="6"/>
        <v>0</v>
      </c>
      <c r="L6" s="53">
        <f t="shared" si="7"/>
        <v>0</v>
      </c>
      <c r="M6" s="53">
        <f t="shared" si="0"/>
        <v>30289.5</v>
      </c>
      <c r="N6" s="53">
        <v>9700</v>
      </c>
      <c r="O6" s="53">
        <f t="shared" si="1"/>
        <v>0</v>
      </c>
      <c r="P6" s="53">
        <f t="shared" si="2"/>
        <v>20589.5</v>
      </c>
      <c r="Q6" s="53">
        <f t="shared" si="3"/>
        <v>0</v>
      </c>
      <c r="R6" s="60">
        <f>SUMIFS(jt!$K:$K,jt!$A:$A,加弹汇总表!$A6,jt!$R:$R,加弹汇总表!R$2)</f>
        <v>0</v>
      </c>
      <c r="S6" s="60">
        <f>SUMIFS(jt!$K:$K,jt!$A:$A,加弹汇总表!$A6,jt!$R:$R,加弹汇总表!S$2)</f>
        <v>0</v>
      </c>
      <c r="T6" s="60">
        <f>SUMIFS(jt!$K:$K,jt!$A:$A,加弹汇总表!$A6,jt!$R:$R,加弹汇总表!T$2)</f>
        <v>0</v>
      </c>
      <c r="U6" s="60">
        <f>SUMIFS(jt!$J:$J,jt!$A:$A,加弹汇总表!$A6,jt!$R:$R,加弹汇总表!U$2)</f>
        <v>0</v>
      </c>
      <c r="V6" s="60">
        <f>SUMIFS(jt!$J:$J,jt!$A:$A,加弹汇总表!$A6,jt!$R:$R,加弹汇总表!V$2)</f>
        <v>0</v>
      </c>
      <c r="W6" s="60">
        <f>SUMIFS(jt!$J:$J,jt!$A:$A,加弹汇总表!$A6,jt!$R:$R,加弹汇总表!W$2)</f>
        <v>0</v>
      </c>
      <c r="X6" s="61">
        <f>SUMIFS(jt!$L:$L,jt!$A:$A,加弹汇总表!$A6,jt!$R:$R,加弹汇总表!X$2)</f>
        <v>0</v>
      </c>
      <c r="Y6" s="61">
        <f>SUMIFS(jt!$L:$L,jt!$A:$A,加弹汇总表!$A6,jt!$R:$R,加弹汇总表!Y$2)</f>
        <v>0</v>
      </c>
      <c r="Z6" s="61">
        <f>SUMIFS(jt!$L:$L,jt!$A:$A,加弹汇总表!$A6,jt!$R:$R,加弹汇总表!Z$2)</f>
        <v>0</v>
      </c>
      <c r="AA6" s="62">
        <f>SUMIFS(jt!$M:$M,jt!$A:$A,加弹汇总表!$A6,jt!$R:$R,加弹汇总表!AA$2)</f>
        <v>17568</v>
      </c>
      <c r="AB6" s="62">
        <f>SUMIFS(jt!$M:$M,jt!$A:$A,加弹汇总表!$A6,jt!$R:$R,加弹汇总表!AB$2)</f>
        <v>3021.5</v>
      </c>
      <c r="AC6" s="62">
        <f>SUMIFS(jt!$M:$M,jt!$A:$A,加弹汇总表!$A6,jt!$R:$R,加弹汇总表!AC$2)</f>
        <v>0</v>
      </c>
      <c r="AD6" s="63">
        <f>SUMIFS(jt!$N:$N,jt!$A:$A,加弹汇总表!$A6,jt!$R:$R,加弹汇总表!AD$2)</f>
        <v>0</v>
      </c>
      <c r="AE6" s="63">
        <f>SUMIFS(jt!$N:$N,jt!$A:$A,加弹汇总表!$A6,jt!$R:$R,加弹汇总表!AE$2)</f>
        <v>0</v>
      </c>
      <c r="AF6" s="63">
        <f>SUMIFS(jt!$N:$N,jt!$A:$A,加弹汇总表!$A6,jt!$R:$R,加弹汇总表!AF$2)</f>
        <v>0</v>
      </c>
      <c r="AG6" s="64">
        <f>SUMIFS(jt!$M:$M,jt!$A:$A,加弹汇总表!$A6,jt!$C:$C,加弹汇总表!AG$2)</f>
        <v>0</v>
      </c>
      <c r="AH6" s="64">
        <f>SUMIFS(jt!$M:$M,jt!$A:$A,加弹汇总表!$A6,jt!$C:$C,加弹汇总表!AH$2)</f>
        <v>0</v>
      </c>
      <c r="AI6" s="64">
        <f>SUMIFS(jt!$M:$M,jt!$A:$A,加弹汇总表!$A6,jt!$C:$C,加弹汇总表!AI$2)</f>
        <v>0</v>
      </c>
      <c r="AJ6" s="64">
        <f>SUMIFS(jt!$M:$M,jt!$A:$A,加弹汇总表!$A6,jt!$C:$C,加弹汇总表!AJ$2)</f>
        <v>0</v>
      </c>
      <c r="AK6" s="64">
        <f>SUMIFS(jt!$M:$M,jt!$A:$A,加弹汇总表!$A6,jt!$C:$C,加弹汇总表!AK$2)</f>
        <v>0</v>
      </c>
      <c r="AL6" s="64">
        <f>SUMIFS(jt!$M:$M,jt!$A:$A,加弹汇总表!$A6,jt!$C:$C,加弹汇总表!AL$2)</f>
        <v>20589.5</v>
      </c>
      <c r="AM6" s="64">
        <f>SUMIFS(jt!$M:$M,jt!$A:$A,加弹汇总表!$A6,jt!$C:$C,加弹汇总表!AM$2)</f>
        <v>0</v>
      </c>
      <c r="AN6" s="80">
        <f>SUMIFS(jt!$M:$M,jt!$A:$A,加弹汇总表!$A6,jt!$C:$C,加弹汇总表!AN$2)</f>
        <v>0</v>
      </c>
      <c r="AO6" s="8">
        <f>SUMIFS(jt!$M:$M,jt!$B:$B,加弹汇总表!$B6,jt!$D:$D,加弹汇总表!$C6,jt!$F:$F,加弹汇总表!$F6,jt!$O:$O,加弹汇总表!$C$1&amp;"/"&amp;加弹汇总表!$D$1&amp;"/"&amp;加弹汇总表!AO$2)</f>
        <v>580.5</v>
      </c>
      <c r="AP6" s="8">
        <f>SUMIFS(jt!$M:$M,jt!$B:$B,加弹汇总表!$B6,jt!$D:$D,加弹汇总表!$C6,jt!$F:$F,加弹汇总表!$F6,jt!$O:$O,加弹汇总表!$C$1&amp;"/"&amp;加弹汇总表!$D$1&amp;"/"&amp;加弹汇总表!AP$2)</f>
        <v>607</v>
      </c>
      <c r="AQ6" s="8">
        <f>SUMIFS(jt!$M:$M,jt!$B:$B,加弹汇总表!$B6,jt!$D:$D,加弹汇总表!$C6,jt!$F:$F,加弹汇总表!$F6,jt!$O:$O,加弹汇总表!$C$1&amp;"/"&amp;加弹汇总表!$D$1&amp;"/"&amp;加弹汇总表!AQ$2)</f>
        <v>678.5</v>
      </c>
      <c r="AR6" s="8">
        <f>SUMIFS(jt!$M:$M,jt!$B:$B,加弹汇总表!$B6,jt!$D:$D,加弹汇总表!$C6,jt!$F:$F,加弹汇总表!$F6,jt!$O:$O,加弹汇总表!$C$1&amp;"/"&amp;加弹汇总表!$D$1&amp;"/"&amp;加弹汇总表!AR$2)</f>
        <v>629</v>
      </c>
      <c r="AS6" s="8">
        <f>SUMIFS(jt!$M:$M,jt!$B:$B,加弹汇总表!$B6,jt!$D:$D,加弹汇总表!$C6,jt!$F:$F,加弹汇总表!$F6,jt!$O:$O,加弹汇总表!$C$1&amp;"/"&amp;加弹汇总表!$D$1&amp;"/"&amp;加弹汇总表!AS$2)</f>
        <v>526.5</v>
      </c>
      <c r="AT6" s="8">
        <f>SUMIFS(jt!$M:$M,jt!$B:$B,加弹汇总表!$B6,jt!$D:$D,加弹汇总表!$C6,jt!$F:$F,加弹汇总表!$F6,jt!$O:$O,加弹汇总表!$C$1&amp;"/"&amp;加弹汇总表!$D$1&amp;"/"&amp;加弹汇总表!AT$2)</f>
        <v>0</v>
      </c>
      <c r="AU6" s="8">
        <f>SUMIFS(jt!$M:$M,jt!$B:$B,加弹汇总表!$B6,jt!$D:$D,加弹汇总表!$C6,jt!$F:$F,加弹汇总表!$F6,jt!$O:$O,加弹汇总表!$C$1&amp;"/"&amp;加弹汇总表!$D$1&amp;"/"&amp;加弹汇总表!AU$2)</f>
        <v>0</v>
      </c>
      <c r="AV6" s="8">
        <f>SUMIFS(jt!$M:$M,jt!$B:$B,加弹汇总表!$B6,jt!$D:$D,加弹汇总表!$C6,jt!$F:$F,加弹汇总表!$F6,jt!$O:$O,加弹汇总表!$C$1&amp;"/"&amp;加弹汇总表!$D$1&amp;"/"&amp;加弹汇总表!AV$2)</f>
        <v>0</v>
      </c>
      <c r="AW6" s="8">
        <f>SUMIFS(jt!$M:$M,jt!$B:$B,加弹汇总表!$B6,jt!$D:$D,加弹汇总表!$C6,jt!$F:$F,加弹汇总表!$F6,jt!$O:$O,加弹汇总表!$C$1&amp;"/"&amp;加弹汇总表!$D$1&amp;"/"&amp;加弹汇总表!AW$2)</f>
        <v>0</v>
      </c>
      <c r="AX6" s="8">
        <f>SUMIFS(jt!$M:$M,jt!$B:$B,加弹汇总表!$B6,jt!$D:$D,加弹汇总表!$C6,jt!$F:$F,加弹汇总表!$F6,jt!$O:$O,加弹汇总表!$C$1&amp;"/"&amp;加弹汇总表!$D$1&amp;"/"&amp;加弹汇总表!AX$2)</f>
        <v>0</v>
      </c>
      <c r="AY6" s="8">
        <f>SUMIFS(jt!$M:$M,jt!$B:$B,加弹汇总表!$B6,jt!$D:$D,加弹汇总表!$C6,jt!$F:$F,加弹汇总表!$F6,jt!$O:$O,加弹汇总表!$C$1&amp;"/"&amp;加弹汇总表!$D$1&amp;"/"&amp;加弹汇总表!AY$2)</f>
        <v>0</v>
      </c>
      <c r="AZ6" s="8">
        <f>SUMIFS(jt!$M:$M,jt!$B:$B,加弹汇总表!$B6,jt!$D:$D,加弹汇总表!$C6,jt!$F:$F,加弹汇总表!$F6,jt!$O:$O,加弹汇总表!$C$1&amp;"/"&amp;加弹汇总表!$D$1&amp;"/"&amp;加弹汇总表!AZ$2)</f>
        <v>0</v>
      </c>
      <c r="BA6" s="8">
        <f>SUMIFS(jt!$M:$M,jt!$B:$B,加弹汇总表!$B6,jt!$D:$D,加弹汇总表!$C6,jt!$F:$F,加弹汇总表!$F6,jt!$O:$O,加弹汇总表!$C$1&amp;"/"&amp;加弹汇总表!$D$1&amp;"/"&amp;加弹汇总表!BA$2)</f>
        <v>0</v>
      </c>
      <c r="BB6" s="8">
        <f>SUMIFS(jt!$M:$M,jt!$B:$B,加弹汇总表!$B6,jt!$D:$D,加弹汇总表!$C6,jt!$F:$F,加弹汇总表!$F6,jt!$O:$O,加弹汇总表!$C$1&amp;"/"&amp;加弹汇总表!$D$1&amp;"/"&amp;加弹汇总表!BB$2)</f>
        <v>0</v>
      </c>
      <c r="BC6" s="8">
        <f>SUMIFS(jt!$M:$M,jt!$B:$B,加弹汇总表!$B6,jt!$D:$D,加弹汇总表!$C6,jt!$F:$F,加弹汇总表!$F6,jt!$O:$O,加弹汇总表!$C$1&amp;"/"&amp;加弹汇总表!$D$1&amp;"/"&amp;加弹汇总表!BC$2)</f>
        <v>0</v>
      </c>
      <c r="BD6" s="8">
        <f>SUMIFS(jt!$M:$M,jt!$B:$B,加弹汇总表!$B6,jt!$D:$D,加弹汇总表!$C6,jt!$F:$F,加弹汇总表!$F6,jt!$O:$O,加弹汇总表!$C$1&amp;"/"&amp;加弹汇总表!$D$1&amp;"/"&amp;加弹汇总表!BD$2)</f>
        <v>0</v>
      </c>
      <c r="BE6" s="8">
        <f>SUMIFS(jt!$M:$M,jt!$B:$B,加弹汇总表!$B6,jt!$D:$D,加弹汇总表!$C6,jt!$F:$F,加弹汇总表!$F6,jt!$O:$O,加弹汇总表!$C$1&amp;"/"&amp;加弹汇总表!$D$1&amp;"/"&amp;加弹汇总表!BE$2)</f>
        <v>0</v>
      </c>
      <c r="BF6" s="8">
        <f>SUMIFS(jt!$M:$M,jt!$B:$B,加弹汇总表!$B6,jt!$D:$D,加弹汇总表!$C6,jt!$F:$F,加弹汇总表!$F6,jt!$O:$O,加弹汇总表!$C$1&amp;"/"&amp;加弹汇总表!$D$1&amp;"/"&amp;加弹汇总表!BF$2)</f>
        <v>0</v>
      </c>
      <c r="BG6" s="8">
        <f>SUMIFS(jt!$M:$M,jt!$B:$B,加弹汇总表!$B6,jt!$D:$D,加弹汇总表!$C6,jt!$F:$F,加弹汇总表!$F6,jt!$O:$O,加弹汇总表!$C$1&amp;"/"&amp;加弹汇总表!$D$1&amp;"/"&amp;加弹汇总表!BG$2)</f>
        <v>0</v>
      </c>
      <c r="BH6" s="8">
        <f>SUMIFS(jt!$M:$M,jt!$B:$B,加弹汇总表!$B6,jt!$D:$D,加弹汇总表!$C6,jt!$F:$F,加弹汇总表!$F6,jt!$O:$O,加弹汇总表!$C$1&amp;"/"&amp;加弹汇总表!$D$1&amp;"/"&amp;加弹汇总表!BH$2)</f>
        <v>0</v>
      </c>
      <c r="BI6" s="8">
        <f>SUMIFS(jt!$M:$M,jt!$B:$B,加弹汇总表!$B6,jt!$D:$D,加弹汇总表!$C6,jt!$F:$F,加弹汇总表!$F6,jt!$O:$O,加弹汇总表!$C$1&amp;"/"&amp;加弹汇总表!$D$1&amp;"/"&amp;加弹汇总表!BI$2)</f>
        <v>0</v>
      </c>
      <c r="BJ6" s="8">
        <f>SUMIFS(jt!$M:$M,jt!$B:$B,加弹汇总表!$B6,jt!$D:$D,加弹汇总表!$C6,jt!$F:$F,加弹汇总表!$F6,jt!$O:$O,加弹汇总表!$C$1&amp;"/"&amp;加弹汇总表!$D$1&amp;"/"&amp;加弹汇总表!BJ$2)</f>
        <v>0</v>
      </c>
      <c r="BK6" s="8">
        <f>SUMIFS(jt!$M:$M,jt!$B:$B,加弹汇总表!$B6,jt!$D:$D,加弹汇总表!$C6,jt!$F:$F,加弹汇总表!$F6,jt!$O:$O,加弹汇总表!$C$1&amp;"/"&amp;加弹汇总表!$D$1&amp;"/"&amp;加弹汇总表!BK$2)</f>
        <v>0</v>
      </c>
      <c r="BL6" s="8">
        <f>SUMIFS(jt!$M:$M,jt!$B:$B,加弹汇总表!$B6,jt!$D:$D,加弹汇总表!$C6,jt!$F:$F,加弹汇总表!$F6,jt!$O:$O,加弹汇总表!$C$1&amp;"/"&amp;加弹汇总表!$D$1&amp;"/"&amp;加弹汇总表!BL$2)</f>
        <v>0</v>
      </c>
      <c r="BM6" s="8">
        <f>SUMIFS(jt!$M:$M,jt!$B:$B,加弹汇总表!$B6,jt!$D:$D,加弹汇总表!$C6,jt!$F:$F,加弹汇总表!$F6,jt!$O:$O,加弹汇总表!$C$1&amp;"/"&amp;加弹汇总表!$D$1&amp;"/"&amp;加弹汇总表!BM$2)</f>
        <v>0</v>
      </c>
      <c r="BN6" s="8">
        <f>SUMIFS(jt!$M:$M,jt!$B:$B,加弹汇总表!$B6,jt!$D:$D,加弹汇总表!$C6,jt!$F:$F,加弹汇总表!$F6,jt!$O:$O,加弹汇总表!$C$1&amp;"/"&amp;加弹汇总表!$D$1&amp;"/"&amp;加弹汇总表!BN$2)</f>
        <v>0</v>
      </c>
      <c r="BO6" s="8">
        <f>SUMIFS(jt!$M:$M,jt!$B:$B,加弹汇总表!$B6,jt!$D:$D,加弹汇总表!$C6,jt!$F:$F,加弹汇总表!$F6,jt!$O:$O,加弹汇总表!$C$1&amp;"/"&amp;加弹汇总表!$D$1&amp;"/"&amp;加弹汇总表!BO$2)</f>
        <v>0</v>
      </c>
      <c r="BP6" s="8">
        <f>SUMIFS(jt!$M:$M,jt!$B:$B,加弹汇总表!$B6,jt!$D:$D,加弹汇总表!$C6,jt!$F:$F,加弹汇总表!$F6,jt!$O:$O,加弹汇总表!$C$1&amp;"/"&amp;加弹汇总表!$D$1&amp;"/"&amp;加弹汇总表!BP$2)</f>
        <v>0</v>
      </c>
      <c r="BQ6" s="8">
        <f>SUMIFS(jt!$M:$M,jt!$B:$B,加弹汇总表!$B6,jt!$D:$D,加弹汇总表!$C6,jt!$F:$F,加弹汇总表!$F6,jt!$O:$O,加弹汇总表!$C$1&amp;"/"&amp;加弹汇总表!$D$1&amp;"/"&amp;加弹汇总表!BQ$2)</f>
        <v>0</v>
      </c>
      <c r="BR6" s="8">
        <f>SUMIFS(jt!$M:$M,jt!$B:$B,加弹汇总表!$B6,jt!$D:$D,加弹汇总表!$C6,jt!$F:$F,加弹汇总表!$F6,jt!$O:$O,加弹汇总表!$C$1&amp;"/"&amp;加弹汇总表!$D$1&amp;"/"&amp;加弹汇总表!BR$2)</f>
        <v>0</v>
      </c>
      <c r="BS6" s="8">
        <f>SUMIFS(jt!$M:$M,jt!$B:$B,加弹汇总表!$B6,jt!$D:$D,加弹汇总表!$C6,jt!$F:$F,加弹汇总表!$F6,jt!$O:$O,加弹汇总表!$C$1&amp;"/"&amp;加弹汇总表!$D$1&amp;"/"&amp;加弹汇总表!BS$2)</f>
        <v>0</v>
      </c>
    </row>
    <row r="7" spans="1:71" ht="18" customHeight="1">
      <c r="A7" s="250" t="str">
        <f t="shared" si="4"/>
        <v>H-2011115036875D  打样115/36白</v>
      </c>
      <c r="B7" s="14" t="s">
        <v>853</v>
      </c>
      <c r="C7" s="98" t="s">
        <v>854</v>
      </c>
      <c r="D7" s="53" t="s">
        <v>596</v>
      </c>
      <c r="E7" s="78"/>
      <c r="F7" s="53" t="s">
        <v>2</v>
      </c>
      <c r="G7" s="53" t="s">
        <v>411</v>
      </c>
      <c r="H7" s="53"/>
      <c r="I7" s="246">
        <f ca="1">IF(SUMIFS(jt!M:M,jt!A:A,加弹汇总表!A7,jt!O:O,加弹汇总表!$E$1)=0,0,SUM(AO7:BS7)/COUNTIF(AO7:BS7,"&lt;&gt;0"))</f>
        <v>0</v>
      </c>
      <c r="J7" s="53">
        <f t="shared" si="5"/>
        <v>0</v>
      </c>
      <c r="K7" s="53">
        <f t="shared" si="6"/>
        <v>0</v>
      </c>
      <c r="L7" s="53">
        <f t="shared" si="7"/>
        <v>0</v>
      </c>
      <c r="M7" s="53">
        <f t="shared" si="0"/>
        <v>0</v>
      </c>
      <c r="N7" s="53"/>
      <c r="O7" s="53">
        <f t="shared" si="1"/>
        <v>0</v>
      </c>
      <c r="P7" s="53">
        <f t="shared" si="2"/>
        <v>0</v>
      </c>
      <c r="Q7" s="53">
        <f t="shared" si="3"/>
        <v>0</v>
      </c>
      <c r="R7" s="60">
        <f>SUMIFS(jt!$K:$K,jt!$A:$A,加弹汇总表!$A7,jt!$R:$R,加弹汇总表!R$2)</f>
        <v>0</v>
      </c>
      <c r="S7" s="60">
        <f>SUMIFS(jt!$K:$K,jt!$A:$A,加弹汇总表!$A7,jt!$R:$R,加弹汇总表!S$2)</f>
        <v>0</v>
      </c>
      <c r="T7" s="60">
        <f>SUMIFS(jt!$K:$K,jt!$A:$A,加弹汇总表!$A7,jt!$R:$R,加弹汇总表!T$2)</f>
        <v>0</v>
      </c>
      <c r="U7" s="60">
        <f>SUMIFS(jt!$J:$J,jt!$A:$A,加弹汇总表!$A7,jt!$R:$R,加弹汇总表!U$2)</f>
        <v>0</v>
      </c>
      <c r="V7" s="60">
        <f>SUMIFS(jt!$J:$J,jt!$A:$A,加弹汇总表!$A7,jt!$R:$R,加弹汇总表!V$2)</f>
        <v>0</v>
      </c>
      <c r="W7" s="60">
        <f>SUMIFS(jt!$J:$J,jt!$A:$A,加弹汇总表!$A7,jt!$R:$R,加弹汇总表!W$2)</f>
        <v>0</v>
      </c>
      <c r="X7" s="61">
        <f>SUMIFS(jt!$L:$L,jt!$A:$A,加弹汇总表!$A7,jt!$R:$R,加弹汇总表!X$2)</f>
        <v>0</v>
      </c>
      <c r="Y7" s="61">
        <f>SUMIFS(jt!$L:$L,jt!$A:$A,加弹汇总表!$A7,jt!$R:$R,加弹汇总表!Y$2)</f>
        <v>0</v>
      </c>
      <c r="Z7" s="61">
        <f>SUMIFS(jt!$L:$L,jt!$A:$A,加弹汇总表!$A7,jt!$R:$R,加弹汇总表!Z$2)</f>
        <v>0</v>
      </c>
      <c r="AA7" s="62">
        <f>SUMIFS(jt!$M:$M,jt!$A:$A,加弹汇总表!$A7,jt!$R:$R,加弹汇总表!AA$2)</f>
        <v>0</v>
      </c>
      <c r="AB7" s="62">
        <f>SUMIFS(jt!$M:$M,jt!$A:$A,加弹汇总表!$A7,jt!$R:$R,加弹汇总表!AB$2)</f>
        <v>0</v>
      </c>
      <c r="AC7" s="62">
        <f>SUMIFS(jt!$M:$M,jt!$A:$A,加弹汇总表!$A7,jt!$R:$R,加弹汇总表!AC$2)</f>
        <v>0</v>
      </c>
      <c r="AD7" s="63">
        <f>SUMIFS(jt!$N:$N,jt!$A:$A,加弹汇总表!$A7,jt!$R:$R,加弹汇总表!AD$2)</f>
        <v>0</v>
      </c>
      <c r="AE7" s="63">
        <f>SUMIFS(jt!$N:$N,jt!$A:$A,加弹汇总表!$A7,jt!$R:$R,加弹汇总表!AE$2)</f>
        <v>0</v>
      </c>
      <c r="AF7" s="63">
        <f>SUMIFS(jt!$N:$N,jt!$A:$A,加弹汇总表!$A7,jt!$R:$R,加弹汇总表!AF$2)</f>
        <v>0</v>
      </c>
      <c r="AG7" s="64">
        <f>SUMIFS(jt!$M:$M,jt!$A:$A,加弹汇总表!$A7,jt!$C:$C,加弹汇总表!AG$2)</f>
        <v>0</v>
      </c>
      <c r="AH7" s="64">
        <f>SUMIFS(jt!$M:$M,jt!$A:$A,加弹汇总表!$A7,jt!$C:$C,加弹汇总表!AH$2)</f>
        <v>0</v>
      </c>
      <c r="AI7" s="64">
        <f>SUMIFS(jt!$M:$M,jt!$A:$A,加弹汇总表!$A7,jt!$C:$C,加弹汇总表!AI$2)</f>
        <v>0</v>
      </c>
      <c r="AJ7" s="64">
        <f>SUMIFS(jt!$M:$M,jt!$A:$A,加弹汇总表!$A7,jt!$C:$C,加弹汇总表!AJ$2)</f>
        <v>0</v>
      </c>
      <c r="AK7" s="64">
        <f>SUMIFS(jt!$M:$M,jt!$A:$A,加弹汇总表!$A7,jt!$C:$C,加弹汇总表!AK$2)</f>
        <v>0</v>
      </c>
      <c r="AL7" s="64">
        <f>SUMIFS(jt!$M:$M,jt!$A:$A,加弹汇总表!$A7,jt!$C:$C,加弹汇总表!AL$2)</f>
        <v>0</v>
      </c>
      <c r="AM7" s="64">
        <f>SUMIFS(jt!$M:$M,jt!$A:$A,加弹汇总表!$A7,jt!$C:$C,加弹汇总表!AM$2)</f>
        <v>0</v>
      </c>
      <c r="AN7" s="80">
        <f>SUMIFS(jt!$M:$M,jt!$A:$A,加弹汇总表!$A7,jt!$C:$C,加弹汇总表!AN$2)</f>
        <v>0</v>
      </c>
      <c r="AO7" s="8">
        <f>SUMIFS(jt!$M:$M,jt!$B:$B,加弹汇总表!$B7,jt!$D:$D,加弹汇总表!$C7,jt!$F:$F,加弹汇总表!$F7,jt!$O:$O,加弹汇总表!$C$1&amp;"/"&amp;加弹汇总表!$D$1&amp;"/"&amp;加弹汇总表!AO$2)</f>
        <v>0</v>
      </c>
      <c r="AP7" s="8">
        <f>SUMIFS(jt!$M:$M,jt!$B:$B,加弹汇总表!$B7,jt!$D:$D,加弹汇总表!$C7,jt!$F:$F,加弹汇总表!$F7,jt!$O:$O,加弹汇总表!$C$1&amp;"/"&amp;加弹汇总表!$D$1&amp;"/"&amp;加弹汇总表!AP$2)</f>
        <v>0</v>
      </c>
      <c r="AQ7" s="8">
        <f>SUMIFS(jt!$M:$M,jt!$B:$B,加弹汇总表!$B7,jt!$D:$D,加弹汇总表!$C7,jt!$F:$F,加弹汇总表!$F7,jt!$O:$O,加弹汇总表!$C$1&amp;"/"&amp;加弹汇总表!$D$1&amp;"/"&amp;加弹汇总表!AQ$2)</f>
        <v>0</v>
      </c>
      <c r="AR7" s="8">
        <f>SUMIFS(jt!$M:$M,jt!$B:$B,加弹汇总表!$B7,jt!$D:$D,加弹汇总表!$C7,jt!$F:$F,加弹汇总表!$F7,jt!$O:$O,加弹汇总表!$C$1&amp;"/"&amp;加弹汇总表!$D$1&amp;"/"&amp;加弹汇总表!AR$2)</f>
        <v>0</v>
      </c>
      <c r="AS7" s="8">
        <f>SUMIFS(jt!$M:$M,jt!$B:$B,加弹汇总表!$B7,jt!$D:$D,加弹汇总表!$C7,jt!$F:$F,加弹汇总表!$F7,jt!$O:$O,加弹汇总表!$C$1&amp;"/"&amp;加弹汇总表!$D$1&amp;"/"&amp;加弹汇总表!AS$2)</f>
        <v>0</v>
      </c>
      <c r="AT7" s="8">
        <f>SUMIFS(jt!$M:$M,jt!$B:$B,加弹汇总表!$B7,jt!$D:$D,加弹汇总表!$C7,jt!$F:$F,加弹汇总表!$F7,jt!$O:$O,加弹汇总表!$C$1&amp;"/"&amp;加弹汇总表!$D$1&amp;"/"&amp;加弹汇总表!AT$2)</f>
        <v>0</v>
      </c>
      <c r="AU7" s="8">
        <f>SUMIFS(jt!$M:$M,jt!$B:$B,加弹汇总表!$B7,jt!$D:$D,加弹汇总表!$C7,jt!$F:$F,加弹汇总表!$F7,jt!$O:$O,加弹汇总表!$C$1&amp;"/"&amp;加弹汇总表!$D$1&amp;"/"&amp;加弹汇总表!AU$2)</f>
        <v>0</v>
      </c>
      <c r="AV7" s="8">
        <f>SUMIFS(jt!$M:$M,jt!$B:$B,加弹汇总表!$B7,jt!$D:$D,加弹汇总表!$C7,jt!$F:$F,加弹汇总表!$F7,jt!$O:$O,加弹汇总表!$C$1&amp;"/"&amp;加弹汇总表!$D$1&amp;"/"&amp;加弹汇总表!AV$2)</f>
        <v>0</v>
      </c>
      <c r="AW7" s="8">
        <f>SUMIFS(jt!$M:$M,jt!$B:$B,加弹汇总表!$B7,jt!$D:$D,加弹汇总表!$C7,jt!$F:$F,加弹汇总表!$F7,jt!$O:$O,加弹汇总表!$C$1&amp;"/"&amp;加弹汇总表!$D$1&amp;"/"&amp;加弹汇总表!AW$2)</f>
        <v>0</v>
      </c>
      <c r="AX7" s="8">
        <f>SUMIFS(jt!$M:$M,jt!$B:$B,加弹汇总表!$B7,jt!$D:$D,加弹汇总表!$C7,jt!$F:$F,加弹汇总表!$F7,jt!$O:$O,加弹汇总表!$C$1&amp;"/"&amp;加弹汇总表!$D$1&amp;"/"&amp;加弹汇总表!AX$2)</f>
        <v>0</v>
      </c>
      <c r="AY7" s="8">
        <f>SUMIFS(jt!$M:$M,jt!$B:$B,加弹汇总表!$B7,jt!$D:$D,加弹汇总表!$C7,jt!$F:$F,加弹汇总表!$F7,jt!$O:$O,加弹汇总表!$C$1&amp;"/"&amp;加弹汇总表!$D$1&amp;"/"&amp;加弹汇总表!AY$2)</f>
        <v>0</v>
      </c>
      <c r="AZ7" s="8">
        <f>SUMIFS(jt!$M:$M,jt!$B:$B,加弹汇总表!$B7,jt!$D:$D,加弹汇总表!$C7,jt!$F:$F,加弹汇总表!$F7,jt!$O:$O,加弹汇总表!$C$1&amp;"/"&amp;加弹汇总表!$D$1&amp;"/"&amp;加弹汇总表!AZ$2)</f>
        <v>0</v>
      </c>
      <c r="BA7" s="8">
        <f>SUMIFS(jt!$M:$M,jt!$B:$B,加弹汇总表!$B7,jt!$D:$D,加弹汇总表!$C7,jt!$F:$F,加弹汇总表!$F7,jt!$O:$O,加弹汇总表!$C$1&amp;"/"&amp;加弹汇总表!$D$1&amp;"/"&amp;加弹汇总表!BA$2)</f>
        <v>0</v>
      </c>
      <c r="BB7" s="8">
        <f>SUMIFS(jt!$M:$M,jt!$B:$B,加弹汇总表!$B7,jt!$D:$D,加弹汇总表!$C7,jt!$F:$F,加弹汇总表!$F7,jt!$O:$O,加弹汇总表!$C$1&amp;"/"&amp;加弹汇总表!$D$1&amp;"/"&amp;加弹汇总表!BB$2)</f>
        <v>0</v>
      </c>
      <c r="BC7" s="8">
        <f>SUMIFS(jt!$M:$M,jt!$B:$B,加弹汇总表!$B7,jt!$D:$D,加弹汇总表!$C7,jt!$F:$F,加弹汇总表!$F7,jt!$O:$O,加弹汇总表!$C$1&amp;"/"&amp;加弹汇总表!$D$1&amp;"/"&amp;加弹汇总表!BC$2)</f>
        <v>0</v>
      </c>
      <c r="BD7" s="8">
        <f>SUMIFS(jt!$M:$M,jt!$B:$B,加弹汇总表!$B7,jt!$D:$D,加弹汇总表!$C7,jt!$F:$F,加弹汇总表!$F7,jt!$O:$O,加弹汇总表!$C$1&amp;"/"&amp;加弹汇总表!$D$1&amp;"/"&amp;加弹汇总表!BD$2)</f>
        <v>0</v>
      </c>
      <c r="BE7" s="8">
        <f>SUMIFS(jt!$M:$M,jt!$B:$B,加弹汇总表!$B7,jt!$D:$D,加弹汇总表!$C7,jt!$F:$F,加弹汇总表!$F7,jt!$O:$O,加弹汇总表!$C$1&amp;"/"&amp;加弹汇总表!$D$1&amp;"/"&amp;加弹汇总表!BE$2)</f>
        <v>0</v>
      </c>
      <c r="BF7" s="8">
        <f>SUMIFS(jt!$M:$M,jt!$B:$B,加弹汇总表!$B7,jt!$D:$D,加弹汇总表!$C7,jt!$F:$F,加弹汇总表!$F7,jt!$O:$O,加弹汇总表!$C$1&amp;"/"&amp;加弹汇总表!$D$1&amp;"/"&amp;加弹汇总表!BF$2)</f>
        <v>0</v>
      </c>
      <c r="BG7" s="8">
        <f>SUMIFS(jt!$M:$M,jt!$B:$B,加弹汇总表!$B7,jt!$D:$D,加弹汇总表!$C7,jt!$F:$F,加弹汇总表!$F7,jt!$O:$O,加弹汇总表!$C$1&amp;"/"&amp;加弹汇总表!$D$1&amp;"/"&amp;加弹汇总表!BG$2)</f>
        <v>0</v>
      </c>
      <c r="BH7" s="8">
        <f>SUMIFS(jt!$M:$M,jt!$B:$B,加弹汇总表!$B7,jt!$D:$D,加弹汇总表!$C7,jt!$F:$F,加弹汇总表!$F7,jt!$O:$O,加弹汇总表!$C$1&amp;"/"&amp;加弹汇总表!$D$1&amp;"/"&amp;加弹汇总表!BH$2)</f>
        <v>0</v>
      </c>
      <c r="BI7" s="8">
        <f>SUMIFS(jt!$M:$M,jt!$B:$B,加弹汇总表!$B7,jt!$D:$D,加弹汇总表!$C7,jt!$F:$F,加弹汇总表!$F7,jt!$O:$O,加弹汇总表!$C$1&amp;"/"&amp;加弹汇总表!$D$1&amp;"/"&amp;加弹汇总表!BI$2)</f>
        <v>0</v>
      </c>
      <c r="BJ7" s="8">
        <f>SUMIFS(jt!$M:$M,jt!$B:$B,加弹汇总表!$B7,jt!$D:$D,加弹汇总表!$C7,jt!$F:$F,加弹汇总表!$F7,jt!$O:$O,加弹汇总表!$C$1&amp;"/"&amp;加弹汇总表!$D$1&amp;"/"&amp;加弹汇总表!BJ$2)</f>
        <v>0</v>
      </c>
      <c r="BK7" s="8">
        <f>SUMIFS(jt!$M:$M,jt!$B:$B,加弹汇总表!$B7,jt!$D:$D,加弹汇总表!$C7,jt!$F:$F,加弹汇总表!$F7,jt!$O:$O,加弹汇总表!$C$1&amp;"/"&amp;加弹汇总表!$D$1&amp;"/"&amp;加弹汇总表!BK$2)</f>
        <v>0</v>
      </c>
      <c r="BL7" s="8">
        <f>SUMIFS(jt!$M:$M,jt!$B:$B,加弹汇总表!$B7,jt!$D:$D,加弹汇总表!$C7,jt!$F:$F,加弹汇总表!$F7,jt!$O:$O,加弹汇总表!$C$1&amp;"/"&amp;加弹汇总表!$D$1&amp;"/"&amp;加弹汇总表!BL$2)</f>
        <v>0</v>
      </c>
      <c r="BM7" s="8">
        <f>SUMIFS(jt!$M:$M,jt!$B:$B,加弹汇总表!$B7,jt!$D:$D,加弹汇总表!$C7,jt!$F:$F,加弹汇总表!$F7,jt!$O:$O,加弹汇总表!$C$1&amp;"/"&amp;加弹汇总表!$D$1&amp;"/"&amp;加弹汇总表!BM$2)</f>
        <v>0</v>
      </c>
      <c r="BN7" s="8">
        <f>SUMIFS(jt!$M:$M,jt!$B:$B,加弹汇总表!$B7,jt!$D:$D,加弹汇总表!$C7,jt!$F:$F,加弹汇总表!$F7,jt!$O:$O,加弹汇总表!$C$1&amp;"/"&amp;加弹汇总表!$D$1&amp;"/"&amp;加弹汇总表!BN$2)</f>
        <v>0</v>
      </c>
      <c r="BO7" s="8">
        <f>SUMIFS(jt!$M:$M,jt!$B:$B,加弹汇总表!$B7,jt!$D:$D,加弹汇总表!$C7,jt!$F:$F,加弹汇总表!$F7,jt!$O:$O,加弹汇总表!$C$1&amp;"/"&amp;加弹汇总表!$D$1&amp;"/"&amp;加弹汇总表!BO$2)</f>
        <v>0</v>
      </c>
      <c r="BP7" s="8">
        <f>SUMIFS(jt!$M:$M,jt!$B:$B,加弹汇总表!$B7,jt!$D:$D,加弹汇总表!$C7,jt!$F:$F,加弹汇总表!$F7,jt!$O:$O,加弹汇总表!$C$1&amp;"/"&amp;加弹汇总表!$D$1&amp;"/"&amp;加弹汇总表!BP$2)</f>
        <v>0</v>
      </c>
      <c r="BQ7" s="8">
        <f>SUMIFS(jt!$M:$M,jt!$B:$B,加弹汇总表!$B7,jt!$D:$D,加弹汇总表!$C7,jt!$F:$F,加弹汇总表!$F7,jt!$O:$O,加弹汇总表!$C$1&amp;"/"&amp;加弹汇总表!$D$1&amp;"/"&amp;加弹汇总表!BQ$2)</f>
        <v>0</v>
      </c>
      <c r="BR7" s="8">
        <f>SUMIFS(jt!$M:$M,jt!$B:$B,加弹汇总表!$B7,jt!$D:$D,加弹汇总表!$C7,jt!$F:$F,加弹汇总表!$F7,jt!$O:$O,加弹汇总表!$C$1&amp;"/"&amp;加弹汇总表!$D$1&amp;"/"&amp;加弹汇总表!BR$2)</f>
        <v>0</v>
      </c>
      <c r="BS7" s="8">
        <f>SUMIFS(jt!$M:$M,jt!$B:$B,加弹汇总表!$B7,jt!$D:$D,加弹汇总表!$C7,jt!$F:$F,加弹汇总表!$F7,jt!$O:$O,加弹汇总表!$C$1&amp;"/"&amp;加弹汇总表!$D$1&amp;"/"&amp;加弹汇总表!BS$2)</f>
        <v>0</v>
      </c>
    </row>
    <row r="8" spans="1:71" ht="18" customHeight="1">
      <c r="A8" s="250" t="str">
        <f t="shared" si="4"/>
        <v>S21325高温打样130/48白</v>
      </c>
      <c r="B8" s="14" t="s">
        <v>384</v>
      </c>
      <c r="C8" s="98" t="s">
        <v>855</v>
      </c>
      <c r="D8" s="53" t="s">
        <v>381</v>
      </c>
      <c r="E8" s="78"/>
      <c r="F8" s="53" t="s">
        <v>2</v>
      </c>
      <c r="G8" s="53" t="s">
        <v>158</v>
      </c>
      <c r="H8" s="53"/>
      <c r="I8" s="246">
        <f ca="1">IF(SUMIFS(jt!M:M,jt!A:A,加弹汇总表!A8,jt!O:O,加弹汇总表!$E$1)=0,0,SUM(AO8:BS8)/COUNTIF(AO8:BS8,"&lt;&gt;0"))</f>
        <v>0</v>
      </c>
      <c r="J8" s="53">
        <f t="shared" si="5"/>
        <v>0</v>
      </c>
      <c r="K8" s="53">
        <f t="shared" si="6"/>
        <v>0</v>
      </c>
      <c r="L8" s="53">
        <f t="shared" si="7"/>
        <v>0</v>
      </c>
      <c r="M8" s="53">
        <f t="shared" si="0"/>
        <v>0</v>
      </c>
      <c r="N8" s="53"/>
      <c r="O8" s="53">
        <f t="shared" si="1"/>
        <v>0</v>
      </c>
      <c r="P8" s="53">
        <f t="shared" si="2"/>
        <v>0</v>
      </c>
      <c r="Q8" s="53">
        <f t="shared" si="3"/>
        <v>0</v>
      </c>
      <c r="R8" s="60">
        <f>SUMIFS(jt!$K:$K,jt!$A:$A,加弹汇总表!$A8,jt!$R:$R,加弹汇总表!R$2)</f>
        <v>0</v>
      </c>
      <c r="S8" s="60">
        <f>SUMIFS(jt!$K:$K,jt!$A:$A,加弹汇总表!$A8,jt!$R:$R,加弹汇总表!S$2)</f>
        <v>0</v>
      </c>
      <c r="T8" s="60">
        <f>SUMIFS(jt!$K:$K,jt!$A:$A,加弹汇总表!$A8,jt!$R:$R,加弹汇总表!T$2)</f>
        <v>0</v>
      </c>
      <c r="U8" s="60">
        <f>SUMIFS(jt!$J:$J,jt!$A:$A,加弹汇总表!$A8,jt!$R:$R,加弹汇总表!U$2)</f>
        <v>0</v>
      </c>
      <c r="V8" s="60">
        <f>SUMIFS(jt!$J:$J,jt!$A:$A,加弹汇总表!$A8,jt!$R:$R,加弹汇总表!V$2)</f>
        <v>0</v>
      </c>
      <c r="W8" s="60">
        <f>SUMIFS(jt!$J:$J,jt!$A:$A,加弹汇总表!$A8,jt!$R:$R,加弹汇总表!W$2)</f>
        <v>0</v>
      </c>
      <c r="X8" s="61">
        <f>SUMIFS(jt!$L:$L,jt!$A:$A,加弹汇总表!$A8,jt!$R:$R,加弹汇总表!X$2)</f>
        <v>0</v>
      </c>
      <c r="Y8" s="61">
        <f>SUMIFS(jt!$L:$L,jt!$A:$A,加弹汇总表!$A8,jt!$R:$R,加弹汇总表!Y$2)</f>
        <v>0</v>
      </c>
      <c r="Z8" s="61">
        <f>SUMIFS(jt!$L:$L,jt!$A:$A,加弹汇总表!$A8,jt!$R:$R,加弹汇总表!Z$2)</f>
        <v>0</v>
      </c>
      <c r="AA8" s="62">
        <f>SUMIFS(jt!$M:$M,jt!$A:$A,加弹汇总表!$A8,jt!$R:$R,加弹汇总表!AA$2)</f>
        <v>0</v>
      </c>
      <c r="AB8" s="62">
        <f>SUMIFS(jt!$M:$M,jt!$A:$A,加弹汇总表!$A8,jt!$R:$R,加弹汇总表!AB$2)</f>
        <v>0</v>
      </c>
      <c r="AC8" s="62">
        <f>SUMIFS(jt!$M:$M,jt!$A:$A,加弹汇总表!$A8,jt!$R:$R,加弹汇总表!AC$2)</f>
        <v>0</v>
      </c>
      <c r="AD8" s="63">
        <f>SUMIFS(jt!$N:$N,jt!$A:$A,加弹汇总表!$A8,jt!$R:$R,加弹汇总表!AD$2)</f>
        <v>0</v>
      </c>
      <c r="AE8" s="63">
        <f>SUMIFS(jt!$N:$N,jt!$A:$A,加弹汇总表!$A8,jt!$R:$R,加弹汇总表!AE$2)</f>
        <v>0</v>
      </c>
      <c r="AF8" s="63">
        <f>SUMIFS(jt!$N:$N,jt!$A:$A,加弹汇总表!$A8,jt!$R:$R,加弹汇总表!AF$2)</f>
        <v>0</v>
      </c>
      <c r="AG8" s="64">
        <f>SUMIFS(jt!$M:$M,jt!$A:$A,加弹汇总表!$A8,jt!$C:$C,加弹汇总表!AG$2)</f>
        <v>0</v>
      </c>
      <c r="AH8" s="64">
        <f>SUMIFS(jt!$M:$M,jt!$A:$A,加弹汇总表!$A8,jt!$C:$C,加弹汇总表!AH$2)</f>
        <v>0</v>
      </c>
      <c r="AI8" s="64">
        <f>SUMIFS(jt!$M:$M,jt!$A:$A,加弹汇总表!$A8,jt!$C:$C,加弹汇总表!AI$2)</f>
        <v>0</v>
      </c>
      <c r="AJ8" s="64">
        <f>SUMIFS(jt!$M:$M,jt!$A:$A,加弹汇总表!$A8,jt!$C:$C,加弹汇总表!AJ$2)</f>
        <v>0</v>
      </c>
      <c r="AK8" s="64">
        <f>SUMIFS(jt!$M:$M,jt!$A:$A,加弹汇总表!$A8,jt!$C:$C,加弹汇总表!AK$2)</f>
        <v>0</v>
      </c>
      <c r="AL8" s="64">
        <f>SUMIFS(jt!$M:$M,jt!$A:$A,加弹汇总表!$A8,jt!$C:$C,加弹汇总表!AL$2)</f>
        <v>0</v>
      </c>
      <c r="AM8" s="64">
        <f>SUMIFS(jt!$M:$M,jt!$A:$A,加弹汇总表!$A8,jt!$C:$C,加弹汇总表!AM$2)</f>
        <v>0</v>
      </c>
      <c r="AN8" s="80">
        <f>SUMIFS(jt!$M:$M,jt!$A:$A,加弹汇总表!$A8,jt!$C:$C,加弹汇总表!AN$2)</f>
        <v>0</v>
      </c>
      <c r="AO8" s="8">
        <f>SUMIFS(jt!$M:$M,jt!$B:$B,加弹汇总表!$B8,jt!$D:$D,加弹汇总表!$C8,jt!$F:$F,加弹汇总表!$F8,jt!$O:$O,加弹汇总表!$C$1&amp;"/"&amp;加弹汇总表!$D$1&amp;"/"&amp;加弹汇总表!AO$2)</f>
        <v>0</v>
      </c>
      <c r="AP8" s="8">
        <f>SUMIFS(jt!$M:$M,jt!$B:$B,加弹汇总表!$B8,jt!$D:$D,加弹汇总表!$C8,jt!$F:$F,加弹汇总表!$F8,jt!$O:$O,加弹汇总表!$C$1&amp;"/"&amp;加弹汇总表!$D$1&amp;"/"&amp;加弹汇总表!AP$2)</f>
        <v>0</v>
      </c>
      <c r="AQ8" s="8">
        <f>SUMIFS(jt!$M:$M,jt!$B:$B,加弹汇总表!$B8,jt!$D:$D,加弹汇总表!$C8,jt!$F:$F,加弹汇总表!$F8,jt!$O:$O,加弹汇总表!$C$1&amp;"/"&amp;加弹汇总表!$D$1&amp;"/"&amp;加弹汇总表!AQ$2)</f>
        <v>0</v>
      </c>
      <c r="AR8" s="8">
        <f>SUMIFS(jt!$M:$M,jt!$B:$B,加弹汇总表!$B8,jt!$D:$D,加弹汇总表!$C8,jt!$F:$F,加弹汇总表!$F8,jt!$O:$O,加弹汇总表!$C$1&amp;"/"&amp;加弹汇总表!$D$1&amp;"/"&amp;加弹汇总表!AR$2)</f>
        <v>0</v>
      </c>
      <c r="AS8" s="8">
        <f>SUMIFS(jt!$M:$M,jt!$B:$B,加弹汇总表!$B8,jt!$D:$D,加弹汇总表!$C8,jt!$F:$F,加弹汇总表!$F8,jt!$O:$O,加弹汇总表!$C$1&amp;"/"&amp;加弹汇总表!$D$1&amp;"/"&amp;加弹汇总表!AS$2)</f>
        <v>0</v>
      </c>
      <c r="AT8" s="8">
        <f>SUMIFS(jt!$M:$M,jt!$B:$B,加弹汇总表!$B8,jt!$D:$D,加弹汇总表!$C8,jt!$F:$F,加弹汇总表!$F8,jt!$O:$O,加弹汇总表!$C$1&amp;"/"&amp;加弹汇总表!$D$1&amp;"/"&amp;加弹汇总表!AT$2)</f>
        <v>0</v>
      </c>
      <c r="AU8" s="8">
        <f>SUMIFS(jt!$M:$M,jt!$B:$B,加弹汇总表!$B8,jt!$D:$D,加弹汇总表!$C8,jt!$F:$F,加弹汇总表!$F8,jt!$O:$O,加弹汇总表!$C$1&amp;"/"&amp;加弹汇总表!$D$1&amp;"/"&amp;加弹汇总表!AU$2)</f>
        <v>0</v>
      </c>
      <c r="AV8" s="8">
        <f>SUMIFS(jt!$M:$M,jt!$B:$B,加弹汇总表!$B8,jt!$D:$D,加弹汇总表!$C8,jt!$F:$F,加弹汇总表!$F8,jt!$O:$O,加弹汇总表!$C$1&amp;"/"&amp;加弹汇总表!$D$1&amp;"/"&amp;加弹汇总表!AV$2)</f>
        <v>0</v>
      </c>
      <c r="AW8" s="8">
        <f>SUMIFS(jt!$M:$M,jt!$B:$B,加弹汇总表!$B8,jt!$D:$D,加弹汇总表!$C8,jt!$F:$F,加弹汇总表!$F8,jt!$O:$O,加弹汇总表!$C$1&amp;"/"&amp;加弹汇总表!$D$1&amp;"/"&amp;加弹汇总表!AW$2)</f>
        <v>0</v>
      </c>
      <c r="AX8" s="8">
        <f>SUMIFS(jt!$M:$M,jt!$B:$B,加弹汇总表!$B8,jt!$D:$D,加弹汇总表!$C8,jt!$F:$F,加弹汇总表!$F8,jt!$O:$O,加弹汇总表!$C$1&amp;"/"&amp;加弹汇总表!$D$1&amp;"/"&amp;加弹汇总表!AX$2)</f>
        <v>0</v>
      </c>
      <c r="AY8" s="8">
        <f>SUMIFS(jt!$M:$M,jt!$B:$B,加弹汇总表!$B8,jt!$D:$D,加弹汇总表!$C8,jt!$F:$F,加弹汇总表!$F8,jt!$O:$O,加弹汇总表!$C$1&amp;"/"&amp;加弹汇总表!$D$1&amp;"/"&amp;加弹汇总表!AY$2)</f>
        <v>0</v>
      </c>
      <c r="AZ8" s="8">
        <f>SUMIFS(jt!$M:$M,jt!$B:$B,加弹汇总表!$B8,jt!$D:$D,加弹汇总表!$C8,jt!$F:$F,加弹汇总表!$F8,jt!$O:$O,加弹汇总表!$C$1&amp;"/"&amp;加弹汇总表!$D$1&amp;"/"&amp;加弹汇总表!AZ$2)</f>
        <v>0</v>
      </c>
      <c r="BA8" s="8">
        <f>SUMIFS(jt!$M:$M,jt!$B:$B,加弹汇总表!$B8,jt!$D:$D,加弹汇总表!$C8,jt!$F:$F,加弹汇总表!$F8,jt!$O:$O,加弹汇总表!$C$1&amp;"/"&amp;加弹汇总表!$D$1&amp;"/"&amp;加弹汇总表!BA$2)</f>
        <v>0</v>
      </c>
      <c r="BB8" s="8">
        <f>SUMIFS(jt!$M:$M,jt!$B:$B,加弹汇总表!$B8,jt!$D:$D,加弹汇总表!$C8,jt!$F:$F,加弹汇总表!$F8,jt!$O:$O,加弹汇总表!$C$1&amp;"/"&amp;加弹汇总表!$D$1&amp;"/"&amp;加弹汇总表!BB$2)</f>
        <v>0</v>
      </c>
      <c r="BC8" s="8">
        <f>SUMIFS(jt!$M:$M,jt!$B:$B,加弹汇总表!$B8,jt!$D:$D,加弹汇总表!$C8,jt!$F:$F,加弹汇总表!$F8,jt!$O:$O,加弹汇总表!$C$1&amp;"/"&amp;加弹汇总表!$D$1&amp;"/"&amp;加弹汇总表!BC$2)</f>
        <v>0</v>
      </c>
      <c r="BD8" s="8">
        <f>SUMIFS(jt!$M:$M,jt!$B:$B,加弹汇总表!$B8,jt!$D:$D,加弹汇总表!$C8,jt!$F:$F,加弹汇总表!$F8,jt!$O:$O,加弹汇总表!$C$1&amp;"/"&amp;加弹汇总表!$D$1&amp;"/"&amp;加弹汇总表!BD$2)</f>
        <v>0</v>
      </c>
      <c r="BE8" s="8">
        <f>SUMIFS(jt!$M:$M,jt!$B:$B,加弹汇总表!$B8,jt!$D:$D,加弹汇总表!$C8,jt!$F:$F,加弹汇总表!$F8,jt!$O:$O,加弹汇总表!$C$1&amp;"/"&amp;加弹汇总表!$D$1&amp;"/"&amp;加弹汇总表!BE$2)</f>
        <v>0</v>
      </c>
      <c r="BF8" s="8">
        <f>SUMIFS(jt!$M:$M,jt!$B:$B,加弹汇总表!$B8,jt!$D:$D,加弹汇总表!$C8,jt!$F:$F,加弹汇总表!$F8,jt!$O:$O,加弹汇总表!$C$1&amp;"/"&amp;加弹汇总表!$D$1&amp;"/"&amp;加弹汇总表!BF$2)</f>
        <v>0</v>
      </c>
      <c r="BG8" s="8">
        <f>SUMIFS(jt!$M:$M,jt!$B:$B,加弹汇总表!$B8,jt!$D:$D,加弹汇总表!$C8,jt!$F:$F,加弹汇总表!$F8,jt!$O:$O,加弹汇总表!$C$1&amp;"/"&amp;加弹汇总表!$D$1&amp;"/"&amp;加弹汇总表!BG$2)</f>
        <v>0</v>
      </c>
      <c r="BH8" s="8">
        <f>SUMIFS(jt!$M:$M,jt!$B:$B,加弹汇总表!$B8,jt!$D:$D,加弹汇总表!$C8,jt!$F:$F,加弹汇总表!$F8,jt!$O:$O,加弹汇总表!$C$1&amp;"/"&amp;加弹汇总表!$D$1&amp;"/"&amp;加弹汇总表!BH$2)</f>
        <v>0</v>
      </c>
      <c r="BI8" s="8">
        <f>SUMIFS(jt!$M:$M,jt!$B:$B,加弹汇总表!$B8,jt!$D:$D,加弹汇总表!$C8,jt!$F:$F,加弹汇总表!$F8,jt!$O:$O,加弹汇总表!$C$1&amp;"/"&amp;加弹汇总表!$D$1&amp;"/"&amp;加弹汇总表!BI$2)</f>
        <v>0</v>
      </c>
      <c r="BJ8" s="8">
        <f>SUMIFS(jt!$M:$M,jt!$B:$B,加弹汇总表!$B8,jt!$D:$D,加弹汇总表!$C8,jt!$F:$F,加弹汇总表!$F8,jt!$O:$O,加弹汇总表!$C$1&amp;"/"&amp;加弹汇总表!$D$1&amp;"/"&amp;加弹汇总表!BJ$2)</f>
        <v>0</v>
      </c>
      <c r="BK8" s="8">
        <f>SUMIFS(jt!$M:$M,jt!$B:$B,加弹汇总表!$B8,jt!$D:$D,加弹汇总表!$C8,jt!$F:$F,加弹汇总表!$F8,jt!$O:$O,加弹汇总表!$C$1&amp;"/"&amp;加弹汇总表!$D$1&amp;"/"&amp;加弹汇总表!BK$2)</f>
        <v>0</v>
      </c>
      <c r="BL8" s="8">
        <f>SUMIFS(jt!$M:$M,jt!$B:$B,加弹汇总表!$B8,jt!$D:$D,加弹汇总表!$C8,jt!$F:$F,加弹汇总表!$F8,jt!$O:$O,加弹汇总表!$C$1&amp;"/"&amp;加弹汇总表!$D$1&amp;"/"&amp;加弹汇总表!BL$2)</f>
        <v>0</v>
      </c>
      <c r="BM8" s="8">
        <f>SUMIFS(jt!$M:$M,jt!$B:$B,加弹汇总表!$B8,jt!$D:$D,加弹汇总表!$C8,jt!$F:$F,加弹汇总表!$F8,jt!$O:$O,加弹汇总表!$C$1&amp;"/"&amp;加弹汇总表!$D$1&amp;"/"&amp;加弹汇总表!BM$2)</f>
        <v>0</v>
      </c>
      <c r="BN8" s="8">
        <f>SUMIFS(jt!$M:$M,jt!$B:$B,加弹汇总表!$B8,jt!$D:$D,加弹汇总表!$C8,jt!$F:$F,加弹汇总表!$F8,jt!$O:$O,加弹汇总表!$C$1&amp;"/"&amp;加弹汇总表!$D$1&amp;"/"&amp;加弹汇总表!BN$2)</f>
        <v>0</v>
      </c>
      <c r="BO8" s="8">
        <f>SUMIFS(jt!$M:$M,jt!$B:$B,加弹汇总表!$B8,jt!$D:$D,加弹汇总表!$C8,jt!$F:$F,加弹汇总表!$F8,jt!$O:$O,加弹汇总表!$C$1&amp;"/"&amp;加弹汇总表!$D$1&amp;"/"&amp;加弹汇总表!BO$2)</f>
        <v>0</v>
      </c>
      <c r="BP8" s="8">
        <f>SUMIFS(jt!$M:$M,jt!$B:$B,加弹汇总表!$B8,jt!$D:$D,加弹汇总表!$C8,jt!$F:$F,加弹汇总表!$F8,jt!$O:$O,加弹汇总表!$C$1&amp;"/"&amp;加弹汇总表!$D$1&amp;"/"&amp;加弹汇总表!BP$2)</f>
        <v>0</v>
      </c>
      <c r="BQ8" s="8">
        <f>SUMIFS(jt!$M:$M,jt!$B:$B,加弹汇总表!$B8,jt!$D:$D,加弹汇总表!$C8,jt!$F:$F,加弹汇总表!$F8,jt!$O:$O,加弹汇总表!$C$1&amp;"/"&amp;加弹汇总表!$D$1&amp;"/"&amp;加弹汇总表!BQ$2)</f>
        <v>0</v>
      </c>
      <c r="BR8" s="8">
        <f>SUMIFS(jt!$M:$M,jt!$B:$B,加弹汇总表!$B8,jt!$D:$D,加弹汇总表!$C8,jt!$F:$F,加弹汇总表!$F8,jt!$O:$O,加弹汇总表!$C$1&amp;"/"&amp;加弹汇总表!$D$1&amp;"/"&amp;加弹汇总表!BR$2)</f>
        <v>0</v>
      </c>
      <c r="BS8" s="8">
        <f>SUMIFS(jt!$M:$M,jt!$B:$B,加弹汇总表!$B8,jt!$D:$D,加弹汇总表!$C8,jt!$F:$F,加弹汇总表!$F8,jt!$O:$O,加弹汇总表!$C$1&amp;"/"&amp;加弹汇总表!$D$1&amp;"/"&amp;加弹汇总表!BS$2)</f>
        <v>0</v>
      </c>
    </row>
    <row r="9" spans="1:71" ht="18" customHeight="1">
      <c r="A9" s="250" t="str">
        <f t="shared" si="4"/>
        <v>S2132575D 135度低温丝130/48白圆机</v>
      </c>
      <c r="B9" s="14" t="s">
        <v>384</v>
      </c>
      <c r="C9" s="98" t="s">
        <v>856</v>
      </c>
      <c r="D9" s="53" t="s">
        <v>381</v>
      </c>
      <c r="E9" s="78">
        <v>75</v>
      </c>
      <c r="F9" s="53" t="s">
        <v>2</v>
      </c>
      <c r="G9" s="53" t="s">
        <v>158</v>
      </c>
      <c r="H9" s="53" t="s">
        <v>849</v>
      </c>
      <c r="I9" s="246">
        <f ca="1">IF(SUMIFS(jt!M:M,jt!A:A,加弹汇总表!A9,jt!O:O,加弹汇总表!$E$1)=0,0,SUM(AO9:BS9)/COUNTIF(AO9:BS9,"&lt;&gt;0"))</f>
        <v>1066.7</v>
      </c>
      <c r="J9" s="53">
        <f t="shared" si="5"/>
        <v>0</v>
      </c>
      <c r="K9" s="53">
        <f t="shared" si="6"/>
        <v>0</v>
      </c>
      <c r="L9" s="53">
        <f t="shared" si="7"/>
        <v>0</v>
      </c>
      <c r="M9" s="53">
        <f t="shared" si="0"/>
        <v>54097</v>
      </c>
      <c r="N9" s="53">
        <v>17682.5</v>
      </c>
      <c r="O9" s="53">
        <f t="shared" si="1"/>
        <v>0</v>
      </c>
      <c r="P9" s="53">
        <f t="shared" si="2"/>
        <v>36414.5</v>
      </c>
      <c r="Q9" s="53">
        <f t="shared" si="3"/>
        <v>0</v>
      </c>
      <c r="R9" s="60">
        <f>SUMIFS(jt!$K:$K,jt!$A:$A,加弹汇总表!$A9,jt!$R:$R,加弹汇总表!R$2)</f>
        <v>0</v>
      </c>
      <c r="S9" s="60">
        <f>SUMIFS(jt!$K:$K,jt!$A:$A,加弹汇总表!$A9,jt!$R:$R,加弹汇总表!S$2)</f>
        <v>0</v>
      </c>
      <c r="T9" s="60">
        <f>SUMIFS(jt!$K:$K,jt!$A:$A,加弹汇总表!$A9,jt!$R:$R,加弹汇总表!T$2)</f>
        <v>0</v>
      </c>
      <c r="U9" s="60">
        <f>SUMIFS(jt!$J:$J,jt!$A:$A,加弹汇总表!$A9,jt!$R:$R,加弹汇总表!U$2)</f>
        <v>0</v>
      </c>
      <c r="V9" s="60">
        <f>SUMIFS(jt!$J:$J,jt!$A:$A,加弹汇总表!$A9,jt!$R:$R,加弹汇总表!V$2)</f>
        <v>0</v>
      </c>
      <c r="W9" s="60">
        <f>SUMIFS(jt!$J:$J,jt!$A:$A,加弹汇总表!$A9,jt!$R:$R,加弹汇总表!W$2)</f>
        <v>0</v>
      </c>
      <c r="X9" s="61">
        <f>SUMIFS(jt!$L:$L,jt!$A:$A,加弹汇总表!$A9,jt!$R:$R,加弹汇总表!X$2)</f>
        <v>0</v>
      </c>
      <c r="Y9" s="61">
        <f>SUMIFS(jt!$L:$L,jt!$A:$A,加弹汇总表!$A9,jt!$R:$R,加弹汇总表!Y$2)</f>
        <v>0</v>
      </c>
      <c r="Z9" s="61">
        <f>SUMIFS(jt!$L:$L,jt!$A:$A,加弹汇总表!$A9,jt!$R:$R,加弹汇总表!Z$2)</f>
        <v>0</v>
      </c>
      <c r="AA9" s="62">
        <f>SUMIFS(jt!$M:$M,jt!$A:$A,加弹汇总表!$A9,jt!$R:$R,加弹汇总表!AA$2)</f>
        <v>31081</v>
      </c>
      <c r="AB9" s="62">
        <f>SUMIFS(jt!$M:$M,jt!$A:$A,加弹汇总表!$A9,jt!$R:$R,加弹汇总表!AB$2)</f>
        <v>5333.5</v>
      </c>
      <c r="AC9" s="62">
        <f>SUMIFS(jt!$M:$M,jt!$A:$A,加弹汇总表!$A9,jt!$R:$R,加弹汇总表!AC$2)</f>
        <v>0</v>
      </c>
      <c r="AD9" s="63">
        <f>SUMIFS(jt!$N:$N,jt!$A:$A,加弹汇总表!$A9,jt!$R:$R,加弹汇总表!AD$2)</f>
        <v>0</v>
      </c>
      <c r="AE9" s="63">
        <f>SUMIFS(jt!$N:$N,jt!$A:$A,加弹汇总表!$A9,jt!$R:$R,加弹汇总表!AE$2)</f>
        <v>0</v>
      </c>
      <c r="AF9" s="63">
        <f>SUMIFS(jt!$N:$N,jt!$A:$A,加弹汇总表!$A9,jt!$R:$R,加弹汇总表!AF$2)</f>
        <v>0</v>
      </c>
      <c r="AG9" s="64">
        <f>SUMIFS(jt!$M:$M,jt!$A:$A,加弹汇总表!$A9,jt!$C:$C,加弹汇总表!AG$2)</f>
        <v>0</v>
      </c>
      <c r="AH9" s="64">
        <f>SUMIFS(jt!$M:$M,jt!$A:$A,加弹汇总表!$A9,jt!$C:$C,加弹汇总表!AH$2)</f>
        <v>0</v>
      </c>
      <c r="AI9" s="64">
        <f>SUMIFS(jt!$M:$M,jt!$A:$A,加弹汇总表!$A9,jt!$C:$C,加弹汇总表!AI$2)</f>
        <v>0</v>
      </c>
      <c r="AJ9" s="64">
        <f>SUMIFS(jt!$M:$M,jt!$A:$A,加弹汇总表!$A9,jt!$C:$C,加弹汇总表!AJ$2)</f>
        <v>36414.5</v>
      </c>
      <c r="AK9" s="64">
        <f>SUMIFS(jt!$M:$M,jt!$A:$A,加弹汇总表!$A9,jt!$C:$C,加弹汇总表!AK$2)</f>
        <v>0</v>
      </c>
      <c r="AL9" s="64">
        <f>SUMIFS(jt!$M:$M,jt!$A:$A,加弹汇总表!$A9,jt!$C:$C,加弹汇总表!AL$2)</f>
        <v>0</v>
      </c>
      <c r="AM9" s="64">
        <f>SUMIFS(jt!$M:$M,jt!$A:$A,加弹汇总表!$A9,jt!$C:$C,加弹汇总表!AM$2)</f>
        <v>0</v>
      </c>
      <c r="AN9" s="80">
        <f>SUMIFS(jt!$M:$M,jt!$A:$A,加弹汇总表!$A9,jt!$C:$C,加弹汇总表!AN$2)</f>
        <v>0</v>
      </c>
      <c r="AO9" s="8">
        <f>SUMIFS(jt!$M:$M,jt!$B:$B,加弹汇总表!$B9,jt!$D:$D,加弹汇总表!$C9,jt!$F:$F,加弹汇总表!$F9,jt!$O:$O,加弹汇总表!$C$1&amp;"/"&amp;加弹汇总表!$D$1&amp;"/"&amp;加弹汇总表!AO$2)</f>
        <v>1163.5</v>
      </c>
      <c r="AP9" s="8">
        <f>SUMIFS(jt!$M:$M,jt!$B:$B,加弹汇总表!$B9,jt!$D:$D,加弹汇总表!$C9,jt!$F:$F,加弹汇总表!$F9,jt!$O:$O,加弹汇总表!$C$1&amp;"/"&amp;加弹汇总表!$D$1&amp;"/"&amp;加弹汇总表!AP$2)</f>
        <v>613</v>
      </c>
      <c r="AQ9" s="8">
        <f>SUMIFS(jt!$M:$M,jt!$B:$B,加弹汇总表!$B9,jt!$D:$D,加弹汇总表!$C9,jt!$F:$F,加弹汇总表!$F9,jt!$O:$O,加弹汇总表!$C$1&amp;"/"&amp;加弹汇总表!$D$1&amp;"/"&amp;加弹汇总表!AQ$2)</f>
        <v>1195</v>
      </c>
      <c r="AR9" s="8">
        <f>SUMIFS(jt!$M:$M,jt!$B:$B,加弹汇总表!$B9,jt!$D:$D,加弹汇总表!$C9,jt!$F:$F,加弹汇总表!$F9,jt!$O:$O,加弹汇总表!$C$1&amp;"/"&amp;加弹汇总表!$D$1&amp;"/"&amp;加弹汇总表!AR$2)</f>
        <v>1163.5</v>
      </c>
      <c r="AS9" s="8">
        <f>SUMIFS(jt!$M:$M,jt!$B:$B,加弹汇总表!$B9,jt!$D:$D,加弹汇总表!$C9,jt!$F:$F,加弹汇总表!$F9,jt!$O:$O,加弹汇总表!$C$1&amp;"/"&amp;加弹汇总表!$D$1&amp;"/"&amp;加弹汇总表!AS$2)</f>
        <v>1198.5</v>
      </c>
      <c r="AT9" s="8">
        <f>SUMIFS(jt!$M:$M,jt!$B:$B,加弹汇总表!$B9,jt!$D:$D,加弹汇总表!$C9,jt!$F:$F,加弹汇总表!$F9,jt!$O:$O,加弹汇总表!$C$1&amp;"/"&amp;加弹汇总表!$D$1&amp;"/"&amp;加弹汇总表!AT$2)</f>
        <v>0</v>
      </c>
      <c r="AU9" s="8">
        <f>SUMIFS(jt!$M:$M,jt!$B:$B,加弹汇总表!$B9,jt!$D:$D,加弹汇总表!$C9,jt!$F:$F,加弹汇总表!$F9,jt!$O:$O,加弹汇总表!$C$1&amp;"/"&amp;加弹汇总表!$D$1&amp;"/"&amp;加弹汇总表!AU$2)</f>
        <v>0</v>
      </c>
      <c r="AV9" s="8">
        <f>SUMIFS(jt!$M:$M,jt!$B:$B,加弹汇总表!$B9,jt!$D:$D,加弹汇总表!$C9,jt!$F:$F,加弹汇总表!$F9,jt!$O:$O,加弹汇总表!$C$1&amp;"/"&amp;加弹汇总表!$D$1&amp;"/"&amp;加弹汇总表!AV$2)</f>
        <v>0</v>
      </c>
      <c r="AW9" s="8">
        <f>SUMIFS(jt!$M:$M,jt!$B:$B,加弹汇总表!$B9,jt!$D:$D,加弹汇总表!$C9,jt!$F:$F,加弹汇总表!$F9,jt!$O:$O,加弹汇总表!$C$1&amp;"/"&amp;加弹汇总表!$D$1&amp;"/"&amp;加弹汇总表!AW$2)</f>
        <v>0</v>
      </c>
      <c r="AX9" s="8">
        <f>SUMIFS(jt!$M:$M,jt!$B:$B,加弹汇总表!$B9,jt!$D:$D,加弹汇总表!$C9,jt!$F:$F,加弹汇总表!$F9,jt!$O:$O,加弹汇总表!$C$1&amp;"/"&amp;加弹汇总表!$D$1&amp;"/"&amp;加弹汇总表!AX$2)</f>
        <v>0</v>
      </c>
      <c r="AY9" s="8">
        <f>SUMIFS(jt!$M:$M,jt!$B:$B,加弹汇总表!$B9,jt!$D:$D,加弹汇总表!$C9,jt!$F:$F,加弹汇总表!$F9,jt!$O:$O,加弹汇总表!$C$1&amp;"/"&amp;加弹汇总表!$D$1&amp;"/"&amp;加弹汇总表!AY$2)</f>
        <v>0</v>
      </c>
      <c r="AZ9" s="8">
        <f>SUMIFS(jt!$M:$M,jt!$B:$B,加弹汇总表!$B9,jt!$D:$D,加弹汇总表!$C9,jt!$F:$F,加弹汇总表!$F9,jt!$O:$O,加弹汇总表!$C$1&amp;"/"&amp;加弹汇总表!$D$1&amp;"/"&amp;加弹汇总表!AZ$2)</f>
        <v>0</v>
      </c>
      <c r="BA9" s="8">
        <f>SUMIFS(jt!$M:$M,jt!$B:$B,加弹汇总表!$B9,jt!$D:$D,加弹汇总表!$C9,jt!$F:$F,加弹汇总表!$F9,jt!$O:$O,加弹汇总表!$C$1&amp;"/"&amp;加弹汇总表!$D$1&amp;"/"&amp;加弹汇总表!BA$2)</f>
        <v>0</v>
      </c>
      <c r="BB9" s="8">
        <f>SUMIFS(jt!$M:$M,jt!$B:$B,加弹汇总表!$B9,jt!$D:$D,加弹汇总表!$C9,jt!$F:$F,加弹汇总表!$F9,jt!$O:$O,加弹汇总表!$C$1&amp;"/"&amp;加弹汇总表!$D$1&amp;"/"&amp;加弹汇总表!BB$2)</f>
        <v>0</v>
      </c>
      <c r="BC9" s="8">
        <f>SUMIFS(jt!$M:$M,jt!$B:$B,加弹汇总表!$B9,jt!$D:$D,加弹汇总表!$C9,jt!$F:$F,加弹汇总表!$F9,jt!$O:$O,加弹汇总表!$C$1&amp;"/"&amp;加弹汇总表!$D$1&amp;"/"&amp;加弹汇总表!BC$2)</f>
        <v>0</v>
      </c>
      <c r="BD9" s="8">
        <f>SUMIFS(jt!$M:$M,jt!$B:$B,加弹汇总表!$B9,jt!$D:$D,加弹汇总表!$C9,jt!$F:$F,加弹汇总表!$F9,jt!$O:$O,加弹汇总表!$C$1&amp;"/"&amp;加弹汇总表!$D$1&amp;"/"&amp;加弹汇总表!BD$2)</f>
        <v>0</v>
      </c>
      <c r="BE9" s="8">
        <f>SUMIFS(jt!$M:$M,jt!$B:$B,加弹汇总表!$B9,jt!$D:$D,加弹汇总表!$C9,jt!$F:$F,加弹汇总表!$F9,jt!$O:$O,加弹汇总表!$C$1&amp;"/"&amp;加弹汇总表!$D$1&amp;"/"&amp;加弹汇总表!BE$2)</f>
        <v>0</v>
      </c>
      <c r="BF9" s="8">
        <f>SUMIFS(jt!$M:$M,jt!$B:$B,加弹汇总表!$B9,jt!$D:$D,加弹汇总表!$C9,jt!$F:$F,加弹汇总表!$F9,jt!$O:$O,加弹汇总表!$C$1&amp;"/"&amp;加弹汇总表!$D$1&amp;"/"&amp;加弹汇总表!BF$2)</f>
        <v>0</v>
      </c>
      <c r="BG9" s="8">
        <f>SUMIFS(jt!$M:$M,jt!$B:$B,加弹汇总表!$B9,jt!$D:$D,加弹汇总表!$C9,jt!$F:$F,加弹汇总表!$F9,jt!$O:$O,加弹汇总表!$C$1&amp;"/"&amp;加弹汇总表!$D$1&amp;"/"&amp;加弹汇总表!BG$2)</f>
        <v>0</v>
      </c>
      <c r="BH9" s="8">
        <f>SUMIFS(jt!$M:$M,jt!$B:$B,加弹汇总表!$B9,jt!$D:$D,加弹汇总表!$C9,jt!$F:$F,加弹汇总表!$F9,jt!$O:$O,加弹汇总表!$C$1&amp;"/"&amp;加弹汇总表!$D$1&amp;"/"&amp;加弹汇总表!BH$2)</f>
        <v>0</v>
      </c>
      <c r="BI9" s="8">
        <f>SUMIFS(jt!$M:$M,jt!$B:$B,加弹汇总表!$B9,jt!$D:$D,加弹汇总表!$C9,jt!$F:$F,加弹汇总表!$F9,jt!$O:$O,加弹汇总表!$C$1&amp;"/"&amp;加弹汇总表!$D$1&amp;"/"&amp;加弹汇总表!BI$2)</f>
        <v>0</v>
      </c>
      <c r="BJ9" s="8">
        <f>SUMIFS(jt!$M:$M,jt!$B:$B,加弹汇总表!$B9,jt!$D:$D,加弹汇总表!$C9,jt!$F:$F,加弹汇总表!$F9,jt!$O:$O,加弹汇总表!$C$1&amp;"/"&amp;加弹汇总表!$D$1&amp;"/"&amp;加弹汇总表!BJ$2)</f>
        <v>0</v>
      </c>
      <c r="BK9" s="8">
        <f>SUMIFS(jt!$M:$M,jt!$B:$B,加弹汇总表!$B9,jt!$D:$D,加弹汇总表!$C9,jt!$F:$F,加弹汇总表!$F9,jt!$O:$O,加弹汇总表!$C$1&amp;"/"&amp;加弹汇总表!$D$1&amp;"/"&amp;加弹汇总表!BK$2)</f>
        <v>0</v>
      </c>
      <c r="BL9" s="8">
        <f>SUMIFS(jt!$M:$M,jt!$B:$B,加弹汇总表!$B9,jt!$D:$D,加弹汇总表!$C9,jt!$F:$F,加弹汇总表!$F9,jt!$O:$O,加弹汇总表!$C$1&amp;"/"&amp;加弹汇总表!$D$1&amp;"/"&amp;加弹汇总表!BL$2)</f>
        <v>0</v>
      </c>
      <c r="BM9" s="8">
        <f>SUMIFS(jt!$M:$M,jt!$B:$B,加弹汇总表!$B9,jt!$D:$D,加弹汇总表!$C9,jt!$F:$F,加弹汇总表!$F9,jt!$O:$O,加弹汇总表!$C$1&amp;"/"&amp;加弹汇总表!$D$1&amp;"/"&amp;加弹汇总表!BM$2)</f>
        <v>0</v>
      </c>
      <c r="BN9" s="8">
        <f>SUMIFS(jt!$M:$M,jt!$B:$B,加弹汇总表!$B9,jt!$D:$D,加弹汇总表!$C9,jt!$F:$F,加弹汇总表!$F9,jt!$O:$O,加弹汇总表!$C$1&amp;"/"&amp;加弹汇总表!$D$1&amp;"/"&amp;加弹汇总表!BN$2)</f>
        <v>0</v>
      </c>
      <c r="BO9" s="8">
        <f>SUMIFS(jt!$M:$M,jt!$B:$B,加弹汇总表!$B9,jt!$D:$D,加弹汇总表!$C9,jt!$F:$F,加弹汇总表!$F9,jt!$O:$O,加弹汇总表!$C$1&amp;"/"&amp;加弹汇总表!$D$1&amp;"/"&amp;加弹汇总表!BO$2)</f>
        <v>0</v>
      </c>
      <c r="BP9" s="8">
        <f>SUMIFS(jt!$M:$M,jt!$B:$B,加弹汇总表!$B9,jt!$D:$D,加弹汇总表!$C9,jt!$F:$F,加弹汇总表!$F9,jt!$O:$O,加弹汇总表!$C$1&amp;"/"&amp;加弹汇总表!$D$1&amp;"/"&amp;加弹汇总表!BP$2)</f>
        <v>0</v>
      </c>
      <c r="BQ9" s="8">
        <f>SUMIFS(jt!$M:$M,jt!$B:$B,加弹汇总表!$B9,jt!$D:$D,加弹汇总表!$C9,jt!$F:$F,加弹汇总表!$F9,jt!$O:$O,加弹汇总表!$C$1&amp;"/"&amp;加弹汇总表!$D$1&amp;"/"&amp;加弹汇总表!BQ$2)</f>
        <v>0</v>
      </c>
      <c r="BR9" s="8">
        <f>SUMIFS(jt!$M:$M,jt!$B:$B,加弹汇总表!$B9,jt!$D:$D,加弹汇总表!$C9,jt!$F:$F,加弹汇总表!$F9,jt!$O:$O,加弹汇总表!$C$1&amp;"/"&amp;加弹汇总表!$D$1&amp;"/"&amp;加弹汇总表!BR$2)</f>
        <v>0</v>
      </c>
      <c r="BS9" s="8">
        <f>SUMIFS(jt!$M:$M,jt!$B:$B,加弹汇总表!$B9,jt!$D:$D,加弹汇总表!$C9,jt!$F:$F,加弹汇总表!$F9,jt!$O:$O,加弹汇总表!$C$1&amp;"/"&amp;加弹汇总表!$D$1&amp;"/"&amp;加弹汇总表!BS$2)</f>
        <v>0</v>
      </c>
    </row>
    <row r="10" spans="1:71" ht="18" customHeight="1">
      <c r="A10" s="250" t="str">
        <f t="shared" si="4"/>
        <v>S21325155°打样130/48白</v>
      </c>
      <c r="B10" s="14" t="s">
        <v>384</v>
      </c>
      <c r="C10" s="98" t="s">
        <v>857</v>
      </c>
      <c r="D10" s="53" t="s">
        <v>381</v>
      </c>
      <c r="E10" s="78"/>
      <c r="F10" s="53" t="s">
        <v>2</v>
      </c>
      <c r="G10" s="53" t="s">
        <v>158</v>
      </c>
      <c r="H10" s="53"/>
      <c r="I10" s="246">
        <f ca="1">IF(SUMIFS(jt!M:M,jt!A:A,加弹汇总表!A10,jt!O:O,加弹汇总表!$E$1)=0,0,SUM(AO10:BS10)/COUNTIF(AO10:BS10,"&lt;&gt;0"))</f>
        <v>0</v>
      </c>
      <c r="J10" s="53">
        <f t="shared" si="5"/>
        <v>0</v>
      </c>
      <c r="K10" s="53">
        <f t="shared" si="6"/>
        <v>0</v>
      </c>
      <c r="L10" s="53">
        <f t="shared" si="7"/>
        <v>0</v>
      </c>
      <c r="M10" s="53">
        <f t="shared" si="0"/>
        <v>0</v>
      </c>
      <c r="N10" s="53"/>
      <c r="O10" s="53">
        <f t="shared" si="1"/>
        <v>0</v>
      </c>
      <c r="P10" s="53">
        <f t="shared" si="2"/>
        <v>0</v>
      </c>
      <c r="Q10" s="53">
        <f t="shared" si="3"/>
        <v>0</v>
      </c>
      <c r="R10" s="60">
        <f>SUMIFS(jt!$K:$K,jt!$A:$A,加弹汇总表!$A10,jt!$R:$R,加弹汇总表!R$2)</f>
        <v>0</v>
      </c>
      <c r="S10" s="60">
        <f>SUMIFS(jt!$K:$K,jt!$A:$A,加弹汇总表!$A10,jt!$R:$R,加弹汇总表!S$2)</f>
        <v>0</v>
      </c>
      <c r="T10" s="60">
        <f>SUMIFS(jt!$K:$K,jt!$A:$A,加弹汇总表!$A10,jt!$R:$R,加弹汇总表!T$2)</f>
        <v>0</v>
      </c>
      <c r="U10" s="60">
        <f>SUMIFS(jt!$J:$J,jt!$A:$A,加弹汇总表!$A10,jt!$R:$R,加弹汇总表!U$2)</f>
        <v>0</v>
      </c>
      <c r="V10" s="60">
        <f>SUMIFS(jt!$J:$J,jt!$A:$A,加弹汇总表!$A10,jt!$R:$R,加弹汇总表!V$2)</f>
        <v>0</v>
      </c>
      <c r="W10" s="60">
        <f>SUMIFS(jt!$J:$J,jt!$A:$A,加弹汇总表!$A10,jt!$R:$R,加弹汇总表!W$2)</f>
        <v>0</v>
      </c>
      <c r="X10" s="61">
        <f>SUMIFS(jt!$L:$L,jt!$A:$A,加弹汇总表!$A10,jt!$R:$R,加弹汇总表!X$2)</f>
        <v>0</v>
      </c>
      <c r="Y10" s="61">
        <f>SUMIFS(jt!$L:$L,jt!$A:$A,加弹汇总表!$A10,jt!$R:$R,加弹汇总表!Y$2)</f>
        <v>0</v>
      </c>
      <c r="Z10" s="61">
        <f>SUMIFS(jt!$L:$L,jt!$A:$A,加弹汇总表!$A10,jt!$R:$R,加弹汇总表!Z$2)</f>
        <v>0</v>
      </c>
      <c r="AA10" s="62">
        <f>SUMIFS(jt!$M:$M,jt!$A:$A,加弹汇总表!$A10,jt!$R:$R,加弹汇总表!AA$2)</f>
        <v>0</v>
      </c>
      <c r="AB10" s="62">
        <f>SUMIFS(jt!$M:$M,jt!$A:$A,加弹汇总表!$A10,jt!$R:$R,加弹汇总表!AB$2)</f>
        <v>0</v>
      </c>
      <c r="AC10" s="62">
        <f>SUMIFS(jt!$M:$M,jt!$A:$A,加弹汇总表!$A10,jt!$R:$R,加弹汇总表!AC$2)</f>
        <v>0</v>
      </c>
      <c r="AD10" s="63">
        <f>SUMIFS(jt!$N:$N,jt!$A:$A,加弹汇总表!$A10,jt!$R:$R,加弹汇总表!AD$2)</f>
        <v>0</v>
      </c>
      <c r="AE10" s="63">
        <f>SUMIFS(jt!$N:$N,jt!$A:$A,加弹汇总表!$A10,jt!$R:$R,加弹汇总表!AE$2)</f>
        <v>0</v>
      </c>
      <c r="AF10" s="63">
        <f>SUMIFS(jt!$N:$N,jt!$A:$A,加弹汇总表!$A10,jt!$R:$R,加弹汇总表!AF$2)</f>
        <v>0</v>
      </c>
      <c r="AG10" s="64">
        <f>SUMIFS(jt!$M:$M,jt!$A:$A,加弹汇总表!$A10,jt!$C:$C,加弹汇总表!AG$2)</f>
        <v>0</v>
      </c>
      <c r="AH10" s="64">
        <f>SUMIFS(jt!$M:$M,jt!$A:$A,加弹汇总表!$A10,jt!$C:$C,加弹汇总表!AH$2)</f>
        <v>0</v>
      </c>
      <c r="AI10" s="64">
        <f>SUMIFS(jt!$M:$M,jt!$A:$A,加弹汇总表!$A10,jt!$C:$C,加弹汇总表!AI$2)</f>
        <v>0</v>
      </c>
      <c r="AJ10" s="64">
        <f>SUMIFS(jt!$M:$M,jt!$A:$A,加弹汇总表!$A10,jt!$C:$C,加弹汇总表!AJ$2)</f>
        <v>0</v>
      </c>
      <c r="AK10" s="64">
        <f>SUMIFS(jt!$M:$M,jt!$A:$A,加弹汇总表!$A10,jt!$C:$C,加弹汇总表!AK$2)</f>
        <v>0</v>
      </c>
      <c r="AL10" s="64">
        <f>SUMIFS(jt!$M:$M,jt!$A:$A,加弹汇总表!$A10,jt!$C:$C,加弹汇总表!AL$2)</f>
        <v>0</v>
      </c>
      <c r="AM10" s="64">
        <f>SUMIFS(jt!$M:$M,jt!$A:$A,加弹汇总表!$A10,jt!$C:$C,加弹汇总表!AM$2)</f>
        <v>0</v>
      </c>
      <c r="AN10" s="80">
        <f>SUMIFS(jt!$M:$M,jt!$A:$A,加弹汇总表!$A10,jt!$C:$C,加弹汇总表!AN$2)</f>
        <v>0</v>
      </c>
      <c r="AO10" s="8">
        <f>SUMIFS(jt!$M:$M,jt!$B:$B,加弹汇总表!$B10,jt!$D:$D,加弹汇总表!$C10,jt!$F:$F,加弹汇总表!$F10,jt!$O:$O,加弹汇总表!$C$1&amp;"/"&amp;加弹汇总表!$D$1&amp;"/"&amp;加弹汇总表!AO$2)</f>
        <v>0</v>
      </c>
      <c r="AP10" s="8">
        <f>SUMIFS(jt!$M:$M,jt!$B:$B,加弹汇总表!$B10,jt!$D:$D,加弹汇总表!$C10,jt!$F:$F,加弹汇总表!$F10,jt!$O:$O,加弹汇总表!$C$1&amp;"/"&amp;加弹汇总表!$D$1&amp;"/"&amp;加弹汇总表!AP$2)</f>
        <v>0</v>
      </c>
      <c r="AQ10" s="8">
        <f>SUMIFS(jt!$M:$M,jt!$B:$B,加弹汇总表!$B10,jt!$D:$D,加弹汇总表!$C10,jt!$F:$F,加弹汇总表!$F10,jt!$O:$O,加弹汇总表!$C$1&amp;"/"&amp;加弹汇总表!$D$1&amp;"/"&amp;加弹汇总表!AQ$2)</f>
        <v>0</v>
      </c>
      <c r="AR10" s="8">
        <f>SUMIFS(jt!$M:$M,jt!$B:$B,加弹汇总表!$B10,jt!$D:$D,加弹汇总表!$C10,jt!$F:$F,加弹汇总表!$F10,jt!$O:$O,加弹汇总表!$C$1&amp;"/"&amp;加弹汇总表!$D$1&amp;"/"&amp;加弹汇总表!AR$2)</f>
        <v>0</v>
      </c>
      <c r="AS10" s="8">
        <f>SUMIFS(jt!$M:$M,jt!$B:$B,加弹汇总表!$B10,jt!$D:$D,加弹汇总表!$C10,jt!$F:$F,加弹汇总表!$F10,jt!$O:$O,加弹汇总表!$C$1&amp;"/"&amp;加弹汇总表!$D$1&amp;"/"&amp;加弹汇总表!AS$2)</f>
        <v>0</v>
      </c>
      <c r="AT10" s="8">
        <f>SUMIFS(jt!$M:$M,jt!$B:$B,加弹汇总表!$B10,jt!$D:$D,加弹汇总表!$C10,jt!$F:$F,加弹汇总表!$F10,jt!$O:$O,加弹汇总表!$C$1&amp;"/"&amp;加弹汇总表!$D$1&amp;"/"&amp;加弹汇总表!AT$2)</f>
        <v>0</v>
      </c>
      <c r="AU10" s="8">
        <f>SUMIFS(jt!$M:$M,jt!$B:$B,加弹汇总表!$B10,jt!$D:$D,加弹汇总表!$C10,jt!$F:$F,加弹汇总表!$F10,jt!$O:$O,加弹汇总表!$C$1&amp;"/"&amp;加弹汇总表!$D$1&amp;"/"&amp;加弹汇总表!AU$2)</f>
        <v>0</v>
      </c>
      <c r="AV10" s="8">
        <f>SUMIFS(jt!$M:$M,jt!$B:$B,加弹汇总表!$B10,jt!$D:$D,加弹汇总表!$C10,jt!$F:$F,加弹汇总表!$F10,jt!$O:$O,加弹汇总表!$C$1&amp;"/"&amp;加弹汇总表!$D$1&amp;"/"&amp;加弹汇总表!AV$2)</f>
        <v>0</v>
      </c>
      <c r="AW10" s="8">
        <f>SUMIFS(jt!$M:$M,jt!$B:$B,加弹汇总表!$B10,jt!$D:$D,加弹汇总表!$C10,jt!$F:$F,加弹汇总表!$F10,jt!$O:$O,加弹汇总表!$C$1&amp;"/"&amp;加弹汇总表!$D$1&amp;"/"&amp;加弹汇总表!AW$2)</f>
        <v>0</v>
      </c>
      <c r="AX10" s="8">
        <f>SUMIFS(jt!$M:$M,jt!$B:$B,加弹汇总表!$B10,jt!$D:$D,加弹汇总表!$C10,jt!$F:$F,加弹汇总表!$F10,jt!$O:$O,加弹汇总表!$C$1&amp;"/"&amp;加弹汇总表!$D$1&amp;"/"&amp;加弹汇总表!AX$2)</f>
        <v>0</v>
      </c>
      <c r="AY10" s="8">
        <f>SUMIFS(jt!$M:$M,jt!$B:$B,加弹汇总表!$B10,jt!$D:$D,加弹汇总表!$C10,jt!$F:$F,加弹汇总表!$F10,jt!$O:$O,加弹汇总表!$C$1&amp;"/"&amp;加弹汇总表!$D$1&amp;"/"&amp;加弹汇总表!AY$2)</f>
        <v>0</v>
      </c>
      <c r="AZ10" s="8">
        <f>SUMIFS(jt!$M:$M,jt!$B:$B,加弹汇总表!$B10,jt!$D:$D,加弹汇总表!$C10,jt!$F:$F,加弹汇总表!$F10,jt!$O:$O,加弹汇总表!$C$1&amp;"/"&amp;加弹汇总表!$D$1&amp;"/"&amp;加弹汇总表!AZ$2)</f>
        <v>0</v>
      </c>
      <c r="BA10" s="8">
        <f>SUMIFS(jt!$M:$M,jt!$B:$B,加弹汇总表!$B10,jt!$D:$D,加弹汇总表!$C10,jt!$F:$F,加弹汇总表!$F10,jt!$O:$O,加弹汇总表!$C$1&amp;"/"&amp;加弹汇总表!$D$1&amp;"/"&amp;加弹汇总表!BA$2)</f>
        <v>0</v>
      </c>
      <c r="BB10" s="8">
        <f>SUMIFS(jt!$M:$M,jt!$B:$B,加弹汇总表!$B10,jt!$D:$D,加弹汇总表!$C10,jt!$F:$F,加弹汇总表!$F10,jt!$O:$O,加弹汇总表!$C$1&amp;"/"&amp;加弹汇总表!$D$1&amp;"/"&amp;加弹汇总表!BB$2)</f>
        <v>0</v>
      </c>
      <c r="BC10" s="8">
        <f>SUMIFS(jt!$M:$M,jt!$B:$B,加弹汇总表!$B10,jt!$D:$D,加弹汇总表!$C10,jt!$F:$F,加弹汇总表!$F10,jt!$O:$O,加弹汇总表!$C$1&amp;"/"&amp;加弹汇总表!$D$1&amp;"/"&amp;加弹汇总表!BC$2)</f>
        <v>0</v>
      </c>
      <c r="BD10" s="8">
        <f>SUMIFS(jt!$M:$M,jt!$B:$B,加弹汇总表!$B10,jt!$D:$D,加弹汇总表!$C10,jt!$F:$F,加弹汇总表!$F10,jt!$O:$O,加弹汇总表!$C$1&amp;"/"&amp;加弹汇总表!$D$1&amp;"/"&amp;加弹汇总表!BD$2)</f>
        <v>0</v>
      </c>
      <c r="BE10" s="8">
        <f>SUMIFS(jt!$M:$M,jt!$B:$B,加弹汇总表!$B10,jt!$D:$D,加弹汇总表!$C10,jt!$F:$F,加弹汇总表!$F10,jt!$O:$O,加弹汇总表!$C$1&amp;"/"&amp;加弹汇总表!$D$1&amp;"/"&amp;加弹汇总表!BE$2)</f>
        <v>0</v>
      </c>
      <c r="BF10" s="8">
        <f>SUMIFS(jt!$M:$M,jt!$B:$B,加弹汇总表!$B10,jt!$D:$D,加弹汇总表!$C10,jt!$F:$F,加弹汇总表!$F10,jt!$O:$O,加弹汇总表!$C$1&amp;"/"&amp;加弹汇总表!$D$1&amp;"/"&amp;加弹汇总表!BF$2)</f>
        <v>0</v>
      </c>
      <c r="BG10" s="8">
        <f>SUMIFS(jt!$M:$M,jt!$B:$B,加弹汇总表!$B10,jt!$D:$D,加弹汇总表!$C10,jt!$F:$F,加弹汇总表!$F10,jt!$O:$O,加弹汇总表!$C$1&amp;"/"&amp;加弹汇总表!$D$1&amp;"/"&amp;加弹汇总表!BG$2)</f>
        <v>0</v>
      </c>
      <c r="BH10" s="8">
        <f>SUMIFS(jt!$M:$M,jt!$B:$B,加弹汇总表!$B10,jt!$D:$D,加弹汇总表!$C10,jt!$F:$F,加弹汇总表!$F10,jt!$O:$O,加弹汇总表!$C$1&amp;"/"&amp;加弹汇总表!$D$1&amp;"/"&amp;加弹汇总表!BH$2)</f>
        <v>0</v>
      </c>
      <c r="BI10" s="8">
        <f>SUMIFS(jt!$M:$M,jt!$B:$B,加弹汇总表!$B10,jt!$D:$D,加弹汇总表!$C10,jt!$F:$F,加弹汇总表!$F10,jt!$O:$O,加弹汇总表!$C$1&amp;"/"&amp;加弹汇总表!$D$1&amp;"/"&amp;加弹汇总表!BI$2)</f>
        <v>0</v>
      </c>
      <c r="BJ10" s="8">
        <f>SUMIFS(jt!$M:$M,jt!$B:$B,加弹汇总表!$B10,jt!$D:$D,加弹汇总表!$C10,jt!$F:$F,加弹汇总表!$F10,jt!$O:$O,加弹汇总表!$C$1&amp;"/"&amp;加弹汇总表!$D$1&amp;"/"&amp;加弹汇总表!BJ$2)</f>
        <v>0</v>
      </c>
      <c r="BK10" s="8">
        <f>SUMIFS(jt!$M:$M,jt!$B:$B,加弹汇总表!$B10,jt!$D:$D,加弹汇总表!$C10,jt!$F:$F,加弹汇总表!$F10,jt!$O:$O,加弹汇总表!$C$1&amp;"/"&amp;加弹汇总表!$D$1&amp;"/"&amp;加弹汇总表!BK$2)</f>
        <v>0</v>
      </c>
      <c r="BL10" s="8">
        <f>SUMIFS(jt!$M:$M,jt!$B:$B,加弹汇总表!$B10,jt!$D:$D,加弹汇总表!$C10,jt!$F:$F,加弹汇总表!$F10,jt!$O:$O,加弹汇总表!$C$1&amp;"/"&amp;加弹汇总表!$D$1&amp;"/"&amp;加弹汇总表!BL$2)</f>
        <v>0</v>
      </c>
      <c r="BM10" s="8">
        <f>SUMIFS(jt!$M:$M,jt!$B:$B,加弹汇总表!$B10,jt!$D:$D,加弹汇总表!$C10,jt!$F:$F,加弹汇总表!$F10,jt!$O:$O,加弹汇总表!$C$1&amp;"/"&amp;加弹汇总表!$D$1&amp;"/"&amp;加弹汇总表!BM$2)</f>
        <v>0</v>
      </c>
      <c r="BN10" s="8">
        <f>SUMIFS(jt!$M:$M,jt!$B:$B,加弹汇总表!$B10,jt!$D:$D,加弹汇总表!$C10,jt!$F:$F,加弹汇总表!$F10,jt!$O:$O,加弹汇总表!$C$1&amp;"/"&amp;加弹汇总表!$D$1&amp;"/"&amp;加弹汇总表!BN$2)</f>
        <v>0</v>
      </c>
      <c r="BO10" s="8">
        <f>SUMIFS(jt!$M:$M,jt!$B:$B,加弹汇总表!$B10,jt!$D:$D,加弹汇总表!$C10,jt!$F:$F,加弹汇总表!$F10,jt!$O:$O,加弹汇总表!$C$1&amp;"/"&amp;加弹汇总表!$D$1&amp;"/"&amp;加弹汇总表!BO$2)</f>
        <v>0</v>
      </c>
      <c r="BP10" s="8">
        <f>SUMIFS(jt!$M:$M,jt!$B:$B,加弹汇总表!$B10,jt!$D:$D,加弹汇总表!$C10,jt!$F:$F,加弹汇总表!$F10,jt!$O:$O,加弹汇总表!$C$1&amp;"/"&amp;加弹汇总表!$D$1&amp;"/"&amp;加弹汇总表!BP$2)</f>
        <v>0</v>
      </c>
      <c r="BQ10" s="8">
        <f>SUMIFS(jt!$M:$M,jt!$B:$B,加弹汇总表!$B10,jt!$D:$D,加弹汇总表!$C10,jt!$F:$F,加弹汇总表!$F10,jt!$O:$O,加弹汇总表!$C$1&amp;"/"&amp;加弹汇总表!$D$1&amp;"/"&amp;加弹汇总表!BQ$2)</f>
        <v>0</v>
      </c>
      <c r="BR10" s="8">
        <f>SUMIFS(jt!$M:$M,jt!$B:$B,加弹汇总表!$B10,jt!$D:$D,加弹汇总表!$C10,jt!$F:$F,加弹汇总表!$F10,jt!$O:$O,加弹汇总表!$C$1&amp;"/"&amp;加弹汇总表!$D$1&amp;"/"&amp;加弹汇总表!BR$2)</f>
        <v>0</v>
      </c>
      <c r="BS10" s="8">
        <f>SUMIFS(jt!$M:$M,jt!$B:$B,加弹汇总表!$B10,jt!$D:$D,加弹汇总表!$C10,jt!$F:$F,加弹汇总表!$F10,jt!$O:$O,加弹汇总表!$C$1&amp;"/"&amp;加弹汇总表!$D$1&amp;"/"&amp;加弹汇总表!BS$2)</f>
        <v>0</v>
      </c>
    </row>
    <row r="11" spans="1:71" ht="18" customHeight="1">
      <c r="A11" s="250" t="str">
        <f t="shared" si="4"/>
        <v>S21325160°打样130/48白</v>
      </c>
      <c r="B11" s="14" t="s">
        <v>384</v>
      </c>
      <c r="C11" s="98" t="s">
        <v>858</v>
      </c>
      <c r="D11" s="53" t="s">
        <v>381</v>
      </c>
      <c r="E11" s="78"/>
      <c r="F11" s="53" t="s">
        <v>2</v>
      </c>
      <c r="G11" s="53" t="s">
        <v>158</v>
      </c>
      <c r="H11" s="53"/>
      <c r="I11" s="246">
        <f ca="1">IF(SUMIFS(jt!M:M,jt!A:A,加弹汇总表!A11,jt!O:O,加弹汇总表!$E$1)=0,0,SUM(AO11:BS11)/COUNTIF(AO11:BS11,"&lt;&gt;0"))</f>
        <v>0</v>
      </c>
      <c r="J11" s="53">
        <f t="shared" si="5"/>
        <v>0</v>
      </c>
      <c r="K11" s="53">
        <f t="shared" si="6"/>
        <v>0</v>
      </c>
      <c r="L11" s="53">
        <f t="shared" si="7"/>
        <v>0</v>
      </c>
      <c r="M11" s="53">
        <f t="shared" si="0"/>
        <v>0</v>
      </c>
      <c r="N11" s="53"/>
      <c r="O11" s="53">
        <f t="shared" si="1"/>
        <v>0</v>
      </c>
      <c r="P11" s="53">
        <f t="shared" si="2"/>
        <v>0</v>
      </c>
      <c r="Q11" s="53">
        <f t="shared" si="3"/>
        <v>0</v>
      </c>
      <c r="R11" s="60">
        <f>SUMIFS(jt!$K:$K,jt!$A:$A,加弹汇总表!$A11,jt!$R:$R,加弹汇总表!R$2)</f>
        <v>0</v>
      </c>
      <c r="S11" s="60">
        <f>SUMIFS(jt!$K:$K,jt!$A:$A,加弹汇总表!$A11,jt!$R:$R,加弹汇总表!S$2)</f>
        <v>0</v>
      </c>
      <c r="T11" s="60">
        <f>SUMIFS(jt!$K:$K,jt!$A:$A,加弹汇总表!$A11,jt!$R:$R,加弹汇总表!T$2)</f>
        <v>0</v>
      </c>
      <c r="U11" s="60">
        <f>SUMIFS(jt!$J:$J,jt!$A:$A,加弹汇总表!$A11,jt!$R:$R,加弹汇总表!U$2)</f>
        <v>0</v>
      </c>
      <c r="V11" s="60">
        <f>SUMIFS(jt!$J:$J,jt!$A:$A,加弹汇总表!$A11,jt!$R:$R,加弹汇总表!V$2)</f>
        <v>0</v>
      </c>
      <c r="W11" s="60">
        <f>SUMIFS(jt!$J:$J,jt!$A:$A,加弹汇总表!$A11,jt!$R:$R,加弹汇总表!W$2)</f>
        <v>0</v>
      </c>
      <c r="X11" s="61">
        <f>SUMIFS(jt!$L:$L,jt!$A:$A,加弹汇总表!$A11,jt!$R:$R,加弹汇总表!X$2)</f>
        <v>0</v>
      </c>
      <c r="Y11" s="61">
        <f>SUMIFS(jt!$L:$L,jt!$A:$A,加弹汇总表!$A11,jt!$R:$R,加弹汇总表!Y$2)</f>
        <v>0</v>
      </c>
      <c r="Z11" s="61">
        <f>SUMIFS(jt!$L:$L,jt!$A:$A,加弹汇总表!$A11,jt!$R:$R,加弹汇总表!Z$2)</f>
        <v>0</v>
      </c>
      <c r="AA11" s="62">
        <f>SUMIFS(jt!$M:$M,jt!$A:$A,加弹汇总表!$A11,jt!$R:$R,加弹汇总表!AA$2)</f>
        <v>0</v>
      </c>
      <c r="AB11" s="62">
        <f>SUMIFS(jt!$M:$M,jt!$A:$A,加弹汇总表!$A11,jt!$R:$R,加弹汇总表!AB$2)</f>
        <v>0</v>
      </c>
      <c r="AC11" s="62">
        <f>SUMIFS(jt!$M:$M,jt!$A:$A,加弹汇总表!$A11,jt!$R:$R,加弹汇总表!AC$2)</f>
        <v>0</v>
      </c>
      <c r="AD11" s="63">
        <f>SUMIFS(jt!$N:$N,jt!$A:$A,加弹汇总表!$A11,jt!$R:$R,加弹汇总表!AD$2)</f>
        <v>0</v>
      </c>
      <c r="AE11" s="63">
        <f>SUMIFS(jt!$N:$N,jt!$A:$A,加弹汇总表!$A11,jt!$R:$R,加弹汇总表!AE$2)</f>
        <v>0</v>
      </c>
      <c r="AF11" s="63">
        <f>SUMIFS(jt!$N:$N,jt!$A:$A,加弹汇总表!$A11,jt!$R:$R,加弹汇总表!AF$2)</f>
        <v>0</v>
      </c>
      <c r="AG11" s="64">
        <f>SUMIFS(jt!$M:$M,jt!$A:$A,加弹汇总表!$A11,jt!$C:$C,加弹汇总表!AG$2)</f>
        <v>0</v>
      </c>
      <c r="AH11" s="64">
        <f>SUMIFS(jt!$M:$M,jt!$A:$A,加弹汇总表!$A11,jt!$C:$C,加弹汇总表!AH$2)</f>
        <v>0</v>
      </c>
      <c r="AI11" s="64">
        <f>SUMIFS(jt!$M:$M,jt!$A:$A,加弹汇总表!$A11,jt!$C:$C,加弹汇总表!AI$2)</f>
        <v>0</v>
      </c>
      <c r="AJ11" s="64">
        <f>SUMIFS(jt!$M:$M,jt!$A:$A,加弹汇总表!$A11,jt!$C:$C,加弹汇总表!AJ$2)</f>
        <v>0</v>
      </c>
      <c r="AK11" s="64">
        <f>SUMIFS(jt!$M:$M,jt!$A:$A,加弹汇总表!$A11,jt!$C:$C,加弹汇总表!AK$2)</f>
        <v>0</v>
      </c>
      <c r="AL11" s="64">
        <f>SUMIFS(jt!$M:$M,jt!$A:$A,加弹汇总表!$A11,jt!$C:$C,加弹汇总表!AL$2)</f>
        <v>0</v>
      </c>
      <c r="AM11" s="64">
        <f>SUMIFS(jt!$M:$M,jt!$A:$A,加弹汇总表!$A11,jt!$C:$C,加弹汇总表!AM$2)</f>
        <v>0</v>
      </c>
      <c r="AN11" s="80">
        <f>SUMIFS(jt!$M:$M,jt!$A:$A,加弹汇总表!$A11,jt!$C:$C,加弹汇总表!AN$2)</f>
        <v>0</v>
      </c>
      <c r="AO11" s="8">
        <f>SUMIFS(jt!$M:$M,jt!$B:$B,加弹汇总表!$B11,jt!$D:$D,加弹汇总表!$C11,jt!$F:$F,加弹汇总表!$F11,jt!$O:$O,加弹汇总表!$C$1&amp;"/"&amp;加弹汇总表!$D$1&amp;"/"&amp;加弹汇总表!AO$2)</f>
        <v>0</v>
      </c>
      <c r="AP11" s="8">
        <f>SUMIFS(jt!$M:$M,jt!$B:$B,加弹汇总表!$B11,jt!$D:$D,加弹汇总表!$C11,jt!$F:$F,加弹汇总表!$F11,jt!$O:$O,加弹汇总表!$C$1&amp;"/"&amp;加弹汇总表!$D$1&amp;"/"&amp;加弹汇总表!AP$2)</f>
        <v>0</v>
      </c>
      <c r="AQ11" s="8">
        <f>SUMIFS(jt!$M:$M,jt!$B:$B,加弹汇总表!$B11,jt!$D:$D,加弹汇总表!$C11,jt!$F:$F,加弹汇总表!$F11,jt!$O:$O,加弹汇总表!$C$1&amp;"/"&amp;加弹汇总表!$D$1&amp;"/"&amp;加弹汇总表!AQ$2)</f>
        <v>0</v>
      </c>
      <c r="AR11" s="8">
        <f>SUMIFS(jt!$M:$M,jt!$B:$B,加弹汇总表!$B11,jt!$D:$D,加弹汇总表!$C11,jt!$F:$F,加弹汇总表!$F11,jt!$O:$O,加弹汇总表!$C$1&amp;"/"&amp;加弹汇总表!$D$1&amp;"/"&amp;加弹汇总表!AR$2)</f>
        <v>0</v>
      </c>
      <c r="AS11" s="8">
        <f>SUMIFS(jt!$M:$M,jt!$B:$B,加弹汇总表!$B11,jt!$D:$D,加弹汇总表!$C11,jt!$F:$F,加弹汇总表!$F11,jt!$O:$O,加弹汇总表!$C$1&amp;"/"&amp;加弹汇总表!$D$1&amp;"/"&amp;加弹汇总表!AS$2)</f>
        <v>0</v>
      </c>
      <c r="AT11" s="8">
        <f>SUMIFS(jt!$M:$M,jt!$B:$B,加弹汇总表!$B11,jt!$D:$D,加弹汇总表!$C11,jt!$F:$F,加弹汇总表!$F11,jt!$O:$O,加弹汇总表!$C$1&amp;"/"&amp;加弹汇总表!$D$1&amp;"/"&amp;加弹汇总表!AT$2)</f>
        <v>0</v>
      </c>
      <c r="AU11" s="8">
        <f>SUMIFS(jt!$M:$M,jt!$B:$B,加弹汇总表!$B11,jt!$D:$D,加弹汇总表!$C11,jt!$F:$F,加弹汇总表!$F11,jt!$O:$O,加弹汇总表!$C$1&amp;"/"&amp;加弹汇总表!$D$1&amp;"/"&amp;加弹汇总表!AU$2)</f>
        <v>0</v>
      </c>
      <c r="AV11" s="8">
        <f>SUMIFS(jt!$M:$M,jt!$B:$B,加弹汇总表!$B11,jt!$D:$D,加弹汇总表!$C11,jt!$F:$F,加弹汇总表!$F11,jt!$O:$O,加弹汇总表!$C$1&amp;"/"&amp;加弹汇总表!$D$1&amp;"/"&amp;加弹汇总表!AV$2)</f>
        <v>0</v>
      </c>
      <c r="AW11" s="8">
        <f>SUMIFS(jt!$M:$M,jt!$B:$B,加弹汇总表!$B11,jt!$D:$D,加弹汇总表!$C11,jt!$F:$F,加弹汇总表!$F11,jt!$O:$O,加弹汇总表!$C$1&amp;"/"&amp;加弹汇总表!$D$1&amp;"/"&amp;加弹汇总表!AW$2)</f>
        <v>0</v>
      </c>
      <c r="AX11" s="8">
        <f>SUMIFS(jt!$M:$M,jt!$B:$B,加弹汇总表!$B11,jt!$D:$D,加弹汇总表!$C11,jt!$F:$F,加弹汇总表!$F11,jt!$O:$O,加弹汇总表!$C$1&amp;"/"&amp;加弹汇总表!$D$1&amp;"/"&amp;加弹汇总表!AX$2)</f>
        <v>0</v>
      </c>
      <c r="AY11" s="8">
        <f>SUMIFS(jt!$M:$M,jt!$B:$B,加弹汇总表!$B11,jt!$D:$D,加弹汇总表!$C11,jt!$F:$F,加弹汇总表!$F11,jt!$O:$O,加弹汇总表!$C$1&amp;"/"&amp;加弹汇总表!$D$1&amp;"/"&amp;加弹汇总表!AY$2)</f>
        <v>0</v>
      </c>
      <c r="AZ11" s="8">
        <f>SUMIFS(jt!$M:$M,jt!$B:$B,加弹汇总表!$B11,jt!$D:$D,加弹汇总表!$C11,jt!$F:$F,加弹汇总表!$F11,jt!$O:$O,加弹汇总表!$C$1&amp;"/"&amp;加弹汇总表!$D$1&amp;"/"&amp;加弹汇总表!AZ$2)</f>
        <v>0</v>
      </c>
      <c r="BA11" s="8">
        <f>SUMIFS(jt!$M:$M,jt!$B:$B,加弹汇总表!$B11,jt!$D:$D,加弹汇总表!$C11,jt!$F:$F,加弹汇总表!$F11,jt!$O:$O,加弹汇总表!$C$1&amp;"/"&amp;加弹汇总表!$D$1&amp;"/"&amp;加弹汇总表!BA$2)</f>
        <v>0</v>
      </c>
      <c r="BB11" s="8">
        <f>SUMIFS(jt!$M:$M,jt!$B:$B,加弹汇总表!$B11,jt!$D:$D,加弹汇总表!$C11,jt!$F:$F,加弹汇总表!$F11,jt!$O:$O,加弹汇总表!$C$1&amp;"/"&amp;加弹汇总表!$D$1&amp;"/"&amp;加弹汇总表!BB$2)</f>
        <v>0</v>
      </c>
      <c r="BC11" s="8">
        <f>SUMIFS(jt!$M:$M,jt!$B:$B,加弹汇总表!$B11,jt!$D:$D,加弹汇总表!$C11,jt!$F:$F,加弹汇总表!$F11,jt!$O:$O,加弹汇总表!$C$1&amp;"/"&amp;加弹汇总表!$D$1&amp;"/"&amp;加弹汇总表!BC$2)</f>
        <v>0</v>
      </c>
      <c r="BD11" s="8">
        <f>SUMIFS(jt!$M:$M,jt!$B:$B,加弹汇总表!$B11,jt!$D:$D,加弹汇总表!$C11,jt!$F:$F,加弹汇总表!$F11,jt!$O:$O,加弹汇总表!$C$1&amp;"/"&amp;加弹汇总表!$D$1&amp;"/"&amp;加弹汇总表!BD$2)</f>
        <v>0</v>
      </c>
      <c r="BE11" s="8">
        <f>SUMIFS(jt!$M:$M,jt!$B:$B,加弹汇总表!$B11,jt!$D:$D,加弹汇总表!$C11,jt!$F:$F,加弹汇总表!$F11,jt!$O:$O,加弹汇总表!$C$1&amp;"/"&amp;加弹汇总表!$D$1&amp;"/"&amp;加弹汇总表!BE$2)</f>
        <v>0</v>
      </c>
      <c r="BF11" s="8">
        <f>SUMIFS(jt!$M:$M,jt!$B:$B,加弹汇总表!$B11,jt!$D:$D,加弹汇总表!$C11,jt!$F:$F,加弹汇总表!$F11,jt!$O:$O,加弹汇总表!$C$1&amp;"/"&amp;加弹汇总表!$D$1&amp;"/"&amp;加弹汇总表!BF$2)</f>
        <v>0</v>
      </c>
      <c r="BG11" s="8">
        <f>SUMIFS(jt!$M:$M,jt!$B:$B,加弹汇总表!$B11,jt!$D:$D,加弹汇总表!$C11,jt!$F:$F,加弹汇总表!$F11,jt!$O:$O,加弹汇总表!$C$1&amp;"/"&amp;加弹汇总表!$D$1&amp;"/"&amp;加弹汇总表!BG$2)</f>
        <v>0</v>
      </c>
      <c r="BH11" s="8">
        <f>SUMIFS(jt!$M:$M,jt!$B:$B,加弹汇总表!$B11,jt!$D:$D,加弹汇总表!$C11,jt!$F:$F,加弹汇总表!$F11,jt!$O:$O,加弹汇总表!$C$1&amp;"/"&amp;加弹汇总表!$D$1&amp;"/"&amp;加弹汇总表!BH$2)</f>
        <v>0</v>
      </c>
      <c r="BI11" s="8">
        <f>SUMIFS(jt!$M:$M,jt!$B:$B,加弹汇总表!$B11,jt!$D:$D,加弹汇总表!$C11,jt!$F:$F,加弹汇总表!$F11,jt!$O:$O,加弹汇总表!$C$1&amp;"/"&amp;加弹汇总表!$D$1&amp;"/"&amp;加弹汇总表!BI$2)</f>
        <v>0</v>
      </c>
      <c r="BJ11" s="8">
        <f>SUMIFS(jt!$M:$M,jt!$B:$B,加弹汇总表!$B11,jt!$D:$D,加弹汇总表!$C11,jt!$F:$F,加弹汇总表!$F11,jt!$O:$O,加弹汇总表!$C$1&amp;"/"&amp;加弹汇总表!$D$1&amp;"/"&amp;加弹汇总表!BJ$2)</f>
        <v>0</v>
      </c>
      <c r="BK11" s="8">
        <f>SUMIFS(jt!$M:$M,jt!$B:$B,加弹汇总表!$B11,jt!$D:$D,加弹汇总表!$C11,jt!$F:$F,加弹汇总表!$F11,jt!$O:$O,加弹汇总表!$C$1&amp;"/"&amp;加弹汇总表!$D$1&amp;"/"&amp;加弹汇总表!BK$2)</f>
        <v>0</v>
      </c>
      <c r="BL11" s="8">
        <f>SUMIFS(jt!$M:$M,jt!$B:$B,加弹汇总表!$B11,jt!$D:$D,加弹汇总表!$C11,jt!$F:$F,加弹汇总表!$F11,jt!$O:$O,加弹汇总表!$C$1&amp;"/"&amp;加弹汇总表!$D$1&amp;"/"&amp;加弹汇总表!BL$2)</f>
        <v>0</v>
      </c>
      <c r="BM11" s="8">
        <f>SUMIFS(jt!$M:$M,jt!$B:$B,加弹汇总表!$B11,jt!$D:$D,加弹汇总表!$C11,jt!$F:$F,加弹汇总表!$F11,jt!$O:$O,加弹汇总表!$C$1&amp;"/"&amp;加弹汇总表!$D$1&amp;"/"&amp;加弹汇总表!BM$2)</f>
        <v>0</v>
      </c>
      <c r="BN11" s="8">
        <f>SUMIFS(jt!$M:$M,jt!$B:$B,加弹汇总表!$B11,jt!$D:$D,加弹汇总表!$C11,jt!$F:$F,加弹汇总表!$F11,jt!$O:$O,加弹汇总表!$C$1&amp;"/"&amp;加弹汇总表!$D$1&amp;"/"&amp;加弹汇总表!BN$2)</f>
        <v>0</v>
      </c>
      <c r="BO11" s="8">
        <f>SUMIFS(jt!$M:$M,jt!$B:$B,加弹汇总表!$B11,jt!$D:$D,加弹汇总表!$C11,jt!$F:$F,加弹汇总表!$F11,jt!$O:$O,加弹汇总表!$C$1&amp;"/"&amp;加弹汇总表!$D$1&amp;"/"&amp;加弹汇总表!BO$2)</f>
        <v>0</v>
      </c>
      <c r="BP11" s="8">
        <f>SUMIFS(jt!$M:$M,jt!$B:$B,加弹汇总表!$B11,jt!$D:$D,加弹汇总表!$C11,jt!$F:$F,加弹汇总表!$F11,jt!$O:$O,加弹汇总表!$C$1&amp;"/"&amp;加弹汇总表!$D$1&amp;"/"&amp;加弹汇总表!BP$2)</f>
        <v>0</v>
      </c>
      <c r="BQ11" s="8">
        <f>SUMIFS(jt!$M:$M,jt!$B:$B,加弹汇总表!$B11,jt!$D:$D,加弹汇总表!$C11,jt!$F:$F,加弹汇总表!$F11,jt!$O:$O,加弹汇总表!$C$1&amp;"/"&amp;加弹汇总表!$D$1&amp;"/"&amp;加弹汇总表!BQ$2)</f>
        <v>0</v>
      </c>
      <c r="BR11" s="8">
        <f>SUMIFS(jt!$M:$M,jt!$B:$B,加弹汇总表!$B11,jt!$D:$D,加弹汇总表!$C11,jt!$F:$F,加弹汇总表!$F11,jt!$O:$O,加弹汇总表!$C$1&amp;"/"&amp;加弹汇总表!$D$1&amp;"/"&amp;加弹汇总表!BR$2)</f>
        <v>0</v>
      </c>
      <c r="BS11" s="8">
        <f>SUMIFS(jt!$M:$M,jt!$B:$B,加弹汇总表!$B11,jt!$D:$D,加弹汇总表!$C11,jt!$F:$F,加弹汇总表!$F11,jt!$O:$O,加弹汇总表!$C$1&amp;"/"&amp;加弹汇总表!$D$1&amp;"/"&amp;加弹汇总表!BS$2)</f>
        <v>0</v>
      </c>
    </row>
    <row r="12" spans="1:71" ht="18" customHeight="1">
      <c r="A12" s="250" t="str">
        <f t="shared" si="4"/>
        <v>S21325170°打样130/48白</v>
      </c>
      <c r="B12" s="14" t="s">
        <v>384</v>
      </c>
      <c r="C12" s="98" t="s">
        <v>859</v>
      </c>
      <c r="D12" s="53" t="s">
        <v>381</v>
      </c>
      <c r="E12" s="78"/>
      <c r="F12" s="53" t="s">
        <v>2</v>
      </c>
      <c r="G12" s="53" t="s">
        <v>158</v>
      </c>
      <c r="H12" s="53"/>
      <c r="I12" s="246">
        <f ca="1">IF(SUMIFS(jt!M:M,jt!A:A,加弹汇总表!A12,jt!O:O,加弹汇总表!$E$1)=0,0,SUM(AO12:BS12)/COUNTIF(AO12:BS12,"&lt;&gt;0"))</f>
        <v>0</v>
      </c>
      <c r="J12" s="53">
        <f t="shared" si="5"/>
        <v>0</v>
      </c>
      <c r="K12" s="53">
        <f t="shared" si="6"/>
        <v>0</v>
      </c>
      <c r="L12" s="53">
        <f t="shared" si="7"/>
        <v>0</v>
      </c>
      <c r="M12" s="53">
        <f t="shared" si="0"/>
        <v>0</v>
      </c>
      <c r="N12" s="53"/>
      <c r="O12" s="53">
        <f t="shared" si="1"/>
        <v>0</v>
      </c>
      <c r="P12" s="53">
        <f t="shared" si="2"/>
        <v>0</v>
      </c>
      <c r="Q12" s="53">
        <f t="shared" si="3"/>
        <v>0</v>
      </c>
      <c r="R12" s="60">
        <f>SUMIFS(jt!$K:$K,jt!$A:$A,加弹汇总表!$A12,jt!$R:$R,加弹汇总表!R$2)</f>
        <v>0</v>
      </c>
      <c r="S12" s="60">
        <f>SUMIFS(jt!$K:$K,jt!$A:$A,加弹汇总表!$A12,jt!$R:$R,加弹汇总表!S$2)</f>
        <v>0</v>
      </c>
      <c r="T12" s="60">
        <f>SUMIFS(jt!$K:$K,jt!$A:$A,加弹汇总表!$A12,jt!$R:$R,加弹汇总表!T$2)</f>
        <v>0</v>
      </c>
      <c r="U12" s="60">
        <f>SUMIFS(jt!$J:$J,jt!$A:$A,加弹汇总表!$A12,jt!$R:$R,加弹汇总表!U$2)</f>
        <v>0</v>
      </c>
      <c r="V12" s="60">
        <f>SUMIFS(jt!$J:$J,jt!$A:$A,加弹汇总表!$A12,jt!$R:$R,加弹汇总表!V$2)</f>
        <v>0</v>
      </c>
      <c r="W12" s="60">
        <f>SUMIFS(jt!$J:$J,jt!$A:$A,加弹汇总表!$A12,jt!$R:$R,加弹汇总表!W$2)</f>
        <v>0</v>
      </c>
      <c r="X12" s="61">
        <f>SUMIFS(jt!$L:$L,jt!$A:$A,加弹汇总表!$A12,jt!$R:$R,加弹汇总表!X$2)</f>
        <v>0</v>
      </c>
      <c r="Y12" s="61">
        <f>SUMIFS(jt!$L:$L,jt!$A:$A,加弹汇总表!$A12,jt!$R:$R,加弹汇总表!Y$2)</f>
        <v>0</v>
      </c>
      <c r="Z12" s="61">
        <f>SUMIFS(jt!$L:$L,jt!$A:$A,加弹汇总表!$A12,jt!$R:$R,加弹汇总表!Z$2)</f>
        <v>0</v>
      </c>
      <c r="AA12" s="62">
        <f>SUMIFS(jt!$M:$M,jt!$A:$A,加弹汇总表!$A12,jt!$R:$R,加弹汇总表!AA$2)</f>
        <v>0</v>
      </c>
      <c r="AB12" s="62">
        <f>SUMIFS(jt!$M:$M,jt!$A:$A,加弹汇总表!$A12,jt!$R:$R,加弹汇总表!AB$2)</f>
        <v>0</v>
      </c>
      <c r="AC12" s="62">
        <f>SUMIFS(jt!$M:$M,jt!$A:$A,加弹汇总表!$A12,jt!$R:$R,加弹汇总表!AC$2)</f>
        <v>0</v>
      </c>
      <c r="AD12" s="63">
        <f>SUMIFS(jt!$N:$N,jt!$A:$A,加弹汇总表!$A12,jt!$R:$R,加弹汇总表!AD$2)</f>
        <v>0</v>
      </c>
      <c r="AE12" s="63">
        <f>SUMIFS(jt!$N:$N,jt!$A:$A,加弹汇总表!$A12,jt!$R:$R,加弹汇总表!AE$2)</f>
        <v>0</v>
      </c>
      <c r="AF12" s="63">
        <f>SUMIFS(jt!$N:$N,jt!$A:$A,加弹汇总表!$A12,jt!$R:$R,加弹汇总表!AF$2)</f>
        <v>0</v>
      </c>
      <c r="AG12" s="64">
        <f>SUMIFS(jt!$M:$M,jt!$A:$A,加弹汇总表!$A12,jt!$C:$C,加弹汇总表!AG$2)</f>
        <v>0</v>
      </c>
      <c r="AH12" s="64">
        <f>SUMIFS(jt!$M:$M,jt!$A:$A,加弹汇总表!$A12,jt!$C:$C,加弹汇总表!AH$2)</f>
        <v>0</v>
      </c>
      <c r="AI12" s="64">
        <f>SUMIFS(jt!$M:$M,jt!$A:$A,加弹汇总表!$A12,jt!$C:$C,加弹汇总表!AI$2)</f>
        <v>0</v>
      </c>
      <c r="AJ12" s="64">
        <f>SUMIFS(jt!$M:$M,jt!$A:$A,加弹汇总表!$A12,jt!$C:$C,加弹汇总表!AJ$2)</f>
        <v>0</v>
      </c>
      <c r="AK12" s="64">
        <f>SUMIFS(jt!$M:$M,jt!$A:$A,加弹汇总表!$A12,jt!$C:$C,加弹汇总表!AK$2)</f>
        <v>0</v>
      </c>
      <c r="AL12" s="64">
        <f>SUMIFS(jt!$M:$M,jt!$A:$A,加弹汇总表!$A12,jt!$C:$C,加弹汇总表!AL$2)</f>
        <v>0</v>
      </c>
      <c r="AM12" s="64">
        <f>SUMIFS(jt!$M:$M,jt!$A:$A,加弹汇总表!$A12,jt!$C:$C,加弹汇总表!AM$2)</f>
        <v>0</v>
      </c>
      <c r="AN12" s="80">
        <f>SUMIFS(jt!$M:$M,jt!$A:$A,加弹汇总表!$A12,jt!$C:$C,加弹汇总表!AN$2)</f>
        <v>0</v>
      </c>
      <c r="AO12" s="8">
        <f>SUMIFS(jt!$M:$M,jt!$B:$B,加弹汇总表!$B12,jt!$D:$D,加弹汇总表!$C12,jt!$F:$F,加弹汇总表!$F12,jt!$O:$O,加弹汇总表!$C$1&amp;"/"&amp;加弹汇总表!$D$1&amp;"/"&amp;加弹汇总表!AO$2)</f>
        <v>0</v>
      </c>
      <c r="AP12" s="8">
        <f>SUMIFS(jt!$M:$M,jt!$B:$B,加弹汇总表!$B12,jt!$D:$D,加弹汇总表!$C12,jt!$F:$F,加弹汇总表!$F12,jt!$O:$O,加弹汇总表!$C$1&amp;"/"&amp;加弹汇总表!$D$1&amp;"/"&amp;加弹汇总表!AP$2)</f>
        <v>0</v>
      </c>
      <c r="AQ12" s="8">
        <f>SUMIFS(jt!$M:$M,jt!$B:$B,加弹汇总表!$B12,jt!$D:$D,加弹汇总表!$C12,jt!$F:$F,加弹汇总表!$F12,jt!$O:$O,加弹汇总表!$C$1&amp;"/"&amp;加弹汇总表!$D$1&amp;"/"&amp;加弹汇总表!AQ$2)</f>
        <v>0</v>
      </c>
      <c r="AR12" s="8">
        <f>SUMIFS(jt!$M:$M,jt!$B:$B,加弹汇总表!$B12,jt!$D:$D,加弹汇总表!$C12,jt!$F:$F,加弹汇总表!$F12,jt!$O:$O,加弹汇总表!$C$1&amp;"/"&amp;加弹汇总表!$D$1&amp;"/"&amp;加弹汇总表!AR$2)</f>
        <v>0</v>
      </c>
      <c r="AS12" s="8">
        <f>SUMIFS(jt!$M:$M,jt!$B:$B,加弹汇总表!$B12,jt!$D:$D,加弹汇总表!$C12,jt!$F:$F,加弹汇总表!$F12,jt!$O:$O,加弹汇总表!$C$1&amp;"/"&amp;加弹汇总表!$D$1&amp;"/"&amp;加弹汇总表!AS$2)</f>
        <v>0</v>
      </c>
      <c r="AT12" s="8">
        <f>SUMIFS(jt!$M:$M,jt!$B:$B,加弹汇总表!$B12,jt!$D:$D,加弹汇总表!$C12,jt!$F:$F,加弹汇总表!$F12,jt!$O:$O,加弹汇总表!$C$1&amp;"/"&amp;加弹汇总表!$D$1&amp;"/"&amp;加弹汇总表!AT$2)</f>
        <v>0</v>
      </c>
      <c r="AU12" s="8">
        <f>SUMIFS(jt!$M:$M,jt!$B:$B,加弹汇总表!$B12,jt!$D:$D,加弹汇总表!$C12,jt!$F:$F,加弹汇总表!$F12,jt!$O:$O,加弹汇总表!$C$1&amp;"/"&amp;加弹汇总表!$D$1&amp;"/"&amp;加弹汇总表!AU$2)</f>
        <v>0</v>
      </c>
      <c r="AV12" s="8">
        <f>SUMIFS(jt!$M:$M,jt!$B:$B,加弹汇总表!$B12,jt!$D:$D,加弹汇总表!$C12,jt!$F:$F,加弹汇总表!$F12,jt!$O:$O,加弹汇总表!$C$1&amp;"/"&amp;加弹汇总表!$D$1&amp;"/"&amp;加弹汇总表!AV$2)</f>
        <v>0</v>
      </c>
      <c r="AW12" s="8">
        <f>SUMIFS(jt!$M:$M,jt!$B:$B,加弹汇总表!$B12,jt!$D:$D,加弹汇总表!$C12,jt!$F:$F,加弹汇总表!$F12,jt!$O:$O,加弹汇总表!$C$1&amp;"/"&amp;加弹汇总表!$D$1&amp;"/"&amp;加弹汇总表!AW$2)</f>
        <v>0</v>
      </c>
      <c r="AX12" s="8">
        <f>SUMIFS(jt!$M:$M,jt!$B:$B,加弹汇总表!$B12,jt!$D:$D,加弹汇总表!$C12,jt!$F:$F,加弹汇总表!$F12,jt!$O:$O,加弹汇总表!$C$1&amp;"/"&amp;加弹汇总表!$D$1&amp;"/"&amp;加弹汇总表!AX$2)</f>
        <v>0</v>
      </c>
      <c r="AY12" s="8">
        <f>SUMIFS(jt!$M:$M,jt!$B:$B,加弹汇总表!$B12,jt!$D:$D,加弹汇总表!$C12,jt!$F:$F,加弹汇总表!$F12,jt!$O:$O,加弹汇总表!$C$1&amp;"/"&amp;加弹汇总表!$D$1&amp;"/"&amp;加弹汇总表!AY$2)</f>
        <v>0</v>
      </c>
      <c r="AZ12" s="8">
        <f>SUMIFS(jt!$M:$M,jt!$B:$B,加弹汇总表!$B12,jt!$D:$D,加弹汇总表!$C12,jt!$F:$F,加弹汇总表!$F12,jt!$O:$O,加弹汇总表!$C$1&amp;"/"&amp;加弹汇总表!$D$1&amp;"/"&amp;加弹汇总表!AZ$2)</f>
        <v>0</v>
      </c>
      <c r="BA12" s="8">
        <f>SUMIFS(jt!$M:$M,jt!$B:$B,加弹汇总表!$B12,jt!$D:$D,加弹汇总表!$C12,jt!$F:$F,加弹汇总表!$F12,jt!$O:$O,加弹汇总表!$C$1&amp;"/"&amp;加弹汇总表!$D$1&amp;"/"&amp;加弹汇总表!BA$2)</f>
        <v>0</v>
      </c>
      <c r="BB12" s="8">
        <f>SUMIFS(jt!$M:$M,jt!$B:$B,加弹汇总表!$B12,jt!$D:$D,加弹汇总表!$C12,jt!$F:$F,加弹汇总表!$F12,jt!$O:$O,加弹汇总表!$C$1&amp;"/"&amp;加弹汇总表!$D$1&amp;"/"&amp;加弹汇总表!BB$2)</f>
        <v>0</v>
      </c>
      <c r="BC12" s="8">
        <f>SUMIFS(jt!$M:$M,jt!$B:$B,加弹汇总表!$B12,jt!$D:$D,加弹汇总表!$C12,jt!$F:$F,加弹汇总表!$F12,jt!$O:$O,加弹汇总表!$C$1&amp;"/"&amp;加弹汇总表!$D$1&amp;"/"&amp;加弹汇总表!BC$2)</f>
        <v>0</v>
      </c>
      <c r="BD12" s="8">
        <f>SUMIFS(jt!$M:$M,jt!$B:$B,加弹汇总表!$B12,jt!$D:$D,加弹汇总表!$C12,jt!$F:$F,加弹汇总表!$F12,jt!$O:$O,加弹汇总表!$C$1&amp;"/"&amp;加弹汇总表!$D$1&amp;"/"&amp;加弹汇总表!BD$2)</f>
        <v>0</v>
      </c>
      <c r="BE12" s="8">
        <f>SUMIFS(jt!$M:$M,jt!$B:$B,加弹汇总表!$B12,jt!$D:$D,加弹汇总表!$C12,jt!$F:$F,加弹汇总表!$F12,jt!$O:$O,加弹汇总表!$C$1&amp;"/"&amp;加弹汇总表!$D$1&amp;"/"&amp;加弹汇总表!BE$2)</f>
        <v>0</v>
      </c>
      <c r="BF12" s="8">
        <f>SUMIFS(jt!$M:$M,jt!$B:$B,加弹汇总表!$B12,jt!$D:$D,加弹汇总表!$C12,jt!$F:$F,加弹汇总表!$F12,jt!$O:$O,加弹汇总表!$C$1&amp;"/"&amp;加弹汇总表!$D$1&amp;"/"&amp;加弹汇总表!BF$2)</f>
        <v>0</v>
      </c>
      <c r="BG12" s="8">
        <f>SUMIFS(jt!$M:$M,jt!$B:$B,加弹汇总表!$B12,jt!$D:$D,加弹汇总表!$C12,jt!$F:$F,加弹汇总表!$F12,jt!$O:$O,加弹汇总表!$C$1&amp;"/"&amp;加弹汇总表!$D$1&amp;"/"&amp;加弹汇总表!BG$2)</f>
        <v>0</v>
      </c>
      <c r="BH12" s="8">
        <f>SUMIFS(jt!$M:$M,jt!$B:$B,加弹汇总表!$B12,jt!$D:$D,加弹汇总表!$C12,jt!$F:$F,加弹汇总表!$F12,jt!$O:$O,加弹汇总表!$C$1&amp;"/"&amp;加弹汇总表!$D$1&amp;"/"&amp;加弹汇总表!BH$2)</f>
        <v>0</v>
      </c>
      <c r="BI12" s="8">
        <f>SUMIFS(jt!$M:$M,jt!$B:$B,加弹汇总表!$B12,jt!$D:$D,加弹汇总表!$C12,jt!$F:$F,加弹汇总表!$F12,jt!$O:$O,加弹汇总表!$C$1&amp;"/"&amp;加弹汇总表!$D$1&amp;"/"&amp;加弹汇总表!BI$2)</f>
        <v>0</v>
      </c>
      <c r="BJ12" s="8">
        <f>SUMIFS(jt!$M:$M,jt!$B:$B,加弹汇总表!$B12,jt!$D:$D,加弹汇总表!$C12,jt!$F:$F,加弹汇总表!$F12,jt!$O:$O,加弹汇总表!$C$1&amp;"/"&amp;加弹汇总表!$D$1&amp;"/"&amp;加弹汇总表!BJ$2)</f>
        <v>0</v>
      </c>
      <c r="BK12" s="8">
        <f>SUMIFS(jt!$M:$M,jt!$B:$B,加弹汇总表!$B12,jt!$D:$D,加弹汇总表!$C12,jt!$F:$F,加弹汇总表!$F12,jt!$O:$O,加弹汇总表!$C$1&amp;"/"&amp;加弹汇总表!$D$1&amp;"/"&amp;加弹汇总表!BK$2)</f>
        <v>0</v>
      </c>
      <c r="BL12" s="8">
        <f>SUMIFS(jt!$M:$M,jt!$B:$B,加弹汇总表!$B12,jt!$D:$D,加弹汇总表!$C12,jt!$F:$F,加弹汇总表!$F12,jt!$O:$O,加弹汇总表!$C$1&amp;"/"&amp;加弹汇总表!$D$1&amp;"/"&amp;加弹汇总表!BL$2)</f>
        <v>0</v>
      </c>
      <c r="BM12" s="8">
        <f>SUMIFS(jt!$M:$M,jt!$B:$B,加弹汇总表!$B12,jt!$D:$D,加弹汇总表!$C12,jt!$F:$F,加弹汇总表!$F12,jt!$O:$O,加弹汇总表!$C$1&amp;"/"&amp;加弹汇总表!$D$1&amp;"/"&amp;加弹汇总表!BM$2)</f>
        <v>0</v>
      </c>
      <c r="BN12" s="8">
        <f>SUMIFS(jt!$M:$M,jt!$B:$B,加弹汇总表!$B12,jt!$D:$D,加弹汇总表!$C12,jt!$F:$F,加弹汇总表!$F12,jt!$O:$O,加弹汇总表!$C$1&amp;"/"&amp;加弹汇总表!$D$1&amp;"/"&amp;加弹汇总表!BN$2)</f>
        <v>0</v>
      </c>
      <c r="BO12" s="8">
        <f>SUMIFS(jt!$M:$M,jt!$B:$B,加弹汇总表!$B12,jt!$D:$D,加弹汇总表!$C12,jt!$F:$F,加弹汇总表!$F12,jt!$O:$O,加弹汇总表!$C$1&amp;"/"&amp;加弹汇总表!$D$1&amp;"/"&amp;加弹汇总表!BO$2)</f>
        <v>0</v>
      </c>
      <c r="BP12" s="8">
        <f>SUMIFS(jt!$M:$M,jt!$B:$B,加弹汇总表!$B12,jt!$D:$D,加弹汇总表!$C12,jt!$F:$F,加弹汇总表!$F12,jt!$O:$O,加弹汇总表!$C$1&amp;"/"&amp;加弹汇总表!$D$1&amp;"/"&amp;加弹汇总表!BP$2)</f>
        <v>0</v>
      </c>
      <c r="BQ12" s="8">
        <f>SUMIFS(jt!$M:$M,jt!$B:$B,加弹汇总表!$B12,jt!$D:$D,加弹汇总表!$C12,jt!$F:$F,加弹汇总表!$F12,jt!$O:$O,加弹汇总表!$C$1&amp;"/"&amp;加弹汇总表!$D$1&amp;"/"&amp;加弹汇总表!BQ$2)</f>
        <v>0</v>
      </c>
      <c r="BR12" s="8">
        <f>SUMIFS(jt!$M:$M,jt!$B:$B,加弹汇总表!$B12,jt!$D:$D,加弹汇总表!$C12,jt!$F:$F,加弹汇总表!$F12,jt!$O:$O,加弹汇总表!$C$1&amp;"/"&amp;加弹汇总表!$D$1&amp;"/"&amp;加弹汇总表!BR$2)</f>
        <v>0</v>
      </c>
      <c r="BS12" s="8">
        <f>SUMIFS(jt!$M:$M,jt!$B:$B,加弹汇总表!$B12,jt!$D:$D,加弹汇总表!$C12,jt!$F:$F,加弹汇总表!$F12,jt!$O:$O,加弹汇总表!$C$1&amp;"/"&amp;加弹汇总表!$D$1&amp;"/"&amp;加弹汇总表!BS$2)</f>
        <v>0</v>
      </c>
    </row>
    <row r="13" spans="1:71" ht="18" customHeight="1">
      <c r="A13" s="250" t="str">
        <f t="shared" si="4"/>
        <v>IP05010155°打样125/36白</v>
      </c>
      <c r="B13" s="14" t="s">
        <v>607</v>
      </c>
      <c r="C13" s="98" t="s">
        <v>857</v>
      </c>
      <c r="D13" s="53" t="s">
        <v>606</v>
      </c>
      <c r="E13" s="78"/>
      <c r="F13" s="53" t="s">
        <v>2</v>
      </c>
      <c r="G13" s="53" t="s">
        <v>443</v>
      </c>
      <c r="H13" s="53"/>
      <c r="I13" s="246">
        <f ca="1">IF(SUMIFS(jt!M:M,jt!A:A,加弹汇总表!A13,jt!O:O,加弹汇总表!$E$1)=0,0,SUM(AO13:BS13)/COUNTIF(AO13:BS13,"&lt;&gt;0"))</f>
        <v>0</v>
      </c>
      <c r="J13" s="53">
        <f t="shared" si="5"/>
        <v>0</v>
      </c>
      <c r="K13" s="53">
        <f t="shared" si="6"/>
        <v>0</v>
      </c>
      <c r="L13" s="53">
        <f t="shared" si="7"/>
        <v>0</v>
      </c>
      <c r="M13" s="53">
        <f t="shared" si="0"/>
        <v>0</v>
      </c>
      <c r="N13" s="53"/>
      <c r="O13" s="53">
        <f t="shared" si="1"/>
        <v>0</v>
      </c>
      <c r="P13" s="53">
        <f t="shared" si="2"/>
        <v>0</v>
      </c>
      <c r="Q13" s="53">
        <f t="shared" si="3"/>
        <v>0</v>
      </c>
      <c r="R13" s="60">
        <f>SUMIFS(jt!$K:$K,jt!$A:$A,加弹汇总表!$A13,jt!$R:$R,加弹汇总表!R$2)</f>
        <v>0</v>
      </c>
      <c r="S13" s="60">
        <f>SUMIFS(jt!$K:$K,jt!$A:$A,加弹汇总表!$A13,jt!$R:$R,加弹汇总表!S$2)</f>
        <v>0</v>
      </c>
      <c r="T13" s="60">
        <f>SUMIFS(jt!$K:$K,jt!$A:$A,加弹汇总表!$A13,jt!$R:$R,加弹汇总表!T$2)</f>
        <v>0</v>
      </c>
      <c r="U13" s="60">
        <f>SUMIFS(jt!$J:$J,jt!$A:$A,加弹汇总表!$A13,jt!$R:$R,加弹汇总表!U$2)</f>
        <v>0</v>
      </c>
      <c r="V13" s="60">
        <f>SUMIFS(jt!$J:$J,jt!$A:$A,加弹汇总表!$A13,jt!$R:$R,加弹汇总表!V$2)</f>
        <v>0</v>
      </c>
      <c r="W13" s="60">
        <f>SUMIFS(jt!$J:$J,jt!$A:$A,加弹汇总表!$A13,jt!$R:$R,加弹汇总表!W$2)</f>
        <v>0</v>
      </c>
      <c r="X13" s="61">
        <f>SUMIFS(jt!$L:$L,jt!$A:$A,加弹汇总表!$A13,jt!$R:$R,加弹汇总表!X$2)</f>
        <v>0</v>
      </c>
      <c r="Y13" s="61">
        <f>SUMIFS(jt!$L:$L,jt!$A:$A,加弹汇总表!$A13,jt!$R:$R,加弹汇总表!Y$2)</f>
        <v>0</v>
      </c>
      <c r="Z13" s="61">
        <f>SUMIFS(jt!$L:$L,jt!$A:$A,加弹汇总表!$A13,jt!$R:$R,加弹汇总表!Z$2)</f>
        <v>0</v>
      </c>
      <c r="AA13" s="62">
        <f>SUMIFS(jt!$M:$M,jt!$A:$A,加弹汇总表!$A13,jt!$R:$R,加弹汇总表!AA$2)</f>
        <v>0</v>
      </c>
      <c r="AB13" s="62">
        <f>SUMIFS(jt!$M:$M,jt!$A:$A,加弹汇总表!$A13,jt!$R:$R,加弹汇总表!AB$2)</f>
        <v>0</v>
      </c>
      <c r="AC13" s="62">
        <f>SUMIFS(jt!$M:$M,jt!$A:$A,加弹汇总表!$A13,jt!$R:$R,加弹汇总表!AC$2)</f>
        <v>0</v>
      </c>
      <c r="AD13" s="63">
        <f>SUMIFS(jt!$N:$N,jt!$A:$A,加弹汇总表!$A13,jt!$R:$R,加弹汇总表!AD$2)</f>
        <v>0</v>
      </c>
      <c r="AE13" s="63">
        <f>SUMIFS(jt!$N:$N,jt!$A:$A,加弹汇总表!$A13,jt!$R:$R,加弹汇总表!AE$2)</f>
        <v>0</v>
      </c>
      <c r="AF13" s="63">
        <f>SUMIFS(jt!$N:$N,jt!$A:$A,加弹汇总表!$A13,jt!$R:$R,加弹汇总表!AF$2)</f>
        <v>0</v>
      </c>
      <c r="AG13" s="64">
        <f>SUMIFS(jt!$M:$M,jt!$A:$A,加弹汇总表!$A13,jt!$C:$C,加弹汇总表!AG$2)</f>
        <v>0</v>
      </c>
      <c r="AH13" s="64">
        <f>SUMIFS(jt!$M:$M,jt!$A:$A,加弹汇总表!$A13,jt!$C:$C,加弹汇总表!AH$2)</f>
        <v>0</v>
      </c>
      <c r="AI13" s="64">
        <f>SUMIFS(jt!$M:$M,jt!$A:$A,加弹汇总表!$A13,jt!$C:$C,加弹汇总表!AI$2)</f>
        <v>0</v>
      </c>
      <c r="AJ13" s="64">
        <f>SUMIFS(jt!$M:$M,jt!$A:$A,加弹汇总表!$A13,jt!$C:$C,加弹汇总表!AJ$2)</f>
        <v>0</v>
      </c>
      <c r="AK13" s="64">
        <f>SUMIFS(jt!$M:$M,jt!$A:$A,加弹汇总表!$A13,jt!$C:$C,加弹汇总表!AK$2)</f>
        <v>0</v>
      </c>
      <c r="AL13" s="64">
        <f>SUMIFS(jt!$M:$M,jt!$A:$A,加弹汇总表!$A13,jt!$C:$C,加弹汇总表!AL$2)</f>
        <v>0</v>
      </c>
      <c r="AM13" s="64">
        <f>SUMIFS(jt!$M:$M,jt!$A:$A,加弹汇总表!$A13,jt!$C:$C,加弹汇总表!AM$2)</f>
        <v>0</v>
      </c>
      <c r="AN13" s="80">
        <f>SUMIFS(jt!$M:$M,jt!$A:$A,加弹汇总表!$A13,jt!$C:$C,加弹汇总表!AN$2)</f>
        <v>0</v>
      </c>
      <c r="AO13" s="8">
        <f>SUMIFS(jt!$M:$M,jt!$B:$B,加弹汇总表!$B13,jt!$D:$D,加弹汇总表!$C13,jt!$F:$F,加弹汇总表!$F13,jt!$O:$O,加弹汇总表!$C$1&amp;"/"&amp;加弹汇总表!$D$1&amp;"/"&amp;加弹汇总表!AO$2)</f>
        <v>0</v>
      </c>
      <c r="AP13" s="8">
        <f>SUMIFS(jt!$M:$M,jt!$B:$B,加弹汇总表!$B13,jt!$D:$D,加弹汇总表!$C13,jt!$F:$F,加弹汇总表!$F13,jt!$O:$O,加弹汇总表!$C$1&amp;"/"&amp;加弹汇总表!$D$1&amp;"/"&amp;加弹汇总表!AP$2)</f>
        <v>0</v>
      </c>
      <c r="AQ13" s="8">
        <f>SUMIFS(jt!$M:$M,jt!$B:$B,加弹汇总表!$B13,jt!$D:$D,加弹汇总表!$C13,jt!$F:$F,加弹汇总表!$F13,jt!$O:$O,加弹汇总表!$C$1&amp;"/"&amp;加弹汇总表!$D$1&amp;"/"&amp;加弹汇总表!AQ$2)</f>
        <v>0</v>
      </c>
      <c r="AR13" s="8">
        <f>SUMIFS(jt!$M:$M,jt!$B:$B,加弹汇总表!$B13,jt!$D:$D,加弹汇总表!$C13,jt!$F:$F,加弹汇总表!$F13,jt!$O:$O,加弹汇总表!$C$1&amp;"/"&amp;加弹汇总表!$D$1&amp;"/"&amp;加弹汇总表!AR$2)</f>
        <v>0</v>
      </c>
      <c r="AS13" s="8">
        <f>SUMIFS(jt!$M:$M,jt!$B:$B,加弹汇总表!$B13,jt!$D:$D,加弹汇总表!$C13,jt!$F:$F,加弹汇总表!$F13,jt!$O:$O,加弹汇总表!$C$1&amp;"/"&amp;加弹汇总表!$D$1&amp;"/"&amp;加弹汇总表!AS$2)</f>
        <v>0</v>
      </c>
      <c r="AT13" s="8">
        <f>SUMIFS(jt!$M:$M,jt!$B:$B,加弹汇总表!$B13,jt!$D:$D,加弹汇总表!$C13,jt!$F:$F,加弹汇总表!$F13,jt!$O:$O,加弹汇总表!$C$1&amp;"/"&amp;加弹汇总表!$D$1&amp;"/"&amp;加弹汇总表!AT$2)</f>
        <v>0</v>
      </c>
      <c r="AU13" s="8">
        <f>SUMIFS(jt!$M:$M,jt!$B:$B,加弹汇总表!$B13,jt!$D:$D,加弹汇总表!$C13,jt!$F:$F,加弹汇总表!$F13,jt!$O:$O,加弹汇总表!$C$1&amp;"/"&amp;加弹汇总表!$D$1&amp;"/"&amp;加弹汇总表!AU$2)</f>
        <v>0</v>
      </c>
      <c r="AV13" s="8">
        <f>SUMIFS(jt!$M:$M,jt!$B:$B,加弹汇总表!$B13,jt!$D:$D,加弹汇总表!$C13,jt!$F:$F,加弹汇总表!$F13,jt!$O:$O,加弹汇总表!$C$1&amp;"/"&amp;加弹汇总表!$D$1&amp;"/"&amp;加弹汇总表!AV$2)</f>
        <v>0</v>
      </c>
      <c r="AW13" s="8">
        <f>SUMIFS(jt!$M:$M,jt!$B:$B,加弹汇总表!$B13,jt!$D:$D,加弹汇总表!$C13,jt!$F:$F,加弹汇总表!$F13,jt!$O:$O,加弹汇总表!$C$1&amp;"/"&amp;加弹汇总表!$D$1&amp;"/"&amp;加弹汇总表!AW$2)</f>
        <v>0</v>
      </c>
      <c r="AX13" s="8">
        <f>SUMIFS(jt!$M:$M,jt!$B:$B,加弹汇总表!$B13,jt!$D:$D,加弹汇总表!$C13,jt!$F:$F,加弹汇总表!$F13,jt!$O:$O,加弹汇总表!$C$1&amp;"/"&amp;加弹汇总表!$D$1&amp;"/"&amp;加弹汇总表!AX$2)</f>
        <v>0</v>
      </c>
      <c r="AY13" s="8">
        <f>SUMIFS(jt!$M:$M,jt!$B:$B,加弹汇总表!$B13,jt!$D:$D,加弹汇总表!$C13,jt!$F:$F,加弹汇总表!$F13,jt!$O:$O,加弹汇总表!$C$1&amp;"/"&amp;加弹汇总表!$D$1&amp;"/"&amp;加弹汇总表!AY$2)</f>
        <v>0</v>
      </c>
      <c r="AZ13" s="8">
        <f>SUMIFS(jt!$M:$M,jt!$B:$B,加弹汇总表!$B13,jt!$D:$D,加弹汇总表!$C13,jt!$F:$F,加弹汇总表!$F13,jt!$O:$O,加弹汇总表!$C$1&amp;"/"&amp;加弹汇总表!$D$1&amp;"/"&amp;加弹汇总表!AZ$2)</f>
        <v>0</v>
      </c>
      <c r="BA13" s="8">
        <f>SUMIFS(jt!$M:$M,jt!$B:$B,加弹汇总表!$B13,jt!$D:$D,加弹汇总表!$C13,jt!$F:$F,加弹汇总表!$F13,jt!$O:$O,加弹汇总表!$C$1&amp;"/"&amp;加弹汇总表!$D$1&amp;"/"&amp;加弹汇总表!BA$2)</f>
        <v>0</v>
      </c>
      <c r="BB13" s="8">
        <f>SUMIFS(jt!$M:$M,jt!$B:$B,加弹汇总表!$B13,jt!$D:$D,加弹汇总表!$C13,jt!$F:$F,加弹汇总表!$F13,jt!$O:$O,加弹汇总表!$C$1&amp;"/"&amp;加弹汇总表!$D$1&amp;"/"&amp;加弹汇总表!BB$2)</f>
        <v>0</v>
      </c>
      <c r="BC13" s="8">
        <f>SUMIFS(jt!$M:$M,jt!$B:$B,加弹汇总表!$B13,jt!$D:$D,加弹汇总表!$C13,jt!$F:$F,加弹汇总表!$F13,jt!$O:$O,加弹汇总表!$C$1&amp;"/"&amp;加弹汇总表!$D$1&amp;"/"&amp;加弹汇总表!BC$2)</f>
        <v>0</v>
      </c>
      <c r="BD13" s="8">
        <f>SUMIFS(jt!$M:$M,jt!$B:$B,加弹汇总表!$B13,jt!$D:$D,加弹汇总表!$C13,jt!$F:$F,加弹汇总表!$F13,jt!$O:$O,加弹汇总表!$C$1&amp;"/"&amp;加弹汇总表!$D$1&amp;"/"&amp;加弹汇总表!BD$2)</f>
        <v>0</v>
      </c>
      <c r="BE13" s="8">
        <f>SUMIFS(jt!$M:$M,jt!$B:$B,加弹汇总表!$B13,jt!$D:$D,加弹汇总表!$C13,jt!$F:$F,加弹汇总表!$F13,jt!$O:$O,加弹汇总表!$C$1&amp;"/"&amp;加弹汇总表!$D$1&amp;"/"&amp;加弹汇总表!BE$2)</f>
        <v>0</v>
      </c>
      <c r="BF13" s="8">
        <f>SUMIFS(jt!$M:$M,jt!$B:$B,加弹汇总表!$B13,jt!$D:$D,加弹汇总表!$C13,jt!$F:$F,加弹汇总表!$F13,jt!$O:$O,加弹汇总表!$C$1&amp;"/"&amp;加弹汇总表!$D$1&amp;"/"&amp;加弹汇总表!BF$2)</f>
        <v>0</v>
      </c>
      <c r="BG13" s="8">
        <f>SUMIFS(jt!$M:$M,jt!$B:$B,加弹汇总表!$B13,jt!$D:$D,加弹汇总表!$C13,jt!$F:$F,加弹汇总表!$F13,jt!$O:$O,加弹汇总表!$C$1&amp;"/"&amp;加弹汇总表!$D$1&amp;"/"&amp;加弹汇总表!BG$2)</f>
        <v>0</v>
      </c>
      <c r="BH13" s="8">
        <f>SUMIFS(jt!$M:$M,jt!$B:$B,加弹汇总表!$B13,jt!$D:$D,加弹汇总表!$C13,jt!$F:$F,加弹汇总表!$F13,jt!$O:$O,加弹汇总表!$C$1&amp;"/"&amp;加弹汇总表!$D$1&amp;"/"&amp;加弹汇总表!BH$2)</f>
        <v>0</v>
      </c>
      <c r="BI13" s="8">
        <f>SUMIFS(jt!$M:$M,jt!$B:$B,加弹汇总表!$B13,jt!$D:$D,加弹汇总表!$C13,jt!$F:$F,加弹汇总表!$F13,jt!$O:$O,加弹汇总表!$C$1&amp;"/"&amp;加弹汇总表!$D$1&amp;"/"&amp;加弹汇总表!BI$2)</f>
        <v>0</v>
      </c>
      <c r="BJ13" s="8">
        <f>SUMIFS(jt!$M:$M,jt!$B:$B,加弹汇总表!$B13,jt!$D:$D,加弹汇总表!$C13,jt!$F:$F,加弹汇总表!$F13,jt!$O:$O,加弹汇总表!$C$1&amp;"/"&amp;加弹汇总表!$D$1&amp;"/"&amp;加弹汇总表!BJ$2)</f>
        <v>0</v>
      </c>
      <c r="BK13" s="8">
        <f>SUMIFS(jt!$M:$M,jt!$B:$B,加弹汇总表!$B13,jt!$D:$D,加弹汇总表!$C13,jt!$F:$F,加弹汇总表!$F13,jt!$O:$O,加弹汇总表!$C$1&amp;"/"&amp;加弹汇总表!$D$1&amp;"/"&amp;加弹汇总表!BK$2)</f>
        <v>0</v>
      </c>
      <c r="BL13" s="8">
        <f>SUMIFS(jt!$M:$M,jt!$B:$B,加弹汇总表!$B13,jt!$D:$D,加弹汇总表!$C13,jt!$F:$F,加弹汇总表!$F13,jt!$O:$O,加弹汇总表!$C$1&amp;"/"&amp;加弹汇总表!$D$1&amp;"/"&amp;加弹汇总表!BL$2)</f>
        <v>0</v>
      </c>
      <c r="BM13" s="8">
        <f>SUMIFS(jt!$M:$M,jt!$B:$B,加弹汇总表!$B13,jt!$D:$D,加弹汇总表!$C13,jt!$F:$F,加弹汇总表!$F13,jt!$O:$O,加弹汇总表!$C$1&amp;"/"&amp;加弹汇总表!$D$1&amp;"/"&amp;加弹汇总表!BM$2)</f>
        <v>0</v>
      </c>
      <c r="BN13" s="8">
        <f>SUMIFS(jt!$M:$M,jt!$B:$B,加弹汇总表!$B13,jt!$D:$D,加弹汇总表!$C13,jt!$F:$F,加弹汇总表!$F13,jt!$O:$O,加弹汇总表!$C$1&amp;"/"&amp;加弹汇总表!$D$1&amp;"/"&amp;加弹汇总表!BN$2)</f>
        <v>0</v>
      </c>
      <c r="BO13" s="8">
        <f>SUMIFS(jt!$M:$M,jt!$B:$B,加弹汇总表!$B13,jt!$D:$D,加弹汇总表!$C13,jt!$F:$F,加弹汇总表!$F13,jt!$O:$O,加弹汇总表!$C$1&amp;"/"&amp;加弹汇总表!$D$1&amp;"/"&amp;加弹汇总表!BO$2)</f>
        <v>0</v>
      </c>
      <c r="BP13" s="8">
        <f>SUMIFS(jt!$M:$M,jt!$B:$B,加弹汇总表!$B13,jt!$D:$D,加弹汇总表!$C13,jt!$F:$F,加弹汇总表!$F13,jt!$O:$O,加弹汇总表!$C$1&amp;"/"&amp;加弹汇总表!$D$1&amp;"/"&amp;加弹汇总表!BP$2)</f>
        <v>0</v>
      </c>
      <c r="BQ13" s="8">
        <f>SUMIFS(jt!$M:$M,jt!$B:$B,加弹汇总表!$B13,jt!$D:$D,加弹汇总表!$C13,jt!$F:$F,加弹汇总表!$F13,jt!$O:$O,加弹汇总表!$C$1&amp;"/"&amp;加弹汇总表!$D$1&amp;"/"&amp;加弹汇总表!BQ$2)</f>
        <v>0</v>
      </c>
      <c r="BR13" s="8">
        <f>SUMIFS(jt!$M:$M,jt!$B:$B,加弹汇总表!$B13,jt!$D:$D,加弹汇总表!$C13,jt!$F:$F,加弹汇总表!$F13,jt!$O:$O,加弹汇总表!$C$1&amp;"/"&amp;加弹汇总表!$D$1&amp;"/"&amp;加弹汇总表!BR$2)</f>
        <v>0</v>
      </c>
      <c r="BS13" s="8">
        <f>SUMIFS(jt!$M:$M,jt!$B:$B,加弹汇总表!$B13,jt!$D:$D,加弹汇总表!$C13,jt!$F:$F,加弹汇总表!$F13,jt!$O:$O,加弹汇总表!$C$1&amp;"/"&amp;加弹汇总表!$D$1&amp;"/"&amp;加弹汇总表!BS$2)</f>
        <v>0</v>
      </c>
    </row>
    <row r="14" spans="1:71" ht="18" customHeight="1">
      <c r="A14" s="250" t="str">
        <f t="shared" si="4"/>
        <v>IP05010160°打样125/36白</v>
      </c>
      <c r="B14" s="14" t="s">
        <v>607</v>
      </c>
      <c r="C14" s="98" t="s">
        <v>858</v>
      </c>
      <c r="D14" s="53" t="s">
        <v>606</v>
      </c>
      <c r="E14" s="78"/>
      <c r="F14" s="53" t="s">
        <v>2</v>
      </c>
      <c r="G14" s="53" t="s">
        <v>443</v>
      </c>
      <c r="H14" s="53"/>
      <c r="I14" s="246">
        <f ca="1">IF(SUMIFS(jt!M:M,jt!A:A,加弹汇总表!A14,jt!O:O,加弹汇总表!$E$1)=0,0,SUM(AO14:BS14)/COUNTIF(AO14:BS14,"&lt;&gt;0"))</f>
        <v>0</v>
      </c>
      <c r="J14" s="53">
        <f t="shared" si="5"/>
        <v>0</v>
      </c>
      <c r="K14" s="53">
        <f t="shared" si="6"/>
        <v>0</v>
      </c>
      <c r="L14" s="53">
        <f t="shared" si="7"/>
        <v>0</v>
      </c>
      <c r="M14" s="53">
        <f t="shared" si="0"/>
        <v>0</v>
      </c>
      <c r="N14" s="53"/>
      <c r="O14" s="53">
        <f t="shared" si="1"/>
        <v>0</v>
      </c>
      <c r="P14" s="53">
        <f t="shared" si="2"/>
        <v>0</v>
      </c>
      <c r="Q14" s="53">
        <f t="shared" si="3"/>
        <v>0</v>
      </c>
      <c r="R14" s="60">
        <f>SUMIFS(jt!$K:$K,jt!$A:$A,加弹汇总表!$A14,jt!$R:$R,加弹汇总表!R$2)</f>
        <v>0</v>
      </c>
      <c r="S14" s="60">
        <f>SUMIFS(jt!$K:$K,jt!$A:$A,加弹汇总表!$A14,jt!$R:$R,加弹汇总表!S$2)</f>
        <v>0</v>
      </c>
      <c r="T14" s="60">
        <f>SUMIFS(jt!$K:$K,jt!$A:$A,加弹汇总表!$A14,jt!$R:$R,加弹汇总表!T$2)</f>
        <v>0</v>
      </c>
      <c r="U14" s="60">
        <f>SUMIFS(jt!$J:$J,jt!$A:$A,加弹汇总表!$A14,jt!$R:$R,加弹汇总表!U$2)</f>
        <v>0</v>
      </c>
      <c r="V14" s="60">
        <f>SUMIFS(jt!$J:$J,jt!$A:$A,加弹汇总表!$A14,jt!$R:$R,加弹汇总表!V$2)</f>
        <v>0</v>
      </c>
      <c r="W14" s="60">
        <f>SUMIFS(jt!$J:$J,jt!$A:$A,加弹汇总表!$A14,jt!$R:$R,加弹汇总表!W$2)</f>
        <v>0</v>
      </c>
      <c r="X14" s="61">
        <f>SUMIFS(jt!$L:$L,jt!$A:$A,加弹汇总表!$A14,jt!$R:$R,加弹汇总表!X$2)</f>
        <v>0</v>
      </c>
      <c r="Y14" s="61">
        <f>SUMIFS(jt!$L:$L,jt!$A:$A,加弹汇总表!$A14,jt!$R:$R,加弹汇总表!Y$2)</f>
        <v>0</v>
      </c>
      <c r="Z14" s="61">
        <f>SUMIFS(jt!$L:$L,jt!$A:$A,加弹汇总表!$A14,jt!$R:$R,加弹汇总表!Z$2)</f>
        <v>0</v>
      </c>
      <c r="AA14" s="62">
        <f>SUMIFS(jt!$M:$M,jt!$A:$A,加弹汇总表!$A14,jt!$R:$R,加弹汇总表!AA$2)</f>
        <v>0</v>
      </c>
      <c r="AB14" s="62">
        <f>SUMIFS(jt!$M:$M,jt!$A:$A,加弹汇总表!$A14,jt!$R:$R,加弹汇总表!AB$2)</f>
        <v>0</v>
      </c>
      <c r="AC14" s="62">
        <f>SUMIFS(jt!$M:$M,jt!$A:$A,加弹汇总表!$A14,jt!$R:$R,加弹汇总表!AC$2)</f>
        <v>0</v>
      </c>
      <c r="AD14" s="63">
        <f>SUMIFS(jt!$N:$N,jt!$A:$A,加弹汇总表!$A14,jt!$R:$R,加弹汇总表!AD$2)</f>
        <v>0</v>
      </c>
      <c r="AE14" s="63">
        <f>SUMIFS(jt!$N:$N,jt!$A:$A,加弹汇总表!$A14,jt!$R:$R,加弹汇总表!AE$2)</f>
        <v>0</v>
      </c>
      <c r="AF14" s="63">
        <f>SUMIFS(jt!$N:$N,jt!$A:$A,加弹汇总表!$A14,jt!$R:$R,加弹汇总表!AF$2)</f>
        <v>0</v>
      </c>
      <c r="AG14" s="64">
        <f>SUMIFS(jt!$M:$M,jt!$A:$A,加弹汇总表!$A14,jt!$C:$C,加弹汇总表!AG$2)</f>
        <v>0</v>
      </c>
      <c r="AH14" s="64">
        <f>SUMIFS(jt!$M:$M,jt!$A:$A,加弹汇总表!$A14,jt!$C:$C,加弹汇总表!AH$2)</f>
        <v>0</v>
      </c>
      <c r="AI14" s="64">
        <f>SUMIFS(jt!$M:$M,jt!$A:$A,加弹汇总表!$A14,jt!$C:$C,加弹汇总表!AI$2)</f>
        <v>0</v>
      </c>
      <c r="AJ14" s="64">
        <f>SUMIFS(jt!$M:$M,jt!$A:$A,加弹汇总表!$A14,jt!$C:$C,加弹汇总表!AJ$2)</f>
        <v>0</v>
      </c>
      <c r="AK14" s="64">
        <f>SUMIFS(jt!$M:$M,jt!$A:$A,加弹汇总表!$A14,jt!$C:$C,加弹汇总表!AK$2)</f>
        <v>0</v>
      </c>
      <c r="AL14" s="64">
        <f>SUMIFS(jt!$M:$M,jt!$A:$A,加弹汇总表!$A14,jt!$C:$C,加弹汇总表!AL$2)</f>
        <v>0</v>
      </c>
      <c r="AM14" s="64">
        <f>SUMIFS(jt!$M:$M,jt!$A:$A,加弹汇总表!$A14,jt!$C:$C,加弹汇总表!AM$2)</f>
        <v>0</v>
      </c>
      <c r="AN14" s="80">
        <f>SUMIFS(jt!$M:$M,jt!$A:$A,加弹汇总表!$A14,jt!$C:$C,加弹汇总表!AN$2)</f>
        <v>0</v>
      </c>
      <c r="AO14" s="8">
        <f>SUMIFS(jt!$M:$M,jt!$B:$B,加弹汇总表!$B14,jt!$D:$D,加弹汇总表!$C14,jt!$F:$F,加弹汇总表!$F14,jt!$O:$O,加弹汇总表!$C$1&amp;"/"&amp;加弹汇总表!$D$1&amp;"/"&amp;加弹汇总表!AO$2)</f>
        <v>0</v>
      </c>
      <c r="AP14" s="8">
        <f>SUMIFS(jt!$M:$M,jt!$B:$B,加弹汇总表!$B14,jt!$D:$D,加弹汇总表!$C14,jt!$F:$F,加弹汇总表!$F14,jt!$O:$O,加弹汇总表!$C$1&amp;"/"&amp;加弹汇总表!$D$1&amp;"/"&amp;加弹汇总表!AP$2)</f>
        <v>0</v>
      </c>
      <c r="AQ14" s="8">
        <f>SUMIFS(jt!$M:$M,jt!$B:$B,加弹汇总表!$B14,jt!$D:$D,加弹汇总表!$C14,jt!$F:$F,加弹汇总表!$F14,jt!$O:$O,加弹汇总表!$C$1&amp;"/"&amp;加弹汇总表!$D$1&amp;"/"&amp;加弹汇总表!AQ$2)</f>
        <v>0</v>
      </c>
      <c r="AR14" s="8">
        <f>SUMIFS(jt!$M:$M,jt!$B:$B,加弹汇总表!$B14,jt!$D:$D,加弹汇总表!$C14,jt!$F:$F,加弹汇总表!$F14,jt!$O:$O,加弹汇总表!$C$1&amp;"/"&amp;加弹汇总表!$D$1&amp;"/"&amp;加弹汇总表!AR$2)</f>
        <v>0</v>
      </c>
      <c r="AS14" s="8">
        <f>SUMIFS(jt!$M:$M,jt!$B:$B,加弹汇总表!$B14,jt!$D:$D,加弹汇总表!$C14,jt!$F:$F,加弹汇总表!$F14,jt!$O:$O,加弹汇总表!$C$1&amp;"/"&amp;加弹汇总表!$D$1&amp;"/"&amp;加弹汇总表!AS$2)</f>
        <v>0</v>
      </c>
      <c r="AT14" s="8">
        <f>SUMIFS(jt!$M:$M,jt!$B:$B,加弹汇总表!$B14,jt!$D:$D,加弹汇总表!$C14,jt!$F:$F,加弹汇总表!$F14,jt!$O:$O,加弹汇总表!$C$1&amp;"/"&amp;加弹汇总表!$D$1&amp;"/"&amp;加弹汇总表!AT$2)</f>
        <v>0</v>
      </c>
      <c r="AU14" s="8">
        <f>SUMIFS(jt!$M:$M,jt!$B:$B,加弹汇总表!$B14,jt!$D:$D,加弹汇总表!$C14,jt!$F:$F,加弹汇总表!$F14,jt!$O:$O,加弹汇总表!$C$1&amp;"/"&amp;加弹汇总表!$D$1&amp;"/"&amp;加弹汇总表!AU$2)</f>
        <v>0</v>
      </c>
      <c r="AV14" s="8">
        <f>SUMIFS(jt!$M:$M,jt!$B:$B,加弹汇总表!$B14,jt!$D:$D,加弹汇总表!$C14,jt!$F:$F,加弹汇总表!$F14,jt!$O:$O,加弹汇总表!$C$1&amp;"/"&amp;加弹汇总表!$D$1&amp;"/"&amp;加弹汇总表!AV$2)</f>
        <v>0</v>
      </c>
      <c r="AW14" s="8">
        <f>SUMIFS(jt!$M:$M,jt!$B:$B,加弹汇总表!$B14,jt!$D:$D,加弹汇总表!$C14,jt!$F:$F,加弹汇总表!$F14,jt!$O:$O,加弹汇总表!$C$1&amp;"/"&amp;加弹汇总表!$D$1&amp;"/"&amp;加弹汇总表!AW$2)</f>
        <v>0</v>
      </c>
      <c r="AX14" s="8">
        <f>SUMIFS(jt!$M:$M,jt!$B:$B,加弹汇总表!$B14,jt!$D:$D,加弹汇总表!$C14,jt!$F:$F,加弹汇总表!$F14,jt!$O:$O,加弹汇总表!$C$1&amp;"/"&amp;加弹汇总表!$D$1&amp;"/"&amp;加弹汇总表!AX$2)</f>
        <v>0</v>
      </c>
      <c r="AY14" s="8">
        <f>SUMIFS(jt!$M:$M,jt!$B:$B,加弹汇总表!$B14,jt!$D:$D,加弹汇总表!$C14,jt!$F:$F,加弹汇总表!$F14,jt!$O:$O,加弹汇总表!$C$1&amp;"/"&amp;加弹汇总表!$D$1&amp;"/"&amp;加弹汇总表!AY$2)</f>
        <v>0</v>
      </c>
      <c r="AZ14" s="8">
        <f>SUMIFS(jt!$M:$M,jt!$B:$B,加弹汇总表!$B14,jt!$D:$D,加弹汇总表!$C14,jt!$F:$F,加弹汇总表!$F14,jt!$O:$O,加弹汇总表!$C$1&amp;"/"&amp;加弹汇总表!$D$1&amp;"/"&amp;加弹汇总表!AZ$2)</f>
        <v>0</v>
      </c>
      <c r="BA14" s="8">
        <f>SUMIFS(jt!$M:$M,jt!$B:$B,加弹汇总表!$B14,jt!$D:$D,加弹汇总表!$C14,jt!$F:$F,加弹汇总表!$F14,jt!$O:$O,加弹汇总表!$C$1&amp;"/"&amp;加弹汇总表!$D$1&amp;"/"&amp;加弹汇总表!BA$2)</f>
        <v>0</v>
      </c>
      <c r="BB14" s="8">
        <f>SUMIFS(jt!$M:$M,jt!$B:$B,加弹汇总表!$B14,jt!$D:$D,加弹汇总表!$C14,jt!$F:$F,加弹汇总表!$F14,jt!$O:$O,加弹汇总表!$C$1&amp;"/"&amp;加弹汇总表!$D$1&amp;"/"&amp;加弹汇总表!BB$2)</f>
        <v>0</v>
      </c>
      <c r="BC14" s="8">
        <f>SUMIFS(jt!$M:$M,jt!$B:$B,加弹汇总表!$B14,jt!$D:$D,加弹汇总表!$C14,jt!$F:$F,加弹汇总表!$F14,jt!$O:$O,加弹汇总表!$C$1&amp;"/"&amp;加弹汇总表!$D$1&amp;"/"&amp;加弹汇总表!BC$2)</f>
        <v>0</v>
      </c>
      <c r="BD14" s="8">
        <f>SUMIFS(jt!$M:$M,jt!$B:$B,加弹汇总表!$B14,jt!$D:$D,加弹汇总表!$C14,jt!$F:$F,加弹汇总表!$F14,jt!$O:$O,加弹汇总表!$C$1&amp;"/"&amp;加弹汇总表!$D$1&amp;"/"&amp;加弹汇总表!BD$2)</f>
        <v>0</v>
      </c>
      <c r="BE14" s="8">
        <f>SUMIFS(jt!$M:$M,jt!$B:$B,加弹汇总表!$B14,jt!$D:$D,加弹汇总表!$C14,jt!$F:$F,加弹汇总表!$F14,jt!$O:$O,加弹汇总表!$C$1&amp;"/"&amp;加弹汇总表!$D$1&amp;"/"&amp;加弹汇总表!BE$2)</f>
        <v>0</v>
      </c>
      <c r="BF14" s="8">
        <f>SUMIFS(jt!$M:$M,jt!$B:$B,加弹汇总表!$B14,jt!$D:$D,加弹汇总表!$C14,jt!$F:$F,加弹汇总表!$F14,jt!$O:$O,加弹汇总表!$C$1&amp;"/"&amp;加弹汇总表!$D$1&amp;"/"&amp;加弹汇总表!BF$2)</f>
        <v>0</v>
      </c>
      <c r="BG14" s="8">
        <f>SUMIFS(jt!$M:$M,jt!$B:$B,加弹汇总表!$B14,jt!$D:$D,加弹汇总表!$C14,jt!$F:$F,加弹汇总表!$F14,jt!$O:$O,加弹汇总表!$C$1&amp;"/"&amp;加弹汇总表!$D$1&amp;"/"&amp;加弹汇总表!BG$2)</f>
        <v>0</v>
      </c>
      <c r="BH14" s="8">
        <f>SUMIFS(jt!$M:$M,jt!$B:$B,加弹汇总表!$B14,jt!$D:$D,加弹汇总表!$C14,jt!$F:$F,加弹汇总表!$F14,jt!$O:$O,加弹汇总表!$C$1&amp;"/"&amp;加弹汇总表!$D$1&amp;"/"&amp;加弹汇总表!BH$2)</f>
        <v>0</v>
      </c>
      <c r="BI14" s="8">
        <f>SUMIFS(jt!$M:$M,jt!$B:$B,加弹汇总表!$B14,jt!$D:$D,加弹汇总表!$C14,jt!$F:$F,加弹汇总表!$F14,jt!$O:$O,加弹汇总表!$C$1&amp;"/"&amp;加弹汇总表!$D$1&amp;"/"&amp;加弹汇总表!BI$2)</f>
        <v>0</v>
      </c>
      <c r="BJ14" s="8">
        <f>SUMIFS(jt!$M:$M,jt!$B:$B,加弹汇总表!$B14,jt!$D:$D,加弹汇总表!$C14,jt!$F:$F,加弹汇总表!$F14,jt!$O:$O,加弹汇总表!$C$1&amp;"/"&amp;加弹汇总表!$D$1&amp;"/"&amp;加弹汇总表!BJ$2)</f>
        <v>0</v>
      </c>
      <c r="BK14" s="8">
        <f>SUMIFS(jt!$M:$M,jt!$B:$B,加弹汇总表!$B14,jt!$D:$D,加弹汇总表!$C14,jt!$F:$F,加弹汇总表!$F14,jt!$O:$O,加弹汇总表!$C$1&amp;"/"&amp;加弹汇总表!$D$1&amp;"/"&amp;加弹汇总表!BK$2)</f>
        <v>0</v>
      </c>
      <c r="BL14" s="8">
        <f>SUMIFS(jt!$M:$M,jt!$B:$B,加弹汇总表!$B14,jt!$D:$D,加弹汇总表!$C14,jt!$F:$F,加弹汇总表!$F14,jt!$O:$O,加弹汇总表!$C$1&amp;"/"&amp;加弹汇总表!$D$1&amp;"/"&amp;加弹汇总表!BL$2)</f>
        <v>0</v>
      </c>
      <c r="BM14" s="8">
        <f>SUMIFS(jt!$M:$M,jt!$B:$B,加弹汇总表!$B14,jt!$D:$D,加弹汇总表!$C14,jt!$F:$F,加弹汇总表!$F14,jt!$O:$O,加弹汇总表!$C$1&amp;"/"&amp;加弹汇总表!$D$1&amp;"/"&amp;加弹汇总表!BM$2)</f>
        <v>0</v>
      </c>
      <c r="BN14" s="8">
        <f>SUMIFS(jt!$M:$M,jt!$B:$B,加弹汇总表!$B14,jt!$D:$D,加弹汇总表!$C14,jt!$F:$F,加弹汇总表!$F14,jt!$O:$O,加弹汇总表!$C$1&amp;"/"&amp;加弹汇总表!$D$1&amp;"/"&amp;加弹汇总表!BN$2)</f>
        <v>0</v>
      </c>
      <c r="BO14" s="8">
        <f>SUMIFS(jt!$M:$M,jt!$B:$B,加弹汇总表!$B14,jt!$D:$D,加弹汇总表!$C14,jt!$F:$F,加弹汇总表!$F14,jt!$O:$O,加弹汇总表!$C$1&amp;"/"&amp;加弹汇总表!$D$1&amp;"/"&amp;加弹汇总表!BO$2)</f>
        <v>0</v>
      </c>
      <c r="BP14" s="8">
        <f>SUMIFS(jt!$M:$M,jt!$B:$B,加弹汇总表!$B14,jt!$D:$D,加弹汇总表!$C14,jt!$F:$F,加弹汇总表!$F14,jt!$O:$O,加弹汇总表!$C$1&amp;"/"&amp;加弹汇总表!$D$1&amp;"/"&amp;加弹汇总表!BP$2)</f>
        <v>0</v>
      </c>
      <c r="BQ14" s="8">
        <f>SUMIFS(jt!$M:$M,jt!$B:$B,加弹汇总表!$B14,jt!$D:$D,加弹汇总表!$C14,jt!$F:$F,加弹汇总表!$F14,jt!$O:$O,加弹汇总表!$C$1&amp;"/"&amp;加弹汇总表!$D$1&amp;"/"&amp;加弹汇总表!BQ$2)</f>
        <v>0</v>
      </c>
      <c r="BR14" s="8">
        <f>SUMIFS(jt!$M:$M,jt!$B:$B,加弹汇总表!$B14,jt!$D:$D,加弹汇总表!$C14,jt!$F:$F,加弹汇总表!$F14,jt!$O:$O,加弹汇总表!$C$1&amp;"/"&amp;加弹汇总表!$D$1&amp;"/"&amp;加弹汇总表!BR$2)</f>
        <v>0</v>
      </c>
      <c r="BS14" s="8">
        <f>SUMIFS(jt!$M:$M,jt!$B:$B,加弹汇总表!$B14,jt!$D:$D,加弹汇总表!$C14,jt!$F:$F,加弹汇总表!$F14,jt!$O:$O,加弹汇总表!$C$1&amp;"/"&amp;加弹汇总表!$D$1&amp;"/"&amp;加弹汇总表!BS$2)</f>
        <v>0</v>
      </c>
    </row>
    <row r="15" spans="1:71" ht="18" customHeight="1">
      <c r="A15" s="250" t="str">
        <f t="shared" si="4"/>
        <v>IP05010170°打样125/36白</v>
      </c>
      <c r="B15" s="14" t="s">
        <v>607</v>
      </c>
      <c r="C15" s="98" t="s">
        <v>859</v>
      </c>
      <c r="D15" s="53" t="s">
        <v>606</v>
      </c>
      <c r="E15" s="78"/>
      <c r="F15" s="53" t="s">
        <v>2</v>
      </c>
      <c r="G15" s="53" t="s">
        <v>443</v>
      </c>
      <c r="H15" s="53"/>
      <c r="I15" s="246">
        <f ca="1">IF(SUMIFS(jt!M:M,jt!A:A,加弹汇总表!A15,jt!O:O,加弹汇总表!$E$1)=0,0,SUM(AO15:BS15)/COUNTIF(AO15:BS15,"&lt;&gt;0"))</f>
        <v>0</v>
      </c>
      <c r="J15" s="53">
        <f t="shared" si="5"/>
        <v>0</v>
      </c>
      <c r="K15" s="53">
        <f t="shared" si="6"/>
        <v>0</v>
      </c>
      <c r="L15" s="53">
        <f t="shared" si="7"/>
        <v>0</v>
      </c>
      <c r="M15" s="53">
        <f t="shared" si="0"/>
        <v>0</v>
      </c>
      <c r="N15" s="53"/>
      <c r="O15" s="53">
        <f t="shared" si="1"/>
        <v>0</v>
      </c>
      <c r="P15" s="53">
        <f t="shared" si="2"/>
        <v>0</v>
      </c>
      <c r="Q15" s="53">
        <f t="shared" si="3"/>
        <v>0</v>
      </c>
      <c r="R15" s="60">
        <f>SUMIFS(jt!$K:$K,jt!$A:$A,加弹汇总表!$A15,jt!$R:$R,加弹汇总表!R$2)</f>
        <v>0</v>
      </c>
      <c r="S15" s="60">
        <f>SUMIFS(jt!$K:$K,jt!$A:$A,加弹汇总表!$A15,jt!$R:$R,加弹汇总表!S$2)</f>
        <v>0</v>
      </c>
      <c r="T15" s="60">
        <f>SUMIFS(jt!$K:$K,jt!$A:$A,加弹汇总表!$A15,jt!$R:$R,加弹汇总表!T$2)</f>
        <v>0</v>
      </c>
      <c r="U15" s="60">
        <f>SUMIFS(jt!$J:$J,jt!$A:$A,加弹汇总表!$A15,jt!$R:$R,加弹汇总表!U$2)</f>
        <v>0</v>
      </c>
      <c r="V15" s="60">
        <f>SUMIFS(jt!$J:$J,jt!$A:$A,加弹汇总表!$A15,jt!$R:$R,加弹汇总表!V$2)</f>
        <v>0</v>
      </c>
      <c r="W15" s="60">
        <f>SUMIFS(jt!$J:$J,jt!$A:$A,加弹汇总表!$A15,jt!$R:$R,加弹汇总表!W$2)</f>
        <v>0</v>
      </c>
      <c r="X15" s="61">
        <f>SUMIFS(jt!$L:$L,jt!$A:$A,加弹汇总表!$A15,jt!$R:$R,加弹汇总表!X$2)</f>
        <v>0</v>
      </c>
      <c r="Y15" s="61">
        <f>SUMIFS(jt!$L:$L,jt!$A:$A,加弹汇总表!$A15,jt!$R:$R,加弹汇总表!Y$2)</f>
        <v>0</v>
      </c>
      <c r="Z15" s="61">
        <f>SUMIFS(jt!$L:$L,jt!$A:$A,加弹汇总表!$A15,jt!$R:$R,加弹汇总表!Z$2)</f>
        <v>0</v>
      </c>
      <c r="AA15" s="62">
        <f>SUMIFS(jt!$M:$M,jt!$A:$A,加弹汇总表!$A15,jt!$R:$R,加弹汇总表!AA$2)</f>
        <v>0</v>
      </c>
      <c r="AB15" s="62">
        <f>SUMIFS(jt!$M:$M,jt!$A:$A,加弹汇总表!$A15,jt!$R:$R,加弹汇总表!AB$2)</f>
        <v>0</v>
      </c>
      <c r="AC15" s="62">
        <f>SUMIFS(jt!$M:$M,jt!$A:$A,加弹汇总表!$A15,jt!$R:$R,加弹汇总表!AC$2)</f>
        <v>0</v>
      </c>
      <c r="AD15" s="63">
        <f>SUMIFS(jt!$N:$N,jt!$A:$A,加弹汇总表!$A15,jt!$R:$R,加弹汇总表!AD$2)</f>
        <v>0</v>
      </c>
      <c r="AE15" s="63">
        <f>SUMIFS(jt!$N:$N,jt!$A:$A,加弹汇总表!$A15,jt!$R:$R,加弹汇总表!AE$2)</f>
        <v>0</v>
      </c>
      <c r="AF15" s="63">
        <f>SUMIFS(jt!$N:$N,jt!$A:$A,加弹汇总表!$A15,jt!$R:$R,加弹汇总表!AF$2)</f>
        <v>0</v>
      </c>
      <c r="AG15" s="64">
        <f>SUMIFS(jt!$M:$M,jt!$A:$A,加弹汇总表!$A15,jt!$C:$C,加弹汇总表!AG$2)</f>
        <v>0</v>
      </c>
      <c r="AH15" s="64">
        <f>SUMIFS(jt!$M:$M,jt!$A:$A,加弹汇总表!$A15,jt!$C:$C,加弹汇总表!AH$2)</f>
        <v>0</v>
      </c>
      <c r="AI15" s="64">
        <f>SUMIFS(jt!$M:$M,jt!$A:$A,加弹汇总表!$A15,jt!$C:$C,加弹汇总表!AI$2)</f>
        <v>0</v>
      </c>
      <c r="AJ15" s="64">
        <f>SUMIFS(jt!$M:$M,jt!$A:$A,加弹汇总表!$A15,jt!$C:$C,加弹汇总表!AJ$2)</f>
        <v>0</v>
      </c>
      <c r="AK15" s="64">
        <f>SUMIFS(jt!$M:$M,jt!$A:$A,加弹汇总表!$A15,jt!$C:$C,加弹汇总表!AK$2)</f>
        <v>0</v>
      </c>
      <c r="AL15" s="64">
        <f>SUMIFS(jt!$M:$M,jt!$A:$A,加弹汇总表!$A15,jt!$C:$C,加弹汇总表!AL$2)</f>
        <v>0</v>
      </c>
      <c r="AM15" s="64">
        <f>SUMIFS(jt!$M:$M,jt!$A:$A,加弹汇总表!$A15,jt!$C:$C,加弹汇总表!AM$2)</f>
        <v>0</v>
      </c>
      <c r="AN15" s="80">
        <f>SUMIFS(jt!$M:$M,jt!$A:$A,加弹汇总表!$A15,jt!$C:$C,加弹汇总表!AN$2)</f>
        <v>0</v>
      </c>
      <c r="AO15" s="8">
        <f>SUMIFS(jt!$M:$M,jt!$B:$B,加弹汇总表!$B15,jt!$D:$D,加弹汇总表!$C15,jt!$F:$F,加弹汇总表!$F15,jt!$O:$O,加弹汇总表!$C$1&amp;"/"&amp;加弹汇总表!$D$1&amp;"/"&amp;加弹汇总表!AO$2)</f>
        <v>0</v>
      </c>
      <c r="AP15" s="8">
        <f>SUMIFS(jt!$M:$M,jt!$B:$B,加弹汇总表!$B15,jt!$D:$D,加弹汇总表!$C15,jt!$F:$F,加弹汇总表!$F15,jt!$O:$O,加弹汇总表!$C$1&amp;"/"&amp;加弹汇总表!$D$1&amp;"/"&amp;加弹汇总表!AP$2)</f>
        <v>0</v>
      </c>
      <c r="AQ15" s="8">
        <f>SUMIFS(jt!$M:$M,jt!$B:$B,加弹汇总表!$B15,jt!$D:$D,加弹汇总表!$C15,jt!$F:$F,加弹汇总表!$F15,jt!$O:$O,加弹汇总表!$C$1&amp;"/"&amp;加弹汇总表!$D$1&amp;"/"&amp;加弹汇总表!AQ$2)</f>
        <v>0</v>
      </c>
      <c r="AR15" s="8">
        <f>SUMIFS(jt!$M:$M,jt!$B:$B,加弹汇总表!$B15,jt!$D:$D,加弹汇总表!$C15,jt!$F:$F,加弹汇总表!$F15,jt!$O:$O,加弹汇总表!$C$1&amp;"/"&amp;加弹汇总表!$D$1&amp;"/"&amp;加弹汇总表!AR$2)</f>
        <v>0</v>
      </c>
      <c r="AS15" s="8">
        <f>SUMIFS(jt!$M:$M,jt!$B:$B,加弹汇总表!$B15,jt!$D:$D,加弹汇总表!$C15,jt!$F:$F,加弹汇总表!$F15,jt!$O:$O,加弹汇总表!$C$1&amp;"/"&amp;加弹汇总表!$D$1&amp;"/"&amp;加弹汇总表!AS$2)</f>
        <v>0</v>
      </c>
      <c r="AT15" s="8">
        <f>SUMIFS(jt!$M:$M,jt!$B:$B,加弹汇总表!$B15,jt!$D:$D,加弹汇总表!$C15,jt!$F:$F,加弹汇总表!$F15,jt!$O:$O,加弹汇总表!$C$1&amp;"/"&amp;加弹汇总表!$D$1&amp;"/"&amp;加弹汇总表!AT$2)</f>
        <v>0</v>
      </c>
      <c r="AU15" s="8">
        <f>SUMIFS(jt!$M:$M,jt!$B:$B,加弹汇总表!$B15,jt!$D:$D,加弹汇总表!$C15,jt!$F:$F,加弹汇总表!$F15,jt!$O:$O,加弹汇总表!$C$1&amp;"/"&amp;加弹汇总表!$D$1&amp;"/"&amp;加弹汇总表!AU$2)</f>
        <v>0</v>
      </c>
      <c r="AV15" s="8">
        <f>SUMIFS(jt!$M:$M,jt!$B:$B,加弹汇总表!$B15,jt!$D:$D,加弹汇总表!$C15,jt!$F:$F,加弹汇总表!$F15,jt!$O:$O,加弹汇总表!$C$1&amp;"/"&amp;加弹汇总表!$D$1&amp;"/"&amp;加弹汇总表!AV$2)</f>
        <v>0</v>
      </c>
      <c r="AW15" s="8">
        <f>SUMIFS(jt!$M:$M,jt!$B:$B,加弹汇总表!$B15,jt!$D:$D,加弹汇总表!$C15,jt!$F:$F,加弹汇总表!$F15,jt!$O:$O,加弹汇总表!$C$1&amp;"/"&amp;加弹汇总表!$D$1&amp;"/"&amp;加弹汇总表!AW$2)</f>
        <v>0</v>
      </c>
      <c r="AX15" s="8">
        <f>SUMIFS(jt!$M:$M,jt!$B:$B,加弹汇总表!$B15,jt!$D:$D,加弹汇总表!$C15,jt!$F:$F,加弹汇总表!$F15,jt!$O:$O,加弹汇总表!$C$1&amp;"/"&amp;加弹汇总表!$D$1&amp;"/"&amp;加弹汇总表!AX$2)</f>
        <v>0</v>
      </c>
      <c r="AY15" s="8">
        <f>SUMIFS(jt!$M:$M,jt!$B:$B,加弹汇总表!$B15,jt!$D:$D,加弹汇总表!$C15,jt!$F:$F,加弹汇总表!$F15,jt!$O:$O,加弹汇总表!$C$1&amp;"/"&amp;加弹汇总表!$D$1&amp;"/"&amp;加弹汇总表!AY$2)</f>
        <v>0</v>
      </c>
      <c r="AZ15" s="8">
        <f>SUMIFS(jt!$M:$M,jt!$B:$B,加弹汇总表!$B15,jt!$D:$D,加弹汇总表!$C15,jt!$F:$F,加弹汇总表!$F15,jt!$O:$O,加弹汇总表!$C$1&amp;"/"&amp;加弹汇总表!$D$1&amp;"/"&amp;加弹汇总表!AZ$2)</f>
        <v>0</v>
      </c>
      <c r="BA15" s="8">
        <f>SUMIFS(jt!$M:$M,jt!$B:$B,加弹汇总表!$B15,jt!$D:$D,加弹汇总表!$C15,jt!$F:$F,加弹汇总表!$F15,jt!$O:$O,加弹汇总表!$C$1&amp;"/"&amp;加弹汇总表!$D$1&amp;"/"&amp;加弹汇总表!BA$2)</f>
        <v>0</v>
      </c>
      <c r="BB15" s="8">
        <f>SUMIFS(jt!$M:$M,jt!$B:$B,加弹汇总表!$B15,jt!$D:$D,加弹汇总表!$C15,jt!$F:$F,加弹汇总表!$F15,jt!$O:$O,加弹汇总表!$C$1&amp;"/"&amp;加弹汇总表!$D$1&amp;"/"&amp;加弹汇总表!BB$2)</f>
        <v>0</v>
      </c>
      <c r="BC15" s="8">
        <f>SUMIFS(jt!$M:$M,jt!$B:$B,加弹汇总表!$B15,jt!$D:$D,加弹汇总表!$C15,jt!$F:$F,加弹汇总表!$F15,jt!$O:$O,加弹汇总表!$C$1&amp;"/"&amp;加弹汇总表!$D$1&amp;"/"&amp;加弹汇总表!BC$2)</f>
        <v>0</v>
      </c>
      <c r="BD15" s="8">
        <f>SUMIFS(jt!$M:$M,jt!$B:$B,加弹汇总表!$B15,jt!$D:$D,加弹汇总表!$C15,jt!$F:$F,加弹汇总表!$F15,jt!$O:$O,加弹汇总表!$C$1&amp;"/"&amp;加弹汇总表!$D$1&amp;"/"&amp;加弹汇总表!BD$2)</f>
        <v>0</v>
      </c>
      <c r="BE15" s="8">
        <f>SUMIFS(jt!$M:$M,jt!$B:$B,加弹汇总表!$B15,jt!$D:$D,加弹汇总表!$C15,jt!$F:$F,加弹汇总表!$F15,jt!$O:$O,加弹汇总表!$C$1&amp;"/"&amp;加弹汇总表!$D$1&amp;"/"&amp;加弹汇总表!BE$2)</f>
        <v>0</v>
      </c>
      <c r="BF15" s="8">
        <f>SUMIFS(jt!$M:$M,jt!$B:$B,加弹汇总表!$B15,jt!$D:$D,加弹汇总表!$C15,jt!$F:$F,加弹汇总表!$F15,jt!$O:$O,加弹汇总表!$C$1&amp;"/"&amp;加弹汇总表!$D$1&amp;"/"&amp;加弹汇总表!BF$2)</f>
        <v>0</v>
      </c>
      <c r="BG15" s="8">
        <f>SUMIFS(jt!$M:$M,jt!$B:$B,加弹汇总表!$B15,jt!$D:$D,加弹汇总表!$C15,jt!$F:$F,加弹汇总表!$F15,jt!$O:$O,加弹汇总表!$C$1&amp;"/"&amp;加弹汇总表!$D$1&amp;"/"&amp;加弹汇总表!BG$2)</f>
        <v>0</v>
      </c>
      <c r="BH15" s="8">
        <f>SUMIFS(jt!$M:$M,jt!$B:$B,加弹汇总表!$B15,jt!$D:$D,加弹汇总表!$C15,jt!$F:$F,加弹汇总表!$F15,jt!$O:$O,加弹汇总表!$C$1&amp;"/"&amp;加弹汇总表!$D$1&amp;"/"&amp;加弹汇总表!BH$2)</f>
        <v>0</v>
      </c>
      <c r="BI15" s="8">
        <f>SUMIFS(jt!$M:$M,jt!$B:$B,加弹汇总表!$B15,jt!$D:$D,加弹汇总表!$C15,jt!$F:$F,加弹汇总表!$F15,jt!$O:$O,加弹汇总表!$C$1&amp;"/"&amp;加弹汇总表!$D$1&amp;"/"&amp;加弹汇总表!BI$2)</f>
        <v>0</v>
      </c>
      <c r="BJ15" s="8">
        <f>SUMIFS(jt!$M:$M,jt!$B:$B,加弹汇总表!$B15,jt!$D:$D,加弹汇总表!$C15,jt!$F:$F,加弹汇总表!$F15,jt!$O:$O,加弹汇总表!$C$1&amp;"/"&amp;加弹汇总表!$D$1&amp;"/"&amp;加弹汇总表!BJ$2)</f>
        <v>0</v>
      </c>
      <c r="BK15" s="8">
        <f>SUMIFS(jt!$M:$M,jt!$B:$B,加弹汇总表!$B15,jt!$D:$D,加弹汇总表!$C15,jt!$F:$F,加弹汇总表!$F15,jt!$O:$O,加弹汇总表!$C$1&amp;"/"&amp;加弹汇总表!$D$1&amp;"/"&amp;加弹汇总表!BK$2)</f>
        <v>0</v>
      </c>
      <c r="BL15" s="8">
        <f>SUMIFS(jt!$M:$M,jt!$B:$B,加弹汇总表!$B15,jt!$D:$D,加弹汇总表!$C15,jt!$F:$F,加弹汇总表!$F15,jt!$O:$O,加弹汇总表!$C$1&amp;"/"&amp;加弹汇总表!$D$1&amp;"/"&amp;加弹汇总表!BL$2)</f>
        <v>0</v>
      </c>
      <c r="BM15" s="8">
        <f>SUMIFS(jt!$M:$M,jt!$B:$B,加弹汇总表!$B15,jt!$D:$D,加弹汇总表!$C15,jt!$F:$F,加弹汇总表!$F15,jt!$O:$O,加弹汇总表!$C$1&amp;"/"&amp;加弹汇总表!$D$1&amp;"/"&amp;加弹汇总表!BM$2)</f>
        <v>0</v>
      </c>
      <c r="BN15" s="8">
        <f>SUMIFS(jt!$M:$M,jt!$B:$B,加弹汇总表!$B15,jt!$D:$D,加弹汇总表!$C15,jt!$F:$F,加弹汇总表!$F15,jt!$O:$O,加弹汇总表!$C$1&amp;"/"&amp;加弹汇总表!$D$1&amp;"/"&amp;加弹汇总表!BN$2)</f>
        <v>0</v>
      </c>
      <c r="BO15" s="8">
        <f>SUMIFS(jt!$M:$M,jt!$B:$B,加弹汇总表!$B15,jt!$D:$D,加弹汇总表!$C15,jt!$F:$F,加弹汇总表!$F15,jt!$O:$O,加弹汇总表!$C$1&amp;"/"&amp;加弹汇总表!$D$1&amp;"/"&amp;加弹汇总表!BO$2)</f>
        <v>0</v>
      </c>
      <c r="BP15" s="8">
        <f>SUMIFS(jt!$M:$M,jt!$B:$B,加弹汇总表!$B15,jt!$D:$D,加弹汇总表!$C15,jt!$F:$F,加弹汇总表!$F15,jt!$O:$O,加弹汇总表!$C$1&amp;"/"&amp;加弹汇总表!$D$1&amp;"/"&amp;加弹汇总表!BP$2)</f>
        <v>0</v>
      </c>
      <c r="BQ15" s="8">
        <f>SUMIFS(jt!$M:$M,jt!$B:$B,加弹汇总表!$B15,jt!$D:$D,加弹汇总表!$C15,jt!$F:$F,加弹汇总表!$F15,jt!$O:$O,加弹汇总表!$C$1&amp;"/"&amp;加弹汇总表!$D$1&amp;"/"&amp;加弹汇总表!BQ$2)</f>
        <v>0</v>
      </c>
      <c r="BR15" s="8">
        <f>SUMIFS(jt!$M:$M,jt!$B:$B,加弹汇总表!$B15,jt!$D:$D,加弹汇总表!$C15,jt!$F:$F,加弹汇总表!$F15,jt!$O:$O,加弹汇总表!$C$1&amp;"/"&amp;加弹汇总表!$D$1&amp;"/"&amp;加弹汇总表!BR$2)</f>
        <v>0</v>
      </c>
      <c r="BS15" s="8">
        <f>SUMIFS(jt!$M:$M,jt!$B:$B,加弹汇总表!$B15,jt!$D:$D,加弹汇总表!$C15,jt!$F:$F,加弹汇总表!$F15,jt!$O:$O,加弹汇总表!$C$1&amp;"/"&amp;加弹汇总表!$D$1&amp;"/"&amp;加弹汇总表!BS$2)</f>
        <v>0</v>
      </c>
    </row>
    <row r="16" spans="1:71" ht="18" customHeight="1">
      <c r="A16" s="250" t="str">
        <f t="shared" si="4"/>
        <v>8413275D132/48黑</v>
      </c>
      <c r="B16" s="14">
        <v>84132</v>
      </c>
      <c r="C16" s="98" t="s">
        <v>860</v>
      </c>
      <c r="D16" s="53" t="s">
        <v>391</v>
      </c>
      <c r="E16" s="78"/>
      <c r="F16" s="53" t="s">
        <v>1</v>
      </c>
      <c r="G16" s="53" t="s">
        <v>136</v>
      </c>
      <c r="H16" s="53"/>
      <c r="I16" s="246">
        <f ca="1">IF(SUMIFS(jt!M:M,jt!A:A,加弹汇总表!A16,jt!O:O,加弹汇总表!$E$1)=0,0,SUM(AO16:BS16)/COUNTIF(AO16:BS16,"&lt;&gt;0"))</f>
        <v>0</v>
      </c>
      <c r="J16" s="53">
        <f t="shared" si="5"/>
        <v>0</v>
      </c>
      <c r="K16" s="53">
        <f t="shared" si="6"/>
        <v>0</v>
      </c>
      <c r="L16" s="53">
        <f t="shared" si="7"/>
        <v>0</v>
      </c>
      <c r="M16" s="53">
        <f t="shared" si="0"/>
        <v>0</v>
      </c>
      <c r="N16" s="53"/>
      <c r="O16" s="53">
        <f t="shared" si="1"/>
        <v>0</v>
      </c>
      <c r="P16" s="53">
        <f t="shared" si="2"/>
        <v>0</v>
      </c>
      <c r="Q16" s="53">
        <f t="shared" si="3"/>
        <v>0</v>
      </c>
      <c r="R16" s="60">
        <f>SUMIFS(jt!$K:$K,jt!$A:$A,加弹汇总表!$A16,jt!$R:$R,加弹汇总表!R$2)</f>
        <v>0</v>
      </c>
      <c r="S16" s="60">
        <f>SUMIFS(jt!$K:$K,jt!$A:$A,加弹汇总表!$A16,jt!$R:$R,加弹汇总表!S$2)</f>
        <v>0</v>
      </c>
      <c r="T16" s="60">
        <f>SUMIFS(jt!$K:$K,jt!$A:$A,加弹汇总表!$A16,jt!$R:$R,加弹汇总表!T$2)</f>
        <v>0</v>
      </c>
      <c r="U16" s="60">
        <f>SUMIFS(jt!$J:$J,jt!$A:$A,加弹汇总表!$A16,jt!$R:$R,加弹汇总表!U$2)</f>
        <v>0</v>
      </c>
      <c r="V16" s="60">
        <f>SUMIFS(jt!$J:$J,jt!$A:$A,加弹汇总表!$A16,jt!$R:$R,加弹汇总表!V$2)</f>
        <v>0</v>
      </c>
      <c r="W16" s="60">
        <f>SUMIFS(jt!$J:$J,jt!$A:$A,加弹汇总表!$A16,jt!$R:$R,加弹汇总表!W$2)</f>
        <v>0</v>
      </c>
      <c r="X16" s="61">
        <f>SUMIFS(jt!$L:$L,jt!$A:$A,加弹汇总表!$A16,jt!$R:$R,加弹汇总表!X$2)</f>
        <v>0</v>
      </c>
      <c r="Y16" s="61">
        <f>SUMIFS(jt!$L:$L,jt!$A:$A,加弹汇总表!$A16,jt!$R:$R,加弹汇总表!Y$2)</f>
        <v>0</v>
      </c>
      <c r="Z16" s="61">
        <f>SUMIFS(jt!$L:$L,jt!$A:$A,加弹汇总表!$A16,jt!$R:$R,加弹汇总表!Z$2)</f>
        <v>0</v>
      </c>
      <c r="AA16" s="62">
        <f>SUMIFS(jt!$M:$M,jt!$A:$A,加弹汇总表!$A16,jt!$R:$R,加弹汇总表!AA$2)</f>
        <v>0</v>
      </c>
      <c r="AB16" s="62">
        <f>SUMIFS(jt!$M:$M,jt!$A:$A,加弹汇总表!$A16,jt!$R:$R,加弹汇总表!AB$2)</f>
        <v>0</v>
      </c>
      <c r="AC16" s="62">
        <f>SUMIFS(jt!$M:$M,jt!$A:$A,加弹汇总表!$A16,jt!$R:$R,加弹汇总表!AC$2)</f>
        <v>0</v>
      </c>
      <c r="AD16" s="63">
        <f>SUMIFS(jt!$N:$N,jt!$A:$A,加弹汇总表!$A16,jt!$R:$R,加弹汇总表!AD$2)</f>
        <v>0</v>
      </c>
      <c r="AE16" s="63">
        <f>SUMIFS(jt!$N:$N,jt!$A:$A,加弹汇总表!$A16,jt!$R:$R,加弹汇总表!AE$2)</f>
        <v>0</v>
      </c>
      <c r="AF16" s="63">
        <f>SUMIFS(jt!$N:$N,jt!$A:$A,加弹汇总表!$A16,jt!$R:$R,加弹汇总表!AF$2)</f>
        <v>0</v>
      </c>
      <c r="AG16" s="64">
        <f>SUMIFS(jt!$M:$M,jt!$A:$A,加弹汇总表!$A16,jt!$C:$C,加弹汇总表!AG$2)</f>
        <v>0</v>
      </c>
      <c r="AH16" s="64">
        <f>SUMIFS(jt!$M:$M,jt!$A:$A,加弹汇总表!$A16,jt!$C:$C,加弹汇总表!AH$2)</f>
        <v>0</v>
      </c>
      <c r="AI16" s="64">
        <f>SUMIFS(jt!$M:$M,jt!$A:$A,加弹汇总表!$A16,jt!$C:$C,加弹汇总表!AI$2)</f>
        <v>0</v>
      </c>
      <c r="AJ16" s="64">
        <f>SUMIFS(jt!$M:$M,jt!$A:$A,加弹汇总表!$A16,jt!$C:$C,加弹汇总表!AJ$2)</f>
        <v>0</v>
      </c>
      <c r="AK16" s="64">
        <f>SUMIFS(jt!$M:$M,jt!$A:$A,加弹汇总表!$A16,jt!$C:$C,加弹汇总表!AK$2)</f>
        <v>0</v>
      </c>
      <c r="AL16" s="64">
        <f>SUMIFS(jt!$M:$M,jt!$A:$A,加弹汇总表!$A16,jt!$C:$C,加弹汇总表!AL$2)</f>
        <v>0</v>
      </c>
      <c r="AM16" s="64">
        <f>SUMIFS(jt!$M:$M,jt!$A:$A,加弹汇总表!$A16,jt!$C:$C,加弹汇总表!AM$2)</f>
        <v>0</v>
      </c>
      <c r="AN16" s="80">
        <f>SUMIFS(jt!$M:$M,jt!$A:$A,加弹汇总表!$A16,jt!$C:$C,加弹汇总表!AN$2)</f>
        <v>0</v>
      </c>
      <c r="AO16" s="8">
        <f>SUMIFS(jt!$M:$M,jt!$B:$B,加弹汇总表!$B16,jt!$D:$D,加弹汇总表!$C16,jt!$F:$F,加弹汇总表!$F16,jt!$O:$O,加弹汇总表!$C$1&amp;"/"&amp;加弹汇总表!$D$1&amp;"/"&amp;加弹汇总表!AO$2)</f>
        <v>0</v>
      </c>
      <c r="AP16" s="8">
        <f>SUMIFS(jt!$M:$M,jt!$B:$B,加弹汇总表!$B16,jt!$D:$D,加弹汇总表!$C16,jt!$F:$F,加弹汇总表!$F16,jt!$O:$O,加弹汇总表!$C$1&amp;"/"&amp;加弹汇总表!$D$1&amp;"/"&amp;加弹汇总表!AP$2)</f>
        <v>0</v>
      </c>
      <c r="AQ16" s="8">
        <f>SUMIFS(jt!$M:$M,jt!$B:$B,加弹汇总表!$B16,jt!$D:$D,加弹汇总表!$C16,jt!$F:$F,加弹汇总表!$F16,jt!$O:$O,加弹汇总表!$C$1&amp;"/"&amp;加弹汇总表!$D$1&amp;"/"&amp;加弹汇总表!AQ$2)</f>
        <v>0</v>
      </c>
      <c r="AR16" s="8">
        <f>SUMIFS(jt!$M:$M,jt!$B:$B,加弹汇总表!$B16,jt!$D:$D,加弹汇总表!$C16,jt!$F:$F,加弹汇总表!$F16,jt!$O:$O,加弹汇总表!$C$1&amp;"/"&amp;加弹汇总表!$D$1&amp;"/"&amp;加弹汇总表!AR$2)</f>
        <v>0</v>
      </c>
      <c r="AS16" s="8">
        <f>SUMIFS(jt!$M:$M,jt!$B:$B,加弹汇总表!$B16,jt!$D:$D,加弹汇总表!$C16,jt!$F:$F,加弹汇总表!$F16,jt!$O:$O,加弹汇总表!$C$1&amp;"/"&amp;加弹汇总表!$D$1&amp;"/"&amp;加弹汇总表!AS$2)</f>
        <v>0</v>
      </c>
      <c r="AT16" s="8">
        <f>SUMIFS(jt!$M:$M,jt!$B:$B,加弹汇总表!$B16,jt!$D:$D,加弹汇总表!$C16,jt!$F:$F,加弹汇总表!$F16,jt!$O:$O,加弹汇总表!$C$1&amp;"/"&amp;加弹汇总表!$D$1&amp;"/"&amp;加弹汇总表!AT$2)</f>
        <v>0</v>
      </c>
      <c r="AU16" s="8">
        <f>SUMIFS(jt!$M:$M,jt!$B:$B,加弹汇总表!$B16,jt!$D:$D,加弹汇总表!$C16,jt!$F:$F,加弹汇总表!$F16,jt!$O:$O,加弹汇总表!$C$1&amp;"/"&amp;加弹汇总表!$D$1&amp;"/"&amp;加弹汇总表!AU$2)</f>
        <v>0</v>
      </c>
      <c r="AV16" s="8">
        <f>SUMIFS(jt!$M:$M,jt!$B:$B,加弹汇总表!$B16,jt!$D:$D,加弹汇总表!$C16,jt!$F:$F,加弹汇总表!$F16,jt!$O:$O,加弹汇总表!$C$1&amp;"/"&amp;加弹汇总表!$D$1&amp;"/"&amp;加弹汇总表!AV$2)</f>
        <v>0</v>
      </c>
      <c r="AW16" s="8">
        <f>SUMIFS(jt!$M:$M,jt!$B:$B,加弹汇总表!$B16,jt!$D:$D,加弹汇总表!$C16,jt!$F:$F,加弹汇总表!$F16,jt!$O:$O,加弹汇总表!$C$1&amp;"/"&amp;加弹汇总表!$D$1&amp;"/"&amp;加弹汇总表!AW$2)</f>
        <v>0</v>
      </c>
      <c r="AX16" s="8">
        <f>SUMIFS(jt!$M:$M,jt!$B:$B,加弹汇总表!$B16,jt!$D:$D,加弹汇总表!$C16,jt!$F:$F,加弹汇总表!$F16,jt!$O:$O,加弹汇总表!$C$1&amp;"/"&amp;加弹汇总表!$D$1&amp;"/"&amp;加弹汇总表!AX$2)</f>
        <v>0</v>
      </c>
      <c r="AY16" s="8">
        <f>SUMIFS(jt!$M:$M,jt!$B:$B,加弹汇总表!$B16,jt!$D:$D,加弹汇总表!$C16,jt!$F:$F,加弹汇总表!$F16,jt!$O:$O,加弹汇总表!$C$1&amp;"/"&amp;加弹汇总表!$D$1&amp;"/"&amp;加弹汇总表!AY$2)</f>
        <v>0</v>
      </c>
      <c r="AZ16" s="8">
        <f>SUMIFS(jt!$M:$M,jt!$B:$B,加弹汇总表!$B16,jt!$D:$D,加弹汇总表!$C16,jt!$F:$F,加弹汇总表!$F16,jt!$O:$O,加弹汇总表!$C$1&amp;"/"&amp;加弹汇总表!$D$1&amp;"/"&amp;加弹汇总表!AZ$2)</f>
        <v>0</v>
      </c>
      <c r="BA16" s="8">
        <f>SUMIFS(jt!$M:$M,jt!$B:$B,加弹汇总表!$B16,jt!$D:$D,加弹汇总表!$C16,jt!$F:$F,加弹汇总表!$F16,jt!$O:$O,加弹汇总表!$C$1&amp;"/"&amp;加弹汇总表!$D$1&amp;"/"&amp;加弹汇总表!BA$2)</f>
        <v>0</v>
      </c>
      <c r="BB16" s="8">
        <f>SUMIFS(jt!$M:$M,jt!$B:$B,加弹汇总表!$B16,jt!$D:$D,加弹汇总表!$C16,jt!$F:$F,加弹汇总表!$F16,jt!$O:$O,加弹汇总表!$C$1&amp;"/"&amp;加弹汇总表!$D$1&amp;"/"&amp;加弹汇总表!BB$2)</f>
        <v>0</v>
      </c>
      <c r="BC16" s="8">
        <f>SUMIFS(jt!$M:$M,jt!$B:$B,加弹汇总表!$B16,jt!$D:$D,加弹汇总表!$C16,jt!$F:$F,加弹汇总表!$F16,jt!$O:$O,加弹汇总表!$C$1&amp;"/"&amp;加弹汇总表!$D$1&amp;"/"&amp;加弹汇总表!BC$2)</f>
        <v>0</v>
      </c>
      <c r="BD16" s="8">
        <f>SUMIFS(jt!$M:$M,jt!$B:$B,加弹汇总表!$B16,jt!$D:$D,加弹汇总表!$C16,jt!$F:$F,加弹汇总表!$F16,jt!$O:$O,加弹汇总表!$C$1&amp;"/"&amp;加弹汇总表!$D$1&amp;"/"&amp;加弹汇总表!BD$2)</f>
        <v>0</v>
      </c>
      <c r="BE16" s="8">
        <f>SUMIFS(jt!$M:$M,jt!$B:$B,加弹汇总表!$B16,jt!$D:$D,加弹汇总表!$C16,jt!$F:$F,加弹汇总表!$F16,jt!$O:$O,加弹汇总表!$C$1&amp;"/"&amp;加弹汇总表!$D$1&amp;"/"&amp;加弹汇总表!BE$2)</f>
        <v>0</v>
      </c>
      <c r="BF16" s="8">
        <f>SUMIFS(jt!$M:$M,jt!$B:$B,加弹汇总表!$B16,jt!$D:$D,加弹汇总表!$C16,jt!$F:$F,加弹汇总表!$F16,jt!$O:$O,加弹汇总表!$C$1&amp;"/"&amp;加弹汇总表!$D$1&amp;"/"&amp;加弹汇总表!BF$2)</f>
        <v>0</v>
      </c>
      <c r="BG16" s="8">
        <f>SUMIFS(jt!$M:$M,jt!$B:$B,加弹汇总表!$B16,jt!$D:$D,加弹汇总表!$C16,jt!$F:$F,加弹汇总表!$F16,jt!$O:$O,加弹汇总表!$C$1&amp;"/"&amp;加弹汇总表!$D$1&amp;"/"&amp;加弹汇总表!BG$2)</f>
        <v>0</v>
      </c>
      <c r="BH16" s="8">
        <f>SUMIFS(jt!$M:$M,jt!$B:$B,加弹汇总表!$B16,jt!$D:$D,加弹汇总表!$C16,jt!$F:$F,加弹汇总表!$F16,jt!$O:$O,加弹汇总表!$C$1&amp;"/"&amp;加弹汇总表!$D$1&amp;"/"&amp;加弹汇总表!BH$2)</f>
        <v>0</v>
      </c>
      <c r="BI16" s="8">
        <f>SUMIFS(jt!$M:$M,jt!$B:$B,加弹汇总表!$B16,jt!$D:$D,加弹汇总表!$C16,jt!$F:$F,加弹汇总表!$F16,jt!$O:$O,加弹汇总表!$C$1&amp;"/"&amp;加弹汇总表!$D$1&amp;"/"&amp;加弹汇总表!BI$2)</f>
        <v>0</v>
      </c>
      <c r="BJ16" s="8">
        <f>SUMIFS(jt!$M:$M,jt!$B:$B,加弹汇总表!$B16,jt!$D:$D,加弹汇总表!$C16,jt!$F:$F,加弹汇总表!$F16,jt!$O:$O,加弹汇总表!$C$1&amp;"/"&amp;加弹汇总表!$D$1&amp;"/"&amp;加弹汇总表!BJ$2)</f>
        <v>0</v>
      </c>
      <c r="BK16" s="8">
        <f>SUMIFS(jt!$M:$M,jt!$B:$B,加弹汇总表!$B16,jt!$D:$D,加弹汇总表!$C16,jt!$F:$F,加弹汇总表!$F16,jt!$O:$O,加弹汇总表!$C$1&amp;"/"&amp;加弹汇总表!$D$1&amp;"/"&amp;加弹汇总表!BK$2)</f>
        <v>0</v>
      </c>
      <c r="BL16" s="8">
        <f>SUMIFS(jt!$M:$M,jt!$B:$B,加弹汇总表!$B16,jt!$D:$D,加弹汇总表!$C16,jt!$F:$F,加弹汇总表!$F16,jt!$O:$O,加弹汇总表!$C$1&amp;"/"&amp;加弹汇总表!$D$1&amp;"/"&amp;加弹汇总表!BL$2)</f>
        <v>0</v>
      </c>
      <c r="BM16" s="8">
        <f>SUMIFS(jt!$M:$M,jt!$B:$B,加弹汇总表!$B16,jt!$D:$D,加弹汇总表!$C16,jt!$F:$F,加弹汇总表!$F16,jt!$O:$O,加弹汇总表!$C$1&amp;"/"&amp;加弹汇总表!$D$1&amp;"/"&amp;加弹汇总表!BM$2)</f>
        <v>0</v>
      </c>
      <c r="BN16" s="8">
        <f>SUMIFS(jt!$M:$M,jt!$B:$B,加弹汇总表!$B16,jt!$D:$D,加弹汇总表!$C16,jt!$F:$F,加弹汇总表!$F16,jt!$O:$O,加弹汇总表!$C$1&amp;"/"&amp;加弹汇总表!$D$1&amp;"/"&amp;加弹汇总表!BN$2)</f>
        <v>0</v>
      </c>
      <c r="BO16" s="8">
        <f>SUMIFS(jt!$M:$M,jt!$B:$B,加弹汇总表!$B16,jt!$D:$D,加弹汇总表!$C16,jt!$F:$F,加弹汇总表!$F16,jt!$O:$O,加弹汇总表!$C$1&amp;"/"&amp;加弹汇总表!$D$1&amp;"/"&amp;加弹汇总表!BO$2)</f>
        <v>0</v>
      </c>
      <c r="BP16" s="8">
        <f>SUMIFS(jt!$M:$M,jt!$B:$B,加弹汇总表!$B16,jt!$D:$D,加弹汇总表!$C16,jt!$F:$F,加弹汇总表!$F16,jt!$O:$O,加弹汇总表!$C$1&amp;"/"&amp;加弹汇总表!$D$1&amp;"/"&amp;加弹汇总表!BP$2)</f>
        <v>0</v>
      </c>
      <c r="BQ16" s="8">
        <f>SUMIFS(jt!$M:$M,jt!$B:$B,加弹汇总表!$B16,jt!$D:$D,加弹汇总表!$C16,jt!$F:$F,加弹汇总表!$F16,jt!$O:$O,加弹汇总表!$C$1&amp;"/"&amp;加弹汇总表!$D$1&amp;"/"&amp;加弹汇总表!BQ$2)</f>
        <v>0</v>
      </c>
      <c r="BR16" s="8">
        <f>SUMIFS(jt!$M:$M,jt!$B:$B,加弹汇总表!$B16,jt!$D:$D,加弹汇总表!$C16,jt!$F:$F,加弹汇总表!$F16,jt!$O:$O,加弹汇总表!$C$1&amp;"/"&amp;加弹汇总表!$D$1&amp;"/"&amp;加弹汇总表!BR$2)</f>
        <v>0</v>
      </c>
      <c r="BS16" s="8">
        <f>SUMIFS(jt!$M:$M,jt!$B:$B,加弹汇总表!$B16,jt!$D:$D,加弹汇总表!$C16,jt!$F:$F,加弹汇总表!$F16,jt!$O:$O,加弹汇总表!$C$1&amp;"/"&amp;加弹汇总表!$D$1&amp;"/"&amp;加弹汇总表!BS$2)</f>
        <v>0</v>
      </c>
    </row>
    <row r="17" spans="1:71" ht="18" customHeight="1">
      <c r="A17" s="250" t="str">
        <f t="shared" si="4"/>
        <v>S21102P20D网络丝35/24白喷水</v>
      </c>
      <c r="B17" s="14" t="s">
        <v>438</v>
      </c>
      <c r="C17" s="98" t="s">
        <v>861</v>
      </c>
      <c r="D17" s="53" t="s">
        <v>437</v>
      </c>
      <c r="E17" s="78" t="s">
        <v>1063</v>
      </c>
      <c r="F17" s="53" t="s">
        <v>2</v>
      </c>
      <c r="G17" s="53" t="s">
        <v>158</v>
      </c>
      <c r="H17" s="53" t="s">
        <v>862</v>
      </c>
      <c r="I17" s="246">
        <f ca="1">IF(SUMIFS(jt!M:M,jt!A:A,加弹汇总表!A17,jt!O:O,加弹汇总表!$E$1)=0,0,SUM(AO17:BS17)/COUNTIF(AO17:BS17,"&lt;&gt;0"))</f>
        <v>0</v>
      </c>
      <c r="J17" s="53">
        <f t="shared" si="5"/>
        <v>0</v>
      </c>
      <c r="K17" s="53">
        <f t="shared" si="6"/>
        <v>0</v>
      </c>
      <c r="L17" s="53">
        <f t="shared" si="7"/>
        <v>0</v>
      </c>
      <c r="M17" s="53">
        <f t="shared" si="0"/>
        <v>14617</v>
      </c>
      <c r="N17" s="53"/>
      <c r="O17" s="53">
        <f t="shared" si="1"/>
        <v>0</v>
      </c>
      <c r="P17" s="53">
        <f>SUM(AA17:AC17)</f>
        <v>14617</v>
      </c>
      <c r="Q17" s="53">
        <f t="shared" si="3"/>
        <v>0</v>
      </c>
      <c r="R17" s="60">
        <f>SUMIFS(jt!$K:$K,jt!$A:$A,加弹汇总表!$A17,jt!$R:$R,加弹汇总表!R$2)</f>
        <v>0</v>
      </c>
      <c r="S17" s="60">
        <f>SUMIFS(jt!$K:$K,jt!$A:$A,加弹汇总表!$A17,jt!$R:$R,加弹汇总表!S$2)</f>
        <v>0</v>
      </c>
      <c r="T17" s="60">
        <f>SUMIFS(jt!$K:$K,jt!$A:$A,加弹汇总表!$A17,jt!$R:$R,加弹汇总表!T$2)</f>
        <v>0</v>
      </c>
      <c r="U17" s="60">
        <f>SUMIFS(jt!$J:$J,jt!$A:$A,加弹汇总表!$A17,jt!$R:$R,加弹汇总表!U$2)</f>
        <v>0</v>
      </c>
      <c r="V17" s="60">
        <f>SUMIFS(jt!$J:$J,jt!$A:$A,加弹汇总表!$A17,jt!$R:$R,加弹汇总表!V$2)</f>
        <v>0</v>
      </c>
      <c r="W17" s="60">
        <f>SUMIFS(jt!$J:$J,jt!$A:$A,加弹汇总表!$A17,jt!$R:$R,加弹汇总表!W$2)</f>
        <v>0</v>
      </c>
      <c r="X17" s="61">
        <f>SUMIFS(jt!$L:$L,jt!$A:$A,加弹汇总表!$A17,jt!$R:$R,加弹汇总表!X$2)</f>
        <v>0</v>
      </c>
      <c r="Y17" s="61">
        <f>SUMIFS(jt!$L:$L,jt!$A:$A,加弹汇总表!$A17,jt!$R:$R,加弹汇总表!Y$2)</f>
        <v>0</v>
      </c>
      <c r="Z17" s="61">
        <f>SUMIFS(jt!$L:$L,jt!$A:$A,加弹汇总表!$A17,jt!$R:$R,加弹汇总表!Z$2)</f>
        <v>0</v>
      </c>
      <c r="AA17" s="62">
        <f>SUMIFS(jt!$M:$M,jt!$A:$A,加弹汇总表!$A17,jt!$R:$R,加弹汇总表!AA$2)</f>
        <v>14617</v>
      </c>
      <c r="AB17" s="62">
        <f>SUMIFS(jt!$M:$M,jt!$A:$A,加弹汇总表!$A17,jt!$R:$R,加弹汇总表!AB$2)</f>
        <v>0</v>
      </c>
      <c r="AC17" s="62">
        <f>SUMIFS(jt!$M:$M,jt!$A:$A,加弹汇总表!$A17,jt!$R:$R,加弹汇总表!AC$2)</f>
        <v>0</v>
      </c>
      <c r="AD17" s="63">
        <f>SUMIFS(jt!$N:$N,jt!$A:$A,加弹汇总表!$A17,jt!$R:$R,加弹汇总表!AD$2)</f>
        <v>0</v>
      </c>
      <c r="AE17" s="63">
        <f>SUMIFS(jt!$N:$N,jt!$A:$A,加弹汇总表!$A17,jt!$R:$R,加弹汇总表!AE$2)</f>
        <v>0</v>
      </c>
      <c r="AF17" s="63">
        <f>SUMIFS(jt!$N:$N,jt!$A:$A,加弹汇总表!$A17,jt!$R:$R,加弹汇总表!AF$2)</f>
        <v>0</v>
      </c>
      <c r="AG17" s="64">
        <f>SUMIFS(jt!$M:$M,jt!$A:$A,加弹汇总表!$A17,jt!$C:$C,加弹汇总表!AG$2)</f>
        <v>0</v>
      </c>
      <c r="AH17" s="64">
        <f>SUMIFS(jt!$M:$M,jt!$A:$A,加弹汇总表!$A17,jt!$C:$C,加弹汇总表!AH$2)</f>
        <v>0</v>
      </c>
      <c r="AI17" s="64">
        <f>SUMIFS(jt!$M:$M,jt!$A:$A,加弹汇总表!$A17,jt!$C:$C,加弹汇总表!AI$2)</f>
        <v>14617</v>
      </c>
      <c r="AJ17" s="64">
        <f>SUMIFS(jt!$M:$M,jt!$A:$A,加弹汇总表!$A17,jt!$C:$C,加弹汇总表!AJ$2)</f>
        <v>0</v>
      </c>
      <c r="AK17" s="64">
        <f>SUMIFS(jt!$M:$M,jt!$A:$A,加弹汇总表!$A17,jt!$C:$C,加弹汇总表!AK$2)</f>
        <v>0</v>
      </c>
      <c r="AL17" s="64">
        <f>SUMIFS(jt!$M:$M,jt!$A:$A,加弹汇总表!$A17,jt!$C:$C,加弹汇总表!AL$2)</f>
        <v>0</v>
      </c>
      <c r="AM17" s="64">
        <f>SUMIFS(jt!$M:$M,jt!$A:$A,加弹汇总表!$A17,jt!$C:$C,加弹汇总表!AM$2)</f>
        <v>0</v>
      </c>
      <c r="AN17" s="80">
        <f>SUMIFS(jt!$M:$M,jt!$A:$A,加弹汇总表!$A17,jt!$C:$C,加弹汇总表!AN$2)</f>
        <v>0</v>
      </c>
      <c r="AO17" s="8">
        <f>SUMIFS(jt!$M:$M,jt!$B:$B,加弹汇总表!$B17,jt!$D:$D,加弹汇总表!$C17,jt!$F:$F,加弹汇总表!$F17,jt!$O:$O,加弹汇总表!$C$1&amp;"/"&amp;加弹汇总表!$D$1&amp;"/"&amp;加弹汇总表!AO$2)</f>
        <v>0</v>
      </c>
      <c r="AP17" s="8">
        <f>SUMIFS(jt!$M:$M,jt!$B:$B,加弹汇总表!$B17,jt!$D:$D,加弹汇总表!$C17,jt!$F:$F,加弹汇总表!$F17,jt!$O:$O,加弹汇总表!$C$1&amp;"/"&amp;加弹汇总表!$D$1&amp;"/"&amp;加弹汇总表!AP$2)</f>
        <v>0</v>
      </c>
      <c r="AQ17" s="8">
        <f>SUMIFS(jt!$M:$M,jt!$B:$B,加弹汇总表!$B17,jt!$D:$D,加弹汇总表!$C17,jt!$F:$F,加弹汇总表!$F17,jt!$O:$O,加弹汇总表!$C$1&amp;"/"&amp;加弹汇总表!$D$1&amp;"/"&amp;加弹汇总表!AQ$2)</f>
        <v>0</v>
      </c>
      <c r="AR17" s="8">
        <f>SUMIFS(jt!$M:$M,jt!$B:$B,加弹汇总表!$B17,jt!$D:$D,加弹汇总表!$C17,jt!$F:$F,加弹汇总表!$F17,jt!$O:$O,加弹汇总表!$C$1&amp;"/"&amp;加弹汇总表!$D$1&amp;"/"&amp;加弹汇总表!AR$2)</f>
        <v>0</v>
      </c>
      <c r="AS17" s="8">
        <f>SUMIFS(jt!$M:$M,jt!$B:$B,加弹汇总表!$B17,jt!$D:$D,加弹汇总表!$C17,jt!$F:$F,加弹汇总表!$F17,jt!$O:$O,加弹汇总表!$C$1&amp;"/"&amp;加弹汇总表!$D$1&amp;"/"&amp;加弹汇总表!AS$2)</f>
        <v>0</v>
      </c>
      <c r="AT17" s="8">
        <f>SUMIFS(jt!$M:$M,jt!$B:$B,加弹汇总表!$B17,jt!$D:$D,加弹汇总表!$C17,jt!$F:$F,加弹汇总表!$F17,jt!$O:$O,加弹汇总表!$C$1&amp;"/"&amp;加弹汇总表!$D$1&amp;"/"&amp;加弹汇总表!AT$2)</f>
        <v>0</v>
      </c>
      <c r="AU17" s="8">
        <f>SUMIFS(jt!$M:$M,jt!$B:$B,加弹汇总表!$B17,jt!$D:$D,加弹汇总表!$C17,jt!$F:$F,加弹汇总表!$F17,jt!$O:$O,加弹汇总表!$C$1&amp;"/"&amp;加弹汇总表!$D$1&amp;"/"&amp;加弹汇总表!AU$2)</f>
        <v>0</v>
      </c>
      <c r="AV17" s="8">
        <f>SUMIFS(jt!$M:$M,jt!$B:$B,加弹汇总表!$B17,jt!$D:$D,加弹汇总表!$C17,jt!$F:$F,加弹汇总表!$F17,jt!$O:$O,加弹汇总表!$C$1&amp;"/"&amp;加弹汇总表!$D$1&amp;"/"&amp;加弹汇总表!AV$2)</f>
        <v>0</v>
      </c>
      <c r="AW17" s="8">
        <f>SUMIFS(jt!$M:$M,jt!$B:$B,加弹汇总表!$B17,jt!$D:$D,加弹汇总表!$C17,jt!$F:$F,加弹汇总表!$F17,jt!$O:$O,加弹汇总表!$C$1&amp;"/"&amp;加弹汇总表!$D$1&amp;"/"&amp;加弹汇总表!AW$2)</f>
        <v>0</v>
      </c>
      <c r="AX17" s="8">
        <f>SUMIFS(jt!$M:$M,jt!$B:$B,加弹汇总表!$B17,jt!$D:$D,加弹汇总表!$C17,jt!$F:$F,加弹汇总表!$F17,jt!$O:$O,加弹汇总表!$C$1&amp;"/"&amp;加弹汇总表!$D$1&amp;"/"&amp;加弹汇总表!AX$2)</f>
        <v>0</v>
      </c>
      <c r="AY17" s="8">
        <f>SUMIFS(jt!$M:$M,jt!$B:$B,加弹汇总表!$B17,jt!$D:$D,加弹汇总表!$C17,jt!$F:$F,加弹汇总表!$F17,jt!$O:$O,加弹汇总表!$C$1&amp;"/"&amp;加弹汇总表!$D$1&amp;"/"&amp;加弹汇总表!AY$2)</f>
        <v>0</v>
      </c>
      <c r="AZ17" s="8">
        <f>SUMIFS(jt!$M:$M,jt!$B:$B,加弹汇总表!$B17,jt!$D:$D,加弹汇总表!$C17,jt!$F:$F,加弹汇总表!$F17,jt!$O:$O,加弹汇总表!$C$1&amp;"/"&amp;加弹汇总表!$D$1&amp;"/"&amp;加弹汇总表!AZ$2)</f>
        <v>0</v>
      </c>
      <c r="BA17" s="8">
        <f>SUMIFS(jt!$M:$M,jt!$B:$B,加弹汇总表!$B17,jt!$D:$D,加弹汇总表!$C17,jt!$F:$F,加弹汇总表!$F17,jt!$O:$O,加弹汇总表!$C$1&amp;"/"&amp;加弹汇总表!$D$1&amp;"/"&amp;加弹汇总表!BA$2)</f>
        <v>0</v>
      </c>
      <c r="BB17" s="8">
        <f>SUMIFS(jt!$M:$M,jt!$B:$B,加弹汇总表!$B17,jt!$D:$D,加弹汇总表!$C17,jt!$F:$F,加弹汇总表!$F17,jt!$O:$O,加弹汇总表!$C$1&amp;"/"&amp;加弹汇总表!$D$1&amp;"/"&amp;加弹汇总表!BB$2)</f>
        <v>0</v>
      </c>
      <c r="BC17" s="8">
        <f>SUMIFS(jt!$M:$M,jt!$B:$B,加弹汇总表!$B17,jt!$D:$D,加弹汇总表!$C17,jt!$F:$F,加弹汇总表!$F17,jt!$O:$O,加弹汇总表!$C$1&amp;"/"&amp;加弹汇总表!$D$1&amp;"/"&amp;加弹汇总表!BC$2)</f>
        <v>0</v>
      </c>
      <c r="BD17" s="8">
        <f>SUMIFS(jt!$M:$M,jt!$B:$B,加弹汇总表!$B17,jt!$D:$D,加弹汇总表!$C17,jt!$F:$F,加弹汇总表!$F17,jt!$O:$O,加弹汇总表!$C$1&amp;"/"&amp;加弹汇总表!$D$1&amp;"/"&amp;加弹汇总表!BD$2)</f>
        <v>0</v>
      </c>
      <c r="BE17" s="8">
        <f>SUMIFS(jt!$M:$M,jt!$B:$B,加弹汇总表!$B17,jt!$D:$D,加弹汇总表!$C17,jt!$F:$F,加弹汇总表!$F17,jt!$O:$O,加弹汇总表!$C$1&amp;"/"&amp;加弹汇总表!$D$1&amp;"/"&amp;加弹汇总表!BE$2)</f>
        <v>0</v>
      </c>
      <c r="BF17" s="8">
        <f>SUMIFS(jt!$M:$M,jt!$B:$B,加弹汇总表!$B17,jt!$D:$D,加弹汇总表!$C17,jt!$F:$F,加弹汇总表!$F17,jt!$O:$O,加弹汇总表!$C$1&amp;"/"&amp;加弹汇总表!$D$1&amp;"/"&amp;加弹汇总表!BF$2)</f>
        <v>0</v>
      </c>
      <c r="BG17" s="8">
        <f>SUMIFS(jt!$M:$M,jt!$B:$B,加弹汇总表!$B17,jt!$D:$D,加弹汇总表!$C17,jt!$F:$F,加弹汇总表!$F17,jt!$O:$O,加弹汇总表!$C$1&amp;"/"&amp;加弹汇总表!$D$1&amp;"/"&amp;加弹汇总表!BG$2)</f>
        <v>0</v>
      </c>
      <c r="BH17" s="8">
        <f>SUMIFS(jt!$M:$M,jt!$B:$B,加弹汇总表!$B17,jt!$D:$D,加弹汇总表!$C17,jt!$F:$F,加弹汇总表!$F17,jt!$O:$O,加弹汇总表!$C$1&amp;"/"&amp;加弹汇总表!$D$1&amp;"/"&amp;加弹汇总表!BH$2)</f>
        <v>0</v>
      </c>
      <c r="BI17" s="8">
        <f>SUMIFS(jt!$M:$M,jt!$B:$B,加弹汇总表!$B17,jt!$D:$D,加弹汇总表!$C17,jt!$F:$F,加弹汇总表!$F17,jt!$O:$O,加弹汇总表!$C$1&amp;"/"&amp;加弹汇总表!$D$1&amp;"/"&amp;加弹汇总表!BI$2)</f>
        <v>0</v>
      </c>
      <c r="BJ17" s="8">
        <f>SUMIFS(jt!$M:$M,jt!$B:$B,加弹汇总表!$B17,jt!$D:$D,加弹汇总表!$C17,jt!$F:$F,加弹汇总表!$F17,jt!$O:$O,加弹汇总表!$C$1&amp;"/"&amp;加弹汇总表!$D$1&amp;"/"&amp;加弹汇总表!BJ$2)</f>
        <v>0</v>
      </c>
      <c r="BK17" s="8">
        <f>SUMIFS(jt!$M:$M,jt!$B:$B,加弹汇总表!$B17,jt!$D:$D,加弹汇总表!$C17,jt!$F:$F,加弹汇总表!$F17,jt!$O:$O,加弹汇总表!$C$1&amp;"/"&amp;加弹汇总表!$D$1&amp;"/"&amp;加弹汇总表!BK$2)</f>
        <v>0</v>
      </c>
      <c r="BL17" s="8">
        <f>SUMIFS(jt!$M:$M,jt!$B:$B,加弹汇总表!$B17,jt!$D:$D,加弹汇总表!$C17,jt!$F:$F,加弹汇总表!$F17,jt!$O:$O,加弹汇总表!$C$1&amp;"/"&amp;加弹汇总表!$D$1&amp;"/"&amp;加弹汇总表!BL$2)</f>
        <v>0</v>
      </c>
      <c r="BM17" s="8">
        <f>SUMIFS(jt!$M:$M,jt!$B:$B,加弹汇总表!$B17,jt!$D:$D,加弹汇总表!$C17,jt!$F:$F,加弹汇总表!$F17,jt!$O:$O,加弹汇总表!$C$1&amp;"/"&amp;加弹汇总表!$D$1&amp;"/"&amp;加弹汇总表!BM$2)</f>
        <v>0</v>
      </c>
      <c r="BN17" s="8">
        <f>SUMIFS(jt!$M:$M,jt!$B:$B,加弹汇总表!$B17,jt!$D:$D,加弹汇总表!$C17,jt!$F:$F,加弹汇总表!$F17,jt!$O:$O,加弹汇总表!$C$1&amp;"/"&amp;加弹汇总表!$D$1&amp;"/"&amp;加弹汇总表!BN$2)</f>
        <v>0</v>
      </c>
      <c r="BO17" s="8">
        <f>SUMIFS(jt!$M:$M,jt!$B:$B,加弹汇总表!$B17,jt!$D:$D,加弹汇总表!$C17,jt!$F:$F,加弹汇总表!$F17,jt!$O:$O,加弹汇总表!$C$1&amp;"/"&amp;加弹汇总表!$D$1&amp;"/"&amp;加弹汇总表!BO$2)</f>
        <v>0</v>
      </c>
      <c r="BP17" s="8">
        <f>SUMIFS(jt!$M:$M,jt!$B:$B,加弹汇总表!$B17,jt!$D:$D,加弹汇总表!$C17,jt!$F:$F,加弹汇总表!$F17,jt!$O:$O,加弹汇总表!$C$1&amp;"/"&amp;加弹汇总表!$D$1&amp;"/"&amp;加弹汇总表!BP$2)</f>
        <v>0</v>
      </c>
      <c r="BQ17" s="8">
        <f>SUMIFS(jt!$M:$M,jt!$B:$B,加弹汇总表!$B17,jt!$D:$D,加弹汇总表!$C17,jt!$F:$F,加弹汇总表!$F17,jt!$O:$O,加弹汇总表!$C$1&amp;"/"&amp;加弹汇总表!$D$1&amp;"/"&amp;加弹汇总表!BQ$2)</f>
        <v>0</v>
      </c>
      <c r="BR17" s="8">
        <f>SUMIFS(jt!$M:$M,jt!$B:$B,加弹汇总表!$B17,jt!$D:$D,加弹汇总表!$C17,jt!$F:$F,加弹汇总表!$F17,jt!$O:$O,加弹汇总表!$C$1&amp;"/"&amp;加弹汇总表!$D$1&amp;"/"&amp;加弹汇总表!BR$2)</f>
        <v>0</v>
      </c>
      <c r="BS17" s="8">
        <f>SUMIFS(jt!$M:$M,jt!$B:$B,加弹汇总表!$B17,jt!$D:$D,加弹汇总表!$C17,jt!$F:$F,加弹汇总表!$F17,jt!$O:$O,加弹汇总表!$C$1&amp;"/"&amp;加弹汇总表!$D$1&amp;"/"&amp;加弹汇总表!BS$2)</f>
        <v>0</v>
      </c>
    </row>
    <row r="18" spans="1:71" ht="18" customHeight="1">
      <c r="A18" s="250" t="str">
        <f t="shared" si="4"/>
        <v>24003620D网络丝36/24黑喷水</v>
      </c>
      <c r="B18" s="14">
        <v>240036</v>
      </c>
      <c r="C18" s="98" t="s">
        <v>861</v>
      </c>
      <c r="D18" s="53" t="s">
        <v>447</v>
      </c>
      <c r="E18" s="78" t="s">
        <v>1063</v>
      </c>
      <c r="F18" s="53" t="s">
        <v>1</v>
      </c>
      <c r="G18" s="53" t="s">
        <v>136</v>
      </c>
      <c r="H18" s="53" t="s">
        <v>862</v>
      </c>
      <c r="I18" s="246">
        <f ca="1">IF(SUMIFS(jt!M:M,jt!A:A,加弹汇总表!A18,jt!O:O,加弹汇总表!$E$1)=0,0,SUM(AO18:BS18)/COUNTIF(AO18:BS18,"&lt;&gt;0"))</f>
        <v>0</v>
      </c>
      <c r="J18" s="53">
        <f t="shared" si="5"/>
        <v>0</v>
      </c>
      <c r="K18" s="53">
        <f t="shared" si="6"/>
        <v>0</v>
      </c>
      <c r="L18" s="53">
        <f t="shared" si="7"/>
        <v>0</v>
      </c>
      <c r="M18" s="53">
        <f t="shared" si="0"/>
        <v>13151.1</v>
      </c>
      <c r="N18" s="53">
        <v>6322</v>
      </c>
      <c r="O18" s="53">
        <f t="shared" si="1"/>
        <v>0</v>
      </c>
      <c r="P18" s="53">
        <f t="shared" si="2"/>
        <v>6829.1</v>
      </c>
      <c r="Q18" s="53">
        <f t="shared" si="3"/>
        <v>0</v>
      </c>
      <c r="R18" s="60">
        <f>SUMIFS(jt!$K:$K,jt!$A:$A,加弹汇总表!$A18,jt!$R:$R,加弹汇总表!R$2)</f>
        <v>0</v>
      </c>
      <c r="S18" s="60">
        <f>SUMIFS(jt!$K:$K,jt!$A:$A,加弹汇总表!$A18,jt!$R:$R,加弹汇总表!S$2)</f>
        <v>0</v>
      </c>
      <c r="T18" s="60">
        <f>SUMIFS(jt!$K:$K,jt!$A:$A,加弹汇总表!$A18,jt!$R:$R,加弹汇总表!T$2)</f>
        <v>0</v>
      </c>
      <c r="U18" s="60">
        <f>SUMIFS(jt!$J:$J,jt!$A:$A,加弹汇总表!$A18,jt!$R:$R,加弹汇总表!U$2)</f>
        <v>0</v>
      </c>
      <c r="V18" s="60">
        <f>SUMIFS(jt!$J:$J,jt!$A:$A,加弹汇总表!$A18,jt!$R:$R,加弹汇总表!V$2)</f>
        <v>0</v>
      </c>
      <c r="W18" s="60">
        <f>SUMIFS(jt!$J:$J,jt!$A:$A,加弹汇总表!$A18,jt!$R:$R,加弹汇总表!W$2)</f>
        <v>0</v>
      </c>
      <c r="X18" s="61">
        <f>SUMIFS(jt!$L:$L,jt!$A:$A,加弹汇总表!$A18,jt!$R:$R,加弹汇总表!X$2)</f>
        <v>0</v>
      </c>
      <c r="Y18" s="61">
        <f>SUMIFS(jt!$L:$L,jt!$A:$A,加弹汇总表!$A18,jt!$R:$R,加弹汇总表!Y$2)</f>
        <v>0</v>
      </c>
      <c r="Z18" s="61">
        <f>SUMIFS(jt!$L:$L,jt!$A:$A,加弹汇总表!$A18,jt!$R:$R,加弹汇总表!Z$2)</f>
        <v>0</v>
      </c>
      <c r="AA18" s="62">
        <f>SUMIFS(jt!$M:$M,jt!$A:$A,加弹汇总表!$A18,jt!$R:$R,加弹汇总表!AA$2)</f>
        <v>6829.1</v>
      </c>
      <c r="AB18" s="62">
        <f>SUMIFS(jt!$M:$M,jt!$A:$A,加弹汇总表!$A18,jt!$R:$R,加弹汇总表!AB$2)</f>
        <v>0</v>
      </c>
      <c r="AC18" s="62">
        <f>SUMIFS(jt!$M:$M,jt!$A:$A,加弹汇总表!$A18,jt!$R:$R,加弹汇总表!AC$2)</f>
        <v>0</v>
      </c>
      <c r="AD18" s="63">
        <f>SUMIFS(jt!$N:$N,jt!$A:$A,加弹汇总表!$A18,jt!$R:$R,加弹汇总表!AD$2)</f>
        <v>0</v>
      </c>
      <c r="AE18" s="63">
        <f>SUMIFS(jt!$N:$N,jt!$A:$A,加弹汇总表!$A18,jt!$R:$R,加弹汇总表!AE$2)</f>
        <v>0</v>
      </c>
      <c r="AF18" s="63">
        <f>SUMIFS(jt!$N:$N,jt!$A:$A,加弹汇总表!$A18,jt!$R:$R,加弹汇总表!AF$2)</f>
        <v>0</v>
      </c>
      <c r="AG18" s="64">
        <f>SUMIFS(jt!$M:$M,jt!$A:$A,加弹汇总表!$A18,jt!$C:$C,加弹汇总表!AG$2)</f>
        <v>0</v>
      </c>
      <c r="AH18" s="64">
        <f>SUMIFS(jt!$M:$M,jt!$A:$A,加弹汇总表!$A18,jt!$C:$C,加弹汇总表!AH$2)</f>
        <v>0</v>
      </c>
      <c r="AI18" s="64">
        <f>SUMIFS(jt!$M:$M,jt!$A:$A,加弹汇总表!$A18,jt!$C:$C,加弹汇总表!AI$2)</f>
        <v>0</v>
      </c>
      <c r="AJ18" s="64">
        <f>SUMIFS(jt!$M:$M,jt!$A:$A,加弹汇总表!$A18,jt!$C:$C,加弹汇总表!AJ$2)</f>
        <v>0</v>
      </c>
      <c r="AK18" s="64">
        <f>SUMIFS(jt!$M:$M,jt!$A:$A,加弹汇总表!$A18,jt!$C:$C,加弹汇总表!AK$2)</f>
        <v>0</v>
      </c>
      <c r="AL18" s="64">
        <f>SUMIFS(jt!$M:$M,jt!$A:$A,加弹汇总表!$A18,jt!$C:$C,加弹汇总表!AL$2)</f>
        <v>0</v>
      </c>
      <c r="AM18" s="64">
        <f>SUMIFS(jt!$M:$M,jt!$A:$A,加弹汇总表!$A18,jt!$C:$C,加弹汇总表!AM$2)</f>
        <v>0</v>
      </c>
      <c r="AN18" s="80">
        <f>SUMIFS(jt!$M:$M,jt!$A:$A,加弹汇总表!$A18,jt!$C:$C,加弹汇总表!AN$2)</f>
        <v>6829.1</v>
      </c>
      <c r="AO18" s="8">
        <f>SUMIFS(jt!$M:$M,jt!$B:$B,加弹汇总表!$B18,jt!$D:$D,加弹汇总表!$C18,jt!$F:$F,加弹汇总表!$F18,jt!$O:$O,加弹汇总表!$C$1&amp;"/"&amp;加弹汇总表!$D$1&amp;"/"&amp;加弹汇总表!AO$2)</f>
        <v>0</v>
      </c>
      <c r="AP18" s="8">
        <f>SUMIFS(jt!$M:$M,jt!$B:$B,加弹汇总表!$B18,jt!$D:$D,加弹汇总表!$C18,jt!$F:$F,加弹汇总表!$F18,jt!$O:$O,加弹汇总表!$C$1&amp;"/"&amp;加弹汇总表!$D$1&amp;"/"&amp;加弹汇总表!AP$2)</f>
        <v>0</v>
      </c>
      <c r="AQ18" s="8">
        <f>SUMIFS(jt!$M:$M,jt!$B:$B,加弹汇总表!$B18,jt!$D:$D,加弹汇总表!$C18,jt!$F:$F,加弹汇总表!$F18,jt!$O:$O,加弹汇总表!$C$1&amp;"/"&amp;加弹汇总表!$D$1&amp;"/"&amp;加弹汇总表!AQ$2)</f>
        <v>0</v>
      </c>
      <c r="AR18" s="8">
        <f>SUMIFS(jt!$M:$M,jt!$B:$B,加弹汇总表!$B18,jt!$D:$D,加弹汇总表!$C18,jt!$F:$F,加弹汇总表!$F18,jt!$O:$O,加弹汇总表!$C$1&amp;"/"&amp;加弹汇总表!$D$1&amp;"/"&amp;加弹汇总表!AR$2)</f>
        <v>0</v>
      </c>
      <c r="AS18" s="8">
        <f>SUMIFS(jt!$M:$M,jt!$B:$B,加弹汇总表!$B18,jt!$D:$D,加弹汇总表!$C18,jt!$F:$F,加弹汇总表!$F18,jt!$O:$O,加弹汇总表!$C$1&amp;"/"&amp;加弹汇总表!$D$1&amp;"/"&amp;加弹汇总表!AS$2)</f>
        <v>0</v>
      </c>
      <c r="AT18" s="8">
        <f>SUMIFS(jt!$M:$M,jt!$B:$B,加弹汇总表!$B18,jt!$D:$D,加弹汇总表!$C18,jt!$F:$F,加弹汇总表!$F18,jt!$O:$O,加弹汇总表!$C$1&amp;"/"&amp;加弹汇总表!$D$1&amp;"/"&amp;加弹汇总表!AT$2)</f>
        <v>0</v>
      </c>
      <c r="AU18" s="8">
        <f>SUMIFS(jt!$M:$M,jt!$B:$B,加弹汇总表!$B18,jt!$D:$D,加弹汇总表!$C18,jt!$F:$F,加弹汇总表!$F18,jt!$O:$O,加弹汇总表!$C$1&amp;"/"&amp;加弹汇总表!$D$1&amp;"/"&amp;加弹汇总表!AU$2)</f>
        <v>0</v>
      </c>
      <c r="AV18" s="8">
        <f>SUMIFS(jt!$M:$M,jt!$B:$B,加弹汇总表!$B18,jt!$D:$D,加弹汇总表!$C18,jt!$F:$F,加弹汇总表!$F18,jt!$O:$O,加弹汇总表!$C$1&amp;"/"&amp;加弹汇总表!$D$1&amp;"/"&amp;加弹汇总表!AV$2)</f>
        <v>0</v>
      </c>
      <c r="AW18" s="8">
        <f>SUMIFS(jt!$M:$M,jt!$B:$B,加弹汇总表!$B18,jt!$D:$D,加弹汇总表!$C18,jt!$F:$F,加弹汇总表!$F18,jt!$O:$O,加弹汇总表!$C$1&amp;"/"&amp;加弹汇总表!$D$1&amp;"/"&amp;加弹汇总表!AW$2)</f>
        <v>0</v>
      </c>
      <c r="AX18" s="8">
        <f>SUMIFS(jt!$M:$M,jt!$B:$B,加弹汇总表!$B18,jt!$D:$D,加弹汇总表!$C18,jt!$F:$F,加弹汇总表!$F18,jt!$O:$O,加弹汇总表!$C$1&amp;"/"&amp;加弹汇总表!$D$1&amp;"/"&amp;加弹汇总表!AX$2)</f>
        <v>0</v>
      </c>
      <c r="AY18" s="8">
        <f>SUMIFS(jt!$M:$M,jt!$B:$B,加弹汇总表!$B18,jt!$D:$D,加弹汇总表!$C18,jt!$F:$F,加弹汇总表!$F18,jt!$O:$O,加弹汇总表!$C$1&amp;"/"&amp;加弹汇总表!$D$1&amp;"/"&amp;加弹汇总表!AY$2)</f>
        <v>0</v>
      </c>
      <c r="AZ18" s="8">
        <f>SUMIFS(jt!$M:$M,jt!$B:$B,加弹汇总表!$B18,jt!$D:$D,加弹汇总表!$C18,jt!$F:$F,加弹汇总表!$F18,jt!$O:$O,加弹汇总表!$C$1&amp;"/"&amp;加弹汇总表!$D$1&amp;"/"&amp;加弹汇总表!AZ$2)</f>
        <v>0</v>
      </c>
      <c r="BA18" s="8">
        <f>SUMIFS(jt!$M:$M,jt!$B:$B,加弹汇总表!$B18,jt!$D:$D,加弹汇总表!$C18,jt!$F:$F,加弹汇总表!$F18,jt!$O:$O,加弹汇总表!$C$1&amp;"/"&amp;加弹汇总表!$D$1&amp;"/"&amp;加弹汇总表!BA$2)</f>
        <v>0</v>
      </c>
      <c r="BB18" s="8">
        <f>SUMIFS(jt!$M:$M,jt!$B:$B,加弹汇总表!$B18,jt!$D:$D,加弹汇总表!$C18,jt!$F:$F,加弹汇总表!$F18,jt!$O:$O,加弹汇总表!$C$1&amp;"/"&amp;加弹汇总表!$D$1&amp;"/"&amp;加弹汇总表!BB$2)</f>
        <v>0</v>
      </c>
      <c r="BC18" s="8">
        <f>SUMIFS(jt!$M:$M,jt!$B:$B,加弹汇总表!$B18,jt!$D:$D,加弹汇总表!$C18,jt!$F:$F,加弹汇总表!$F18,jt!$O:$O,加弹汇总表!$C$1&amp;"/"&amp;加弹汇总表!$D$1&amp;"/"&amp;加弹汇总表!BC$2)</f>
        <v>0</v>
      </c>
      <c r="BD18" s="8">
        <f>SUMIFS(jt!$M:$M,jt!$B:$B,加弹汇总表!$B18,jt!$D:$D,加弹汇总表!$C18,jt!$F:$F,加弹汇总表!$F18,jt!$O:$O,加弹汇总表!$C$1&amp;"/"&amp;加弹汇总表!$D$1&amp;"/"&amp;加弹汇总表!BD$2)</f>
        <v>0</v>
      </c>
      <c r="BE18" s="8">
        <f>SUMIFS(jt!$M:$M,jt!$B:$B,加弹汇总表!$B18,jt!$D:$D,加弹汇总表!$C18,jt!$F:$F,加弹汇总表!$F18,jt!$O:$O,加弹汇总表!$C$1&amp;"/"&amp;加弹汇总表!$D$1&amp;"/"&amp;加弹汇总表!BE$2)</f>
        <v>0</v>
      </c>
      <c r="BF18" s="8">
        <f>SUMIFS(jt!$M:$M,jt!$B:$B,加弹汇总表!$B18,jt!$D:$D,加弹汇总表!$C18,jt!$F:$F,加弹汇总表!$F18,jt!$O:$O,加弹汇总表!$C$1&amp;"/"&amp;加弹汇总表!$D$1&amp;"/"&amp;加弹汇总表!BF$2)</f>
        <v>0</v>
      </c>
      <c r="BG18" s="8">
        <f>SUMIFS(jt!$M:$M,jt!$B:$B,加弹汇总表!$B18,jt!$D:$D,加弹汇总表!$C18,jt!$F:$F,加弹汇总表!$F18,jt!$O:$O,加弹汇总表!$C$1&amp;"/"&amp;加弹汇总表!$D$1&amp;"/"&amp;加弹汇总表!BG$2)</f>
        <v>0</v>
      </c>
      <c r="BH18" s="8">
        <f>SUMIFS(jt!$M:$M,jt!$B:$B,加弹汇总表!$B18,jt!$D:$D,加弹汇总表!$C18,jt!$F:$F,加弹汇总表!$F18,jt!$O:$O,加弹汇总表!$C$1&amp;"/"&amp;加弹汇总表!$D$1&amp;"/"&amp;加弹汇总表!BH$2)</f>
        <v>0</v>
      </c>
      <c r="BI18" s="8">
        <f>SUMIFS(jt!$M:$M,jt!$B:$B,加弹汇总表!$B18,jt!$D:$D,加弹汇总表!$C18,jt!$F:$F,加弹汇总表!$F18,jt!$O:$O,加弹汇总表!$C$1&amp;"/"&amp;加弹汇总表!$D$1&amp;"/"&amp;加弹汇总表!BI$2)</f>
        <v>0</v>
      </c>
      <c r="BJ18" s="8">
        <f>SUMIFS(jt!$M:$M,jt!$B:$B,加弹汇总表!$B18,jt!$D:$D,加弹汇总表!$C18,jt!$F:$F,加弹汇总表!$F18,jt!$O:$O,加弹汇总表!$C$1&amp;"/"&amp;加弹汇总表!$D$1&amp;"/"&amp;加弹汇总表!BJ$2)</f>
        <v>0</v>
      </c>
      <c r="BK18" s="8">
        <f>SUMIFS(jt!$M:$M,jt!$B:$B,加弹汇总表!$B18,jt!$D:$D,加弹汇总表!$C18,jt!$F:$F,加弹汇总表!$F18,jt!$O:$O,加弹汇总表!$C$1&amp;"/"&amp;加弹汇总表!$D$1&amp;"/"&amp;加弹汇总表!BK$2)</f>
        <v>0</v>
      </c>
      <c r="BL18" s="8">
        <f>SUMIFS(jt!$M:$M,jt!$B:$B,加弹汇总表!$B18,jt!$D:$D,加弹汇总表!$C18,jt!$F:$F,加弹汇总表!$F18,jt!$O:$O,加弹汇总表!$C$1&amp;"/"&amp;加弹汇总表!$D$1&amp;"/"&amp;加弹汇总表!BL$2)</f>
        <v>0</v>
      </c>
      <c r="BM18" s="8">
        <f>SUMIFS(jt!$M:$M,jt!$B:$B,加弹汇总表!$B18,jt!$D:$D,加弹汇总表!$C18,jt!$F:$F,加弹汇总表!$F18,jt!$O:$O,加弹汇总表!$C$1&amp;"/"&amp;加弹汇总表!$D$1&amp;"/"&amp;加弹汇总表!BM$2)</f>
        <v>0</v>
      </c>
      <c r="BN18" s="8">
        <f>SUMIFS(jt!$M:$M,jt!$B:$B,加弹汇总表!$B18,jt!$D:$D,加弹汇总表!$C18,jt!$F:$F,加弹汇总表!$F18,jt!$O:$O,加弹汇总表!$C$1&amp;"/"&amp;加弹汇总表!$D$1&amp;"/"&amp;加弹汇总表!BN$2)</f>
        <v>0</v>
      </c>
      <c r="BO18" s="8">
        <f>SUMIFS(jt!$M:$M,jt!$B:$B,加弹汇总表!$B18,jt!$D:$D,加弹汇总表!$C18,jt!$F:$F,加弹汇总表!$F18,jt!$O:$O,加弹汇总表!$C$1&amp;"/"&amp;加弹汇总表!$D$1&amp;"/"&amp;加弹汇总表!BO$2)</f>
        <v>0</v>
      </c>
      <c r="BP18" s="8">
        <f>SUMIFS(jt!$M:$M,jt!$B:$B,加弹汇总表!$B18,jt!$D:$D,加弹汇总表!$C18,jt!$F:$F,加弹汇总表!$F18,jt!$O:$O,加弹汇总表!$C$1&amp;"/"&amp;加弹汇总表!$D$1&amp;"/"&amp;加弹汇总表!BP$2)</f>
        <v>0</v>
      </c>
      <c r="BQ18" s="8">
        <f>SUMIFS(jt!$M:$M,jt!$B:$B,加弹汇总表!$B18,jt!$D:$D,加弹汇总表!$C18,jt!$F:$F,加弹汇总表!$F18,jt!$O:$O,加弹汇总表!$C$1&amp;"/"&amp;加弹汇总表!$D$1&amp;"/"&amp;加弹汇总表!BQ$2)</f>
        <v>0</v>
      </c>
      <c r="BR18" s="8">
        <f>SUMIFS(jt!$M:$M,jt!$B:$B,加弹汇总表!$B18,jt!$D:$D,加弹汇总表!$C18,jt!$F:$F,加弹汇总表!$F18,jt!$O:$O,加弹汇总表!$C$1&amp;"/"&amp;加弹汇总表!$D$1&amp;"/"&amp;加弹汇总表!BR$2)</f>
        <v>0</v>
      </c>
      <c r="BS18" s="8">
        <f>SUMIFS(jt!$M:$M,jt!$B:$B,加弹汇总表!$B18,jt!$D:$D,加弹汇总表!$C18,jt!$F:$F,加弹汇总表!$F18,jt!$O:$O,加弹汇总表!$C$1&amp;"/"&amp;加弹汇总表!$D$1&amp;"/"&amp;加弹汇总表!BS$2)</f>
        <v>0</v>
      </c>
    </row>
    <row r="19" spans="1:71" ht="18" customHeight="1">
      <c r="A19" s="250" t="str">
        <f t="shared" si="4"/>
        <v>24005530D网络丝55/24黑喷水</v>
      </c>
      <c r="B19" s="14">
        <v>240055</v>
      </c>
      <c r="C19" s="98" t="s">
        <v>863</v>
      </c>
      <c r="D19" s="53" t="s">
        <v>452</v>
      </c>
      <c r="E19" s="78" t="s">
        <v>1064</v>
      </c>
      <c r="F19" s="53" t="s">
        <v>1</v>
      </c>
      <c r="G19" s="53" t="s">
        <v>136</v>
      </c>
      <c r="H19" s="53" t="s">
        <v>862</v>
      </c>
      <c r="I19" s="246">
        <f ca="1">IF(SUMIFS(jt!M:M,jt!A:A,加弹汇总表!A19,jt!O:O,加弹汇总表!$E$1)=0,0,SUM(AO19:BS19)/COUNTIF(AO19:BS19,"&lt;&gt;0"))</f>
        <v>621.11599999999999</v>
      </c>
      <c r="J19" s="53">
        <f t="shared" si="5"/>
        <v>0</v>
      </c>
      <c r="K19" s="53">
        <f t="shared" si="6"/>
        <v>0</v>
      </c>
      <c r="L19" s="53">
        <f t="shared" si="7"/>
        <v>0</v>
      </c>
      <c r="M19" s="53">
        <f t="shared" si="0"/>
        <v>16236.480000000001</v>
      </c>
      <c r="N19" s="53">
        <v>3419.47</v>
      </c>
      <c r="O19" s="53">
        <f t="shared" si="1"/>
        <v>0</v>
      </c>
      <c r="P19" s="53">
        <f t="shared" si="2"/>
        <v>12817.010000000002</v>
      </c>
      <c r="Q19" s="53">
        <f t="shared" si="3"/>
        <v>0</v>
      </c>
      <c r="R19" s="60">
        <f>SUMIFS(jt!$K:$K,jt!$A:$A,加弹汇总表!$A19,jt!$R:$R,加弹汇总表!R$2)</f>
        <v>0</v>
      </c>
      <c r="S19" s="60">
        <f>SUMIFS(jt!$K:$K,jt!$A:$A,加弹汇总表!$A19,jt!$R:$R,加弹汇总表!S$2)</f>
        <v>0</v>
      </c>
      <c r="T19" s="60">
        <f>SUMIFS(jt!$K:$K,jt!$A:$A,加弹汇总表!$A19,jt!$R:$R,加弹汇总表!T$2)</f>
        <v>0</v>
      </c>
      <c r="U19" s="60">
        <f>SUMIFS(jt!$J:$J,jt!$A:$A,加弹汇总表!$A19,jt!$R:$R,加弹汇总表!U$2)</f>
        <v>0</v>
      </c>
      <c r="V19" s="60">
        <f>SUMIFS(jt!$J:$J,jt!$A:$A,加弹汇总表!$A19,jt!$R:$R,加弹汇总表!V$2)</f>
        <v>0</v>
      </c>
      <c r="W19" s="60">
        <f>SUMIFS(jt!$J:$J,jt!$A:$A,加弹汇总表!$A19,jt!$R:$R,加弹汇总表!W$2)</f>
        <v>0</v>
      </c>
      <c r="X19" s="61">
        <f>SUMIFS(jt!$L:$L,jt!$A:$A,加弹汇总表!$A19,jt!$R:$R,加弹汇总表!X$2)</f>
        <v>0</v>
      </c>
      <c r="Y19" s="61">
        <f>SUMIFS(jt!$L:$L,jt!$A:$A,加弹汇总表!$A19,jt!$R:$R,加弹汇总表!Y$2)</f>
        <v>0</v>
      </c>
      <c r="Z19" s="61">
        <f>SUMIFS(jt!$L:$L,jt!$A:$A,加弹汇总表!$A19,jt!$R:$R,加弹汇总表!Z$2)</f>
        <v>0</v>
      </c>
      <c r="AA19" s="62">
        <f>SUMIFS(jt!$M:$M,jt!$A:$A,加弹汇总表!$A19,jt!$R:$R,加弹汇总表!AA$2)</f>
        <v>9711.4300000000021</v>
      </c>
      <c r="AB19" s="62">
        <f>SUMIFS(jt!$M:$M,jt!$A:$A,加弹汇总表!$A19,jt!$R:$R,加弹汇总表!AB$2)</f>
        <v>3105.58</v>
      </c>
      <c r="AC19" s="62">
        <f>SUMIFS(jt!$M:$M,jt!$A:$A,加弹汇总表!$A19,jt!$R:$R,加弹汇总表!AC$2)</f>
        <v>0</v>
      </c>
      <c r="AD19" s="63">
        <f>SUMIFS(jt!$N:$N,jt!$A:$A,加弹汇总表!$A19,jt!$R:$R,加弹汇总表!AD$2)</f>
        <v>0</v>
      </c>
      <c r="AE19" s="63">
        <f>SUMIFS(jt!$N:$N,jt!$A:$A,加弹汇总表!$A19,jt!$R:$R,加弹汇总表!AE$2)</f>
        <v>0</v>
      </c>
      <c r="AF19" s="63">
        <f>SUMIFS(jt!$N:$N,jt!$A:$A,加弹汇总表!$A19,jt!$R:$R,加弹汇总表!AF$2)</f>
        <v>0</v>
      </c>
      <c r="AG19" s="64">
        <f>SUMIFS(jt!$M:$M,jt!$A:$A,加弹汇总表!$A19,jt!$C:$C,加弹汇总表!AG$2)</f>
        <v>0</v>
      </c>
      <c r="AH19" s="64">
        <f>SUMIFS(jt!$M:$M,jt!$A:$A,加弹汇总表!$A19,jt!$C:$C,加弹汇总表!AH$2)</f>
        <v>0</v>
      </c>
      <c r="AI19" s="64">
        <f>SUMIFS(jt!$M:$M,jt!$A:$A,加弹汇总表!$A19,jt!$C:$C,加弹汇总表!AI$2)</f>
        <v>0</v>
      </c>
      <c r="AJ19" s="64">
        <f>SUMIFS(jt!$M:$M,jt!$A:$A,加弹汇总表!$A19,jt!$C:$C,加弹汇总表!AJ$2)</f>
        <v>0</v>
      </c>
      <c r="AK19" s="64">
        <f>SUMIFS(jt!$M:$M,jt!$A:$A,加弹汇总表!$A19,jt!$C:$C,加弹汇总表!AK$2)</f>
        <v>0</v>
      </c>
      <c r="AL19" s="64">
        <f>SUMIFS(jt!$M:$M,jt!$A:$A,加弹汇总表!$A19,jt!$C:$C,加弹汇总表!AL$2)</f>
        <v>0</v>
      </c>
      <c r="AM19" s="64">
        <f>SUMIFS(jt!$M:$M,jt!$A:$A,加弹汇总表!$A19,jt!$C:$C,加弹汇总表!AM$2)</f>
        <v>0</v>
      </c>
      <c r="AN19" s="80">
        <f>SUMIFS(jt!$M:$M,jt!$A:$A,加弹汇总表!$A19,jt!$C:$C,加弹汇总表!AN$2)</f>
        <v>12817.010000000002</v>
      </c>
      <c r="AO19" s="8">
        <f>SUMIFS(jt!$M:$M,jt!$B:$B,加弹汇总表!$B19,jt!$D:$D,加弹汇总表!$C19,jt!$F:$F,加弹汇总表!$F19,jt!$O:$O,加弹汇总表!$C$1&amp;"/"&amp;加弹汇总表!$D$1&amp;"/"&amp;加弹汇总表!AO$2)</f>
        <v>357.99</v>
      </c>
      <c r="AP19" s="8">
        <f>SUMIFS(jt!$M:$M,jt!$B:$B,加弹汇总表!$B19,jt!$D:$D,加弹汇总表!$C19,jt!$F:$F,加弹汇总表!$F19,jt!$O:$O,加弹汇总表!$C$1&amp;"/"&amp;加弹汇总表!$D$1&amp;"/"&amp;加弹汇总表!AP$2)</f>
        <v>590.28</v>
      </c>
      <c r="AQ19" s="8">
        <f>SUMIFS(jt!$M:$M,jt!$B:$B,加弹汇总表!$B19,jt!$D:$D,加弹汇总表!$C19,jt!$F:$F,加弹汇总表!$F19,jt!$O:$O,加弹汇总表!$C$1&amp;"/"&amp;加弹汇总表!$D$1&amp;"/"&amp;加弹汇总表!AQ$2)</f>
        <v>687.64</v>
      </c>
      <c r="AR19" s="8">
        <f>SUMIFS(jt!$M:$M,jt!$B:$B,加弹汇总表!$B19,jt!$D:$D,加弹汇总表!$C19,jt!$F:$F,加弹汇总表!$F19,jt!$O:$O,加弹汇总表!$C$1&amp;"/"&amp;加弹汇总表!$D$1&amp;"/"&amp;加弹汇总表!AR$2)</f>
        <v>751.82</v>
      </c>
      <c r="AS19" s="8">
        <f>SUMIFS(jt!$M:$M,jt!$B:$B,加弹汇总表!$B19,jt!$D:$D,加弹汇总表!$C19,jt!$F:$F,加弹汇总表!$F19,jt!$O:$O,加弹汇总表!$C$1&amp;"/"&amp;加弹汇总表!$D$1&amp;"/"&amp;加弹汇总表!AS$2)</f>
        <v>717.85</v>
      </c>
      <c r="AT19" s="8">
        <f>SUMIFS(jt!$M:$M,jt!$B:$B,加弹汇总表!$B19,jt!$D:$D,加弹汇总表!$C19,jt!$F:$F,加弹汇总表!$F19,jt!$O:$O,加弹汇总表!$C$1&amp;"/"&amp;加弹汇总表!$D$1&amp;"/"&amp;加弹汇总表!AT$2)</f>
        <v>0</v>
      </c>
      <c r="AU19" s="8">
        <f>SUMIFS(jt!$M:$M,jt!$B:$B,加弹汇总表!$B19,jt!$D:$D,加弹汇总表!$C19,jt!$F:$F,加弹汇总表!$F19,jt!$O:$O,加弹汇总表!$C$1&amp;"/"&amp;加弹汇总表!$D$1&amp;"/"&amp;加弹汇总表!AU$2)</f>
        <v>0</v>
      </c>
      <c r="AV19" s="8">
        <f>SUMIFS(jt!$M:$M,jt!$B:$B,加弹汇总表!$B19,jt!$D:$D,加弹汇总表!$C19,jt!$F:$F,加弹汇总表!$F19,jt!$O:$O,加弹汇总表!$C$1&amp;"/"&amp;加弹汇总表!$D$1&amp;"/"&amp;加弹汇总表!AV$2)</f>
        <v>0</v>
      </c>
      <c r="AW19" s="8">
        <f>SUMIFS(jt!$M:$M,jt!$B:$B,加弹汇总表!$B19,jt!$D:$D,加弹汇总表!$C19,jt!$F:$F,加弹汇总表!$F19,jt!$O:$O,加弹汇总表!$C$1&amp;"/"&amp;加弹汇总表!$D$1&amp;"/"&amp;加弹汇总表!AW$2)</f>
        <v>0</v>
      </c>
      <c r="AX19" s="8">
        <f>SUMIFS(jt!$M:$M,jt!$B:$B,加弹汇总表!$B19,jt!$D:$D,加弹汇总表!$C19,jt!$F:$F,加弹汇总表!$F19,jt!$O:$O,加弹汇总表!$C$1&amp;"/"&amp;加弹汇总表!$D$1&amp;"/"&amp;加弹汇总表!AX$2)</f>
        <v>0</v>
      </c>
      <c r="AY19" s="8">
        <f>SUMIFS(jt!$M:$M,jt!$B:$B,加弹汇总表!$B19,jt!$D:$D,加弹汇总表!$C19,jt!$F:$F,加弹汇总表!$F19,jt!$O:$O,加弹汇总表!$C$1&amp;"/"&amp;加弹汇总表!$D$1&amp;"/"&amp;加弹汇总表!AY$2)</f>
        <v>0</v>
      </c>
      <c r="AZ19" s="8">
        <f>SUMIFS(jt!$M:$M,jt!$B:$B,加弹汇总表!$B19,jt!$D:$D,加弹汇总表!$C19,jt!$F:$F,加弹汇总表!$F19,jt!$O:$O,加弹汇总表!$C$1&amp;"/"&amp;加弹汇总表!$D$1&amp;"/"&amp;加弹汇总表!AZ$2)</f>
        <v>0</v>
      </c>
      <c r="BA19" s="8">
        <f>SUMIFS(jt!$M:$M,jt!$B:$B,加弹汇总表!$B19,jt!$D:$D,加弹汇总表!$C19,jt!$F:$F,加弹汇总表!$F19,jt!$O:$O,加弹汇总表!$C$1&amp;"/"&amp;加弹汇总表!$D$1&amp;"/"&amp;加弹汇总表!BA$2)</f>
        <v>0</v>
      </c>
      <c r="BB19" s="8">
        <f>SUMIFS(jt!$M:$M,jt!$B:$B,加弹汇总表!$B19,jt!$D:$D,加弹汇总表!$C19,jt!$F:$F,加弹汇总表!$F19,jt!$O:$O,加弹汇总表!$C$1&amp;"/"&amp;加弹汇总表!$D$1&amp;"/"&amp;加弹汇总表!BB$2)</f>
        <v>0</v>
      </c>
      <c r="BC19" s="8">
        <f>SUMIFS(jt!$M:$M,jt!$B:$B,加弹汇总表!$B19,jt!$D:$D,加弹汇总表!$C19,jt!$F:$F,加弹汇总表!$F19,jt!$O:$O,加弹汇总表!$C$1&amp;"/"&amp;加弹汇总表!$D$1&amp;"/"&amp;加弹汇总表!BC$2)</f>
        <v>0</v>
      </c>
      <c r="BD19" s="8">
        <f>SUMIFS(jt!$M:$M,jt!$B:$B,加弹汇总表!$B19,jt!$D:$D,加弹汇总表!$C19,jt!$F:$F,加弹汇总表!$F19,jt!$O:$O,加弹汇总表!$C$1&amp;"/"&amp;加弹汇总表!$D$1&amp;"/"&amp;加弹汇总表!BD$2)</f>
        <v>0</v>
      </c>
      <c r="BE19" s="8">
        <f>SUMIFS(jt!$M:$M,jt!$B:$B,加弹汇总表!$B19,jt!$D:$D,加弹汇总表!$C19,jt!$F:$F,加弹汇总表!$F19,jt!$O:$O,加弹汇总表!$C$1&amp;"/"&amp;加弹汇总表!$D$1&amp;"/"&amp;加弹汇总表!BE$2)</f>
        <v>0</v>
      </c>
      <c r="BF19" s="8">
        <f>SUMIFS(jt!$M:$M,jt!$B:$B,加弹汇总表!$B19,jt!$D:$D,加弹汇总表!$C19,jt!$F:$F,加弹汇总表!$F19,jt!$O:$O,加弹汇总表!$C$1&amp;"/"&amp;加弹汇总表!$D$1&amp;"/"&amp;加弹汇总表!BF$2)</f>
        <v>0</v>
      </c>
      <c r="BG19" s="8">
        <f>SUMIFS(jt!$M:$M,jt!$B:$B,加弹汇总表!$B19,jt!$D:$D,加弹汇总表!$C19,jt!$F:$F,加弹汇总表!$F19,jt!$O:$O,加弹汇总表!$C$1&amp;"/"&amp;加弹汇总表!$D$1&amp;"/"&amp;加弹汇总表!BG$2)</f>
        <v>0</v>
      </c>
      <c r="BH19" s="8">
        <f>SUMIFS(jt!$M:$M,jt!$B:$B,加弹汇总表!$B19,jt!$D:$D,加弹汇总表!$C19,jt!$F:$F,加弹汇总表!$F19,jt!$O:$O,加弹汇总表!$C$1&amp;"/"&amp;加弹汇总表!$D$1&amp;"/"&amp;加弹汇总表!BH$2)</f>
        <v>0</v>
      </c>
      <c r="BI19" s="8">
        <f>SUMIFS(jt!$M:$M,jt!$B:$B,加弹汇总表!$B19,jt!$D:$D,加弹汇总表!$C19,jt!$F:$F,加弹汇总表!$F19,jt!$O:$O,加弹汇总表!$C$1&amp;"/"&amp;加弹汇总表!$D$1&amp;"/"&amp;加弹汇总表!BI$2)</f>
        <v>0</v>
      </c>
      <c r="BJ19" s="8">
        <f>SUMIFS(jt!$M:$M,jt!$B:$B,加弹汇总表!$B19,jt!$D:$D,加弹汇总表!$C19,jt!$F:$F,加弹汇总表!$F19,jt!$O:$O,加弹汇总表!$C$1&amp;"/"&amp;加弹汇总表!$D$1&amp;"/"&amp;加弹汇总表!BJ$2)</f>
        <v>0</v>
      </c>
      <c r="BK19" s="8">
        <f>SUMIFS(jt!$M:$M,jt!$B:$B,加弹汇总表!$B19,jt!$D:$D,加弹汇总表!$C19,jt!$F:$F,加弹汇总表!$F19,jt!$O:$O,加弹汇总表!$C$1&amp;"/"&amp;加弹汇总表!$D$1&amp;"/"&amp;加弹汇总表!BK$2)</f>
        <v>0</v>
      </c>
      <c r="BL19" s="8">
        <f>SUMIFS(jt!$M:$M,jt!$B:$B,加弹汇总表!$B19,jt!$D:$D,加弹汇总表!$C19,jt!$F:$F,加弹汇总表!$F19,jt!$O:$O,加弹汇总表!$C$1&amp;"/"&amp;加弹汇总表!$D$1&amp;"/"&amp;加弹汇总表!BL$2)</f>
        <v>0</v>
      </c>
      <c r="BM19" s="8">
        <f>SUMIFS(jt!$M:$M,jt!$B:$B,加弹汇总表!$B19,jt!$D:$D,加弹汇总表!$C19,jt!$F:$F,加弹汇总表!$F19,jt!$O:$O,加弹汇总表!$C$1&amp;"/"&amp;加弹汇总表!$D$1&amp;"/"&amp;加弹汇总表!BM$2)</f>
        <v>0</v>
      </c>
      <c r="BN19" s="8">
        <f>SUMIFS(jt!$M:$M,jt!$B:$B,加弹汇总表!$B19,jt!$D:$D,加弹汇总表!$C19,jt!$F:$F,加弹汇总表!$F19,jt!$O:$O,加弹汇总表!$C$1&amp;"/"&amp;加弹汇总表!$D$1&amp;"/"&amp;加弹汇总表!BN$2)</f>
        <v>0</v>
      </c>
      <c r="BO19" s="8">
        <f>SUMIFS(jt!$M:$M,jt!$B:$B,加弹汇总表!$B19,jt!$D:$D,加弹汇总表!$C19,jt!$F:$F,加弹汇总表!$F19,jt!$O:$O,加弹汇总表!$C$1&amp;"/"&amp;加弹汇总表!$D$1&amp;"/"&amp;加弹汇总表!BO$2)</f>
        <v>0</v>
      </c>
      <c r="BP19" s="8">
        <f>SUMIFS(jt!$M:$M,jt!$B:$B,加弹汇总表!$B19,jt!$D:$D,加弹汇总表!$C19,jt!$F:$F,加弹汇总表!$F19,jt!$O:$O,加弹汇总表!$C$1&amp;"/"&amp;加弹汇总表!$D$1&amp;"/"&amp;加弹汇总表!BP$2)</f>
        <v>0</v>
      </c>
      <c r="BQ19" s="8">
        <f>SUMIFS(jt!$M:$M,jt!$B:$B,加弹汇总表!$B19,jt!$D:$D,加弹汇总表!$C19,jt!$F:$F,加弹汇总表!$F19,jt!$O:$O,加弹汇总表!$C$1&amp;"/"&amp;加弹汇总表!$D$1&amp;"/"&amp;加弹汇总表!BQ$2)</f>
        <v>0</v>
      </c>
      <c r="BR19" s="8">
        <f>SUMIFS(jt!$M:$M,jt!$B:$B,加弹汇总表!$B19,jt!$D:$D,加弹汇总表!$C19,jt!$F:$F,加弹汇总表!$F19,jt!$O:$O,加弹汇总表!$C$1&amp;"/"&amp;加弹汇总表!$D$1&amp;"/"&amp;加弹汇总表!BR$2)</f>
        <v>0</v>
      </c>
      <c r="BS19" s="8">
        <f>SUMIFS(jt!$M:$M,jt!$B:$B,加弹汇总表!$B19,jt!$D:$D,加弹汇总表!$C19,jt!$F:$F,加弹汇总表!$F19,jt!$O:$O,加弹汇总表!$C$1&amp;"/"&amp;加弹汇总表!$D$1&amp;"/"&amp;加弹汇总表!BS$2)</f>
        <v>0</v>
      </c>
    </row>
    <row r="20" spans="1:71" ht="18" customHeight="1">
      <c r="A20" s="250" t="str">
        <f t="shared" si="4"/>
        <v>PE61552430D网络丝55/24白喷水</v>
      </c>
      <c r="B20" s="248" t="s">
        <v>2524</v>
      </c>
      <c r="C20" s="98" t="s">
        <v>863</v>
      </c>
      <c r="D20" s="246" t="s">
        <v>2754</v>
      </c>
      <c r="E20" s="78" t="s">
        <v>1064</v>
      </c>
      <c r="F20" s="53" t="s">
        <v>2</v>
      </c>
      <c r="G20" s="246" t="s">
        <v>2753</v>
      </c>
      <c r="H20" s="53" t="s">
        <v>862</v>
      </c>
      <c r="I20" s="246">
        <f ca="1">IF(SUMIFS(jt!M:M,jt!A:A,加弹汇总表!A20,jt!O:O,加弹汇总表!$E$1)=0,0,SUM(AO20:BS20)/COUNTIF(AO20:BS20,"&lt;&gt;0"))</f>
        <v>0</v>
      </c>
      <c r="J20" s="53">
        <f t="shared" si="5"/>
        <v>0</v>
      </c>
      <c r="K20" s="53">
        <f t="shared" si="6"/>
        <v>0</v>
      </c>
      <c r="L20" s="53">
        <f t="shared" si="7"/>
        <v>0</v>
      </c>
      <c r="M20" s="53">
        <f t="shared" si="0"/>
        <v>7345</v>
      </c>
      <c r="N20" s="53">
        <v>5098</v>
      </c>
      <c r="O20" s="53">
        <f t="shared" si="1"/>
        <v>0</v>
      </c>
      <c r="P20" s="53">
        <f t="shared" si="2"/>
        <v>2247</v>
      </c>
      <c r="Q20" s="53">
        <f t="shared" si="3"/>
        <v>0</v>
      </c>
      <c r="R20" s="60">
        <f>SUMIFS(jt!$K:$K,jt!$A:$A,加弹汇总表!$A20,jt!$R:$R,加弹汇总表!R$2)</f>
        <v>0</v>
      </c>
      <c r="S20" s="60">
        <f>SUMIFS(jt!$K:$K,jt!$A:$A,加弹汇总表!$A20,jt!$R:$R,加弹汇总表!S$2)</f>
        <v>0</v>
      </c>
      <c r="T20" s="60">
        <f>SUMIFS(jt!$K:$K,jt!$A:$A,加弹汇总表!$A20,jt!$R:$R,加弹汇总表!T$2)</f>
        <v>0</v>
      </c>
      <c r="U20" s="60">
        <f>SUMIFS(jt!$J:$J,jt!$A:$A,加弹汇总表!$A20,jt!$R:$R,加弹汇总表!U$2)</f>
        <v>0</v>
      </c>
      <c r="V20" s="60">
        <f>SUMIFS(jt!$J:$J,jt!$A:$A,加弹汇总表!$A20,jt!$R:$R,加弹汇总表!V$2)</f>
        <v>0</v>
      </c>
      <c r="W20" s="60">
        <f>SUMIFS(jt!$J:$J,jt!$A:$A,加弹汇总表!$A20,jt!$R:$R,加弹汇总表!W$2)</f>
        <v>0</v>
      </c>
      <c r="X20" s="61">
        <f>SUMIFS(jt!$L:$L,jt!$A:$A,加弹汇总表!$A20,jt!$R:$R,加弹汇总表!X$2)</f>
        <v>0</v>
      </c>
      <c r="Y20" s="61">
        <f>SUMIFS(jt!$L:$L,jt!$A:$A,加弹汇总表!$A20,jt!$R:$R,加弹汇总表!Y$2)</f>
        <v>0</v>
      </c>
      <c r="Z20" s="61">
        <f>SUMIFS(jt!$L:$L,jt!$A:$A,加弹汇总表!$A20,jt!$R:$R,加弹汇总表!Z$2)</f>
        <v>0</v>
      </c>
      <c r="AA20" s="62">
        <f>SUMIFS(jt!$M:$M,jt!$A:$A,加弹汇总表!$A20,jt!$R:$R,加弹汇总表!AA$2)</f>
        <v>400</v>
      </c>
      <c r="AB20" s="62">
        <f>SUMIFS(jt!$M:$M,jt!$A:$A,加弹汇总表!$A20,jt!$R:$R,加弹汇总表!AB$2)</f>
        <v>1847</v>
      </c>
      <c r="AC20" s="62">
        <f>SUMIFS(jt!$M:$M,jt!$A:$A,加弹汇总表!$A20,jt!$R:$R,加弹汇总表!AC$2)</f>
        <v>0</v>
      </c>
      <c r="AD20" s="63">
        <f>SUMIFS(jt!$N:$N,jt!$A:$A,加弹汇总表!$A20,jt!$R:$R,加弹汇总表!AD$2)</f>
        <v>0</v>
      </c>
      <c r="AE20" s="63">
        <f>SUMIFS(jt!$N:$N,jt!$A:$A,加弹汇总表!$A20,jt!$R:$R,加弹汇总表!AE$2)</f>
        <v>0</v>
      </c>
      <c r="AF20" s="63">
        <f>SUMIFS(jt!$N:$N,jt!$A:$A,加弹汇总表!$A20,jt!$R:$R,加弹汇总表!AF$2)</f>
        <v>0</v>
      </c>
      <c r="AG20" s="64">
        <f>SUMIFS(jt!$M:$M,jt!$A:$A,加弹汇总表!$A20,jt!$C:$C,加弹汇总表!AG$2)</f>
        <v>0</v>
      </c>
      <c r="AH20" s="64">
        <f>SUMIFS(jt!$M:$M,jt!$A:$A,加弹汇总表!$A20,jt!$C:$C,加弹汇总表!AH$2)</f>
        <v>0</v>
      </c>
      <c r="AI20" s="64">
        <f>SUMIFS(jt!$M:$M,jt!$A:$A,加弹汇总表!$A20,jt!$C:$C,加弹汇总表!AI$2)</f>
        <v>1847</v>
      </c>
      <c r="AJ20" s="64">
        <f>SUMIFS(jt!$M:$M,jt!$A:$A,加弹汇总表!$A20,jt!$C:$C,加弹汇总表!AJ$2)</f>
        <v>0</v>
      </c>
      <c r="AK20" s="64">
        <f>SUMIFS(jt!$M:$M,jt!$A:$A,加弹汇总表!$A20,jt!$C:$C,加弹汇总表!AK$2)</f>
        <v>0</v>
      </c>
      <c r="AL20" s="64">
        <f>SUMIFS(jt!$M:$M,jt!$A:$A,加弹汇总表!$A20,jt!$C:$C,加弹汇总表!AL$2)</f>
        <v>0</v>
      </c>
      <c r="AM20" s="64">
        <f>SUMIFS(jt!$M:$M,jt!$A:$A,加弹汇总表!$A20,jt!$C:$C,加弹汇总表!AM$2)</f>
        <v>0</v>
      </c>
      <c r="AN20" s="80">
        <f>SUMIFS(jt!$M:$M,jt!$A:$A,加弹汇总表!$A20,jt!$C:$C,加弹汇总表!AN$2)</f>
        <v>400</v>
      </c>
      <c r="AO20" s="8">
        <f>SUMIFS(jt!$M:$M,jt!$B:$B,加弹汇总表!$B20,jt!$D:$D,加弹汇总表!$C20,jt!$F:$F,加弹汇总表!$F20,jt!$O:$O,加弹汇总表!$C$1&amp;"/"&amp;加弹汇总表!$D$1&amp;"/"&amp;加弹汇总表!AO$2)</f>
        <v>396</v>
      </c>
      <c r="AP20" s="8">
        <f>SUMIFS(jt!$M:$M,jt!$B:$B,加弹汇总表!$B20,jt!$D:$D,加弹汇总表!$C20,jt!$F:$F,加弹汇总表!$F20,jt!$O:$O,加弹汇总表!$C$1&amp;"/"&amp;加弹汇总表!$D$1&amp;"/"&amp;加弹汇总表!AP$2)</f>
        <v>0</v>
      </c>
      <c r="AQ20" s="8">
        <f>SUMIFS(jt!$M:$M,jt!$B:$B,加弹汇总表!$B20,jt!$D:$D,加弹汇总表!$C20,jt!$F:$F,加弹汇总表!$F20,jt!$O:$O,加弹汇总表!$C$1&amp;"/"&amp;加弹汇总表!$D$1&amp;"/"&amp;加弹汇总表!AQ$2)</f>
        <v>649</v>
      </c>
      <c r="AR20" s="8">
        <f>SUMIFS(jt!$M:$M,jt!$B:$B,加弹汇总表!$B20,jt!$D:$D,加弹汇总表!$C20,jt!$F:$F,加弹汇总表!$F20,jt!$O:$O,加弹汇总表!$C$1&amp;"/"&amp;加弹汇总表!$D$1&amp;"/"&amp;加弹汇总表!AR$2)</f>
        <v>802</v>
      </c>
      <c r="AS20" s="8">
        <f>SUMIFS(jt!$M:$M,jt!$B:$B,加弹汇总表!$B20,jt!$D:$D,加弹汇总表!$C20,jt!$F:$F,加弹汇总表!$F20,jt!$O:$O,加弹汇总表!$C$1&amp;"/"&amp;加弹汇总表!$D$1&amp;"/"&amp;加弹汇总表!AS$2)</f>
        <v>0</v>
      </c>
      <c r="AT20" s="8">
        <f>SUMIFS(jt!$M:$M,jt!$B:$B,加弹汇总表!$B20,jt!$D:$D,加弹汇总表!$C20,jt!$F:$F,加弹汇总表!$F20,jt!$O:$O,加弹汇总表!$C$1&amp;"/"&amp;加弹汇总表!$D$1&amp;"/"&amp;加弹汇总表!AT$2)</f>
        <v>0</v>
      </c>
      <c r="AU20" s="8">
        <f>SUMIFS(jt!$M:$M,jt!$B:$B,加弹汇总表!$B20,jt!$D:$D,加弹汇总表!$C20,jt!$F:$F,加弹汇总表!$F20,jt!$O:$O,加弹汇总表!$C$1&amp;"/"&amp;加弹汇总表!$D$1&amp;"/"&amp;加弹汇总表!AU$2)</f>
        <v>0</v>
      </c>
      <c r="AV20" s="8">
        <f>SUMIFS(jt!$M:$M,jt!$B:$B,加弹汇总表!$B20,jt!$D:$D,加弹汇总表!$C20,jt!$F:$F,加弹汇总表!$F20,jt!$O:$O,加弹汇总表!$C$1&amp;"/"&amp;加弹汇总表!$D$1&amp;"/"&amp;加弹汇总表!AV$2)</f>
        <v>0</v>
      </c>
      <c r="AW20" s="8">
        <f>SUMIFS(jt!$M:$M,jt!$B:$B,加弹汇总表!$B20,jt!$D:$D,加弹汇总表!$C20,jt!$F:$F,加弹汇总表!$F20,jt!$O:$O,加弹汇总表!$C$1&amp;"/"&amp;加弹汇总表!$D$1&amp;"/"&amp;加弹汇总表!AW$2)</f>
        <v>0</v>
      </c>
      <c r="AX20" s="8">
        <f>SUMIFS(jt!$M:$M,jt!$B:$B,加弹汇总表!$B20,jt!$D:$D,加弹汇总表!$C20,jt!$F:$F,加弹汇总表!$F20,jt!$O:$O,加弹汇总表!$C$1&amp;"/"&amp;加弹汇总表!$D$1&amp;"/"&amp;加弹汇总表!AX$2)</f>
        <v>0</v>
      </c>
      <c r="AY20" s="8">
        <f>SUMIFS(jt!$M:$M,jt!$B:$B,加弹汇总表!$B20,jt!$D:$D,加弹汇总表!$C20,jt!$F:$F,加弹汇总表!$F20,jt!$O:$O,加弹汇总表!$C$1&amp;"/"&amp;加弹汇总表!$D$1&amp;"/"&amp;加弹汇总表!AY$2)</f>
        <v>0</v>
      </c>
      <c r="AZ20" s="8">
        <f>SUMIFS(jt!$M:$M,jt!$B:$B,加弹汇总表!$B20,jt!$D:$D,加弹汇总表!$C20,jt!$F:$F,加弹汇总表!$F20,jt!$O:$O,加弹汇总表!$C$1&amp;"/"&amp;加弹汇总表!$D$1&amp;"/"&amp;加弹汇总表!AZ$2)</f>
        <v>0</v>
      </c>
      <c r="BA20" s="8">
        <f>SUMIFS(jt!$M:$M,jt!$B:$B,加弹汇总表!$B20,jt!$D:$D,加弹汇总表!$C20,jt!$F:$F,加弹汇总表!$F20,jt!$O:$O,加弹汇总表!$C$1&amp;"/"&amp;加弹汇总表!$D$1&amp;"/"&amp;加弹汇总表!BA$2)</f>
        <v>0</v>
      </c>
      <c r="BB20" s="8">
        <f>SUMIFS(jt!$M:$M,jt!$B:$B,加弹汇总表!$B20,jt!$D:$D,加弹汇总表!$C20,jt!$F:$F,加弹汇总表!$F20,jt!$O:$O,加弹汇总表!$C$1&amp;"/"&amp;加弹汇总表!$D$1&amp;"/"&amp;加弹汇总表!BB$2)</f>
        <v>0</v>
      </c>
      <c r="BC20" s="8">
        <f>SUMIFS(jt!$M:$M,jt!$B:$B,加弹汇总表!$B20,jt!$D:$D,加弹汇总表!$C20,jt!$F:$F,加弹汇总表!$F20,jt!$O:$O,加弹汇总表!$C$1&amp;"/"&amp;加弹汇总表!$D$1&amp;"/"&amp;加弹汇总表!BC$2)</f>
        <v>0</v>
      </c>
      <c r="BD20" s="8">
        <f>SUMIFS(jt!$M:$M,jt!$B:$B,加弹汇总表!$B20,jt!$D:$D,加弹汇总表!$C20,jt!$F:$F,加弹汇总表!$F20,jt!$O:$O,加弹汇总表!$C$1&amp;"/"&amp;加弹汇总表!$D$1&amp;"/"&amp;加弹汇总表!BD$2)</f>
        <v>0</v>
      </c>
      <c r="BE20" s="8">
        <f>SUMIFS(jt!$M:$M,jt!$B:$B,加弹汇总表!$B20,jt!$D:$D,加弹汇总表!$C20,jt!$F:$F,加弹汇总表!$F20,jt!$O:$O,加弹汇总表!$C$1&amp;"/"&amp;加弹汇总表!$D$1&amp;"/"&amp;加弹汇总表!BE$2)</f>
        <v>0</v>
      </c>
      <c r="BF20" s="8">
        <f>SUMIFS(jt!$M:$M,jt!$B:$B,加弹汇总表!$B20,jt!$D:$D,加弹汇总表!$C20,jt!$F:$F,加弹汇总表!$F20,jt!$O:$O,加弹汇总表!$C$1&amp;"/"&amp;加弹汇总表!$D$1&amp;"/"&amp;加弹汇总表!BF$2)</f>
        <v>0</v>
      </c>
      <c r="BG20" s="8">
        <f>SUMIFS(jt!$M:$M,jt!$B:$B,加弹汇总表!$B20,jt!$D:$D,加弹汇总表!$C20,jt!$F:$F,加弹汇总表!$F20,jt!$O:$O,加弹汇总表!$C$1&amp;"/"&amp;加弹汇总表!$D$1&amp;"/"&amp;加弹汇总表!BG$2)</f>
        <v>0</v>
      </c>
      <c r="BH20" s="8">
        <f>SUMIFS(jt!$M:$M,jt!$B:$B,加弹汇总表!$B20,jt!$D:$D,加弹汇总表!$C20,jt!$F:$F,加弹汇总表!$F20,jt!$O:$O,加弹汇总表!$C$1&amp;"/"&amp;加弹汇总表!$D$1&amp;"/"&amp;加弹汇总表!BH$2)</f>
        <v>0</v>
      </c>
      <c r="BI20" s="8">
        <f>SUMIFS(jt!$M:$M,jt!$B:$B,加弹汇总表!$B20,jt!$D:$D,加弹汇总表!$C20,jt!$F:$F,加弹汇总表!$F20,jt!$O:$O,加弹汇总表!$C$1&amp;"/"&amp;加弹汇总表!$D$1&amp;"/"&amp;加弹汇总表!BI$2)</f>
        <v>0</v>
      </c>
      <c r="BJ20" s="8">
        <f>SUMIFS(jt!$M:$M,jt!$B:$B,加弹汇总表!$B20,jt!$D:$D,加弹汇总表!$C20,jt!$F:$F,加弹汇总表!$F20,jt!$O:$O,加弹汇总表!$C$1&amp;"/"&amp;加弹汇总表!$D$1&amp;"/"&amp;加弹汇总表!BJ$2)</f>
        <v>0</v>
      </c>
      <c r="BK20" s="8">
        <f>SUMIFS(jt!$M:$M,jt!$B:$B,加弹汇总表!$B20,jt!$D:$D,加弹汇总表!$C20,jt!$F:$F,加弹汇总表!$F20,jt!$O:$O,加弹汇总表!$C$1&amp;"/"&amp;加弹汇总表!$D$1&amp;"/"&amp;加弹汇总表!BK$2)</f>
        <v>0</v>
      </c>
      <c r="BL20" s="8">
        <f>SUMIFS(jt!$M:$M,jt!$B:$B,加弹汇总表!$B20,jt!$D:$D,加弹汇总表!$C20,jt!$F:$F,加弹汇总表!$F20,jt!$O:$O,加弹汇总表!$C$1&amp;"/"&amp;加弹汇总表!$D$1&amp;"/"&amp;加弹汇总表!BL$2)</f>
        <v>0</v>
      </c>
      <c r="BM20" s="8">
        <f>SUMIFS(jt!$M:$M,jt!$B:$B,加弹汇总表!$B20,jt!$D:$D,加弹汇总表!$C20,jt!$F:$F,加弹汇总表!$F20,jt!$O:$O,加弹汇总表!$C$1&amp;"/"&amp;加弹汇总表!$D$1&amp;"/"&amp;加弹汇总表!BM$2)</f>
        <v>0</v>
      </c>
      <c r="BN20" s="8">
        <f>SUMIFS(jt!$M:$M,jt!$B:$B,加弹汇总表!$B20,jt!$D:$D,加弹汇总表!$C20,jt!$F:$F,加弹汇总表!$F20,jt!$O:$O,加弹汇总表!$C$1&amp;"/"&amp;加弹汇总表!$D$1&amp;"/"&amp;加弹汇总表!BN$2)</f>
        <v>0</v>
      </c>
      <c r="BO20" s="8">
        <f>SUMIFS(jt!$M:$M,jt!$B:$B,加弹汇总表!$B20,jt!$D:$D,加弹汇总表!$C20,jt!$F:$F,加弹汇总表!$F20,jt!$O:$O,加弹汇总表!$C$1&amp;"/"&amp;加弹汇总表!$D$1&amp;"/"&amp;加弹汇总表!BO$2)</f>
        <v>0</v>
      </c>
      <c r="BP20" s="8">
        <f>SUMIFS(jt!$M:$M,jt!$B:$B,加弹汇总表!$B20,jt!$D:$D,加弹汇总表!$C20,jt!$F:$F,加弹汇总表!$F20,jt!$O:$O,加弹汇总表!$C$1&amp;"/"&amp;加弹汇总表!$D$1&amp;"/"&amp;加弹汇总表!BP$2)</f>
        <v>0</v>
      </c>
      <c r="BQ20" s="8">
        <f>SUMIFS(jt!$M:$M,jt!$B:$B,加弹汇总表!$B20,jt!$D:$D,加弹汇总表!$C20,jt!$F:$F,加弹汇总表!$F20,jt!$O:$O,加弹汇总表!$C$1&amp;"/"&amp;加弹汇总表!$D$1&amp;"/"&amp;加弹汇总表!BQ$2)</f>
        <v>0</v>
      </c>
      <c r="BR20" s="8">
        <f>SUMIFS(jt!$M:$M,jt!$B:$B,加弹汇总表!$B20,jt!$D:$D,加弹汇总表!$C20,jt!$F:$F,加弹汇总表!$F20,jt!$O:$O,加弹汇总表!$C$1&amp;"/"&amp;加弹汇总表!$D$1&amp;"/"&amp;加弹汇总表!BR$2)</f>
        <v>0</v>
      </c>
      <c r="BS20" s="8">
        <f>SUMIFS(jt!$M:$M,jt!$B:$B,加弹汇总表!$B20,jt!$D:$D,加弹汇总表!$C20,jt!$F:$F,加弹汇总表!$F20,jt!$O:$O,加弹汇总表!$C$1&amp;"/"&amp;加弹汇总表!$D$1&amp;"/"&amp;加弹汇总表!BS$2)</f>
        <v>0</v>
      </c>
    </row>
    <row r="21" spans="1:71" ht="18" customHeight="1">
      <c r="A21" s="250" t="str">
        <f t="shared" si="4"/>
        <v>S2121150D网络丝89/48白喷水</v>
      </c>
      <c r="B21" s="14" t="s">
        <v>864</v>
      </c>
      <c r="C21" s="98" t="s">
        <v>865</v>
      </c>
      <c r="D21" s="53" t="s">
        <v>455</v>
      </c>
      <c r="E21" s="78" t="s">
        <v>1062</v>
      </c>
      <c r="F21" s="53" t="s">
        <v>2</v>
      </c>
      <c r="G21" s="53" t="s">
        <v>158</v>
      </c>
      <c r="H21" s="53" t="s">
        <v>862</v>
      </c>
      <c r="I21" s="246">
        <f ca="1">IF(SUMIFS(jt!M:M,jt!A:A,加弹汇总表!A21,jt!O:O,加弹汇总表!$E$1)=0,0,SUM(AO21:BS21)/COUNTIF(AO21:BS21,"&lt;&gt;0"))</f>
        <v>0</v>
      </c>
      <c r="J21" s="53">
        <f t="shared" si="5"/>
        <v>0</v>
      </c>
      <c r="K21" s="53">
        <f t="shared" si="6"/>
        <v>0</v>
      </c>
      <c r="L21" s="53">
        <f t="shared" si="7"/>
        <v>0</v>
      </c>
      <c r="M21" s="53">
        <f t="shared" si="0"/>
        <v>44502.299999999996</v>
      </c>
      <c r="N21" s="53">
        <v>14297.24</v>
      </c>
      <c r="O21" s="53">
        <f t="shared" si="1"/>
        <v>0</v>
      </c>
      <c r="P21" s="53">
        <f t="shared" si="2"/>
        <v>30205.059999999998</v>
      </c>
      <c r="Q21" s="53">
        <f t="shared" si="3"/>
        <v>0</v>
      </c>
      <c r="R21" s="60">
        <f>SUMIFS(jt!$K:$K,jt!$A:$A,加弹汇总表!$A21,jt!$R:$R,加弹汇总表!R$2)</f>
        <v>0</v>
      </c>
      <c r="S21" s="60">
        <f>SUMIFS(jt!$K:$K,jt!$A:$A,加弹汇总表!$A21,jt!$R:$R,加弹汇总表!S$2)</f>
        <v>0</v>
      </c>
      <c r="T21" s="60">
        <f>SUMIFS(jt!$K:$K,jt!$A:$A,加弹汇总表!$A21,jt!$R:$R,加弹汇总表!T$2)</f>
        <v>0</v>
      </c>
      <c r="U21" s="60">
        <f>SUMIFS(jt!$J:$J,jt!$A:$A,加弹汇总表!$A21,jt!$R:$R,加弹汇总表!U$2)</f>
        <v>0</v>
      </c>
      <c r="V21" s="60">
        <f>SUMIFS(jt!$J:$J,jt!$A:$A,加弹汇总表!$A21,jt!$R:$R,加弹汇总表!V$2)</f>
        <v>0</v>
      </c>
      <c r="W21" s="60">
        <f>SUMIFS(jt!$J:$J,jt!$A:$A,加弹汇总表!$A21,jt!$R:$R,加弹汇总表!W$2)</f>
        <v>0</v>
      </c>
      <c r="X21" s="61">
        <f>SUMIFS(jt!$L:$L,jt!$A:$A,加弹汇总表!$A21,jt!$R:$R,加弹汇总表!X$2)</f>
        <v>0</v>
      </c>
      <c r="Y21" s="61">
        <f>SUMIFS(jt!$L:$L,jt!$A:$A,加弹汇总表!$A21,jt!$R:$R,加弹汇总表!Y$2)</f>
        <v>0</v>
      </c>
      <c r="Z21" s="61">
        <f>SUMIFS(jt!$L:$L,jt!$A:$A,加弹汇总表!$A21,jt!$R:$R,加弹汇总表!Z$2)</f>
        <v>0</v>
      </c>
      <c r="AA21" s="62">
        <f>SUMIFS(jt!$M:$M,jt!$A:$A,加弹汇总表!$A21,jt!$R:$R,加弹汇总表!AA$2)</f>
        <v>30205.059999999998</v>
      </c>
      <c r="AB21" s="62">
        <f>SUMIFS(jt!$M:$M,jt!$A:$A,加弹汇总表!$A21,jt!$R:$R,加弹汇总表!AB$2)</f>
        <v>0</v>
      </c>
      <c r="AC21" s="62">
        <f>SUMIFS(jt!$M:$M,jt!$A:$A,加弹汇总表!$A21,jt!$R:$R,加弹汇总表!AC$2)</f>
        <v>0</v>
      </c>
      <c r="AD21" s="63">
        <f>SUMIFS(jt!$N:$N,jt!$A:$A,加弹汇总表!$A21,jt!$R:$R,加弹汇总表!AD$2)</f>
        <v>0</v>
      </c>
      <c r="AE21" s="63">
        <f>SUMIFS(jt!$N:$N,jt!$A:$A,加弹汇总表!$A21,jt!$R:$R,加弹汇总表!AE$2)</f>
        <v>0</v>
      </c>
      <c r="AF21" s="63">
        <f>SUMIFS(jt!$N:$N,jt!$A:$A,加弹汇总表!$A21,jt!$R:$R,加弹汇总表!AF$2)</f>
        <v>0</v>
      </c>
      <c r="AG21" s="64">
        <f>SUMIFS(jt!$M:$M,jt!$A:$A,加弹汇总表!$A21,jt!$C:$C,加弹汇总表!AG$2)</f>
        <v>30205.059999999998</v>
      </c>
      <c r="AH21" s="64">
        <f>SUMIFS(jt!$M:$M,jt!$A:$A,加弹汇总表!$A21,jt!$C:$C,加弹汇总表!AH$2)</f>
        <v>0</v>
      </c>
      <c r="AI21" s="64">
        <f>SUMIFS(jt!$M:$M,jt!$A:$A,加弹汇总表!$A21,jt!$C:$C,加弹汇总表!AI$2)</f>
        <v>0</v>
      </c>
      <c r="AJ21" s="64">
        <f>SUMIFS(jt!$M:$M,jt!$A:$A,加弹汇总表!$A21,jt!$C:$C,加弹汇总表!AJ$2)</f>
        <v>0</v>
      </c>
      <c r="AK21" s="64">
        <f>SUMIFS(jt!$M:$M,jt!$A:$A,加弹汇总表!$A21,jt!$C:$C,加弹汇总表!AK$2)</f>
        <v>0</v>
      </c>
      <c r="AL21" s="64">
        <f>SUMIFS(jt!$M:$M,jt!$A:$A,加弹汇总表!$A21,jt!$C:$C,加弹汇总表!AL$2)</f>
        <v>0</v>
      </c>
      <c r="AM21" s="64">
        <f>SUMIFS(jt!$M:$M,jt!$A:$A,加弹汇总表!$A21,jt!$C:$C,加弹汇总表!AM$2)</f>
        <v>0</v>
      </c>
      <c r="AN21" s="80">
        <f>SUMIFS(jt!$M:$M,jt!$A:$A,加弹汇总表!$A21,jt!$C:$C,加弹汇总表!AN$2)</f>
        <v>0</v>
      </c>
      <c r="AO21" s="8">
        <f>SUMIFS(jt!$M:$M,jt!$B:$B,加弹汇总表!$B21,jt!$D:$D,加弹汇总表!$C21,jt!$F:$F,加弹汇总表!$F21,jt!$O:$O,加弹汇总表!$C$1&amp;"/"&amp;加弹汇总表!$D$1&amp;"/"&amp;加弹汇总表!AO$2)</f>
        <v>0</v>
      </c>
      <c r="AP21" s="8">
        <f>SUMIFS(jt!$M:$M,jt!$B:$B,加弹汇总表!$B21,jt!$D:$D,加弹汇总表!$C21,jt!$F:$F,加弹汇总表!$F21,jt!$O:$O,加弹汇总表!$C$1&amp;"/"&amp;加弹汇总表!$D$1&amp;"/"&amp;加弹汇总表!AP$2)</f>
        <v>0</v>
      </c>
      <c r="AQ21" s="8">
        <f>SUMIFS(jt!$M:$M,jt!$B:$B,加弹汇总表!$B21,jt!$D:$D,加弹汇总表!$C21,jt!$F:$F,加弹汇总表!$F21,jt!$O:$O,加弹汇总表!$C$1&amp;"/"&amp;加弹汇总表!$D$1&amp;"/"&amp;加弹汇总表!AQ$2)</f>
        <v>0</v>
      </c>
      <c r="AR21" s="8">
        <f>SUMIFS(jt!$M:$M,jt!$B:$B,加弹汇总表!$B21,jt!$D:$D,加弹汇总表!$C21,jt!$F:$F,加弹汇总表!$F21,jt!$O:$O,加弹汇总表!$C$1&amp;"/"&amp;加弹汇总表!$D$1&amp;"/"&amp;加弹汇总表!AR$2)</f>
        <v>0</v>
      </c>
      <c r="AS21" s="8">
        <f>SUMIFS(jt!$M:$M,jt!$B:$B,加弹汇总表!$B21,jt!$D:$D,加弹汇总表!$C21,jt!$F:$F,加弹汇总表!$F21,jt!$O:$O,加弹汇总表!$C$1&amp;"/"&amp;加弹汇总表!$D$1&amp;"/"&amp;加弹汇总表!AS$2)</f>
        <v>0</v>
      </c>
      <c r="AT21" s="8">
        <f>SUMIFS(jt!$M:$M,jt!$B:$B,加弹汇总表!$B21,jt!$D:$D,加弹汇总表!$C21,jt!$F:$F,加弹汇总表!$F21,jt!$O:$O,加弹汇总表!$C$1&amp;"/"&amp;加弹汇总表!$D$1&amp;"/"&amp;加弹汇总表!AT$2)</f>
        <v>0</v>
      </c>
      <c r="AU21" s="8">
        <f>SUMIFS(jt!$M:$M,jt!$B:$B,加弹汇总表!$B21,jt!$D:$D,加弹汇总表!$C21,jt!$F:$F,加弹汇总表!$F21,jt!$O:$O,加弹汇总表!$C$1&amp;"/"&amp;加弹汇总表!$D$1&amp;"/"&amp;加弹汇总表!AU$2)</f>
        <v>0</v>
      </c>
      <c r="AV21" s="8">
        <f>SUMIFS(jt!$M:$M,jt!$B:$B,加弹汇总表!$B21,jt!$D:$D,加弹汇总表!$C21,jt!$F:$F,加弹汇总表!$F21,jt!$O:$O,加弹汇总表!$C$1&amp;"/"&amp;加弹汇总表!$D$1&amp;"/"&amp;加弹汇总表!AV$2)</f>
        <v>0</v>
      </c>
      <c r="AW21" s="8">
        <f>SUMIFS(jt!$M:$M,jt!$B:$B,加弹汇总表!$B21,jt!$D:$D,加弹汇总表!$C21,jt!$F:$F,加弹汇总表!$F21,jt!$O:$O,加弹汇总表!$C$1&amp;"/"&amp;加弹汇总表!$D$1&amp;"/"&amp;加弹汇总表!AW$2)</f>
        <v>0</v>
      </c>
      <c r="AX21" s="8">
        <f>SUMIFS(jt!$M:$M,jt!$B:$B,加弹汇总表!$B21,jt!$D:$D,加弹汇总表!$C21,jt!$F:$F,加弹汇总表!$F21,jt!$O:$O,加弹汇总表!$C$1&amp;"/"&amp;加弹汇总表!$D$1&amp;"/"&amp;加弹汇总表!AX$2)</f>
        <v>0</v>
      </c>
      <c r="AY21" s="8">
        <f>SUMIFS(jt!$M:$M,jt!$B:$B,加弹汇总表!$B21,jt!$D:$D,加弹汇总表!$C21,jt!$F:$F,加弹汇总表!$F21,jt!$O:$O,加弹汇总表!$C$1&amp;"/"&amp;加弹汇总表!$D$1&amp;"/"&amp;加弹汇总表!AY$2)</f>
        <v>0</v>
      </c>
      <c r="AZ21" s="8">
        <f>SUMIFS(jt!$M:$M,jt!$B:$B,加弹汇总表!$B21,jt!$D:$D,加弹汇总表!$C21,jt!$F:$F,加弹汇总表!$F21,jt!$O:$O,加弹汇总表!$C$1&amp;"/"&amp;加弹汇总表!$D$1&amp;"/"&amp;加弹汇总表!AZ$2)</f>
        <v>0</v>
      </c>
      <c r="BA21" s="8">
        <f>SUMIFS(jt!$M:$M,jt!$B:$B,加弹汇总表!$B21,jt!$D:$D,加弹汇总表!$C21,jt!$F:$F,加弹汇总表!$F21,jt!$O:$O,加弹汇总表!$C$1&amp;"/"&amp;加弹汇总表!$D$1&amp;"/"&amp;加弹汇总表!BA$2)</f>
        <v>0</v>
      </c>
      <c r="BB21" s="8">
        <f>SUMIFS(jt!$M:$M,jt!$B:$B,加弹汇总表!$B21,jt!$D:$D,加弹汇总表!$C21,jt!$F:$F,加弹汇总表!$F21,jt!$O:$O,加弹汇总表!$C$1&amp;"/"&amp;加弹汇总表!$D$1&amp;"/"&amp;加弹汇总表!BB$2)</f>
        <v>0</v>
      </c>
      <c r="BC21" s="8">
        <f>SUMIFS(jt!$M:$M,jt!$B:$B,加弹汇总表!$B21,jt!$D:$D,加弹汇总表!$C21,jt!$F:$F,加弹汇总表!$F21,jt!$O:$O,加弹汇总表!$C$1&amp;"/"&amp;加弹汇总表!$D$1&amp;"/"&amp;加弹汇总表!BC$2)</f>
        <v>0</v>
      </c>
      <c r="BD21" s="8">
        <f>SUMIFS(jt!$M:$M,jt!$B:$B,加弹汇总表!$B21,jt!$D:$D,加弹汇总表!$C21,jt!$F:$F,加弹汇总表!$F21,jt!$O:$O,加弹汇总表!$C$1&amp;"/"&amp;加弹汇总表!$D$1&amp;"/"&amp;加弹汇总表!BD$2)</f>
        <v>0</v>
      </c>
      <c r="BE21" s="8">
        <f>SUMIFS(jt!$M:$M,jt!$B:$B,加弹汇总表!$B21,jt!$D:$D,加弹汇总表!$C21,jt!$F:$F,加弹汇总表!$F21,jt!$O:$O,加弹汇总表!$C$1&amp;"/"&amp;加弹汇总表!$D$1&amp;"/"&amp;加弹汇总表!BE$2)</f>
        <v>0</v>
      </c>
      <c r="BF21" s="8">
        <f>SUMIFS(jt!$M:$M,jt!$B:$B,加弹汇总表!$B21,jt!$D:$D,加弹汇总表!$C21,jt!$F:$F,加弹汇总表!$F21,jt!$O:$O,加弹汇总表!$C$1&amp;"/"&amp;加弹汇总表!$D$1&amp;"/"&amp;加弹汇总表!BF$2)</f>
        <v>0</v>
      </c>
      <c r="BG21" s="8">
        <f>SUMIFS(jt!$M:$M,jt!$B:$B,加弹汇总表!$B21,jt!$D:$D,加弹汇总表!$C21,jt!$F:$F,加弹汇总表!$F21,jt!$O:$O,加弹汇总表!$C$1&amp;"/"&amp;加弹汇总表!$D$1&amp;"/"&amp;加弹汇总表!BG$2)</f>
        <v>0</v>
      </c>
      <c r="BH21" s="8">
        <f>SUMIFS(jt!$M:$M,jt!$B:$B,加弹汇总表!$B21,jt!$D:$D,加弹汇总表!$C21,jt!$F:$F,加弹汇总表!$F21,jt!$O:$O,加弹汇总表!$C$1&amp;"/"&amp;加弹汇总表!$D$1&amp;"/"&amp;加弹汇总表!BH$2)</f>
        <v>0</v>
      </c>
      <c r="BI21" s="8">
        <f>SUMIFS(jt!$M:$M,jt!$B:$B,加弹汇总表!$B21,jt!$D:$D,加弹汇总表!$C21,jt!$F:$F,加弹汇总表!$F21,jt!$O:$O,加弹汇总表!$C$1&amp;"/"&amp;加弹汇总表!$D$1&amp;"/"&amp;加弹汇总表!BI$2)</f>
        <v>0</v>
      </c>
      <c r="BJ21" s="8">
        <f>SUMIFS(jt!$M:$M,jt!$B:$B,加弹汇总表!$B21,jt!$D:$D,加弹汇总表!$C21,jt!$F:$F,加弹汇总表!$F21,jt!$O:$O,加弹汇总表!$C$1&amp;"/"&amp;加弹汇总表!$D$1&amp;"/"&amp;加弹汇总表!BJ$2)</f>
        <v>0</v>
      </c>
      <c r="BK21" s="8">
        <f>SUMIFS(jt!$M:$M,jt!$B:$B,加弹汇总表!$B21,jt!$D:$D,加弹汇总表!$C21,jt!$F:$F,加弹汇总表!$F21,jt!$O:$O,加弹汇总表!$C$1&amp;"/"&amp;加弹汇总表!$D$1&amp;"/"&amp;加弹汇总表!BK$2)</f>
        <v>0</v>
      </c>
      <c r="BL21" s="8">
        <f>SUMIFS(jt!$M:$M,jt!$B:$B,加弹汇总表!$B21,jt!$D:$D,加弹汇总表!$C21,jt!$F:$F,加弹汇总表!$F21,jt!$O:$O,加弹汇总表!$C$1&amp;"/"&amp;加弹汇总表!$D$1&amp;"/"&amp;加弹汇总表!BL$2)</f>
        <v>0</v>
      </c>
      <c r="BM21" s="8">
        <f>SUMIFS(jt!$M:$M,jt!$B:$B,加弹汇总表!$B21,jt!$D:$D,加弹汇总表!$C21,jt!$F:$F,加弹汇总表!$F21,jt!$O:$O,加弹汇总表!$C$1&amp;"/"&amp;加弹汇总表!$D$1&amp;"/"&amp;加弹汇总表!BM$2)</f>
        <v>0</v>
      </c>
      <c r="BN21" s="8">
        <f>SUMIFS(jt!$M:$M,jt!$B:$B,加弹汇总表!$B21,jt!$D:$D,加弹汇总表!$C21,jt!$F:$F,加弹汇总表!$F21,jt!$O:$O,加弹汇总表!$C$1&amp;"/"&amp;加弹汇总表!$D$1&amp;"/"&amp;加弹汇总表!BN$2)</f>
        <v>0</v>
      </c>
      <c r="BO21" s="8">
        <f>SUMIFS(jt!$M:$M,jt!$B:$B,加弹汇总表!$B21,jt!$D:$D,加弹汇总表!$C21,jt!$F:$F,加弹汇总表!$F21,jt!$O:$O,加弹汇总表!$C$1&amp;"/"&amp;加弹汇总表!$D$1&amp;"/"&amp;加弹汇总表!BO$2)</f>
        <v>0</v>
      </c>
      <c r="BP21" s="8">
        <f>SUMIFS(jt!$M:$M,jt!$B:$B,加弹汇总表!$B21,jt!$D:$D,加弹汇总表!$C21,jt!$F:$F,加弹汇总表!$F21,jt!$O:$O,加弹汇总表!$C$1&amp;"/"&amp;加弹汇总表!$D$1&amp;"/"&amp;加弹汇总表!BP$2)</f>
        <v>0</v>
      </c>
      <c r="BQ21" s="8">
        <f>SUMIFS(jt!$M:$M,jt!$B:$B,加弹汇总表!$B21,jt!$D:$D,加弹汇总表!$C21,jt!$F:$F,加弹汇总表!$F21,jt!$O:$O,加弹汇总表!$C$1&amp;"/"&amp;加弹汇总表!$D$1&amp;"/"&amp;加弹汇总表!BQ$2)</f>
        <v>0</v>
      </c>
      <c r="BR21" s="8">
        <f>SUMIFS(jt!$M:$M,jt!$B:$B,加弹汇总表!$B21,jt!$D:$D,加弹汇总表!$C21,jt!$F:$F,加弹汇总表!$F21,jt!$O:$O,加弹汇总表!$C$1&amp;"/"&amp;加弹汇总表!$D$1&amp;"/"&amp;加弹汇总表!BR$2)</f>
        <v>0</v>
      </c>
      <c r="BS21" s="8">
        <f>SUMIFS(jt!$M:$M,jt!$B:$B,加弹汇总表!$B21,jt!$D:$D,加弹汇总表!$C21,jt!$F:$F,加弹汇总表!$F21,jt!$O:$O,加弹汇总表!$C$1&amp;"/"&amp;加弹汇总表!$D$1&amp;"/"&amp;加弹汇总表!BS$2)</f>
        <v>0</v>
      </c>
    </row>
    <row r="22" spans="1:71" ht="18" customHeight="1">
      <c r="A22" s="250" t="str">
        <f t="shared" si="4"/>
        <v>64009450D网络丝94/36黑喷水</v>
      </c>
      <c r="B22" s="14">
        <v>640094</v>
      </c>
      <c r="C22" s="98" t="s">
        <v>865</v>
      </c>
      <c r="D22" s="53" t="s">
        <v>460</v>
      </c>
      <c r="E22" s="78" t="s">
        <v>1062</v>
      </c>
      <c r="F22" s="53" t="s">
        <v>1</v>
      </c>
      <c r="G22" s="53" t="s">
        <v>136</v>
      </c>
      <c r="H22" s="53" t="s">
        <v>862</v>
      </c>
      <c r="I22" s="246">
        <f ca="1">IF(SUMIFS(jt!M:M,jt!A:A,加弹汇总表!A22,jt!O:O,加弹汇总表!$E$1)=0,0,SUM(AO22:BS22)/COUNTIF(AO22:BS22,"&lt;&gt;0"))</f>
        <v>628.6</v>
      </c>
      <c r="J22" s="53">
        <f t="shared" si="5"/>
        <v>0</v>
      </c>
      <c r="K22" s="53">
        <f t="shared" si="6"/>
        <v>0</v>
      </c>
      <c r="L22" s="53">
        <f t="shared" si="7"/>
        <v>0</v>
      </c>
      <c r="M22" s="53">
        <f t="shared" si="0"/>
        <v>27952.61</v>
      </c>
      <c r="N22" s="53"/>
      <c r="O22" s="53">
        <f t="shared" si="1"/>
        <v>0</v>
      </c>
      <c r="P22" s="53">
        <f t="shared" si="2"/>
        <v>27952.61</v>
      </c>
      <c r="Q22" s="53">
        <f t="shared" si="3"/>
        <v>0</v>
      </c>
      <c r="R22" s="60">
        <f>SUMIFS(jt!$K:$K,jt!$A:$A,加弹汇总表!$A22,jt!$R:$R,加弹汇总表!R$2)</f>
        <v>0</v>
      </c>
      <c r="S22" s="60">
        <f>SUMIFS(jt!$K:$K,jt!$A:$A,加弹汇总表!$A22,jt!$R:$R,加弹汇总表!S$2)</f>
        <v>0</v>
      </c>
      <c r="T22" s="60">
        <f>SUMIFS(jt!$K:$K,jt!$A:$A,加弹汇总表!$A22,jt!$R:$R,加弹汇总表!T$2)</f>
        <v>0</v>
      </c>
      <c r="U22" s="60">
        <f>SUMIFS(jt!$J:$J,jt!$A:$A,加弹汇总表!$A22,jt!$R:$R,加弹汇总表!U$2)</f>
        <v>0</v>
      </c>
      <c r="V22" s="60">
        <f>SUMIFS(jt!$J:$J,jt!$A:$A,加弹汇总表!$A22,jt!$R:$R,加弹汇总表!V$2)</f>
        <v>0</v>
      </c>
      <c r="W22" s="60">
        <f>SUMIFS(jt!$J:$J,jt!$A:$A,加弹汇总表!$A22,jt!$R:$R,加弹汇总表!W$2)</f>
        <v>0</v>
      </c>
      <c r="X22" s="61">
        <f>SUMIFS(jt!$L:$L,jt!$A:$A,加弹汇总表!$A22,jt!$R:$R,加弹汇总表!X$2)</f>
        <v>0</v>
      </c>
      <c r="Y22" s="61">
        <f>SUMIFS(jt!$L:$L,jt!$A:$A,加弹汇总表!$A22,jt!$R:$R,加弹汇总表!Y$2)</f>
        <v>0</v>
      </c>
      <c r="Z22" s="61">
        <f>SUMIFS(jt!$L:$L,jt!$A:$A,加弹汇总表!$A22,jt!$R:$R,加弹汇总表!Z$2)</f>
        <v>0</v>
      </c>
      <c r="AA22" s="62">
        <f>SUMIFS(jt!$M:$M,jt!$A:$A,加弹汇总表!$A22,jt!$R:$R,加弹汇总表!AA$2)</f>
        <v>24809.61</v>
      </c>
      <c r="AB22" s="62">
        <f>SUMIFS(jt!$M:$M,jt!$A:$A,加弹汇总表!$A22,jt!$R:$R,加弹汇总表!AB$2)</f>
        <v>3143</v>
      </c>
      <c r="AC22" s="62">
        <f>SUMIFS(jt!$M:$M,jt!$A:$A,加弹汇总表!$A22,jt!$R:$R,加弹汇总表!AC$2)</f>
        <v>0</v>
      </c>
      <c r="AD22" s="63">
        <f>SUMIFS(jt!$N:$N,jt!$A:$A,加弹汇总表!$A22,jt!$R:$R,加弹汇总表!AD$2)</f>
        <v>0</v>
      </c>
      <c r="AE22" s="63">
        <f>SUMIFS(jt!$N:$N,jt!$A:$A,加弹汇总表!$A22,jt!$R:$R,加弹汇总表!AE$2)</f>
        <v>0</v>
      </c>
      <c r="AF22" s="63">
        <f>SUMIFS(jt!$N:$N,jt!$A:$A,加弹汇总表!$A22,jt!$R:$R,加弹汇总表!AF$2)</f>
        <v>0</v>
      </c>
      <c r="AG22" s="64">
        <f>SUMIFS(jt!$M:$M,jt!$A:$A,加弹汇总表!$A22,jt!$C:$C,加弹汇总表!AG$2)</f>
        <v>0</v>
      </c>
      <c r="AH22" s="64">
        <f>SUMIFS(jt!$M:$M,jt!$A:$A,加弹汇总表!$A22,jt!$C:$C,加弹汇总表!AH$2)</f>
        <v>0</v>
      </c>
      <c r="AI22" s="64">
        <f>SUMIFS(jt!$M:$M,jt!$A:$A,加弹汇总表!$A22,jt!$C:$C,加弹汇总表!AI$2)</f>
        <v>0</v>
      </c>
      <c r="AJ22" s="64">
        <f>SUMIFS(jt!$M:$M,jt!$A:$A,加弹汇总表!$A22,jt!$C:$C,加弹汇总表!AJ$2)</f>
        <v>0</v>
      </c>
      <c r="AK22" s="64">
        <f>SUMIFS(jt!$M:$M,jt!$A:$A,加弹汇总表!$A22,jt!$C:$C,加弹汇总表!AK$2)</f>
        <v>0</v>
      </c>
      <c r="AL22" s="64">
        <f>SUMIFS(jt!$M:$M,jt!$A:$A,加弹汇总表!$A22,jt!$C:$C,加弹汇总表!AL$2)</f>
        <v>20402.61</v>
      </c>
      <c r="AM22" s="64">
        <f>SUMIFS(jt!$M:$M,jt!$A:$A,加弹汇总表!$A22,jt!$C:$C,加弹汇总表!AM$2)</f>
        <v>7550</v>
      </c>
      <c r="AN22" s="80">
        <f>SUMIFS(jt!$M:$M,jt!$A:$A,加弹汇总表!$A22,jt!$C:$C,加弹汇总表!AN$2)</f>
        <v>0</v>
      </c>
      <c r="AO22" s="8">
        <f>SUMIFS(jt!$M:$M,jt!$B:$B,加弹汇总表!$B22,jt!$D:$D,加弹汇总表!$C22,jt!$F:$F,加弹汇总表!$F22,jt!$O:$O,加弹汇总表!$C$1&amp;"/"&amp;加弹汇总表!$D$1&amp;"/"&amp;加弹汇总表!AO$2)</f>
        <v>652</v>
      </c>
      <c r="AP22" s="8">
        <f>SUMIFS(jt!$M:$M,jt!$B:$B,加弹汇总表!$B22,jt!$D:$D,加弹汇总表!$C22,jt!$F:$F,加弹汇总表!$F22,jt!$O:$O,加弹汇总表!$C$1&amp;"/"&amp;加弹汇总表!$D$1&amp;"/"&amp;加弹汇总表!AP$2)</f>
        <v>629</v>
      </c>
      <c r="AQ22" s="8">
        <f>SUMIFS(jt!$M:$M,jt!$B:$B,加弹汇总表!$B22,jt!$D:$D,加弹汇总表!$C22,jt!$F:$F,加弹汇总表!$F22,jt!$O:$O,加弹汇总表!$C$1&amp;"/"&amp;加弹汇总表!$D$1&amp;"/"&amp;加弹汇总表!AQ$2)</f>
        <v>671</v>
      </c>
      <c r="AR22" s="8">
        <f>SUMIFS(jt!$M:$M,jt!$B:$B,加弹汇总表!$B22,jt!$D:$D,加弹汇总表!$C22,jt!$F:$F,加弹汇总表!$F22,jt!$O:$O,加弹汇总表!$C$1&amp;"/"&amp;加弹汇总表!$D$1&amp;"/"&amp;加弹汇总表!AR$2)</f>
        <v>569</v>
      </c>
      <c r="AS22" s="8">
        <f>SUMIFS(jt!$M:$M,jt!$B:$B,加弹汇总表!$B22,jt!$D:$D,加弹汇总表!$C22,jt!$F:$F,加弹汇总表!$F22,jt!$O:$O,加弹汇总表!$C$1&amp;"/"&amp;加弹汇总表!$D$1&amp;"/"&amp;加弹汇总表!AS$2)</f>
        <v>622</v>
      </c>
      <c r="AT22" s="8">
        <f>SUMIFS(jt!$M:$M,jt!$B:$B,加弹汇总表!$B22,jt!$D:$D,加弹汇总表!$C22,jt!$F:$F,加弹汇总表!$F22,jt!$O:$O,加弹汇总表!$C$1&amp;"/"&amp;加弹汇总表!$D$1&amp;"/"&amp;加弹汇总表!AT$2)</f>
        <v>0</v>
      </c>
      <c r="AU22" s="8">
        <f>SUMIFS(jt!$M:$M,jt!$B:$B,加弹汇总表!$B22,jt!$D:$D,加弹汇总表!$C22,jt!$F:$F,加弹汇总表!$F22,jt!$O:$O,加弹汇总表!$C$1&amp;"/"&amp;加弹汇总表!$D$1&amp;"/"&amp;加弹汇总表!AU$2)</f>
        <v>0</v>
      </c>
      <c r="AV22" s="8">
        <f>SUMIFS(jt!$M:$M,jt!$B:$B,加弹汇总表!$B22,jt!$D:$D,加弹汇总表!$C22,jt!$F:$F,加弹汇总表!$F22,jt!$O:$O,加弹汇总表!$C$1&amp;"/"&amp;加弹汇总表!$D$1&amp;"/"&amp;加弹汇总表!AV$2)</f>
        <v>0</v>
      </c>
      <c r="AW22" s="8">
        <f>SUMIFS(jt!$M:$M,jt!$B:$B,加弹汇总表!$B22,jt!$D:$D,加弹汇总表!$C22,jt!$F:$F,加弹汇总表!$F22,jt!$O:$O,加弹汇总表!$C$1&amp;"/"&amp;加弹汇总表!$D$1&amp;"/"&amp;加弹汇总表!AW$2)</f>
        <v>0</v>
      </c>
      <c r="AX22" s="8">
        <f>SUMIFS(jt!$M:$M,jt!$B:$B,加弹汇总表!$B22,jt!$D:$D,加弹汇总表!$C22,jt!$F:$F,加弹汇总表!$F22,jt!$O:$O,加弹汇总表!$C$1&amp;"/"&amp;加弹汇总表!$D$1&amp;"/"&amp;加弹汇总表!AX$2)</f>
        <v>0</v>
      </c>
      <c r="AY22" s="8">
        <f>SUMIFS(jt!$M:$M,jt!$B:$B,加弹汇总表!$B22,jt!$D:$D,加弹汇总表!$C22,jt!$F:$F,加弹汇总表!$F22,jt!$O:$O,加弹汇总表!$C$1&amp;"/"&amp;加弹汇总表!$D$1&amp;"/"&amp;加弹汇总表!AY$2)</f>
        <v>0</v>
      </c>
      <c r="AZ22" s="8">
        <f>SUMIFS(jt!$M:$M,jt!$B:$B,加弹汇总表!$B22,jt!$D:$D,加弹汇总表!$C22,jt!$F:$F,加弹汇总表!$F22,jt!$O:$O,加弹汇总表!$C$1&amp;"/"&amp;加弹汇总表!$D$1&amp;"/"&amp;加弹汇总表!AZ$2)</f>
        <v>0</v>
      </c>
      <c r="BA22" s="8">
        <f>SUMIFS(jt!$M:$M,jt!$B:$B,加弹汇总表!$B22,jt!$D:$D,加弹汇总表!$C22,jt!$F:$F,加弹汇总表!$F22,jt!$O:$O,加弹汇总表!$C$1&amp;"/"&amp;加弹汇总表!$D$1&amp;"/"&amp;加弹汇总表!BA$2)</f>
        <v>0</v>
      </c>
      <c r="BB22" s="8">
        <f>SUMIFS(jt!$M:$M,jt!$B:$B,加弹汇总表!$B22,jt!$D:$D,加弹汇总表!$C22,jt!$F:$F,加弹汇总表!$F22,jt!$O:$O,加弹汇总表!$C$1&amp;"/"&amp;加弹汇总表!$D$1&amp;"/"&amp;加弹汇总表!BB$2)</f>
        <v>0</v>
      </c>
      <c r="BC22" s="8">
        <f>SUMIFS(jt!$M:$M,jt!$B:$B,加弹汇总表!$B22,jt!$D:$D,加弹汇总表!$C22,jt!$F:$F,加弹汇总表!$F22,jt!$O:$O,加弹汇总表!$C$1&amp;"/"&amp;加弹汇总表!$D$1&amp;"/"&amp;加弹汇总表!BC$2)</f>
        <v>0</v>
      </c>
      <c r="BD22" s="8">
        <f>SUMIFS(jt!$M:$M,jt!$B:$B,加弹汇总表!$B22,jt!$D:$D,加弹汇总表!$C22,jt!$F:$F,加弹汇总表!$F22,jt!$O:$O,加弹汇总表!$C$1&amp;"/"&amp;加弹汇总表!$D$1&amp;"/"&amp;加弹汇总表!BD$2)</f>
        <v>0</v>
      </c>
      <c r="BE22" s="8">
        <f>SUMIFS(jt!$M:$M,jt!$B:$B,加弹汇总表!$B22,jt!$D:$D,加弹汇总表!$C22,jt!$F:$F,加弹汇总表!$F22,jt!$O:$O,加弹汇总表!$C$1&amp;"/"&amp;加弹汇总表!$D$1&amp;"/"&amp;加弹汇总表!BE$2)</f>
        <v>0</v>
      </c>
      <c r="BF22" s="8">
        <f>SUMIFS(jt!$M:$M,jt!$B:$B,加弹汇总表!$B22,jt!$D:$D,加弹汇总表!$C22,jt!$F:$F,加弹汇总表!$F22,jt!$O:$O,加弹汇总表!$C$1&amp;"/"&amp;加弹汇总表!$D$1&amp;"/"&amp;加弹汇总表!BF$2)</f>
        <v>0</v>
      </c>
      <c r="BG22" s="8">
        <f>SUMIFS(jt!$M:$M,jt!$B:$B,加弹汇总表!$B22,jt!$D:$D,加弹汇总表!$C22,jt!$F:$F,加弹汇总表!$F22,jt!$O:$O,加弹汇总表!$C$1&amp;"/"&amp;加弹汇总表!$D$1&amp;"/"&amp;加弹汇总表!BG$2)</f>
        <v>0</v>
      </c>
      <c r="BH22" s="8">
        <f>SUMIFS(jt!$M:$M,jt!$B:$B,加弹汇总表!$B22,jt!$D:$D,加弹汇总表!$C22,jt!$F:$F,加弹汇总表!$F22,jt!$O:$O,加弹汇总表!$C$1&amp;"/"&amp;加弹汇总表!$D$1&amp;"/"&amp;加弹汇总表!BH$2)</f>
        <v>0</v>
      </c>
      <c r="BI22" s="8">
        <f>SUMIFS(jt!$M:$M,jt!$B:$B,加弹汇总表!$B22,jt!$D:$D,加弹汇总表!$C22,jt!$F:$F,加弹汇总表!$F22,jt!$O:$O,加弹汇总表!$C$1&amp;"/"&amp;加弹汇总表!$D$1&amp;"/"&amp;加弹汇总表!BI$2)</f>
        <v>0</v>
      </c>
      <c r="BJ22" s="8">
        <f>SUMIFS(jt!$M:$M,jt!$B:$B,加弹汇总表!$B22,jt!$D:$D,加弹汇总表!$C22,jt!$F:$F,加弹汇总表!$F22,jt!$O:$O,加弹汇总表!$C$1&amp;"/"&amp;加弹汇总表!$D$1&amp;"/"&amp;加弹汇总表!BJ$2)</f>
        <v>0</v>
      </c>
      <c r="BK22" s="8">
        <f>SUMIFS(jt!$M:$M,jt!$B:$B,加弹汇总表!$B22,jt!$D:$D,加弹汇总表!$C22,jt!$F:$F,加弹汇总表!$F22,jt!$O:$O,加弹汇总表!$C$1&amp;"/"&amp;加弹汇总表!$D$1&amp;"/"&amp;加弹汇总表!BK$2)</f>
        <v>0</v>
      </c>
      <c r="BL22" s="8">
        <f>SUMIFS(jt!$M:$M,jt!$B:$B,加弹汇总表!$B22,jt!$D:$D,加弹汇总表!$C22,jt!$F:$F,加弹汇总表!$F22,jt!$O:$O,加弹汇总表!$C$1&amp;"/"&amp;加弹汇总表!$D$1&amp;"/"&amp;加弹汇总表!BL$2)</f>
        <v>0</v>
      </c>
      <c r="BM22" s="8">
        <f>SUMIFS(jt!$M:$M,jt!$B:$B,加弹汇总表!$B22,jt!$D:$D,加弹汇总表!$C22,jt!$F:$F,加弹汇总表!$F22,jt!$O:$O,加弹汇总表!$C$1&amp;"/"&amp;加弹汇总表!$D$1&amp;"/"&amp;加弹汇总表!BM$2)</f>
        <v>0</v>
      </c>
      <c r="BN22" s="8">
        <f>SUMIFS(jt!$M:$M,jt!$B:$B,加弹汇总表!$B22,jt!$D:$D,加弹汇总表!$C22,jt!$F:$F,加弹汇总表!$F22,jt!$O:$O,加弹汇总表!$C$1&amp;"/"&amp;加弹汇总表!$D$1&amp;"/"&amp;加弹汇总表!BN$2)</f>
        <v>0</v>
      </c>
      <c r="BO22" s="8">
        <f>SUMIFS(jt!$M:$M,jt!$B:$B,加弹汇总表!$B22,jt!$D:$D,加弹汇总表!$C22,jt!$F:$F,加弹汇总表!$F22,jt!$O:$O,加弹汇总表!$C$1&amp;"/"&amp;加弹汇总表!$D$1&amp;"/"&amp;加弹汇总表!BO$2)</f>
        <v>0</v>
      </c>
      <c r="BP22" s="8">
        <f>SUMIFS(jt!$M:$M,jt!$B:$B,加弹汇总表!$B22,jt!$D:$D,加弹汇总表!$C22,jt!$F:$F,加弹汇总表!$F22,jt!$O:$O,加弹汇总表!$C$1&amp;"/"&amp;加弹汇总表!$D$1&amp;"/"&amp;加弹汇总表!BP$2)</f>
        <v>0</v>
      </c>
      <c r="BQ22" s="8">
        <f>SUMIFS(jt!$M:$M,jt!$B:$B,加弹汇总表!$B22,jt!$D:$D,加弹汇总表!$C22,jt!$F:$F,加弹汇总表!$F22,jt!$O:$O,加弹汇总表!$C$1&amp;"/"&amp;加弹汇总表!$D$1&amp;"/"&amp;加弹汇总表!BQ$2)</f>
        <v>0</v>
      </c>
      <c r="BR22" s="8">
        <f>SUMIFS(jt!$M:$M,jt!$B:$B,加弹汇总表!$B22,jt!$D:$D,加弹汇总表!$C22,jt!$F:$F,加弹汇总表!$F22,jt!$O:$O,加弹汇总表!$C$1&amp;"/"&amp;加弹汇总表!$D$1&amp;"/"&amp;加弹汇总表!BR$2)</f>
        <v>0</v>
      </c>
      <c r="BS22" s="8">
        <f>SUMIFS(jt!$M:$M,jt!$B:$B,加弹汇总表!$B22,jt!$D:$D,加弹汇总表!$C22,jt!$F:$F,加弹汇总表!$F22,jt!$O:$O,加弹汇总表!$C$1&amp;"/"&amp;加弹汇总表!$D$1&amp;"/"&amp;加弹汇总表!BS$2)</f>
        <v>0</v>
      </c>
    </row>
    <row r="23" spans="1:71" ht="18" customHeight="1">
      <c r="A23" s="250" t="str">
        <f t="shared" si="4"/>
        <v>S2132575D网络丝130/48白喷水</v>
      </c>
      <c r="B23" s="14" t="s">
        <v>384</v>
      </c>
      <c r="C23" s="98" t="s">
        <v>866</v>
      </c>
      <c r="D23" s="53" t="s">
        <v>381</v>
      </c>
      <c r="E23" s="78" t="s">
        <v>1065</v>
      </c>
      <c r="F23" s="53" t="s">
        <v>2</v>
      </c>
      <c r="G23" s="53" t="s">
        <v>158</v>
      </c>
      <c r="H23" s="53" t="s">
        <v>862</v>
      </c>
      <c r="I23" s="246">
        <f ca="1">IF(SUMIFS(jt!M:M,jt!A:A,加弹汇总表!A23,jt!O:O,加弹汇总表!$E$1)=0,0,SUM(AO23:BS23)/COUNTIF(AO23:BS23,"&lt;&gt;0"))</f>
        <v>0</v>
      </c>
      <c r="J23" s="53">
        <f t="shared" si="5"/>
        <v>0</v>
      </c>
      <c r="K23" s="53">
        <f t="shared" si="6"/>
        <v>0</v>
      </c>
      <c r="L23" s="53">
        <f t="shared" si="7"/>
        <v>0</v>
      </c>
      <c r="M23" s="53">
        <f t="shared" si="0"/>
        <v>70101.37</v>
      </c>
      <c r="N23" s="53">
        <v>32921.5</v>
      </c>
      <c r="O23" s="53">
        <f t="shared" si="1"/>
        <v>0</v>
      </c>
      <c r="P23" s="53">
        <f t="shared" si="2"/>
        <v>37179.870000000003</v>
      </c>
      <c r="Q23" s="53">
        <f t="shared" si="3"/>
        <v>0</v>
      </c>
      <c r="R23" s="60">
        <f>SUMIFS(jt!$K:$K,jt!$A:$A,加弹汇总表!$A23,jt!$R:$R,加弹汇总表!R$2)</f>
        <v>0</v>
      </c>
      <c r="S23" s="60">
        <f>SUMIFS(jt!$K:$K,jt!$A:$A,加弹汇总表!$A23,jt!$R:$R,加弹汇总表!S$2)</f>
        <v>0</v>
      </c>
      <c r="T23" s="60">
        <f>SUMIFS(jt!$K:$K,jt!$A:$A,加弹汇总表!$A23,jt!$R:$R,加弹汇总表!T$2)</f>
        <v>0</v>
      </c>
      <c r="U23" s="60">
        <f>SUMIFS(jt!$J:$J,jt!$A:$A,加弹汇总表!$A23,jt!$R:$R,加弹汇总表!U$2)</f>
        <v>0</v>
      </c>
      <c r="V23" s="60">
        <f>SUMIFS(jt!$J:$J,jt!$A:$A,加弹汇总表!$A23,jt!$R:$R,加弹汇总表!V$2)</f>
        <v>0</v>
      </c>
      <c r="W23" s="60">
        <f>SUMIFS(jt!$J:$J,jt!$A:$A,加弹汇总表!$A23,jt!$R:$R,加弹汇总表!W$2)</f>
        <v>0</v>
      </c>
      <c r="X23" s="61">
        <f>SUMIFS(jt!$L:$L,jt!$A:$A,加弹汇总表!$A23,jt!$R:$R,加弹汇总表!X$2)</f>
        <v>0</v>
      </c>
      <c r="Y23" s="61">
        <f>SUMIFS(jt!$L:$L,jt!$A:$A,加弹汇总表!$A23,jt!$R:$R,加弹汇总表!Y$2)</f>
        <v>0</v>
      </c>
      <c r="Z23" s="61">
        <f>SUMIFS(jt!$L:$L,jt!$A:$A,加弹汇总表!$A23,jt!$R:$R,加弹汇总表!Z$2)</f>
        <v>0</v>
      </c>
      <c r="AA23" s="62">
        <f>SUMIFS(jt!$M:$M,jt!$A:$A,加弹汇总表!$A23,jt!$R:$R,加弹汇总表!AA$2)</f>
        <v>37179.870000000003</v>
      </c>
      <c r="AB23" s="62">
        <f>SUMIFS(jt!$M:$M,jt!$A:$A,加弹汇总表!$A23,jt!$R:$R,加弹汇总表!AB$2)</f>
        <v>0</v>
      </c>
      <c r="AC23" s="62">
        <f>SUMIFS(jt!$M:$M,jt!$A:$A,加弹汇总表!$A23,jt!$R:$R,加弹汇总表!AC$2)</f>
        <v>0</v>
      </c>
      <c r="AD23" s="63">
        <f>SUMIFS(jt!$N:$N,jt!$A:$A,加弹汇总表!$A23,jt!$R:$R,加弹汇总表!AD$2)</f>
        <v>0</v>
      </c>
      <c r="AE23" s="63">
        <f>SUMIFS(jt!$N:$N,jt!$A:$A,加弹汇总表!$A23,jt!$R:$R,加弹汇总表!AE$2)</f>
        <v>0</v>
      </c>
      <c r="AF23" s="63">
        <f>SUMIFS(jt!$N:$N,jt!$A:$A,加弹汇总表!$A23,jt!$R:$R,加弹汇总表!AF$2)</f>
        <v>0</v>
      </c>
      <c r="AG23" s="64">
        <f>SUMIFS(jt!$M:$M,jt!$A:$A,加弹汇总表!$A23,jt!$C:$C,加弹汇总表!AG$2)</f>
        <v>0</v>
      </c>
      <c r="AH23" s="64">
        <f>SUMIFS(jt!$M:$M,jt!$A:$A,加弹汇总表!$A23,jt!$C:$C,加弹汇总表!AH$2)</f>
        <v>27442.95</v>
      </c>
      <c r="AI23" s="64">
        <f>SUMIFS(jt!$M:$M,jt!$A:$A,加弹汇总表!$A23,jt!$C:$C,加弹汇总表!AI$2)</f>
        <v>0</v>
      </c>
      <c r="AJ23" s="64">
        <f>SUMIFS(jt!$M:$M,jt!$A:$A,加弹汇总表!$A23,jt!$C:$C,加弹汇总表!AJ$2)</f>
        <v>0</v>
      </c>
      <c r="AK23" s="64">
        <f>SUMIFS(jt!$M:$M,jt!$A:$A,加弹汇总表!$A23,jt!$C:$C,加弹汇总表!AK$2)</f>
        <v>0</v>
      </c>
      <c r="AL23" s="64">
        <f>SUMIFS(jt!$M:$M,jt!$A:$A,加弹汇总表!$A23,jt!$C:$C,加弹汇总表!AL$2)</f>
        <v>0</v>
      </c>
      <c r="AM23" s="64">
        <f>SUMIFS(jt!$M:$M,jt!$A:$A,加弹汇总表!$A23,jt!$C:$C,加弹汇总表!AM$2)</f>
        <v>9736.9200000000019</v>
      </c>
      <c r="AN23" s="80">
        <f>SUMIFS(jt!$M:$M,jt!$A:$A,加弹汇总表!$A23,jt!$C:$C,加弹汇总表!AN$2)</f>
        <v>0</v>
      </c>
      <c r="AO23" s="8">
        <f>SUMIFS(jt!$M:$M,jt!$B:$B,加弹汇总表!$B23,jt!$D:$D,加弹汇总表!$C23,jt!$F:$F,加弹汇总表!$F23,jt!$O:$O,加弹汇总表!$C$1&amp;"/"&amp;加弹汇总表!$D$1&amp;"/"&amp;加弹汇总表!AO$2)</f>
        <v>0</v>
      </c>
      <c r="AP23" s="8">
        <f>SUMIFS(jt!$M:$M,jt!$B:$B,加弹汇总表!$B23,jt!$D:$D,加弹汇总表!$C23,jt!$F:$F,加弹汇总表!$F23,jt!$O:$O,加弹汇总表!$C$1&amp;"/"&amp;加弹汇总表!$D$1&amp;"/"&amp;加弹汇总表!AP$2)</f>
        <v>0</v>
      </c>
      <c r="AQ23" s="8">
        <f>SUMIFS(jt!$M:$M,jt!$B:$B,加弹汇总表!$B23,jt!$D:$D,加弹汇总表!$C23,jt!$F:$F,加弹汇总表!$F23,jt!$O:$O,加弹汇总表!$C$1&amp;"/"&amp;加弹汇总表!$D$1&amp;"/"&amp;加弹汇总表!AQ$2)</f>
        <v>0</v>
      </c>
      <c r="AR23" s="8">
        <f>SUMIFS(jt!$M:$M,jt!$B:$B,加弹汇总表!$B23,jt!$D:$D,加弹汇总表!$C23,jt!$F:$F,加弹汇总表!$F23,jt!$O:$O,加弹汇总表!$C$1&amp;"/"&amp;加弹汇总表!$D$1&amp;"/"&amp;加弹汇总表!AR$2)</f>
        <v>0</v>
      </c>
      <c r="AS23" s="8">
        <f>SUMIFS(jt!$M:$M,jt!$B:$B,加弹汇总表!$B23,jt!$D:$D,加弹汇总表!$C23,jt!$F:$F,加弹汇总表!$F23,jt!$O:$O,加弹汇总表!$C$1&amp;"/"&amp;加弹汇总表!$D$1&amp;"/"&amp;加弹汇总表!AS$2)</f>
        <v>0</v>
      </c>
      <c r="AT23" s="8">
        <f>SUMIFS(jt!$M:$M,jt!$B:$B,加弹汇总表!$B23,jt!$D:$D,加弹汇总表!$C23,jt!$F:$F,加弹汇总表!$F23,jt!$O:$O,加弹汇总表!$C$1&amp;"/"&amp;加弹汇总表!$D$1&amp;"/"&amp;加弹汇总表!AT$2)</f>
        <v>0</v>
      </c>
      <c r="AU23" s="8">
        <f>SUMIFS(jt!$M:$M,jt!$B:$B,加弹汇总表!$B23,jt!$D:$D,加弹汇总表!$C23,jt!$F:$F,加弹汇总表!$F23,jt!$O:$O,加弹汇总表!$C$1&amp;"/"&amp;加弹汇总表!$D$1&amp;"/"&amp;加弹汇总表!AU$2)</f>
        <v>0</v>
      </c>
      <c r="AV23" s="8">
        <f>SUMIFS(jt!$M:$M,jt!$B:$B,加弹汇总表!$B23,jt!$D:$D,加弹汇总表!$C23,jt!$F:$F,加弹汇总表!$F23,jt!$O:$O,加弹汇总表!$C$1&amp;"/"&amp;加弹汇总表!$D$1&amp;"/"&amp;加弹汇总表!AV$2)</f>
        <v>0</v>
      </c>
      <c r="AW23" s="8">
        <f>SUMIFS(jt!$M:$M,jt!$B:$B,加弹汇总表!$B23,jt!$D:$D,加弹汇总表!$C23,jt!$F:$F,加弹汇总表!$F23,jt!$O:$O,加弹汇总表!$C$1&amp;"/"&amp;加弹汇总表!$D$1&amp;"/"&amp;加弹汇总表!AW$2)</f>
        <v>0</v>
      </c>
      <c r="AX23" s="8">
        <f>SUMIFS(jt!$M:$M,jt!$B:$B,加弹汇总表!$B23,jt!$D:$D,加弹汇总表!$C23,jt!$F:$F,加弹汇总表!$F23,jt!$O:$O,加弹汇总表!$C$1&amp;"/"&amp;加弹汇总表!$D$1&amp;"/"&amp;加弹汇总表!AX$2)</f>
        <v>0</v>
      </c>
      <c r="AY23" s="8">
        <f>SUMIFS(jt!$M:$M,jt!$B:$B,加弹汇总表!$B23,jt!$D:$D,加弹汇总表!$C23,jt!$F:$F,加弹汇总表!$F23,jt!$O:$O,加弹汇总表!$C$1&amp;"/"&amp;加弹汇总表!$D$1&amp;"/"&amp;加弹汇总表!AY$2)</f>
        <v>0</v>
      </c>
      <c r="AZ23" s="8">
        <f>SUMIFS(jt!$M:$M,jt!$B:$B,加弹汇总表!$B23,jt!$D:$D,加弹汇总表!$C23,jt!$F:$F,加弹汇总表!$F23,jt!$O:$O,加弹汇总表!$C$1&amp;"/"&amp;加弹汇总表!$D$1&amp;"/"&amp;加弹汇总表!AZ$2)</f>
        <v>0</v>
      </c>
      <c r="BA23" s="8">
        <f>SUMIFS(jt!$M:$M,jt!$B:$B,加弹汇总表!$B23,jt!$D:$D,加弹汇总表!$C23,jt!$F:$F,加弹汇总表!$F23,jt!$O:$O,加弹汇总表!$C$1&amp;"/"&amp;加弹汇总表!$D$1&amp;"/"&amp;加弹汇总表!BA$2)</f>
        <v>0</v>
      </c>
      <c r="BB23" s="8">
        <f>SUMIFS(jt!$M:$M,jt!$B:$B,加弹汇总表!$B23,jt!$D:$D,加弹汇总表!$C23,jt!$F:$F,加弹汇总表!$F23,jt!$O:$O,加弹汇总表!$C$1&amp;"/"&amp;加弹汇总表!$D$1&amp;"/"&amp;加弹汇总表!BB$2)</f>
        <v>0</v>
      </c>
      <c r="BC23" s="8">
        <f>SUMIFS(jt!$M:$M,jt!$B:$B,加弹汇总表!$B23,jt!$D:$D,加弹汇总表!$C23,jt!$F:$F,加弹汇总表!$F23,jt!$O:$O,加弹汇总表!$C$1&amp;"/"&amp;加弹汇总表!$D$1&amp;"/"&amp;加弹汇总表!BC$2)</f>
        <v>0</v>
      </c>
      <c r="BD23" s="8">
        <f>SUMIFS(jt!$M:$M,jt!$B:$B,加弹汇总表!$B23,jt!$D:$D,加弹汇总表!$C23,jt!$F:$F,加弹汇总表!$F23,jt!$O:$O,加弹汇总表!$C$1&amp;"/"&amp;加弹汇总表!$D$1&amp;"/"&amp;加弹汇总表!BD$2)</f>
        <v>0</v>
      </c>
      <c r="BE23" s="8">
        <f>SUMIFS(jt!$M:$M,jt!$B:$B,加弹汇总表!$B23,jt!$D:$D,加弹汇总表!$C23,jt!$F:$F,加弹汇总表!$F23,jt!$O:$O,加弹汇总表!$C$1&amp;"/"&amp;加弹汇总表!$D$1&amp;"/"&amp;加弹汇总表!BE$2)</f>
        <v>0</v>
      </c>
      <c r="BF23" s="8">
        <f>SUMIFS(jt!$M:$M,jt!$B:$B,加弹汇总表!$B23,jt!$D:$D,加弹汇总表!$C23,jt!$F:$F,加弹汇总表!$F23,jt!$O:$O,加弹汇总表!$C$1&amp;"/"&amp;加弹汇总表!$D$1&amp;"/"&amp;加弹汇总表!BF$2)</f>
        <v>0</v>
      </c>
      <c r="BG23" s="8">
        <f>SUMIFS(jt!$M:$M,jt!$B:$B,加弹汇总表!$B23,jt!$D:$D,加弹汇总表!$C23,jt!$F:$F,加弹汇总表!$F23,jt!$O:$O,加弹汇总表!$C$1&amp;"/"&amp;加弹汇总表!$D$1&amp;"/"&amp;加弹汇总表!BG$2)</f>
        <v>0</v>
      </c>
      <c r="BH23" s="8">
        <f>SUMIFS(jt!$M:$M,jt!$B:$B,加弹汇总表!$B23,jt!$D:$D,加弹汇总表!$C23,jt!$F:$F,加弹汇总表!$F23,jt!$O:$O,加弹汇总表!$C$1&amp;"/"&amp;加弹汇总表!$D$1&amp;"/"&amp;加弹汇总表!BH$2)</f>
        <v>0</v>
      </c>
      <c r="BI23" s="8">
        <f>SUMIFS(jt!$M:$M,jt!$B:$B,加弹汇总表!$B23,jt!$D:$D,加弹汇总表!$C23,jt!$F:$F,加弹汇总表!$F23,jt!$O:$O,加弹汇总表!$C$1&amp;"/"&amp;加弹汇总表!$D$1&amp;"/"&amp;加弹汇总表!BI$2)</f>
        <v>0</v>
      </c>
      <c r="BJ23" s="8">
        <f>SUMIFS(jt!$M:$M,jt!$B:$B,加弹汇总表!$B23,jt!$D:$D,加弹汇总表!$C23,jt!$F:$F,加弹汇总表!$F23,jt!$O:$O,加弹汇总表!$C$1&amp;"/"&amp;加弹汇总表!$D$1&amp;"/"&amp;加弹汇总表!BJ$2)</f>
        <v>0</v>
      </c>
      <c r="BK23" s="8">
        <f>SUMIFS(jt!$M:$M,jt!$B:$B,加弹汇总表!$B23,jt!$D:$D,加弹汇总表!$C23,jt!$F:$F,加弹汇总表!$F23,jt!$O:$O,加弹汇总表!$C$1&amp;"/"&amp;加弹汇总表!$D$1&amp;"/"&amp;加弹汇总表!BK$2)</f>
        <v>0</v>
      </c>
      <c r="BL23" s="8">
        <f>SUMIFS(jt!$M:$M,jt!$B:$B,加弹汇总表!$B23,jt!$D:$D,加弹汇总表!$C23,jt!$F:$F,加弹汇总表!$F23,jt!$O:$O,加弹汇总表!$C$1&amp;"/"&amp;加弹汇总表!$D$1&amp;"/"&amp;加弹汇总表!BL$2)</f>
        <v>0</v>
      </c>
      <c r="BM23" s="8">
        <f>SUMIFS(jt!$M:$M,jt!$B:$B,加弹汇总表!$B23,jt!$D:$D,加弹汇总表!$C23,jt!$F:$F,加弹汇总表!$F23,jt!$O:$O,加弹汇总表!$C$1&amp;"/"&amp;加弹汇总表!$D$1&amp;"/"&amp;加弹汇总表!BM$2)</f>
        <v>0</v>
      </c>
      <c r="BN23" s="8">
        <f>SUMIFS(jt!$M:$M,jt!$B:$B,加弹汇总表!$B23,jt!$D:$D,加弹汇总表!$C23,jt!$F:$F,加弹汇总表!$F23,jt!$O:$O,加弹汇总表!$C$1&amp;"/"&amp;加弹汇总表!$D$1&amp;"/"&amp;加弹汇总表!BN$2)</f>
        <v>0</v>
      </c>
      <c r="BO23" s="8">
        <f>SUMIFS(jt!$M:$M,jt!$B:$B,加弹汇总表!$B23,jt!$D:$D,加弹汇总表!$C23,jt!$F:$F,加弹汇总表!$F23,jt!$O:$O,加弹汇总表!$C$1&amp;"/"&amp;加弹汇总表!$D$1&amp;"/"&amp;加弹汇总表!BO$2)</f>
        <v>0</v>
      </c>
      <c r="BP23" s="8">
        <f>SUMIFS(jt!$M:$M,jt!$B:$B,加弹汇总表!$B23,jt!$D:$D,加弹汇总表!$C23,jt!$F:$F,加弹汇总表!$F23,jt!$O:$O,加弹汇总表!$C$1&amp;"/"&amp;加弹汇总表!$D$1&amp;"/"&amp;加弹汇总表!BP$2)</f>
        <v>0</v>
      </c>
      <c r="BQ23" s="8">
        <f>SUMIFS(jt!$M:$M,jt!$B:$B,加弹汇总表!$B23,jt!$D:$D,加弹汇总表!$C23,jt!$F:$F,加弹汇总表!$F23,jt!$O:$O,加弹汇总表!$C$1&amp;"/"&amp;加弹汇总表!$D$1&amp;"/"&amp;加弹汇总表!BQ$2)</f>
        <v>0</v>
      </c>
      <c r="BR23" s="8">
        <f>SUMIFS(jt!$M:$M,jt!$B:$B,加弹汇总表!$B23,jt!$D:$D,加弹汇总表!$C23,jt!$F:$F,加弹汇总表!$F23,jt!$O:$O,加弹汇总表!$C$1&amp;"/"&amp;加弹汇总表!$D$1&amp;"/"&amp;加弹汇总表!BR$2)</f>
        <v>0</v>
      </c>
      <c r="BS23" s="8">
        <f>SUMIFS(jt!$M:$M,jt!$B:$B,加弹汇总表!$B23,jt!$D:$D,加弹汇总表!$C23,jt!$F:$F,加弹汇总表!$F23,jt!$O:$O,加弹汇总表!$C$1&amp;"/"&amp;加弹汇总表!$D$1&amp;"/"&amp;加弹汇总表!BS$2)</f>
        <v>0</v>
      </c>
    </row>
    <row r="24" spans="1:71" ht="18" customHeight="1">
      <c r="A24" s="250" t="str">
        <f t="shared" si="4"/>
        <v>3211575D网络丝130/48白</v>
      </c>
      <c r="B24" s="14">
        <v>32115</v>
      </c>
      <c r="C24" s="98" t="s">
        <v>866</v>
      </c>
      <c r="D24" s="53" t="s">
        <v>381</v>
      </c>
      <c r="E24" s="78"/>
      <c r="F24" s="53" t="s">
        <v>2</v>
      </c>
      <c r="G24" s="53" t="s">
        <v>146</v>
      </c>
      <c r="H24" s="53"/>
      <c r="I24" s="246">
        <f ca="1">IF(SUMIFS(jt!M:M,jt!A:A,加弹汇总表!A24,jt!O:O,加弹汇总表!$E$1)=0,0,SUM(AO24:BS24)/COUNTIF(AO24:BS24,"&lt;&gt;0"))</f>
        <v>0</v>
      </c>
      <c r="J24" s="53">
        <f t="shared" si="5"/>
        <v>0</v>
      </c>
      <c r="K24" s="53">
        <f t="shared" si="6"/>
        <v>0</v>
      </c>
      <c r="L24" s="53">
        <f t="shared" si="7"/>
        <v>0</v>
      </c>
      <c r="M24" s="53">
        <f t="shared" si="0"/>
        <v>0</v>
      </c>
      <c r="N24" s="53"/>
      <c r="O24" s="53">
        <f t="shared" si="1"/>
        <v>0</v>
      </c>
      <c r="P24" s="53">
        <f t="shared" si="2"/>
        <v>0</v>
      </c>
      <c r="Q24" s="53">
        <f t="shared" si="3"/>
        <v>0</v>
      </c>
      <c r="R24" s="60">
        <f>SUMIFS(jt!$K:$K,jt!$A:$A,加弹汇总表!$A24,jt!$R:$R,加弹汇总表!R$2)</f>
        <v>0</v>
      </c>
      <c r="S24" s="60">
        <f>SUMIFS(jt!$K:$K,jt!$A:$A,加弹汇总表!$A24,jt!$R:$R,加弹汇总表!S$2)</f>
        <v>0</v>
      </c>
      <c r="T24" s="60">
        <f>SUMIFS(jt!$K:$K,jt!$A:$A,加弹汇总表!$A24,jt!$R:$R,加弹汇总表!T$2)</f>
        <v>0</v>
      </c>
      <c r="U24" s="60">
        <f>SUMIFS(jt!$J:$J,jt!$A:$A,加弹汇总表!$A24,jt!$R:$R,加弹汇总表!U$2)</f>
        <v>0</v>
      </c>
      <c r="V24" s="60">
        <f>SUMIFS(jt!$J:$J,jt!$A:$A,加弹汇总表!$A24,jt!$R:$R,加弹汇总表!V$2)</f>
        <v>0</v>
      </c>
      <c r="W24" s="60">
        <f>SUMIFS(jt!$J:$J,jt!$A:$A,加弹汇总表!$A24,jt!$R:$R,加弹汇总表!W$2)</f>
        <v>0</v>
      </c>
      <c r="X24" s="61">
        <f>SUMIFS(jt!$L:$L,jt!$A:$A,加弹汇总表!$A24,jt!$R:$R,加弹汇总表!X$2)</f>
        <v>0</v>
      </c>
      <c r="Y24" s="61">
        <f>SUMIFS(jt!$L:$L,jt!$A:$A,加弹汇总表!$A24,jt!$R:$R,加弹汇总表!Y$2)</f>
        <v>0</v>
      </c>
      <c r="Z24" s="61">
        <f>SUMIFS(jt!$L:$L,jt!$A:$A,加弹汇总表!$A24,jt!$R:$R,加弹汇总表!Z$2)</f>
        <v>0</v>
      </c>
      <c r="AA24" s="62">
        <f>SUMIFS(jt!$M:$M,jt!$A:$A,加弹汇总表!$A24,jt!$R:$R,加弹汇总表!AA$2)</f>
        <v>0</v>
      </c>
      <c r="AB24" s="62">
        <f>SUMIFS(jt!$M:$M,jt!$A:$A,加弹汇总表!$A24,jt!$R:$R,加弹汇总表!AB$2)</f>
        <v>0</v>
      </c>
      <c r="AC24" s="62">
        <f>SUMIFS(jt!$M:$M,jt!$A:$A,加弹汇总表!$A24,jt!$R:$R,加弹汇总表!AC$2)</f>
        <v>0</v>
      </c>
      <c r="AD24" s="63">
        <f>SUMIFS(jt!$N:$N,jt!$A:$A,加弹汇总表!$A24,jt!$R:$R,加弹汇总表!AD$2)</f>
        <v>0</v>
      </c>
      <c r="AE24" s="63">
        <f>SUMIFS(jt!$N:$N,jt!$A:$A,加弹汇总表!$A24,jt!$R:$R,加弹汇总表!AE$2)</f>
        <v>0</v>
      </c>
      <c r="AF24" s="63">
        <f>SUMIFS(jt!$N:$N,jt!$A:$A,加弹汇总表!$A24,jt!$R:$R,加弹汇总表!AF$2)</f>
        <v>0</v>
      </c>
      <c r="AG24" s="64">
        <f>SUMIFS(jt!$M:$M,jt!$A:$A,加弹汇总表!$A24,jt!$C:$C,加弹汇总表!AG$2)</f>
        <v>0</v>
      </c>
      <c r="AH24" s="64">
        <f>SUMIFS(jt!$M:$M,jt!$A:$A,加弹汇总表!$A24,jt!$C:$C,加弹汇总表!AH$2)</f>
        <v>0</v>
      </c>
      <c r="AI24" s="64">
        <f>SUMIFS(jt!$M:$M,jt!$A:$A,加弹汇总表!$A24,jt!$C:$C,加弹汇总表!AI$2)</f>
        <v>0</v>
      </c>
      <c r="AJ24" s="64">
        <f>SUMIFS(jt!$M:$M,jt!$A:$A,加弹汇总表!$A24,jt!$C:$C,加弹汇总表!AJ$2)</f>
        <v>0</v>
      </c>
      <c r="AK24" s="64">
        <f>SUMIFS(jt!$M:$M,jt!$A:$A,加弹汇总表!$A24,jt!$C:$C,加弹汇总表!AK$2)</f>
        <v>0</v>
      </c>
      <c r="AL24" s="64">
        <f>SUMIFS(jt!$M:$M,jt!$A:$A,加弹汇总表!$A24,jt!$C:$C,加弹汇总表!AL$2)</f>
        <v>0</v>
      </c>
      <c r="AM24" s="64">
        <f>SUMIFS(jt!$M:$M,jt!$A:$A,加弹汇总表!$A24,jt!$C:$C,加弹汇总表!AM$2)</f>
        <v>0</v>
      </c>
      <c r="AN24" s="80">
        <f>SUMIFS(jt!$M:$M,jt!$A:$A,加弹汇总表!$A24,jt!$C:$C,加弹汇总表!AN$2)</f>
        <v>0</v>
      </c>
      <c r="AO24" s="8">
        <f>SUMIFS(jt!$M:$M,jt!$B:$B,加弹汇总表!$B24,jt!$D:$D,加弹汇总表!$C24,jt!$F:$F,加弹汇总表!$F24,jt!$O:$O,加弹汇总表!$C$1&amp;"/"&amp;加弹汇总表!$D$1&amp;"/"&amp;加弹汇总表!AO$2)</f>
        <v>0</v>
      </c>
      <c r="AP24" s="8">
        <f>SUMIFS(jt!$M:$M,jt!$B:$B,加弹汇总表!$B24,jt!$D:$D,加弹汇总表!$C24,jt!$F:$F,加弹汇总表!$F24,jt!$O:$O,加弹汇总表!$C$1&amp;"/"&amp;加弹汇总表!$D$1&amp;"/"&amp;加弹汇总表!AP$2)</f>
        <v>0</v>
      </c>
      <c r="AQ24" s="8">
        <f>SUMIFS(jt!$M:$M,jt!$B:$B,加弹汇总表!$B24,jt!$D:$D,加弹汇总表!$C24,jt!$F:$F,加弹汇总表!$F24,jt!$O:$O,加弹汇总表!$C$1&amp;"/"&amp;加弹汇总表!$D$1&amp;"/"&amp;加弹汇总表!AQ$2)</f>
        <v>0</v>
      </c>
      <c r="AR24" s="8">
        <f>SUMIFS(jt!$M:$M,jt!$B:$B,加弹汇总表!$B24,jt!$D:$D,加弹汇总表!$C24,jt!$F:$F,加弹汇总表!$F24,jt!$O:$O,加弹汇总表!$C$1&amp;"/"&amp;加弹汇总表!$D$1&amp;"/"&amp;加弹汇总表!AR$2)</f>
        <v>0</v>
      </c>
      <c r="AS24" s="8">
        <f>SUMIFS(jt!$M:$M,jt!$B:$B,加弹汇总表!$B24,jt!$D:$D,加弹汇总表!$C24,jt!$F:$F,加弹汇总表!$F24,jt!$O:$O,加弹汇总表!$C$1&amp;"/"&amp;加弹汇总表!$D$1&amp;"/"&amp;加弹汇总表!AS$2)</f>
        <v>0</v>
      </c>
      <c r="AT24" s="8">
        <f>SUMIFS(jt!$M:$M,jt!$B:$B,加弹汇总表!$B24,jt!$D:$D,加弹汇总表!$C24,jt!$F:$F,加弹汇总表!$F24,jt!$O:$O,加弹汇总表!$C$1&amp;"/"&amp;加弹汇总表!$D$1&amp;"/"&amp;加弹汇总表!AT$2)</f>
        <v>0</v>
      </c>
      <c r="AU24" s="8">
        <f>SUMIFS(jt!$M:$M,jt!$B:$B,加弹汇总表!$B24,jt!$D:$D,加弹汇总表!$C24,jt!$F:$F,加弹汇总表!$F24,jt!$O:$O,加弹汇总表!$C$1&amp;"/"&amp;加弹汇总表!$D$1&amp;"/"&amp;加弹汇总表!AU$2)</f>
        <v>0</v>
      </c>
      <c r="AV24" s="8">
        <f>SUMIFS(jt!$M:$M,jt!$B:$B,加弹汇总表!$B24,jt!$D:$D,加弹汇总表!$C24,jt!$F:$F,加弹汇总表!$F24,jt!$O:$O,加弹汇总表!$C$1&amp;"/"&amp;加弹汇总表!$D$1&amp;"/"&amp;加弹汇总表!AV$2)</f>
        <v>0</v>
      </c>
      <c r="AW24" s="8">
        <f>SUMIFS(jt!$M:$M,jt!$B:$B,加弹汇总表!$B24,jt!$D:$D,加弹汇总表!$C24,jt!$F:$F,加弹汇总表!$F24,jt!$O:$O,加弹汇总表!$C$1&amp;"/"&amp;加弹汇总表!$D$1&amp;"/"&amp;加弹汇总表!AW$2)</f>
        <v>0</v>
      </c>
      <c r="AX24" s="8">
        <f>SUMIFS(jt!$M:$M,jt!$B:$B,加弹汇总表!$B24,jt!$D:$D,加弹汇总表!$C24,jt!$F:$F,加弹汇总表!$F24,jt!$O:$O,加弹汇总表!$C$1&amp;"/"&amp;加弹汇总表!$D$1&amp;"/"&amp;加弹汇总表!AX$2)</f>
        <v>0</v>
      </c>
      <c r="AY24" s="8">
        <f>SUMIFS(jt!$M:$M,jt!$B:$B,加弹汇总表!$B24,jt!$D:$D,加弹汇总表!$C24,jt!$F:$F,加弹汇总表!$F24,jt!$O:$O,加弹汇总表!$C$1&amp;"/"&amp;加弹汇总表!$D$1&amp;"/"&amp;加弹汇总表!AY$2)</f>
        <v>0</v>
      </c>
      <c r="AZ24" s="8">
        <f>SUMIFS(jt!$M:$M,jt!$B:$B,加弹汇总表!$B24,jt!$D:$D,加弹汇总表!$C24,jt!$F:$F,加弹汇总表!$F24,jt!$O:$O,加弹汇总表!$C$1&amp;"/"&amp;加弹汇总表!$D$1&amp;"/"&amp;加弹汇总表!AZ$2)</f>
        <v>0</v>
      </c>
      <c r="BA24" s="8">
        <f>SUMIFS(jt!$M:$M,jt!$B:$B,加弹汇总表!$B24,jt!$D:$D,加弹汇总表!$C24,jt!$F:$F,加弹汇总表!$F24,jt!$O:$O,加弹汇总表!$C$1&amp;"/"&amp;加弹汇总表!$D$1&amp;"/"&amp;加弹汇总表!BA$2)</f>
        <v>0</v>
      </c>
      <c r="BB24" s="8">
        <f>SUMIFS(jt!$M:$M,jt!$B:$B,加弹汇总表!$B24,jt!$D:$D,加弹汇总表!$C24,jt!$F:$F,加弹汇总表!$F24,jt!$O:$O,加弹汇总表!$C$1&amp;"/"&amp;加弹汇总表!$D$1&amp;"/"&amp;加弹汇总表!BB$2)</f>
        <v>0</v>
      </c>
      <c r="BC24" s="8">
        <f>SUMIFS(jt!$M:$M,jt!$B:$B,加弹汇总表!$B24,jt!$D:$D,加弹汇总表!$C24,jt!$F:$F,加弹汇总表!$F24,jt!$O:$O,加弹汇总表!$C$1&amp;"/"&amp;加弹汇总表!$D$1&amp;"/"&amp;加弹汇总表!BC$2)</f>
        <v>0</v>
      </c>
      <c r="BD24" s="8">
        <f>SUMIFS(jt!$M:$M,jt!$B:$B,加弹汇总表!$B24,jt!$D:$D,加弹汇总表!$C24,jt!$F:$F,加弹汇总表!$F24,jt!$O:$O,加弹汇总表!$C$1&amp;"/"&amp;加弹汇总表!$D$1&amp;"/"&amp;加弹汇总表!BD$2)</f>
        <v>0</v>
      </c>
      <c r="BE24" s="8">
        <f>SUMIFS(jt!$M:$M,jt!$B:$B,加弹汇总表!$B24,jt!$D:$D,加弹汇总表!$C24,jt!$F:$F,加弹汇总表!$F24,jt!$O:$O,加弹汇总表!$C$1&amp;"/"&amp;加弹汇总表!$D$1&amp;"/"&amp;加弹汇总表!BE$2)</f>
        <v>0</v>
      </c>
      <c r="BF24" s="8">
        <f>SUMIFS(jt!$M:$M,jt!$B:$B,加弹汇总表!$B24,jt!$D:$D,加弹汇总表!$C24,jt!$F:$F,加弹汇总表!$F24,jt!$O:$O,加弹汇总表!$C$1&amp;"/"&amp;加弹汇总表!$D$1&amp;"/"&amp;加弹汇总表!BF$2)</f>
        <v>0</v>
      </c>
      <c r="BG24" s="8">
        <f>SUMIFS(jt!$M:$M,jt!$B:$B,加弹汇总表!$B24,jt!$D:$D,加弹汇总表!$C24,jt!$F:$F,加弹汇总表!$F24,jt!$O:$O,加弹汇总表!$C$1&amp;"/"&amp;加弹汇总表!$D$1&amp;"/"&amp;加弹汇总表!BG$2)</f>
        <v>0</v>
      </c>
      <c r="BH24" s="8">
        <f>SUMIFS(jt!$M:$M,jt!$B:$B,加弹汇总表!$B24,jt!$D:$D,加弹汇总表!$C24,jt!$F:$F,加弹汇总表!$F24,jt!$O:$O,加弹汇总表!$C$1&amp;"/"&amp;加弹汇总表!$D$1&amp;"/"&amp;加弹汇总表!BH$2)</f>
        <v>0</v>
      </c>
      <c r="BI24" s="8">
        <f>SUMIFS(jt!$M:$M,jt!$B:$B,加弹汇总表!$B24,jt!$D:$D,加弹汇总表!$C24,jt!$F:$F,加弹汇总表!$F24,jt!$O:$O,加弹汇总表!$C$1&amp;"/"&amp;加弹汇总表!$D$1&amp;"/"&amp;加弹汇总表!BI$2)</f>
        <v>0</v>
      </c>
      <c r="BJ24" s="8">
        <f>SUMIFS(jt!$M:$M,jt!$B:$B,加弹汇总表!$B24,jt!$D:$D,加弹汇总表!$C24,jt!$F:$F,加弹汇总表!$F24,jt!$O:$O,加弹汇总表!$C$1&amp;"/"&amp;加弹汇总表!$D$1&amp;"/"&amp;加弹汇总表!BJ$2)</f>
        <v>0</v>
      </c>
      <c r="BK24" s="8">
        <f>SUMIFS(jt!$M:$M,jt!$B:$B,加弹汇总表!$B24,jt!$D:$D,加弹汇总表!$C24,jt!$F:$F,加弹汇总表!$F24,jt!$O:$O,加弹汇总表!$C$1&amp;"/"&amp;加弹汇总表!$D$1&amp;"/"&amp;加弹汇总表!BK$2)</f>
        <v>0</v>
      </c>
      <c r="BL24" s="8">
        <f>SUMIFS(jt!$M:$M,jt!$B:$B,加弹汇总表!$B24,jt!$D:$D,加弹汇总表!$C24,jt!$F:$F,加弹汇总表!$F24,jt!$O:$O,加弹汇总表!$C$1&amp;"/"&amp;加弹汇总表!$D$1&amp;"/"&amp;加弹汇总表!BL$2)</f>
        <v>0</v>
      </c>
      <c r="BM24" s="8">
        <f>SUMIFS(jt!$M:$M,jt!$B:$B,加弹汇总表!$B24,jt!$D:$D,加弹汇总表!$C24,jt!$F:$F,加弹汇总表!$F24,jt!$O:$O,加弹汇总表!$C$1&amp;"/"&amp;加弹汇总表!$D$1&amp;"/"&amp;加弹汇总表!BM$2)</f>
        <v>0</v>
      </c>
      <c r="BN24" s="8">
        <f>SUMIFS(jt!$M:$M,jt!$B:$B,加弹汇总表!$B24,jt!$D:$D,加弹汇总表!$C24,jt!$F:$F,加弹汇总表!$F24,jt!$O:$O,加弹汇总表!$C$1&amp;"/"&amp;加弹汇总表!$D$1&amp;"/"&amp;加弹汇总表!BN$2)</f>
        <v>0</v>
      </c>
      <c r="BO24" s="8">
        <f>SUMIFS(jt!$M:$M,jt!$B:$B,加弹汇总表!$B24,jt!$D:$D,加弹汇总表!$C24,jt!$F:$F,加弹汇总表!$F24,jt!$O:$O,加弹汇总表!$C$1&amp;"/"&amp;加弹汇总表!$D$1&amp;"/"&amp;加弹汇总表!BO$2)</f>
        <v>0</v>
      </c>
      <c r="BP24" s="8">
        <f>SUMIFS(jt!$M:$M,jt!$B:$B,加弹汇总表!$B24,jt!$D:$D,加弹汇总表!$C24,jt!$F:$F,加弹汇总表!$F24,jt!$O:$O,加弹汇总表!$C$1&amp;"/"&amp;加弹汇总表!$D$1&amp;"/"&amp;加弹汇总表!BP$2)</f>
        <v>0</v>
      </c>
      <c r="BQ24" s="8">
        <f>SUMIFS(jt!$M:$M,jt!$B:$B,加弹汇总表!$B24,jt!$D:$D,加弹汇总表!$C24,jt!$F:$F,加弹汇总表!$F24,jt!$O:$O,加弹汇总表!$C$1&amp;"/"&amp;加弹汇总表!$D$1&amp;"/"&amp;加弹汇总表!BQ$2)</f>
        <v>0</v>
      </c>
      <c r="BR24" s="8">
        <f>SUMIFS(jt!$M:$M,jt!$B:$B,加弹汇总表!$B24,jt!$D:$D,加弹汇总表!$C24,jt!$F:$F,加弹汇总表!$F24,jt!$O:$O,加弹汇总表!$C$1&amp;"/"&amp;加弹汇总表!$D$1&amp;"/"&amp;加弹汇总表!BR$2)</f>
        <v>0</v>
      </c>
      <c r="BS24" s="8">
        <f>SUMIFS(jt!$M:$M,jt!$B:$B,加弹汇总表!$B24,jt!$D:$D,加弹汇总表!$C24,jt!$F:$F,加弹汇总表!$F24,jt!$O:$O,加弹汇总表!$C$1&amp;"/"&amp;加弹汇总表!$D$1&amp;"/"&amp;加弹汇总表!BS$2)</f>
        <v>0</v>
      </c>
    </row>
    <row r="25" spans="1:71" ht="18" customHeight="1">
      <c r="A25" s="250" t="str">
        <f t="shared" si="4"/>
        <v>8413275D网络丝132/48黑喷水</v>
      </c>
      <c r="B25" s="14">
        <v>84132</v>
      </c>
      <c r="C25" s="98" t="s">
        <v>866</v>
      </c>
      <c r="D25" s="53" t="s">
        <v>391</v>
      </c>
      <c r="E25" s="78" t="s">
        <v>1065</v>
      </c>
      <c r="F25" s="53" t="s">
        <v>1</v>
      </c>
      <c r="G25" s="53" t="s">
        <v>136</v>
      </c>
      <c r="H25" s="53" t="s">
        <v>862</v>
      </c>
      <c r="I25" s="246">
        <f ca="1">IF(SUMIFS(jt!M:M,jt!A:A,加弹汇总表!A25,jt!O:O,加弹汇总表!$E$1)=0,0,SUM(AO25:BS25)/COUNTIF(AO25:BS25,"&lt;&gt;0"))</f>
        <v>2548.9119999999998</v>
      </c>
      <c r="J25" s="53">
        <f t="shared" si="5"/>
        <v>0</v>
      </c>
      <c r="K25" s="53">
        <f t="shared" si="6"/>
        <v>0</v>
      </c>
      <c r="L25" s="53">
        <f t="shared" si="7"/>
        <v>0</v>
      </c>
      <c r="M25" s="53">
        <f t="shared" si="0"/>
        <v>94349.069999999992</v>
      </c>
      <c r="N25" s="53">
        <v>7220</v>
      </c>
      <c r="O25" s="53">
        <f t="shared" si="1"/>
        <v>0</v>
      </c>
      <c r="P25" s="53">
        <f t="shared" si="2"/>
        <v>87129.069999999992</v>
      </c>
      <c r="Q25" s="53">
        <f t="shared" si="3"/>
        <v>0</v>
      </c>
      <c r="R25" s="60">
        <f>SUMIFS(jt!$K:$K,jt!$A:$A,加弹汇总表!$A25,jt!$R:$R,加弹汇总表!R$2)</f>
        <v>0</v>
      </c>
      <c r="S25" s="60">
        <f>SUMIFS(jt!$K:$K,jt!$A:$A,加弹汇总表!$A25,jt!$R:$R,加弹汇总表!S$2)</f>
        <v>0</v>
      </c>
      <c r="T25" s="60">
        <f>SUMIFS(jt!$K:$K,jt!$A:$A,加弹汇总表!$A25,jt!$R:$R,加弹汇总表!T$2)</f>
        <v>0</v>
      </c>
      <c r="U25" s="60">
        <f>SUMIFS(jt!$J:$J,jt!$A:$A,加弹汇总表!$A25,jt!$R:$R,加弹汇总表!U$2)</f>
        <v>0</v>
      </c>
      <c r="V25" s="60">
        <f>SUMIFS(jt!$J:$J,jt!$A:$A,加弹汇总表!$A25,jt!$R:$R,加弹汇总表!V$2)</f>
        <v>0</v>
      </c>
      <c r="W25" s="60">
        <f>SUMIFS(jt!$J:$J,jt!$A:$A,加弹汇总表!$A25,jt!$R:$R,加弹汇总表!W$2)</f>
        <v>0</v>
      </c>
      <c r="X25" s="61">
        <f>SUMIFS(jt!$L:$L,jt!$A:$A,加弹汇总表!$A25,jt!$R:$R,加弹汇总表!X$2)</f>
        <v>0</v>
      </c>
      <c r="Y25" s="61">
        <f>SUMIFS(jt!$L:$L,jt!$A:$A,加弹汇总表!$A25,jt!$R:$R,加弹汇总表!Y$2)</f>
        <v>0</v>
      </c>
      <c r="Z25" s="61">
        <f>SUMIFS(jt!$L:$L,jt!$A:$A,加弹汇总表!$A25,jt!$R:$R,加弹汇总表!Z$2)</f>
        <v>0</v>
      </c>
      <c r="AA25" s="62">
        <f>SUMIFS(jt!$M:$M,jt!$A:$A,加弹汇总表!$A25,jt!$R:$R,加弹汇总表!AA$2)</f>
        <v>74384.509999999995</v>
      </c>
      <c r="AB25" s="62">
        <f>SUMIFS(jt!$M:$M,jt!$A:$A,加弹汇总表!$A25,jt!$R:$R,加弹汇总表!AB$2)</f>
        <v>12744.56</v>
      </c>
      <c r="AC25" s="62">
        <f>SUMIFS(jt!$M:$M,jt!$A:$A,加弹汇总表!$A25,jt!$R:$R,加弹汇总表!AC$2)</f>
        <v>0</v>
      </c>
      <c r="AD25" s="63">
        <f>SUMIFS(jt!$N:$N,jt!$A:$A,加弹汇总表!$A25,jt!$R:$R,加弹汇总表!AD$2)</f>
        <v>0</v>
      </c>
      <c r="AE25" s="63">
        <f>SUMIFS(jt!$N:$N,jt!$A:$A,加弹汇总表!$A25,jt!$R:$R,加弹汇总表!AE$2)</f>
        <v>0</v>
      </c>
      <c r="AF25" s="63">
        <f>SUMIFS(jt!$N:$N,jt!$A:$A,加弹汇总表!$A25,jt!$R:$R,加弹汇总表!AF$2)</f>
        <v>0</v>
      </c>
      <c r="AG25" s="64">
        <f>SUMIFS(jt!$M:$M,jt!$A:$A,加弹汇总表!$A25,jt!$C:$C,加弹汇总表!AG$2)</f>
        <v>0</v>
      </c>
      <c r="AH25" s="64">
        <f>SUMIFS(jt!$M:$M,jt!$A:$A,加弹汇总表!$A25,jt!$C:$C,加弹汇总表!AH$2)</f>
        <v>0</v>
      </c>
      <c r="AI25" s="64">
        <f>SUMIFS(jt!$M:$M,jt!$A:$A,加弹汇总表!$A25,jt!$C:$C,加弹汇总表!AI$2)</f>
        <v>0</v>
      </c>
      <c r="AJ25" s="64">
        <f>SUMIFS(jt!$M:$M,jt!$A:$A,加弹汇总表!$A25,jt!$C:$C,加弹汇总表!AJ$2)</f>
        <v>0</v>
      </c>
      <c r="AK25" s="64">
        <f>SUMIFS(jt!$M:$M,jt!$A:$A,加弹汇总表!$A25,jt!$C:$C,加弹汇总表!AK$2)</f>
        <v>58178.1</v>
      </c>
      <c r="AL25" s="64">
        <f>SUMIFS(jt!$M:$M,jt!$A:$A,加弹汇总表!$A25,jt!$C:$C,加弹汇总表!AL$2)</f>
        <v>0</v>
      </c>
      <c r="AM25" s="64">
        <f>SUMIFS(jt!$M:$M,jt!$A:$A,加弹汇总表!$A25,jt!$C:$C,加弹汇总表!AM$2)</f>
        <v>28950.969999999994</v>
      </c>
      <c r="AN25" s="80">
        <f>SUMIFS(jt!$M:$M,jt!$A:$A,加弹汇总表!$A25,jt!$C:$C,加弹汇总表!AN$2)</f>
        <v>0</v>
      </c>
      <c r="AO25" s="8">
        <f>SUMIFS(jt!$M:$M,jt!$B:$B,加弹汇总表!$B25,jt!$D:$D,加弹汇总表!$C25,jt!$F:$F,加弹汇总表!$F25,jt!$O:$O,加弹汇总表!$C$1&amp;"/"&amp;加弹汇总表!$D$1&amp;"/"&amp;加弹汇总表!AO$2)</f>
        <v>2609.6799999999998</v>
      </c>
      <c r="AP25" s="8">
        <f>SUMIFS(jt!$M:$M,jt!$B:$B,加弹汇总表!$B25,jt!$D:$D,加弹汇总表!$C25,jt!$F:$F,加弹汇总表!$F25,jt!$O:$O,加弹汇总表!$C$1&amp;"/"&amp;加弹汇总表!$D$1&amp;"/"&amp;加弹汇总表!AP$2)</f>
        <v>2440.0700000000002</v>
      </c>
      <c r="AQ25" s="8">
        <f>SUMIFS(jt!$M:$M,jt!$B:$B,加弹汇总表!$B25,jt!$D:$D,加弹汇总表!$C25,jt!$F:$F,加弹汇总表!$F25,jt!$O:$O,加弹汇总表!$C$1&amp;"/"&amp;加弹汇总表!$D$1&amp;"/"&amp;加弹汇总表!AQ$2)</f>
        <v>2552.8900000000003</v>
      </c>
      <c r="AR25" s="8">
        <f>SUMIFS(jt!$M:$M,jt!$B:$B,加弹汇总表!$B25,jt!$D:$D,加弹汇总表!$C25,jt!$F:$F,加弹汇总表!$F25,jt!$O:$O,加弹汇总表!$C$1&amp;"/"&amp;加弹汇总表!$D$1&amp;"/"&amp;加弹汇总表!AR$2)</f>
        <v>2456.1</v>
      </c>
      <c r="AS25" s="8">
        <f>SUMIFS(jt!$M:$M,jt!$B:$B,加弹汇总表!$B25,jt!$D:$D,加弹汇总表!$C25,jt!$F:$F,加弹汇总表!$F25,jt!$O:$O,加弹汇总表!$C$1&amp;"/"&amp;加弹汇总表!$D$1&amp;"/"&amp;加弹汇总表!AS$2)</f>
        <v>2685.82</v>
      </c>
      <c r="AT25" s="8">
        <f>SUMIFS(jt!$M:$M,jt!$B:$B,加弹汇总表!$B25,jt!$D:$D,加弹汇总表!$C25,jt!$F:$F,加弹汇总表!$F25,jt!$O:$O,加弹汇总表!$C$1&amp;"/"&amp;加弹汇总表!$D$1&amp;"/"&amp;加弹汇总表!AT$2)</f>
        <v>0</v>
      </c>
      <c r="AU25" s="8">
        <f>SUMIFS(jt!$M:$M,jt!$B:$B,加弹汇总表!$B25,jt!$D:$D,加弹汇总表!$C25,jt!$F:$F,加弹汇总表!$F25,jt!$O:$O,加弹汇总表!$C$1&amp;"/"&amp;加弹汇总表!$D$1&amp;"/"&amp;加弹汇总表!AU$2)</f>
        <v>0</v>
      </c>
      <c r="AV25" s="8">
        <f>SUMIFS(jt!$M:$M,jt!$B:$B,加弹汇总表!$B25,jt!$D:$D,加弹汇总表!$C25,jt!$F:$F,加弹汇总表!$F25,jt!$O:$O,加弹汇总表!$C$1&amp;"/"&amp;加弹汇总表!$D$1&amp;"/"&amp;加弹汇总表!AV$2)</f>
        <v>0</v>
      </c>
      <c r="AW25" s="8">
        <f>SUMIFS(jt!$M:$M,jt!$B:$B,加弹汇总表!$B25,jt!$D:$D,加弹汇总表!$C25,jt!$F:$F,加弹汇总表!$F25,jt!$O:$O,加弹汇总表!$C$1&amp;"/"&amp;加弹汇总表!$D$1&amp;"/"&amp;加弹汇总表!AW$2)</f>
        <v>0</v>
      </c>
      <c r="AX25" s="8">
        <f>SUMIFS(jt!$M:$M,jt!$B:$B,加弹汇总表!$B25,jt!$D:$D,加弹汇总表!$C25,jt!$F:$F,加弹汇总表!$F25,jt!$O:$O,加弹汇总表!$C$1&amp;"/"&amp;加弹汇总表!$D$1&amp;"/"&amp;加弹汇总表!AX$2)</f>
        <v>0</v>
      </c>
      <c r="AY25" s="8">
        <f>SUMIFS(jt!$M:$M,jt!$B:$B,加弹汇总表!$B25,jt!$D:$D,加弹汇总表!$C25,jt!$F:$F,加弹汇总表!$F25,jt!$O:$O,加弹汇总表!$C$1&amp;"/"&amp;加弹汇总表!$D$1&amp;"/"&amp;加弹汇总表!AY$2)</f>
        <v>0</v>
      </c>
      <c r="AZ25" s="8">
        <f>SUMIFS(jt!$M:$M,jt!$B:$B,加弹汇总表!$B25,jt!$D:$D,加弹汇总表!$C25,jt!$F:$F,加弹汇总表!$F25,jt!$O:$O,加弹汇总表!$C$1&amp;"/"&amp;加弹汇总表!$D$1&amp;"/"&amp;加弹汇总表!AZ$2)</f>
        <v>0</v>
      </c>
      <c r="BA25" s="8">
        <f>SUMIFS(jt!$M:$M,jt!$B:$B,加弹汇总表!$B25,jt!$D:$D,加弹汇总表!$C25,jt!$F:$F,加弹汇总表!$F25,jt!$O:$O,加弹汇总表!$C$1&amp;"/"&amp;加弹汇总表!$D$1&amp;"/"&amp;加弹汇总表!BA$2)</f>
        <v>0</v>
      </c>
      <c r="BB25" s="8">
        <f>SUMIFS(jt!$M:$M,jt!$B:$B,加弹汇总表!$B25,jt!$D:$D,加弹汇总表!$C25,jt!$F:$F,加弹汇总表!$F25,jt!$O:$O,加弹汇总表!$C$1&amp;"/"&amp;加弹汇总表!$D$1&amp;"/"&amp;加弹汇总表!BB$2)</f>
        <v>0</v>
      </c>
      <c r="BC25" s="8">
        <f>SUMIFS(jt!$M:$M,jt!$B:$B,加弹汇总表!$B25,jt!$D:$D,加弹汇总表!$C25,jt!$F:$F,加弹汇总表!$F25,jt!$O:$O,加弹汇总表!$C$1&amp;"/"&amp;加弹汇总表!$D$1&amp;"/"&amp;加弹汇总表!BC$2)</f>
        <v>0</v>
      </c>
      <c r="BD25" s="8">
        <f>SUMIFS(jt!$M:$M,jt!$B:$B,加弹汇总表!$B25,jt!$D:$D,加弹汇总表!$C25,jt!$F:$F,加弹汇总表!$F25,jt!$O:$O,加弹汇总表!$C$1&amp;"/"&amp;加弹汇总表!$D$1&amp;"/"&amp;加弹汇总表!BD$2)</f>
        <v>0</v>
      </c>
      <c r="BE25" s="8">
        <f>SUMIFS(jt!$M:$M,jt!$B:$B,加弹汇总表!$B25,jt!$D:$D,加弹汇总表!$C25,jt!$F:$F,加弹汇总表!$F25,jt!$O:$O,加弹汇总表!$C$1&amp;"/"&amp;加弹汇总表!$D$1&amp;"/"&amp;加弹汇总表!BE$2)</f>
        <v>0</v>
      </c>
      <c r="BF25" s="8">
        <f>SUMIFS(jt!$M:$M,jt!$B:$B,加弹汇总表!$B25,jt!$D:$D,加弹汇总表!$C25,jt!$F:$F,加弹汇总表!$F25,jt!$O:$O,加弹汇总表!$C$1&amp;"/"&amp;加弹汇总表!$D$1&amp;"/"&amp;加弹汇总表!BF$2)</f>
        <v>0</v>
      </c>
      <c r="BG25" s="8">
        <f>SUMIFS(jt!$M:$M,jt!$B:$B,加弹汇总表!$B25,jt!$D:$D,加弹汇总表!$C25,jt!$F:$F,加弹汇总表!$F25,jt!$O:$O,加弹汇总表!$C$1&amp;"/"&amp;加弹汇总表!$D$1&amp;"/"&amp;加弹汇总表!BG$2)</f>
        <v>0</v>
      </c>
      <c r="BH25" s="8">
        <f>SUMIFS(jt!$M:$M,jt!$B:$B,加弹汇总表!$B25,jt!$D:$D,加弹汇总表!$C25,jt!$F:$F,加弹汇总表!$F25,jt!$O:$O,加弹汇总表!$C$1&amp;"/"&amp;加弹汇总表!$D$1&amp;"/"&amp;加弹汇总表!BH$2)</f>
        <v>0</v>
      </c>
      <c r="BI25" s="8">
        <f>SUMIFS(jt!$M:$M,jt!$B:$B,加弹汇总表!$B25,jt!$D:$D,加弹汇总表!$C25,jt!$F:$F,加弹汇总表!$F25,jt!$O:$O,加弹汇总表!$C$1&amp;"/"&amp;加弹汇总表!$D$1&amp;"/"&amp;加弹汇总表!BI$2)</f>
        <v>0</v>
      </c>
      <c r="BJ25" s="8">
        <f>SUMIFS(jt!$M:$M,jt!$B:$B,加弹汇总表!$B25,jt!$D:$D,加弹汇总表!$C25,jt!$F:$F,加弹汇总表!$F25,jt!$O:$O,加弹汇总表!$C$1&amp;"/"&amp;加弹汇总表!$D$1&amp;"/"&amp;加弹汇总表!BJ$2)</f>
        <v>0</v>
      </c>
      <c r="BK25" s="8">
        <f>SUMIFS(jt!$M:$M,jt!$B:$B,加弹汇总表!$B25,jt!$D:$D,加弹汇总表!$C25,jt!$F:$F,加弹汇总表!$F25,jt!$O:$O,加弹汇总表!$C$1&amp;"/"&amp;加弹汇总表!$D$1&amp;"/"&amp;加弹汇总表!BK$2)</f>
        <v>0</v>
      </c>
      <c r="BL25" s="8">
        <f>SUMIFS(jt!$M:$M,jt!$B:$B,加弹汇总表!$B25,jt!$D:$D,加弹汇总表!$C25,jt!$F:$F,加弹汇总表!$F25,jt!$O:$O,加弹汇总表!$C$1&amp;"/"&amp;加弹汇总表!$D$1&amp;"/"&amp;加弹汇总表!BL$2)</f>
        <v>0</v>
      </c>
      <c r="BM25" s="8">
        <f>SUMIFS(jt!$M:$M,jt!$B:$B,加弹汇总表!$B25,jt!$D:$D,加弹汇总表!$C25,jt!$F:$F,加弹汇总表!$F25,jt!$O:$O,加弹汇总表!$C$1&amp;"/"&amp;加弹汇总表!$D$1&amp;"/"&amp;加弹汇总表!BM$2)</f>
        <v>0</v>
      </c>
      <c r="BN25" s="8">
        <f>SUMIFS(jt!$M:$M,jt!$B:$B,加弹汇总表!$B25,jt!$D:$D,加弹汇总表!$C25,jt!$F:$F,加弹汇总表!$F25,jt!$O:$O,加弹汇总表!$C$1&amp;"/"&amp;加弹汇总表!$D$1&amp;"/"&amp;加弹汇总表!BN$2)</f>
        <v>0</v>
      </c>
      <c r="BO25" s="8">
        <f>SUMIFS(jt!$M:$M,jt!$B:$B,加弹汇总表!$B25,jt!$D:$D,加弹汇总表!$C25,jt!$F:$F,加弹汇总表!$F25,jt!$O:$O,加弹汇总表!$C$1&amp;"/"&amp;加弹汇总表!$D$1&amp;"/"&amp;加弹汇总表!BO$2)</f>
        <v>0</v>
      </c>
      <c r="BP25" s="8">
        <f>SUMIFS(jt!$M:$M,jt!$B:$B,加弹汇总表!$B25,jt!$D:$D,加弹汇总表!$C25,jt!$F:$F,加弹汇总表!$F25,jt!$O:$O,加弹汇总表!$C$1&amp;"/"&amp;加弹汇总表!$D$1&amp;"/"&amp;加弹汇总表!BP$2)</f>
        <v>0</v>
      </c>
      <c r="BQ25" s="8">
        <f>SUMIFS(jt!$M:$M,jt!$B:$B,加弹汇总表!$B25,jt!$D:$D,加弹汇总表!$C25,jt!$F:$F,加弹汇总表!$F25,jt!$O:$O,加弹汇总表!$C$1&amp;"/"&amp;加弹汇总表!$D$1&amp;"/"&amp;加弹汇总表!BQ$2)</f>
        <v>0</v>
      </c>
      <c r="BR25" s="8">
        <f>SUMIFS(jt!$M:$M,jt!$B:$B,加弹汇总表!$B25,jt!$D:$D,加弹汇总表!$C25,jt!$F:$F,加弹汇总表!$F25,jt!$O:$O,加弹汇总表!$C$1&amp;"/"&amp;加弹汇总表!$D$1&amp;"/"&amp;加弹汇总表!BR$2)</f>
        <v>0</v>
      </c>
      <c r="BS25" s="8">
        <f>SUMIFS(jt!$M:$M,jt!$B:$B,加弹汇总表!$B25,jt!$D:$D,加弹汇总表!$C25,jt!$F:$F,加弹汇总表!$F25,jt!$O:$O,加弹汇总表!$C$1&amp;"/"&amp;加弹汇总表!$D$1&amp;"/"&amp;加弹汇总表!BS$2)</f>
        <v>0</v>
      </c>
    </row>
    <row r="26" spans="1:71" ht="18" customHeight="1">
      <c r="A26" s="250" t="str">
        <f t="shared" si="4"/>
        <v>73003100D网络丝172/48白喷水</v>
      </c>
      <c r="B26" s="14">
        <v>73003</v>
      </c>
      <c r="C26" s="98" t="s">
        <v>867</v>
      </c>
      <c r="D26" s="53" t="s">
        <v>404</v>
      </c>
      <c r="E26" s="194" t="s">
        <v>2279</v>
      </c>
      <c r="F26" s="53" t="s">
        <v>2</v>
      </c>
      <c r="G26" s="53" t="s">
        <v>146</v>
      </c>
      <c r="H26" s="194" t="s">
        <v>2501</v>
      </c>
      <c r="I26" s="246">
        <f ca="1">IF(SUMIFS(jt!M:M,jt!A:A,加弹汇总表!A26,jt!O:O,加弹汇总表!$E$1)=0,0,SUM(AO26:BS26)/COUNTIF(AO26:BS26,"&lt;&gt;0"))</f>
        <v>1331.4</v>
      </c>
      <c r="J26" s="53">
        <f t="shared" si="5"/>
        <v>0</v>
      </c>
      <c r="K26" s="53">
        <f t="shared" si="6"/>
        <v>0</v>
      </c>
      <c r="L26" s="53">
        <f t="shared" si="7"/>
        <v>0</v>
      </c>
      <c r="M26" s="53">
        <f t="shared" si="0"/>
        <v>17581</v>
      </c>
      <c r="N26" s="53"/>
      <c r="O26" s="53">
        <f t="shared" si="1"/>
        <v>0</v>
      </c>
      <c r="P26" s="53">
        <f t="shared" si="2"/>
        <v>17581</v>
      </c>
      <c r="Q26" s="53">
        <f t="shared" si="3"/>
        <v>0</v>
      </c>
      <c r="R26" s="60">
        <f>SUMIFS(jt!$K:$K,jt!$A:$A,加弹汇总表!$A26,jt!$R:$R,加弹汇总表!R$2)</f>
        <v>0</v>
      </c>
      <c r="S26" s="60">
        <f>SUMIFS(jt!$K:$K,jt!$A:$A,加弹汇总表!$A26,jt!$R:$R,加弹汇总表!S$2)</f>
        <v>0</v>
      </c>
      <c r="T26" s="60">
        <f>SUMIFS(jt!$K:$K,jt!$A:$A,加弹汇总表!$A26,jt!$R:$R,加弹汇总表!T$2)</f>
        <v>0</v>
      </c>
      <c r="U26" s="60">
        <f>SUMIFS(jt!$J:$J,jt!$A:$A,加弹汇总表!$A26,jt!$R:$R,加弹汇总表!U$2)</f>
        <v>0</v>
      </c>
      <c r="V26" s="60">
        <f>SUMIFS(jt!$J:$J,jt!$A:$A,加弹汇总表!$A26,jt!$R:$R,加弹汇总表!V$2)</f>
        <v>0</v>
      </c>
      <c r="W26" s="60">
        <f>SUMIFS(jt!$J:$J,jt!$A:$A,加弹汇总表!$A26,jt!$R:$R,加弹汇总表!W$2)</f>
        <v>0</v>
      </c>
      <c r="X26" s="61">
        <f>SUMIFS(jt!$L:$L,jt!$A:$A,加弹汇总表!$A26,jt!$R:$R,加弹汇总表!X$2)</f>
        <v>0</v>
      </c>
      <c r="Y26" s="61">
        <f>SUMIFS(jt!$L:$L,jt!$A:$A,加弹汇总表!$A26,jt!$R:$R,加弹汇总表!Y$2)</f>
        <v>0</v>
      </c>
      <c r="Z26" s="61">
        <f>SUMIFS(jt!$L:$L,jt!$A:$A,加弹汇总表!$A26,jt!$R:$R,加弹汇总表!Z$2)</f>
        <v>0</v>
      </c>
      <c r="AA26" s="62">
        <f>SUMIFS(jt!$M:$M,jt!$A:$A,加弹汇总表!$A26,jt!$R:$R,加弹汇总表!AA$2)</f>
        <v>10924</v>
      </c>
      <c r="AB26" s="62">
        <f>SUMIFS(jt!$M:$M,jt!$A:$A,加弹汇总表!$A26,jt!$R:$R,加弹汇总表!AB$2)</f>
        <v>6657</v>
      </c>
      <c r="AC26" s="62">
        <f>SUMIFS(jt!$M:$M,jt!$A:$A,加弹汇总表!$A26,jt!$R:$R,加弹汇总表!AC$2)</f>
        <v>0</v>
      </c>
      <c r="AD26" s="63">
        <f>SUMIFS(jt!$N:$N,jt!$A:$A,加弹汇总表!$A26,jt!$R:$R,加弹汇总表!AD$2)</f>
        <v>0</v>
      </c>
      <c r="AE26" s="63">
        <f>SUMIFS(jt!$N:$N,jt!$A:$A,加弹汇总表!$A26,jt!$R:$R,加弹汇总表!AE$2)</f>
        <v>0</v>
      </c>
      <c r="AF26" s="63">
        <f>SUMIFS(jt!$N:$N,jt!$A:$A,加弹汇总表!$A26,jt!$R:$R,加弹汇总表!AF$2)</f>
        <v>0</v>
      </c>
      <c r="AG26" s="64">
        <f>SUMIFS(jt!$M:$M,jt!$A:$A,加弹汇总表!$A26,jt!$C:$C,加弹汇总表!AG$2)</f>
        <v>12115</v>
      </c>
      <c r="AH26" s="64">
        <f>SUMIFS(jt!$M:$M,jt!$A:$A,加弹汇总表!$A26,jt!$C:$C,加弹汇总表!AH$2)</f>
        <v>0</v>
      </c>
      <c r="AI26" s="64">
        <f>SUMIFS(jt!$M:$M,jt!$A:$A,加弹汇总表!$A26,jt!$C:$C,加弹汇总表!AI$2)</f>
        <v>0</v>
      </c>
      <c r="AJ26" s="64">
        <f>SUMIFS(jt!$M:$M,jt!$A:$A,加弹汇总表!$A26,jt!$C:$C,加弹汇总表!AJ$2)</f>
        <v>0</v>
      </c>
      <c r="AK26" s="64">
        <f>SUMIFS(jt!$M:$M,jt!$A:$A,加弹汇总表!$A26,jt!$C:$C,加弹汇总表!AK$2)</f>
        <v>0</v>
      </c>
      <c r="AL26" s="64">
        <f>SUMIFS(jt!$M:$M,jt!$A:$A,加弹汇总表!$A26,jt!$C:$C,加弹汇总表!AL$2)</f>
        <v>5466</v>
      </c>
      <c r="AM26" s="64">
        <f>SUMIFS(jt!$M:$M,jt!$A:$A,加弹汇总表!$A26,jt!$C:$C,加弹汇总表!AM$2)</f>
        <v>0</v>
      </c>
      <c r="AN26" s="80">
        <f>SUMIFS(jt!$M:$M,jt!$A:$A,加弹汇总表!$A26,jt!$C:$C,加弹汇总表!AN$2)</f>
        <v>0</v>
      </c>
      <c r="AO26" s="8">
        <f>SUMIFS(jt!$M:$M,jt!$B:$B,加弹汇总表!$B26,jt!$D:$D,加弹汇总表!$C26,jt!$F:$F,加弹汇总表!$F26,jt!$O:$O,加弹汇总表!$C$1&amp;"/"&amp;加弹汇总表!$D$1&amp;"/"&amp;加弹汇总表!AO$2)</f>
        <v>1192</v>
      </c>
      <c r="AP26" s="8">
        <f>SUMIFS(jt!$M:$M,jt!$B:$B,加弹汇总表!$B26,jt!$D:$D,加弹汇总表!$C26,jt!$F:$F,加弹汇总表!$F26,jt!$O:$O,加弹汇总表!$C$1&amp;"/"&amp;加弹汇总表!$D$1&amp;"/"&amp;加弹汇总表!AP$2)</f>
        <v>1205</v>
      </c>
      <c r="AQ26" s="8">
        <f>SUMIFS(jt!$M:$M,jt!$B:$B,加弹汇总表!$B26,jt!$D:$D,加弹汇总表!$C26,jt!$F:$F,加弹汇总表!$F26,jt!$O:$O,加弹汇总表!$C$1&amp;"/"&amp;加弹汇总表!$D$1&amp;"/"&amp;加弹汇总表!AQ$2)</f>
        <v>1125</v>
      </c>
      <c r="AR26" s="8">
        <f>SUMIFS(jt!$M:$M,jt!$B:$B,加弹汇总表!$B26,jt!$D:$D,加弹汇总表!$C26,jt!$F:$F,加弹汇总表!$F26,jt!$O:$O,加弹汇总表!$C$1&amp;"/"&amp;加弹汇总表!$D$1&amp;"/"&amp;加弹汇总表!AR$2)</f>
        <v>1340</v>
      </c>
      <c r="AS26" s="8">
        <f>SUMIFS(jt!$M:$M,jt!$B:$B,加弹汇总表!$B26,jt!$D:$D,加弹汇总表!$C26,jt!$F:$F,加弹汇总表!$F26,jt!$O:$O,加弹汇总表!$C$1&amp;"/"&amp;加弹汇总表!$D$1&amp;"/"&amp;加弹汇总表!AS$2)</f>
        <v>1795</v>
      </c>
      <c r="AT26" s="8">
        <f>SUMIFS(jt!$M:$M,jt!$B:$B,加弹汇总表!$B26,jt!$D:$D,加弹汇总表!$C26,jt!$F:$F,加弹汇总表!$F26,jt!$O:$O,加弹汇总表!$C$1&amp;"/"&amp;加弹汇总表!$D$1&amp;"/"&amp;加弹汇总表!AT$2)</f>
        <v>0</v>
      </c>
      <c r="AU26" s="8">
        <f>SUMIFS(jt!$M:$M,jt!$B:$B,加弹汇总表!$B26,jt!$D:$D,加弹汇总表!$C26,jt!$F:$F,加弹汇总表!$F26,jt!$O:$O,加弹汇总表!$C$1&amp;"/"&amp;加弹汇总表!$D$1&amp;"/"&amp;加弹汇总表!AU$2)</f>
        <v>0</v>
      </c>
      <c r="AV26" s="8">
        <f>SUMIFS(jt!$M:$M,jt!$B:$B,加弹汇总表!$B26,jt!$D:$D,加弹汇总表!$C26,jt!$F:$F,加弹汇总表!$F26,jt!$O:$O,加弹汇总表!$C$1&amp;"/"&amp;加弹汇总表!$D$1&amp;"/"&amp;加弹汇总表!AV$2)</f>
        <v>0</v>
      </c>
      <c r="AW26" s="8">
        <f>SUMIFS(jt!$M:$M,jt!$B:$B,加弹汇总表!$B26,jt!$D:$D,加弹汇总表!$C26,jt!$F:$F,加弹汇总表!$F26,jt!$O:$O,加弹汇总表!$C$1&amp;"/"&amp;加弹汇总表!$D$1&amp;"/"&amp;加弹汇总表!AW$2)</f>
        <v>0</v>
      </c>
      <c r="AX26" s="8">
        <f>SUMIFS(jt!$M:$M,jt!$B:$B,加弹汇总表!$B26,jt!$D:$D,加弹汇总表!$C26,jt!$F:$F,加弹汇总表!$F26,jt!$O:$O,加弹汇总表!$C$1&amp;"/"&amp;加弹汇总表!$D$1&amp;"/"&amp;加弹汇总表!AX$2)</f>
        <v>0</v>
      </c>
      <c r="AY26" s="8">
        <f>SUMIFS(jt!$M:$M,jt!$B:$B,加弹汇总表!$B26,jt!$D:$D,加弹汇总表!$C26,jt!$F:$F,加弹汇总表!$F26,jt!$O:$O,加弹汇总表!$C$1&amp;"/"&amp;加弹汇总表!$D$1&amp;"/"&amp;加弹汇总表!AY$2)</f>
        <v>0</v>
      </c>
      <c r="AZ26" s="8">
        <f>SUMIFS(jt!$M:$M,jt!$B:$B,加弹汇总表!$B26,jt!$D:$D,加弹汇总表!$C26,jt!$F:$F,加弹汇总表!$F26,jt!$O:$O,加弹汇总表!$C$1&amp;"/"&amp;加弹汇总表!$D$1&amp;"/"&amp;加弹汇总表!AZ$2)</f>
        <v>0</v>
      </c>
      <c r="BA26" s="8">
        <f>SUMIFS(jt!$M:$M,jt!$B:$B,加弹汇总表!$B26,jt!$D:$D,加弹汇总表!$C26,jt!$F:$F,加弹汇总表!$F26,jt!$O:$O,加弹汇总表!$C$1&amp;"/"&amp;加弹汇总表!$D$1&amp;"/"&amp;加弹汇总表!BA$2)</f>
        <v>0</v>
      </c>
      <c r="BB26" s="8">
        <f>SUMIFS(jt!$M:$M,jt!$B:$B,加弹汇总表!$B26,jt!$D:$D,加弹汇总表!$C26,jt!$F:$F,加弹汇总表!$F26,jt!$O:$O,加弹汇总表!$C$1&amp;"/"&amp;加弹汇总表!$D$1&amp;"/"&amp;加弹汇总表!BB$2)</f>
        <v>0</v>
      </c>
      <c r="BC26" s="8">
        <f>SUMIFS(jt!$M:$M,jt!$B:$B,加弹汇总表!$B26,jt!$D:$D,加弹汇总表!$C26,jt!$F:$F,加弹汇总表!$F26,jt!$O:$O,加弹汇总表!$C$1&amp;"/"&amp;加弹汇总表!$D$1&amp;"/"&amp;加弹汇总表!BC$2)</f>
        <v>0</v>
      </c>
      <c r="BD26" s="8">
        <f>SUMIFS(jt!$M:$M,jt!$B:$B,加弹汇总表!$B26,jt!$D:$D,加弹汇总表!$C26,jt!$F:$F,加弹汇总表!$F26,jt!$O:$O,加弹汇总表!$C$1&amp;"/"&amp;加弹汇总表!$D$1&amp;"/"&amp;加弹汇总表!BD$2)</f>
        <v>0</v>
      </c>
      <c r="BE26" s="8">
        <f>SUMIFS(jt!$M:$M,jt!$B:$B,加弹汇总表!$B26,jt!$D:$D,加弹汇总表!$C26,jt!$F:$F,加弹汇总表!$F26,jt!$O:$O,加弹汇总表!$C$1&amp;"/"&amp;加弹汇总表!$D$1&amp;"/"&amp;加弹汇总表!BE$2)</f>
        <v>0</v>
      </c>
      <c r="BF26" s="8">
        <f>SUMIFS(jt!$M:$M,jt!$B:$B,加弹汇总表!$B26,jt!$D:$D,加弹汇总表!$C26,jt!$F:$F,加弹汇总表!$F26,jt!$O:$O,加弹汇总表!$C$1&amp;"/"&amp;加弹汇总表!$D$1&amp;"/"&amp;加弹汇总表!BF$2)</f>
        <v>0</v>
      </c>
      <c r="BG26" s="8">
        <f>SUMIFS(jt!$M:$M,jt!$B:$B,加弹汇总表!$B26,jt!$D:$D,加弹汇总表!$C26,jt!$F:$F,加弹汇总表!$F26,jt!$O:$O,加弹汇总表!$C$1&amp;"/"&amp;加弹汇总表!$D$1&amp;"/"&amp;加弹汇总表!BG$2)</f>
        <v>0</v>
      </c>
      <c r="BH26" s="8">
        <f>SUMIFS(jt!$M:$M,jt!$B:$B,加弹汇总表!$B26,jt!$D:$D,加弹汇总表!$C26,jt!$F:$F,加弹汇总表!$F26,jt!$O:$O,加弹汇总表!$C$1&amp;"/"&amp;加弹汇总表!$D$1&amp;"/"&amp;加弹汇总表!BH$2)</f>
        <v>0</v>
      </c>
      <c r="BI26" s="8">
        <f>SUMIFS(jt!$M:$M,jt!$B:$B,加弹汇总表!$B26,jt!$D:$D,加弹汇总表!$C26,jt!$F:$F,加弹汇总表!$F26,jt!$O:$O,加弹汇总表!$C$1&amp;"/"&amp;加弹汇总表!$D$1&amp;"/"&amp;加弹汇总表!BI$2)</f>
        <v>0</v>
      </c>
      <c r="BJ26" s="8">
        <f>SUMIFS(jt!$M:$M,jt!$B:$B,加弹汇总表!$B26,jt!$D:$D,加弹汇总表!$C26,jt!$F:$F,加弹汇总表!$F26,jt!$O:$O,加弹汇总表!$C$1&amp;"/"&amp;加弹汇总表!$D$1&amp;"/"&amp;加弹汇总表!BJ$2)</f>
        <v>0</v>
      </c>
      <c r="BK26" s="8">
        <f>SUMIFS(jt!$M:$M,jt!$B:$B,加弹汇总表!$B26,jt!$D:$D,加弹汇总表!$C26,jt!$F:$F,加弹汇总表!$F26,jt!$O:$O,加弹汇总表!$C$1&amp;"/"&amp;加弹汇总表!$D$1&amp;"/"&amp;加弹汇总表!BK$2)</f>
        <v>0</v>
      </c>
      <c r="BL26" s="8">
        <f>SUMIFS(jt!$M:$M,jt!$B:$B,加弹汇总表!$B26,jt!$D:$D,加弹汇总表!$C26,jt!$F:$F,加弹汇总表!$F26,jt!$O:$O,加弹汇总表!$C$1&amp;"/"&amp;加弹汇总表!$D$1&amp;"/"&amp;加弹汇总表!BL$2)</f>
        <v>0</v>
      </c>
      <c r="BM26" s="8">
        <f>SUMIFS(jt!$M:$M,jt!$B:$B,加弹汇总表!$B26,jt!$D:$D,加弹汇总表!$C26,jt!$F:$F,加弹汇总表!$F26,jt!$O:$O,加弹汇总表!$C$1&amp;"/"&amp;加弹汇总表!$D$1&amp;"/"&amp;加弹汇总表!BM$2)</f>
        <v>0</v>
      </c>
      <c r="BN26" s="8">
        <f>SUMIFS(jt!$M:$M,jt!$B:$B,加弹汇总表!$B26,jt!$D:$D,加弹汇总表!$C26,jt!$F:$F,加弹汇总表!$F26,jt!$O:$O,加弹汇总表!$C$1&amp;"/"&amp;加弹汇总表!$D$1&amp;"/"&amp;加弹汇总表!BN$2)</f>
        <v>0</v>
      </c>
      <c r="BO26" s="8">
        <f>SUMIFS(jt!$M:$M,jt!$B:$B,加弹汇总表!$B26,jt!$D:$D,加弹汇总表!$C26,jt!$F:$F,加弹汇总表!$F26,jt!$O:$O,加弹汇总表!$C$1&amp;"/"&amp;加弹汇总表!$D$1&amp;"/"&amp;加弹汇总表!BO$2)</f>
        <v>0</v>
      </c>
      <c r="BP26" s="8">
        <f>SUMIFS(jt!$M:$M,jt!$B:$B,加弹汇总表!$B26,jt!$D:$D,加弹汇总表!$C26,jt!$F:$F,加弹汇总表!$F26,jt!$O:$O,加弹汇总表!$C$1&amp;"/"&amp;加弹汇总表!$D$1&amp;"/"&amp;加弹汇总表!BP$2)</f>
        <v>0</v>
      </c>
      <c r="BQ26" s="8">
        <f>SUMIFS(jt!$M:$M,jt!$B:$B,加弹汇总表!$B26,jt!$D:$D,加弹汇总表!$C26,jt!$F:$F,加弹汇总表!$F26,jt!$O:$O,加弹汇总表!$C$1&amp;"/"&amp;加弹汇总表!$D$1&amp;"/"&amp;加弹汇总表!BQ$2)</f>
        <v>0</v>
      </c>
      <c r="BR26" s="8">
        <f>SUMIFS(jt!$M:$M,jt!$B:$B,加弹汇总表!$B26,jt!$D:$D,加弹汇总表!$C26,jt!$F:$F,加弹汇总表!$F26,jt!$O:$O,加弹汇总表!$C$1&amp;"/"&amp;加弹汇总表!$D$1&amp;"/"&amp;加弹汇总表!BR$2)</f>
        <v>0</v>
      </c>
      <c r="BS26" s="8">
        <f>SUMIFS(jt!$M:$M,jt!$B:$B,加弹汇总表!$B26,jt!$D:$D,加弹汇总表!$C26,jt!$F:$F,加弹汇总表!$F26,jt!$O:$O,加弹汇总表!$C$1&amp;"/"&amp;加弹汇总表!$D$1&amp;"/"&amp;加弹汇总表!BS$2)</f>
        <v>0</v>
      </c>
    </row>
    <row r="27" spans="1:71" ht="18" customHeight="1">
      <c r="A27" s="250" t="str">
        <f t="shared" si="4"/>
        <v>H-H5121750482100D网络丝175/48黑</v>
      </c>
      <c r="B27" s="14" t="s">
        <v>409</v>
      </c>
      <c r="C27" s="98" t="s">
        <v>867</v>
      </c>
      <c r="D27" s="53" t="s">
        <v>408</v>
      </c>
      <c r="E27" s="78"/>
      <c r="F27" s="53" t="s">
        <v>1</v>
      </c>
      <c r="G27" s="53" t="s">
        <v>411</v>
      </c>
      <c r="H27" s="53"/>
      <c r="I27" s="246">
        <f ca="1">IF(SUMIFS(jt!M:M,jt!A:A,加弹汇总表!A27,jt!O:O,加弹汇总表!$E$1)=0,0,SUM(AO27:BS27)/COUNTIF(AO27:BS27,"&lt;&gt;0"))</f>
        <v>0</v>
      </c>
      <c r="J27" s="53">
        <f t="shared" si="5"/>
        <v>0</v>
      </c>
      <c r="K27" s="53">
        <f t="shared" si="6"/>
        <v>0</v>
      </c>
      <c r="L27" s="53">
        <f t="shared" si="7"/>
        <v>0</v>
      </c>
      <c r="M27" s="53">
        <f t="shared" si="0"/>
        <v>0</v>
      </c>
      <c r="N27" s="53"/>
      <c r="O27" s="53">
        <f t="shared" si="1"/>
        <v>0</v>
      </c>
      <c r="P27" s="53">
        <f t="shared" si="2"/>
        <v>0</v>
      </c>
      <c r="Q27" s="53">
        <f t="shared" si="3"/>
        <v>0</v>
      </c>
      <c r="R27" s="60">
        <f>SUMIFS(jt!$K:$K,jt!$A:$A,加弹汇总表!$A27,jt!$R:$R,加弹汇总表!R$2)</f>
        <v>0</v>
      </c>
      <c r="S27" s="60">
        <f>SUMIFS(jt!$K:$K,jt!$A:$A,加弹汇总表!$A27,jt!$R:$R,加弹汇总表!S$2)</f>
        <v>0</v>
      </c>
      <c r="T27" s="60">
        <f>SUMIFS(jt!$K:$K,jt!$A:$A,加弹汇总表!$A27,jt!$R:$R,加弹汇总表!T$2)</f>
        <v>0</v>
      </c>
      <c r="U27" s="60">
        <f>SUMIFS(jt!$J:$J,jt!$A:$A,加弹汇总表!$A27,jt!$R:$R,加弹汇总表!U$2)</f>
        <v>0</v>
      </c>
      <c r="V27" s="60">
        <f>SUMIFS(jt!$J:$J,jt!$A:$A,加弹汇总表!$A27,jt!$R:$R,加弹汇总表!V$2)</f>
        <v>0</v>
      </c>
      <c r="W27" s="60">
        <f>SUMIFS(jt!$J:$J,jt!$A:$A,加弹汇总表!$A27,jt!$R:$R,加弹汇总表!W$2)</f>
        <v>0</v>
      </c>
      <c r="X27" s="61">
        <f>SUMIFS(jt!$L:$L,jt!$A:$A,加弹汇总表!$A27,jt!$R:$R,加弹汇总表!X$2)</f>
        <v>0</v>
      </c>
      <c r="Y27" s="61">
        <f>SUMIFS(jt!$L:$L,jt!$A:$A,加弹汇总表!$A27,jt!$R:$R,加弹汇总表!Y$2)</f>
        <v>0</v>
      </c>
      <c r="Z27" s="61">
        <f>SUMIFS(jt!$L:$L,jt!$A:$A,加弹汇总表!$A27,jt!$R:$R,加弹汇总表!Z$2)</f>
        <v>0</v>
      </c>
      <c r="AA27" s="62">
        <f>SUMIFS(jt!$M:$M,jt!$A:$A,加弹汇总表!$A27,jt!$R:$R,加弹汇总表!AA$2)</f>
        <v>0</v>
      </c>
      <c r="AB27" s="62">
        <f>SUMIFS(jt!$M:$M,jt!$A:$A,加弹汇总表!$A27,jt!$R:$R,加弹汇总表!AB$2)</f>
        <v>0</v>
      </c>
      <c r="AC27" s="62">
        <f>SUMIFS(jt!$M:$M,jt!$A:$A,加弹汇总表!$A27,jt!$R:$R,加弹汇总表!AC$2)</f>
        <v>0</v>
      </c>
      <c r="AD27" s="63">
        <f>SUMIFS(jt!$N:$N,jt!$A:$A,加弹汇总表!$A27,jt!$R:$R,加弹汇总表!AD$2)</f>
        <v>0</v>
      </c>
      <c r="AE27" s="63">
        <f>SUMIFS(jt!$N:$N,jt!$A:$A,加弹汇总表!$A27,jt!$R:$R,加弹汇总表!AE$2)</f>
        <v>0</v>
      </c>
      <c r="AF27" s="63">
        <f>SUMIFS(jt!$N:$N,jt!$A:$A,加弹汇总表!$A27,jt!$R:$R,加弹汇总表!AF$2)</f>
        <v>0</v>
      </c>
      <c r="AG27" s="64">
        <f>SUMIFS(jt!$M:$M,jt!$A:$A,加弹汇总表!$A27,jt!$C:$C,加弹汇总表!AG$2)</f>
        <v>0</v>
      </c>
      <c r="AH27" s="64">
        <f>SUMIFS(jt!$M:$M,jt!$A:$A,加弹汇总表!$A27,jt!$C:$C,加弹汇总表!AH$2)</f>
        <v>0</v>
      </c>
      <c r="AI27" s="64">
        <f>SUMIFS(jt!$M:$M,jt!$A:$A,加弹汇总表!$A27,jt!$C:$C,加弹汇总表!AI$2)</f>
        <v>0</v>
      </c>
      <c r="AJ27" s="64">
        <f>SUMIFS(jt!$M:$M,jt!$A:$A,加弹汇总表!$A27,jt!$C:$C,加弹汇总表!AJ$2)</f>
        <v>0</v>
      </c>
      <c r="AK27" s="64">
        <f>SUMIFS(jt!$M:$M,jt!$A:$A,加弹汇总表!$A27,jt!$C:$C,加弹汇总表!AK$2)</f>
        <v>0</v>
      </c>
      <c r="AL27" s="64">
        <f>SUMIFS(jt!$M:$M,jt!$A:$A,加弹汇总表!$A27,jt!$C:$C,加弹汇总表!AL$2)</f>
        <v>0</v>
      </c>
      <c r="AM27" s="64">
        <f>SUMIFS(jt!$M:$M,jt!$A:$A,加弹汇总表!$A27,jt!$C:$C,加弹汇总表!AM$2)</f>
        <v>0</v>
      </c>
      <c r="AN27" s="80">
        <f>SUMIFS(jt!$M:$M,jt!$A:$A,加弹汇总表!$A27,jt!$C:$C,加弹汇总表!AN$2)</f>
        <v>0</v>
      </c>
      <c r="AO27" s="8">
        <f>SUMIFS(jt!$M:$M,jt!$B:$B,加弹汇总表!$B27,jt!$D:$D,加弹汇总表!$C27,jt!$F:$F,加弹汇总表!$F27,jt!$O:$O,加弹汇总表!$C$1&amp;"/"&amp;加弹汇总表!$D$1&amp;"/"&amp;加弹汇总表!AO$2)</f>
        <v>0</v>
      </c>
      <c r="AP27" s="8">
        <f>SUMIFS(jt!$M:$M,jt!$B:$B,加弹汇总表!$B27,jt!$D:$D,加弹汇总表!$C27,jt!$F:$F,加弹汇总表!$F27,jt!$O:$O,加弹汇总表!$C$1&amp;"/"&amp;加弹汇总表!$D$1&amp;"/"&amp;加弹汇总表!AP$2)</f>
        <v>0</v>
      </c>
      <c r="AQ27" s="8">
        <f>SUMIFS(jt!$M:$M,jt!$B:$B,加弹汇总表!$B27,jt!$D:$D,加弹汇总表!$C27,jt!$F:$F,加弹汇总表!$F27,jt!$O:$O,加弹汇总表!$C$1&amp;"/"&amp;加弹汇总表!$D$1&amp;"/"&amp;加弹汇总表!AQ$2)</f>
        <v>0</v>
      </c>
      <c r="AR27" s="8">
        <f>SUMIFS(jt!$M:$M,jt!$B:$B,加弹汇总表!$B27,jt!$D:$D,加弹汇总表!$C27,jt!$F:$F,加弹汇总表!$F27,jt!$O:$O,加弹汇总表!$C$1&amp;"/"&amp;加弹汇总表!$D$1&amp;"/"&amp;加弹汇总表!AR$2)</f>
        <v>0</v>
      </c>
      <c r="AS27" s="8">
        <f>SUMIFS(jt!$M:$M,jt!$B:$B,加弹汇总表!$B27,jt!$D:$D,加弹汇总表!$C27,jt!$F:$F,加弹汇总表!$F27,jt!$O:$O,加弹汇总表!$C$1&amp;"/"&amp;加弹汇总表!$D$1&amp;"/"&amp;加弹汇总表!AS$2)</f>
        <v>0</v>
      </c>
      <c r="AT27" s="8">
        <f>SUMIFS(jt!$M:$M,jt!$B:$B,加弹汇总表!$B27,jt!$D:$D,加弹汇总表!$C27,jt!$F:$F,加弹汇总表!$F27,jt!$O:$O,加弹汇总表!$C$1&amp;"/"&amp;加弹汇总表!$D$1&amp;"/"&amp;加弹汇总表!AT$2)</f>
        <v>0</v>
      </c>
      <c r="AU27" s="8">
        <f>SUMIFS(jt!$M:$M,jt!$B:$B,加弹汇总表!$B27,jt!$D:$D,加弹汇总表!$C27,jt!$F:$F,加弹汇总表!$F27,jt!$O:$O,加弹汇总表!$C$1&amp;"/"&amp;加弹汇总表!$D$1&amp;"/"&amp;加弹汇总表!AU$2)</f>
        <v>0</v>
      </c>
      <c r="AV27" s="8">
        <f>SUMIFS(jt!$M:$M,jt!$B:$B,加弹汇总表!$B27,jt!$D:$D,加弹汇总表!$C27,jt!$F:$F,加弹汇总表!$F27,jt!$O:$O,加弹汇总表!$C$1&amp;"/"&amp;加弹汇总表!$D$1&amp;"/"&amp;加弹汇总表!AV$2)</f>
        <v>0</v>
      </c>
      <c r="AW27" s="8">
        <f>SUMIFS(jt!$M:$M,jt!$B:$B,加弹汇总表!$B27,jt!$D:$D,加弹汇总表!$C27,jt!$F:$F,加弹汇总表!$F27,jt!$O:$O,加弹汇总表!$C$1&amp;"/"&amp;加弹汇总表!$D$1&amp;"/"&amp;加弹汇总表!AW$2)</f>
        <v>0</v>
      </c>
      <c r="AX27" s="8">
        <f>SUMIFS(jt!$M:$M,jt!$B:$B,加弹汇总表!$B27,jt!$D:$D,加弹汇总表!$C27,jt!$F:$F,加弹汇总表!$F27,jt!$O:$O,加弹汇总表!$C$1&amp;"/"&amp;加弹汇总表!$D$1&amp;"/"&amp;加弹汇总表!AX$2)</f>
        <v>0</v>
      </c>
      <c r="AY27" s="8">
        <f>SUMIFS(jt!$M:$M,jt!$B:$B,加弹汇总表!$B27,jt!$D:$D,加弹汇总表!$C27,jt!$F:$F,加弹汇总表!$F27,jt!$O:$O,加弹汇总表!$C$1&amp;"/"&amp;加弹汇总表!$D$1&amp;"/"&amp;加弹汇总表!AY$2)</f>
        <v>0</v>
      </c>
      <c r="AZ27" s="8">
        <f>SUMIFS(jt!$M:$M,jt!$B:$B,加弹汇总表!$B27,jt!$D:$D,加弹汇总表!$C27,jt!$F:$F,加弹汇总表!$F27,jt!$O:$O,加弹汇总表!$C$1&amp;"/"&amp;加弹汇总表!$D$1&amp;"/"&amp;加弹汇总表!AZ$2)</f>
        <v>0</v>
      </c>
      <c r="BA27" s="8">
        <f>SUMIFS(jt!$M:$M,jt!$B:$B,加弹汇总表!$B27,jt!$D:$D,加弹汇总表!$C27,jt!$F:$F,加弹汇总表!$F27,jt!$O:$O,加弹汇总表!$C$1&amp;"/"&amp;加弹汇总表!$D$1&amp;"/"&amp;加弹汇总表!BA$2)</f>
        <v>0</v>
      </c>
      <c r="BB27" s="8">
        <f>SUMIFS(jt!$M:$M,jt!$B:$B,加弹汇总表!$B27,jt!$D:$D,加弹汇总表!$C27,jt!$F:$F,加弹汇总表!$F27,jt!$O:$O,加弹汇总表!$C$1&amp;"/"&amp;加弹汇总表!$D$1&amp;"/"&amp;加弹汇总表!BB$2)</f>
        <v>0</v>
      </c>
      <c r="BC27" s="8">
        <f>SUMIFS(jt!$M:$M,jt!$B:$B,加弹汇总表!$B27,jt!$D:$D,加弹汇总表!$C27,jt!$F:$F,加弹汇总表!$F27,jt!$O:$O,加弹汇总表!$C$1&amp;"/"&amp;加弹汇总表!$D$1&amp;"/"&amp;加弹汇总表!BC$2)</f>
        <v>0</v>
      </c>
      <c r="BD27" s="8">
        <f>SUMIFS(jt!$M:$M,jt!$B:$B,加弹汇总表!$B27,jt!$D:$D,加弹汇总表!$C27,jt!$F:$F,加弹汇总表!$F27,jt!$O:$O,加弹汇总表!$C$1&amp;"/"&amp;加弹汇总表!$D$1&amp;"/"&amp;加弹汇总表!BD$2)</f>
        <v>0</v>
      </c>
      <c r="BE27" s="8">
        <f>SUMIFS(jt!$M:$M,jt!$B:$B,加弹汇总表!$B27,jt!$D:$D,加弹汇总表!$C27,jt!$F:$F,加弹汇总表!$F27,jt!$O:$O,加弹汇总表!$C$1&amp;"/"&amp;加弹汇总表!$D$1&amp;"/"&amp;加弹汇总表!BE$2)</f>
        <v>0</v>
      </c>
      <c r="BF27" s="8">
        <f>SUMIFS(jt!$M:$M,jt!$B:$B,加弹汇总表!$B27,jt!$D:$D,加弹汇总表!$C27,jt!$F:$F,加弹汇总表!$F27,jt!$O:$O,加弹汇总表!$C$1&amp;"/"&amp;加弹汇总表!$D$1&amp;"/"&amp;加弹汇总表!BF$2)</f>
        <v>0</v>
      </c>
      <c r="BG27" s="8">
        <f>SUMIFS(jt!$M:$M,jt!$B:$B,加弹汇总表!$B27,jt!$D:$D,加弹汇总表!$C27,jt!$F:$F,加弹汇总表!$F27,jt!$O:$O,加弹汇总表!$C$1&amp;"/"&amp;加弹汇总表!$D$1&amp;"/"&amp;加弹汇总表!BG$2)</f>
        <v>0</v>
      </c>
      <c r="BH27" s="8">
        <f>SUMIFS(jt!$M:$M,jt!$B:$B,加弹汇总表!$B27,jt!$D:$D,加弹汇总表!$C27,jt!$F:$F,加弹汇总表!$F27,jt!$O:$O,加弹汇总表!$C$1&amp;"/"&amp;加弹汇总表!$D$1&amp;"/"&amp;加弹汇总表!BH$2)</f>
        <v>0</v>
      </c>
      <c r="BI27" s="8">
        <f>SUMIFS(jt!$M:$M,jt!$B:$B,加弹汇总表!$B27,jt!$D:$D,加弹汇总表!$C27,jt!$F:$F,加弹汇总表!$F27,jt!$O:$O,加弹汇总表!$C$1&amp;"/"&amp;加弹汇总表!$D$1&amp;"/"&amp;加弹汇总表!BI$2)</f>
        <v>0</v>
      </c>
      <c r="BJ27" s="8">
        <f>SUMIFS(jt!$M:$M,jt!$B:$B,加弹汇总表!$B27,jt!$D:$D,加弹汇总表!$C27,jt!$F:$F,加弹汇总表!$F27,jt!$O:$O,加弹汇总表!$C$1&amp;"/"&amp;加弹汇总表!$D$1&amp;"/"&amp;加弹汇总表!BJ$2)</f>
        <v>0</v>
      </c>
      <c r="BK27" s="8">
        <f>SUMIFS(jt!$M:$M,jt!$B:$B,加弹汇总表!$B27,jt!$D:$D,加弹汇总表!$C27,jt!$F:$F,加弹汇总表!$F27,jt!$O:$O,加弹汇总表!$C$1&amp;"/"&amp;加弹汇总表!$D$1&amp;"/"&amp;加弹汇总表!BK$2)</f>
        <v>0</v>
      </c>
      <c r="BL27" s="8">
        <f>SUMIFS(jt!$M:$M,jt!$B:$B,加弹汇总表!$B27,jt!$D:$D,加弹汇总表!$C27,jt!$F:$F,加弹汇总表!$F27,jt!$O:$O,加弹汇总表!$C$1&amp;"/"&amp;加弹汇总表!$D$1&amp;"/"&amp;加弹汇总表!BL$2)</f>
        <v>0</v>
      </c>
      <c r="BM27" s="8">
        <f>SUMIFS(jt!$M:$M,jt!$B:$B,加弹汇总表!$B27,jt!$D:$D,加弹汇总表!$C27,jt!$F:$F,加弹汇总表!$F27,jt!$O:$O,加弹汇总表!$C$1&amp;"/"&amp;加弹汇总表!$D$1&amp;"/"&amp;加弹汇总表!BM$2)</f>
        <v>0</v>
      </c>
      <c r="BN27" s="8">
        <f>SUMIFS(jt!$M:$M,jt!$B:$B,加弹汇总表!$B27,jt!$D:$D,加弹汇总表!$C27,jt!$F:$F,加弹汇总表!$F27,jt!$O:$O,加弹汇总表!$C$1&amp;"/"&amp;加弹汇总表!$D$1&amp;"/"&amp;加弹汇总表!BN$2)</f>
        <v>0</v>
      </c>
      <c r="BO27" s="8">
        <f>SUMIFS(jt!$M:$M,jt!$B:$B,加弹汇总表!$B27,jt!$D:$D,加弹汇总表!$C27,jt!$F:$F,加弹汇总表!$F27,jt!$O:$O,加弹汇总表!$C$1&amp;"/"&amp;加弹汇总表!$D$1&amp;"/"&amp;加弹汇总表!BO$2)</f>
        <v>0</v>
      </c>
      <c r="BP27" s="8">
        <f>SUMIFS(jt!$M:$M,jt!$B:$B,加弹汇总表!$B27,jt!$D:$D,加弹汇总表!$C27,jt!$F:$F,加弹汇总表!$F27,jt!$O:$O,加弹汇总表!$C$1&amp;"/"&amp;加弹汇总表!$D$1&amp;"/"&amp;加弹汇总表!BP$2)</f>
        <v>0</v>
      </c>
      <c r="BQ27" s="8">
        <f>SUMIFS(jt!$M:$M,jt!$B:$B,加弹汇总表!$B27,jt!$D:$D,加弹汇总表!$C27,jt!$F:$F,加弹汇总表!$F27,jt!$O:$O,加弹汇总表!$C$1&amp;"/"&amp;加弹汇总表!$D$1&amp;"/"&amp;加弹汇总表!BQ$2)</f>
        <v>0</v>
      </c>
      <c r="BR27" s="8">
        <f>SUMIFS(jt!$M:$M,jt!$B:$B,加弹汇总表!$B27,jt!$D:$D,加弹汇总表!$C27,jt!$F:$F,加弹汇总表!$F27,jt!$O:$O,加弹汇总表!$C$1&amp;"/"&amp;加弹汇总表!$D$1&amp;"/"&amp;加弹汇总表!BR$2)</f>
        <v>0</v>
      </c>
      <c r="BS27" s="8">
        <f>SUMIFS(jt!$M:$M,jt!$B:$B,加弹汇总表!$B27,jt!$D:$D,加弹汇总表!$C27,jt!$F:$F,加弹汇总表!$F27,jt!$O:$O,加弹汇总表!$C$1&amp;"/"&amp;加弹汇总表!$D$1&amp;"/"&amp;加弹汇总表!BS$2)</f>
        <v>0</v>
      </c>
    </row>
    <row r="28" spans="1:71" ht="18" customHeight="1">
      <c r="A28" s="250" t="str">
        <f t="shared" si="4"/>
        <v>HP06074-1200D网络丝355/96黑喷水</v>
      </c>
      <c r="B28" s="205" t="s">
        <v>2459</v>
      </c>
      <c r="C28" s="98" t="s">
        <v>868</v>
      </c>
      <c r="D28" s="53" t="s">
        <v>441</v>
      </c>
      <c r="E28" s="194" t="s">
        <v>2500</v>
      </c>
      <c r="F28" s="53" t="s">
        <v>1</v>
      </c>
      <c r="G28" s="53" t="s">
        <v>443</v>
      </c>
      <c r="H28" s="194" t="s">
        <v>862</v>
      </c>
      <c r="I28" s="246">
        <f ca="1">IF(SUMIFS(jt!M:M,jt!A:A,加弹汇总表!A28,jt!O:O,加弹汇总表!$E$1)=0,0,SUM(AO28:BS28)/COUNTIF(AO28:BS28,"&lt;&gt;0"))</f>
        <v>0</v>
      </c>
      <c r="J28" s="53">
        <f t="shared" si="5"/>
        <v>0</v>
      </c>
      <c r="K28" s="53">
        <f t="shared" si="6"/>
        <v>0</v>
      </c>
      <c r="L28" s="53">
        <f t="shared" si="7"/>
        <v>0</v>
      </c>
      <c r="M28" s="53">
        <f t="shared" si="0"/>
        <v>14312</v>
      </c>
      <c r="N28" s="53"/>
      <c r="O28" s="53">
        <f t="shared" si="1"/>
        <v>0</v>
      </c>
      <c r="P28" s="53">
        <f t="shared" si="2"/>
        <v>14312</v>
      </c>
      <c r="Q28" s="53">
        <f t="shared" si="3"/>
        <v>0</v>
      </c>
      <c r="R28" s="60">
        <f>SUMIFS(jt!$K:$K,jt!$A:$A,加弹汇总表!$A28,jt!$R:$R,加弹汇总表!R$2)</f>
        <v>0</v>
      </c>
      <c r="S28" s="60">
        <f>SUMIFS(jt!$K:$K,jt!$A:$A,加弹汇总表!$A28,jt!$R:$R,加弹汇总表!S$2)</f>
        <v>0</v>
      </c>
      <c r="T28" s="60">
        <f>SUMIFS(jt!$K:$K,jt!$A:$A,加弹汇总表!$A28,jt!$R:$R,加弹汇总表!T$2)</f>
        <v>0</v>
      </c>
      <c r="U28" s="60">
        <f>SUMIFS(jt!$J:$J,jt!$A:$A,加弹汇总表!$A28,jt!$R:$R,加弹汇总表!U$2)</f>
        <v>0</v>
      </c>
      <c r="V28" s="60">
        <f>SUMIFS(jt!$J:$J,jt!$A:$A,加弹汇总表!$A28,jt!$R:$R,加弹汇总表!V$2)</f>
        <v>0</v>
      </c>
      <c r="W28" s="60">
        <f>SUMIFS(jt!$J:$J,jt!$A:$A,加弹汇总表!$A28,jt!$R:$R,加弹汇总表!W$2)</f>
        <v>0</v>
      </c>
      <c r="X28" s="61">
        <f>SUMIFS(jt!$L:$L,jt!$A:$A,加弹汇总表!$A28,jt!$R:$R,加弹汇总表!X$2)</f>
        <v>0</v>
      </c>
      <c r="Y28" s="61">
        <f>SUMIFS(jt!$L:$L,jt!$A:$A,加弹汇总表!$A28,jt!$R:$R,加弹汇总表!Y$2)</f>
        <v>0</v>
      </c>
      <c r="Z28" s="61">
        <f>SUMIFS(jt!$L:$L,jt!$A:$A,加弹汇总表!$A28,jt!$R:$R,加弹汇总表!Z$2)</f>
        <v>0</v>
      </c>
      <c r="AA28" s="62">
        <f>SUMIFS(jt!$M:$M,jt!$A:$A,加弹汇总表!$A28,jt!$R:$R,加弹汇总表!AA$2)</f>
        <v>10926</v>
      </c>
      <c r="AB28" s="62">
        <f>SUMIFS(jt!$M:$M,jt!$A:$A,加弹汇总表!$A28,jt!$R:$R,加弹汇总表!AB$2)</f>
        <v>3386</v>
      </c>
      <c r="AC28" s="62">
        <f>SUMIFS(jt!$M:$M,jt!$A:$A,加弹汇总表!$A28,jt!$R:$R,加弹汇总表!AC$2)</f>
        <v>0</v>
      </c>
      <c r="AD28" s="63">
        <f>SUMIFS(jt!$N:$N,jt!$A:$A,加弹汇总表!$A28,jt!$R:$R,加弹汇总表!AD$2)</f>
        <v>0</v>
      </c>
      <c r="AE28" s="63">
        <f>SUMIFS(jt!$N:$N,jt!$A:$A,加弹汇总表!$A28,jt!$R:$R,加弹汇总表!AE$2)</f>
        <v>0</v>
      </c>
      <c r="AF28" s="63">
        <f>SUMIFS(jt!$N:$N,jt!$A:$A,加弹汇总表!$A28,jt!$R:$R,加弹汇总表!AF$2)</f>
        <v>0</v>
      </c>
      <c r="AG28" s="64">
        <f>SUMIFS(jt!$M:$M,jt!$A:$A,加弹汇总表!$A28,jt!$C:$C,加弹汇总表!AG$2)</f>
        <v>0</v>
      </c>
      <c r="AH28" s="64">
        <f>SUMIFS(jt!$M:$M,jt!$A:$A,加弹汇总表!$A28,jt!$C:$C,加弹汇总表!AH$2)</f>
        <v>0</v>
      </c>
      <c r="AI28" s="64">
        <f>SUMIFS(jt!$M:$M,jt!$A:$A,加弹汇总表!$A28,jt!$C:$C,加弹汇总表!AI$2)</f>
        <v>0</v>
      </c>
      <c r="AJ28" s="64">
        <f>SUMIFS(jt!$M:$M,jt!$A:$A,加弹汇总表!$A28,jt!$C:$C,加弹汇总表!AJ$2)</f>
        <v>0</v>
      </c>
      <c r="AK28" s="64">
        <f>SUMIFS(jt!$M:$M,jt!$A:$A,加弹汇总表!$A28,jt!$C:$C,加弹汇总表!AK$2)</f>
        <v>1969</v>
      </c>
      <c r="AL28" s="64">
        <f>SUMIFS(jt!$M:$M,jt!$A:$A,加弹汇总表!$A28,jt!$C:$C,加弹汇总表!AL$2)</f>
        <v>0</v>
      </c>
      <c r="AM28" s="64">
        <f>SUMIFS(jt!$M:$M,jt!$A:$A,加弹汇总表!$A28,jt!$C:$C,加弹汇总表!AM$2)</f>
        <v>12343</v>
      </c>
      <c r="AN28" s="80">
        <f>SUMIFS(jt!$M:$M,jt!$A:$A,加弹汇总表!$A28,jt!$C:$C,加弹汇总表!AN$2)</f>
        <v>0</v>
      </c>
      <c r="AO28" s="8">
        <f>SUMIFS(jt!$M:$M,jt!$B:$B,加弹汇总表!$B28,jt!$D:$D,加弹汇总表!$C28,jt!$F:$F,加弹汇总表!$F28,jt!$O:$O,加弹汇总表!$C$1&amp;"/"&amp;加弹汇总表!$D$1&amp;"/"&amp;加弹汇总表!AO$2)</f>
        <v>1922</v>
      </c>
      <c r="AP28" s="8">
        <f>SUMIFS(jt!$M:$M,jt!$B:$B,加弹汇总表!$B28,jt!$D:$D,加弹汇总表!$C28,jt!$F:$F,加弹汇总表!$F28,jt!$O:$O,加弹汇总表!$C$1&amp;"/"&amp;加弹汇总表!$D$1&amp;"/"&amp;加弹汇总表!AP$2)</f>
        <v>1464</v>
      </c>
      <c r="AQ28" s="8">
        <f>SUMIFS(jt!$M:$M,jt!$B:$B,加弹汇总表!$B28,jt!$D:$D,加弹汇总表!$C28,jt!$F:$F,加弹汇总表!$F28,jt!$O:$O,加弹汇总表!$C$1&amp;"/"&amp;加弹汇总表!$D$1&amp;"/"&amp;加弹汇总表!AQ$2)</f>
        <v>0</v>
      </c>
      <c r="AR28" s="8">
        <f>SUMIFS(jt!$M:$M,jt!$B:$B,加弹汇总表!$B28,jt!$D:$D,加弹汇总表!$C28,jt!$F:$F,加弹汇总表!$F28,jt!$O:$O,加弹汇总表!$C$1&amp;"/"&amp;加弹汇总表!$D$1&amp;"/"&amp;加弹汇总表!AR$2)</f>
        <v>0</v>
      </c>
      <c r="AS28" s="8">
        <f>SUMIFS(jt!$M:$M,jt!$B:$B,加弹汇总表!$B28,jt!$D:$D,加弹汇总表!$C28,jt!$F:$F,加弹汇总表!$F28,jt!$O:$O,加弹汇总表!$C$1&amp;"/"&amp;加弹汇总表!$D$1&amp;"/"&amp;加弹汇总表!AS$2)</f>
        <v>0</v>
      </c>
      <c r="AT28" s="8">
        <f>SUMIFS(jt!$M:$M,jt!$B:$B,加弹汇总表!$B28,jt!$D:$D,加弹汇总表!$C28,jt!$F:$F,加弹汇总表!$F28,jt!$O:$O,加弹汇总表!$C$1&amp;"/"&amp;加弹汇总表!$D$1&amp;"/"&amp;加弹汇总表!AT$2)</f>
        <v>0</v>
      </c>
      <c r="AU28" s="8">
        <f>SUMIFS(jt!$M:$M,jt!$B:$B,加弹汇总表!$B28,jt!$D:$D,加弹汇总表!$C28,jt!$F:$F,加弹汇总表!$F28,jt!$O:$O,加弹汇总表!$C$1&amp;"/"&amp;加弹汇总表!$D$1&amp;"/"&amp;加弹汇总表!AU$2)</f>
        <v>0</v>
      </c>
      <c r="AV28" s="8">
        <f>SUMIFS(jt!$M:$M,jt!$B:$B,加弹汇总表!$B28,jt!$D:$D,加弹汇总表!$C28,jt!$F:$F,加弹汇总表!$F28,jt!$O:$O,加弹汇总表!$C$1&amp;"/"&amp;加弹汇总表!$D$1&amp;"/"&amp;加弹汇总表!AV$2)</f>
        <v>0</v>
      </c>
      <c r="AW28" s="8">
        <f>SUMIFS(jt!$M:$M,jt!$B:$B,加弹汇总表!$B28,jt!$D:$D,加弹汇总表!$C28,jt!$F:$F,加弹汇总表!$F28,jt!$O:$O,加弹汇总表!$C$1&amp;"/"&amp;加弹汇总表!$D$1&amp;"/"&amp;加弹汇总表!AW$2)</f>
        <v>0</v>
      </c>
      <c r="AX28" s="8">
        <f>SUMIFS(jt!$M:$M,jt!$B:$B,加弹汇总表!$B28,jt!$D:$D,加弹汇总表!$C28,jt!$F:$F,加弹汇总表!$F28,jt!$O:$O,加弹汇总表!$C$1&amp;"/"&amp;加弹汇总表!$D$1&amp;"/"&amp;加弹汇总表!AX$2)</f>
        <v>0</v>
      </c>
      <c r="AY28" s="8">
        <f>SUMIFS(jt!$M:$M,jt!$B:$B,加弹汇总表!$B28,jt!$D:$D,加弹汇总表!$C28,jt!$F:$F,加弹汇总表!$F28,jt!$O:$O,加弹汇总表!$C$1&amp;"/"&amp;加弹汇总表!$D$1&amp;"/"&amp;加弹汇总表!AY$2)</f>
        <v>0</v>
      </c>
      <c r="AZ28" s="8">
        <f>SUMIFS(jt!$M:$M,jt!$B:$B,加弹汇总表!$B28,jt!$D:$D,加弹汇总表!$C28,jt!$F:$F,加弹汇总表!$F28,jt!$O:$O,加弹汇总表!$C$1&amp;"/"&amp;加弹汇总表!$D$1&amp;"/"&amp;加弹汇总表!AZ$2)</f>
        <v>0</v>
      </c>
      <c r="BA28" s="8">
        <f>SUMIFS(jt!$M:$M,jt!$B:$B,加弹汇总表!$B28,jt!$D:$D,加弹汇总表!$C28,jt!$F:$F,加弹汇总表!$F28,jt!$O:$O,加弹汇总表!$C$1&amp;"/"&amp;加弹汇总表!$D$1&amp;"/"&amp;加弹汇总表!BA$2)</f>
        <v>0</v>
      </c>
      <c r="BB28" s="8">
        <f>SUMIFS(jt!$M:$M,jt!$B:$B,加弹汇总表!$B28,jt!$D:$D,加弹汇总表!$C28,jt!$F:$F,加弹汇总表!$F28,jt!$O:$O,加弹汇总表!$C$1&amp;"/"&amp;加弹汇总表!$D$1&amp;"/"&amp;加弹汇总表!BB$2)</f>
        <v>0</v>
      </c>
      <c r="BC28" s="8">
        <f>SUMIFS(jt!$M:$M,jt!$B:$B,加弹汇总表!$B28,jt!$D:$D,加弹汇总表!$C28,jt!$F:$F,加弹汇总表!$F28,jt!$O:$O,加弹汇总表!$C$1&amp;"/"&amp;加弹汇总表!$D$1&amp;"/"&amp;加弹汇总表!BC$2)</f>
        <v>0</v>
      </c>
      <c r="BD28" s="8">
        <f>SUMIFS(jt!$M:$M,jt!$B:$B,加弹汇总表!$B28,jt!$D:$D,加弹汇总表!$C28,jt!$F:$F,加弹汇总表!$F28,jt!$O:$O,加弹汇总表!$C$1&amp;"/"&amp;加弹汇总表!$D$1&amp;"/"&amp;加弹汇总表!BD$2)</f>
        <v>0</v>
      </c>
      <c r="BE28" s="8">
        <f>SUMIFS(jt!$M:$M,jt!$B:$B,加弹汇总表!$B28,jt!$D:$D,加弹汇总表!$C28,jt!$F:$F,加弹汇总表!$F28,jt!$O:$O,加弹汇总表!$C$1&amp;"/"&amp;加弹汇总表!$D$1&amp;"/"&amp;加弹汇总表!BE$2)</f>
        <v>0</v>
      </c>
      <c r="BF28" s="8">
        <f>SUMIFS(jt!$M:$M,jt!$B:$B,加弹汇总表!$B28,jt!$D:$D,加弹汇总表!$C28,jt!$F:$F,加弹汇总表!$F28,jt!$O:$O,加弹汇总表!$C$1&amp;"/"&amp;加弹汇总表!$D$1&amp;"/"&amp;加弹汇总表!BF$2)</f>
        <v>0</v>
      </c>
      <c r="BG28" s="8">
        <f>SUMIFS(jt!$M:$M,jt!$B:$B,加弹汇总表!$B28,jt!$D:$D,加弹汇总表!$C28,jt!$F:$F,加弹汇总表!$F28,jt!$O:$O,加弹汇总表!$C$1&amp;"/"&amp;加弹汇总表!$D$1&amp;"/"&amp;加弹汇总表!BG$2)</f>
        <v>0</v>
      </c>
      <c r="BH28" s="8">
        <f>SUMIFS(jt!$M:$M,jt!$B:$B,加弹汇总表!$B28,jt!$D:$D,加弹汇总表!$C28,jt!$F:$F,加弹汇总表!$F28,jt!$O:$O,加弹汇总表!$C$1&amp;"/"&amp;加弹汇总表!$D$1&amp;"/"&amp;加弹汇总表!BH$2)</f>
        <v>0</v>
      </c>
      <c r="BI28" s="8">
        <f>SUMIFS(jt!$M:$M,jt!$B:$B,加弹汇总表!$B28,jt!$D:$D,加弹汇总表!$C28,jt!$F:$F,加弹汇总表!$F28,jt!$O:$O,加弹汇总表!$C$1&amp;"/"&amp;加弹汇总表!$D$1&amp;"/"&amp;加弹汇总表!BI$2)</f>
        <v>0</v>
      </c>
      <c r="BJ28" s="8">
        <f>SUMIFS(jt!$M:$M,jt!$B:$B,加弹汇总表!$B28,jt!$D:$D,加弹汇总表!$C28,jt!$F:$F,加弹汇总表!$F28,jt!$O:$O,加弹汇总表!$C$1&amp;"/"&amp;加弹汇总表!$D$1&amp;"/"&amp;加弹汇总表!BJ$2)</f>
        <v>0</v>
      </c>
      <c r="BK28" s="8">
        <f>SUMIFS(jt!$M:$M,jt!$B:$B,加弹汇总表!$B28,jt!$D:$D,加弹汇总表!$C28,jt!$F:$F,加弹汇总表!$F28,jt!$O:$O,加弹汇总表!$C$1&amp;"/"&amp;加弹汇总表!$D$1&amp;"/"&amp;加弹汇总表!BK$2)</f>
        <v>0</v>
      </c>
      <c r="BL28" s="8">
        <f>SUMIFS(jt!$M:$M,jt!$B:$B,加弹汇总表!$B28,jt!$D:$D,加弹汇总表!$C28,jt!$F:$F,加弹汇总表!$F28,jt!$O:$O,加弹汇总表!$C$1&amp;"/"&amp;加弹汇总表!$D$1&amp;"/"&amp;加弹汇总表!BL$2)</f>
        <v>0</v>
      </c>
      <c r="BM28" s="8">
        <f>SUMIFS(jt!$M:$M,jt!$B:$B,加弹汇总表!$B28,jt!$D:$D,加弹汇总表!$C28,jt!$F:$F,加弹汇总表!$F28,jt!$O:$O,加弹汇总表!$C$1&amp;"/"&amp;加弹汇总表!$D$1&amp;"/"&amp;加弹汇总表!BM$2)</f>
        <v>0</v>
      </c>
      <c r="BN28" s="8">
        <f>SUMIFS(jt!$M:$M,jt!$B:$B,加弹汇总表!$B28,jt!$D:$D,加弹汇总表!$C28,jt!$F:$F,加弹汇总表!$F28,jt!$O:$O,加弹汇总表!$C$1&amp;"/"&amp;加弹汇总表!$D$1&amp;"/"&amp;加弹汇总表!BN$2)</f>
        <v>0</v>
      </c>
      <c r="BO28" s="8">
        <f>SUMIFS(jt!$M:$M,jt!$B:$B,加弹汇总表!$B28,jt!$D:$D,加弹汇总表!$C28,jt!$F:$F,加弹汇总表!$F28,jt!$O:$O,加弹汇总表!$C$1&amp;"/"&amp;加弹汇总表!$D$1&amp;"/"&amp;加弹汇总表!BO$2)</f>
        <v>0</v>
      </c>
      <c r="BP28" s="8">
        <f>SUMIFS(jt!$M:$M,jt!$B:$B,加弹汇总表!$B28,jt!$D:$D,加弹汇总表!$C28,jt!$F:$F,加弹汇总表!$F28,jt!$O:$O,加弹汇总表!$C$1&amp;"/"&amp;加弹汇总表!$D$1&amp;"/"&amp;加弹汇总表!BP$2)</f>
        <v>0</v>
      </c>
      <c r="BQ28" s="8">
        <f>SUMIFS(jt!$M:$M,jt!$B:$B,加弹汇总表!$B28,jt!$D:$D,加弹汇总表!$C28,jt!$F:$F,加弹汇总表!$F28,jt!$O:$O,加弹汇总表!$C$1&amp;"/"&amp;加弹汇总表!$D$1&amp;"/"&amp;加弹汇总表!BQ$2)</f>
        <v>0</v>
      </c>
      <c r="BR28" s="8">
        <f>SUMIFS(jt!$M:$M,jt!$B:$B,加弹汇总表!$B28,jt!$D:$D,加弹汇总表!$C28,jt!$F:$F,加弹汇总表!$F28,jt!$O:$O,加弹汇总表!$C$1&amp;"/"&amp;加弹汇总表!$D$1&amp;"/"&amp;加弹汇总表!BR$2)</f>
        <v>0</v>
      </c>
      <c r="BS28" s="8">
        <f>SUMIFS(jt!$M:$M,jt!$B:$B,加弹汇总表!$B28,jt!$D:$D,加弹汇总表!$C28,jt!$F:$F,加弹汇总表!$F28,jt!$O:$O,加弹汇总表!$C$1&amp;"/"&amp;加弹汇总表!$D$1&amp;"/"&amp;加弹汇总表!BS$2)</f>
        <v>0</v>
      </c>
    </row>
    <row r="29" spans="1:71" ht="18" customHeight="1">
      <c r="A29" s="250" t="str">
        <f t="shared" si="4"/>
        <v>H-H5563550961200D网络丝355/96黑喷水</v>
      </c>
      <c r="B29" s="248" t="s">
        <v>2849</v>
      </c>
      <c r="C29" s="248" t="s">
        <v>868</v>
      </c>
      <c r="D29" s="246" t="s">
        <v>441</v>
      </c>
      <c r="E29" s="246" t="s">
        <v>2342</v>
      </c>
      <c r="F29" s="246" t="s">
        <v>1</v>
      </c>
      <c r="G29" s="246" t="s">
        <v>411</v>
      </c>
      <c r="H29" s="246" t="s">
        <v>862</v>
      </c>
      <c r="I29" s="246">
        <f ca="1">IF(SUMIFS(jt!M:M,jt!A:A,加弹汇总表!A29,jt!O:O,加弹汇总表!$E$1)=0,0,SUM(AO29:BS29)/COUNTIF(AO29:BS29,"&lt;&gt;0"))</f>
        <v>1760.25</v>
      </c>
      <c r="J29" s="246">
        <f t="shared" ref="J29" si="8">K29-L29</f>
        <v>0</v>
      </c>
      <c r="K29" s="246">
        <f t="shared" ref="K29" si="9">SUM(R29:T29)</f>
        <v>0</v>
      </c>
      <c r="L29" s="246">
        <f t="shared" ref="L29" si="10">SUM(U29:W29)</f>
        <v>0</v>
      </c>
      <c r="M29" s="246">
        <f t="shared" ref="M29" si="11">N29+P29-O29</f>
        <v>7041</v>
      </c>
      <c r="N29" s="246"/>
      <c r="O29" s="246">
        <f t="shared" ref="O29" si="12">SUM(X29:Z29)</f>
        <v>0</v>
      </c>
      <c r="P29" s="246">
        <f t="shared" ref="P29" si="13">SUM(AA29:AC29)</f>
        <v>7041</v>
      </c>
      <c r="Q29" s="246">
        <f t="shared" ref="Q29" si="14">SUM(AD29:AF29)</f>
        <v>0</v>
      </c>
      <c r="R29" s="60">
        <f>SUMIFS(jt!$K:$K,jt!$A:$A,加弹汇总表!$A29,jt!$R:$R,加弹汇总表!R$2)</f>
        <v>0</v>
      </c>
      <c r="S29" s="60">
        <f>SUMIFS(jt!$K:$K,jt!$A:$A,加弹汇总表!$A29,jt!$R:$R,加弹汇总表!S$2)</f>
        <v>0</v>
      </c>
      <c r="T29" s="60">
        <f>SUMIFS(jt!$K:$K,jt!$A:$A,加弹汇总表!$A29,jt!$R:$R,加弹汇总表!T$2)</f>
        <v>0</v>
      </c>
      <c r="U29" s="60">
        <f>SUMIFS(jt!$J:$J,jt!$A:$A,加弹汇总表!$A29,jt!$R:$R,加弹汇总表!U$2)</f>
        <v>0</v>
      </c>
      <c r="V29" s="60">
        <f>SUMIFS(jt!$J:$J,jt!$A:$A,加弹汇总表!$A29,jt!$R:$R,加弹汇总表!V$2)</f>
        <v>0</v>
      </c>
      <c r="W29" s="60">
        <f>SUMIFS(jt!$J:$J,jt!$A:$A,加弹汇总表!$A29,jt!$R:$R,加弹汇总表!W$2)</f>
        <v>0</v>
      </c>
      <c r="X29" s="61">
        <f>SUMIFS(jt!$L:$L,jt!$A:$A,加弹汇总表!$A29,jt!$R:$R,加弹汇总表!X$2)</f>
        <v>0</v>
      </c>
      <c r="Y29" s="61">
        <f>SUMIFS(jt!$L:$L,jt!$A:$A,加弹汇总表!$A29,jt!$R:$R,加弹汇总表!Y$2)</f>
        <v>0</v>
      </c>
      <c r="Z29" s="61">
        <f>SUMIFS(jt!$L:$L,jt!$A:$A,加弹汇总表!$A29,jt!$R:$R,加弹汇总表!Z$2)</f>
        <v>0</v>
      </c>
      <c r="AA29" s="62">
        <f>SUMIFS(jt!$M:$M,jt!$A:$A,加弹汇总表!$A29,jt!$R:$R,加弹汇总表!AA$2)</f>
        <v>0</v>
      </c>
      <c r="AB29" s="62">
        <f>SUMIFS(jt!$M:$M,jt!$A:$A,加弹汇总表!$A29,jt!$R:$R,加弹汇总表!AB$2)</f>
        <v>7041</v>
      </c>
      <c r="AC29" s="62">
        <f>SUMIFS(jt!$M:$M,jt!$A:$A,加弹汇总表!$A29,jt!$R:$R,加弹汇总表!AC$2)</f>
        <v>0</v>
      </c>
      <c r="AD29" s="63">
        <f>SUMIFS(jt!$N:$N,jt!$A:$A,加弹汇总表!$A29,jt!$R:$R,加弹汇总表!AD$2)</f>
        <v>0</v>
      </c>
      <c r="AE29" s="63">
        <f>SUMIFS(jt!$N:$N,jt!$A:$A,加弹汇总表!$A29,jt!$R:$R,加弹汇总表!AE$2)</f>
        <v>0</v>
      </c>
      <c r="AF29" s="63">
        <f>SUMIFS(jt!$N:$N,jt!$A:$A,加弹汇总表!$A29,jt!$R:$R,加弹汇总表!AF$2)</f>
        <v>0</v>
      </c>
      <c r="AG29" s="64">
        <f>SUMIFS(jt!$M:$M,jt!$A:$A,加弹汇总表!$A29,jt!$C:$C,加弹汇总表!AG$2)</f>
        <v>0</v>
      </c>
      <c r="AH29" s="64">
        <f>SUMIFS(jt!$M:$M,jt!$A:$A,加弹汇总表!$A29,jt!$C:$C,加弹汇总表!AH$2)</f>
        <v>0</v>
      </c>
      <c r="AI29" s="64">
        <f>SUMIFS(jt!$M:$M,jt!$A:$A,加弹汇总表!$A29,jt!$C:$C,加弹汇总表!AI$2)</f>
        <v>0</v>
      </c>
      <c r="AJ29" s="64">
        <f>SUMIFS(jt!$M:$M,jt!$A:$A,加弹汇总表!$A29,jt!$C:$C,加弹汇总表!AJ$2)</f>
        <v>0</v>
      </c>
      <c r="AK29" s="64">
        <f>SUMIFS(jt!$M:$M,jt!$A:$A,加弹汇总表!$A29,jt!$C:$C,加弹汇总表!AK$2)</f>
        <v>0</v>
      </c>
      <c r="AL29" s="64">
        <f>SUMIFS(jt!$M:$M,jt!$A:$A,加弹汇总表!$A29,jt!$C:$C,加弹汇总表!AL$2)</f>
        <v>0</v>
      </c>
      <c r="AM29" s="64">
        <f>SUMIFS(jt!$M:$M,jt!$A:$A,加弹汇总表!$A29,jt!$C:$C,加弹汇总表!AM$2)</f>
        <v>7041</v>
      </c>
      <c r="AN29" s="80">
        <f>SUMIFS(jt!$M:$M,jt!$A:$A,加弹汇总表!$A29,jt!$C:$C,加弹汇总表!AN$2)</f>
        <v>0</v>
      </c>
      <c r="AO29" s="8">
        <f>SUMIFS(jt!$M:$M,jt!$B:$B,加弹汇总表!$B29,jt!$D:$D,加弹汇总表!$C29,jt!$F:$F,加弹汇总表!$F29,jt!$O:$O,加弹汇总表!$C$1&amp;"/"&amp;加弹汇总表!$D$1&amp;"/"&amp;加弹汇总表!AO$2)</f>
        <v>0</v>
      </c>
      <c r="AP29" s="8">
        <f>SUMIFS(jt!$M:$M,jt!$B:$B,加弹汇总表!$B29,jt!$D:$D,加弹汇总表!$C29,jt!$F:$F,加弹汇总表!$F29,jt!$O:$O,加弹汇总表!$C$1&amp;"/"&amp;加弹汇总表!$D$1&amp;"/"&amp;加弹汇总表!AP$2)</f>
        <v>612</v>
      </c>
      <c r="AQ29" s="8">
        <f>SUMIFS(jt!$M:$M,jt!$B:$B,加弹汇总表!$B29,jt!$D:$D,加弹汇总表!$C29,jt!$F:$F,加弹汇总表!$F29,jt!$O:$O,加弹汇总表!$C$1&amp;"/"&amp;加弹汇总表!$D$1&amp;"/"&amp;加弹汇总表!AQ$2)</f>
        <v>1967</v>
      </c>
      <c r="AR29" s="8">
        <f>SUMIFS(jt!$M:$M,jt!$B:$B,加弹汇总表!$B29,jt!$D:$D,加弹汇总表!$C29,jt!$F:$F,加弹汇总表!$F29,jt!$O:$O,加弹汇总表!$C$1&amp;"/"&amp;加弹汇总表!$D$1&amp;"/"&amp;加弹汇总表!AR$2)</f>
        <v>2560</v>
      </c>
      <c r="AS29" s="8">
        <f>SUMIFS(jt!$M:$M,jt!$B:$B,加弹汇总表!$B29,jt!$D:$D,加弹汇总表!$C29,jt!$F:$F,加弹汇总表!$F29,jt!$O:$O,加弹汇总表!$C$1&amp;"/"&amp;加弹汇总表!$D$1&amp;"/"&amp;加弹汇总表!AS$2)</f>
        <v>1902</v>
      </c>
      <c r="AT29" s="8">
        <f>SUMIFS(jt!$M:$M,jt!$B:$B,加弹汇总表!$B29,jt!$D:$D,加弹汇总表!$C29,jt!$F:$F,加弹汇总表!$F29,jt!$O:$O,加弹汇总表!$C$1&amp;"/"&amp;加弹汇总表!$D$1&amp;"/"&amp;加弹汇总表!AT$2)</f>
        <v>0</v>
      </c>
      <c r="AU29" s="8">
        <f>SUMIFS(jt!$M:$M,jt!$B:$B,加弹汇总表!$B29,jt!$D:$D,加弹汇总表!$C29,jt!$F:$F,加弹汇总表!$F29,jt!$O:$O,加弹汇总表!$C$1&amp;"/"&amp;加弹汇总表!$D$1&amp;"/"&amp;加弹汇总表!AU$2)</f>
        <v>0</v>
      </c>
      <c r="AV29" s="8">
        <f>SUMIFS(jt!$M:$M,jt!$B:$B,加弹汇总表!$B29,jt!$D:$D,加弹汇总表!$C29,jt!$F:$F,加弹汇总表!$F29,jt!$O:$O,加弹汇总表!$C$1&amp;"/"&amp;加弹汇总表!$D$1&amp;"/"&amp;加弹汇总表!AV$2)</f>
        <v>0</v>
      </c>
      <c r="AW29" s="8">
        <f>SUMIFS(jt!$M:$M,jt!$B:$B,加弹汇总表!$B29,jt!$D:$D,加弹汇总表!$C29,jt!$F:$F,加弹汇总表!$F29,jt!$O:$O,加弹汇总表!$C$1&amp;"/"&amp;加弹汇总表!$D$1&amp;"/"&amp;加弹汇总表!AW$2)</f>
        <v>0</v>
      </c>
      <c r="AX29" s="8">
        <f>SUMIFS(jt!$M:$M,jt!$B:$B,加弹汇总表!$B29,jt!$D:$D,加弹汇总表!$C29,jt!$F:$F,加弹汇总表!$F29,jt!$O:$O,加弹汇总表!$C$1&amp;"/"&amp;加弹汇总表!$D$1&amp;"/"&amp;加弹汇总表!AX$2)</f>
        <v>0</v>
      </c>
      <c r="AY29" s="8">
        <f>SUMIFS(jt!$M:$M,jt!$B:$B,加弹汇总表!$B29,jt!$D:$D,加弹汇总表!$C29,jt!$F:$F,加弹汇总表!$F29,jt!$O:$O,加弹汇总表!$C$1&amp;"/"&amp;加弹汇总表!$D$1&amp;"/"&amp;加弹汇总表!AY$2)</f>
        <v>0</v>
      </c>
      <c r="AZ29" s="8">
        <f>SUMIFS(jt!$M:$M,jt!$B:$B,加弹汇总表!$B29,jt!$D:$D,加弹汇总表!$C29,jt!$F:$F,加弹汇总表!$F29,jt!$O:$O,加弹汇总表!$C$1&amp;"/"&amp;加弹汇总表!$D$1&amp;"/"&amp;加弹汇总表!AZ$2)</f>
        <v>0</v>
      </c>
      <c r="BA29" s="8">
        <f>SUMIFS(jt!$M:$M,jt!$B:$B,加弹汇总表!$B29,jt!$D:$D,加弹汇总表!$C29,jt!$F:$F,加弹汇总表!$F29,jt!$O:$O,加弹汇总表!$C$1&amp;"/"&amp;加弹汇总表!$D$1&amp;"/"&amp;加弹汇总表!BA$2)</f>
        <v>0</v>
      </c>
      <c r="BB29" s="8">
        <f>SUMIFS(jt!$M:$M,jt!$B:$B,加弹汇总表!$B29,jt!$D:$D,加弹汇总表!$C29,jt!$F:$F,加弹汇总表!$F29,jt!$O:$O,加弹汇总表!$C$1&amp;"/"&amp;加弹汇总表!$D$1&amp;"/"&amp;加弹汇总表!BB$2)</f>
        <v>0</v>
      </c>
      <c r="BC29" s="8">
        <f>SUMIFS(jt!$M:$M,jt!$B:$B,加弹汇总表!$B29,jt!$D:$D,加弹汇总表!$C29,jt!$F:$F,加弹汇总表!$F29,jt!$O:$O,加弹汇总表!$C$1&amp;"/"&amp;加弹汇总表!$D$1&amp;"/"&amp;加弹汇总表!BC$2)</f>
        <v>0</v>
      </c>
      <c r="BD29" s="8">
        <f>SUMIFS(jt!$M:$M,jt!$B:$B,加弹汇总表!$B29,jt!$D:$D,加弹汇总表!$C29,jt!$F:$F,加弹汇总表!$F29,jt!$O:$O,加弹汇总表!$C$1&amp;"/"&amp;加弹汇总表!$D$1&amp;"/"&amp;加弹汇总表!BD$2)</f>
        <v>0</v>
      </c>
      <c r="BE29" s="8">
        <f>SUMIFS(jt!$M:$M,jt!$B:$B,加弹汇总表!$B29,jt!$D:$D,加弹汇总表!$C29,jt!$F:$F,加弹汇总表!$F29,jt!$O:$O,加弹汇总表!$C$1&amp;"/"&amp;加弹汇总表!$D$1&amp;"/"&amp;加弹汇总表!BE$2)</f>
        <v>0</v>
      </c>
      <c r="BF29" s="8">
        <f>SUMIFS(jt!$M:$M,jt!$B:$B,加弹汇总表!$B29,jt!$D:$D,加弹汇总表!$C29,jt!$F:$F,加弹汇总表!$F29,jt!$O:$O,加弹汇总表!$C$1&amp;"/"&amp;加弹汇总表!$D$1&amp;"/"&amp;加弹汇总表!BF$2)</f>
        <v>0</v>
      </c>
      <c r="BG29" s="8">
        <f>SUMIFS(jt!$M:$M,jt!$B:$B,加弹汇总表!$B29,jt!$D:$D,加弹汇总表!$C29,jt!$F:$F,加弹汇总表!$F29,jt!$O:$O,加弹汇总表!$C$1&amp;"/"&amp;加弹汇总表!$D$1&amp;"/"&amp;加弹汇总表!BG$2)</f>
        <v>0</v>
      </c>
      <c r="BH29" s="8">
        <f>SUMIFS(jt!$M:$M,jt!$B:$B,加弹汇总表!$B29,jt!$D:$D,加弹汇总表!$C29,jt!$F:$F,加弹汇总表!$F29,jt!$O:$O,加弹汇总表!$C$1&amp;"/"&amp;加弹汇总表!$D$1&amp;"/"&amp;加弹汇总表!BH$2)</f>
        <v>0</v>
      </c>
      <c r="BI29" s="8">
        <f>SUMIFS(jt!$M:$M,jt!$B:$B,加弹汇总表!$B29,jt!$D:$D,加弹汇总表!$C29,jt!$F:$F,加弹汇总表!$F29,jt!$O:$O,加弹汇总表!$C$1&amp;"/"&amp;加弹汇总表!$D$1&amp;"/"&amp;加弹汇总表!BI$2)</f>
        <v>0</v>
      </c>
      <c r="BJ29" s="8">
        <f>SUMIFS(jt!$M:$M,jt!$B:$B,加弹汇总表!$B29,jt!$D:$D,加弹汇总表!$C29,jt!$F:$F,加弹汇总表!$F29,jt!$O:$O,加弹汇总表!$C$1&amp;"/"&amp;加弹汇总表!$D$1&amp;"/"&amp;加弹汇总表!BJ$2)</f>
        <v>0</v>
      </c>
      <c r="BK29" s="8">
        <f>SUMIFS(jt!$M:$M,jt!$B:$B,加弹汇总表!$B29,jt!$D:$D,加弹汇总表!$C29,jt!$F:$F,加弹汇总表!$F29,jt!$O:$O,加弹汇总表!$C$1&amp;"/"&amp;加弹汇总表!$D$1&amp;"/"&amp;加弹汇总表!BK$2)</f>
        <v>0</v>
      </c>
      <c r="BL29" s="8">
        <f>SUMIFS(jt!$M:$M,jt!$B:$B,加弹汇总表!$B29,jt!$D:$D,加弹汇总表!$C29,jt!$F:$F,加弹汇总表!$F29,jt!$O:$O,加弹汇总表!$C$1&amp;"/"&amp;加弹汇总表!$D$1&amp;"/"&amp;加弹汇总表!BL$2)</f>
        <v>0</v>
      </c>
      <c r="BM29" s="8">
        <f>SUMIFS(jt!$M:$M,jt!$B:$B,加弹汇总表!$B29,jt!$D:$D,加弹汇总表!$C29,jt!$F:$F,加弹汇总表!$F29,jt!$O:$O,加弹汇总表!$C$1&amp;"/"&amp;加弹汇总表!$D$1&amp;"/"&amp;加弹汇总表!BM$2)</f>
        <v>0</v>
      </c>
      <c r="BN29" s="8">
        <f>SUMIFS(jt!$M:$M,jt!$B:$B,加弹汇总表!$B29,jt!$D:$D,加弹汇总表!$C29,jt!$F:$F,加弹汇总表!$F29,jt!$O:$O,加弹汇总表!$C$1&amp;"/"&amp;加弹汇总表!$D$1&amp;"/"&amp;加弹汇总表!BN$2)</f>
        <v>0</v>
      </c>
      <c r="BO29" s="8">
        <f>SUMIFS(jt!$M:$M,jt!$B:$B,加弹汇总表!$B29,jt!$D:$D,加弹汇总表!$C29,jt!$F:$F,加弹汇总表!$F29,jt!$O:$O,加弹汇总表!$C$1&amp;"/"&amp;加弹汇总表!$D$1&amp;"/"&amp;加弹汇总表!BO$2)</f>
        <v>0</v>
      </c>
      <c r="BP29" s="8">
        <f>SUMIFS(jt!$M:$M,jt!$B:$B,加弹汇总表!$B29,jt!$D:$D,加弹汇总表!$C29,jt!$F:$F,加弹汇总表!$F29,jt!$O:$O,加弹汇总表!$C$1&amp;"/"&amp;加弹汇总表!$D$1&amp;"/"&amp;加弹汇总表!BP$2)</f>
        <v>0</v>
      </c>
      <c r="BQ29" s="8">
        <f>SUMIFS(jt!$M:$M,jt!$B:$B,加弹汇总表!$B29,jt!$D:$D,加弹汇总表!$C29,jt!$F:$F,加弹汇总表!$F29,jt!$O:$O,加弹汇总表!$C$1&amp;"/"&amp;加弹汇总表!$D$1&amp;"/"&amp;加弹汇总表!BQ$2)</f>
        <v>0</v>
      </c>
      <c r="BR29" s="8">
        <f>SUMIFS(jt!$M:$M,jt!$B:$B,加弹汇总表!$B29,jt!$D:$D,加弹汇总表!$C29,jt!$F:$F,加弹汇总表!$F29,jt!$O:$O,加弹汇总表!$C$1&amp;"/"&amp;加弹汇总表!$D$1&amp;"/"&amp;加弹汇总表!BR$2)</f>
        <v>0</v>
      </c>
      <c r="BS29" s="8">
        <f>SUMIFS(jt!$M:$M,jt!$B:$B,加弹汇总表!$B29,jt!$D:$D,加弹汇总表!$C29,jt!$F:$F,加弹汇总表!$F29,jt!$O:$O,加弹汇总表!$C$1&amp;"/"&amp;加弹汇总表!$D$1&amp;"/"&amp;加弹汇总表!BS$2)</f>
        <v>0</v>
      </c>
    </row>
    <row r="30" spans="1:71" ht="18" customHeight="1">
      <c r="A30" s="250" t="str">
        <f t="shared" si="4"/>
        <v>KP12005200D网络丝355/96白</v>
      </c>
      <c r="B30" s="14" t="s">
        <v>444</v>
      </c>
      <c r="C30" s="98" t="s">
        <v>868</v>
      </c>
      <c r="D30" s="53" t="s">
        <v>441</v>
      </c>
      <c r="E30" s="78"/>
      <c r="F30" s="53" t="s">
        <v>2</v>
      </c>
      <c r="G30" s="53" t="s">
        <v>443</v>
      </c>
      <c r="H30" s="53"/>
      <c r="I30" s="246">
        <f ca="1">IF(SUMIFS(jt!M:M,jt!A:A,加弹汇总表!A30,jt!O:O,加弹汇总表!$E$1)=0,0,SUM(AO30:BS30)/COUNTIF(AO30:BS30,"&lt;&gt;0"))</f>
        <v>0</v>
      </c>
      <c r="J30" s="53">
        <f t="shared" si="5"/>
        <v>0</v>
      </c>
      <c r="K30" s="53">
        <f t="shared" si="6"/>
        <v>0</v>
      </c>
      <c r="L30" s="53">
        <f t="shared" si="7"/>
        <v>0</v>
      </c>
      <c r="M30" s="53">
        <f t="shared" si="0"/>
        <v>0</v>
      </c>
      <c r="N30" s="53"/>
      <c r="O30" s="53">
        <f t="shared" si="1"/>
        <v>0</v>
      </c>
      <c r="P30" s="53">
        <f t="shared" si="2"/>
        <v>0</v>
      </c>
      <c r="Q30" s="53">
        <f t="shared" si="3"/>
        <v>0</v>
      </c>
      <c r="R30" s="60">
        <f>SUMIFS(jt!$K:$K,jt!$A:$A,加弹汇总表!$A30,jt!$R:$R,加弹汇总表!R$2)</f>
        <v>0</v>
      </c>
      <c r="S30" s="60">
        <f>SUMIFS(jt!$K:$K,jt!$A:$A,加弹汇总表!$A30,jt!$R:$R,加弹汇总表!S$2)</f>
        <v>0</v>
      </c>
      <c r="T30" s="60">
        <f>SUMIFS(jt!$K:$K,jt!$A:$A,加弹汇总表!$A30,jt!$R:$R,加弹汇总表!T$2)</f>
        <v>0</v>
      </c>
      <c r="U30" s="60">
        <f>SUMIFS(jt!$J:$J,jt!$A:$A,加弹汇总表!$A30,jt!$R:$R,加弹汇总表!U$2)</f>
        <v>0</v>
      </c>
      <c r="V30" s="60">
        <f>SUMIFS(jt!$J:$J,jt!$A:$A,加弹汇总表!$A30,jt!$R:$R,加弹汇总表!V$2)</f>
        <v>0</v>
      </c>
      <c r="W30" s="60">
        <f>SUMIFS(jt!$J:$J,jt!$A:$A,加弹汇总表!$A30,jt!$R:$R,加弹汇总表!W$2)</f>
        <v>0</v>
      </c>
      <c r="X30" s="61">
        <f>SUMIFS(jt!$L:$L,jt!$A:$A,加弹汇总表!$A30,jt!$R:$R,加弹汇总表!X$2)</f>
        <v>0</v>
      </c>
      <c r="Y30" s="61">
        <f>SUMIFS(jt!$L:$L,jt!$A:$A,加弹汇总表!$A30,jt!$R:$R,加弹汇总表!Y$2)</f>
        <v>0</v>
      </c>
      <c r="Z30" s="61">
        <f>SUMIFS(jt!$L:$L,jt!$A:$A,加弹汇总表!$A30,jt!$R:$R,加弹汇总表!Z$2)</f>
        <v>0</v>
      </c>
      <c r="AA30" s="62">
        <f>SUMIFS(jt!$M:$M,jt!$A:$A,加弹汇总表!$A30,jt!$R:$R,加弹汇总表!AA$2)</f>
        <v>0</v>
      </c>
      <c r="AB30" s="62">
        <f>SUMIFS(jt!$M:$M,jt!$A:$A,加弹汇总表!$A30,jt!$R:$R,加弹汇总表!AB$2)</f>
        <v>0</v>
      </c>
      <c r="AC30" s="62">
        <f>SUMIFS(jt!$M:$M,jt!$A:$A,加弹汇总表!$A30,jt!$R:$R,加弹汇总表!AC$2)</f>
        <v>0</v>
      </c>
      <c r="AD30" s="63">
        <f>SUMIFS(jt!$N:$N,jt!$A:$A,加弹汇总表!$A30,jt!$R:$R,加弹汇总表!AD$2)</f>
        <v>0</v>
      </c>
      <c r="AE30" s="63">
        <f>SUMIFS(jt!$N:$N,jt!$A:$A,加弹汇总表!$A30,jt!$R:$R,加弹汇总表!AE$2)</f>
        <v>0</v>
      </c>
      <c r="AF30" s="63">
        <f>SUMIFS(jt!$N:$N,jt!$A:$A,加弹汇总表!$A30,jt!$R:$R,加弹汇总表!AF$2)</f>
        <v>0</v>
      </c>
      <c r="AG30" s="64">
        <f>SUMIFS(jt!$M:$M,jt!$A:$A,加弹汇总表!$A30,jt!$C:$C,加弹汇总表!AG$2)</f>
        <v>0</v>
      </c>
      <c r="AH30" s="64">
        <f>SUMIFS(jt!$M:$M,jt!$A:$A,加弹汇总表!$A30,jt!$C:$C,加弹汇总表!AH$2)</f>
        <v>0</v>
      </c>
      <c r="AI30" s="64">
        <f>SUMIFS(jt!$M:$M,jt!$A:$A,加弹汇总表!$A30,jt!$C:$C,加弹汇总表!AI$2)</f>
        <v>0</v>
      </c>
      <c r="AJ30" s="64">
        <f>SUMIFS(jt!$M:$M,jt!$A:$A,加弹汇总表!$A30,jt!$C:$C,加弹汇总表!AJ$2)</f>
        <v>0</v>
      </c>
      <c r="AK30" s="64">
        <f>SUMIFS(jt!$M:$M,jt!$A:$A,加弹汇总表!$A30,jt!$C:$C,加弹汇总表!AK$2)</f>
        <v>0</v>
      </c>
      <c r="AL30" s="64">
        <f>SUMIFS(jt!$M:$M,jt!$A:$A,加弹汇总表!$A30,jt!$C:$C,加弹汇总表!AL$2)</f>
        <v>0</v>
      </c>
      <c r="AM30" s="64">
        <f>SUMIFS(jt!$M:$M,jt!$A:$A,加弹汇总表!$A30,jt!$C:$C,加弹汇总表!AM$2)</f>
        <v>0</v>
      </c>
      <c r="AN30" s="80">
        <f>SUMIFS(jt!$M:$M,jt!$A:$A,加弹汇总表!$A30,jt!$C:$C,加弹汇总表!AN$2)</f>
        <v>0</v>
      </c>
      <c r="AO30" s="8">
        <f>SUMIFS(jt!$M:$M,jt!$B:$B,加弹汇总表!$B30,jt!$D:$D,加弹汇总表!$C30,jt!$F:$F,加弹汇总表!$F30,jt!$O:$O,加弹汇总表!$C$1&amp;"/"&amp;加弹汇总表!$D$1&amp;"/"&amp;加弹汇总表!AO$2)</f>
        <v>0</v>
      </c>
      <c r="AP30" s="8">
        <f>SUMIFS(jt!$M:$M,jt!$B:$B,加弹汇总表!$B30,jt!$D:$D,加弹汇总表!$C30,jt!$F:$F,加弹汇总表!$F30,jt!$O:$O,加弹汇总表!$C$1&amp;"/"&amp;加弹汇总表!$D$1&amp;"/"&amp;加弹汇总表!AP$2)</f>
        <v>0</v>
      </c>
      <c r="AQ30" s="8">
        <f>SUMIFS(jt!$M:$M,jt!$B:$B,加弹汇总表!$B30,jt!$D:$D,加弹汇总表!$C30,jt!$F:$F,加弹汇总表!$F30,jt!$O:$O,加弹汇总表!$C$1&amp;"/"&amp;加弹汇总表!$D$1&amp;"/"&amp;加弹汇总表!AQ$2)</f>
        <v>0</v>
      </c>
      <c r="AR30" s="8">
        <f>SUMIFS(jt!$M:$M,jt!$B:$B,加弹汇总表!$B30,jt!$D:$D,加弹汇总表!$C30,jt!$F:$F,加弹汇总表!$F30,jt!$O:$O,加弹汇总表!$C$1&amp;"/"&amp;加弹汇总表!$D$1&amp;"/"&amp;加弹汇总表!AR$2)</f>
        <v>0</v>
      </c>
      <c r="AS30" s="8">
        <f>SUMIFS(jt!$M:$M,jt!$B:$B,加弹汇总表!$B30,jt!$D:$D,加弹汇总表!$C30,jt!$F:$F,加弹汇总表!$F30,jt!$O:$O,加弹汇总表!$C$1&amp;"/"&amp;加弹汇总表!$D$1&amp;"/"&amp;加弹汇总表!AS$2)</f>
        <v>0</v>
      </c>
      <c r="AT30" s="8">
        <f>SUMIFS(jt!$M:$M,jt!$B:$B,加弹汇总表!$B30,jt!$D:$D,加弹汇总表!$C30,jt!$F:$F,加弹汇总表!$F30,jt!$O:$O,加弹汇总表!$C$1&amp;"/"&amp;加弹汇总表!$D$1&amp;"/"&amp;加弹汇总表!AT$2)</f>
        <v>0</v>
      </c>
      <c r="AU30" s="8">
        <f>SUMIFS(jt!$M:$M,jt!$B:$B,加弹汇总表!$B30,jt!$D:$D,加弹汇总表!$C30,jt!$F:$F,加弹汇总表!$F30,jt!$O:$O,加弹汇总表!$C$1&amp;"/"&amp;加弹汇总表!$D$1&amp;"/"&amp;加弹汇总表!AU$2)</f>
        <v>0</v>
      </c>
      <c r="AV30" s="8">
        <f>SUMIFS(jt!$M:$M,jt!$B:$B,加弹汇总表!$B30,jt!$D:$D,加弹汇总表!$C30,jt!$F:$F,加弹汇总表!$F30,jt!$O:$O,加弹汇总表!$C$1&amp;"/"&amp;加弹汇总表!$D$1&amp;"/"&amp;加弹汇总表!AV$2)</f>
        <v>0</v>
      </c>
      <c r="AW30" s="8">
        <f>SUMIFS(jt!$M:$M,jt!$B:$B,加弹汇总表!$B30,jt!$D:$D,加弹汇总表!$C30,jt!$F:$F,加弹汇总表!$F30,jt!$O:$O,加弹汇总表!$C$1&amp;"/"&amp;加弹汇总表!$D$1&amp;"/"&amp;加弹汇总表!AW$2)</f>
        <v>0</v>
      </c>
      <c r="AX30" s="8">
        <f>SUMIFS(jt!$M:$M,jt!$B:$B,加弹汇总表!$B30,jt!$D:$D,加弹汇总表!$C30,jt!$F:$F,加弹汇总表!$F30,jt!$O:$O,加弹汇总表!$C$1&amp;"/"&amp;加弹汇总表!$D$1&amp;"/"&amp;加弹汇总表!AX$2)</f>
        <v>0</v>
      </c>
      <c r="AY30" s="8">
        <f>SUMIFS(jt!$M:$M,jt!$B:$B,加弹汇总表!$B30,jt!$D:$D,加弹汇总表!$C30,jt!$F:$F,加弹汇总表!$F30,jt!$O:$O,加弹汇总表!$C$1&amp;"/"&amp;加弹汇总表!$D$1&amp;"/"&amp;加弹汇总表!AY$2)</f>
        <v>0</v>
      </c>
      <c r="AZ30" s="8">
        <f>SUMIFS(jt!$M:$M,jt!$B:$B,加弹汇总表!$B30,jt!$D:$D,加弹汇总表!$C30,jt!$F:$F,加弹汇总表!$F30,jt!$O:$O,加弹汇总表!$C$1&amp;"/"&amp;加弹汇总表!$D$1&amp;"/"&amp;加弹汇总表!AZ$2)</f>
        <v>0</v>
      </c>
      <c r="BA30" s="8">
        <f>SUMIFS(jt!$M:$M,jt!$B:$B,加弹汇总表!$B30,jt!$D:$D,加弹汇总表!$C30,jt!$F:$F,加弹汇总表!$F30,jt!$O:$O,加弹汇总表!$C$1&amp;"/"&amp;加弹汇总表!$D$1&amp;"/"&amp;加弹汇总表!BA$2)</f>
        <v>0</v>
      </c>
      <c r="BB30" s="8">
        <f>SUMIFS(jt!$M:$M,jt!$B:$B,加弹汇总表!$B30,jt!$D:$D,加弹汇总表!$C30,jt!$F:$F,加弹汇总表!$F30,jt!$O:$O,加弹汇总表!$C$1&amp;"/"&amp;加弹汇总表!$D$1&amp;"/"&amp;加弹汇总表!BB$2)</f>
        <v>0</v>
      </c>
      <c r="BC30" s="8">
        <f>SUMIFS(jt!$M:$M,jt!$B:$B,加弹汇总表!$B30,jt!$D:$D,加弹汇总表!$C30,jt!$F:$F,加弹汇总表!$F30,jt!$O:$O,加弹汇总表!$C$1&amp;"/"&amp;加弹汇总表!$D$1&amp;"/"&amp;加弹汇总表!BC$2)</f>
        <v>0</v>
      </c>
      <c r="BD30" s="8">
        <f>SUMIFS(jt!$M:$M,jt!$B:$B,加弹汇总表!$B30,jt!$D:$D,加弹汇总表!$C30,jt!$F:$F,加弹汇总表!$F30,jt!$O:$O,加弹汇总表!$C$1&amp;"/"&amp;加弹汇总表!$D$1&amp;"/"&amp;加弹汇总表!BD$2)</f>
        <v>0</v>
      </c>
      <c r="BE30" s="8">
        <f>SUMIFS(jt!$M:$M,jt!$B:$B,加弹汇总表!$B30,jt!$D:$D,加弹汇总表!$C30,jt!$F:$F,加弹汇总表!$F30,jt!$O:$O,加弹汇总表!$C$1&amp;"/"&amp;加弹汇总表!$D$1&amp;"/"&amp;加弹汇总表!BE$2)</f>
        <v>0</v>
      </c>
      <c r="BF30" s="8">
        <f>SUMIFS(jt!$M:$M,jt!$B:$B,加弹汇总表!$B30,jt!$D:$D,加弹汇总表!$C30,jt!$F:$F,加弹汇总表!$F30,jt!$O:$O,加弹汇总表!$C$1&amp;"/"&amp;加弹汇总表!$D$1&amp;"/"&amp;加弹汇总表!BF$2)</f>
        <v>0</v>
      </c>
      <c r="BG30" s="8">
        <f>SUMIFS(jt!$M:$M,jt!$B:$B,加弹汇总表!$B30,jt!$D:$D,加弹汇总表!$C30,jt!$F:$F,加弹汇总表!$F30,jt!$O:$O,加弹汇总表!$C$1&amp;"/"&amp;加弹汇总表!$D$1&amp;"/"&amp;加弹汇总表!BG$2)</f>
        <v>0</v>
      </c>
      <c r="BH30" s="8">
        <f>SUMIFS(jt!$M:$M,jt!$B:$B,加弹汇总表!$B30,jt!$D:$D,加弹汇总表!$C30,jt!$F:$F,加弹汇总表!$F30,jt!$O:$O,加弹汇总表!$C$1&amp;"/"&amp;加弹汇总表!$D$1&amp;"/"&amp;加弹汇总表!BH$2)</f>
        <v>0</v>
      </c>
      <c r="BI30" s="8">
        <f>SUMIFS(jt!$M:$M,jt!$B:$B,加弹汇总表!$B30,jt!$D:$D,加弹汇总表!$C30,jt!$F:$F,加弹汇总表!$F30,jt!$O:$O,加弹汇总表!$C$1&amp;"/"&amp;加弹汇总表!$D$1&amp;"/"&amp;加弹汇总表!BI$2)</f>
        <v>0</v>
      </c>
      <c r="BJ30" s="8">
        <f>SUMIFS(jt!$M:$M,jt!$B:$B,加弹汇总表!$B30,jt!$D:$D,加弹汇总表!$C30,jt!$F:$F,加弹汇总表!$F30,jt!$O:$O,加弹汇总表!$C$1&amp;"/"&amp;加弹汇总表!$D$1&amp;"/"&amp;加弹汇总表!BJ$2)</f>
        <v>0</v>
      </c>
      <c r="BK30" s="8">
        <f>SUMIFS(jt!$M:$M,jt!$B:$B,加弹汇总表!$B30,jt!$D:$D,加弹汇总表!$C30,jt!$F:$F,加弹汇总表!$F30,jt!$O:$O,加弹汇总表!$C$1&amp;"/"&amp;加弹汇总表!$D$1&amp;"/"&amp;加弹汇总表!BK$2)</f>
        <v>0</v>
      </c>
      <c r="BL30" s="8">
        <f>SUMIFS(jt!$M:$M,jt!$B:$B,加弹汇总表!$B30,jt!$D:$D,加弹汇总表!$C30,jt!$F:$F,加弹汇总表!$F30,jt!$O:$O,加弹汇总表!$C$1&amp;"/"&amp;加弹汇总表!$D$1&amp;"/"&amp;加弹汇总表!BL$2)</f>
        <v>0</v>
      </c>
      <c r="BM30" s="8">
        <f>SUMIFS(jt!$M:$M,jt!$B:$B,加弹汇总表!$B30,jt!$D:$D,加弹汇总表!$C30,jt!$F:$F,加弹汇总表!$F30,jt!$O:$O,加弹汇总表!$C$1&amp;"/"&amp;加弹汇总表!$D$1&amp;"/"&amp;加弹汇总表!BM$2)</f>
        <v>0</v>
      </c>
      <c r="BN30" s="8">
        <f>SUMIFS(jt!$M:$M,jt!$B:$B,加弹汇总表!$B30,jt!$D:$D,加弹汇总表!$C30,jt!$F:$F,加弹汇总表!$F30,jt!$O:$O,加弹汇总表!$C$1&amp;"/"&amp;加弹汇总表!$D$1&amp;"/"&amp;加弹汇总表!BN$2)</f>
        <v>0</v>
      </c>
      <c r="BO30" s="8">
        <f>SUMIFS(jt!$M:$M,jt!$B:$B,加弹汇总表!$B30,jt!$D:$D,加弹汇总表!$C30,jt!$F:$F,加弹汇总表!$F30,jt!$O:$O,加弹汇总表!$C$1&amp;"/"&amp;加弹汇总表!$D$1&amp;"/"&amp;加弹汇总表!BO$2)</f>
        <v>0</v>
      </c>
      <c r="BP30" s="8">
        <f>SUMIFS(jt!$M:$M,jt!$B:$B,加弹汇总表!$B30,jt!$D:$D,加弹汇总表!$C30,jt!$F:$F,加弹汇总表!$F30,jt!$O:$O,加弹汇总表!$C$1&amp;"/"&amp;加弹汇总表!$D$1&amp;"/"&amp;加弹汇总表!BP$2)</f>
        <v>0</v>
      </c>
      <c r="BQ30" s="8">
        <f>SUMIFS(jt!$M:$M,jt!$B:$B,加弹汇总表!$B30,jt!$D:$D,加弹汇总表!$C30,jt!$F:$F,加弹汇总表!$F30,jt!$O:$O,加弹汇总表!$C$1&amp;"/"&amp;加弹汇总表!$D$1&amp;"/"&amp;加弹汇总表!BQ$2)</f>
        <v>0</v>
      </c>
      <c r="BR30" s="8">
        <f>SUMIFS(jt!$M:$M,jt!$B:$B,加弹汇总表!$B30,jt!$D:$D,加弹汇总表!$C30,jt!$F:$F,加弹汇总表!$F30,jt!$O:$O,加弹汇总表!$C$1&amp;"/"&amp;加弹汇总表!$D$1&amp;"/"&amp;加弹汇总表!BR$2)</f>
        <v>0</v>
      </c>
      <c r="BS30" s="8">
        <f>SUMIFS(jt!$M:$M,jt!$B:$B,加弹汇总表!$B30,jt!$D:$D,加弹汇总表!$C30,jt!$F:$F,加弹汇总表!$F30,jt!$O:$O,加弹汇总表!$C$1&amp;"/"&amp;加弹汇总表!$D$1&amp;"/"&amp;加弹汇总表!BS$2)</f>
        <v>0</v>
      </c>
    </row>
    <row r="31" spans="1:71" ht="18" customHeight="1">
      <c r="A31" s="250" t="str">
        <f t="shared" si="4"/>
        <v>201807151150D93/36白</v>
      </c>
      <c r="B31" s="14">
        <v>2018071511</v>
      </c>
      <c r="C31" s="98" t="s">
        <v>850</v>
      </c>
      <c r="D31" s="53" t="s">
        <v>869</v>
      </c>
      <c r="E31" s="78"/>
      <c r="F31" s="53" t="s">
        <v>2</v>
      </c>
      <c r="G31" s="53" t="s">
        <v>870</v>
      </c>
      <c r="H31" s="53"/>
      <c r="I31" s="246">
        <f ca="1">IF(SUMIFS(jt!M:M,jt!A:A,加弹汇总表!A31,jt!O:O,加弹汇总表!$E$1)=0,0,SUM(AO31:BS31)/COUNTIF(AO31:BS31,"&lt;&gt;0"))</f>
        <v>0</v>
      </c>
      <c r="J31" s="53">
        <f t="shared" si="5"/>
        <v>0</v>
      </c>
      <c r="K31" s="53">
        <f t="shared" si="6"/>
        <v>0</v>
      </c>
      <c r="L31" s="53">
        <f t="shared" si="7"/>
        <v>0</v>
      </c>
      <c r="M31" s="53">
        <f t="shared" si="0"/>
        <v>0</v>
      </c>
      <c r="N31" s="53"/>
      <c r="O31" s="53">
        <f t="shared" si="1"/>
        <v>0</v>
      </c>
      <c r="P31" s="53">
        <f t="shared" si="2"/>
        <v>0</v>
      </c>
      <c r="Q31" s="53">
        <f t="shared" si="3"/>
        <v>0</v>
      </c>
      <c r="R31" s="60">
        <f>SUMIFS(jt!$K:$K,jt!$A:$A,加弹汇总表!$A31,jt!$R:$R,加弹汇总表!R$2)</f>
        <v>0</v>
      </c>
      <c r="S31" s="60">
        <f>SUMIFS(jt!$K:$K,jt!$A:$A,加弹汇总表!$A31,jt!$R:$R,加弹汇总表!S$2)</f>
        <v>0</v>
      </c>
      <c r="T31" s="60">
        <f>SUMIFS(jt!$K:$K,jt!$A:$A,加弹汇总表!$A31,jt!$R:$R,加弹汇总表!T$2)</f>
        <v>0</v>
      </c>
      <c r="U31" s="60">
        <f>SUMIFS(jt!$J:$J,jt!$A:$A,加弹汇总表!$A31,jt!$R:$R,加弹汇总表!U$2)</f>
        <v>0</v>
      </c>
      <c r="V31" s="60">
        <f>SUMIFS(jt!$J:$J,jt!$A:$A,加弹汇总表!$A31,jt!$R:$R,加弹汇总表!V$2)</f>
        <v>0</v>
      </c>
      <c r="W31" s="60">
        <f>SUMIFS(jt!$J:$J,jt!$A:$A,加弹汇总表!$A31,jt!$R:$R,加弹汇总表!W$2)</f>
        <v>0</v>
      </c>
      <c r="X31" s="61">
        <f>SUMIFS(jt!$L:$L,jt!$A:$A,加弹汇总表!$A31,jt!$R:$R,加弹汇总表!X$2)</f>
        <v>0</v>
      </c>
      <c r="Y31" s="61">
        <f>SUMIFS(jt!$L:$L,jt!$A:$A,加弹汇总表!$A31,jt!$R:$R,加弹汇总表!Y$2)</f>
        <v>0</v>
      </c>
      <c r="Z31" s="61">
        <f>SUMIFS(jt!$L:$L,jt!$A:$A,加弹汇总表!$A31,jt!$R:$R,加弹汇总表!Z$2)</f>
        <v>0</v>
      </c>
      <c r="AA31" s="62">
        <f>SUMIFS(jt!$M:$M,jt!$A:$A,加弹汇总表!$A31,jt!$R:$R,加弹汇总表!AA$2)</f>
        <v>0</v>
      </c>
      <c r="AB31" s="62">
        <f>SUMIFS(jt!$M:$M,jt!$A:$A,加弹汇总表!$A31,jt!$R:$R,加弹汇总表!AB$2)</f>
        <v>0</v>
      </c>
      <c r="AC31" s="62">
        <f>SUMIFS(jt!$M:$M,jt!$A:$A,加弹汇总表!$A31,jt!$R:$R,加弹汇总表!AC$2)</f>
        <v>0</v>
      </c>
      <c r="AD31" s="63">
        <f>SUMIFS(jt!$N:$N,jt!$A:$A,加弹汇总表!$A31,jt!$R:$R,加弹汇总表!AD$2)</f>
        <v>0</v>
      </c>
      <c r="AE31" s="63">
        <f>SUMIFS(jt!$N:$N,jt!$A:$A,加弹汇总表!$A31,jt!$R:$R,加弹汇总表!AE$2)</f>
        <v>0</v>
      </c>
      <c r="AF31" s="63">
        <f>SUMIFS(jt!$N:$N,jt!$A:$A,加弹汇总表!$A31,jt!$R:$R,加弹汇总表!AF$2)</f>
        <v>0</v>
      </c>
      <c r="AG31" s="64">
        <f>SUMIFS(jt!$M:$M,jt!$A:$A,加弹汇总表!$A31,jt!$C:$C,加弹汇总表!AG$2)</f>
        <v>0</v>
      </c>
      <c r="AH31" s="64">
        <f>SUMIFS(jt!$M:$M,jt!$A:$A,加弹汇总表!$A31,jt!$C:$C,加弹汇总表!AH$2)</f>
        <v>0</v>
      </c>
      <c r="AI31" s="64">
        <f>SUMIFS(jt!$M:$M,jt!$A:$A,加弹汇总表!$A31,jt!$C:$C,加弹汇总表!AI$2)</f>
        <v>0</v>
      </c>
      <c r="AJ31" s="64">
        <f>SUMIFS(jt!$M:$M,jt!$A:$A,加弹汇总表!$A31,jt!$C:$C,加弹汇总表!AJ$2)</f>
        <v>0</v>
      </c>
      <c r="AK31" s="64">
        <f>SUMIFS(jt!$M:$M,jt!$A:$A,加弹汇总表!$A31,jt!$C:$C,加弹汇总表!AK$2)</f>
        <v>0</v>
      </c>
      <c r="AL31" s="64">
        <f>SUMIFS(jt!$M:$M,jt!$A:$A,加弹汇总表!$A31,jt!$C:$C,加弹汇总表!AL$2)</f>
        <v>0</v>
      </c>
      <c r="AM31" s="64">
        <f>SUMIFS(jt!$M:$M,jt!$A:$A,加弹汇总表!$A31,jt!$C:$C,加弹汇总表!AM$2)</f>
        <v>0</v>
      </c>
      <c r="AN31" s="80">
        <f>SUMIFS(jt!$M:$M,jt!$A:$A,加弹汇总表!$A31,jt!$C:$C,加弹汇总表!AN$2)</f>
        <v>0</v>
      </c>
      <c r="AO31" s="8">
        <f>SUMIFS(jt!$M:$M,jt!$B:$B,加弹汇总表!$B31,jt!$D:$D,加弹汇总表!$C31,jt!$F:$F,加弹汇总表!$F31,jt!$O:$O,加弹汇总表!$C$1&amp;"/"&amp;加弹汇总表!$D$1&amp;"/"&amp;加弹汇总表!AO$2)</f>
        <v>0</v>
      </c>
      <c r="AP31" s="8">
        <f>SUMIFS(jt!$M:$M,jt!$B:$B,加弹汇总表!$B31,jt!$D:$D,加弹汇总表!$C31,jt!$F:$F,加弹汇总表!$F31,jt!$O:$O,加弹汇总表!$C$1&amp;"/"&amp;加弹汇总表!$D$1&amp;"/"&amp;加弹汇总表!AP$2)</f>
        <v>0</v>
      </c>
      <c r="AQ31" s="8">
        <f>SUMIFS(jt!$M:$M,jt!$B:$B,加弹汇总表!$B31,jt!$D:$D,加弹汇总表!$C31,jt!$F:$F,加弹汇总表!$F31,jt!$O:$O,加弹汇总表!$C$1&amp;"/"&amp;加弹汇总表!$D$1&amp;"/"&amp;加弹汇总表!AQ$2)</f>
        <v>0</v>
      </c>
      <c r="AR31" s="8">
        <f>SUMIFS(jt!$M:$M,jt!$B:$B,加弹汇总表!$B31,jt!$D:$D,加弹汇总表!$C31,jt!$F:$F,加弹汇总表!$F31,jt!$O:$O,加弹汇总表!$C$1&amp;"/"&amp;加弹汇总表!$D$1&amp;"/"&amp;加弹汇总表!AR$2)</f>
        <v>0</v>
      </c>
      <c r="AS31" s="8">
        <f>SUMIFS(jt!$M:$M,jt!$B:$B,加弹汇总表!$B31,jt!$D:$D,加弹汇总表!$C31,jt!$F:$F,加弹汇总表!$F31,jt!$O:$O,加弹汇总表!$C$1&amp;"/"&amp;加弹汇总表!$D$1&amp;"/"&amp;加弹汇总表!AS$2)</f>
        <v>0</v>
      </c>
      <c r="AT31" s="8">
        <f>SUMIFS(jt!$M:$M,jt!$B:$B,加弹汇总表!$B31,jt!$D:$D,加弹汇总表!$C31,jt!$F:$F,加弹汇总表!$F31,jt!$O:$O,加弹汇总表!$C$1&amp;"/"&amp;加弹汇总表!$D$1&amp;"/"&amp;加弹汇总表!AT$2)</f>
        <v>0</v>
      </c>
      <c r="AU31" s="8">
        <f>SUMIFS(jt!$M:$M,jt!$B:$B,加弹汇总表!$B31,jt!$D:$D,加弹汇总表!$C31,jt!$F:$F,加弹汇总表!$F31,jt!$O:$O,加弹汇总表!$C$1&amp;"/"&amp;加弹汇总表!$D$1&amp;"/"&amp;加弹汇总表!AU$2)</f>
        <v>0</v>
      </c>
      <c r="AV31" s="8">
        <f>SUMIFS(jt!$M:$M,jt!$B:$B,加弹汇总表!$B31,jt!$D:$D,加弹汇总表!$C31,jt!$F:$F,加弹汇总表!$F31,jt!$O:$O,加弹汇总表!$C$1&amp;"/"&amp;加弹汇总表!$D$1&amp;"/"&amp;加弹汇总表!AV$2)</f>
        <v>0</v>
      </c>
      <c r="AW31" s="8">
        <f>SUMIFS(jt!$M:$M,jt!$B:$B,加弹汇总表!$B31,jt!$D:$D,加弹汇总表!$C31,jt!$F:$F,加弹汇总表!$F31,jt!$O:$O,加弹汇总表!$C$1&amp;"/"&amp;加弹汇总表!$D$1&amp;"/"&amp;加弹汇总表!AW$2)</f>
        <v>0</v>
      </c>
      <c r="AX31" s="8">
        <f>SUMIFS(jt!$M:$M,jt!$B:$B,加弹汇总表!$B31,jt!$D:$D,加弹汇总表!$C31,jt!$F:$F,加弹汇总表!$F31,jt!$O:$O,加弹汇总表!$C$1&amp;"/"&amp;加弹汇总表!$D$1&amp;"/"&amp;加弹汇总表!AX$2)</f>
        <v>0</v>
      </c>
      <c r="AY31" s="8">
        <f>SUMIFS(jt!$M:$M,jt!$B:$B,加弹汇总表!$B31,jt!$D:$D,加弹汇总表!$C31,jt!$F:$F,加弹汇总表!$F31,jt!$O:$O,加弹汇总表!$C$1&amp;"/"&amp;加弹汇总表!$D$1&amp;"/"&amp;加弹汇总表!AY$2)</f>
        <v>0</v>
      </c>
      <c r="AZ31" s="8">
        <f>SUMIFS(jt!$M:$M,jt!$B:$B,加弹汇总表!$B31,jt!$D:$D,加弹汇总表!$C31,jt!$F:$F,加弹汇总表!$F31,jt!$O:$O,加弹汇总表!$C$1&amp;"/"&amp;加弹汇总表!$D$1&amp;"/"&amp;加弹汇总表!AZ$2)</f>
        <v>0</v>
      </c>
      <c r="BA31" s="8">
        <f>SUMIFS(jt!$M:$M,jt!$B:$B,加弹汇总表!$B31,jt!$D:$D,加弹汇总表!$C31,jt!$F:$F,加弹汇总表!$F31,jt!$O:$O,加弹汇总表!$C$1&amp;"/"&amp;加弹汇总表!$D$1&amp;"/"&amp;加弹汇总表!BA$2)</f>
        <v>0</v>
      </c>
      <c r="BB31" s="8">
        <f>SUMIFS(jt!$M:$M,jt!$B:$B,加弹汇总表!$B31,jt!$D:$D,加弹汇总表!$C31,jt!$F:$F,加弹汇总表!$F31,jt!$O:$O,加弹汇总表!$C$1&amp;"/"&amp;加弹汇总表!$D$1&amp;"/"&amp;加弹汇总表!BB$2)</f>
        <v>0</v>
      </c>
      <c r="BC31" s="8">
        <f>SUMIFS(jt!$M:$M,jt!$B:$B,加弹汇总表!$B31,jt!$D:$D,加弹汇总表!$C31,jt!$F:$F,加弹汇总表!$F31,jt!$O:$O,加弹汇总表!$C$1&amp;"/"&amp;加弹汇总表!$D$1&amp;"/"&amp;加弹汇总表!BC$2)</f>
        <v>0</v>
      </c>
      <c r="BD31" s="8">
        <f>SUMIFS(jt!$M:$M,jt!$B:$B,加弹汇总表!$B31,jt!$D:$D,加弹汇总表!$C31,jt!$F:$F,加弹汇总表!$F31,jt!$O:$O,加弹汇总表!$C$1&amp;"/"&amp;加弹汇总表!$D$1&amp;"/"&amp;加弹汇总表!BD$2)</f>
        <v>0</v>
      </c>
      <c r="BE31" s="8">
        <f>SUMIFS(jt!$M:$M,jt!$B:$B,加弹汇总表!$B31,jt!$D:$D,加弹汇总表!$C31,jt!$F:$F,加弹汇总表!$F31,jt!$O:$O,加弹汇总表!$C$1&amp;"/"&amp;加弹汇总表!$D$1&amp;"/"&amp;加弹汇总表!BE$2)</f>
        <v>0</v>
      </c>
      <c r="BF31" s="8">
        <f>SUMIFS(jt!$M:$M,jt!$B:$B,加弹汇总表!$B31,jt!$D:$D,加弹汇总表!$C31,jt!$F:$F,加弹汇总表!$F31,jt!$O:$O,加弹汇总表!$C$1&amp;"/"&amp;加弹汇总表!$D$1&amp;"/"&amp;加弹汇总表!BF$2)</f>
        <v>0</v>
      </c>
      <c r="BG31" s="8">
        <f>SUMIFS(jt!$M:$M,jt!$B:$B,加弹汇总表!$B31,jt!$D:$D,加弹汇总表!$C31,jt!$F:$F,加弹汇总表!$F31,jt!$O:$O,加弹汇总表!$C$1&amp;"/"&amp;加弹汇总表!$D$1&amp;"/"&amp;加弹汇总表!BG$2)</f>
        <v>0</v>
      </c>
      <c r="BH31" s="8">
        <f>SUMIFS(jt!$M:$M,jt!$B:$B,加弹汇总表!$B31,jt!$D:$D,加弹汇总表!$C31,jt!$F:$F,加弹汇总表!$F31,jt!$O:$O,加弹汇总表!$C$1&amp;"/"&amp;加弹汇总表!$D$1&amp;"/"&amp;加弹汇总表!BH$2)</f>
        <v>0</v>
      </c>
      <c r="BI31" s="8">
        <f>SUMIFS(jt!$M:$M,jt!$B:$B,加弹汇总表!$B31,jt!$D:$D,加弹汇总表!$C31,jt!$F:$F,加弹汇总表!$F31,jt!$O:$O,加弹汇总表!$C$1&amp;"/"&amp;加弹汇总表!$D$1&amp;"/"&amp;加弹汇总表!BI$2)</f>
        <v>0</v>
      </c>
      <c r="BJ31" s="8">
        <f>SUMIFS(jt!$M:$M,jt!$B:$B,加弹汇总表!$B31,jt!$D:$D,加弹汇总表!$C31,jt!$F:$F,加弹汇总表!$F31,jt!$O:$O,加弹汇总表!$C$1&amp;"/"&amp;加弹汇总表!$D$1&amp;"/"&amp;加弹汇总表!BJ$2)</f>
        <v>0</v>
      </c>
      <c r="BK31" s="8">
        <f>SUMIFS(jt!$M:$M,jt!$B:$B,加弹汇总表!$B31,jt!$D:$D,加弹汇总表!$C31,jt!$F:$F,加弹汇总表!$F31,jt!$O:$O,加弹汇总表!$C$1&amp;"/"&amp;加弹汇总表!$D$1&amp;"/"&amp;加弹汇总表!BK$2)</f>
        <v>0</v>
      </c>
      <c r="BL31" s="8">
        <f>SUMIFS(jt!$M:$M,jt!$B:$B,加弹汇总表!$B31,jt!$D:$D,加弹汇总表!$C31,jt!$F:$F,加弹汇总表!$F31,jt!$O:$O,加弹汇总表!$C$1&amp;"/"&amp;加弹汇总表!$D$1&amp;"/"&amp;加弹汇总表!BL$2)</f>
        <v>0</v>
      </c>
      <c r="BM31" s="8">
        <f>SUMIFS(jt!$M:$M,jt!$B:$B,加弹汇总表!$B31,jt!$D:$D,加弹汇总表!$C31,jt!$F:$F,加弹汇总表!$F31,jt!$O:$O,加弹汇总表!$C$1&amp;"/"&amp;加弹汇总表!$D$1&amp;"/"&amp;加弹汇总表!BM$2)</f>
        <v>0</v>
      </c>
      <c r="BN31" s="8">
        <f>SUMIFS(jt!$M:$M,jt!$B:$B,加弹汇总表!$B31,jt!$D:$D,加弹汇总表!$C31,jt!$F:$F,加弹汇总表!$F31,jt!$O:$O,加弹汇总表!$C$1&amp;"/"&amp;加弹汇总表!$D$1&amp;"/"&amp;加弹汇总表!BN$2)</f>
        <v>0</v>
      </c>
      <c r="BO31" s="8">
        <f>SUMIFS(jt!$M:$M,jt!$B:$B,加弹汇总表!$B31,jt!$D:$D,加弹汇总表!$C31,jt!$F:$F,加弹汇总表!$F31,jt!$O:$O,加弹汇总表!$C$1&amp;"/"&amp;加弹汇总表!$D$1&amp;"/"&amp;加弹汇总表!BO$2)</f>
        <v>0</v>
      </c>
      <c r="BP31" s="8">
        <f>SUMIFS(jt!$M:$M,jt!$B:$B,加弹汇总表!$B31,jt!$D:$D,加弹汇总表!$C31,jt!$F:$F,加弹汇总表!$F31,jt!$O:$O,加弹汇总表!$C$1&amp;"/"&amp;加弹汇总表!$D$1&amp;"/"&amp;加弹汇总表!BP$2)</f>
        <v>0</v>
      </c>
      <c r="BQ31" s="8">
        <f>SUMIFS(jt!$M:$M,jt!$B:$B,加弹汇总表!$B31,jt!$D:$D,加弹汇总表!$C31,jt!$F:$F,加弹汇总表!$F31,jt!$O:$O,加弹汇总表!$C$1&amp;"/"&amp;加弹汇总表!$D$1&amp;"/"&amp;加弹汇总表!BQ$2)</f>
        <v>0</v>
      </c>
      <c r="BR31" s="8">
        <f>SUMIFS(jt!$M:$M,jt!$B:$B,加弹汇总表!$B31,jt!$D:$D,加弹汇总表!$C31,jt!$F:$F,加弹汇总表!$F31,jt!$O:$O,加弹汇总表!$C$1&amp;"/"&amp;加弹汇总表!$D$1&amp;"/"&amp;加弹汇总表!BR$2)</f>
        <v>0</v>
      </c>
      <c r="BS31" s="8">
        <f>SUMIFS(jt!$M:$M,jt!$B:$B,加弹汇总表!$B31,jt!$D:$D,加弹汇总表!$C31,jt!$F:$F,加弹汇总表!$F31,jt!$O:$O,加弹汇总表!$C$1&amp;"/"&amp;加弹汇总表!$D$1&amp;"/"&amp;加弹汇总表!BS$2)</f>
        <v>0</v>
      </c>
    </row>
    <row r="32" spans="1:71" ht="18" customHeight="1">
      <c r="A32" s="250" t="str">
        <f t="shared" si="4"/>
        <v>S21102P35/24白</v>
      </c>
      <c r="B32" s="14" t="s">
        <v>438</v>
      </c>
      <c r="C32" s="98"/>
      <c r="D32" s="53" t="s">
        <v>437</v>
      </c>
      <c r="E32" s="78"/>
      <c r="F32" s="53" t="s">
        <v>2</v>
      </c>
      <c r="G32" s="53" t="s">
        <v>158</v>
      </c>
      <c r="H32" s="53"/>
      <c r="I32" s="246">
        <f ca="1">IF(SUMIFS(jt!M:M,jt!A:A,加弹汇总表!A32,jt!O:O,加弹汇总表!$E$1)=0,0,SUM(AO32:BS32)/COUNTIF(AO32:BS32,"&lt;&gt;0"))</f>
        <v>0</v>
      </c>
      <c r="J32" s="53">
        <f t="shared" si="5"/>
        <v>0</v>
      </c>
      <c r="K32" s="53">
        <f t="shared" si="6"/>
        <v>0</v>
      </c>
      <c r="L32" s="53">
        <f t="shared" si="7"/>
        <v>0</v>
      </c>
      <c r="M32" s="53">
        <f t="shared" si="0"/>
        <v>0</v>
      </c>
      <c r="N32" s="53"/>
      <c r="O32" s="53">
        <f t="shared" si="1"/>
        <v>0</v>
      </c>
      <c r="P32" s="53">
        <f t="shared" si="2"/>
        <v>0</v>
      </c>
      <c r="Q32" s="53">
        <f t="shared" si="3"/>
        <v>0</v>
      </c>
      <c r="R32" s="60">
        <f>SUMIFS(jt!$K:$K,jt!$A:$A,加弹汇总表!$A32,jt!$R:$R,加弹汇总表!R$2)</f>
        <v>0</v>
      </c>
      <c r="S32" s="60">
        <f>SUMIFS(jt!$K:$K,jt!$A:$A,加弹汇总表!$A32,jt!$R:$R,加弹汇总表!S$2)</f>
        <v>0</v>
      </c>
      <c r="T32" s="60">
        <f>SUMIFS(jt!$K:$K,jt!$A:$A,加弹汇总表!$A32,jt!$R:$R,加弹汇总表!T$2)</f>
        <v>0</v>
      </c>
      <c r="U32" s="60">
        <f>SUMIFS(jt!$J:$J,jt!$A:$A,加弹汇总表!$A32,jt!$R:$R,加弹汇总表!U$2)</f>
        <v>0</v>
      </c>
      <c r="V32" s="60">
        <f>SUMIFS(jt!$J:$J,jt!$A:$A,加弹汇总表!$A32,jt!$R:$R,加弹汇总表!V$2)</f>
        <v>0</v>
      </c>
      <c r="W32" s="60">
        <f>SUMIFS(jt!$J:$J,jt!$A:$A,加弹汇总表!$A32,jt!$R:$R,加弹汇总表!W$2)</f>
        <v>0</v>
      </c>
      <c r="X32" s="61">
        <f>SUMIFS(jt!$L:$L,jt!$A:$A,加弹汇总表!$A32,jt!$R:$R,加弹汇总表!X$2)</f>
        <v>0</v>
      </c>
      <c r="Y32" s="61">
        <f>SUMIFS(jt!$L:$L,jt!$A:$A,加弹汇总表!$A32,jt!$R:$R,加弹汇总表!Y$2)</f>
        <v>0</v>
      </c>
      <c r="Z32" s="61">
        <f>SUMIFS(jt!$L:$L,jt!$A:$A,加弹汇总表!$A32,jt!$R:$R,加弹汇总表!Z$2)</f>
        <v>0</v>
      </c>
      <c r="AA32" s="62">
        <f>SUMIFS(jt!$M:$M,jt!$A:$A,加弹汇总表!$A32,jt!$R:$R,加弹汇总表!AA$2)</f>
        <v>0</v>
      </c>
      <c r="AB32" s="62">
        <f>SUMIFS(jt!$M:$M,jt!$A:$A,加弹汇总表!$A32,jt!$R:$R,加弹汇总表!AB$2)</f>
        <v>0</v>
      </c>
      <c r="AC32" s="62">
        <f>SUMIFS(jt!$M:$M,jt!$A:$A,加弹汇总表!$A32,jt!$R:$R,加弹汇总表!AC$2)</f>
        <v>0</v>
      </c>
      <c r="AD32" s="63">
        <f>SUMIFS(jt!$N:$N,jt!$A:$A,加弹汇总表!$A32,jt!$R:$R,加弹汇总表!AD$2)</f>
        <v>0</v>
      </c>
      <c r="AE32" s="63">
        <f>SUMIFS(jt!$N:$N,jt!$A:$A,加弹汇总表!$A32,jt!$R:$R,加弹汇总表!AE$2)</f>
        <v>0</v>
      </c>
      <c r="AF32" s="63">
        <f>SUMIFS(jt!$N:$N,jt!$A:$A,加弹汇总表!$A32,jt!$R:$R,加弹汇总表!AF$2)</f>
        <v>0</v>
      </c>
      <c r="AG32" s="64">
        <f>SUMIFS(jt!$M:$M,jt!$A:$A,加弹汇总表!$A32,jt!$C:$C,加弹汇总表!AG$2)</f>
        <v>0</v>
      </c>
      <c r="AH32" s="64">
        <f>SUMIFS(jt!$M:$M,jt!$A:$A,加弹汇总表!$A32,jt!$C:$C,加弹汇总表!AH$2)</f>
        <v>0</v>
      </c>
      <c r="AI32" s="64">
        <f>SUMIFS(jt!$M:$M,jt!$A:$A,加弹汇总表!$A32,jt!$C:$C,加弹汇总表!AI$2)</f>
        <v>0</v>
      </c>
      <c r="AJ32" s="64">
        <f>SUMIFS(jt!$M:$M,jt!$A:$A,加弹汇总表!$A32,jt!$C:$C,加弹汇总表!AJ$2)</f>
        <v>0</v>
      </c>
      <c r="AK32" s="64">
        <f>SUMIFS(jt!$M:$M,jt!$A:$A,加弹汇总表!$A32,jt!$C:$C,加弹汇总表!AK$2)</f>
        <v>0</v>
      </c>
      <c r="AL32" s="64">
        <f>SUMIFS(jt!$M:$M,jt!$A:$A,加弹汇总表!$A32,jt!$C:$C,加弹汇总表!AL$2)</f>
        <v>0</v>
      </c>
      <c r="AM32" s="64">
        <f>SUMIFS(jt!$M:$M,jt!$A:$A,加弹汇总表!$A32,jt!$C:$C,加弹汇总表!AM$2)</f>
        <v>0</v>
      </c>
      <c r="AN32" s="80">
        <f>SUMIFS(jt!$M:$M,jt!$A:$A,加弹汇总表!$A32,jt!$C:$C,加弹汇总表!AN$2)</f>
        <v>0</v>
      </c>
      <c r="AO32" s="8">
        <f>SUMIFS(jt!$M:$M,jt!$B:$B,加弹汇总表!$B32,jt!$D:$D,加弹汇总表!$C32,jt!$F:$F,加弹汇总表!$F32,jt!$O:$O,加弹汇总表!$C$1&amp;"/"&amp;加弹汇总表!$D$1&amp;"/"&amp;加弹汇总表!AO$2)</f>
        <v>0</v>
      </c>
      <c r="AP32" s="8">
        <f>SUMIFS(jt!$M:$M,jt!$B:$B,加弹汇总表!$B32,jt!$D:$D,加弹汇总表!$C32,jt!$F:$F,加弹汇总表!$F32,jt!$O:$O,加弹汇总表!$C$1&amp;"/"&amp;加弹汇总表!$D$1&amp;"/"&amp;加弹汇总表!AP$2)</f>
        <v>0</v>
      </c>
      <c r="AQ32" s="8">
        <f>SUMIFS(jt!$M:$M,jt!$B:$B,加弹汇总表!$B32,jt!$D:$D,加弹汇总表!$C32,jt!$F:$F,加弹汇总表!$F32,jt!$O:$O,加弹汇总表!$C$1&amp;"/"&amp;加弹汇总表!$D$1&amp;"/"&amp;加弹汇总表!AQ$2)</f>
        <v>0</v>
      </c>
      <c r="AR32" s="8">
        <f>SUMIFS(jt!$M:$M,jt!$B:$B,加弹汇总表!$B32,jt!$D:$D,加弹汇总表!$C32,jt!$F:$F,加弹汇总表!$F32,jt!$O:$O,加弹汇总表!$C$1&amp;"/"&amp;加弹汇总表!$D$1&amp;"/"&amp;加弹汇总表!AR$2)</f>
        <v>0</v>
      </c>
      <c r="AS32" s="8">
        <f>SUMIFS(jt!$M:$M,jt!$B:$B,加弹汇总表!$B32,jt!$D:$D,加弹汇总表!$C32,jt!$F:$F,加弹汇总表!$F32,jt!$O:$O,加弹汇总表!$C$1&amp;"/"&amp;加弹汇总表!$D$1&amp;"/"&amp;加弹汇总表!AS$2)</f>
        <v>0</v>
      </c>
      <c r="AT32" s="8">
        <f>SUMIFS(jt!$M:$M,jt!$B:$B,加弹汇总表!$B32,jt!$D:$D,加弹汇总表!$C32,jt!$F:$F,加弹汇总表!$F32,jt!$O:$O,加弹汇总表!$C$1&amp;"/"&amp;加弹汇总表!$D$1&amp;"/"&amp;加弹汇总表!AT$2)</f>
        <v>0</v>
      </c>
      <c r="AU32" s="8">
        <f>SUMIFS(jt!$M:$M,jt!$B:$B,加弹汇总表!$B32,jt!$D:$D,加弹汇总表!$C32,jt!$F:$F,加弹汇总表!$F32,jt!$O:$O,加弹汇总表!$C$1&amp;"/"&amp;加弹汇总表!$D$1&amp;"/"&amp;加弹汇总表!AU$2)</f>
        <v>0</v>
      </c>
      <c r="AV32" s="8">
        <f>SUMIFS(jt!$M:$M,jt!$B:$B,加弹汇总表!$B32,jt!$D:$D,加弹汇总表!$C32,jt!$F:$F,加弹汇总表!$F32,jt!$O:$O,加弹汇总表!$C$1&amp;"/"&amp;加弹汇总表!$D$1&amp;"/"&amp;加弹汇总表!AV$2)</f>
        <v>0</v>
      </c>
      <c r="AW32" s="8">
        <f>SUMIFS(jt!$M:$M,jt!$B:$B,加弹汇总表!$B32,jt!$D:$D,加弹汇总表!$C32,jt!$F:$F,加弹汇总表!$F32,jt!$O:$O,加弹汇总表!$C$1&amp;"/"&amp;加弹汇总表!$D$1&amp;"/"&amp;加弹汇总表!AW$2)</f>
        <v>0</v>
      </c>
      <c r="AX32" s="8">
        <f>SUMIFS(jt!$M:$M,jt!$B:$B,加弹汇总表!$B32,jt!$D:$D,加弹汇总表!$C32,jt!$F:$F,加弹汇总表!$F32,jt!$O:$O,加弹汇总表!$C$1&amp;"/"&amp;加弹汇总表!$D$1&amp;"/"&amp;加弹汇总表!AX$2)</f>
        <v>0</v>
      </c>
      <c r="AY32" s="8">
        <f>SUMIFS(jt!$M:$M,jt!$B:$B,加弹汇总表!$B32,jt!$D:$D,加弹汇总表!$C32,jt!$F:$F,加弹汇总表!$F32,jt!$O:$O,加弹汇总表!$C$1&amp;"/"&amp;加弹汇总表!$D$1&amp;"/"&amp;加弹汇总表!AY$2)</f>
        <v>0</v>
      </c>
      <c r="AZ32" s="8">
        <f>SUMIFS(jt!$M:$M,jt!$B:$B,加弹汇总表!$B32,jt!$D:$D,加弹汇总表!$C32,jt!$F:$F,加弹汇总表!$F32,jt!$O:$O,加弹汇总表!$C$1&amp;"/"&amp;加弹汇总表!$D$1&amp;"/"&amp;加弹汇总表!AZ$2)</f>
        <v>0</v>
      </c>
      <c r="BA32" s="8">
        <f>SUMIFS(jt!$M:$M,jt!$B:$B,加弹汇总表!$B32,jt!$D:$D,加弹汇总表!$C32,jt!$F:$F,加弹汇总表!$F32,jt!$O:$O,加弹汇总表!$C$1&amp;"/"&amp;加弹汇总表!$D$1&amp;"/"&amp;加弹汇总表!BA$2)</f>
        <v>0</v>
      </c>
      <c r="BB32" s="8">
        <f>SUMIFS(jt!$M:$M,jt!$B:$B,加弹汇总表!$B32,jt!$D:$D,加弹汇总表!$C32,jt!$F:$F,加弹汇总表!$F32,jt!$O:$O,加弹汇总表!$C$1&amp;"/"&amp;加弹汇总表!$D$1&amp;"/"&amp;加弹汇总表!BB$2)</f>
        <v>0</v>
      </c>
      <c r="BC32" s="8">
        <f>SUMIFS(jt!$M:$M,jt!$B:$B,加弹汇总表!$B32,jt!$D:$D,加弹汇总表!$C32,jt!$F:$F,加弹汇总表!$F32,jt!$O:$O,加弹汇总表!$C$1&amp;"/"&amp;加弹汇总表!$D$1&amp;"/"&amp;加弹汇总表!BC$2)</f>
        <v>0</v>
      </c>
      <c r="BD32" s="8">
        <f>SUMIFS(jt!$M:$M,jt!$B:$B,加弹汇总表!$B32,jt!$D:$D,加弹汇总表!$C32,jt!$F:$F,加弹汇总表!$F32,jt!$O:$O,加弹汇总表!$C$1&amp;"/"&amp;加弹汇总表!$D$1&amp;"/"&amp;加弹汇总表!BD$2)</f>
        <v>0</v>
      </c>
      <c r="BE32" s="8">
        <f>SUMIFS(jt!$M:$M,jt!$B:$B,加弹汇总表!$B32,jt!$D:$D,加弹汇总表!$C32,jt!$F:$F,加弹汇总表!$F32,jt!$O:$O,加弹汇总表!$C$1&amp;"/"&amp;加弹汇总表!$D$1&amp;"/"&amp;加弹汇总表!BE$2)</f>
        <v>0</v>
      </c>
      <c r="BF32" s="8">
        <f>SUMIFS(jt!$M:$M,jt!$B:$B,加弹汇总表!$B32,jt!$D:$D,加弹汇总表!$C32,jt!$F:$F,加弹汇总表!$F32,jt!$O:$O,加弹汇总表!$C$1&amp;"/"&amp;加弹汇总表!$D$1&amp;"/"&amp;加弹汇总表!BF$2)</f>
        <v>0</v>
      </c>
      <c r="BG32" s="8">
        <f>SUMIFS(jt!$M:$M,jt!$B:$B,加弹汇总表!$B32,jt!$D:$D,加弹汇总表!$C32,jt!$F:$F,加弹汇总表!$F32,jt!$O:$O,加弹汇总表!$C$1&amp;"/"&amp;加弹汇总表!$D$1&amp;"/"&amp;加弹汇总表!BG$2)</f>
        <v>0</v>
      </c>
      <c r="BH32" s="8">
        <f>SUMIFS(jt!$M:$M,jt!$B:$B,加弹汇总表!$B32,jt!$D:$D,加弹汇总表!$C32,jt!$F:$F,加弹汇总表!$F32,jt!$O:$O,加弹汇总表!$C$1&amp;"/"&amp;加弹汇总表!$D$1&amp;"/"&amp;加弹汇总表!BH$2)</f>
        <v>0</v>
      </c>
      <c r="BI32" s="8">
        <f>SUMIFS(jt!$M:$M,jt!$B:$B,加弹汇总表!$B32,jt!$D:$D,加弹汇总表!$C32,jt!$F:$F,加弹汇总表!$F32,jt!$O:$O,加弹汇总表!$C$1&amp;"/"&amp;加弹汇总表!$D$1&amp;"/"&amp;加弹汇总表!BI$2)</f>
        <v>0</v>
      </c>
      <c r="BJ32" s="8">
        <f>SUMIFS(jt!$M:$M,jt!$B:$B,加弹汇总表!$B32,jt!$D:$D,加弹汇总表!$C32,jt!$F:$F,加弹汇总表!$F32,jt!$O:$O,加弹汇总表!$C$1&amp;"/"&amp;加弹汇总表!$D$1&amp;"/"&amp;加弹汇总表!BJ$2)</f>
        <v>0</v>
      </c>
      <c r="BK32" s="8">
        <f>SUMIFS(jt!$M:$M,jt!$B:$B,加弹汇总表!$B32,jt!$D:$D,加弹汇总表!$C32,jt!$F:$F,加弹汇总表!$F32,jt!$O:$O,加弹汇总表!$C$1&amp;"/"&amp;加弹汇总表!$D$1&amp;"/"&amp;加弹汇总表!BK$2)</f>
        <v>0</v>
      </c>
      <c r="BL32" s="8">
        <f>SUMIFS(jt!$M:$M,jt!$B:$B,加弹汇总表!$B32,jt!$D:$D,加弹汇总表!$C32,jt!$F:$F,加弹汇总表!$F32,jt!$O:$O,加弹汇总表!$C$1&amp;"/"&amp;加弹汇总表!$D$1&amp;"/"&amp;加弹汇总表!BL$2)</f>
        <v>0</v>
      </c>
      <c r="BM32" s="8">
        <f>SUMIFS(jt!$M:$M,jt!$B:$B,加弹汇总表!$B32,jt!$D:$D,加弹汇总表!$C32,jt!$F:$F,加弹汇总表!$F32,jt!$O:$O,加弹汇总表!$C$1&amp;"/"&amp;加弹汇总表!$D$1&amp;"/"&amp;加弹汇总表!BM$2)</f>
        <v>0</v>
      </c>
      <c r="BN32" s="8">
        <f>SUMIFS(jt!$M:$M,jt!$B:$B,加弹汇总表!$B32,jt!$D:$D,加弹汇总表!$C32,jt!$F:$F,加弹汇总表!$F32,jt!$O:$O,加弹汇总表!$C$1&amp;"/"&amp;加弹汇总表!$D$1&amp;"/"&amp;加弹汇总表!BN$2)</f>
        <v>0</v>
      </c>
      <c r="BO32" s="8">
        <f>SUMIFS(jt!$M:$M,jt!$B:$B,加弹汇总表!$B32,jt!$D:$D,加弹汇总表!$C32,jt!$F:$F,加弹汇总表!$F32,jt!$O:$O,加弹汇总表!$C$1&amp;"/"&amp;加弹汇总表!$D$1&amp;"/"&amp;加弹汇总表!BO$2)</f>
        <v>0</v>
      </c>
      <c r="BP32" s="8">
        <f>SUMIFS(jt!$M:$M,jt!$B:$B,加弹汇总表!$B32,jt!$D:$D,加弹汇总表!$C32,jt!$F:$F,加弹汇总表!$F32,jt!$O:$O,加弹汇总表!$C$1&amp;"/"&amp;加弹汇总表!$D$1&amp;"/"&amp;加弹汇总表!BP$2)</f>
        <v>0</v>
      </c>
      <c r="BQ32" s="8">
        <f>SUMIFS(jt!$M:$M,jt!$B:$B,加弹汇总表!$B32,jt!$D:$D,加弹汇总表!$C32,jt!$F:$F,加弹汇总表!$F32,jt!$O:$O,加弹汇总表!$C$1&amp;"/"&amp;加弹汇总表!$D$1&amp;"/"&amp;加弹汇总表!BQ$2)</f>
        <v>0</v>
      </c>
      <c r="BR32" s="8">
        <f>SUMIFS(jt!$M:$M,jt!$B:$B,加弹汇总表!$B32,jt!$D:$D,加弹汇总表!$C32,jt!$F:$F,加弹汇总表!$F32,jt!$O:$O,加弹汇总表!$C$1&amp;"/"&amp;加弹汇总表!$D$1&amp;"/"&amp;加弹汇总表!BR$2)</f>
        <v>0</v>
      </c>
      <c r="BS32" s="8">
        <f>SUMIFS(jt!$M:$M,jt!$B:$B,加弹汇总表!$B32,jt!$D:$D,加弹汇总表!$C32,jt!$F:$F,加弹汇总表!$F32,jt!$O:$O,加弹汇总表!$C$1&amp;"/"&amp;加弹汇总表!$D$1&amp;"/"&amp;加弹汇总表!BS$2)</f>
        <v>0</v>
      </c>
    </row>
    <row r="33" spans="1:71" ht="18" customHeight="1">
      <c r="A33" s="250" t="str">
        <f t="shared" si="4"/>
        <v>S2121150D无温丝89/48白</v>
      </c>
      <c r="B33" s="14" t="s">
        <v>456</v>
      </c>
      <c r="C33" s="98" t="s">
        <v>871</v>
      </c>
      <c r="D33" s="53" t="s">
        <v>455</v>
      </c>
      <c r="E33" s="78"/>
      <c r="F33" s="53" t="s">
        <v>2</v>
      </c>
      <c r="G33" s="53" t="s">
        <v>158</v>
      </c>
      <c r="H33" s="53"/>
      <c r="I33" s="246">
        <f ca="1">IF(SUMIFS(jt!M:M,jt!A:A,加弹汇总表!A33,jt!O:O,加弹汇总表!$E$1)=0,0,SUM(AO33:BS33)/COUNTIF(AO33:BS33,"&lt;&gt;0"))</f>
        <v>0</v>
      </c>
      <c r="J33" s="53">
        <f t="shared" si="5"/>
        <v>0</v>
      </c>
      <c r="K33" s="53">
        <f t="shared" si="6"/>
        <v>0</v>
      </c>
      <c r="L33" s="53">
        <f t="shared" si="7"/>
        <v>0</v>
      </c>
      <c r="M33" s="53">
        <f t="shared" si="0"/>
        <v>0</v>
      </c>
      <c r="N33" s="53"/>
      <c r="O33" s="53">
        <f t="shared" si="1"/>
        <v>0</v>
      </c>
      <c r="P33" s="53">
        <f t="shared" si="2"/>
        <v>0</v>
      </c>
      <c r="Q33" s="53">
        <f t="shared" si="3"/>
        <v>0</v>
      </c>
      <c r="R33" s="60">
        <f>SUMIFS(jt!$K:$K,jt!$A:$A,加弹汇总表!$A33,jt!$R:$R,加弹汇总表!R$2)</f>
        <v>0</v>
      </c>
      <c r="S33" s="60">
        <f>SUMIFS(jt!$K:$K,jt!$A:$A,加弹汇总表!$A33,jt!$R:$R,加弹汇总表!S$2)</f>
        <v>0</v>
      </c>
      <c r="T33" s="60">
        <f>SUMIFS(jt!$K:$K,jt!$A:$A,加弹汇总表!$A33,jt!$R:$R,加弹汇总表!T$2)</f>
        <v>0</v>
      </c>
      <c r="U33" s="60">
        <f>SUMIFS(jt!$J:$J,jt!$A:$A,加弹汇总表!$A33,jt!$R:$R,加弹汇总表!U$2)</f>
        <v>0</v>
      </c>
      <c r="V33" s="60">
        <f>SUMIFS(jt!$J:$J,jt!$A:$A,加弹汇总表!$A33,jt!$R:$R,加弹汇总表!V$2)</f>
        <v>0</v>
      </c>
      <c r="W33" s="60">
        <f>SUMIFS(jt!$J:$J,jt!$A:$A,加弹汇总表!$A33,jt!$R:$R,加弹汇总表!W$2)</f>
        <v>0</v>
      </c>
      <c r="X33" s="61">
        <f>SUMIFS(jt!$L:$L,jt!$A:$A,加弹汇总表!$A33,jt!$R:$R,加弹汇总表!X$2)</f>
        <v>0</v>
      </c>
      <c r="Y33" s="61">
        <f>SUMIFS(jt!$L:$L,jt!$A:$A,加弹汇总表!$A33,jt!$R:$R,加弹汇总表!Y$2)</f>
        <v>0</v>
      </c>
      <c r="Z33" s="61">
        <f>SUMIFS(jt!$L:$L,jt!$A:$A,加弹汇总表!$A33,jt!$R:$R,加弹汇总表!Z$2)</f>
        <v>0</v>
      </c>
      <c r="AA33" s="62">
        <f>SUMIFS(jt!$M:$M,jt!$A:$A,加弹汇总表!$A33,jt!$R:$R,加弹汇总表!AA$2)</f>
        <v>0</v>
      </c>
      <c r="AB33" s="62">
        <f>SUMIFS(jt!$M:$M,jt!$A:$A,加弹汇总表!$A33,jt!$R:$R,加弹汇总表!AB$2)</f>
        <v>0</v>
      </c>
      <c r="AC33" s="62">
        <f>SUMIFS(jt!$M:$M,jt!$A:$A,加弹汇总表!$A33,jt!$R:$R,加弹汇总表!AC$2)</f>
        <v>0</v>
      </c>
      <c r="AD33" s="63">
        <f>SUMIFS(jt!$N:$N,jt!$A:$A,加弹汇总表!$A33,jt!$R:$R,加弹汇总表!AD$2)</f>
        <v>0</v>
      </c>
      <c r="AE33" s="63">
        <f>SUMIFS(jt!$N:$N,jt!$A:$A,加弹汇总表!$A33,jt!$R:$R,加弹汇总表!AE$2)</f>
        <v>0</v>
      </c>
      <c r="AF33" s="63">
        <f>SUMIFS(jt!$N:$N,jt!$A:$A,加弹汇总表!$A33,jt!$R:$R,加弹汇总表!AF$2)</f>
        <v>0</v>
      </c>
      <c r="AG33" s="64">
        <f>SUMIFS(jt!$M:$M,jt!$A:$A,加弹汇总表!$A33,jt!$C:$C,加弹汇总表!AG$2)</f>
        <v>0</v>
      </c>
      <c r="AH33" s="64">
        <f>SUMIFS(jt!$M:$M,jt!$A:$A,加弹汇总表!$A33,jt!$C:$C,加弹汇总表!AH$2)</f>
        <v>0</v>
      </c>
      <c r="AI33" s="64">
        <f>SUMIFS(jt!$M:$M,jt!$A:$A,加弹汇总表!$A33,jt!$C:$C,加弹汇总表!AI$2)</f>
        <v>0</v>
      </c>
      <c r="AJ33" s="64">
        <f>SUMIFS(jt!$M:$M,jt!$A:$A,加弹汇总表!$A33,jt!$C:$C,加弹汇总表!AJ$2)</f>
        <v>0</v>
      </c>
      <c r="AK33" s="64">
        <f>SUMIFS(jt!$M:$M,jt!$A:$A,加弹汇总表!$A33,jt!$C:$C,加弹汇总表!AK$2)</f>
        <v>0</v>
      </c>
      <c r="AL33" s="64">
        <f>SUMIFS(jt!$M:$M,jt!$A:$A,加弹汇总表!$A33,jt!$C:$C,加弹汇总表!AL$2)</f>
        <v>0</v>
      </c>
      <c r="AM33" s="64">
        <f>SUMIFS(jt!$M:$M,jt!$A:$A,加弹汇总表!$A33,jt!$C:$C,加弹汇总表!AM$2)</f>
        <v>0</v>
      </c>
      <c r="AN33" s="80">
        <f>SUMIFS(jt!$M:$M,jt!$A:$A,加弹汇总表!$A33,jt!$C:$C,加弹汇总表!AN$2)</f>
        <v>0</v>
      </c>
      <c r="AO33" s="8">
        <f>SUMIFS(jt!$M:$M,jt!$B:$B,加弹汇总表!$B33,jt!$D:$D,加弹汇总表!$C33,jt!$F:$F,加弹汇总表!$F33,jt!$O:$O,加弹汇总表!$C$1&amp;"/"&amp;加弹汇总表!$D$1&amp;"/"&amp;加弹汇总表!AO$2)</f>
        <v>0</v>
      </c>
      <c r="AP33" s="8">
        <f>SUMIFS(jt!$M:$M,jt!$B:$B,加弹汇总表!$B33,jt!$D:$D,加弹汇总表!$C33,jt!$F:$F,加弹汇总表!$F33,jt!$O:$O,加弹汇总表!$C$1&amp;"/"&amp;加弹汇总表!$D$1&amp;"/"&amp;加弹汇总表!AP$2)</f>
        <v>0</v>
      </c>
      <c r="AQ33" s="8">
        <f>SUMIFS(jt!$M:$M,jt!$B:$B,加弹汇总表!$B33,jt!$D:$D,加弹汇总表!$C33,jt!$F:$F,加弹汇总表!$F33,jt!$O:$O,加弹汇总表!$C$1&amp;"/"&amp;加弹汇总表!$D$1&amp;"/"&amp;加弹汇总表!AQ$2)</f>
        <v>0</v>
      </c>
      <c r="AR33" s="8">
        <f>SUMIFS(jt!$M:$M,jt!$B:$B,加弹汇总表!$B33,jt!$D:$D,加弹汇总表!$C33,jt!$F:$F,加弹汇总表!$F33,jt!$O:$O,加弹汇总表!$C$1&amp;"/"&amp;加弹汇总表!$D$1&amp;"/"&amp;加弹汇总表!AR$2)</f>
        <v>0</v>
      </c>
      <c r="AS33" s="8">
        <f>SUMIFS(jt!$M:$M,jt!$B:$B,加弹汇总表!$B33,jt!$D:$D,加弹汇总表!$C33,jt!$F:$F,加弹汇总表!$F33,jt!$O:$O,加弹汇总表!$C$1&amp;"/"&amp;加弹汇总表!$D$1&amp;"/"&amp;加弹汇总表!AS$2)</f>
        <v>0</v>
      </c>
      <c r="AT33" s="8">
        <f>SUMIFS(jt!$M:$M,jt!$B:$B,加弹汇总表!$B33,jt!$D:$D,加弹汇总表!$C33,jt!$F:$F,加弹汇总表!$F33,jt!$O:$O,加弹汇总表!$C$1&amp;"/"&amp;加弹汇总表!$D$1&amp;"/"&amp;加弹汇总表!AT$2)</f>
        <v>0</v>
      </c>
      <c r="AU33" s="8">
        <f>SUMIFS(jt!$M:$M,jt!$B:$B,加弹汇总表!$B33,jt!$D:$D,加弹汇总表!$C33,jt!$F:$F,加弹汇总表!$F33,jt!$O:$O,加弹汇总表!$C$1&amp;"/"&amp;加弹汇总表!$D$1&amp;"/"&amp;加弹汇总表!AU$2)</f>
        <v>0</v>
      </c>
      <c r="AV33" s="8">
        <f>SUMIFS(jt!$M:$M,jt!$B:$B,加弹汇总表!$B33,jt!$D:$D,加弹汇总表!$C33,jt!$F:$F,加弹汇总表!$F33,jt!$O:$O,加弹汇总表!$C$1&amp;"/"&amp;加弹汇总表!$D$1&amp;"/"&amp;加弹汇总表!AV$2)</f>
        <v>0</v>
      </c>
      <c r="AW33" s="8">
        <f>SUMIFS(jt!$M:$M,jt!$B:$B,加弹汇总表!$B33,jt!$D:$D,加弹汇总表!$C33,jt!$F:$F,加弹汇总表!$F33,jt!$O:$O,加弹汇总表!$C$1&amp;"/"&amp;加弹汇总表!$D$1&amp;"/"&amp;加弹汇总表!AW$2)</f>
        <v>0</v>
      </c>
      <c r="AX33" s="8">
        <f>SUMIFS(jt!$M:$M,jt!$B:$B,加弹汇总表!$B33,jt!$D:$D,加弹汇总表!$C33,jt!$F:$F,加弹汇总表!$F33,jt!$O:$O,加弹汇总表!$C$1&amp;"/"&amp;加弹汇总表!$D$1&amp;"/"&amp;加弹汇总表!AX$2)</f>
        <v>0</v>
      </c>
      <c r="AY33" s="8">
        <f>SUMIFS(jt!$M:$M,jt!$B:$B,加弹汇总表!$B33,jt!$D:$D,加弹汇总表!$C33,jt!$F:$F,加弹汇总表!$F33,jt!$O:$O,加弹汇总表!$C$1&amp;"/"&amp;加弹汇总表!$D$1&amp;"/"&amp;加弹汇总表!AY$2)</f>
        <v>0</v>
      </c>
      <c r="AZ33" s="8">
        <f>SUMIFS(jt!$M:$M,jt!$B:$B,加弹汇总表!$B33,jt!$D:$D,加弹汇总表!$C33,jt!$F:$F,加弹汇总表!$F33,jt!$O:$O,加弹汇总表!$C$1&amp;"/"&amp;加弹汇总表!$D$1&amp;"/"&amp;加弹汇总表!AZ$2)</f>
        <v>0</v>
      </c>
      <c r="BA33" s="8">
        <f>SUMIFS(jt!$M:$M,jt!$B:$B,加弹汇总表!$B33,jt!$D:$D,加弹汇总表!$C33,jt!$F:$F,加弹汇总表!$F33,jt!$O:$O,加弹汇总表!$C$1&amp;"/"&amp;加弹汇总表!$D$1&amp;"/"&amp;加弹汇总表!BA$2)</f>
        <v>0</v>
      </c>
      <c r="BB33" s="8">
        <f>SUMIFS(jt!$M:$M,jt!$B:$B,加弹汇总表!$B33,jt!$D:$D,加弹汇总表!$C33,jt!$F:$F,加弹汇总表!$F33,jt!$O:$O,加弹汇总表!$C$1&amp;"/"&amp;加弹汇总表!$D$1&amp;"/"&amp;加弹汇总表!BB$2)</f>
        <v>0</v>
      </c>
      <c r="BC33" s="8">
        <f>SUMIFS(jt!$M:$M,jt!$B:$B,加弹汇总表!$B33,jt!$D:$D,加弹汇总表!$C33,jt!$F:$F,加弹汇总表!$F33,jt!$O:$O,加弹汇总表!$C$1&amp;"/"&amp;加弹汇总表!$D$1&amp;"/"&amp;加弹汇总表!BC$2)</f>
        <v>0</v>
      </c>
      <c r="BD33" s="8">
        <f>SUMIFS(jt!$M:$M,jt!$B:$B,加弹汇总表!$B33,jt!$D:$D,加弹汇总表!$C33,jt!$F:$F,加弹汇总表!$F33,jt!$O:$O,加弹汇总表!$C$1&amp;"/"&amp;加弹汇总表!$D$1&amp;"/"&amp;加弹汇总表!BD$2)</f>
        <v>0</v>
      </c>
      <c r="BE33" s="8">
        <f>SUMIFS(jt!$M:$M,jt!$B:$B,加弹汇总表!$B33,jt!$D:$D,加弹汇总表!$C33,jt!$F:$F,加弹汇总表!$F33,jt!$O:$O,加弹汇总表!$C$1&amp;"/"&amp;加弹汇总表!$D$1&amp;"/"&amp;加弹汇总表!BE$2)</f>
        <v>0</v>
      </c>
      <c r="BF33" s="8">
        <f>SUMIFS(jt!$M:$M,jt!$B:$B,加弹汇总表!$B33,jt!$D:$D,加弹汇总表!$C33,jt!$F:$F,加弹汇总表!$F33,jt!$O:$O,加弹汇总表!$C$1&amp;"/"&amp;加弹汇总表!$D$1&amp;"/"&amp;加弹汇总表!BF$2)</f>
        <v>0</v>
      </c>
      <c r="BG33" s="8">
        <f>SUMIFS(jt!$M:$M,jt!$B:$B,加弹汇总表!$B33,jt!$D:$D,加弹汇总表!$C33,jt!$F:$F,加弹汇总表!$F33,jt!$O:$O,加弹汇总表!$C$1&amp;"/"&amp;加弹汇总表!$D$1&amp;"/"&amp;加弹汇总表!BG$2)</f>
        <v>0</v>
      </c>
      <c r="BH33" s="8">
        <f>SUMIFS(jt!$M:$M,jt!$B:$B,加弹汇总表!$B33,jt!$D:$D,加弹汇总表!$C33,jt!$F:$F,加弹汇总表!$F33,jt!$O:$O,加弹汇总表!$C$1&amp;"/"&amp;加弹汇总表!$D$1&amp;"/"&amp;加弹汇总表!BH$2)</f>
        <v>0</v>
      </c>
      <c r="BI33" s="8">
        <f>SUMIFS(jt!$M:$M,jt!$B:$B,加弹汇总表!$B33,jt!$D:$D,加弹汇总表!$C33,jt!$F:$F,加弹汇总表!$F33,jt!$O:$O,加弹汇总表!$C$1&amp;"/"&amp;加弹汇总表!$D$1&amp;"/"&amp;加弹汇总表!BI$2)</f>
        <v>0</v>
      </c>
      <c r="BJ33" s="8">
        <f>SUMIFS(jt!$M:$M,jt!$B:$B,加弹汇总表!$B33,jt!$D:$D,加弹汇总表!$C33,jt!$F:$F,加弹汇总表!$F33,jt!$O:$O,加弹汇总表!$C$1&amp;"/"&amp;加弹汇总表!$D$1&amp;"/"&amp;加弹汇总表!BJ$2)</f>
        <v>0</v>
      </c>
      <c r="BK33" s="8">
        <f>SUMIFS(jt!$M:$M,jt!$B:$B,加弹汇总表!$B33,jt!$D:$D,加弹汇总表!$C33,jt!$F:$F,加弹汇总表!$F33,jt!$O:$O,加弹汇总表!$C$1&amp;"/"&amp;加弹汇总表!$D$1&amp;"/"&amp;加弹汇总表!BK$2)</f>
        <v>0</v>
      </c>
      <c r="BL33" s="8">
        <f>SUMIFS(jt!$M:$M,jt!$B:$B,加弹汇总表!$B33,jt!$D:$D,加弹汇总表!$C33,jt!$F:$F,加弹汇总表!$F33,jt!$O:$O,加弹汇总表!$C$1&amp;"/"&amp;加弹汇总表!$D$1&amp;"/"&amp;加弹汇总表!BL$2)</f>
        <v>0</v>
      </c>
      <c r="BM33" s="8">
        <f>SUMIFS(jt!$M:$M,jt!$B:$B,加弹汇总表!$B33,jt!$D:$D,加弹汇总表!$C33,jt!$F:$F,加弹汇总表!$F33,jt!$O:$O,加弹汇总表!$C$1&amp;"/"&amp;加弹汇总表!$D$1&amp;"/"&amp;加弹汇总表!BM$2)</f>
        <v>0</v>
      </c>
      <c r="BN33" s="8">
        <f>SUMIFS(jt!$M:$M,jt!$B:$B,加弹汇总表!$B33,jt!$D:$D,加弹汇总表!$C33,jt!$F:$F,加弹汇总表!$F33,jt!$O:$O,加弹汇总表!$C$1&amp;"/"&amp;加弹汇总表!$D$1&amp;"/"&amp;加弹汇总表!BN$2)</f>
        <v>0</v>
      </c>
      <c r="BO33" s="8">
        <f>SUMIFS(jt!$M:$M,jt!$B:$B,加弹汇总表!$B33,jt!$D:$D,加弹汇总表!$C33,jt!$F:$F,加弹汇总表!$F33,jt!$O:$O,加弹汇总表!$C$1&amp;"/"&amp;加弹汇总表!$D$1&amp;"/"&amp;加弹汇总表!BO$2)</f>
        <v>0</v>
      </c>
      <c r="BP33" s="8">
        <f>SUMIFS(jt!$M:$M,jt!$B:$B,加弹汇总表!$B33,jt!$D:$D,加弹汇总表!$C33,jt!$F:$F,加弹汇总表!$F33,jt!$O:$O,加弹汇总表!$C$1&amp;"/"&amp;加弹汇总表!$D$1&amp;"/"&amp;加弹汇总表!BP$2)</f>
        <v>0</v>
      </c>
      <c r="BQ33" s="8">
        <f>SUMIFS(jt!$M:$M,jt!$B:$B,加弹汇总表!$B33,jt!$D:$D,加弹汇总表!$C33,jt!$F:$F,加弹汇总表!$F33,jt!$O:$O,加弹汇总表!$C$1&amp;"/"&amp;加弹汇总表!$D$1&amp;"/"&amp;加弹汇总表!BQ$2)</f>
        <v>0</v>
      </c>
      <c r="BR33" s="8">
        <f>SUMIFS(jt!$M:$M,jt!$B:$B,加弹汇总表!$B33,jt!$D:$D,加弹汇总表!$C33,jt!$F:$F,加弹汇总表!$F33,jt!$O:$O,加弹汇总表!$C$1&amp;"/"&amp;加弹汇总表!$D$1&amp;"/"&amp;加弹汇总表!BR$2)</f>
        <v>0</v>
      </c>
      <c r="BS33" s="8">
        <f>SUMIFS(jt!$M:$M,jt!$B:$B,加弹汇总表!$B33,jt!$D:$D,加弹汇总表!$C33,jt!$F:$F,加弹汇总表!$F33,jt!$O:$O,加弹汇总表!$C$1&amp;"/"&amp;加弹汇总表!$D$1&amp;"/"&amp;加弹汇总表!BS$2)</f>
        <v>0</v>
      </c>
    </row>
    <row r="34" spans="1:71" ht="18" customHeight="1">
      <c r="A34" s="250" t="str">
        <f t="shared" si="4"/>
        <v>3211575D 135度低温丝130/48白</v>
      </c>
      <c r="B34" s="14">
        <v>32115</v>
      </c>
      <c r="C34" s="98" t="s">
        <v>856</v>
      </c>
      <c r="D34" s="53" t="s">
        <v>381</v>
      </c>
      <c r="E34" s="78"/>
      <c r="F34" s="53" t="s">
        <v>2</v>
      </c>
      <c r="G34" s="53" t="s">
        <v>146</v>
      </c>
      <c r="H34" s="53"/>
      <c r="I34" s="246">
        <f ca="1">IF(SUMIFS(jt!M:M,jt!A:A,加弹汇总表!A34,jt!O:O,加弹汇总表!$E$1)=0,0,SUM(AO34:BS34)/COUNTIF(AO34:BS34,"&lt;&gt;0"))</f>
        <v>0</v>
      </c>
      <c r="J34" s="53">
        <f t="shared" si="5"/>
        <v>0</v>
      </c>
      <c r="K34" s="53">
        <f t="shared" si="6"/>
        <v>0</v>
      </c>
      <c r="L34" s="53">
        <f t="shared" si="7"/>
        <v>0</v>
      </c>
      <c r="M34" s="53">
        <f t="shared" si="0"/>
        <v>0</v>
      </c>
      <c r="N34" s="53"/>
      <c r="O34" s="53">
        <f t="shared" si="1"/>
        <v>0</v>
      </c>
      <c r="P34" s="53">
        <f t="shared" si="2"/>
        <v>0</v>
      </c>
      <c r="Q34" s="53">
        <f t="shared" si="3"/>
        <v>0</v>
      </c>
      <c r="R34" s="60">
        <f>SUMIFS(jt!$K:$K,jt!$A:$A,加弹汇总表!$A34,jt!$R:$R,加弹汇总表!R$2)</f>
        <v>0</v>
      </c>
      <c r="S34" s="60">
        <f>SUMIFS(jt!$K:$K,jt!$A:$A,加弹汇总表!$A34,jt!$R:$R,加弹汇总表!S$2)</f>
        <v>0</v>
      </c>
      <c r="T34" s="60">
        <f>SUMIFS(jt!$K:$K,jt!$A:$A,加弹汇总表!$A34,jt!$R:$R,加弹汇总表!T$2)</f>
        <v>0</v>
      </c>
      <c r="U34" s="60">
        <f>SUMIFS(jt!$J:$J,jt!$A:$A,加弹汇总表!$A34,jt!$R:$R,加弹汇总表!U$2)</f>
        <v>0</v>
      </c>
      <c r="V34" s="60">
        <f>SUMIFS(jt!$J:$J,jt!$A:$A,加弹汇总表!$A34,jt!$R:$R,加弹汇总表!V$2)</f>
        <v>0</v>
      </c>
      <c r="W34" s="60">
        <f>SUMIFS(jt!$J:$J,jt!$A:$A,加弹汇总表!$A34,jt!$R:$R,加弹汇总表!W$2)</f>
        <v>0</v>
      </c>
      <c r="X34" s="61">
        <f>SUMIFS(jt!$L:$L,jt!$A:$A,加弹汇总表!$A34,jt!$R:$R,加弹汇总表!X$2)</f>
        <v>0</v>
      </c>
      <c r="Y34" s="61">
        <f>SUMIFS(jt!$L:$L,jt!$A:$A,加弹汇总表!$A34,jt!$R:$R,加弹汇总表!Y$2)</f>
        <v>0</v>
      </c>
      <c r="Z34" s="61">
        <f>SUMIFS(jt!$L:$L,jt!$A:$A,加弹汇总表!$A34,jt!$R:$R,加弹汇总表!Z$2)</f>
        <v>0</v>
      </c>
      <c r="AA34" s="62">
        <f>SUMIFS(jt!$M:$M,jt!$A:$A,加弹汇总表!$A34,jt!$R:$R,加弹汇总表!AA$2)</f>
        <v>0</v>
      </c>
      <c r="AB34" s="62">
        <f>SUMIFS(jt!$M:$M,jt!$A:$A,加弹汇总表!$A34,jt!$R:$R,加弹汇总表!AB$2)</f>
        <v>0</v>
      </c>
      <c r="AC34" s="62">
        <f>SUMIFS(jt!$M:$M,jt!$A:$A,加弹汇总表!$A34,jt!$R:$R,加弹汇总表!AC$2)</f>
        <v>0</v>
      </c>
      <c r="AD34" s="63">
        <f>SUMIFS(jt!$N:$N,jt!$A:$A,加弹汇总表!$A34,jt!$R:$R,加弹汇总表!AD$2)</f>
        <v>0</v>
      </c>
      <c r="AE34" s="63">
        <f>SUMIFS(jt!$N:$N,jt!$A:$A,加弹汇总表!$A34,jt!$R:$R,加弹汇总表!AE$2)</f>
        <v>0</v>
      </c>
      <c r="AF34" s="63">
        <f>SUMIFS(jt!$N:$N,jt!$A:$A,加弹汇总表!$A34,jt!$R:$R,加弹汇总表!AF$2)</f>
        <v>0</v>
      </c>
      <c r="AG34" s="64">
        <f>SUMIFS(jt!$M:$M,jt!$A:$A,加弹汇总表!$A34,jt!$C:$C,加弹汇总表!AG$2)</f>
        <v>0</v>
      </c>
      <c r="AH34" s="64">
        <f>SUMIFS(jt!$M:$M,jt!$A:$A,加弹汇总表!$A34,jt!$C:$C,加弹汇总表!AH$2)</f>
        <v>0</v>
      </c>
      <c r="AI34" s="64">
        <f>SUMIFS(jt!$M:$M,jt!$A:$A,加弹汇总表!$A34,jt!$C:$C,加弹汇总表!AI$2)</f>
        <v>0</v>
      </c>
      <c r="AJ34" s="64">
        <f>SUMIFS(jt!$M:$M,jt!$A:$A,加弹汇总表!$A34,jt!$C:$C,加弹汇总表!AJ$2)</f>
        <v>0</v>
      </c>
      <c r="AK34" s="64">
        <f>SUMIFS(jt!$M:$M,jt!$A:$A,加弹汇总表!$A34,jt!$C:$C,加弹汇总表!AK$2)</f>
        <v>0</v>
      </c>
      <c r="AL34" s="64">
        <f>SUMIFS(jt!$M:$M,jt!$A:$A,加弹汇总表!$A34,jt!$C:$C,加弹汇总表!AL$2)</f>
        <v>0</v>
      </c>
      <c r="AM34" s="64">
        <f>SUMIFS(jt!$M:$M,jt!$A:$A,加弹汇总表!$A34,jt!$C:$C,加弹汇总表!AM$2)</f>
        <v>0</v>
      </c>
      <c r="AN34" s="80">
        <f>SUMIFS(jt!$M:$M,jt!$A:$A,加弹汇总表!$A34,jt!$C:$C,加弹汇总表!AN$2)</f>
        <v>0</v>
      </c>
      <c r="AO34" s="8">
        <f>SUMIFS(jt!$M:$M,jt!$B:$B,加弹汇总表!$B34,jt!$D:$D,加弹汇总表!$C34,jt!$F:$F,加弹汇总表!$F34,jt!$O:$O,加弹汇总表!$C$1&amp;"/"&amp;加弹汇总表!$D$1&amp;"/"&amp;加弹汇总表!AO$2)</f>
        <v>0</v>
      </c>
      <c r="AP34" s="8">
        <f>SUMIFS(jt!$M:$M,jt!$B:$B,加弹汇总表!$B34,jt!$D:$D,加弹汇总表!$C34,jt!$F:$F,加弹汇总表!$F34,jt!$O:$O,加弹汇总表!$C$1&amp;"/"&amp;加弹汇总表!$D$1&amp;"/"&amp;加弹汇总表!AP$2)</f>
        <v>0</v>
      </c>
      <c r="AQ34" s="8">
        <f>SUMIFS(jt!$M:$M,jt!$B:$B,加弹汇总表!$B34,jt!$D:$D,加弹汇总表!$C34,jt!$F:$F,加弹汇总表!$F34,jt!$O:$O,加弹汇总表!$C$1&amp;"/"&amp;加弹汇总表!$D$1&amp;"/"&amp;加弹汇总表!AQ$2)</f>
        <v>0</v>
      </c>
      <c r="AR34" s="8">
        <f>SUMIFS(jt!$M:$M,jt!$B:$B,加弹汇总表!$B34,jt!$D:$D,加弹汇总表!$C34,jt!$F:$F,加弹汇总表!$F34,jt!$O:$O,加弹汇总表!$C$1&amp;"/"&amp;加弹汇总表!$D$1&amp;"/"&amp;加弹汇总表!AR$2)</f>
        <v>0</v>
      </c>
      <c r="AS34" s="8">
        <f>SUMIFS(jt!$M:$M,jt!$B:$B,加弹汇总表!$B34,jt!$D:$D,加弹汇总表!$C34,jt!$F:$F,加弹汇总表!$F34,jt!$O:$O,加弹汇总表!$C$1&amp;"/"&amp;加弹汇总表!$D$1&amp;"/"&amp;加弹汇总表!AS$2)</f>
        <v>0</v>
      </c>
      <c r="AT34" s="8">
        <f>SUMIFS(jt!$M:$M,jt!$B:$B,加弹汇总表!$B34,jt!$D:$D,加弹汇总表!$C34,jt!$F:$F,加弹汇总表!$F34,jt!$O:$O,加弹汇总表!$C$1&amp;"/"&amp;加弹汇总表!$D$1&amp;"/"&amp;加弹汇总表!AT$2)</f>
        <v>0</v>
      </c>
      <c r="AU34" s="8">
        <f>SUMIFS(jt!$M:$M,jt!$B:$B,加弹汇总表!$B34,jt!$D:$D,加弹汇总表!$C34,jt!$F:$F,加弹汇总表!$F34,jt!$O:$O,加弹汇总表!$C$1&amp;"/"&amp;加弹汇总表!$D$1&amp;"/"&amp;加弹汇总表!AU$2)</f>
        <v>0</v>
      </c>
      <c r="AV34" s="8">
        <f>SUMIFS(jt!$M:$M,jt!$B:$B,加弹汇总表!$B34,jt!$D:$D,加弹汇总表!$C34,jt!$F:$F,加弹汇总表!$F34,jt!$O:$O,加弹汇总表!$C$1&amp;"/"&amp;加弹汇总表!$D$1&amp;"/"&amp;加弹汇总表!AV$2)</f>
        <v>0</v>
      </c>
      <c r="AW34" s="8">
        <f>SUMIFS(jt!$M:$M,jt!$B:$B,加弹汇总表!$B34,jt!$D:$D,加弹汇总表!$C34,jt!$F:$F,加弹汇总表!$F34,jt!$O:$O,加弹汇总表!$C$1&amp;"/"&amp;加弹汇总表!$D$1&amp;"/"&amp;加弹汇总表!AW$2)</f>
        <v>0</v>
      </c>
      <c r="AX34" s="8">
        <f>SUMIFS(jt!$M:$M,jt!$B:$B,加弹汇总表!$B34,jt!$D:$D,加弹汇总表!$C34,jt!$F:$F,加弹汇总表!$F34,jt!$O:$O,加弹汇总表!$C$1&amp;"/"&amp;加弹汇总表!$D$1&amp;"/"&amp;加弹汇总表!AX$2)</f>
        <v>0</v>
      </c>
      <c r="AY34" s="8">
        <f>SUMIFS(jt!$M:$M,jt!$B:$B,加弹汇总表!$B34,jt!$D:$D,加弹汇总表!$C34,jt!$F:$F,加弹汇总表!$F34,jt!$O:$O,加弹汇总表!$C$1&amp;"/"&amp;加弹汇总表!$D$1&amp;"/"&amp;加弹汇总表!AY$2)</f>
        <v>0</v>
      </c>
      <c r="AZ34" s="8">
        <f>SUMIFS(jt!$M:$M,jt!$B:$B,加弹汇总表!$B34,jt!$D:$D,加弹汇总表!$C34,jt!$F:$F,加弹汇总表!$F34,jt!$O:$O,加弹汇总表!$C$1&amp;"/"&amp;加弹汇总表!$D$1&amp;"/"&amp;加弹汇总表!AZ$2)</f>
        <v>0</v>
      </c>
      <c r="BA34" s="8">
        <f>SUMIFS(jt!$M:$M,jt!$B:$B,加弹汇总表!$B34,jt!$D:$D,加弹汇总表!$C34,jt!$F:$F,加弹汇总表!$F34,jt!$O:$O,加弹汇总表!$C$1&amp;"/"&amp;加弹汇总表!$D$1&amp;"/"&amp;加弹汇总表!BA$2)</f>
        <v>0</v>
      </c>
      <c r="BB34" s="8">
        <f>SUMIFS(jt!$M:$M,jt!$B:$B,加弹汇总表!$B34,jt!$D:$D,加弹汇总表!$C34,jt!$F:$F,加弹汇总表!$F34,jt!$O:$O,加弹汇总表!$C$1&amp;"/"&amp;加弹汇总表!$D$1&amp;"/"&amp;加弹汇总表!BB$2)</f>
        <v>0</v>
      </c>
      <c r="BC34" s="8">
        <f>SUMIFS(jt!$M:$M,jt!$B:$B,加弹汇总表!$B34,jt!$D:$D,加弹汇总表!$C34,jt!$F:$F,加弹汇总表!$F34,jt!$O:$O,加弹汇总表!$C$1&amp;"/"&amp;加弹汇总表!$D$1&amp;"/"&amp;加弹汇总表!BC$2)</f>
        <v>0</v>
      </c>
      <c r="BD34" s="8">
        <f>SUMIFS(jt!$M:$M,jt!$B:$B,加弹汇总表!$B34,jt!$D:$D,加弹汇总表!$C34,jt!$F:$F,加弹汇总表!$F34,jt!$O:$O,加弹汇总表!$C$1&amp;"/"&amp;加弹汇总表!$D$1&amp;"/"&amp;加弹汇总表!BD$2)</f>
        <v>0</v>
      </c>
      <c r="BE34" s="8">
        <f>SUMIFS(jt!$M:$M,jt!$B:$B,加弹汇总表!$B34,jt!$D:$D,加弹汇总表!$C34,jt!$F:$F,加弹汇总表!$F34,jt!$O:$O,加弹汇总表!$C$1&amp;"/"&amp;加弹汇总表!$D$1&amp;"/"&amp;加弹汇总表!BE$2)</f>
        <v>0</v>
      </c>
      <c r="BF34" s="8">
        <f>SUMIFS(jt!$M:$M,jt!$B:$B,加弹汇总表!$B34,jt!$D:$D,加弹汇总表!$C34,jt!$F:$F,加弹汇总表!$F34,jt!$O:$O,加弹汇总表!$C$1&amp;"/"&amp;加弹汇总表!$D$1&amp;"/"&amp;加弹汇总表!BF$2)</f>
        <v>0</v>
      </c>
      <c r="BG34" s="8">
        <f>SUMIFS(jt!$M:$M,jt!$B:$B,加弹汇总表!$B34,jt!$D:$D,加弹汇总表!$C34,jt!$F:$F,加弹汇总表!$F34,jt!$O:$O,加弹汇总表!$C$1&amp;"/"&amp;加弹汇总表!$D$1&amp;"/"&amp;加弹汇总表!BG$2)</f>
        <v>0</v>
      </c>
      <c r="BH34" s="8">
        <f>SUMIFS(jt!$M:$M,jt!$B:$B,加弹汇总表!$B34,jt!$D:$D,加弹汇总表!$C34,jt!$F:$F,加弹汇总表!$F34,jt!$O:$O,加弹汇总表!$C$1&amp;"/"&amp;加弹汇总表!$D$1&amp;"/"&amp;加弹汇总表!BH$2)</f>
        <v>0</v>
      </c>
      <c r="BI34" s="8">
        <f>SUMIFS(jt!$M:$M,jt!$B:$B,加弹汇总表!$B34,jt!$D:$D,加弹汇总表!$C34,jt!$F:$F,加弹汇总表!$F34,jt!$O:$O,加弹汇总表!$C$1&amp;"/"&amp;加弹汇总表!$D$1&amp;"/"&amp;加弹汇总表!BI$2)</f>
        <v>0</v>
      </c>
      <c r="BJ34" s="8">
        <f>SUMIFS(jt!$M:$M,jt!$B:$B,加弹汇总表!$B34,jt!$D:$D,加弹汇总表!$C34,jt!$F:$F,加弹汇总表!$F34,jt!$O:$O,加弹汇总表!$C$1&amp;"/"&amp;加弹汇总表!$D$1&amp;"/"&amp;加弹汇总表!BJ$2)</f>
        <v>0</v>
      </c>
      <c r="BK34" s="8">
        <f>SUMIFS(jt!$M:$M,jt!$B:$B,加弹汇总表!$B34,jt!$D:$D,加弹汇总表!$C34,jt!$F:$F,加弹汇总表!$F34,jt!$O:$O,加弹汇总表!$C$1&amp;"/"&amp;加弹汇总表!$D$1&amp;"/"&amp;加弹汇总表!BK$2)</f>
        <v>0</v>
      </c>
      <c r="BL34" s="8">
        <f>SUMIFS(jt!$M:$M,jt!$B:$B,加弹汇总表!$B34,jt!$D:$D,加弹汇总表!$C34,jt!$F:$F,加弹汇总表!$F34,jt!$O:$O,加弹汇总表!$C$1&amp;"/"&amp;加弹汇总表!$D$1&amp;"/"&amp;加弹汇总表!BL$2)</f>
        <v>0</v>
      </c>
      <c r="BM34" s="8">
        <f>SUMIFS(jt!$M:$M,jt!$B:$B,加弹汇总表!$B34,jt!$D:$D,加弹汇总表!$C34,jt!$F:$F,加弹汇总表!$F34,jt!$O:$O,加弹汇总表!$C$1&amp;"/"&amp;加弹汇总表!$D$1&amp;"/"&amp;加弹汇总表!BM$2)</f>
        <v>0</v>
      </c>
      <c r="BN34" s="8">
        <f>SUMIFS(jt!$M:$M,jt!$B:$B,加弹汇总表!$B34,jt!$D:$D,加弹汇总表!$C34,jt!$F:$F,加弹汇总表!$F34,jt!$O:$O,加弹汇总表!$C$1&amp;"/"&amp;加弹汇总表!$D$1&amp;"/"&amp;加弹汇总表!BN$2)</f>
        <v>0</v>
      </c>
      <c r="BO34" s="8">
        <f>SUMIFS(jt!$M:$M,jt!$B:$B,加弹汇总表!$B34,jt!$D:$D,加弹汇总表!$C34,jt!$F:$F,加弹汇总表!$F34,jt!$O:$O,加弹汇总表!$C$1&amp;"/"&amp;加弹汇总表!$D$1&amp;"/"&amp;加弹汇总表!BO$2)</f>
        <v>0</v>
      </c>
      <c r="BP34" s="8">
        <f>SUMIFS(jt!$M:$M,jt!$B:$B,加弹汇总表!$B34,jt!$D:$D,加弹汇总表!$C34,jt!$F:$F,加弹汇总表!$F34,jt!$O:$O,加弹汇总表!$C$1&amp;"/"&amp;加弹汇总表!$D$1&amp;"/"&amp;加弹汇总表!BP$2)</f>
        <v>0</v>
      </c>
      <c r="BQ34" s="8">
        <f>SUMIFS(jt!$M:$M,jt!$B:$B,加弹汇总表!$B34,jt!$D:$D,加弹汇总表!$C34,jt!$F:$F,加弹汇总表!$F34,jt!$O:$O,加弹汇总表!$C$1&amp;"/"&amp;加弹汇总表!$D$1&amp;"/"&amp;加弹汇总表!BQ$2)</f>
        <v>0</v>
      </c>
      <c r="BR34" s="8">
        <f>SUMIFS(jt!$M:$M,jt!$B:$B,加弹汇总表!$B34,jt!$D:$D,加弹汇总表!$C34,jt!$F:$F,加弹汇总表!$F34,jt!$O:$O,加弹汇总表!$C$1&amp;"/"&amp;加弹汇总表!$D$1&amp;"/"&amp;加弹汇总表!BR$2)</f>
        <v>0</v>
      </c>
      <c r="BS34" s="8">
        <f>SUMIFS(jt!$M:$M,jt!$B:$B,加弹汇总表!$B34,jt!$D:$D,加弹汇总表!$C34,jt!$F:$F,加弹汇总表!$F34,jt!$O:$O,加弹汇总表!$C$1&amp;"/"&amp;加弹汇总表!$D$1&amp;"/"&amp;加弹汇总表!BS$2)</f>
        <v>0</v>
      </c>
    </row>
    <row r="35" spans="1:71" ht="18" customHeight="1">
      <c r="A35" s="250" t="str">
        <f t="shared" si="4"/>
        <v>3211575D130/48白</v>
      </c>
      <c r="B35" s="14">
        <v>32115</v>
      </c>
      <c r="C35" s="98" t="s">
        <v>860</v>
      </c>
      <c r="D35" s="53" t="s">
        <v>381</v>
      </c>
      <c r="E35" s="78"/>
      <c r="F35" s="53" t="s">
        <v>2</v>
      </c>
      <c r="G35" s="53" t="s">
        <v>146</v>
      </c>
      <c r="H35" s="53"/>
      <c r="I35" s="246">
        <f ca="1">IF(SUMIFS(jt!M:M,jt!A:A,加弹汇总表!A35,jt!O:O,加弹汇总表!$E$1)=0,0,SUM(AO35:BS35)/COUNTIF(AO35:BS35,"&lt;&gt;0"))</f>
        <v>0</v>
      </c>
      <c r="J35" s="53">
        <f t="shared" si="5"/>
        <v>0</v>
      </c>
      <c r="K35" s="53">
        <f t="shared" si="6"/>
        <v>0</v>
      </c>
      <c r="L35" s="53">
        <f t="shared" si="7"/>
        <v>0</v>
      </c>
      <c r="M35" s="53">
        <f t="shared" si="0"/>
        <v>0</v>
      </c>
      <c r="N35" s="53"/>
      <c r="O35" s="53">
        <f t="shared" si="1"/>
        <v>0</v>
      </c>
      <c r="P35" s="53">
        <f t="shared" si="2"/>
        <v>0</v>
      </c>
      <c r="Q35" s="53">
        <f t="shared" si="3"/>
        <v>0</v>
      </c>
      <c r="R35" s="60">
        <f>SUMIFS(jt!$K:$K,jt!$A:$A,加弹汇总表!$A35,jt!$R:$R,加弹汇总表!R$2)</f>
        <v>0</v>
      </c>
      <c r="S35" s="60">
        <f>SUMIFS(jt!$K:$K,jt!$A:$A,加弹汇总表!$A35,jt!$R:$R,加弹汇总表!S$2)</f>
        <v>0</v>
      </c>
      <c r="T35" s="60">
        <f>SUMIFS(jt!$K:$K,jt!$A:$A,加弹汇总表!$A35,jt!$R:$R,加弹汇总表!T$2)</f>
        <v>0</v>
      </c>
      <c r="U35" s="60">
        <f>SUMIFS(jt!$J:$J,jt!$A:$A,加弹汇总表!$A35,jt!$R:$R,加弹汇总表!U$2)</f>
        <v>0</v>
      </c>
      <c r="V35" s="60">
        <f>SUMIFS(jt!$J:$J,jt!$A:$A,加弹汇总表!$A35,jt!$R:$R,加弹汇总表!V$2)</f>
        <v>0</v>
      </c>
      <c r="W35" s="60">
        <f>SUMIFS(jt!$J:$J,jt!$A:$A,加弹汇总表!$A35,jt!$R:$R,加弹汇总表!W$2)</f>
        <v>0</v>
      </c>
      <c r="X35" s="61">
        <f>SUMIFS(jt!$L:$L,jt!$A:$A,加弹汇总表!$A35,jt!$R:$R,加弹汇总表!X$2)</f>
        <v>0</v>
      </c>
      <c r="Y35" s="61">
        <f>SUMIFS(jt!$L:$L,jt!$A:$A,加弹汇总表!$A35,jt!$R:$R,加弹汇总表!Y$2)</f>
        <v>0</v>
      </c>
      <c r="Z35" s="61">
        <f>SUMIFS(jt!$L:$L,jt!$A:$A,加弹汇总表!$A35,jt!$R:$R,加弹汇总表!Z$2)</f>
        <v>0</v>
      </c>
      <c r="AA35" s="62">
        <f>SUMIFS(jt!$M:$M,jt!$A:$A,加弹汇总表!$A35,jt!$R:$R,加弹汇总表!AA$2)</f>
        <v>0</v>
      </c>
      <c r="AB35" s="62">
        <f>SUMIFS(jt!$M:$M,jt!$A:$A,加弹汇总表!$A35,jt!$R:$R,加弹汇总表!AB$2)</f>
        <v>0</v>
      </c>
      <c r="AC35" s="62">
        <f>SUMIFS(jt!$M:$M,jt!$A:$A,加弹汇总表!$A35,jt!$R:$R,加弹汇总表!AC$2)</f>
        <v>0</v>
      </c>
      <c r="AD35" s="63">
        <f>SUMIFS(jt!$N:$N,jt!$A:$A,加弹汇总表!$A35,jt!$R:$R,加弹汇总表!AD$2)</f>
        <v>0</v>
      </c>
      <c r="AE35" s="63">
        <f>SUMIFS(jt!$N:$N,jt!$A:$A,加弹汇总表!$A35,jt!$R:$R,加弹汇总表!AE$2)</f>
        <v>0</v>
      </c>
      <c r="AF35" s="63">
        <f>SUMIFS(jt!$N:$N,jt!$A:$A,加弹汇总表!$A35,jt!$R:$R,加弹汇总表!AF$2)</f>
        <v>0</v>
      </c>
      <c r="AG35" s="64">
        <f>SUMIFS(jt!$M:$M,jt!$A:$A,加弹汇总表!$A35,jt!$C:$C,加弹汇总表!AG$2)</f>
        <v>0</v>
      </c>
      <c r="AH35" s="64">
        <f>SUMIFS(jt!$M:$M,jt!$A:$A,加弹汇总表!$A35,jt!$C:$C,加弹汇总表!AH$2)</f>
        <v>0</v>
      </c>
      <c r="AI35" s="64">
        <f>SUMIFS(jt!$M:$M,jt!$A:$A,加弹汇总表!$A35,jt!$C:$C,加弹汇总表!AI$2)</f>
        <v>0</v>
      </c>
      <c r="AJ35" s="64">
        <f>SUMIFS(jt!$M:$M,jt!$A:$A,加弹汇总表!$A35,jt!$C:$C,加弹汇总表!AJ$2)</f>
        <v>0</v>
      </c>
      <c r="AK35" s="64">
        <f>SUMIFS(jt!$M:$M,jt!$A:$A,加弹汇总表!$A35,jt!$C:$C,加弹汇总表!AK$2)</f>
        <v>0</v>
      </c>
      <c r="AL35" s="64">
        <f>SUMIFS(jt!$M:$M,jt!$A:$A,加弹汇总表!$A35,jt!$C:$C,加弹汇总表!AL$2)</f>
        <v>0</v>
      </c>
      <c r="AM35" s="64">
        <f>SUMIFS(jt!$M:$M,jt!$A:$A,加弹汇总表!$A35,jt!$C:$C,加弹汇总表!AM$2)</f>
        <v>0</v>
      </c>
      <c r="AN35" s="80">
        <f>SUMIFS(jt!$M:$M,jt!$A:$A,加弹汇总表!$A35,jt!$C:$C,加弹汇总表!AN$2)</f>
        <v>0</v>
      </c>
      <c r="AO35" s="8">
        <f>SUMIFS(jt!$M:$M,jt!$B:$B,加弹汇总表!$B35,jt!$D:$D,加弹汇总表!$C35,jt!$F:$F,加弹汇总表!$F35,jt!$O:$O,加弹汇总表!$C$1&amp;"/"&amp;加弹汇总表!$D$1&amp;"/"&amp;加弹汇总表!AO$2)</f>
        <v>0</v>
      </c>
      <c r="AP35" s="8">
        <f>SUMIFS(jt!$M:$M,jt!$B:$B,加弹汇总表!$B35,jt!$D:$D,加弹汇总表!$C35,jt!$F:$F,加弹汇总表!$F35,jt!$O:$O,加弹汇总表!$C$1&amp;"/"&amp;加弹汇总表!$D$1&amp;"/"&amp;加弹汇总表!AP$2)</f>
        <v>0</v>
      </c>
      <c r="AQ35" s="8">
        <f>SUMIFS(jt!$M:$M,jt!$B:$B,加弹汇总表!$B35,jt!$D:$D,加弹汇总表!$C35,jt!$F:$F,加弹汇总表!$F35,jt!$O:$O,加弹汇总表!$C$1&amp;"/"&amp;加弹汇总表!$D$1&amp;"/"&amp;加弹汇总表!AQ$2)</f>
        <v>0</v>
      </c>
      <c r="AR35" s="8">
        <f>SUMIFS(jt!$M:$M,jt!$B:$B,加弹汇总表!$B35,jt!$D:$D,加弹汇总表!$C35,jt!$F:$F,加弹汇总表!$F35,jt!$O:$O,加弹汇总表!$C$1&amp;"/"&amp;加弹汇总表!$D$1&amp;"/"&amp;加弹汇总表!AR$2)</f>
        <v>0</v>
      </c>
      <c r="AS35" s="8">
        <f>SUMIFS(jt!$M:$M,jt!$B:$B,加弹汇总表!$B35,jt!$D:$D,加弹汇总表!$C35,jt!$F:$F,加弹汇总表!$F35,jt!$O:$O,加弹汇总表!$C$1&amp;"/"&amp;加弹汇总表!$D$1&amp;"/"&amp;加弹汇总表!AS$2)</f>
        <v>0</v>
      </c>
      <c r="AT35" s="8">
        <f>SUMIFS(jt!$M:$M,jt!$B:$B,加弹汇总表!$B35,jt!$D:$D,加弹汇总表!$C35,jt!$F:$F,加弹汇总表!$F35,jt!$O:$O,加弹汇总表!$C$1&amp;"/"&amp;加弹汇总表!$D$1&amp;"/"&amp;加弹汇总表!AT$2)</f>
        <v>0</v>
      </c>
      <c r="AU35" s="8">
        <f>SUMIFS(jt!$M:$M,jt!$B:$B,加弹汇总表!$B35,jt!$D:$D,加弹汇总表!$C35,jt!$F:$F,加弹汇总表!$F35,jt!$O:$O,加弹汇总表!$C$1&amp;"/"&amp;加弹汇总表!$D$1&amp;"/"&amp;加弹汇总表!AU$2)</f>
        <v>0</v>
      </c>
      <c r="AV35" s="8">
        <f>SUMIFS(jt!$M:$M,jt!$B:$B,加弹汇总表!$B35,jt!$D:$D,加弹汇总表!$C35,jt!$F:$F,加弹汇总表!$F35,jt!$O:$O,加弹汇总表!$C$1&amp;"/"&amp;加弹汇总表!$D$1&amp;"/"&amp;加弹汇总表!AV$2)</f>
        <v>0</v>
      </c>
      <c r="AW35" s="8">
        <f>SUMIFS(jt!$M:$M,jt!$B:$B,加弹汇总表!$B35,jt!$D:$D,加弹汇总表!$C35,jt!$F:$F,加弹汇总表!$F35,jt!$O:$O,加弹汇总表!$C$1&amp;"/"&amp;加弹汇总表!$D$1&amp;"/"&amp;加弹汇总表!AW$2)</f>
        <v>0</v>
      </c>
      <c r="AX35" s="8">
        <f>SUMIFS(jt!$M:$M,jt!$B:$B,加弹汇总表!$B35,jt!$D:$D,加弹汇总表!$C35,jt!$F:$F,加弹汇总表!$F35,jt!$O:$O,加弹汇总表!$C$1&amp;"/"&amp;加弹汇总表!$D$1&amp;"/"&amp;加弹汇总表!AX$2)</f>
        <v>0</v>
      </c>
      <c r="AY35" s="8">
        <f>SUMIFS(jt!$M:$M,jt!$B:$B,加弹汇总表!$B35,jt!$D:$D,加弹汇总表!$C35,jt!$F:$F,加弹汇总表!$F35,jt!$O:$O,加弹汇总表!$C$1&amp;"/"&amp;加弹汇总表!$D$1&amp;"/"&amp;加弹汇总表!AY$2)</f>
        <v>0</v>
      </c>
      <c r="AZ35" s="8">
        <f>SUMIFS(jt!$M:$M,jt!$B:$B,加弹汇总表!$B35,jt!$D:$D,加弹汇总表!$C35,jt!$F:$F,加弹汇总表!$F35,jt!$O:$O,加弹汇总表!$C$1&amp;"/"&amp;加弹汇总表!$D$1&amp;"/"&amp;加弹汇总表!AZ$2)</f>
        <v>0</v>
      </c>
      <c r="BA35" s="8">
        <f>SUMIFS(jt!$M:$M,jt!$B:$B,加弹汇总表!$B35,jt!$D:$D,加弹汇总表!$C35,jt!$F:$F,加弹汇总表!$F35,jt!$O:$O,加弹汇总表!$C$1&amp;"/"&amp;加弹汇总表!$D$1&amp;"/"&amp;加弹汇总表!BA$2)</f>
        <v>0</v>
      </c>
      <c r="BB35" s="8">
        <f>SUMIFS(jt!$M:$M,jt!$B:$B,加弹汇总表!$B35,jt!$D:$D,加弹汇总表!$C35,jt!$F:$F,加弹汇总表!$F35,jt!$O:$O,加弹汇总表!$C$1&amp;"/"&amp;加弹汇总表!$D$1&amp;"/"&amp;加弹汇总表!BB$2)</f>
        <v>0</v>
      </c>
      <c r="BC35" s="8">
        <f>SUMIFS(jt!$M:$M,jt!$B:$B,加弹汇总表!$B35,jt!$D:$D,加弹汇总表!$C35,jt!$F:$F,加弹汇总表!$F35,jt!$O:$O,加弹汇总表!$C$1&amp;"/"&amp;加弹汇总表!$D$1&amp;"/"&amp;加弹汇总表!BC$2)</f>
        <v>0</v>
      </c>
      <c r="BD35" s="8">
        <f>SUMIFS(jt!$M:$M,jt!$B:$B,加弹汇总表!$B35,jt!$D:$D,加弹汇总表!$C35,jt!$F:$F,加弹汇总表!$F35,jt!$O:$O,加弹汇总表!$C$1&amp;"/"&amp;加弹汇总表!$D$1&amp;"/"&amp;加弹汇总表!BD$2)</f>
        <v>0</v>
      </c>
      <c r="BE35" s="8">
        <f>SUMIFS(jt!$M:$M,jt!$B:$B,加弹汇总表!$B35,jt!$D:$D,加弹汇总表!$C35,jt!$F:$F,加弹汇总表!$F35,jt!$O:$O,加弹汇总表!$C$1&amp;"/"&amp;加弹汇总表!$D$1&amp;"/"&amp;加弹汇总表!BE$2)</f>
        <v>0</v>
      </c>
      <c r="BF35" s="8">
        <f>SUMIFS(jt!$M:$M,jt!$B:$B,加弹汇总表!$B35,jt!$D:$D,加弹汇总表!$C35,jt!$F:$F,加弹汇总表!$F35,jt!$O:$O,加弹汇总表!$C$1&amp;"/"&amp;加弹汇总表!$D$1&amp;"/"&amp;加弹汇总表!BF$2)</f>
        <v>0</v>
      </c>
      <c r="BG35" s="8">
        <f>SUMIFS(jt!$M:$M,jt!$B:$B,加弹汇总表!$B35,jt!$D:$D,加弹汇总表!$C35,jt!$F:$F,加弹汇总表!$F35,jt!$O:$O,加弹汇总表!$C$1&amp;"/"&amp;加弹汇总表!$D$1&amp;"/"&amp;加弹汇总表!BG$2)</f>
        <v>0</v>
      </c>
      <c r="BH35" s="8">
        <f>SUMIFS(jt!$M:$M,jt!$B:$B,加弹汇总表!$B35,jt!$D:$D,加弹汇总表!$C35,jt!$F:$F,加弹汇总表!$F35,jt!$O:$O,加弹汇总表!$C$1&amp;"/"&amp;加弹汇总表!$D$1&amp;"/"&amp;加弹汇总表!BH$2)</f>
        <v>0</v>
      </c>
      <c r="BI35" s="8">
        <f>SUMIFS(jt!$M:$M,jt!$B:$B,加弹汇总表!$B35,jt!$D:$D,加弹汇总表!$C35,jt!$F:$F,加弹汇总表!$F35,jt!$O:$O,加弹汇总表!$C$1&amp;"/"&amp;加弹汇总表!$D$1&amp;"/"&amp;加弹汇总表!BI$2)</f>
        <v>0</v>
      </c>
      <c r="BJ35" s="8">
        <f>SUMIFS(jt!$M:$M,jt!$B:$B,加弹汇总表!$B35,jt!$D:$D,加弹汇总表!$C35,jt!$F:$F,加弹汇总表!$F35,jt!$O:$O,加弹汇总表!$C$1&amp;"/"&amp;加弹汇总表!$D$1&amp;"/"&amp;加弹汇总表!BJ$2)</f>
        <v>0</v>
      </c>
      <c r="BK35" s="8">
        <f>SUMIFS(jt!$M:$M,jt!$B:$B,加弹汇总表!$B35,jt!$D:$D,加弹汇总表!$C35,jt!$F:$F,加弹汇总表!$F35,jt!$O:$O,加弹汇总表!$C$1&amp;"/"&amp;加弹汇总表!$D$1&amp;"/"&amp;加弹汇总表!BK$2)</f>
        <v>0</v>
      </c>
      <c r="BL35" s="8">
        <f>SUMIFS(jt!$M:$M,jt!$B:$B,加弹汇总表!$B35,jt!$D:$D,加弹汇总表!$C35,jt!$F:$F,加弹汇总表!$F35,jt!$O:$O,加弹汇总表!$C$1&amp;"/"&amp;加弹汇总表!$D$1&amp;"/"&amp;加弹汇总表!BL$2)</f>
        <v>0</v>
      </c>
      <c r="BM35" s="8">
        <f>SUMIFS(jt!$M:$M,jt!$B:$B,加弹汇总表!$B35,jt!$D:$D,加弹汇总表!$C35,jt!$F:$F,加弹汇总表!$F35,jt!$O:$O,加弹汇总表!$C$1&amp;"/"&amp;加弹汇总表!$D$1&amp;"/"&amp;加弹汇总表!BM$2)</f>
        <v>0</v>
      </c>
      <c r="BN35" s="8">
        <f>SUMIFS(jt!$M:$M,jt!$B:$B,加弹汇总表!$B35,jt!$D:$D,加弹汇总表!$C35,jt!$F:$F,加弹汇总表!$F35,jt!$O:$O,加弹汇总表!$C$1&amp;"/"&amp;加弹汇总表!$D$1&amp;"/"&amp;加弹汇总表!BN$2)</f>
        <v>0</v>
      </c>
      <c r="BO35" s="8">
        <f>SUMIFS(jt!$M:$M,jt!$B:$B,加弹汇总表!$B35,jt!$D:$D,加弹汇总表!$C35,jt!$F:$F,加弹汇总表!$F35,jt!$O:$O,加弹汇总表!$C$1&amp;"/"&amp;加弹汇总表!$D$1&amp;"/"&amp;加弹汇总表!BO$2)</f>
        <v>0</v>
      </c>
      <c r="BP35" s="8">
        <f>SUMIFS(jt!$M:$M,jt!$B:$B,加弹汇总表!$B35,jt!$D:$D,加弹汇总表!$C35,jt!$F:$F,加弹汇总表!$F35,jt!$O:$O,加弹汇总表!$C$1&amp;"/"&amp;加弹汇总表!$D$1&amp;"/"&amp;加弹汇总表!BP$2)</f>
        <v>0</v>
      </c>
      <c r="BQ35" s="8">
        <f>SUMIFS(jt!$M:$M,jt!$B:$B,加弹汇总表!$B35,jt!$D:$D,加弹汇总表!$C35,jt!$F:$F,加弹汇总表!$F35,jt!$O:$O,加弹汇总表!$C$1&amp;"/"&amp;加弹汇总表!$D$1&amp;"/"&amp;加弹汇总表!BQ$2)</f>
        <v>0</v>
      </c>
      <c r="BR35" s="8">
        <f>SUMIFS(jt!$M:$M,jt!$B:$B,加弹汇总表!$B35,jt!$D:$D,加弹汇总表!$C35,jt!$F:$F,加弹汇总表!$F35,jt!$O:$O,加弹汇总表!$C$1&amp;"/"&amp;加弹汇总表!$D$1&amp;"/"&amp;加弹汇总表!BR$2)</f>
        <v>0</v>
      </c>
      <c r="BS35" s="8">
        <f>SUMIFS(jt!$M:$M,jt!$B:$B,加弹汇总表!$B35,jt!$D:$D,加弹汇总表!$C35,jt!$F:$F,加弹汇总表!$F35,jt!$O:$O,加弹汇总表!$C$1&amp;"/"&amp;加弹汇总表!$D$1&amp;"/"&amp;加弹汇总表!BS$2)</f>
        <v>0</v>
      </c>
    </row>
    <row r="36" spans="1:71" ht="18" customHeight="1">
      <c r="A36" s="250" t="str">
        <f t="shared" si="4"/>
        <v>24003620D36/24黑</v>
      </c>
      <c r="B36" s="14">
        <v>240036</v>
      </c>
      <c r="C36" s="98" t="s">
        <v>873</v>
      </c>
      <c r="D36" s="53" t="s">
        <v>447</v>
      </c>
      <c r="E36" s="78"/>
      <c r="F36" s="53" t="s">
        <v>1</v>
      </c>
      <c r="G36" s="53" t="s">
        <v>136</v>
      </c>
      <c r="H36" s="53"/>
      <c r="I36" s="246">
        <f ca="1">IF(SUMIFS(jt!M:M,jt!A:A,加弹汇总表!A36,jt!O:O,加弹汇总表!$E$1)=0,0,SUM(AO36:BS36)/COUNTIF(AO36:BS36,"&lt;&gt;0"))</f>
        <v>0</v>
      </c>
      <c r="J36" s="53">
        <f t="shared" si="5"/>
        <v>0</v>
      </c>
      <c r="K36" s="53">
        <f t="shared" si="6"/>
        <v>0</v>
      </c>
      <c r="L36" s="53">
        <f t="shared" si="7"/>
        <v>0</v>
      </c>
      <c r="M36" s="53">
        <f t="shared" si="0"/>
        <v>0</v>
      </c>
      <c r="N36" s="53"/>
      <c r="O36" s="53">
        <f t="shared" ref="O36:O52" si="15">SUM(X36:Z36)</f>
        <v>0</v>
      </c>
      <c r="P36" s="53">
        <f t="shared" si="2"/>
        <v>0</v>
      </c>
      <c r="Q36" s="53">
        <f t="shared" si="3"/>
        <v>0</v>
      </c>
      <c r="R36" s="60">
        <f>SUMIFS(jt!$K:$K,jt!$A:$A,加弹汇总表!$A36,jt!$R:$R,加弹汇总表!R$2)</f>
        <v>0</v>
      </c>
      <c r="S36" s="60">
        <f>SUMIFS(jt!$K:$K,jt!$A:$A,加弹汇总表!$A36,jt!$R:$R,加弹汇总表!S$2)</f>
        <v>0</v>
      </c>
      <c r="T36" s="60">
        <f>SUMIFS(jt!$K:$K,jt!$A:$A,加弹汇总表!$A36,jt!$R:$R,加弹汇总表!T$2)</f>
        <v>0</v>
      </c>
      <c r="U36" s="60">
        <f>SUMIFS(jt!$J:$J,jt!$A:$A,加弹汇总表!$A36,jt!$R:$R,加弹汇总表!U$2)</f>
        <v>0</v>
      </c>
      <c r="V36" s="60">
        <f>SUMIFS(jt!$J:$J,jt!$A:$A,加弹汇总表!$A36,jt!$R:$R,加弹汇总表!V$2)</f>
        <v>0</v>
      </c>
      <c r="W36" s="60">
        <f>SUMIFS(jt!$J:$J,jt!$A:$A,加弹汇总表!$A36,jt!$R:$R,加弹汇总表!W$2)</f>
        <v>0</v>
      </c>
      <c r="X36" s="61">
        <f>SUMIFS(jt!$L:$L,jt!$A:$A,加弹汇总表!$A36,jt!$R:$R,加弹汇总表!X$2)</f>
        <v>0</v>
      </c>
      <c r="Y36" s="61">
        <f>SUMIFS(jt!$L:$L,jt!$A:$A,加弹汇总表!$A36,jt!$R:$R,加弹汇总表!Y$2)</f>
        <v>0</v>
      </c>
      <c r="Z36" s="61">
        <f>SUMIFS(jt!$L:$L,jt!$A:$A,加弹汇总表!$A36,jt!$R:$R,加弹汇总表!Z$2)</f>
        <v>0</v>
      </c>
      <c r="AA36" s="62">
        <f>SUMIFS(jt!$M:$M,jt!$A:$A,加弹汇总表!$A36,jt!$R:$R,加弹汇总表!AA$2)</f>
        <v>0</v>
      </c>
      <c r="AB36" s="62">
        <f>SUMIFS(jt!$M:$M,jt!$A:$A,加弹汇总表!$A36,jt!$R:$R,加弹汇总表!AB$2)</f>
        <v>0</v>
      </c>
      <c r="AC36" s="62">
        <f>SUMIFS(jt!$M:$M,jt!$A:$A,加弹汇总表!$A36,jt!$R:$R,加弹汇总表!AC$2)</f>
        <v>0</v>
      </c>
      <c r="AD36" s="63">
        <f>SUMIFS(jt!$N:$N,jt!$A:$A,加弹汇总表!$A36,jt!$R:$R,加弹汇总表!AD$2)</f>
        <v>0</v>
      </c>
      <c r="AE36" s="63">
        <f>SUMIFS(jt!$N:$N,jt!$A:$A,加弹汇总表!$A36,jt!$R:$R,加弹汇总表!AE$2)</f>
        <v>0</v>
      </c>
      <c r="AF36" s="63">
        <f>SUMIFS(jt!$N:$N,jt!$A:$A,加弹汇总表!$A36,jt!$R:$R,加弹汇总表!AF$2)</f>
        <v>0</v>
      </c>
      <c r="AG36" s="64">
        <f>SUMIFS(jt!$M:$M,jt!$A:$A,加弹汇总表!$A36,jt!$C:$C,加弹汇总表!AG$2)</f>
        <v>0</v>
      </c>
      <c r="AH36" s="64">
        <f>SUMIFS(jt!$M:$M,jt!$A:$A,加弹汇总表!$A36,jt!$C:$C,加弹汇总表!AH$2)</f>
        <v>0</v>
      </c>
      <c r="AI36" s="64">
        <f>SUMIFS(jt!$M:$M,jt!$A:$A,加弹汇总表!$A36,jt!$C:$C,加弹汇总表!AI$2)</f>
        <v>0</v>
      </c>
      <c r="AJ36" s="64">
        <f>SUMIFS(jt!$M:$M,jt!$A:$A,加弹汇总表!$A36,jt!$C:$C,加弹汇总表!AJ$2)</f>
        <v>0</v>
      </c>
      <c r="AK36" s="64">
        <f>SUMIFS(jt!$M:$M,jt!$A:$A,加弹汇总表!$A36,jt!$C:$C,加弹汇总表!AK$2)</f>
        <v>0</v>
      </c>
      <c r="AL36" s="64">
        <f>SUMIFS(jt!$M:$M,jt!$A:$A,加弹汇总表!$A36,jt!$C:$C,加弹汇总表!AL$2)</f>
        <v>0</v>
      </c>
      <c r="AM36" s="64">
        <f>SUMIFS(jt!$M:$M,jt!$A:$A,加弹汇总表!$A36,jt!$C:$C,加弹汇总表!AM$2)</f>
        <v>0</v>
      </c>
      <c r="AN36" s="80">
        <f>SUMIFS(jt!$M:$M,jt!$A:$A,加弹汇总表!$A36,jt!$C:$C,加弹汇总表!AN$2)</f>
        <v>0</v>
      </c>
      <c r="AO36" s="8">
        <f>SUMIFS(jt!$M:$M,jt!$B:$B,加弹汇总表!$B36,jt!$D:$D,加弹汇总表!$C36,jt!$F:$F,加弹汇总表!$F36,jt!$O:$O,加弹汇总表!$C$1&amp;"/"&amp;加弹汇总表!$D$1&amp;"/"&amp;加弹汇总表!AO$2)</f>
        <v>0</v>
      </c>
      <c r="AP36" s="8">
        <f>SUMIFS(jt!$M:$M,jt!$B:$B,加弹汇总表!$B36,jt!$D:$D,加弹汇总表!$C36,jt!$F:$F,加弹汇总表!$F36,jt!$O:$O,加弹汇总表!$C$1&amp;"/"&amp;加弹汇总表!$D$1&amp;"/"&amp;加弹汇总表!AP$2)</f>
        <v>0</v>
      </c>
      <c r="AQ36" s="8">
        <f>SUMIFS(jt!$M:$M,jt!$B:$B,加弹汇总表!$B36,jt!$D:$D,加弹汇总表!$C36,jt!$F:$F,加弹汇总表!$F36,jt!$O:$O,加弹汇总表!$C$1&amp;"/"&amp;加弹汇总表!$D$1&amp;"/"&amp;加弹汇总表!AQ$2)</f>
        <v>0</v>
      </c>
      <c r="AR36" s="8">
        <f>SUMIFS(jt!$M:$M,jt!$B:$B,加弹汇总表!$B36,jt!$D:$D,加弹汇总表!$C36,jt!$F:$F,加弹汇总表!$F36,jt!$O:$O,加弹汇总表!$C$1&amp;"/"&amp;加弹汇总表!$D$1&amp;"/"&amp;加弹汇总表!AR$2)</f>
        <v>0</v>
      </c>
      <c r="AS36" s="8">
        <f>SUMIFS(jt!$M:$M,jt!$B:$B,加弹汇总表!$B36,jt!$D:$D,加弹汇总表!$C36,jt!$F:$F,加弹汇总表!$F36,jt!$O:$O,加弹汇总表!$C$1&amp;"/"&amp;加弹汇总表!$D$1&amp;"/"&amp;加弹汇总表!AS$2)</f>
        <v>0</v>
      </c>
      <c r="AT36" s="8">
        <f>SUMIFS(jt!$M:$M,jt!$B:$B,加弹汇总表!$B36,jt!$D:$D,加弹汇总表!$C36,jt!$F:$F,加弹汇总表!$F36,jt!$O:$O,加弹汇总表!$C$1&amp;"/"&amp;加弹汇总表!$D$1&amp;"/"&amp;加弹汇总表!AT$2)</f>
        <v>0</v>
      </c>
      <c r="AU36" s="8">
        <f>SUMIFS(jt!$M:$M,jt!$B:$B,加弹汇总表!$B36,jt!$D:$D,加弹汇总表!$C36,jt!$F:$F,加弹汇总表!$F36,jt!$O:$O,加弹汇总表!$C$1&amp;"/"&amp;加弹汇总表!$D$1&amp;"/"&amp;加弹汇总表!AU$2)</f>
        <v>0</v>
      </c>
      <c r="AV36" s="8">
        <f>SUMIFS(jt!$M:$M,jt!$B:$B,加弹汇总表!$B36,jt!$D:$D,加弹汇总表!$C36,jt!$F:$F,加弹汇总表!$F36,jt!$O:$O,加弹汇总表!$C$1&amp;"/"&amp;加弹汇总表!$D$1&amp;"/"&amp;加弹汇总表!AV$2)</f>
        <v>0</v>
      </c>
      <c r="AW36" s="8">
        <f>SUMIFS(jt!$M:$M,jt!$B:$B,加弹汇总表!$B36,jt!$D:$D,加弹汇总表!$C36,jt!$F:$F,加弹汇总表!$F36,jt!$O:$O,加弹汇总表!$C$1&amp;"/"&amp;加弹汇总表!$D$1&amp;"/"&amp;加弹汇总表!AW$2)</f>
        <v>0</v>
      </c>
      <c r="AX36" s="8">
        <f>SUMIFS(jt!$M:$M,jt!$B:$B,加弹汇总表!$B36,jt!$D:$D,加弹汇总表!$C36,jt!$F:$F,加弹汇总表!$F36,jt!$O:$O,加弹汇总表!$C$1&amp;"/"&amp;加弹汇总表!$D$1&amp;"/"&amp;加弹汇总表!AX$2)</f>
        <v>0</v>
      </c>
      <c r="AY36" s="8">
        <f>SUMIFS(jt!$M:$M,jt!$B:$B,加弹汇总表!$B36,jt!$D:$D,加弹汇总表!$C36,jt!$F:$F,加弹汇总表!$F36,jt!$O:$O,加弹汇总表!$C$1&amp;"/"&amp;加弹汇总表!$D$1&amp;"/"&amp;加弹汇总表!AY$2)</f>
        <v>0</v>
      </c>
      <c r="AZ36" s="8">
        <f>SUMIFS(jt!$M:$M,jt!$B:$B,加弹汇总表!$B36,jt!$D:$D,加弹汇总表!$C36,jt!$F:$F,加弹汇总表!$F36,jt!$O:$O,加弹汇总表!$C$1&amp;"/"&amp;加弹汇总表!$D$1&amp;"/"&amp;加弹汇总表!AZ$2)</f>
        <v>0</v>
      </c>
      <c r="BA36" s="8">
        <f>SUMIFS(jt!$M:$M,jt!$B:$B,加弹汇总表!$B36,jt!$D:$D,加弹汇总表!$C36,jt!$F:$F,加弹汇总表!$F36,jt!$O:$O,加弹汇总表!$C$1&amp;"/"&amp;加弹汇总表!$D$1&amp;"/"&amp;加弹汇总表!BA$2)</f>
        <v>0</v>
      </c>
      <c r="BB36" s="8">
        <f>SUMIFS(jt!$M:$M,jt!$B:$B,加弹汇总表!$B36,jt!$D:$D,加弹汇总表!$C36,jt!$F:$F,加弹汇总表!$F36,jt!$O:$O,加弹汇总表!$C$1&amp;"/"&amp;加弹汇总表!$D$1&amp;"/"&amp;加弹汇总表!BB$2)</f>
        <v>0</v>
      </c>
      <c r="BC36" s="8">
        <f>SUMIFS(jt!$M:$M,jt!$B:$B,加弹汇总表!$B36,jt!$D:$D,加弹汇总表!$C36,jt!$F:$F,加弹汇总表!$F36,jt!$O:$O,加弹汇总表!$C$1&amp;"/"&amp;加弹汇总表!$D$1&amp;"/"&amp;加弹汇总表!BC$2)</f>
        <v>0</v>
      </c>
      <c r="BD36" s="8">
        <f>SUMIFS(jt!$M:$M,jt!$B:$B,加弹汇总表!$B36,jt!$D:$D,加弹汇总表!$C36,jt!$F:$F,加弹汇总表!$F36,jt!$O:$O,加弹汇总表!$C$1&amp;"/"&amp;加弹汇总表!$D$1&amp;"/"&amp;加弹汇总表!BD$2)</f>
        <v>0</v>
      </c>
      <c r="BE36" s="8">
        <f>SUMIFS(jt!$M:$M,jt!$B:$B,加弹汇总表!$B36,jt!$D:$D,加弹汇总表!$C36,jt!$F:$F,加弹汇总表!$F36,jt!$O:$O,加弹汇总表!$C$1&amp;"/"&amp;加弹汇总表!$D$1&amp;"/"&amp;加弹汇总表!BE$2)</f>
        <v>0</v>
      </c>
      <c r="BF36" s="8">
        <f>SUMIFS(jt!$M:$M,jt!$B:$B,加弹汇总表!$B36,jt!$D:$D,加弹汇总表!$C36,jt!$F:$F,加弹汇总表!$F36,jt!$O:$O,加弹汇总表!$C$1&amp;"/"&amp;加弹汇总表!$D$1&amp;"/"&amp;加弹汇总表!BF$2)</f>
        <v>0</v>
      </c>
      <c r="BG36" s="8">
        <f>SUMIFS(jt!$M:$M,jt!$B:$B,加弹汇总表!$B36,jt!$D:$D,加弹汇总表!$C36,jt!$F:$F,加弹汇总表!$F36,jt!$O:$O,加弹汇总表!$C$1&amp;"/"&amp;加弹汇总表!$D$1&amp;"/"&amp;加弹汇总表!BG$2)</f>
        <v>0</v>
      </c>
      <c r="BH36" s="8">
        <f>SUMIFS(jt!$M:$M,jt!$B:$B,加弹汇总表!$B36,jt!$D:$D,加弹汇总表!$C36,jt!$F:$F,加弹汇总表!$F36,jt!$O:$O,加弹汇总表!$C$1&amp;"/"&amp;加弹汇总表!$D$1&amp;"/"&amp;加弹汇总表!BH$2)</f>
        <v>0</v>
      </c>
      <c r="BI36" s="8">
        <f>SUMIFS(jt!$M:$M,jt!$B:$B,加弹汇总表!$B36,jt!$D:$D,加弹汇总表!$C36,jt!$F:$F,加弹汇总表!$F36,jt!$O:$O,加弹汇总表!$C$1&amp;"/"&amp;加弹汇总表!$D$1&amp;"/"&amp;加弹汇总表!BI$2)</f>
        <v>0</v>
      </c>
      <c r="BJ36" s="8">
        <f>SUMIFS(jt!$M:$M,jt!$B:$B,加弹汇总表!$B36,jt!$D:$D,加弹汇总表!$C36,jt!$F:$F,加弹汇总表!$F36,jt!$O:$O,加弹汇总表!$C$1&amp;"/"&amp;加弹汇总表!$D$1&amp;"/"&amp;加弹汇总表!BJ$2)</f>
        <v>0</v>
      </c>
      <c r="BK36" s="8">
        <f>SUMIFS(jt!$M:$M,jt!$B:$B,加弹汇总表!$B36,jt!$D:$D,加弹汇总表!$C36,jt!$F:$F,加弹汇总表!$F36,jt!$O:$O,加弹汇总表!$C$1&amp;"/"&amp;加弹汇总表!$D$1&amp;"/"&amp;加弹汇总表!BK$2)</f>
        <v>0</v>
      </c>
      <c r="BL36" s="8">
        <f>SUMIFS(jt!$M:$M,jt!$B:$B,加弹汇总表!$B36,jt!$D:$D,加弹汇总表!$C36,jt!$F:$F,加弹汇总表!$F36,jt!$O:$O,加弹汇总表!$C$1&amp;"/"&amp;加弹汇总表!$D$1&amp;"/"&amp;加弹汇总表!BL$2)</f>
        <v>0</v>
      </c>
      <c r="BM36" s="8">
        <f>SUMIFS(jt!$M:$M,jt!$B:$B,加弹汇总表!$B36,jt!$D:$D,加弹汇总表!$C36,jt!$F:$F,加弹汇总表!$F36,jt!$O:$O,加弹汇总表!$C$1&amp;"/"&amp;加弹汇总表!$D$1&amp;"/"&amp;加弹汇总表!BM$2)</f>
        <v>0</v>
      </c>
      <c r="BN36" s="8">
        <f>SUMIFS(jt!$M:$M,jt!$B:$B,加弹汇总表!$B36,jt!$D:$D,加弹汇总表!$C36,jt!$F:$F,加弹汇总表!$F36,jt!$O:$O,加弹汇总表!$C$1&amp;"/"&amp;加弹汇总表!$D$1&amp;"/"&amp;加弹汇总表!BN$2)</f>
        <v>0</v>
      </c>
      <c r="BO36" s="8">
        <f>SUMIFS(jt!$M:$M,jt!$B:$B,加弹汇总表!$B36,jt!$D:$D,加弹汇总表!$C36,jt!$F:$F,加弹汇总表!$F36,jt!$O:$O,加弹汇总表!$C$1&amp;"/"&amp;加弹汇总表!$D$1&amp;"/"&amp;加弹汇总表!BO$2)</f>
        <v>0</v>
      </c>
      <c r="BP36" s="8">
        <f>SUMIFS(jt!$M:$M,jt!$B:$B,加弹汇总表!$B36,jt!$D:$D,加弹汇总表!$C36,jt!$F:$F,加弹汇总表!$F36,jt!$O:$O,加弹汇总表!$C$1&amp;"/"&amp;加弹汇总表!$D$1&amp;"/"&amp;加弹汇总表!BP$2)</f>
        <v>0</v>
      </c>
      <c r="BQ36" s="8">
        <f>SUMIFS(jt!$M:$M,jt!$B:$B,加弹汇总表!$B36,jt!$D:$D,加弹汇总表!$C36,jt!$F:$F,加弹汇总表!$F36,jt!$O:$O,加弹汇总表!$C$1&amp;"/"&amp;加弹汇总表!$D$1&amp;"/"&amp;加弹汇总表!BQ$2)</f>
        <v>0</v>
      </c>
      <c r="BR36" s="8">
        <f>SUMIFS(jt!$M:$M,jt!$B:$B,加弹汇总表!$B36,jt!$D:$D,加弹汇总表!$C36,jt!$F:$F,加弹汇总表!$F36,jt!$O:$O,加弹汇总表!$C$1&amp;"/"&amp;加弹汇总表!$D$1&amp;"/"&amp;加弹汇总表!BR$2)</f>
        <v>0</v>
      </c>
      <c r="BS36" s="8">
        <f>SUMIFS(jt!$M:$M,jt!$B:$B,加弹汇总表!$B36,jt!$D:$D,加弹汇总表!$C36,jt!$F:$F,加弹汇总表!$F36,jt!$O:$O,加弹汇总表!$C$1&amp;"/"&amp;加弹汇总表!$D$1&amp;"/"&amp;加弹汇总表!BS$2)</f>
        <v>0</v>
      </c>
    </row>
    <row r="37" spans="1:71" ht="18" customHeight="1">
      <c r="A37" s="250" t="str">
        <f t="shared" si="4"/>
        <v>73003100D172/48白</v>
      </c>
      <c r="B37" s="14">
        <v>73003</v>
      </c>
      <c r="C37" s="98" t="s">
        <v>874</v>
      </c>
      <c r="D37" s="53" t="s">
        <v>404</v>
      </c>
      <c r="E37" s="78"/>
      <c r="F37" s="53" t="s">
        <v>2</v>
      </c>
      <c r="G37" s="53" t="s">
        <v>146</v>
      </c>
      <c r="H37" s="53"/>
      <c r="I37" s="246">
        <f ca="1">IF(SUMIFS(jt!M:M,jt!A:A,加弹汇总表!A37,jt!O:O,加弹汇总表!$E$1)=0,0,SUM(AO37:BS37)/COUNTIF(AO37:BS37,"&lt;&gt;0"))</f>
        <v>0</v>
      </c>
      <c r="J37" s="53">
        <f t="shared" si="5"/>
        <v>0</v>
      </c>
      <c r="K37" s="53">
        <f t="shared" si="6"/>
        <v>0</v>
      </c>
      <c r="L37" s="53">
        <f t="shared" si="7"/>
        <v>0</v>
      </c>
      <c r="M37" s="53">
        <f t="shared" si="0"/>
        <v>0</v>
      </c>
      <c r="N37" s="53"/>
      <c r="O37" s="53">
        <f t="shared" si="15"/>
        <v>0</v>
      </c>
      <c r="P37" s="53">
        <f t="shared" si="2"/>
        <v>0</v>
      </c>
      <c r="Q37" s="53">
        <f t="shared" si="3"/>
        <v>0</v>
      </c>
      <c r="R37" s="60">
        <f>SUMIFS(jt!$K:$K,jt!$A:$A,加弹汇总表!$A37,jt!$R:$R,加弹汇总表!R$2)</f>
        <v>0</v>
      </c>
      <c r="S37" s="60">
        <f>SUMIFS(jt!$K:$K,jt!$A:$A,加弹汇总表!$A37,jt!$R:$R,加弹汇总表!S$2)</f>
        <v>0</v>
      </c>
      <c r="T37" s="60">
        <f>SUMIFS(jt!$K:$K,jt!$A:$A,加弹汇总表!$A37,jt!$R:$R,加弹汇总表!T$2)</f>
        <v>0</v>
      </c>
      <c r="U37" s="60">
        <f>SUMIFS(jt!$J:$J,jt!$A:$A,加弹汇总表!$A37,jt!$R:$R,加弹汇总表!U$2)</f>
        <v>0</v>
      </c>
      <c r="V37" s="60">
        <f>SUMIFS(jt!$J:$J,jt!$A:$A,加弹汇总表!$A37,jt!$R:$R,加弹汇总表!V$2)</f>
        <v>0</v>
      </c>
      <c r="W37" s="60">
        <f>SUMIFS(jt!$J:$J,jt!$A:$A,加弹汇总表!$A37,jt!$R:$R,加弹汇总表!W$2)</f>
        <v>0</v>
      </c>
      <c r="X37" s="61">
        <f>SUMIFS(jt!$L:$L,jt!$A:$A,加弹汇总表!$A37,jt!$R:$R,加弹汇总表!X$2)</f>
        <v>0</v>
      </c>
      <c r="Y37" s="61">
        <f>SUMIFS(jt!$L:$L,jt!$A:$A,加弹汇总表!$A37,jt!$R:$R,加弹汇总表!Y$2)</f>
        <v>0</v>
      </c>
      <c r="Z37" s="61">
        <f>SUMIFS(jt!$L:$L,jt!$A:$A,加弹汇总表!$A37,jt!$R:$R,加弹汇总表!Z$2)</f>
        <v>0</v>
      </c>
      <c r="AA37" s="62">
        <f>SUMIFS(jt!$M:$M,jt!$A:$A,加弹汇总表!$A37,jt!$R:$R,加弹汇总表!AA$2)</f>
        <v>0</v>
      </c>
      <c r="AB37" s="62">
        <f>SUMIFS(jt!$M:$M,jt!$A:$A,加弹汇总表!$A37,jt!$R:$R,加弹汇总表!AB$2)</f>
        <v>0</v>
      </c>
      <c r="AC37" s="62">
        <f>SUMIFS(jt!$M:$M,jt!$A:$A,加弹汇总表!$A37,jt!$R:$R,加弹汇总表!AC$2)</f>
        <v>0</v>
      </c>
      <c r="AD37" s="63">
        <f>SUMIFS(jt!$N:$N,jt!$A:$A,加弹汇总表!$A37,jt!$R:$R,加弹汇总表!AD$2)</f>
        <v>0</v>
      </c>
      <c r="AE37" s="63">
        <f>SUMIFS(jt!$N:$N,jt!$A:$A,加弹汇总表!$A37,jt!$R:$R,加弹汇总表!AE$2)</f>
        <v>0</v>
      </c>
      <c r="AF37" s="63">
        <f>SUMIFS(jt!$N:$N,jt!$A:$A,加弹汇总表!$A37,jt!$R:$R,加弹汇总表!AF$2)</f>
        <v>0</v>
      </c>
      <c r="AG37" s="64">
        <f>SUMIFS(jt!$M:$M,jt!$A:$A,加弹汇总表!$A37,jt!$C:$C,加弹汇总表!AG$2)</f>
        <v>0</v>
      </c>
      <c r="AH37" s="64">
        <f>SUMIFS(jt!$M:$M,jt!$A:$A,加弹汇总表!$A37,jt!$C:$C,加弹汇总表!AH$2)</f>
        <v>0</v>
      </c>
      <c r="AI37" s="64">
        <f>SUMIFS(jt!$M:$M,jt!$A:$A,加弹汇总表!$A37,jt!$C:$C,加弹汇总表!AI$2)</f>
        <v>0</v>
      </c>
      <c r="AJ37" s="64">
        <f>SUMIFS(jt!$M:$M,jt!$A:$A,加弹汇总表!$A37,jt!$C:$C,加弹汇总表!AJ$2)</f>
        <v>0</v>
      </c>
      <c r="AK37" s="64">
        <f>SUMIFS(jt!$M:$M,jt!$A:$A,加弹汇总表!$A37,jt!$C:$C,加弹汇总表!AK$2)</f>
        <v>0</v>
      </c>
      <c r="AL37" s="64">
        <f>SUMIFS(jt!$M:$M,jt!$A:$A,加弹汇总表!$A37,jt!$C:$C,加弹汇总表!AL$2)</f>
        <v>0</v>
      </c>
      <c r="AM37" s="64">
        <f>SUMIFS(jt!$M:$M,jt!$A:$A,加弹汇总表!$A37,jt!$C:$C,加弹汇总表!AM$2)</f>
        <v>0</v>
      </c>
      <c r="AN37" s="80">
        <f>SUMIFS(jt!$M:$M,jt!$A:$A,加弹汇总表!$A37,jt!$C:$C,加弹汇总表!AN$2)</f>
        <v>0</v>
      </c>
      <c r="AO37" s="8">
        <f>SUMIFS(jt!$M:$M,jt!$B:$B,加弹汇总表!$B37,jt!$D:$D,加弹汇总表!$C37,jt!$F:$F,加弹汇总表!$F37,jt!$O:$O,加弹汇总表!$C$1&amp;"/"&amp;加弹汇总表!$D$1&amp;"/"&amp;加弹汇总表!AO$2)</f>
        <v>0</v>
      </c>
      <c r="AP37" s="8">
        <f>SUMIFS(jt!$M:$M,jt!$B:$B,加弹汇总表!$B37,jt!$D:$D,加弹汇总表!$C37,jt!$F:$F,加弹汇总表!$F37,jt!$O:$O,加弹汇总表!$C$1&amp;"/"&amp;加弹汇总表!$D$1&amp;"/"&amp;加弹汇总表!AP$2)</f>
        <v>0</v>
      </c>
      <c r="AQ37" s="8">
        <f>SUMIFS(jt!$M:$M,jt!$B:$B,加弹汇总表!$B37,jt!$D:$D,加弹汇总表!$C37,jt!$F:$F,加弹汇总表!$F37,jt!$O:$O,加弹汇总表!$C$1&amp;"/"&amp;加弹汇总表!$D$1&amp;"/"&amp;加弹汇总表!AQ$2)</f>
        <v>0</v>
      </c>
      <c r="AR37" s="8">
        <f>SUMIFS(jt!$M:$M,jt!$B:$B,加弹汇总表!$B37,jt!$D:$D,加弹汇总表!$C37,jt!$F:$F,加弹汇总表!$F37,jt!$O:$O,加弹汇总表!$C$1&amp;"/"&amp;加弹汇总表!$D$1&amp;"/"&amp;加弹汇总表!AR$2)</f>
        <v>0</v>
      </c>
      <c r="AS37" s="8">
        <f>SUMIFS(jt!$M:$M,jt!$B:$B,加弹汇总表!$B37,jt!$D:$D,加弹汇总表!$C37,jt!$F:$F,加弹汇总表!$F37,jt!$O:$O,加弹汇总表!$C$1&amp;"/"&amp;加弹汇总表!$D$1&amp;"/"&amp;加弹汇总表!AS$2)</f>
        <v>0</v>
      </c>
      <c r="AT37" s="8">
        <f>SUMIFS(jt!$M:$M,jt!$B:$B,加弹汇总表!$B37,jt!$D:$D,加弹汇总表!$C37,jt!$F:$F,加弹汇总表!$F37,jt!$O:$O,加弹汇总表!$C$1&amp;"/"&amp;加弹汇总表!$D$1&amp;"/"&amp;加弹汇总表!AT$2)</f>
        <v>0</v>
      </c>
      <c r="AU37" s="8">
        <f>SUMIFS(jt!$M:$M,jt!$B:$B,加弹汇总表!$B37,jt!$D:$D,加弹汇总表!$C37,jt!$F:$F,加弹汇总表!$F37,jt!$O:$O,加弹汇总表!$C$1&amp;"/"&amp;加弹汇总表!$D$1&amp;"/"&amp;加弹汇总表!AU$2)</f>
        <v>0</v>
      </c>
      <c r="AV37" s="8">
        <f>SUMIFS(jt!$M:$M,jt!$B:$B,加弹汇总表!$B37,jt!$D:$D,加弹汇总表!$C37,jt!$F:$F,加弹汇总表!$F37,jt!$O:$O,加弹汇总表!$C$1&amp;"/"&amp;加弹汇总表!$D$1&amp;"/"&amp;加弹汇总表!AV$2)</f>
        <v>0</v>
      </c>
      <c r="AW37" s="8">
        <f>SUMIFS(jt!$M:$M,jt!$B:$B,加弹汇总表!$B37,jt!$D:$D,加弹汇总表!$C37,jt!$F:$F,加弹汇总表!$F37,jt!$O:$O,加弹汇总表!$C$1&amp;"/"&amp;加弹汇总表!$D$1&amp;"/"&amp;加弹汇总表!AW$2)</f>
        <v>0</v>
      </c>
      <c r="AX37" s="8">
        <f>SUMIFS(jt!$M:$M,jt!$B:$B,加弹汇总表!$B37,jt!$D:$D,加弹汇总表!$C37,jt!$F:$F,加弹汇总表!$F37,jt!$O:$O,加弹汇总表!$C$1&amp;"/"&amp;加弹汇总表!$D$1&amp;"/"&amp;加弹汇总表!AX$2)</f>
        <v>0</v>
      </c>
      <c r="AY37" s="8">
        <f>SUMIFS(jt!$M:$M,jt!$B:$B,加弹汇总表!$B37,jt!$D:$D,加弹汇总表!$C37,jt!$F:$F,加弹汇总表!$F37,jt!$O:$O,加弹汇总表!$C$1&amp;"/"&amp;加弹汇总表!$D$1&amp;"/"&amp;加弹汇总表!AY$2)</f>
        <v>0</v>
      </c>
      <c r="AZ37" s="8">
        <f>SUMIFS(jt!$M:$M,jt!$B:$B,加弹汇总表!$B37,jt!$D:$D,加弹汇总表!$C37,jt!$F:$F,加弹汇总表!$F37,jt!$O:$O,加弹汇总表!$C$1&amp;"/"&amp;加弹汇总表!$D$1&amp;"/"&amp;加弹汇总表!AZ$2)</f>
        <v>0</v>
      </c>
      <c r="BA37" s="8">
        <f>SUMIFS(jt!$M:$M,jt!$B:$B,加弹汇总表!$B37,jt!$D:$D,加弹汇总表!$C37,jt!$F:$F,加弹汇总表!$F37,jt!$O:$O,加弹汇总表!$C$1&amp;"/"&amp;加弹汇总表!$D$1&amp;"/"&amp;加弹汇总表!BA$2)</f>
        <v>0</v>
      </c>
      <c r="BB37" s="8">
        <f>SUMIFS(jt!$M:$M,jt!$B:$B,加弹汇总表!$B37,jt!$D:$D,加弹汇总表!$C37,jt!$F:$F,加弹汇总表!$F37,jt!$O:$O,加弹汇总表!$C$1&amp;"/"&amp;加弹汇总表!$D$1&amp;"/"&amp;加弹汇总表!BB$2)</f>
        <v>0</v>
      </c>
      <c r="BC37" s="8">
        <f>SUMIFS(jt!$M:$M,jt!$B:$B,加弹汇总表!$B37,jt!$D:$D,加弹汇总表!$C37,jt!$F:$F,加弹汇总表!$F37,jt!$O:$O,加弹汇总表!$C$1&amp;"/"&amp;加弹汇总表!$D$1&amp;"/"&amp;加弹汇总表!BC$2)</f>
        <v>0</v>
      </c>
      <c r="BD37" s="8">
        <f>SUMIFS(jt!$M:$M,jt!$B:$B,加弹汇总表!$B37,jt!$D:$D,加弹汇总表!$C37,jt!$F:$F,加弹汇总表!$F37,jt!$O:$O,加弹汇总表!$C$1&amp;"/"&amp;加弹汇总表!$D$1&amp;"/"&amp;加弹汇总表!BD$2)</f>
        <v>0</v>
      </c>
      <c r="BE37" s="8">
        <f>SUMIFS(jt!$M:$M,jt!$B:$B,加弹汇总表!$B37,jt!$D:$D,加弹汇总表!$C37,jt!$F:$F,加弹汇总表!$F37,jt!$O:$O,加弹汇总表!$C$1&amp;"/"&amp;加弹汇总表!$D$1&amp;"/"&amp;加弹汇总表!BE$2)</f>
        <v>0</v>
      </c>
      <c r="BF37" s="8">
        <f>SUMIFS(jt!$M:$M,jt!$B:$B,加弹汇总表!$B37,jt!$D:$D,加弹汇总表!$C37,jt!$F:$F,加弹汇总表!$F37,jt!$O:$O,加弹汇总表!$C$1&amp;"/"&amp;加弹汇总表!$D$1&amp;"/"&amp;加弹汇总表!BF$2)</f>
        <v>0</v>
      </c>
      <c r="BG37" s="8">
        <f>SUMIFS(jt!$M:$M,jt!$B:$B,加弹汇总表!$B37,jt!$D:$D,加弹汇总表!$C37,jt!$F:$F,加弹汇总表!$F37,jt!$O:$O,加弹汇总表!$C$1&amp;"/"&amp;加弹汇总表!$D$1&amp;"/"&amp;加弹汇总表!BG$2)</f>
        <v>0</v>
      </c>
      <c r="BH37" s="8">
        <f>SUMIFS(jt!$M:$M,jt!$B:$B,加弹汇总表!$B37,jt!$D:$D,加弹汇总表!$C37,jt!$F:$F,加弹汇总表!$F37,jt!$O:$O,加弹汇总表!$C$1&amp;"/"&amp;加弹汇总表!$D$1&amp;"/"&amp;加弹汇总表!BH$2)</f>
        <v>0</v>
      </c>
      <c r="BI37" s="8">
        <f>SUMIFS(jt!$M:$M,jt!$B:$B,加弹汇总表!$B37,jt!$D:$D,加弹汇总表!$C37,jt!$F:$F,加弹汇总表!$F37,jt!$O:$O,加弹汇总表!$C$1&amp;"/"&amp;加弹汇总表!$D$1&amp;"/"&amp;加弹汇总表!BI$2)</f>
        <v>0</v>
      </c>
      <c r="BJ37" s="8">
        <f>SUMIFS(jt!$M:$M,jt!$B:$B,加弹汇总表!$B37,jt!$D:$D,加弹汇总表!$C37,jt!$F:$F,加弹汇总表!$F37,jt!$O:$O,加弹汇总表!$C$1&amp;"/"&amp;加弹汇总表!$D$1&amp;"/"&amp;加弹汇总表!BJ$2)</f>
        <v>0</v>
      </c>
      <c r="BK37" s="8">
        <f>SUMIFS(jt!$M:$M,jt!$B:$B,加弹汇总表!$B37,jt!$D:$D,加弹汇总表!$C37,jt!$F:$F,加弹汇总表!$F37,jt!$O:$O,加弹汇总表!$C$1&amp;"/"&amp;加弹汇总表!$D$1&amp;"/"&amp;加弹汇总表!BK$2)</f>
        <v>0</v>
      </c>
      <c r="BL37" s="8">
        <f>SUMIFS(jt!$M:$M,jt!$B:$B,加弹汇总表!$B37,jt!$D:$D,加弹汇总表!$C37,jt!$F:$F,加弹汇总表!$F37,jt!$O:$O,加弹汇总表!$C$1&amp;"/"&amp;加弹汇总表!$D$1&amp;"/"&amp;加弹汇总表!BL$2)</f>
        <v>0</v>
      </c>
      <c r="BM37" s="8">
        <f>SUMIFS(jt!$M:$M,jt!$B:$B,加弹汇总表!$B37,jt!$D:$D,加弹汇总表!$C37,jt!$F:$F,加弹汇总表!$F37,jt!$O:$O,加弹汇总表!$C$1&amp;"/"&amp;加弹汇总表!$D$1&amp;"/"&amp;加弹汇总表!BM$2)</f>
        <v>0</v>
      </c>
      <c r="BN37" s="8">
        <f>SUMIFS(jt!$M:$M,jt!$B:$B,加弹汇总表!$B37,jt!$D:$D,加弹汇总表!$C37,jt!$F:$F,加弹汇总表!$F37,jt!$O:$O,加弹汇总表!$C$1&amp;"/"&amp;加弹汇总表!$D$1&amp;"/"&amp;加弹汇总表!BN$2)</f>
        <v>0</v>
      </c>
      <c r="BO37" s="8">
        <f>SUMIFS(jt!$M:$M,jt!$B:$B,加弹汇总表!$B37,jt!$D:$D,加弹汇总表!$C37,jt!$F:$F,加弹汇总表!$F37,jt!$O:$O,加弹汇总表!$C$1&amp;"/"&amp;加弹汇总表!$D$1&amp;"/"&amp;加弹汇总表!BO$2)</f>
        <v>0</v>
      </c>
      <c r="BP37" s="8">
        <f>SUMIFS(jt!$M:$M,jt!$B:$B,加弹汇总表!$B37,jt!$D:$D,加弹汇总表!$C37,jt!$F:$F,加弹汇总表!$F37,jt!$O:$O,加弹汇总表!$C$1&amp;"/"&amp;加弹汇总表!$D$1&amp;"/"&amp;加弹汇总表!BP$2)</f>
        <v>0</v>
      </c>
      <c r="BQ37" s="8">
        <f>SUMIFS(jt!$M:$M,jt!$B:$B,加弹汇总表!$B37,jt!$D:$D,加弹汇总表!$C37,jt!$F:$F,加弹汇总表!$F37,jt!$O:$O,加弹汇总表!$C$1&amp;"/"&amp;加弹汇总表!$D$1&amp;"/"&amp;加弹汇总表!BQ$2)</f>
        <v>0</v>
      </c>
      <c r="BR37" s="8">
        <f>SUMIFS(jt!$M:$M,jt!$B:$B,加弹汇总表!$B37,jt!$D:$D,加弹汇总表!$C37,jt!$F:$F,加弹汇总表!$F37,jt!$O:$O,加弹汇总表!$C$1&amp;"/"&amp;加弹汇总表!$D$1&amp;"/"&amp;加弹汇总表!BR$2)</f>
        <v>0</v>
      </c>
      <c r="BS37" s="8">
        <f>SUMIFS(jt!$M:$M,jt!$B:$B,加弹汇总表!$B37,jt!$D:$D,加弹汇总表!$C37,jt!$F:$F,加弹汇总表!$F37,jt!$O:$O,加弹汇总表!$C$1&amp;"/"&amp;加弹汇总表!$D$1&amp;"/"&amp;加弹汇总表!BS$2)</f>
        <v>0</v>
      </c>
    </row>
    <row r="38" spans="1:71" ht="18" customHeight="1">
      <c r="A38" s="250" t="str">
        <f t="shared" si="4"/>
        <v>HP06080200D355/96黑</v>
      </c>
      <c r="B38" s="14" t="s">
        <v>875</v>
      </c>
      <c r="C38" s="98" t="s">
        <v>876</v>
      </c>
      <c r="D38" s="53" t="s">
        <v>441</v>
      </c>
      <c r="E38" s="78"/>
      <c r="F38" s="53" t="s">
        <v>1</v>
      </c>
      <c r="G38" s="53" t="s">
        <v>443</v>
      </c>
      <c r="H38" s="53"/>
      <c r="I38" s="246">
        <f ca="1">IF(SUMIFS(jt!M:M,jt!A:A,加弹汇总表!A38,jt!O:O,加弹汇总表!$E$1)=0,0,SUM(AO38:BS38)/COUNTIF(AO38:BS38,"&lt;&gt;0"))</f>
        <v>0</v>
      </c>
      <c r="J38" s="53">
        <f t="shared" si="5"/>
        <v>0</v>
      </c>
      <c r="K38" s="53">
        <f t="shared" si="6"/>
        <v>0</v>
      </c>
      <c r="L38" s="53">
        <f t="shared" si="7"/>
        <v>0</v>
      </c>
      <c r="M38" s="53">
        <f t="shared" si="0"/>
        <v>0</v>
      </c>
      <c r="N38" s="53"/>
      <c r="O38" s="53">
        <f t="shared" si="15"/>
        <v>0</v>
      </c>
      <c r="P38" s="53">
        <f t="shared" si="2"/>
        <v>0</v>
      </c>
      <c r="Q38" s="53">
        <f t="shared" si="3"/>
        <v>0</v>
      </c>
      <c r="R38" s="60">
        <f>SUMIFS(jt!$K:$K,jt!$A:$A,加弹汇总表!$A38,jt!$R:$R,加弹汇总表!R$2)</f>
        <v>0</v>
      </c>
      <c r="S38" s="60">
        <f>SUMIFS(jt!$K:$K,jt!$A:$A,加弹汇总表!$A38,jt!$R:$R,加弹汇总表!S$2)</f>
        <v>0</v>
      </c>
      <c r="T38" s="60">
        <f>SUMIFS(jt!$K:$K,jt!$A:$A,加弹汇总表!$A38,jt!$R:$R,加弹汇总表!T$2)</f>
        <v>0</v>
      </c>
      <c r="U38" s="60">
        <f>SUMIFS(jt!$J:$J,jt!$A:$A,加弹汇总表!$A38,jt!$R:$R,加弹汇总表!U$2)</f>
        <v>0</v>
      </c>
      <c r="V38" s="60">
        <f>SUMIFS(jt!$J:$J,jt!$A:$A,加弹汇总表!$A38,jt!$R:$R,加弹汇总表!V$2)</f>
        <v>0</v>
      </c>
      <c r="W38" s="60">
        <f>SUMIFS(jt!$J:$J,jt!$A:$A,加弹汇总表!$A38,jt!$R:$R,加弹汇总表!W$2)</f>
        <v>0</v>
      </c>
      <c r="X38" s="61">
        <f>SUMIFS(jt!$L:$L,jt!$A:$A,加弹汇总表!$A38,jt!$R:$R,加弹汇总表!X$2)</f>
        <v>0</v>
      </c>
      <c r="Y38" s="61">
        <f>SUMIFS(jt!$L:$L,jt!$A:$A,加弹汇总表!$A38,jt!$R:$R,加弹汇总表!Y$2)</f>
        <v>0</v>
      </c>
      <c r="Z38" s="61">
        <f>SUMIFS(jt!$L:$L,jt!$A:$A,加弹汇总表!$A38,jt!$R:$R,加弹汇总表!Z$2)</f>
        <v>0</v>
      </c>
      <c r="AA38" s="62">
        <f>SUMIFS(jt!$M:$M,jt!$A:$A,加弹汇总表!$A38,jt!$R:$R,加弹汇总表!AA$2)</f>
        <v>0</v>
      </c>
      <c r="AB38" s="62">
        <f>SUMIFS(jt!$M:$M,jt!$A:$A,加弹汇总表!$A38,jt!$R:$R,加弹汇总表!AB$2)</f>
        <v>0</v>
      </c>
      <c r="AC38" s="62">
        <f>SUMIFS(jt!$M:$M,jt!$A:$A,加弹汇总表!$A38,jt!$R:$R,加弹汇总表!AC$2)</f>
        <v>0</v>
      </c>
      <c r="AD38" s="63">
        <f>SUMIFS(jt!$N:$N,jt!$A:$A,加弹汇总表!$A38,jt!$R:$R,加弹汇总表!AD$2)</f>
        <v>0</v>
      </c>
      <c r="AE38" s="63">
        <f>SUMIFS(jt!$N:$N,jt!$A:$A,加弹汇总表!$A38,jt!$R:$R,加弹汇总表!AE$2)</f>
        <v>0</v>
      </c>
      <c r="AF38" s="63">
        <f>SUMIFS(jt!$N:$N,jt!$A:$A,加弹汇总表!$A38,jt!$R:$R,加弹汇总表!AF$2)</f>
        <v>0</v>
      </c>
      <c r="AG38" s="64">
        <f>SUMIFS(jt!$M:$M,jt!$A:$A,加弹汇总表!$A38,jt!$C:$C,加弹汇总表!AG$2)</f>
        <v>0</v>
      </c>
      <c r="AH38" s="64">
        <f>SUMIFS(jt!$M:$M,jt!$A:$A,加弹汇总表!$A38,jt!$C:$C,加弹汇总表!AH$2)</f>
        <v>0</v>
      </c>
      <c r="AI38" s="64">
        <f>SUMIFS(jt!$M:$M,jt!$A:$A,加弹汇总表!$A38,jt!$C:$C,加弹汇总表!AI$2)</f>
        <v>0</v>
      </c>
      <c r="AJ38" s="64">
        <f>SUMIFS(jt!$M:$M,jt!$A:$A,加弹汇总表!$A38,jt!$C:$C,加弹汇总表!AJ$2)</f>
        <v>0</v>
      </c>
      <c r="AK38" s="64">
        <f>SUMIFS(jt!$M:$M,jt!$A:$A,加弹汇总表!$A38,jt!$C:$C,加弹汇总表!AK$2)</f>
        <v>0</v>
      </c>
      <c r="AL38" s="64">
        <f>SUMIFS(jt!$M:$M,jt!$A:$A,加弹汇总表!$A38,jt!$C:$C,加弹汇总表!AL$2)</f>
        <v>0</v>
      </c>
      <c r="AM38" s="64">
        <f>SUMIFS(jt!$M:$M,jt!$A:$A,加弹汇总表!$A38,jt!$C:$C,加弹汇总表!AM$2)</f>
        <v>0</v>
      </c>
      <c r="AN38" s="80">
        <f>SUMIFS(jt!$M:$M,jt!$A:$A,加弹汇总表!$A38,jt!$C:$C,加弹汇总表!AN$2)</f>
        <v>0</v>
      </c>
      <c r="AO38" s="8">
        <f>SUMIFS(jt!$M:$M,jt!$B:$B,加弹汇总表!$B38,jt!$D:$D,加弹汇总表!$C38,jt!$F:$F,加弹汇总表!$F38,jt!$O:$O,加弹汇总表!$C$1&amp;"/"&amp;加弹汇总表!$D$1&amp;"/"&amp;加弹汇总表!AO$2)</f>
        <v>0</v>
      </c>
      <c r="AP38" s="8">
        <f>SUMIFS(jt!$M:$M,jt!$B:$B,加弹汇总表!$B38,jt!$D:$D,加弹汇总表!$C38,jt!$F:$F,加弹汇总表!$F38,jt!$O:$O,加弹汇总表!$C$1&amp;"/"&amp;加弹汇总表!$D$1&amp;"/"&amp;加弹汇总表!AP$2)</f>
        <v>0</v>
      </c>
      <c r="AQ38" s="8">
        <f>SUMIFS(jt!$M:$M,jt!$B:$B,加弹汇总表!$B38,jt!$D:$D,加弹汇总表!$C38,jt!$F:$F,加弹汇总表!$F38,jt!$O:$O,加弹汇总表!$C$1&amp;"/"&amp;加弹汇总表!$D$1&amp;"/"&amp;加弹汇总表!AQ$2)</f>
        <v>0</v>
      </c>
      <c r="AR38" s="8">
        <f>SUMIFS(jt!$M:$M,jt!$B:$B,加弹汇总表!$B38,jt!$D:$D,加弹汇总表!$C38,jt!$F:$F,加弹汇总表!$F38,jt!$O:$O,加弹汇总表!$C$1&amp;"/"&amp;加弹汇总表!$D$1&amp;"/"&amp;加弹汇总表!AR$2)</f>
        <v>0</v>
      </c>
      <c r="AS38" s="8">
        <f>SUMIFS(jt!$M:$M,jt!$B:$B,加弹汇总表!$B38,jt!$D:$D,加弹汇总表!$C38,jt!$F:$F,加弹汇总表!$F38,jt!$O:$O,加弹汇总表!$C$1&amp;"/"&amp;加弹汇总表!$D$1&amp;"/"&amp;加弹汇总表!AS$2)</f>
        <v>0</v>
      </c>
      <c r="AT38" s="8">
        <f>SUMIFS(jt!$M:$M,jt!$B:$B,加弹汇总表!$B38,jt!$D:$D,加弹汇总表!$C38,jt!$F:$F,加弹汇总表!$F38,jt!$O:$O,加弹汇总表!$C$1&amp;"/"&amp;加弹汇总表!$D$1&amp;"/"&amp;加弹汇总表!AT$2)</f>
        <v>0</v>
      </c>
      <c r="AU38" s="8">
        <f>SUMIFS(jt!$M:$M,jt!$B:$B,加弹汇总表!$B38,jt!$D:$D,加弹汇总表!$C38,jt!$F:$F,加弹汇总表!$F38,jt!$O:$O,加弹汇总表!$C$1&amp;"/"&amp;加弹汇总表!$D$1&amp;"/"&amp;加弹汇总表!AU$2)</f>
        <v>0</v>
      </c>
      <c r="AV38" s="8">
        <f>SUMIFS(jt!$M:$M,jt!$B:$B,加弹汇总表!$B38,jt!$D:$D,加弹汇总表!$C38,jt!$F:$F,加弹汇总表!$F38,jt!$O:$O,加弹汇总表!$C$1&amp;"/"&amp;加弹汇总表!$D$1&amp;"/"&amp;加弹汇总表!AV$2)</f>
        <v>0</v>
      </c>
      <c r="AW38" s="8">
        <f>SUMIFS(jt!$M:$M,jt!$B:$B,加弹汇总表!$B38,jt!$D:$D,加弹汇总表!$C38,jt!$F:$F,加弹汇总表!$F38,jt!$O:$O,加弹汇总表!$C$1&amp;"/"&amp;加弹汇总表!$D$1&amp;"/"&amp;加弹汇总表!AW$2)</f>
        <v>0</v>
      </c>
      <c r="AX38" s="8">
        <f>SUMIFS(jt!$M:$M,jt!$B:$B,加弹汇总表!$B38,jt!$D:$D,加弹汇总表!$C38,jt!$F:$F,加弹汇总表!$F38,jt!$O:$O,加弹汇总表!$C$1&amp;"/"&amp;加弹汇总表!$D$1&amp;"/"&amp;加弹汇总表!AX$2)</f>
        <v>0</v>
      </c>
      <c r="AY38" s="8">
        <f>SUMIFS(jt!$M:$M,jt!$B:$B,加弹汇总表!$B38,jt!$D:$D,加弹汇总表!$C38,jt!$F:$F,加弹汇总表!$F38,jt!$O:$O,加弹汇总表!$C$1&amp;"/"&amp;加弹汇总表!$D$1&amp;"/"&amp;加弹汇总表!AY$2)</f>
        <v>0</v>
      </c>
      <c r="AZ38" s="8">
        <f>SUMIFS(jt!$M:$M,jt!$B:$B,加弹汇总表!$B38,jt!$D:$D,加弹汇总表!$C38,jt!$F:$F,加弹汇总表!$F38,jt!$O:$O,加弹汇总表!$C$1&amp;"/"&amp;加弹汇总表!$D$1&amp;"/"&amp;加弹汇总表!AZ$2)</f>
        <v>0</v>
      </c>
      <c r="BA38" s="8">
        <f>SUMIFS(jt!$M:$M,jt!$B:$B,加弹汇总表!$B38,jt!$D:$D,加弹汇总表!$C38,jt!$F:$F,加弹汇总表!$F38,jt!$O:$O,加弹汇总表!$C$1&amp;"/"&amp;加弹汇总表!$D$1&amp;"/"&amp;加弹汇总表!BA$2)</f>
        <v>0</v>
      </c>
      <c r="BB38" s="8">
        <f>SUMIFS(jt!$M:$M,jt!$B:$B,加弹汇总表!$B38,jt!$D:$D,加弹汇总表!$C38,jt!$F:$F,加弹汇总表!$F38,jt!$O:$O,加弹汇总表!$C$1&amp;"/"&amp;加弹汇总表!$D$1&amp;"/"&amp;加弹汇总表!BB$2)</f>
        <v>0</v>
      </c>
      <c r="BC38" s="8">
        <f>SUMIFS(jt!$M:$M,jt!$B:$B,加弹汇总表!$B38,jt!$D:$D,加弹汇总表!$C38,jt!$F:$F,加弹汇总表!$F38,jt!$O:$O,加弹汇总表!$C$1&amp;"/"&amp;加弹汇总表!$D$1&amp;"/"&amp;加弹汇总表!BC$2)</f>
        <v>0</v>
      </c>
      <c r="BD38" s="8">
        <f>SUMIFS(jt!$M:$M,jt!$B:$B,加弹汇总表!$B38,jt!$D:$D,加弹汇总表!$C38,jt!$F:$F,加弹汇总表!$F38,jt!$O:$O,加弹汇总表!$C$1&amp;"/"&amp;加弹汇总表!$D$1&amp;"/"&amp;加弹汇总表!BD$2)</f>
        <v>0</v>
      </c>
      <c r="BE38" s="8">
        <f>SUMIFS(jt!$M:$M,jt!$B:$B,加弹汇总表!$B38,jt!$D:$D,加弹汇总表!$C38,jt!$F:$F,加弹汇总表!$F38,jt!$O:$O,加弹汇总表!$C$1&amp;"/"&amp;加弹汇总表!$D$1&amp;"/"&amp;加弹汇总表!BE$2)</f>
        <v>0</v>
      </c>
      <c r="BF38" s="8">
        <f>SUMIFS(jt!$M:$M,jt!$B:$B,加弹汇总表!$B38,jt!$D:$D,加弹汇总表!$C38,jt!$F:$F,加弹汇总表!$F38,jt!$O:$O,加弹汇总表!$C$1&amp;"/"&amp;加弹汇总表!$D$1&amp;"/"&amp;加弹汇总表!BF$2)</f>
        <v>0</v>
      </c>
      <c r="BG38" s="8">
        <f>SUMIFS(jt!$M:$M,jt!$B:$B,加弹汇总表!$B38,jt!$D:$D,加弹汇总表!$C38,jt!$F:$F,加弹汇总表!$F38,jt!$O:$O,加弹汇总表!$C$1&amp;"/"&amp;加弹汇总表!$D$1&amp;"/"&amp;加弹汇总表!BG$2)</f>
        <v>0</v>
      </c>
      <c r="BH38" s="8">
        <f>SUMIFS(jt!$M:$M,jt!$B:$B,加弹汇总表!$B38,jt!$D:$D,加弹汇总表!$C38,jt!$F:$F,加弹汇总表!$F38,jt!$O:$O,加弹汇总表!$C$1&amp;"/"&amp;加弹汇总表!$D$1&amp;"/"&amp;加弹汇总表!BH$2)</f>
        <v>0</v>
      </c>
      <c r="BI38" s="8">
        <f>SUMIFS(jt!$M:$M,jt!$B:$B,加弹汇总表!$B38,jt!$D:$D,加弹汇总表!$C38,jt!$F:$F,加弹汇总表!$F38,jt!$O:$O,加弹汇总表!$C$1&amp;"/"&amp;加弹汇总表!$D$1&amp;"/"&amp;加弹汇总表!BI$2)</f>
        <v>0</v>
      </c>
      <c r="BJ38" s="8">
        <f>SUMIFS(jt!$M:$M,jt!$B:$B,加弹汇总表!$B38,jt!$D:$D,加弹汇总表!$C38,jt!$F:$F,加弹汇总表!$F38,jt!$O:$O,加弹汇总表!$C$1&amp;"/"&amp;加弹汇总表!$D$1&amp;"/"&amp;加弹汇总表!BJ$2)</f>
        <v>0</v>
      </c>
      <c r="BK38" s="8">
        <f>SUMIFS(jt!$M:$M,jt!$B:$B,加弹汇总表!$B38,jt!$D:$D,加弹汇总表!$C38,jt!$F:$F,加弹汇总表!$F38,jt!$O:$O,加弹汇总表!$C$1&amp;"/"&amp;加弹汇总表!$D$1&amp;"/"&amp;加弹汇总表!BK$2)</f>
        <v>0</v>
      </c>
      <c r="BL38" s="8">
        <f>SUMIFS(jt!$M:$M,jt!$B:$B,加弹汇总表!$B38,jt!$D:$D,加弹汇总表!$C38,jt!$F:$F,加弹汇总表!$F38,jt!$O:$O,加弹汇总表!$C$1&amp;"/"&amp;加弹汇总表!$D$1&amp;"/"&amp;加弹汇总表!BL$2)</f>
        <v>0</v>
      </c>
      <c r="BM38" s="8">
        <f>SUMIFS(jt!$M:$M,jt!$B:$B,加弹汇总表!$B38,jt!$D:$D,加弹汇总表!$C38,jt!$F:$F,加弹汇总表!$F38,jt!$O:$O,加弹汇总表!$C$1&amp;"/"&amp;加弹汇总表!$D$1&amp;"/"&amp;加弹汇总表!BM$2)</f>
        <v>0</v>
      </c>
      <c r="BN38" s="8">
        <f>SUMIFS(jt!$M:$M,jt!$B:$B,加弹汇总表!$B38,jt!$D:$D,加弹汇总表!$C38,jt!$F:$F,加弹汇总表!$F38,jt!$O:$O,加弹汇总表!$C$1&amp;"/"&amp;加弹汇总表!$D$1&amp;"/"&amp;加弹汇总表!BN$2)</f>
        <v>0</v>
      </c>
      <c r="BO38" s="8">
        <f>SUMIFS(jt!$M:$M,jt!$B:$B,加弹汇总表!$B38,jt!$D:$D,加弹汇总表!$C38,jt!$F:$F,加弹汇总表!$F38,jt!$O:$O,加弹汇总表!$C$1&amp;"/"&amp;加弹汇总表!$D$1&amp;"/"&amp;加弹汇总表!BO$2)</f>
        <v>0</v>
      </c>
      <c r="BP38" s="8">
        <f>SUMIFS(jt!$M:$M,jt!$B:$B,加弹汇总表!$B38,jt!$D:$D,加弹汇总表!$C38,jt!$F:$F,加弹汇总表!$F38,jt!$O:$O,加弹汇总表!$C$1&amp;"/"&amp;加弹汇总表!$D$1&amp;"/"&amp;加弹汇总表!BP$2)</f>
        <v>0</v>
      </c>
      <c r="BQ38" s="8">
        <f>SUMIFS(jt!$M:$M,jt!$B:$B,加弹汇总表!$B38,jt!$D:$D,加弹汇总表!$C38,jt!$F:$F,加弹汇总表!$F38,jt!$O:$O,加弹汇总表!$C$1&amp;"/"&amp;加弹汇总表!$D$1&amp;"/"&amp;加弹汇总表!BQ$2)</f>
        <v>0</v>
      </c>
      <c r="BR38" s="8">
        <f>SUMIFS(jt!$M:$M,jt!$B:$B,加弹汇总表!$B38,jt!$D:$D,加弹汇总表!$C38,jt!$F:$F,加弹汇总表!$F38,jt!$O:$O,加弹汇总表!$C$1&amp;"/"&amp;加弹汇总表!$D$1&amp;"/"&amp;加弹汇总表!BR$2)</f>
        <v>0</v>
      </c>
      <c r="BS38" s="8">
        <f>SUMIFS(jt!$M:$M,jt!$B:$B,加弹汇总表!$B38,jt!$D:$D,加弹汇总表!$C38,jt!$F:$F,加弹汇总表!$F38,jt!$O:$O,加弹汇总表!$C$1&amp;"/"&amp;加弹汇总表!$D$1&amp;"/"&amp;加弹汇总表!BS$2)</f>
        <v>0</v>
      </c>
    </row>
    <row r="39" spans="1:71" ht="18" customHeight="1">
      <c r="A39" s="250" t="str">
        <f t="shared" si="4"/>
        <v>KP12005200DD大圆机355/96白</v>
      </c>
      <c r="B39" s="14" t="s">
        <v>444</v>
      </c>
      <c r="C39" s="98" t="s">
        <v>877</v>
      </c>
      <c r="D39" s="53" t="s">
        <v>441</v>
      </c>
      <c r="E39" s="78"/>
      <c r="F39" s="53" t="s">
        <v>2</v>
      </c>
      <c r="G39" s="53" t="s">
        <v>443</v>
      </c>
      <c r="H39" s="53"/>
      <c r="I39" s="246">
        <f ca="1">IF(SUMIFS(jt!M:M,jt!A:A,加弹汇总表!A39,jt!O:O,加弹汇总表!$E$1)=0,0,SUM(AO39:BS39)/COUNTIF(AO39:BS39,"&lt;&gt;0"))</f>
        <v>0</v>
      </c>
      <c r="J39" s="53">
        <f t="shared" si="5"/>
        <v>0</v>
      </c>
      <c r="K39" s="53">
        <f t="shared" si="6"/>
        <v>0</v>
      </c>
      <c r="L39" s="53">
        <f t="shared" si="7"/>
        <v>0</v>
      </c>
      <c r="M39" s="53">
        <f t="shared" si="0"/>
        <v>0</v>
      </c>
      <c r="N39" s="53"/>
      <c r="O39" s="53">
        <f t="shared" si="15"/>
        <v>0</v>
      </c>
      <c r="P39" s="53">
        <f t="shared" si="2"/>
        <v>0</v>
      </c>
      <c r="Q39" s="53">
        <f t="shared" si="3"/>
        <v>0</v>
      </c>
      <c r="R39" s="60">
        <f>SUMIFS(jt!$K:$K,jt!$A:$A,加弹汇总表!$A39,jt!$R:$R,加弹汇总表!R$2)</f>
        <v>0</v>
      </c>
      <c r="S39" s="60">
        <f>SUMIFS(jt!$K:$K,jt!$A:$A,加弹汇总表!$A39,jt!$R:$R,加弹汇总表!S$2)</f>
        <v>0</v>
      </c>
      <c r="T39" s="60">
        <f>SUMIFS(jt!$K:$K,jt!$A:$A,加弹汇总表!$A39,jt!$R:$R,加弹汇总表!T$2)</f>
        <v>0</v>
      </c>
      <c r="U39" s="60">
        <f>SUMIFS(jt!$J:$J,jt!$A:$A,加弹汇总表!$A39,jt!$R:$R,加弹汇总表!U$2)</f>
        <v>0</v>
      </c>
      <c r="V39" s="60">
        <f>SUMIFS(jt!$J:$J,jt!$A:$A,加弹汇总表!$A39,jt!$R:$R,加弹汇总表!V$2)</f>
        <v>0</v>
      </c>
      <c r="W39" s="60">
        <f>SUMIFS(jt!$J:$J,jt!$A:$A,加弹汇总表!$A39,jt!$R:$R,加弹汇总表!W$2)</f>
        <v>0</v>
      </c>
      <c r="X39" s="61">
        <f>SUMIFS(jt!$L:$L,jt!$A:$A,加弹汇总表!$A39,jt!$R:$R,加弹汇总表!X$2)</f>
        <v>0</v>
      </c>
      <c r="Y39" s="61">
        <f>SUMIFS(jt!$L:$L,jt!$A:$A,加弹汇总表!$A39,jt!$R:$R,加弹汇总表!Y$2)</f>
        <v>0</v>
      </c>
      <c r="Z39" s="61">
        <f>SUMIFS(jt!$L:$L,jt!$A:$A,加弹汇总表!$A39,jt!$R:$R,加弹汇总表!Z$2)</f>
        <v>0</v>
      </c>
      <c r="AA39" s="62">
        <f>SUMIFS(jt!$M:$M,jt!$A:$A,加弹汇总表!$A39,jt!$R:$R,加弹汇总表!AA$2)</f>
        <v>0</v>
      </c>
      <c r="AB39" s="62">
        <f>SUMIFS(jt!$M:$M,jt!$A:$A,加弹汇总表!$A39,jt!$R:$R,加弹汇总表!AB$2)</f>
        <v>0</v>
      </c>
      <c r="AC39" s="62">
        <f>SUMIFS(jt!$M:$M,jt!$A:$A,加弹汇总表!$A39,jt!$R:$R,加弹汇总表!AC$2)</f>
        <v>0</v>
      </c>
      <c r="AD39" s="63">
        <f>SUMIFS(jt!$N:$N,jt!$A:$A,加弹汇总表!$A39,jt!$R:$R,加弹汇总表!AD$2)</f>
        <v>0</v>
      </c>
      <c r="AE39" s="63">
        <f>SUMIFS(jt!$N:$N,jt!$A:$A,加弹汇总表!$A39,jt!$R:$R,加弹汇总表!AE$2)</f>
        <v>0</v>
      </c>
      <c r="AF39" s="63">
        <f>SUMIFS(jt!$N:$N,jt!$A:$A,加弹汇总表!$A39,jt!$R:$R,加弹汇总表!AF$2)</f>
        <v>0</v>
      </c>
      <c r="AG39" s="64">
        <f>SUMIFS(jt!$M:$M,jt!$A:$A,加弹汇总表!$A39,jt!$C:$C,加弹汇总表!AG$2)</f>
        <v>0</v>
      </c>
      <c r="AH39" s="64">
        <f>SUMIFS(jt!$M:$M,jt!$A:$A,加弹汇总表!$A39,jt!$C:$C,加弹汇总表!AH$2)</f>
        <v>0</v>
      </c>
      <c r="AI39" s="64">
        <f>SUMIFS(jt!$M:$M,jt!$A:$A,加弹汇总表!$A39,jt!$C:$C,加弹汇总表!AI$2)</f>
        <v>0</v>
      </c>
      <c r="AJ39" s="64">
        <f>SUMIFS(jt!$M:$M,jt!$A:$A,加弹汇总表!$A39,jt!$C:$C,加弹汇总表!AJ$2)</f>
        <v>0</v>
      </c>
      <c r="AK39" s="64">
        <f>SUMIFS(jt!$M:$M,jt!$A:$A,加弹汇总表!$A39,jt!$C:$C,加弹汇总表!AK$2)</f>
        <v>0</v>
      </c>
      <c r="AL39" s="64">
        <f>SUMIFS(jt!$M:$M,jt!$A:$A,加弹汇总表!$A39,jt!$C:$C,加弹汇总表!AL$2)</f>
        <v>0</v>
      </c>
      <c r="AM39" s="64">
        <f>SUMIFS(jt!$M:$M,jt!$A:$A,加弹汇总表!$A39,jt!$C:$C,加弹汇总表!AM$2)</f>
        <v>0</v>
      </c>
      <c r="AN39" s="80">
        <f>SUMIFS(jt!$M:$M,jt!$A:$A,加弹汇总表!$A39,jt!$C:$C,加弹汇总表!AN$2)</f>
        <v>0</v>
      </c>
      <c r="AO39" s="8">
        <f>SUMIFS(jt!$M:$M,jt!$B:$B,加弹汇总表!$B39,jt!$D:$D,加弹汇总表!$C39,jt!$F:$F,加弹汇总表!$F39,jt!$O:$O,加弹汇总表!$C$1&amp;"/"&amp;加弹汇总表!$D$1&amp;"/"&amp;加弹汇总表!AO$2)</f>
        <v>0</v>
      </c>
      <c r="AP39" s="8">
        <f>SUMIFS(jt!$M:$M,jt!$B:$B,加弹汇总表!$B39,jt!$D:$D,加弹汇总表!$C39,jt!$F:$F,加弹汇总表!$F39,jt!$O:$O,加弹汇总表!$C$1&amp;"/"&amp;加弹汇总表!$D$1&amp;"/"&amp;加弹汇总表!AP$2)</f>
        <v>0</v>
      </c>
      <c r="AQ39" s="8">
        <f>SUMIFS(jt!$M:$M,jt!$B:$B,加弹汇总表!$B39,jt!$D:$D,加弹汇总表!$C39,jt!$F:$F,加弹汇总表!$F39,jt!$O:$O,加弹汇总表!$C$1&amp;"/"&amp;加弹汇总表!$D$1&amp;"/"&amp;加弹汇总表!AQ$2)</f>
        <v>0</v>
      </c>
      <c r="AR39" s="8">
        <f>SUMIFS(jt!$M:$M,jt!$B:$B,加弹汇总表!$B39,jt!$D:$D,加弹汇总表!$C39,jt!$F:$F,加弹汇总表!$F39,jt!$O:$O,加弹汇总表!$C$1&amp;"/"&amp;加弹汇总表!$D$1&amp;"/"&amp;加弹汇总表!AR$2)</f>
        <v>0</v>
      </c>
      <c r="AS39" s="8">
        <f>SUMIFS(jt!$M:$M,jt!$B:$B,加弹汇总表!$B39,jt!$D:$D,加弹汇总表!$C39,jt!$F:$F,加弹汇总表!$F39,jt!$O:$O,加弹汇总表!$C$1&amp;"/"&amp;加弹汇总表!$D$1&amp;"/"&amp;加弹汇总表!AS$2)</f>
        <v>0</v>
      </c>
      <c r="AT39" s="8">
        <f>SUMIFS(jt!$M:$M,jt!$B:$B,加弹汇总表!$B39,jt!$D:$D,加弹汇总表!$C39,jt!$F:$F,加弹汇总表!$F39,jt!$O:$O,加弹汇总表!$C$1&amp;"/"&amp;加弹汇总表!$D$1&amp;"/"&amp;加弹汇总表!AT$2)</f>
        <v>0</v>
      </c>
      <c r="AU39" s="8">
        <f>SUMIFS(jt!$M:$M,jt!$B:$B,加弹汇总表!$B39,jt!$D:$D,加弹汇总表!$C39,jt!$F:$F,加弹汇总表!$F39,jt!$O:$O,加弹汇总表!$C$1&amp;"/"&amp;加弹汇总表!$D$1&amp;"/"&amp;加弹汇总表!AU$2)</f>
        <v>0</v>
      </c>
      <c r="AV39" s="8">
        <f>SUMIFS(jt!$M:$M,jt!$B:$B,加弹汇总表!$B39,jt!$D:$D,加弹汇总表!$C39,jt!$F:$F,加弹汇总表!$F39,jt!$O:$O,加弹汇总表!$C$1&amp;"/"&amp;加弹汇总表!$D$1&amp;"/"&amp;加弹汇总表!AV$2)</f>
        <v>0</v>
      </c>
      <c r="AW39" s="8">
        <f>SUMIFS(jt!$M:$M,jt!$B:$B,加弹汇总表!$B39,jt!$D:$D,加弹汇总表!$C39,jt!$F:$F,加弹汇总表!$F39,jt!$O:$O,加弹汇总表!$C$1&amp;"/"&amp;加弹汇总表!$D$1&amp;"/"&amp;加弹汇总表!AW$2)</f>
        <v>0</v>
      </c>
      <c r="AX39" s="8">
        <f>SUMIFS(jt!$M:$M,jt!$B:$B,加弹汇总表!$B39,jt!$D:$D,加弹汇总表!$C39,jt!$F:$F,加弹汇总表!$F39,jt!$O:$O,加弹汇总表!$C$1&amp;"/"&amp;加弹汇总表!$D$1&amp;"/"&amp;加弹汇总表!AX$2)</f>
        <v>0</v>
      </c>
      <c r="AY39" s="8">
        <f>SUMIFS(jt!$M:$M,jt!$B:$B,加弹汇总表!$B39,jt!$D:$D,加弹汇总表!$C39,jt!$F:$F,加弹汇总表!$F39,jt!$O:$O,加弹汇总表!$C$1&amp;"/"&amp;加弹汇总表!$D$1&amp;"/"&amp;加弹汇总表!AY$2)</f>
        <v>0</v>
      </c>
      <c r="AZ39" s="8">
        <f>SUMIFS(jt!$M:$M,jt!$B:$B,加弹汇总表!$B39,jt!$D:$D,加弹汇总表!$C39,jt!$F:$F,加弹汇总表!$F39,jt!$O:$O,加弹汇总表!$C$1&amp;"/"&amp;加弹汇总表!$D$1&amp;"/"&amp;加弹汇总表!AZ$2)</f>
        <v>0</v>
      </c>
      <c r="BA39" s="8">
        <f>SUMIFS(jt!$M:$M,jt!$B:$B,加弹汇总表!$B39,jt!$D:$D,加弹汇总表!$C39,jt!$F:$F,加弹汇总表!$F39,jt!$O:$O,加弹汇总表!$C$1&amp;"/"&amp;加弹汇总表!$D$1&amp;"/"&amp;加弹汇总表!BA$2)</f>
        <v>0</v>
      </c>
      <c r="BB39" s="8">
        <f>SUMIFS(jt!$M:$M,jt!$B:$B,加弹汇总表!$B39,jt!$D:$D,加弹汇总表!$C39,jt!$F:$F,加弹汇总表!$F39,jt!$O:$O,加弹汇总表!$C$1&amp;"/"&amp;加弹汇总表!$D$1&amp;"/"&amp;加弹汇总表!BB$2)</f>
        <v>0</v>
      </c>
      <c r="BC39" s="8">
        <f>SUMIFS(jt!$M:$M,jt!$B:$B,加弹汇总表!$B39,jt!$D:$D,加弹汇总表!$C39,jt!$F:$F,加弹汇总表!$F39,jt!$O:$O,加弹汇总表!$C$1&amp;"/"&amp;加弹汇总表!$D$1&amp;"/"&amp;加弹汇总表!BC$2)</f>
        <v>0</v>
      </c>
      <c r="BD39" s="8">
        <f>SUMIFS(jt!$M:$M,jt!$B:$B,加弹汇总表!$B39,jt!$D:$D,加弹汇总表!$C39,jt!$F:$F,加弹汇总表!$F39,jt!$O:$O,加弹汇总表!$C$1&amp;"/"&amp;加弹汇总表!$D$1&amp;"/"&amp;加弹汇总表!BD$2)</f>
        <v>0</v>
      </c>
      <c r="BE39" s="8">
        <f>SUMIFS(jt!$M:$M,jt!$B:$B,加弹汇总表!$B39,jt!$D:$D,加弹汇总表!$C39,jt!$F:$F,加弹汇总表!$F39,jt!$O:$O,加弹汇总表!$C$1&amp;"/"&amp;加弹汇总表!$D$1&amp;"/"&amp;加弹汇总表!BE$2)</f>
        <v>0</v>
      </c>
      <c r="BF39" s="8">
        <f>SUMIFS(jt!$M:$M,jt!$B:$B,加弹汇总表!$B39,jt!$D:$D,加弹汇总表!$C39,jt!$F:$F,加弹汇总表!$F39,jt!$O:$O,加弹汇总表!$C$1&amp;"/"&amp;加弹汇总表!$D$1&amp;"/"&amp;加弹汇总表!BF$2)</f>
        <v>0</v>
      </c>
      <c r="BG39" s="8">
        <f>SUMIFS(jt!$M:$M,jt!$B:$B,加弹汇总表!$B39,jt!$D:$D,加弹汇总表!$C39,jt!$F:$F,加弹汇总表!$F39,jt!$O:$O,加弹汇总表!$C$1&amp;"/"&amp;加弹汇总表!$D$1&amp;"/"&amp;加弹汇总表!BG$2)</f>
        <v>0</v>
      </c>
      <c r="BH39" s="8">
        <f>SUMIFS(jt!$M:$M,jt!$B:$B,加弹汇总表!$B39,jt!$D:$D,加弹汇总表!$C39,jt!$F:$F,加弹汇总表!$F39,jt!$O:$O,加弹汇总表!$C$1&amp;"/"&amp;加弹汇总表!$D$1&amp;"/"&amp;加弹汇总表!BH$2)</f>
        <v>0</v>
      </c>
      <c r="BI39" s="8">
        <f>SUMIFS(jt!$M:$M,jt!$B:$B,加弹汇总表!$B39,jt!$D:$D,加弹汇总表!$C39,jt!$F:$F,加弹汇总表!$F39,jt!$O:$O,加弹汇总表!$C$1&amp;"/"&amp;加弹汇总表!$D$1&amp;"/"&amp;加弹汇总表!BI$2)</f>
        <v>0</v>
      </c>
      <c r="BJ39" s="8">
        <f>SUMIFS(jt!$M:$M,jt!$B:$B,加弹汇总表!$B39,jt!$D:$D,加弹汇总表!$C39,jt!$F:$F,加弹汇总表!$F39,jt!$O:$O,加弹汇总表!$C$1&amp;"/"&amp;加弹汇总表!$D$1&amp;"/"&amp;加弹汇总表!BJ$2)</f>
        <v>0</v>
      </c>
      <c r="BK39" s="8">
        <f>SUMIFS(jt!$M:$M,jt!$B:$B,加弹汇总表!$B39,jt!$D:$D,加弹汇总表!$C39,jt!$F:$F,加弹汇总表!$F39,jt!$O:$O,加弹汇总表!$C$1&amp;"/"&amp;加弹汇总表!$D$1&amp;"/"&amp;加弹汇总表!BK$2)</f>
        <v>0</v>
      </c>
      <c r="BL39" s="8">
        <f>SUMIFS(jt!$M:$M,jt!$B:$B,加弹汇总表!$B39,jt!$D:$D,加弹汇总表!$C39,jt!$F:$F,加弹汇总表!$F39,jt!$O:$O,加弹汇总表!$C$1&amp;"/"&amp;加弹汇总表!$D$1&amp;"/"&amp;加弹汇总表!BL$2)</f>
        <v>0</v>
      </c>
      <c r="BM39" s="8">
        <f>SUMIFS(jt!$M:$M,jt!$B:$B,加弹汇总表!$B39,jt!$D:$D,加弹汇总表!$C39,jt!$F:$F,加弹汇总表!$F39,jt!$O:$O,加弹汇总表!$C$1&amp;"/"&amp;加弹汇总表!$D$1&amp;"/"&amp;加弹汇总表!BM$2)</f>
        <v>0</v>
      </c>
      <c r="BN39" s="8">
        <f>SUMIFS(jt!$M:$M,jt!$B:$B,加弹汇总表!$B39,jt!$D:$D,加弹汇总表!$C39,jt!$F:$F,加弹汇总表!$F39,jt!$O:$O,加弹汇总表!$C$1&amp;"/"&amp;加弹汇总表!$D$1&amp;"/"&amp;加弹汇总表!BN$2)</f>
        <v>0</v>
      </c>
      <c r="BO39" s="8">
        <f>SUMIFS(jt!$M:$M,jt!$B:$B,加弹汇总表!$B39,jt!$D:$D,加弹汇总表!$C39,jt!$F:$F,加弹汇总表!$F39,jt!$O:$O,加弹汇总表!$C$1&amp;"/"&amp;加弹汇总表!$D$1&amp;"/"&amp;加弹汇总表!BO$2)</f>
        <v>0</v>
      </c>
      <c r="BP39" s="8">
        <f>SUMIFS(jt!$M:$M,jt!$B:$B,加弹汇总表!$B39,jt!$D:$D,加弹汇总表!$C39,jt!$F:$F,加弹汇总表!$F39,jt!$O:$O,加弹汇总表!$C$1&amp;"/"&amp;加弹汇总表!$D$1&amp;"/"&amp;加弹汇总表!BP$2)</f>
        <v>0</v>
      </c>
      <c r="BQ39" s="8">
        <f>SUMIFS(jt!$M:$M,jt!$B:$B,加弹汇总表!$B39,jt!$D:$D,加弹汇总表!$C39,jt!$F:$F,加弹汇总表!$F39,jt!$O:$O,加弹汇总表!$C$1&amp;"/"&amp;加弹汇总表!$D$1&amp;"/"&amp;加弹汇总表!BQ$2)</f>
        <v>0</v>
      </c>
      <c r="BR39" s="8">
        <f>SUMIFS(jt!$M:$M,jt!$B:$B,加弹汇总表!$B39,jt!$D:$D,加弹汇总表!$C39,jt!$F:$F,加弹汇总表!$F39,jt!$O:$O,加弹汇总表!$C$1&amp;"/"&amp;加弹汇总表!$D$1&amp;"/"&amp;加弹汇总表!BR$2)</f>
        <v>0</v>
      </c>
      <c r="BS39" s="8">
        <f>SUMIFS(jt!$M:$M,jt!$B:$B,加弹汇总表!$B39,jt!$D:$D,加弹汇总表!$C39,jt!$F:$F,加弹汇总表!$F39,jt!$O:$O,加弹汇总表!$C$1&amp;"/"&amp;加弹汇总表!$D$1&amp;"/"&amp;加弹汇总表!BS$2)</f>
        <v>0</v>
      </c>
    </row>
    <row r="40" spans="1:71" ht="18" customHeight="1">
      <c r="A40" s="250" t="str">
        <f t="shared" si="4"/>
        <v>S21102P20D打样丝35/24白</v>
      </c>
      <c r="B40" s="14" t="s">
        <v>438</v>
      </c>
      <c r="C40" s="98" t="s">
        <v>878</v>
      </c>
      <c r="D40" s="53" t="s">
        <v>437</v>
      </c>
      <c r="E40" s="78"/>
      <c r="F40" s="53" t="s">
        <v>2</v>
      </c>
      <c r="G40" s="53" t="s">
        <v>158</v>
      </c>
      <c r="H40" s="53"/>
      <c r="I40" s="246">
        <f ca="1">IF(SUMIFS(jt!M:M,jt!A:A,加弹汇总表!A40,jt!O:O,加弹汇总表!$E$1)=0,0,SUM(AO40:BS40)/COUNTIF(AO40:BS40,"&lt;&gt;0"))</f>
        <v>0</v>
      </c>
      <c r="J40" s="53">
        <f t="shared" si="5"/>
        <v>0</v>
      </c>
      <c r="K40" s="53">
        <f t="shared" si="6"/>
        <v>0</v>
      </c>
      <c r="L40" s="53">
        <f t="shared" si="7"/>
        <v>0</v>
      </c>
      <c r="M40" s="53">
        <f t="shared" si="0"/>
        <v>0</v>
      </c>
      <c r="N40" s="53"/>
      <c r="O40" s="53">
        <f t="shared" si="15"/>
        <v>0</v>
      </c>
      <c r="P40" s="53">
        <f t="shared" si="2"/>
        <v>0</v>
      </c>
      <c r="Q40" s="53">
        <f t="shared" si="3"/>
        <v>0</v>
      </c>
      <c r="R40" s="60">
        <f>SUMIFS(jt!$K:$K,jt!$A:$A,加弹汇总表!$A40,jt!$R:$R,加弹汇总表!R$2)</f>
        <v>0</v>
      </c>
      <c r="S40" s="60">
        <f>SUMIFS(jt!$K:$K,jt!$A:$A,加弹汇总表!$A40,jt!$R:$R,加弹汇总表!S$2)</f>
        <v>0</v>
      </c>
      <c r="T40" s="60">
        <f>SUMIFS(jt!$K:$K,jt!$A:$A,加弹汇总表!$A40,jt!$R:$R,加弹汇总表!T$2)</f>
        <v>0</v>
      </c>
      <c r="U40" s="60">
        <f>SUMIFS(jt!$J:$J,jt!$A:$A,加弹汇总表!$A40,jt!$R:$R,加弹汇总表!U$2)</f>
        <v>0</v>
      </c>
      <c r="V40" s="60">
        <f>SUMIFS(jt!$J:$J,jt!$A:$A,加弹汇总表!$A40,jt!$R:$R,加弹汇总表!V$2)</f>
        <v>0</v>
      </c>
      <c r="W40" s="60">
        <f>SUMIFS(jt!$J:$J,jt!$A:$A,加弹汇总表!$A40,jt!$R:$R,加弹汇总表!W$2)</f>
        <v>0</v>
      </c>
      <c r="X40" s="61">
        <f>SUMIFS(jt!$L:$L,jt!$A:$A,加弹汇总表!$A40,jt!$R:$R,加弹汇总表!X$2)</f>
        <v>0</v>
      </c>
      <c r="Y40" s="61">
        <f>SUMIFS(jt!$L:$L,jt!$A:$A,加弹汇总表!$A40,jt!$R:$R,加弹汇总表!Y$2)</f>
        <v>0</v>
      </c>
      <c r="Z40" s="61">
        <f>SUMIFS(jt!$L:$L,jt!$A:$A,加弹汇总表!$A40,jt!$R:$R,加弹汇总表!Z$2)</f>
        <v>0</v>
      </c>
      <c r="AA40" s="62">
        <f>SUMIFS(jt!$M:$M,jt!$A:$A,加弹汇总表!$A40,jt!$R:$R,加弹汇总表!AA$2)</f>
        <v>0</v>
      </c>
      <c r="AB40" s="62">
        <f>SUMIFS(jt!$M:$M,jt!$A:$A,加弹汇总表!$A40,jt!$R:$R,加弹汇总表!AB$2)</f>
        <v>0</v>
      </c>
      <c r="AC40" s="62">
        <f>SUMIFS(jt!$M:$M,jt!$A:$A,加弹汇总表!$A40,jt!$R:$R,加弹汇总表!AC$2)</f>
        <v>0</v>
      </c>
      <c r="AD40" s="63">
        <f>SUMIFS(jt!$N:$N,jt!$A:$A,加弹汇总表!$A40,jt!$R:$R,加弹汇总表!AD$2)</f>
        <v>0</v>
      </c>
      <c r="AE40" s="63">
        <f>SUMIFS(jt!$N:$N,jt!$A:$A,加弹汇总表!$A40,jt!$R:$R,加弹汇总表!AE$2)</f>
        <v>0</v>
      </c>
      <c r="AF40" s="63">
        <f>SUMIFS(jt!$N:$N,jt!$A:$A,加弹汇总表!$A40,jt!$R:$R,加弹汇总表!AF$2)</f>
        <v>0</v>
      </c>
      <c r="AG40" s="64">
        <f>SUMIFS(jt!$M:$M,jt!$A:$A,加弹汇总表!$A40,jt!$C:$C,加弹汇总表!AG$2)</f>
        <v>0</v>
      </c>
      <c r="AH40" s="64">
        <f>SUMIFS(jt!$M:$M,jt!$A:$A,加弹汇总表!$A40,jt!$C:$C,加弹汇总表!AH$2)</f>
        <v>0</v>
      </c>
      <c r="AI40" s="64">
        <f>SUMIFS(jt!$M:$M,jt!$A:$A,加弹汇总表!$A40,jt!$C:$C,加弹汇总表!AI$2)</f>
        <v>0</v>
      </c>
      <c r="AJ40" s="64">
        <f>SUMIFS(jt!$M:$M,jt!$A:$A,加弹汇总表!$A40,jt!$C:$C,加弹汇总表!AJ$2)</f>
        <v>0</v>
      </c>
      <c r="AK40" s="64">
        <f>SUMIFS(jt!$M:$M,jt!$A:$A,加弹汇总表!$A40,jt!$C:$C,加弹汇总表!AK$2)</f>
        <v>0</v>
      </c>
      <c r="AL40" s="64">
        <f>SUMIFS(jt!$M:$M,jt!$A:$A,加弹汇总表!$A40,jt!$C:$C,加弹汇总表!AL$2)</f>
        <v>0</v>
      </c>
      <c r="AM40" s="64">
        <f>SUMIFS(jt!$M:$M,jt!$A:$A,加弹汇总表!$A40,jt!$C:$C,加弹汇总表!AM$2)</f>
        <v>0</v>
      </c>
      <c r="AN40" s="80">
        <f>SUMIFS(jt!$M:$M,jt!$A:$A,加弹汇总表!$A40,jt!$C:$C,加弹汇总表!AN$2)</f>
        <v>0</v>
      </c>
      <c r="AO40" s="8">
        <f>SUMIFS(jt!$M:$M,jt!$B:$B,加弹汇总表!$B40,jt!$D:$D,加弹汇总表!$C40,jt!$F:$F,加弹汇总表!$F40,jt!$O:$O,加弹汇总表!$C$1&amp;"/"&amp;加弹汇总表!$D$1&amp;"/"&amp;加弹汇总表!AO$2)</f>
        <v>0</v>
      </c>
      <c r="AP40" s="8">
        <f>SUMIFS(jt!$M:$M,jt!$B:$B,加弹汇总表!$B40,jt!$D:$D,加弹汇总表!$C40,jt!$F:$F,加弹汇总表!$F40,jt!$O:$O,加弹汇总表!$C$1&amp;"/"&amp;加弹汇总表!$D$1&amp;"/"&amp;加弹汇总表!AP$2)</f>
        <v>0</v>
      </c>
      <c r="AQ40" s="8">
        <f>SUMIFS(jt!$M:$M,jt!$B:$B,加弹汇总表!$B40,jt!$D:$D,加弹汇总表!$C40,jt!$F:$F,加弹汇总表!$F40,jt!$O:$O,加弹汇总表!$C$1&amp;"/"&amp;加弹汇总表!$D$1&amp;"/"&amp;加弹汇总表!AQ$2)</f>
        <v>0</v>
      </c>
      <c r="AR40" s="8">
        <f>SUMIFS(jt!$M:$M,jt!$B:$B,加弹汇总表!$B40,jt!$D:$D,加弹汇总表!$C40,jt!$F:$F,加弹汇总表!$F40,jt!$O:$O,加弹汇总表!$C$1&amp;"/"&amp;加弹汇总表!$D$1&amp;"/"&amp;加弹汇总表!AR$2)</f>
        <v>0</v>
      </c>
      <c r="AS40" s="8">
        <f>SUMIFS(jt!$M:$M,jt!$B:$B,加弹汇总表!$B40,jt!$D:$D,加弹汇总表!$C40,jt!$F:$F,加弹汇总表!$F40,jt!$O:$O,加弹汇总表!$C$1&amp;"/"&amp;加弹汇总表!$D$1&amp;"/"&amp;加弹汇总表!AS$2)</f>
        <v>0</v>
      </c>
      <c r="AT40" s="8">
        <f>SUMIFS(jt!$M:$M,jt!$B:$B,加弹汇总表!$B40,jt!$D:$D,加弹汇总表!$C40,jt!$F:$F,加弹汇总表!$F40,jt!$O:$O,加弹汇总表!$C$1&amp;"/"&amp;加弹汇总表!$D$1&amp;"/"&amp;加弹汇总表!AT$2)</f>
        <v>0</v>
      </c>
      <c r="AU40" s="8">
        <f>SUMIFS(jt!$M:$M,jt!$B:$B,加弹汇总表!$B40,jt!$D:$D,加弹汇总表!$C40,jt!$F:$F,加弹汇总表!$F40,jt!$O:$O,加弹汇总表!$C$1&amp;"/"&amp;加弹汇总表!$D$1&amp;"/"&amp;加弹汇总表!AU$2)</f>
        <v>0</v>
      </c>
      <c r="AV40" s="8">
        <f>SUMIFS(jt!$M:$M,jt!$B:$B,加弹汇总表!$B40,jt!$D:$D,加弹汇总表!$C40,jt!$F:$F,加弹汇总表!$F40,jt!$O:$O,加弹汇总表!$C$1&amp;"/"&amp;加弹汇总表!$D$1&amp;"/"&amp;加弹汇总表!AV$2)</f>
        <v>0</v>
      </c>
      <c r="AW40" s="8">
        <f>SUMIFS(jt!$M:$M,jt!$B:$B,加弹汇总表!$B40,jt!$D:$D,加弹汇总表!$C40,jt!$F:$F,加弹汇总表!$F40,jt!$O:$O,加弹汇总表!$C$1&amp;"/"&amp;加弹汇总表!$D$1&amp;"/"&amp;加弹汇总表!AW$2)</f>
        <v>0</v>
      </c>
      <c r="AX40" s="8">
        <f>SUMIFS(jt!$M:$M,jt!$B:$B,加弹汇总表!$B40,jt!$D:$D,加弹汇总表!$C40,jt!$F:$F,加弹汇总表!$F40,jt!$O:$O,加弹汇总表!$C$1&amp;"/"&amp;加弹汇总表!$D$1&amp;"/"&amp;加弹汇总表!AX$2)</f>
        <v>0</v>
      </c>
      <c r="AY40" s="8">
        <f>SUMIFS(jt!$M:$M,jt!$B:$B,加弹汇总表!$B40,jt!$D:$D,加弹汇总表!$C40,jt!$F:$F,加弹汇总表!$F40,jt!$O:$O,加弹汇总表!$C$1&amp;"/"&amp;加弹汇总表!$D$1&amp;"/"&amp;加弹汇总表!AY$2)</f>
        <v>0</v>
      </c>
      <c r="AZ40" s="8">
        <f>SUMIFS(jt!$M:$M,jt!$B:$B,加弹汇总表!$B40,jt!$D:$D,加弹汇总表!$C40,jt!$F:$F,加弹汇总表!$F40,jt!$O:$O,加弹汇总表!$C$1&amp;"/"&amp;加弹汇总表!$D$1&amp;"/"&amp;加弹汇总表!AZ$2)</f>
        <v>0</v>
      </c>
      <c r="BA40" s="8">
        <f>SUMIFS(jt!$M:$M,jt!$B:$B,加弹汇总表!$B40,jt!$D:$D,加弹汇总表!$C40,jt!$F:$F,加弹汇总表!$F40,jt!$O:$O,加弹汇总表!$C$1&amp;"/"&amp;加弹汇总表!$D$1&amp;"/"&amp;加弹汇总表!BA$2)</f>
        <v>0</v>
      </c>
      <c r="BB40" s="8">
        <f>SUMIFS(jt!$M:$M,jt!$B:$B,加弹汇总表!$B40,jt!$D:$D,加弹汇总表!$C40,jt!$F:$F,加弹汇总表!$F40,jt!$O:$O,加弹汇总表!$C$1&amp;"/"&amp;加弹汇总表!$D$1&amp;"/"&amp;加弹汇总表!BB$2)</f>
        <v>0</v>
      </c>
      <c r="BC40" s="8">
        <f>SUMIFS(jt!$M:$M,jt!$B:$B,加弹汇总表!$B40,jt!$D:$D,加弹汇总表!$C40,jt!$F:$F,加弹汇总表!$F40,jt!$O:$O,加弹汇总表!$C$1&amp;"/"&amp;加弹汇总表!$D$1&amp;"/"&amp;加弹汇总表!BC$2)</f>
        <v>0</v>
      </c>
      <c r="BD40" s="8">
        <f>SUMIFS(jt!$M:$M,jt!$B:$B,加弹汇总表!$B40,jt!$D:$D,加弹汇总表!$C40,jt!$F:$F,加弹汇总表!$F40,jt!$O:$O,加弹汇总表!$C$1&amp;"/"&amp;加弹汇总表!$D$1&amp;"/"&amp;加弹汇总表!BD$2)</f>
        <v>0</v>
      </c>
      <c r="BE40" s="8">
        <f>SUMIFS(jt!$M:$M,jt!$B:$B,加弹汇总表!$B40,jt!$D:$D,加弹汇总表!$C40,jt!$F:$F,加弹汇总表!$F40,jt!$O:$O,加弹汇总表!$C$1&amp;"/"&amp;加弹汇总表!$D$1&amp;"/"&amp;加弹汇总表!BE$2)</f>
        <v>0</v>
      </c>
      <c r="BF40" s="8">
        <f>SUMIFS(jt!$M:$M,jt!$B:$B,加弹汇总表!$B40,jt!$D:$D,加弹汇总表!$C40,jt!$F:$F,加弹汇总表!$F40,jt!$O:$O,加弹汇总表!$C$1&amp;"/"&amp;加弹汇总表!$D$1&amp;"/"&amp;加弹汇总表!BF$2)</f>
        <v>0</v>
      </c>
      <c r="BG40" s="8">
        <f>SUMIFS(jt!$M:$M,jt!$B:$B,加弹汇总表!$B40,jt!$D:$D,加弹汇总表!$C40,jt!$F:$F,加弹汇总表!$F40,jt!$O:$O,加弹汇总表!$C$1&amp;"/"&amp;加弹汇总表!$D$1&amp;"/"&amp;加弹汇总表!BG$2)</f>
        <v>0</v>
      </c>
      <c r="BH40" s="8">
        <f>SUMIFS(jt!$M:$M,jt!$B:$B,加弹汇总表!$B40,jt!$D:$D,加弹汇总表!$C40,jt!$F:$F,加弹汇总表!$F40,jt!$O:$O,加弹汇总表!$C$1&amp;"/"&amp;加弹汇总表!$D$1&amp;"/"&amp;加弹汇总表!BH$2)</f>
        <v>0</v>
      </c>
      <c r="BI40" s="8">
        <f>SUMIFS(jt!$M:$M,jt!$B:$B,加弹汇总表!$B40,jt!$D:$D,加弹汇总表!$C40,jt!$F:$F,加弹汇总表!$F40,jt!$O:$O,加弹汇总表!$C$1&amp;"/"&amp;加弹汇总表!$D$1&amp;"/"&amp;加弹汇总表!BI$2)</f>
        <v>0</v>
      </c>
      <c r="BJ40" s="8">
        <f>SUMIFS(jt!$M:$M,jt!$B:$B,加弹汇总表!$B40,jt!$D:$D,加弹汇总表!$C40,jt!$F:$F,加弹汇总表!$F40,jt!$O:$O,加弹汇总表!$C$1&amp;"/"&amp;加弹汇总表!$D$1&amp;"/"&amp;加弹汇总表!BJ$2)</f>
        <v>0</v>
      </c>
      <c r="BK40" s="8">
        <f>SUMIFS(jt!$M:$M,jt!$B:$B,加弹汇总表!$B40,jt!$D:$D,加弹汇总表!$C40,jt!$F:$F,加弹汇总表!$F40,jt!$O:$O,加弹汇总表!$C$1&amp;"/"&amp;加弹汇总表!$D$1&amp;"/"&amp;加弹汇总表!BK$2)</f>
        <v>0</v>
      </c>
      <c r="BL40" s="8">
        <f>SUMIFS(jt!$M:$M,jt!$B:$B,加弹汇总表!$B40,jt!$D:$D,加弹汇总表!$C40,jt!$F:$F,加弹汇总表!$F40,jt!$O:$O,加弹汇总表!$C$1&amp;"/"&amp;加弹汇总表!$D$1&amp;"/"&amp;加弹汇总表!BL$2)</f>
        <v>0</v>
      </c>
      <c r="BM40" s="8">
        <f>SUMIFS(jt!$M:$M,jt!$B:$B,加弹汇总表!$B40,jt!$D:$D,加弹汇总表!$C40,jt!$F:$F,加弹汇总表!$F40,jt!$O:$O,加弹汇总表!$C$1&amp;"/"&amp;加弹汇总表!$D$1&amp;"/"&amp;加弹汇总表!BM$2)</f>
        <v>0</v>
      </c>
      <c r="BN40" s="8">
        <f>SUMIFS(jt!$M:$M,jt!$B:$B,加弹汇总表!$B40,jt!$D:$D,加弹汇总表!$C40,jt!$F:$F,加弹汇总表!$F40,jt!$O:$O,加弹汇总表!$C$1&amp;"/"&amp;加弹汇总表!$D$1&amp;"/"&amp;加弹汇总表!BN$2)</f>
        <v>0</v>
      </c>
      <c r="BO40" s="8">
        <f>SUMIFS(jt!$M:$M,jt!$B:$B,加弹汇总表!$B40,jt!$D:$D,加弹汇总表!$C40,jt!$F:$F,加弹汇总表!$F40,jt!$O:$O,加弹汇总表!$C$1&amp;"/"&amp;加弹汇总表!$D$1&amp;"/"&amp;加弹汇总表!BO$2)</f>
        <v>0</v>
      </c>
      <c r="BP40" s="8">
        <f>SUMIFS(jt!$M:$M,jt!$B:$B,加弹汇总表!$B40,jt!$D:$D,加弹汇总表!$C40,jt!$F:$F,加弹汇总表!$F40,jt!$O:$O,加弹汇总表!$C$1&amp;"/"&amp;加弹汇总表!$D$1&amp;"/"&amp;加弹汇总表!BP$2)</f>
        <v>0</v>
      </c>
      <c r="BQ40" s="8">
        <f>SUMIFS(jt!$M:$M,jt!$B:$B,加弹汇总表!$B40,jt!$D:$D,加弹汇总表!$C40,jt!$F:$F,加弹汇总表!$F40,jt!$O:$O,加弹汇总表!$C$1&amp;"/"&amp;加弹汇总表!$D$1&amp;"/"&amp;加弹汇总表!BQ$2)</f>
        <v>0</v>
      </c>
      <c r="BR40" s="8">
        <f>SUMIFS(jt!$M:$M,jt!$B:$B,加弹汇总表!$B40,jt!$D:$D,加弹汇总表!$C40,jt!$F:$F,加弹汇总表!$F40,jt!$O:$O,加弹汇总表!$C$1&amp;"/"&amp;加弹汇总表!$D$1&amp;"/"&amp;加弹汇总表!BR$2)</f>
        <v>0</v>
      </c>
      <c r="BS40" s="8">
        <f>SUMIFS(jt!$M:$M,jt!$B:$B,加弹汇总表!$B40,jt!$D:$D,加弹汇总表!$C40,jt!$F:$F,加弹汇总表!$F40,jt!$O:$O,加弹汇总表!$C$1&amp;"/"&amp;加弹汇总表!$D$1&amp;"/"&amp;加弹汇总表!BS$2)</f>
        <v>0</v>
      </c>
    </row>
    <row r="41" spans="1:71" ht="18" customHeight="1">
      <c r="A41" s="250" t="str">
        <f t="shared" si="4"/>
        <v>1207275D网络丝125/48白</v>
      </c>
      <c r="B41" s="14">
        <v>12072</v>
      </c>
      <c r="C41" s="98" t="s">
        <v>866</v>
      </c>
      <c r="D41" s="53" t="s">
        <v>879</v>
      </c>
      <c r="E41" s="78"/>
      <c r="F41" s="53" t="s">
        <v>2</v>
      </c>
      <c r="G41" s="53" t="s">
        <v>880</v>
      </c>
      <c r="H41" s="53"/>
      <c r="I41" s="246">
        <f ca="1">IF(SUMIFS(jt!M:M,jt!A:A,加弹汇总表!A41,jt!O:O,加弹汇总表!$E$1)=0,0,SUM(AO41:BS41)/COUNTIF(AO41:BS41,"&lt;&gt;0"))</f>
        <v>0</v>
      </c>
      <c r="J41" s="53">
        <f t="shared" si="5"/>
        <v>0</v>
      </c>
      <c r="K41" s="53">
        <f t="shared" si="6"/>
        <v>0</v>
      </c>
      <c r="L41" s="53">
        <f t="shared" si="7"/>
        <v>0</v>
      </c>
      <c r="M41" s="53">
        <f t="shared" si="0"/>
        <v>0</v>
      </c>
      <c r="N41" s="53"/>
      <c r="O41" s="53">
        <f t="shared" si="15"/>
        <v>0</v>
      </c>
      <c r="P41" s="53">
        <f t="shared" si="2"/>
        <v>0</v>
      </c>
      <c r="Q41" s="53">
        <f t="shared" si="3"/>
        <v>0</v>
      </c>
      <c r="R41" s="60">
        <f>SUMIFS(jt!$K:$K,jt!$A:$A,加弹汇总表!$A41,jt!$R:$R,加弹汇总表!R$2)</f>
        <v>0</v>
      </c>
      <c r="S41" s="60">
        <f>SUMIFS(jt!$K:$K,jt!$A:$A,加弹汇总表!$A41,jt!$R:$R,加弹汇总表!S$2)</f>
        <v>0</v>
      </c>
      <c r="T41" s="60">
        <f>SUMIFS(jt!$K:$K,jt!$A:$A,加弹汇总表!$A41,jt!$R:$R,加弹汇总表!T$2)</f>
        <v>0</v>
      </c>
      <c r="U41" s="60">
        <f>SUMIFS(jt!$J:$J,jt!$A:$A,加弹汇总表!$A41,jt!$R:$R,加弹汇总表!U$2)</f>
        <v>0</v>
      </c>
      <c r="V41" s="60">
        <f>SUMIFS(jt!$J:$J,jt!$A:$A,加弹汇总表!$A41,jt!$R:$R,加弹汇总表!V$2)</f>
        <v>0</v>
      </c>
      <c r="W41" s="60">
        <f>SUMIFS(jt!$J:$J,jt!$A:$A,加弹汇总表!$A41,jt!$R:$R,加弹汇总表!W$2)</f>
        <v>0</v>
      </c>
      <c r="X41" s="61">
        <f>SUMIFS(jt!$L:$L,jt!$A:$A,加弹汇总表!$A41,jt!$R:$R,加弹汇总表!X$2)</f>
        <v>0</v>
      </c>
      <c r="Y41" s="61">
        <f>SUMIFS(jt!$L:$L,jt!$A:$A,加弹汇总表!$A41,jt!$R:$R,加弹汇总表!Y$2)</f>
        <v>0</v>
      </c>
      <c r="Z41" s="61">
        <f>SUMIFS(jt!$L:$L,jt!$A:$A,加弹汇总表!$A41,jt!$R:$R,加弹汇总表!Z$2)</f>
        <v>0</v>
      </c>
      <c r="AA41" s="62">
        <f>SUMIFS(jt!$M:$M,jt!$A:$A,加弹汇总表!$A41,jt!$R:$R,加弹汇总表!AA$2)</f>
        <v>0</v>
      </c>
      <c r="AB41" s="62">
        <f>SUMIFS(jt!$M:$M,jt!$A:$A,加弹汇总表!$A41,jt!$R:$R,加弹汇总表!AB$2)</f>
        <v>0</v>
      </c>
      <c r="AC41" s="62">
        <f>SUMIFS(jt!$M:$M,jt!$A:$A,加弹汇总表!$A41,jt!$R:$R,加弹汇总表!AC$2)</f>
        <v>0</v>
      </c>
      <c r="AD41" s="63">
        <f>SUMIFS(jt!$N:$N,jt!$A:$A,加弹汇总表!$A41,jt!$R:$R,加弹汇总表!AD$2)</f>
        <v>0</v>
      </c>
      <c r="AE41" s="63">
        <f>SUMIFS(jt!$N:$N,jt!$A:$A,加弹汇总表!$A41,jt!$R:$R,加弹汇总表!AE$2)</f>
        <v>0</v>
      </c>
      <c r="AF41" s="63">
        <f>SUMIFS(jt!$N:$N,jt!$A:$A,加弹汇总表!$A41,jt!$R:$R,加弹汇总表!AF$2)</f>
        <v>0</v>
      </c>
      <c r="AG41" s="64">
        <f>SUMIFS(jt!$M:$M,jt!$A:$A,加弹汇总表!$A41,jt!$C:$C,加弹汇总表!AG$2)</f>
        <v>0</v>
      </c>
      <c r="AH41" s="64">
        <f>SUMIFS(jt!$M:$M,jt!$A:$A,加弹汇总表!$A41,jt!$C:$C,加弹汇总表!AH$2)</f>
        <v>0</v>
      </c>
      <c r="AI41" s="64">
        <f>SUMIFS(jt!$M:$M,jt!$A:$A,加弹汇总表!$A41,jt!$C:$C,加弹汇总表!AI$2)</f>
        <v>0</v>
      </c>
      <c r="AJ41" s="64">
        <f>SUMIFS(jt!$M:$M,jt!$A:$A,加弹汇总表!$A41,jt!$C:$C,加弹汇总表!AJ$2)</f>
        <v>0</v>
      </c>
      <c r="AK41" s="64">
        <f>SUMIFS(jt!$M:$M,jt!$A:$A,加弹汇总表!$A41,jt!$C:$C,加弹汇总表!AK$2)</f>
        <v>0</v>
      </c>
      <c r="AL41" s="64">
        <f>SUMIFS(jt!$M:$M,jt!$A:$A,加弹汇总表!$A41,jt!$C:$C,加弹汇总表!AL$2)</f>
        <v>0</v>
      </c>
      <c r="AM41" s="64">
        <f>SUMIFS(jt!$M:$M,jt!$A:$A,加弹汇总表!$A41,jt!$C:$C,加弹汇总表!AM$2)</f>
        <v>0</v>
      </c>
      <c r="AN41" s="80">
        <f>SUMIFS(jt!$M:$M,jt!$A:$A,加弹汇总表!$A41,jt!$C:$C,加弹汇总表!AN$2)</f>
        <v>0</v>
      </c>
      <c r="AO41" s="8">
        <f>SUMIFS(jt!$M:$M,jt!$B:$B,加弹汇总表!$B41,jt!$D:$D,加弹汇总表!$C41,jt!$F:$F,加弹汇总表!$F41,jt!$O:$O,加弹汇总表!$C$1&amp;"/"&amp;加弹汇总表!$D$1&amp;"/"&amp;加弹汇总表!AO$2)</f>
        <v>0</v>
      </c>
      <c r="AP41" s="8">
        <f>SUMIFS(jt!$M:$M,jt!$B:$B,加弹汇总表!$B41,jt!$D:$D,加弹汇总表!$C41,jt!$F:$F,加弹汇总表!$F41,jt!$O:$O,加弹汇总表!$C$1&amp;"/"&amp;加弹汇总表!$D$1&amp;"/"&amp;加弹汇总表!AP$2)</f>
        <v>0</v>
      </c>
      <c r="AQ41" s="8">
        <f>SUMIFS(jt!$M:$M,jt!$B:$B,加弹汇总表!$B41,jt!$D:$D,加弹汇总表!$C41,jt!$F:$F,加弹汇总表!$F41,jt!$O:$O,加弹汇总表!$C$1&amp;"/"&amp;加弹汇总表!$D$1&amp;"/"&amp;加弹汇总表!AQ$2)</f>
        <v>0</v>
      </c>
      <c r="AR41" s="8">
        <f>SUMIFS(jt!$M:$M,jt!$B:$B,加弹汇总表!$B41,jt!$D:$D,加弹汇总表!$C41,jt!$F:$F,加弹汇总表!$F41,jt!$O:$O,加弹汇总表!$C$1&amp;"/"&amp;加弹汇总表!$D$1&amp;"/"&amp;加弹汇总表!AR$2)</f>
        <v>0</v>
      </c>
      <c r="AS41" s="8">
        <f>SUMIFS(jt!$M:$M,jt!$B:$B,加弹汇总表!$B41,jt!$D:$D,加弹汇总表!$C41,jt!$F:$F,加弹汇总表!$F41,jt!$O:$O,加弹汇总表!$C$1&amp;"/"&amp;加弹汇总表!$D$1&amp;"/"&amp;加弹汇总表!AS$2)</f>
        <v>0</v>
      </c>
      <c r="AT41" s="8">
        <f>SUMIFS(jt!$M:$M,jt!$B:$B,加弹汇总表!$B41,jt!$D:$D,加弹汇总表!$C41,jt!$F:$F,加弹汇总表!$F41,jt!$O:$O,加弹汇总表!$C$1&amp;"/"&amp;加弹汇总表!$D$1&amp;"/"&amp;加弹汇总表!AT$2)</f>
        <v>0</v>
      </c>
      <c r="AU41" s="8">
        <f>SUMIFS(jt!$M:$M,jt!$B:$B,加弹汇总表!$B41,jt!$D:$D,加弹汇总表!$C41,jt!$F:$F,加弹汇总表!$F41,jt!$O:$O,加弹汇总表!$C$1&amp;"/"&amp;加弹汇总表!$D$1&amp;"/"&amp;加弹汇总表!AU$2)</f>
        <v>0</v>
      </c>
      <c r="AV41" s="8">
        <f>SUMIFS(jt!$M:$M,jt!$B:$B,加弹汇总表!$B41,jt!$D:$D,加弹汇总表!$C41,jt!$F:$F,加弹汇总表!$F41,jt!$O:$O,加弹汇总表!$C$1&amp;"/"&amp;加弹汇总表!$D$1&amp;"/"&amp;加弹汇总表!AV$2)</f>
        <v>0</v>
      </c>
      <c r="AW41" s="8">
        <f>SUMIFS(jt!$M:$M,jt!$B:$B,加弹汇总表!$B41,jt!$D:$D,加弹汇总表!$C41,jt!$F:$F,加弹汇总表!$F41,jt!$O:$O,加弹汇总表!$C$1&amp;"/"&amp;加弹汇总表!$D$1&amp;"/"&amp;加弹汇总表!AW$2)</f>
        <v>0</v>
      </c>
      <c r="AX41" s="8">
        <f>SUMIFS(jt!$M:$M,jt!$B:$B,加弹汇总表!$B41,jt!$D:$D,加弹汇总表!$C41,jt!$F:$F,加弹汇总表!$F41,jt!$O:$O,加弹汇总表!$C$1&amp;"/"&amp;加弹汇总表!$D$1&amp;"/"&amp;加弹汇总表!AX$2)</f>
        <v>0</v>
      </c>
      <c r="AY41" s="8">
        <f>SUMIFS(jt!$M:$M,jt!$B:$B,加弹汇总表!$B41,jt!$D:$D,加弹汇总表!$C41,jt!$F:$F,加弹汇总表!$F41,jt!$O:$O,加弹汇总表!$C$1&amp;"/"&amp;加弹汇总表!$D$1&amp;"/"&amp;加弹汇总表!AY$2)</f>
        <v>0</v>
      </c>
      <c r="AZ41" s="8">
        <f>SUMIFS(jt!$M:$M,jt!$B:$B,加弹汇总表!$B41,jt!$D:$D,加弹汇总表!$C41,jt!$F:$F,加弹汇总表!$F41,jt!$O:$O,加弹汇总表!$C$1&amp;"/"&amp;加弹汇总表!$D$1&amp;"/"&amp;加弹汇总表!AZ$2)</f>
        <v>0</v>
      </c>
      <c r="BA41" s="8">
        <f>SUMIFS(jt!$M:$M,jt!$B:$B,加弹汇总表!$B41,jt!$D:$D,加弹汇总表!$C41,jt!$F:$F,加弹汇总表!$F41,jt!$O:$O,加弹汇总表!$C$1&amp;"/"&amp;加弹汇总表!$D$1&amp;"/"&amp;加弹汇总表!BA$2)</f>
        <v>0</v>
      </c>
      <c r="BB41" s="8">
        <f>SUMIFS(jt!$M:$M,jt!$B:$B,加弹汇总表!$B41,jt!$D:$D,加弹汇总表!$C41,jt!$F:$F,加弹汇总表!$F41,jt!$O:$O,加弹汇总表!$C$1&amp;"/"&amp;加弹汇总表!$D$1&amp;"/"&amp;加弹汇总表!BB$2)</f>
        <v>0</v>
      </c>
      <c r="BC41" s="8">
        <f>SUMIFS(jt!$M:$M,jt!$B:$B,加弹汇总表!$B41,jt!$D:$D,加弹汇总表!$C41,jt!$F:$F,加弹汇总表!$F41,jt!$O:$O,加弹汇总表!$C$1&amp;"/"&amp;加弹汇总表!$D$1&amp;"/"&amp;加弹汇总表!BC$2)</f>
        <v>0</v>
      </c>
      <c r="BD41" s="8">
        <f>SUMIFS(jt!$M:$M,jt!$B:$B,加弹汇总表!$B41,jt!$D:$D,加弹汇总表!$C41,jt!$F:$F,加弹汇总表!$F41,jt!$O:$O,加弹汇总表!$C$1&amp;"/"&amp;加弹汇总表!$D$1&amp;"/"&amp;加弹汇总表!BD$2)</f>
        <v>0</v>
      </c>
      <c r="BE41" s="8">
        <f>SUMIFS(jt!$M:$M,jt!$B:$B,加弹汇总表!$B41,jt!$D:$D,加弹汇总表!$C41,jt!$F:$F,加弹汇总表!$F41,jt!$O:$O,加弹汇总表!$C$1&amp;"/"&amp;加弹汇总表!$D$1&amp;"/"&amp;加弹汇总表!BE$2)</f>
        <v>0</v>
      </c>
      <c r="BF41" s="8">
        <f>SUMIFS(jt!$M:$M,jt!$B:$B,加弹汇总表!$B41,jt!$D:$D,加弹汇总表!$C41,jt!$F:$F,加弹汇总表!$F41,jt!$O:$O,加弹汇总表!$C$1&amp;"/"&amp;加弹汇总表!$D$1&amp;"/"&amp;加弹汇总表!BF$2)</f>
        <v>0</v>
      </c>
      <c r="BG41" s="8">
        <f>SUMIFS(jt!$M:$M,jt!$B:$B,加弹汇总表!$B41,jt!$D:$D,加弹汇总表!$C41,jt!$F:$F,加弹汇总表!$F41,jt!$O:$O,加弹汇总表!$C$1&amp;"/"&amp;加弹汇总表!$D$1&amp;"/"&amp;加弹汇总表!BG$2)</f>
        <v>0</v>
      </c>
      <c r="BH41" s="8">
        <f>SUMIFS(jt!$M:$M,jt!$B:$B,加弹汇总表!$B41,jt!$D:$D,加弹汇总表!$C41,jt!$F:$F,加弹汇总表!$F41,jt!$O:$O,加弹汇总表!$C$1&amp;"/"&amp;加弹汇总表!$D$1&amp;"/"&amp;加弹汇总表!BH$2)</f>
        <v>0</v>
      </c>
      <c r="BI41" s="8">
        <f>SUMIFS(jt!$M:$M,jt!$B:$B,加弹汇总表!$B41,jt!$D:$D,加弹汇总表!$C41,jt!$F:$F,加弹汇总表!$F41,jt!$O:$O,加弹汇总表!$C$1&amp;"/"&amp;加弹汇总表!$D$1&amp;"/"&amp;加弹汇总表!BI$2)</f>
        <v>0</v>
      </c>
      <c r="BJ41" s="8">
        <f>SUMIFS(jt!$M:$M,jt!$B:$B,加弹汇总表!$B41,jt!$D:$D,加弹汇总表!$C41,jt!$F:$F,加弹汇总表!$F41,jt!$O:$O,加弹汇总表!$C$1&amp;"/"&amp;加弹汇总表!$D$1&amp;"/"&amp;加弹汇总表!BJ$2)</f>
        <v>0</v>
      </c>
      <c r="BK41" s="8">
        <f>SUMIFS(jt!$M:$M,jt!$B:$B,加弹汇总表!$B41,jt!$D:$D,加弹汇总表!$C41,jt!$F:$F,加弹汇总表!$F41,jt!$O:$O,加弹汇总表!$C$1&amp;"/"&amp;加弹汇总表!$D$1&amp;"/"&amp;加弹汇总表!BK$2)</f>
        <v>0</v>
      </c>
      <c r="BL41" s="8">
        <f>SUMIFS(jt!$M:$M,jt!$B:$B,加弹汇总表!$B41,jt!$D:$D,加弹汇总表!$C41,jt!$F:$F,加弹汇总表!$F41,jt!$O:$O,加弹汇总表!$C$1&amp;"/"&amp;加弹汇总表!$D$1&amp;"/"&amp;加弹汇总表!BL$2)</f>
        <v>0</v>
      </c>
      <c r="BM41" s="8">
        <f>SUMIFS(jt!$M:$M,jt!$B:$B,加弹汇总表!$B41,jt!$D:$D,加弹汇总表!$C41,jt!$F:$F,加弹汇总表!$F41,jt!$O:$O,加弹汇总表!$C$1&amp;"/"&amp;加弹汇总表!$D$1&amp;"/"&amp;加弹汇总表!BM$2)</f>
        <v>0</v>
      </c>
      <c r="BN41" s="8">
        <f>SUMIFS(jt!$M:$M,jt!$B:$B,加弹汇总表!$B41,jt!$D:$D,加弹汇总表!$C41,jt!$F:$F,加弹汇总表!$F41,jt!$O:$O,加弹汇总表!$C$1&amp;"/"&amp;加弹汇总表!$D$1&amp;"/"&amp;加弹汇总表!BN$2)</f>
        <v>0</v>
      </c>
      <c r="BO41" s="8">
        <f>SUMIFS(jt!$M:$M,jt!$B:$B,加弹汇总表!$B41,jt!$D:$D,加弹汇总表!$C41,jt!$F:$F,加弹汇总表!$F41,jt!$O:$O,加弹汇总表!$C$1&amp;"/"&amp;加弹汇总表!$D$1&amp;"/"&amp;加弹汇总表!BO$2)</f>
        <v>0</v>
      </c>
      <c r="BP41" s="8">
        <f>SUMIFS(jt!$M:$M,jt!$B:$B,加弹汇总表!$B41,jt!$D:$D,加弹汇总表!$C41,jt!$F:$F,加弹汇总表!$F41,jt!$O:$O,加弹汇总表!$C$1&amp;"/"&amp;加弹汇总表!$D$1&amp;"/"&amp;加弹汇总表!BP$2)</f>
        <v>0</v>
      </c>
      <c r="BQ41" s="8">
        <f>SUMIFS(jt!$M:$M,jt!$B:$B,加弹汇总表!$B41,jt!$D:$D,加弹汇总表!$C41,jt!$F:$F,加弹汇总表!$F41,jt!$O:$O,加弹汇总表!$C$1&amp;"/"&amp;加弹汇总表!$D$1&amp;"/"&amp;加弹汇总表!BQ$2)</f>
        <v>0</v>
      </c>
      <c r="BR41" s="8">
        <f>SUMIFS(jt!$M:$M,jt!$B:$B,加弹汇总表!$B41,jt!$D:$D,加弹汇总表!$C41,jt!$F:$F,加弹汇总表!$F41,jt!$O:$O,加弹汇总表!$C$1&amp;"/"&amp;加弹汇总表!$D$1&amp;"/"&amp;加弹汇总表!BR$2)</f>
        <v>0</v>
      </c>
      <c r="BS41" s="8">
        <f>SUMIFS(jt!$M:$M,jt!$B:$B,加弹汇总表!$B41,jt!$D:$D,加弹汇总表!$C41,jt!$F:$F,加弹汇总表!$F41,jt!$O:$O,加弹汇总表!$C$1&amp;"/"&amp;加弹汇总表!$D$1&amp;"/"&amp;加弹汇总表!BS$2)</f>
        <v>0</v>
      </c>
    </row>
    <row r="42" spans="1:71" ht="18" customHeight="1">
      <c r="A42" s="250" t="str">
        <f t="shared" si="4"/>
        <v>H-114355961200D网络丝355/96白</v>
      </c>
      <c r="B42" s="14" t="s">
        <v>881</v>
      </c>
      <c r="C42" s="98" t="s">
        <v>868</v>
      </c>
      <c r="D42" s="53" t="s">
        <v>441</v>
      </c>
      <c r="E42" s="78"/>
      <c r="F42" s="53" t="s">
        <v>2</v>
      </c>
      <c r="G42" s="53" t="s">
        <v>411</v>
      </c>
      <c r="H42" s="53"/>
      <c r="I42" s="246">
        <f ca="1">IF(SUMIFS(jt!M:M,jt!A:A,加弹汇总表!A42,jt!O:O,加弹汇总表!$E$1)=0,0,SUM(AO42:BS42)/COUNTIF(AO42:BS42,"&lt;&gt;0"))</f>
        <v>0</v>
      </c>
      <c r="J42" s="53">
        <f t="shared" si="5"/>
        <v>0</v>
      </c>
      <c r="K42" s="53">
        <f t="shared" si="6"/>
        <v>0</v>
      </c>
      <c r="L42" s="53">
        <f t="shared" si="7"/>
        <v>0</v>
      </c>
      <c r="M42" s="53">
        <f t="shared" si="0"/>
        <v>0</v>
      </c>
      <c r="N42" s="53"/>
      <c r="O42" s="53">
        <f t="shared" si="15"/>
        <v>0</v>
      </c>
      <c r="P42" s="53">
        <f t="shared" si="2"/>
        <v>0</v>
      </c>
      <c r="Q42" s="53">
        <f t="shared" si="3"/>
        <v>0</v>
      </c>
      <c r="R42" s="60">
        <f>SUMIFS(jt!$K:$K,jt!$A:$A,加弹汇总表!$A42,jt!$R:$R,加弹汇总表!R$2)</f>
        <v>0</v>
      </c>
      <c r="S42" s="60">
        <f>SUMIFS(jt!$K:$K,jt!$A:$A,加弹汇总表!$A42,jt!$R:$R,加弹汇总表!S$2)</f>
        <v>0</v>
      </c>
      <c r="T42" s="60">
        <f>SUMIFS(jt!$K:$K,jt!$A:$A,加弹汇总表!$A42,jt!$R:$R,加弹汇总表!T$2)</f>
        <v>0</v>
      </c>
      <c r="U42" s="60">
        <f>SUMIFS(jt!$J:$J,jt!$A:$A,加弹汇总表!$A42,jt!$R:$R,加弹汇总表!U$2)</f>
        <v>0</v>
      </c>
      <c r="V42" s="60">
        <f>SUMIFS(jt!$J:$J,jt!$A:$A,加弹汇总表!$A42,jt!$R:$R,加弹汇总表!V$2)</f>
        <v>0</v>
      </c>
      <c r="W42" s="60">
        <f>SUMIFS(jt!$J:$J,jt!$A:$A,加弹汇总表!$A42,jt!$R:$R,加弹汇总表!W$2)</f>
        <v>0</v>
      </c>
      <c r="X42" s="61">
        <f>SUMIFS(jt!$L:$L,jt!$A:$A,加弹汇总表!$A42,jt!$R:$R,加弹汇总表!X$2)</f>
        <v>0</v>
      </c>
      <c r="Y42" s="61">
        <f>SUMIFS(jt!$L:$L,jt!$A:$A,加弹汇总表!$A42,jt!$R:$R,加弹汇总表!Y$2)</f>
        <v>0</v>
      </c>
      <c r="Z42" s="61">
        <f>SUMIFS(jt!$L:$L,jt!$A:$A,加弹汇总表!$A42,jt!$R:$R,加弹汇总表!Z$2)</f>
        <v>0</v>
      </c>
      <c r="AA42" s="62">
        <f>SUMIFS(jt!$M:$M,jt!$A:$A,加弹汇总表!$A42,jt!$R:$R,加弹汇总表!AA$2)</f>
        <v>0</v>
      </c>
      <c r="AB42" s="62">
        <f>SUMIFS(jt!$M:$M,jt!$A:$A,加弹汇总表!$A42,jt!$R:$R,加弹汇总表!AB$2)</f>
        <v>0</v>
      </c>
      <c r="AC42" s="62">
        <f>SUMIFS(jt!$M:$M,jt!$A:$A,加弹汇总表!$A42,jt!$R:$R,加弹汇总表!AC$2)</f>
        <v>0</v>
      </c>
      <c r="AD42" s="63">
        <f>SUMIFS(jt!$N:$N,jt!$A:$A,加弹汇总表!$A42,jt!$R:$R,加弹汇总表!AD$2)</f>
        <v>0</v>
      </c>
      <c r="AE42" s="63">
        <f>SUMIFS(jt!$N:$N,jt!$A:$A,加弹汇总表!$A42,jt!$R:$R,加弹汇总表!AE$2)</f>
        <v>0</v>
      </c>
      <c r="AF42" s="63">
        <f>SUMIFS(jt!$N:$N,jt!$A:$A,加弹汇总表!$A42,jt!$R:$R,加弹汇总表!AF$2)</f>
        <v>0</v>
      </c>
      <c r="AG42" s="64">
        <f>SUMIFS(jt!$M:$M,jt!$A:$A,加弹汇总表!$A42,jt!$C:$C,加弹汇总表!AG$2)</f>
        <v>0</v>
      </c>
      <c r="AH42" s="64">
        <f>SUMIFS(jt!$M:$M,jt!$A:$A,加弹汇总表!$A42,jt!$C:$C,加弹汇总表!AH$2)</f>
        <v>0</v>
      </c>
      <c r="AI42" s="64">
        <f>SUMIFS(jt!$M:$M,jt!$A:$A,加弹汇总表!$A42,jt!$C:$C,加弹汇总表!AI$2)</f>
        <v>0</v>
      </c>
      <c r="AJ42" s="64">
        <f>SUMIFS(jt!$M:$M,jt!$A:$A,加弹汇总表!$A42,jt!$C:$C,加弹汇总表!AJ$2)</f>
        <v>0</v>
      </c>
      <c r="AK42" s="64">
        <f>SUMIFS(jt!$M:$M,jt!$A:$A,加弹汇总表!$A42,jt!$C:$C,加弹汇总表!AK$2)</f>
        <v>0</v>
      </c>
      <c r="AL42" s="64">
        <f>SUMIFS(jt!$M:$M,jt!$A:$A,加弹汇总表!$A42,jt!$C:$C,加弹汇总表!AL$2)</f>
        <v>0</v>
      </c>
      <c r="AM42" s="64">
        <f>SUMIFS(jt!$M:$M,jt!$A:$A,加弹汇总表!$A42,jt!$C:$C,加弹汇总表!AM$2)</f>
        <v>0</v>
      </c>
      <c r="AN42" s="80">
        <f>SUMIFS(jt!$M:$M,jt!$A:$A,加弹汇总表!$A42,jt!$C:$C,加弹汇总表!AN$2)</f>
        <v>0</v>
      </c>
      <c r="AO42" s="8">
        <f>SUMIFS(jt!$M:$M,jt!$B:$B,加弹汇总表!$B42,jt!$D:$D,加弹汇总表!$C42,jt!$F:$F,加弹汇总表!$F42,jt!$O:$O,加弹汇总表!$C$1&amp;"/"&amp;加弹汇总表!$D$1&amp;"/"&amp;加弹汇总表!AO$2)</f>
        <v>0</v>
      </c>
      <c r="AP42" s="8">
        <f>SUMIFS(jt!$M:$M,jt!$B:$B,加弹汇总表!$B42,jt!$D:$D,加弹汇总表!$C42,jt!$F:$F,加弹汇总表!$F42,jt!$O:$O,加弹汇总表!$C$1&amp;"/"&amp;加弹汇总表!$D$1&amp;"/"&amp;加弹汇总表!AP$2)</f>
        <v>0</v>
      </c>
      <c r="AQ42" s="8">
        <f>SUMIFS(jt!$M:$M,jt!$B:$B,加弹汇总表!$B42,jt!$D:$D,加弹汇总表!$C42,jt!$F:$F,加弹汇总表!$F42,jt!$O:$O,加弹汇总表!$C$1&amp;"/"&amp;加弹汇总表!$D$1&amp;"/"&amp;加弹汇总表!AQ$2)</f>
        <v>0</v>
      </c>
      <c r="AR42" s="8">
        <f>SUMIFS(jt!$M:$M,jt!$B:$B,加弹汇总表!$B42,jt!$D:$D,加弹汇总表!$C42,jt!$F:$F,加弹汇总表!$F42,jt!$O:$O,加弹汇总表!$C$1&amp;"/"&amp;加弹汇总表!$D$1&amp;"/"&amp;加弹汇总表!AR$2)</f>
        <v>0</v>
      </c>
      <c r="AS42" s="8">
        <f>SUMIFS(jt!$M:$M,jt!$B:$B,加弹汇总表!$B42,jt!$D:$D,加弹汇总表!$C42,jt!$F:$F,加弹汇总表!$F42,jt!$O:$O,加弹汇总表!$C$1&amp;"/"&amp;加弹汇总表!$D$1&amp;"/"&amp;加弹汇总表!AS$2)</f>
        <v>0</v>
      </c>
      <c r="AT42" s="8">
        <f>SUMIFS(jt!$M:$M,jt!$B:$B,加弹汇总表!$B42,jt!$D:$D,加弹汇总表!$C42,jt!$F:$F,加弹汇总表!$F42,jt!$O:$O,加弹汇总表!$C$1&amp;"/"&amp;加弹汇总表!$D$1&amp;"/"&amp;加弹汇总表!AT$2)</f>
        <v>0</v>
      </c>
      <c r="AU42" s="8">
        <f>SUMIFS(jt!$M:$M,jt!$B:$B,加弹汇总表!$B42,jt!$D:$D,加弹汇总表!$C42,jt!$F:$F,加弹汇总表!$F42,jt!$O:$O,加弹汇总表!$C$1&amp;"/"&amp;加弹汇总表!$D$1&amp;"/"&amp;加弹汇总表!AU$2)</f>
        <v>0</v>
      </c>
      <c r="AV42" s="8">
        <f>SUMIFS(jt!$M:$M,jt!$B:$B,加弹汇总表!$B42,jt!$D:$D,加弹汇总表!$C42,jt!$F:$F,加弹汇总表!$F42,jt!$O:$O,加弹汇总表!$C$1&amp;"/"&amp;加弹汇总表!$D$1&amp;"/"&amp;加弹汇总表!AV$2)</f>
        <v>0</v>
      </c>
      <c r="AW42" s="8">
        <f>SUMIFS(jt!$M:$M,jt!$B:$B,加弹汇总表!$B42,jt!$D:$D,加弹汇总表!$C42,jt!$F:$F,加弹汇总表!$F42,jt!$O:$O,加弹汇总表!$C$1&amp;"/"&amp;加弹汇总表!$D$1&amp;"/"&amp;加弹汇总表!AW$2)</f>
        <v>0</v>
      </c>
      <c r="AX42" s="8">
        <f>SUMIFS(jt!$M:$M,jt!$B:$B,加弹汇总表!$B42,jt!$D:$D,加弹汇总表!$C42,jt!$F:$F,加弹汇总表!$F42,jt!$O:$O,加弹汇总表!$C$1&amp;"/"&amp;加弹汇总表!$D$1&amp;"/"&amp;加弹汇总表!AX$2)</f>
        <v>0</v>
      </c>
      <c r="AY42" s="8">
        <f>SUMIFS(jt!$M:$M,jt!$B:$B,加弹汇总表!$B42,jt!$D:$D,加弹汇总表!$C42,jt!$F:$F,加弹汇总表!$F42,jt!$O:$O,加弹汇总表!$C$1&amp;"/"&amp;加弹汇总表!$D$1&amp;"/"&amp;加弹汇总表!AY$2)</f>
        <v>0</v>
      </c>
      <c r="AZ42" s="8">
        <f>SUMIFS(jt!$M:$M,jt!$B:$B,加弹汇总表!$B42,jt!$D:$D,加弹汇总表!$C42,jt!$F:$F,加弹汇总表!$F42,jt!$O:$O,加弹汇总表!$C$1&amp;"/"&amp;加弹汇总表!$D$1&amp;"/"&amp;加弹汇总表!AZ$2)</f>
        <v>0</v>
      </c>
      <c r="BA42" s="8">
        <f>SUMIFS(jt!$M:$M,jt!$B:$B,加弹汇总表!$B42,jt!$D:$D,加弹汇总表!$C42,jt!$F:$F,加弹汇总表!$F42,jt!$O:$O,加弹汇总表!$C$1&amp;"/"&amp;加弹汇总表!$D$1&amp;"/"&amp;加弹汇总表!BA$2)</f>
        <v>0</v>
      </c>
      <c r="BB42" s="8">
        <f>SUMIFS(jt!$M:$M,jt!$B:$B,加弹汇总表!$B42,jt!$D:$D,加弹汇总表!$C42,jt!$F:$F,加弹汇总表!$F42,jt!$O:$O,加弹汇总表!$C$1&amp;"/"&amp;加弹汇总表!$D$1&amp;"/"&amp;加弹汇总表!BB$2)</f>
        <v>0</v>
      </c>
      <c r="BC42" s="8">
        <f>SUMIFS(jt!$M:$M,jt!$B:$B,加弹汇总表!$B42,jt!$D:$D,加弹汇总表!$C42,jt!$F:$F,加弹汇总表!$F42,jt!$O:$O,加弹汇总表!$C$1&amp;"/"&amp;加弹汇总表!$D$1&amp;"/"&amp;加弹汇总表!BC$2)</f>
        <v>0</v>
      </c>
      <c r="BD42" s="8">
        <f>SUMIFS(jt!$M:$M,jt!$B:$B,加弹汇总表!$B42,jt!$D:$D,加弹汇总表!$C42,jt!$F:$F,加弹汇总表!$F42,jt!$O:$O,加弹汇总表!$C$1&amp;"/"&amp;加弹汇总表!$D$1&amp;"/"&amp;加弹汇总表!BD$2)</f>
        <v>0</v>
      </c>
      <c r="BE42" s="8">
        <f>SUMIFS(jt!$M:$M,jt!$B:$B,加弹汇总表!$B42,jt!$D:$D,加弹汇总表!$C42,jt!$F:$F,加弹汇总表!$F42,jt!$O:$O,加弹汇总表!$C$1&amp;"/"&amp;加弹汇总表!$D$1&amp;"/"&amp;加弹汇总表!BE$2)</f>
        <v>0</v>
      </c>
      <c r="BF42" s="8">
        <f>SUMIFS(jt!$M:$M,jt!$B:$B,加弹汇总表!$B42,jt!$D:$D,加弹汇总表!$C42,jt!$F:$F,加弹汇总表!$F42,jt!$O:$O,加弹汇总表!$C$1&amp;"/"&amp;加弹汇总表!$D$1&amp;"/"&amp;加弹汇总表!BF$2)</f>
        <v>0</v>
      </c>
      <c r="BG42" s="8">
        <f>SUMIFS(jt!$M:$M,jt!$B:$B,加弹汇总表!$B42,jt!$D:$D,加弹汇总表!$C42,jt!$F:$F,加弹汇总表!$F42,jt!$O:$O,加弹汇总表!$C$1&amp;"/"&amp;加弹汇总表!$D$1&amp;"/"&amp;加弹汇总表!BG$2)</f>
        <v>0</v>
      </c>
      <c r="BH42" s="8">
        <f>SUMIFS(jt!$M:$M,jt!$B:$B,加弹汇总表!$B42,jt!$D:$D,加弹汇总表!$C42,jt!$F:$F,加弹汇总表!$F42,jt!$O:$O,加弹汇总表!$C$1&amp;"/"&amp;加弹汇总表!$D$1&amp;"/"&amp;加弹汇总表!BH$2)</f>
        <v>0</v>
      </c>
      <c r="BI42" s="8">
        <f>SUMIFS(jt!$M:$M,jt!$B:$B,加弹汇总表!$B42,jt!$D:$D,加弹汇总表!$C42,jt!$F:$F,加弹汇总表!$F42,jt!$O:$O,加弹汇总表!$C$1&amp;"/"&amp;加弹汇总表!$D$1&amp;"/"&amp;加弹汇总表!BI$2)</f>
        <v>0</v>
      </c>
      <c r="BJ42" s="8">
        <f>SUMIFS(jt!$M:$M,jt!$B:$B,加弹汇总表!$B42,jt!$D:$D,加弹汇总表!$C42,jt!$F:$F,加弹汇总表!$F42,jt!$O:$O,加弹汇总表!$C$1&amp;"/"&amp;加弹汇总表!$D$1&amp;"/"&amp;加弹汇总表!BJ$2)</f>
        <v>0</v>
      </c>
      <c r="BK42" s="8">
        <f>SUMIFS(jt!$M:$M,jt!$B:$B,加弹汇总表!$B42,jt!$D:$D,加弹汇总表!$C42,jt!$F:$F,加弹汇总表!$F42,jt!$O:$O,加弹汇总表!$C$1&amp;"/"&amp;加弹汇总表!$D$1&amp;"/"&amp;加弹汇总表!BK$2)</f>
        <v>0</v>
      </c>
      <c r="BL42" s="8">
        <f>SUMIFS(jt!$M:$M,jt!$B:$B,加弹汇总表!$B42,jt!$D:$D,加弹汇总表!$C42,jt!$F:$F,加弹汇总表!$F42,jt!$O:$O,加弹汇总表!$C$1&amp;"/"&amp;加弹汇总表!$D$1&amp;"/"&amp;加弹汇总表!BL$2)</f>
        <v>0</v>
      </c>
      <c r="BM42" s="8">
        <f>SUMIFS(jt!$M:$M,jt!$B:$B,加弹汇总表!$B42,jt!$D:$D,加弹汇总表!$C42,jt!$F:$F,加弹汇总表!$F42,jt!$O:$O,加弹汇总表!$C$1&amp;"/"&amp;加弹汇总表!$D$1&amp;"/"&amp;加弹汇总表!BM$2)</f>
        <v>0</v>
      </c>
      <c r="BN42" s="8">
        <f>SUMIFS(jt!$M:$M,jt!$B:$B,加弹汇总表!$B42,jt!$D:$D,加弹汇总表!$C42,jt!$F:$F,加弹汇总表!$F42,jt!$O:$O,加弹汇总表!$C$1&amp;"/"&amp;加弹汇总表!$D$1&amp;"/"&amp;加弹汇总表!BN$2)</f>
        <v>0</v>
      </c>
      <c r="BO42" s="8">
        <f>SUMIFS(jt!$M:$M,jt!$B:$B,加弹汇总表!$B42,jt!$D:$D,加弹汇总表!$C42,jt!$F:$F,加弹汇总表!$F42,jt!$O:$O,加弹汇总表!$C$1&amp;"/"&amp;加弹汇总表!$D$1&amp;"/"&amp;加弹汇总表!BO$2)</f>
        <v>0</v>
      </c>
      <c r="BP42" s="8">
        <f>SUMIFS(jt!$M:$M,jt!$B:$B,加弹汇总表!$B42,jt!$D:$D,加弹汇总表!$C42,jt!$F:$F,加弹汇总表!$F42,jt!$O:$O,加弹汇总表!$C$1&amp;"/"&amp;加弹汇总表!$D$1&amp;"/"&amp;加弹汇总表!BP$2)</f>
        <v>0</v>
      </c>
      <c r="BQ42" s="8">
        <f>SUMIFS(jt!$M:$M,jt!$B:$B,加弹汇总表!$B42,jt!$D:$D,加弹汇总表!$C42,jt!$F:$F,加弹汇总表!$F42,jt!$O:$O,加弹汇总表!$C$1&amp;"/"&amp;加弹汇总表!$D$1&amp;"/"&amp;加弹汇总表!BQ$2)</f>
        <v>0</v>
      </c>
      <c r="BR42" s="8">
        <f>SUMIFS(jt!$M:$M,jt!$B:$B,加弹汇总表!$B42,jt!$D:$D,加弹汇总表!$C42,jt!$F:$F,加弹汇总表!$F42,jt!$O:$O,加弹汇总表!$C$1&amp;"/"&amp;加弹汇总表!$D$1&amp;"/"&amp;加弹汇总表!BR$2)</f>
        <v>0</v>
      </c>
      <c r="BS42" s="8">
        <f>SUMIFS(jt!$M:$M,jt!$B:$B,加弹汇总表!$B42,jt!$D:$D,加弹汇总表!$C42,jt!$F:$F,加弹汇总表!$F42,jt!$O:$O,加弹汇总表!$C$1&amp;"/"&amp;加弹汇总表!$D$1&amp;"/"&amp;加弹汇总表!BS$2)</f>
        <v>0</v>
      </c>
    </row>
    <row r="43" spans="1:71" ht="18" customHeight="1">
      <c r="A43" s="250" t="str">
        <f t="shared" si="4"/>
        <v>H-278355965200D网络丝355/96白</v>
      </c>
      <c r="B43" s="14" t="s">
        <v>882</v>
      </c>
      <c r="C43" s="98" t="s">
        <v>868</v>
      </c>
      <c r="D43" s="53" t="s">
        <v>441</v>
      </c>
      <c r="E43" s="78"/>
      <c r="F43" s="53" t="s">
        <v>2</v>
      </c>
      <c r="G43" s="53" t="s">
        <v>411</v>
      </c>
      <c r="H43" s="53"/>
      <c r="I43" s="246">
        <f ca="1">IF(SUMIFS(jt!M:M,jt!A:A,加弹汇总表!A43,jt!O:O,加弹汇总表!$E$1)=0,0,SUM(AO43:BS43)/COUNTIF(AO43:BS43,"&lt;&gt;0"))</f>
        <v>0</v>
      </c>
      <c r="J43" s="53">
        <f t="shared" si="5"/>
        <v>0</v>
      </c>
      <c r="K43" s="53">
        <f t="shared" si="6"/>
        <v>0</v>
      </c>
      <c r="L43" s="53">
        <f t="shared" si="7"/>
        <v>0</v>
      </c>
      <c r="M43" s="53">
        <f t="shared" si="0"/>
        <v>0</v>
      </c>
      <c r="N43" s="53"/>
      <c r="O43" s="53">
        <f t="shared" si="15"/>
        <v>0</v>
      </c>
      <c r="P43" s="53">
        <f t="shared" si="2"/>
        <v>0</v>
      </c>
      <c r="Q43" s="53">
        <f t="shared" si="3"/>
        <v>0</v>
      </c>
      <c r="R43" s="60">
        <f>SUMIFS(jt!$K:$K,jt!$A:$A,加弹汇总表!$A43,jt!$R:$R,加弹汇总表!R$2)</f>
        <v>0</v>
      </c>
      <c r="S43" s="60">
        <f>SUMIFS(jt!$K:$K,jt!$A:$A,加弹汇总表!$A43,jt!$R:$R,加弹汇总表!S$2)</f>
        <v>0</v>
      </c>
      <c r="T43" s="60">
        <f>SUMIFS(jt!$K:$K,jt!$A:$A,加弹汇总表!$A43,jt!$R:$R,加弹汇总表!T$2)</f>
        <v>0</v>
      </c>
      <c r="U43" s="60">
        <f>SUMIFS(jt!$J:$J,jt!$A:$A,加弹汇总表!$A43,jt!$R:$R,加弹汇总表!U$2)</f>
        <v>0</v>
      </c>
      <c r="V43" s="60">
        <f>SUMIFS(jt!$J:$J,jt!$A:$A,加弹汇总表!$A43,jt!$R:$R,加弹汇总表!V$2)</f>
        <v>0</v>
      </c>
      <c r="W43" s="60">
        <f>SUMIFS(jt!$J:$J,jt!$A:$A,加弹汇总表!$A43,jt!$R:$R,加弹汇总表!W$2)</f>
        <v>0</v>
      </c>
      <c r="X43" s="61">
        <f>SUMIFS(jt!$L:$L,jt!$A:$A,加弹汇总表!$A43,jt!$R:$R,加弹汇总表!X$2)</f>
        <v>0</v>
      </c>
      <c r="Y43" s="61">
        <f>SUMIFS(jt!$L:$L,jt!$A:$A,加弹汇总表!$A43,jt!$R:$R,加弹汇总表!Y$2)</f>
        <v>0</v>
      </c>
      <c r="Z43" s="61">
        <f>SUMIFS(jt!$L:$L,jt!$A:$A,加弹汇总表!$A43,jt!$R:$R,加弹汇总表!Z$2)</f>
        <v>0</v>
      </c>
      <c r="AA43" s="62">
        <f>SUMIFS(jt!$M:$M,jt!$A:$A,加弹汇总表!$A43,jt!$R:$R,加弹汇总表!AA$2)</f>
        <v>0</v>
      </c>
      <c r="AB43" s="62">
        <f>SUMIFS(jt!$M:$M,jt!$A:$A,加弹汇总表!$A43,jt!$R:$R,加弹汇总表!AB$2)</f>
        <v>0</v>
      </c>
      <c r="AC43" s="62">
        <f>SUMIFS(jt!$M:$M,jt!$A:$A,加弹汇总表!$A43,jt!$R:$R,加弹汇总表!AC$2)</f>
        <v>0</v>
      </c>
      <c r="AD43" s="63">
        <f>SUMIFS(jt!$N:$N,jt!$A:$A,加弹汇总表!$A43,jt!$R:$R,加弹汇总表!AD$2)</f>
        <v>0</v>
      </c>
      <c r="AE43" s="63">
        <f>SUMIFS(jt!$N:$N,jt!$A:$A,加弹汇总表!$A43,jt!$R:$R,加弹汇总表!AE$2)</f>
        <v>0</v>
      </c>
      <c r="AF43" s="63">
        <f>SUMIFS(jt!$N:$N,jt!$A:$A,加弹汇总表!$A43,jt!$R:$R,加弹汇总表!AF$2)</f>
        <v>0</v>
      </c>
      <c r="AG43" s="64">
        <f>SUMIFS(jt!$M:$M,jt!$A:$A,加弹汇总表!$A43,jt!$C:$C,加弹汇总表!AG$2)</f>
        <v>0</v>
      </c>
      <c r="AH43" s="64">
        <f>SUMIFS(jt!$M:$M,jt!$A:$A,加弹汇总表!$A43,jt!$C:$C,加弹汇总表!AH$2)</f>
        <v>0</v>
      </c>
      <c r="AI43" s="64">
        <f>SUMIFS(jt!$M:$M,jt!$A:$A,加弹汇总表!$A43,jt!$C:$C,加弹汇总表!AI$2)</f>
        <v>0</v>
      </c>
      <c r="AJ43" s="64">
        <f>SUMIFS(jt!$M:$M,jt!$A:$A,加弹汇总表!$A43,jt!$C:$C,加弹汇总表!AJ$2)</f>
        <v>0</v>
      </c>
      <c r="AK43" s="64">
        <f>SUMIFS(jt!$M:$M,jt!$A:$A,加弹汇总表!$A43,jt!$C:$C,加弹汇总表!AK$2)</f>
        <v>0</v>
      </c>
      <c r="AL43" s="64">
        <f>SUMIFS(jt!$M:$M,jt!$A:$A,加弹汇总表!$A43,jt!$C:$C,加弹汇总表!AL$2)</f>
        <v>0</v>
      </c>
      <c r="AM43" s="64">
        <f>SUMIFS(jt!$M:$M,jt!$A:$A,加弹汇总表!$A43,jt!$C:$C,加弹汇总表!AM$2)</f>
        <v>0</v>
      </c>
      <c r="AN43" s="80">
        <f>SUMIFS(jt!$M:$M,jt!$A:$A,加弹汇总表!$A43,jt!$C:$C,加弹汇总表!AN$2)</f>
        <v>0</v>
      </c>
      <c r="AO43" s="8">
        <f>SUMIFS(jt!$M:$M,jt!$B:$B,加弹汇总表!$B43,jt!$D:$D,加弹汇总表!$C43,jt!$F:$F,加弹汇总表!$F43,jt!$O:$O,加弹汇总表!$C$1&amp;"/"&amp;加弹汇总表!$D$1&amp;"/"&amp;加弹汇总表!AO$2)</f>
        <v>0</v>
      </c>
      <c r="AP43" s="8">
        <f>SUMIFS(jt!$M:$M,jt!$B:$B,加弹汇总表!$B43,jt!$D:$D,加弹汇总表!$C43,jt!$F:$F,加弹汇总表!$F43,jt!$O:$O,加弹汇总表!$C$1&amp;"/"&amp;加弹汇总表!$D$1&amp;"/"&amp;加弹汇总表!AP$2)</f>
        <v>0</v>
      </c>
      <c r="AQ43" s="8">
        <f>SUMIFS(jt!$M:$M,jt!$B:$B,加弹汇总表!$B43,jt!$D:$D,加弹汇总表!$C43,jt!$F:$F,加弹汇总表!$F43,jt!$O:$O,加弹汇总表!$C$1&amp;"/"&amp;加弹汇总表!$D$1&amp;"/"&amp;加弹汇总表!AQ$2)</f>
        <v>0</v>
      </c>
      <c r="AR43" s="8">
        <f>SUMIFS(jt!$M:$M,jt!$B:$B,加弹汇总表!$B43,jt!$D:$D,加弹汇总表!$C43,jt!$F:$F,加弹汇总表!$F43,jt!$O:$O,加弹汇总表!$C$1&amp;"/"&amp;加弹汇总表!$D$1&amp;"/"&amp;加弹汇总表!AR$2)</f>
        <v>0</v>
      </c>
      <c r="AS43" s="8">
        <f>SUMIFS(jt!$M:$M,jt!$B:$B,加弹汇总表!$B43,jt!$D:$D,加弹汇总表!$C43,jt!$F:$F,加弹汇总表!$F43,jt!$O:$O,加弹汇总表!$C$1&amp;"/"&amp;加弹汇总表!$D$1&amp;"/"&amp;加弹汇总表!AS$2)</f>
        <v>0</v>
      </c>
      <c r="AT43" s="8">
        <f>SUMIFS(jt!$M:$M,jt!$B:$B,加弹汇总表!$B43,jt!$D:$D,加弹汇总表!$C43,jt!$F:$F,加弹汇总表!$F43,jt!$O:$O,加弹汇总表!$C$1&amp;"/"&amp;加弹汇总表!$D$1&amp;"/"&amp;加弹汇总表!AT$2)</f>
        <v>0</v>
      </c>
      <c r="AU43" s="8">
        <f>SUMIFS(jt!$M:$M,jt!$B:$B,加弹汇总表!$B43,jt!$D:$D,加弹汇总表!$C43,jt!$F:$F,加弹汇总表!$F43,jt!$O:$O,加弹汇总表!$C$1&amp;"/"&amp;加弹汇总表!$D$1&amp;"/"&amp;加弹汇总表!AU$2)</f>
        <v>0</v>
      </c>
      <c r="AV43" s="8">
        <f>SUMIFS(jt!$M:$M,jt!$B:$B,加弹汇总表!$B43,jt!$D:$D,加弹汇总表!$C43,jt!$F:$F,加弹汇总表!$F43,jt!$O:$O,加弹汇总表!$C$1&amp;"/"&amp;加弹汇总表!$D$1&amp;"/"&amp;加弹汇总表!AV$2)</f>
        <v>0</v>
      </c>
      <c r="AW43" s="8">
        <f>SUMIFS(jt!$M:$M,jt!$B:$B,加弹汇总表!$B43,jt!$D:$D,加弹汇总表!$C43,jt!$F:$F,加弹汇总表!$F43,jt!$O:$O,加弹汇总表!$C$1&amp;"/"&amp;加弹汇总表!$D$1&amp;"/"&amp;加弹汇总表!AW$2)</f>
        <v>0</v>
      </c>
      <c r="AX43" s="8">
        <f>SUMIFS(jt!$M:$M,jt!$B:$B,加弹汇总表!$B43,jt!$D:$D,加弹汇总表!$C43,jt!$F:$F,加弹汇总表!$F43,jt!$O:$O,加弹汇总表!$C$1&amp;"/"&amp;加弹汇总表!$D$1&amp;"/"&amp;加弹汇总表!AX$2)</f>
        <v>0</v>
      </c>
      <c r="AY43" s="8">
        <f>SUMIFS(jt!$M:$M,jt!$B:$B,加弹汇总表!$B43,jt!$D:$D,加弹汇总表!$C43,jt!$F:$F,加弹汇总表!$F43,jt!$O:$O,加弹汇总表!$C$1&amp;"/"&amp;加弹汇总表!$D$1&amp;"/"&amp;加弹汇总表!AY$2)</f>
        <v>0</v>
      </c>
      <c r="AZ43" s="8">
        <f>SUMIFS(jt!$M:$M,jt!$B:$B,加弹汇总表!$B43,jt!$D:$D,加弹汇总表!$C43,jt!$F:$F,加弹汇总表!$F43,jt!$O:$O,加弹汇总表!$C$1&amp;"/"&amp;加弹汇总表!$D$1&amp;"/"&amp;加弹汇总表!AZ$2)</f>
        <v>0</v>
      </c>
      <c r="BA43" s="8">
        <f>SUMIFS(jt!$M:$M,jt!$B:$B,加弹汇总表!$B43,jt!$D:$D,加弹汇总表!$C43,jt!$F:$F,加弹汇总表!$F43,jt!$O:$O,加弹汇总表!$C$1&amp;"/"&amp;加弹汇总表!$D$1&amp;"/"&amp;加弹汇总表!BA$2)</f>
        <v>0</v>
      </c>
      <c r="BB43" s="8">
        <f>SUMIFS(jt!$M:$M,jt!$B:$B,加弹汇总表!$B43,jt!$D:$D,加弹汇总表!$C43,jt!$F:$F,加弹汇总表!$F43,jt!$O:$O,加弹汇总表!$C$1&amp;"/"&amp;加弹汇总表!$D$1&amp;"/"&amp;加弹汇总表!BB$2)</f>
        <v>0</v>
      </c>
      <c r="BC43" s="8">
        <f>SUMIFS(jt!$M:$M,jt!$B:$B,加弹汇总表!$B43,jt!$D:$D,加弹汇总表!$C43,jt!$F:$F,加弹汇总表!$F43,jt!$O:$O,加弹汇总表!$C$1&amp;"/"&amp;加弹汇总表!$D$1&amp;"/"&amp;加弹汇总表!BC$2)</f>
        <v>0</v>
      </c>
      <c r="BD43" s="8">
        <f>SUMIFS(jt!$M:$M,jt!$B:$B,加弹汇总表!$B43,jt!$D:$D,加弹汇总表!$C43,jt!$F:$F,加弹汇总表!$F43,jt!$O:$O,加弹汇总表!$C$1&amp;"/"&amp;加弹汇总表!$D$1&amp;"/"&amp;加弹汇总表!BD$2)</f>
        <v>0</v>
      </c>
      <c r="BE43" s="8">
        <f>SUMIFS(jt!$M:$M,jt!$B:$B,加弹汇总表!$B43,jt!$D:$D,加弹汇总表!$C43,jt!$F:$F,加弹汇总表!$F43,jt!$O:$O,加弹汇总表!$C$1&amp;"/"&amp;加弹汇总表!$D$1&amp;"/"&amp;加弹汇总表!BE$2)</f>
        <v>0</v>
      </c>
      <c r="BF43" s="8">
        <f>SUMIFS(jt!$M:$M,jt!$B:$B,加弹汇总表!$B43,jt!$D:$D,加弹汇总表!$C43,jt!$F:$F,加弹汇总表!$F43,jt!$O:$O,加弹汇总表!$C$1&amp;"/"&amp;加弹汇总表!$D$1&amp;"/"&amp;加弹汇总表!BF$2)</f>
        <v>0</v>
      </c>
      <c r="BG43" s="8">
        <f>SUMIFS(jt!$M:$M,jt!$B:$B,加弹汇总表!$B43,jt!$D:$D,加弹汇总表!$C43,jt!$F:$F,加弹汇总表!$F43,jt!$O:$O,加弹汇总表!$C$1&amp;"/"&amp;加弹汇总表!$D$1&amp;"/"&amp;加弹汇总表!BG$2)</f>
        <v>0</v>
      </c>
      <c r="BH43" s="8">
        <f>SUMIFS(jt!$M:$M,jt!$B:$B,加弹汇总表!$B43,jt!$D:$D,加弹汇总表!$C43,jt!$F:$F,加弹汇总表!$F43,jt!$O:$O,加弹汇总表!$C$1&amp;"/"&amp;加弹汇总表!$D$1&amp;"/"&amp;加弹汇总表!BH$2)</f>
        <v>0</v>
      </c>
      <c r="BI43" s="8">
        <f>SUMIFS(jt!$M:$M,jt!$B:$B,加弹汇总表!$B43,jt!$D:$D,加弹汇总表!$C43,jt!$F:$F,加弹汇总表!$F43,jt!$O:$O,加弹汇总表!$C$1&amp;"/"&amp;加弹汇总表!$D$1&amp;"/"&amp;加弹汇总表!BI$2)</f>
        <v>0</v>
      </c>
      <c r="BJ43" s="8">
        <f>SUMIFS(jt!$M:$M,jt!$B:$B,加弹汇总表!$B43,jt!$D:$D,加弹汇总表!$C43,jt!$F:$F,加弹汇总表!$F43,jt!$O:$O,加弹汇总表!$C$1&amp;"/"&amp;加弹汇总表!$D$1&amp;"/"&amp;加弹汇总表!BJ$2)</f>
        <v>0</v>
      </c>
      <c r="BK43" s="8">
        <f>SUMIFS(jt!$M:$M,jt!$B:$B,加弹汇总表!$B43,jt!$D:$D,加弹汇总表!$C43,jt!$F:$F,加弹汇总表!$F43,jt!$O:$O,加弹汇总表!$C$1&amp;"/"&amp;加弹汇总表!$D$1&amp;"/"&amp;加弹汇总表!BK$2)</f>
        <v>0</v>
      </c>
      <c r="BL43" s="8">
        <f>SUMIFS(jt!$M:$M,jt!$B:$B,加弹汇总表!$B43,jt!$D:$D,加弹汇总表!$C43,jt!$F:$F,加弹汇总表!$F43,jt!$O:$O,加弹汇总表!$C$1&amp;"/"&amp;加弹汇总表!$D$1&amp;"/"&amp;加弹汇总表!BL$2)</f>
        <v>0</v>
      </c>
      <c r="BM43" s="8">
        <f>SUMIFS(jt!$M:$M,jt!$B:$B,加弹汇总表!$B43,jt!$D:$D,加弹汇总表!$C43,jt!$F:$F,加弹汇总表!$F43,jt!$O:$O,加弹汇总表!$C$1&amp;"/"&amp;加弹汇总表!$D$1&amp;"/"&amp;加弹汇总表!BM$2)</f>
        <v>0</v>
      </c>
      <c r="BN43" s="8">
        <f>SUMIFS(jt!$M:$M,jt!$B:$B,加弹汇总表!$B43,jt!$D:$D,加弹汇总表!$C43,jt!$F:$F,加弹汇总表!$F43,jt!$O:$O,加弹汇总表!$C$1&amp;"/"&amp;加弹汇总表!$D$1&amp;"/"&amp;加弹汇总表!BN$2)</f>
        <v>0</v>
      </c>
      <c r="BO43" s="8">
        <f>SUMIFS(jt!$M:$M,jt!$B:$B,加弹汇总表!$B43,jt!$D:$D,加弹汇总表!$C43,jt!$F:$F,加弹汇总表!$F43,jt!$O:$O,加弹汇总表!$C$1&amp;"/"&amp;加弹汇总表!$D$1&amp;"/"&amp;加弹汇总表!BO$2)</f>
        <v>0</v>
      </c>
      <c r="BP43" s="8">
        <f>SUMIFS(jt!$M:$M,jt!$B:$B,加弹汇总表!$B43,jt!$D:$D,加弹汇总表!$C43,jt!$F:$F,加弹汇总表!$F43,jt!$O:$O,加弹汇总表!$C$1&amp;"/"&amp;加弹汇总表!$D$1&amp;"/"&amp;加弹汇总表!BP$2)</f>
        <v>0</v>
      </c>
      <c r="BQ43" s="8">
        <f>SUMIFS(jt!$M:$M,jt!$B:$B,加弹汇总表!$B43,jt!$D:$D,加弹汇总表!$C43,jt!$F:$F,加弹汇总表!$F43,jt!$O:$O,加弹汇总表!$C$1&amp;"/"&amp;加弹汇总表!$D$1&amp;"/"&amp;加弹汇总表!BQ$2)</f>
        <v>0</v>
      </c>
      <c r="BR43" s="8">
        <f>SUMIFS(jt!$M:$M,jt!$B:$B,加弹汇总表!$B43,jt!$D:$D,加弹汇总表!$C43,jt!$F:$F,加弹汇总表!$F43,jt!$O:$O,加弹汇总表!$C$1&amp;"/"&amp;加弹汇总表!$D$1&amp;"/"&amp;加弹汇总表!BR$2)</f>
        <v>0</v>
      </c>
      <c r="BS43" s="8">
        <f>SUMIFS(jt!$M:$M,jt!$B:$B,加弹汇总表!$B43,jt!$D:$D,加弹汇总表!$C43,jt!$F:$F,加弹汇总表!$F43,jt!$O:$O,加弹汇总表!$C$1&amp;"/"&amp;加弹汇总表!$D$1&amp;"/"&amp;加弹汇总表!BS$2)</f>
        <v>0</v>
      </c>
    </row>
    <row r="44" spans="1:71" ht="18" customHeight="1">
      <c r="A44" s="250" t="str">
        <f t="shared" si="4"/>
        <v>HP06080200D网络丝355/96黑</v>
      </c>
      <c r="B44" s="14" t="s">
        <v>875</v>
      </c>
      <c r="C44" s="98" t="s">
        <v>868</v>
      </c>
      <c r="D44" s="53" t="s">
        <v>441</v>
      </c>
      <c r="E44" s="78"/>
      <c r="F44" s="53" t="s">
        <v>1</v>
      </c>
      <c r="G44" s="53" t="s">
        <v>443</v>
      </c>
      <c r="H44" s="53"/>
      <c r="I44" s="246">
        <f ca="1">IF(SUMIFS(jt!M:M,jt!A:A,加弹汇总表!A44,jt!O:O,加弹汇总表!$E$1)=0,0,SUM(AO44:BS44)/COUNTIF(AO44:BS44,"&lt;&gt;0"))</f>
        <v>0</v>
      </c>
      <c r="J44" s="53">
        <f t="shared" si="5"/>
        <v>0</v>
      </c>
      <c r="K44" s="53">
        <f t="shared" si="6"/>
        <v>0</v>
      </c>
      <c r="L44" s="53">
        <f t="shared" si="7"/>
        <v>0</v>
      </c>
      <c r="M44" s="53">
        <f t="shared" si="0"/>
        <v>0</v>
      </c>
      <c r="N44" s="53"/>
      <c r="O44" s="53">
        <f t="shared" si="15"/>
        <v>0</v>
      </c>
      <c r="P44" s="53">
        <f t="shared" si="2"/>
        <v>0</v>
      </c>
      <c r="Q44" s="53">
        <f t="shared" si="3"/>
        <v>0</v>
      </c>
      <c r="R44" s="60">
        <f>SUMIFS(jt!$K:$K,jt!$A:$A,加弹汇总表!$A44,jt!$R:$R,加弹汇总表!R$2)</f>
        <v>0</v>
      </c>
      <c r="S44" s="60">
        <f>SUMIFS(jt!$K:$K,jt!$A:$A,加弹汇总表!$A44,jt!$R:$R,加弹汇总表!S$2)</f>
        <v>0</v>
      </c>
      <c r="T44" s="60">
        <f>SUMIFS(jt!$K:$K,jt!$A:$A,加弹汇总表!$A44,jt!$R:$R,加弹汇总表!T$2)</f>
        <v>0</v>
      </c>
      <c r="U44" s="60">
        <f>SUMIFS(jt!$J:$J,jt!$A:$A,加弹汇总表!$A44,jt!$R:$R,加弹汇总表!U$2)</f>
        <v>0</v>
      </c>
      <c r="V44" s="60">
        <f>SUMIFS(jt!$J:$J,jt!$A:$A,加弹汇总表!$A44,jt!$R:$R,加弹汇总表!V$2)</f>
        <v>0</v>
      </c>
      <c r="W44" s="60">
        <f>SUMIFS(jt!$J:$J,jt!$A:$A,加弹汇总表!$A44,jt!$R:$R,加弹汇总表!W$2)</f>
        <v>0</v>
      </c>
      <c r="X44" s="61">
        <f>SUMIFS(jt!$L:$L,jt!$A:$A,加弹汇总表!$A44,jt!$R:$R,加弹汇总表!X$2)</f>
        <v>0</v>
      </c>
      <c r="Y44" s="61">
        <f>SUMIFS(jt!$L:$L,jt!$A:$A,加弹汇总表!$A44,jt!$R:$R,加弹汇总表!Y$2)</f>
        <v>0</v>
      </c>
      <c r="Z44" s="61">
        <f>SUMIFS(jt!$L:$L,jt!$A:$A,加弹汇总表!$A44,jt!$R:$R,加弹汇总表!Z$2)</f>
        <v>0</v>
      </c>
      <c r="AA44" s="62">
        <f>SUMIFS(jt!$M:$M,jt!$A:$A,加弹汇总表!$A44,jt!$R:$R,加弹汇总表!AA$2)</f>
        <v>0</v>
      </c>
      <c r="AB44" s="62">
        <f>SUMIFS(jt!$M:$M,jt!$A:$A,加弹汇总表!$A44,jt!$R:$R,加弹汇总表!AB$2)</f>
        <v>0</v>
      </c>
      <c r="AC44" s="62">
        <f>SUMIFS(jt!$M:$M,jt!$A:$A,加弹汇总表!$A44,jt!$R:$R,加弹汇总表!AC$2)</f>
        <v>0</v>
      </c>
      <c r="AD44" s="63">
        <f>SUMIFS(jt!$N:$N,jt!$A:$A,加弹汇总表!$A44,jt!$R:$R,加弹汇总表!AD$2)</f>
        <v>0</v>
      </c>
      <c r="AE44" s="63">
        <f>SUMIFS(jt!$N:$N,jt!$A:$A,加弹汇总表!$A44,jt!$R:$R,加弹汇总表!AE$2)</f>
        <v>0</v>
      </c>
      <c r="AF44" s="63">
        <f>SUMIFS(jt!$N:$N,jt!$A:$A,加弹汇总表!$A44,jt!$R:$R,加弹汇总表!AF$2)</f>
        <v>0</v>
      </c>
      <c r="AG44" s="64">
        <f>SUMIFS(jt!$M:$M,jt!$A:$A,加弹汇总表!$A44,jt!$C:$C,加弹汇总表!AG$2)</f>
        <v>0</v>
      </c>
      <c r="AH44" s="64">
        <f>SUMIFS(jt!$M:$M,jt!$A:$A,加弹汇总表!$A44,jt!$C:$C,加弹汇总表!AH$2)</f>
        <v>0</v>
      </c>
      <c r="AI44" s="64">
        <f>SUMIFS(jt!$M:$M,jt!$A:$A,加弹汇总表!$A44,jt!$C:$C,加弹汇总表!AI$2)</f>
        <v>0</v>
      </c>
      <c r="AJ44" s="64">
        <f>SUMIFS(jt!$M:$M,jt!$A:$A,加弹汇总表!$A44,jt!$C:$C,加弹汇总表!AJ$2)</f>
        <v>0</v>
      </c>
      <c r="AK44" s="64">
        <f>SUMIFS(jt!$M:$M,jt!$A:$A,加弹汇总表!$A44,jt!$C:$C,加弹汇总表!AK$2)</f>
        <v>0</v>
      </c>
      <c r="AL44" s="64">
        <f>SUMIFS(jt!$M:$M,jt!$A:$A,加弹汇总表!$A44,jt!$C:$C,加弹汇总表!AL$2)</f>
        <v>0</v>
      </c>
      <c r="AM44" s="64">
        <f>SUMIFS(jt!$M:$M,jt!$A:$A,加弹汇总表!$A44,jt!$C:$C,加弹汇总表!AM$2)</f>
        <v>0</v>
      </c>
      <c r="AN44" s="80">
        <f>SUMIFS(jt!$M:$M,jt!$A:$A,加弹汇总表!$A44,jt!$C:$C,加弹汇总表!AN$2)</f>
        <v>0</v>
      </c>
      <c r="AO44" s="8">
        <f>SUMIFS(jt!$M:$M,jt!$B:$B,加弹汇总表!$B44,jt!$D:$D,加弹汇总表!$C44,jt!$F:$F,加弹汇总表!$F44,jt!$O:$O,加弹汇总表!$C$1&amp;"/"&amp;加弹汇总表!$D$1&amp;"/"&amp;加弹汇总表!AO$2)</f>
        <v>0</v>
      </c>
      <c r="AP44" s="8">
        <f>SUMIFS(jt!$M:$M,jt!$B:$B,加弹汇总表!$B44,jt!$D:$D,加弹汇总表!$C44,jt!$F:$F,加弹汇总表!$F44,jt!$O:$O,加弹汇总表!$C$1&amp;"/"&amp;加弹汇总表!$D$1&amp;"/"&amp;加弹汇总表!AP$2)</f>
        <v>0</v>
      </c>
      <c r="AQ44" s="8">
        <f>SUMIFS(jt!$M:$M,jt!$B:$B,加弹汇总表!$B44,jt!$D:$D,加弹汇总表!$C44,jt!$F:$F,加弹汇总表!$F44,jt!$O:$O,加弹汇总表!$C$1&amp;"/"&amp;加弹汇总表!$D$1&amp;"/"&amp;加弹汇总表!AQ$2)</f>
        <v>0</v>
      </c>
      <c r="AR44" s="8">
        <f>SUMIFS(jt!$M:$M,jt!$B:$B,加弹汇总表!$B44,jt!$D:$D,加弹汇总表!$C44,jt!$F:$F,加弹汇总表!$F44,jt!$O:$O,加弹汇总表!$C$1&amp;"/"&amp;加弹汇总表!$D$1&amp;"/"&amp;加弹汇总表!AR$2)</f>
        <v>0</v>
      </c>
      <c r="AS44" s="8">
        <f>SUMIFS(jt!$M:$M,jt!$B:$B,加弹汇总表!$B44,jt!$D:$D,加弹汇总表!$C44,jt!$F:$F,加弹汇总表!$F44,jt!$O:$O,加弹汇总表!$C$1&amp;"/"&amp;加弹汇总表!$D$1&amp;"/"&amp;加弹汇总表!AS$2)</f>
        <v>0</v>
      </c>
      <c r="AT44" s="8">
        <f>SUMIFS(jt!$M:$M,jt!$B:$B,加弹汇总表!$B44,jt!$D:$D,加弹汇总表!$C44,jt!$F:$F,加弹汇总表!$F44,jt!$O:$O,加弹汇总表!$C$1&amp;"/"&amp;加弹汇总表!$D$1&amp;"/"&amp;加弹汇总表!AT$2)</f>
        <v>0</v>
      </c>
      <c r="AU44" s="8">
        <f>SUMIFS(jt!$M:$M,jt!$B:$B,加弹汇总表!$B44,jt!$D:$D,加弹汇总表!$C44,jt!$F:$F,加弹汇总表!$F44,jt!$O:$O,加弹汇总表!$C$1&amp;"/"&amp;加弹汇总表!$D$1&amp;"/"&amp;加弹汇总表!AU$2)</f>
        <v>0</v>
      </c>
      <c r="AV44" s="8">
        <f>SUMIFS(jt!$M:$M,jt!$B:$B,加弹汇总表!$B44,jt!$D:$D,加弹汇总表!$C44,jt!$F:$F,加弹汇总表!$F44,jt!$O:$O,加弹汇总表!$C$1&amp;"/"&amp;加弹汇总表!$D$1&amp;"/"&amp;加弹汇总表!AV$2)</f>
        <v>0</v>
      </c>
      <c r="AW44" s="8">
        <f>SUMIFS(jt!$M:$M,jt!$B:$B,加弹汇总表!$B44,jt!$D:$D,加弹汇总表!$C44,jt!$F:$F,加弹汇总表!$F44,jt!$O:$O,加弹汇总表!$C$1&amp;"/"&amp;加弹汇总表!$D$1&amp;"/"&amp;加弹汇总表!AW$2)</f>
        <v>0</v>
      </c>
      <c r="AX44" s="8">
        <f>SUMIFS(jt!$M:$M,jt!$B:$B,加弹汇总表!$B44,jt!$D:$D,加弹汇总表!$C44,jt!$F:$F,加弹汇总表!$F44,jt!$O:$O,加弹汇总表!$C$1&amp;"/"&amp;加弹汇总表!$D$1&amp;"/"&amp;加弹汇总表!AX$2)</f>
        <v>0</v>
      </c>
      <c r="AY44" s="8">
        <f>SUMIFS(jt!$M:$M,jt!$B:$B,加弹汇总表!$B44,jt!$D:$D,加弹汇总表!$C44,jt!$F:$F,加弹汇总表!$F44,jt!$O:$O,加弹汇总表!$C$1&amp;"/"&amp;加弹汇总表!$D$1&amp;"/"&amp;加弹汇总表!AY$2)</f>
        <v>0</v>
      </c>
      <c r="AZ44" s="8">
        <f>SUMIFS(jt!$M:$M,jt!$B:$B,加弹汇总表!$B44,jt!$D:$D,加弹汇总表!$C44,jt!$F:$F,加弹汇总表!$F44,jt!$O:$O,加弹汇总表!$C$1&amp;"/"&amp;加弹汇总表!$D$1&amp;"/"&amp;加弹汇总表!AZ$2)</f>
        <v>0</v>
      </c>
      <c r="BA44" s="8">
        <f>SUMIFS(jt!$M:$M,jt!$B:$B,加弹汇总表!$B44,jt!$D:$D,加弹汇总表!$C44,jt!$F:$F,加弹汇总表!$F44,jt!$O:$O,加弹汇总表!$C$1&amp;"/"&amp;加弹汇总表!$D$1&amp;"/"&amp;加弹汇总表!BA$2)</f>
        <v>0</v>
      </c>
      <c r="BB44" s="8">
        <f>SUMIFS(jt!$M:$M,jt!$B:$B,加弹汇总表!$B44,jt!$D:$D,加弹汇总表!$C44,jt!$F:$F,加弹汇总表!$F44,jt!$O:$O,加弹汇总表!$C$1&amp;"/"&amp;加弹汇总表!$D$1&amp;"/"&amp;加弹汇总表!BB$2)</f>
        <v>0</v>
      </c>
      <c r="BC44" s="8">
        <f>SUMIFS(jt!$M:$M,jt!$B:$B,加弹汇总表!$B44,jt!$D:$D,加弹汇总表!$C44,jt!$F:$F,加弹汇总表!$F44,jt!$O:$O,加弹汇总表!$C$1&amp;"/"&amp;加弹汇总表!$D$1&amp;"/"&amp;加弹汇总表!BC$2)</f>
        <v>0</v>
      </c>
      <c r="BD44" s="8">
        <f>SUMIFS(jt!$M:$M,jt!$B:$B,加弹汇总表!$B44,jt!$D:$D,加弹汇总表!$C44,jt!$F:$F,加弹汇总表!$F44,jt!$O:$O,加弹汇总表!$C$1&amp;"/"&amp;加弹汇总表!$D$1&amp;"/"&amp;加弹汇总表!BD$2)</f>
        <v>0</v>
      </c>
      <c r="BE44" s="8">
        <f>SUMIFS(jt!$M:$M,jt!$B:$B,加弹汇总表!$B44,jt!$D:$D,加弹汇总表!$C44,jt!$F:$F,加弹汇总表!$F44,jt!$O:$O,加弹汇总表!$C$1&amp;"/"&amp;加弹汇总表!$D$1&amp;"/"&amp;加弹汇总表!BE$2)</f>
        <v>0</v>
      </c>
      <c r="BF44" s="8">
        <f>SUMIFS(jt!$M:$M,jt!$B:$B,加弹汇总表!$B44,jt!$D:$D,加弹汇总表!$C44,jt!$F:$F,加弹汇总表!$F44,jt!$O:$O,加弹汇总表!$C$1&amp;"/"&amp;加弹汇总表!$D$1&amp;"/"&amp;加弹汇总表!BF$2)</f>
        <v>0</v>
      </c>
      <c r="BG44" s="8">
        <f>SUMIFS(jt!$M:$M,jt!$B:$B,加弹汇总表!$B44,jt!$D:$D,加弹汇总表!$C44,jt!$F:$F,加弹汇总表!$F44,jt!$O:$O,加弹汇总表!$C$1&amp;"/"&amp;加弹汇总表!$D$1&amp;"/"&amp;加弹汇总表!BG$2)</f>
        <v>0</v>
      </c>
      <c r="BH44" s="8">
        <f>SUMIFS(jt!$M:$M,jt!$B:$B,加弹汇总表!$B44,jt!$D:$D,加弹汇总表!$C44,jt!$F:$F,加弹汇总表!$F44,jt!$O:$O,加弹汇总表!$C$1&amp;"/"&amp;加弹汇总表!$D$1&amp;"/"&amp;加弹汇总表!BH$2)</f>
        <v>0</v>
      </c>
      <c r="BI44" s="8">
        <f>SUMIFS(jt!$M:$M,jt!$B:$B,加弹汇总表!$B44,jt!$D:$D,加弹汇总表!$C44,jt!$F:$F,加弹汇总表!$F44,jt!$O:$O,加弹汇总表!$C$1&amp;"/"&amp;加弹汇总表!$D$1&amp;"/"&amp;加弹汇总表!BI$2)</f>
        <v>0</v>
      </c>
      <c r="BJ44" s="8">
        <f>SUMIFS(jt!$M:$M,jt!$B:$B,加弹汇总表!$B44,jt!$D:$D,加弹汇总表!$C44,jt!$F:$F,加弹汇总表!$F44,jt!$O:$O,加弹汇总表!$C$1&amp;"/"&amp;加弹汇总表!$D$1&amp;"/"&amp;加弹汇总表!BJ$2)</f>
        <v>0</v>
      </c>
      <c r="BK44" s="8">
        <f>SUMIFS(jt!$M:$M,jt!$B:$B,加弹汇总表!$B44,jt!$D:$D,加弹汇总表!$C44,jt!$F:$F,加弹汇总表!$F44,jt!$O:$O,加弹汇总表!$C$1&amp;"/"&amp;加弹汇总表!$D$1&amp;"/"&amp;加弹汇总表!BK$2)</f>
        <v>0</v>
      </c>
      <c r="BL44" s="8">
        <f>SUMIFS(jt!$M:$M,jt!$B:$B,加弹汇总表!$B44,jt!$D:$D,加弹汇总表!$C44,jt!$F:$F,加弹汇总表!$F44,jt!$O:$O,加弹汇总表!$C$1&amp;"/"&amp;加弹汇总表!$D$1&amp;"/"&amp;加弹汇总表!BL$2)</f>
        <v>0</v>
      </c>
      <c r="BM44" s="8">
        <f>SUMIFS(jt!$M:$M,jt!$B:$B,加弹汇总表!$B44,jt!$D:$D,加弹汇总表!$C44,jt!$F:$F,加弹汇总表!$F44,jt!$O:$O,加弹汇总表!$C$1&amp;"/"&amp;加弹汇总表!$D$1&amp;"/"&amp;加弹汇总表!BM$2)</f>
        <v>0</v>
      </c>
      <c r="BN44" s="8">
        <f>SUMIFS(jt!$M:$M,jt!$B:$B,加弹汇总表!$B44,jt!$D:$D,加弹汇总表!$C44,jt!$F:$F,加弹汇总表!$F44,jt!$O:$O,加弹汇总表!$C$1&amp;"/"&amp;加弹汇总表!$D$1&amp;"/"&amp;加弹汇总表!BN$2)</f>
        <v>0</v>
      </c>
      <c r="BO44" s="8">
        <f>SUMIFS(jt!$M:$M,jt!$B:$B,加弹汇总表!$B44,jt!$D:$D,加弹汇总表!$C44,jt!$F:$F,加弹汇总表!$F44,jt!$O:$O,加弹汇总表!$C$1&amp;"/"&amp;加弹汇总表!$D$1&amp;"/"&amp;加弹汇总表!BO$2)</f>
        <v>0</v>
      </c>
      <c r="BP44" s="8">
        <f>SUMIFS(jt!$M:$M,jt!$B:$B,加弹汇总表!$B44,jt!$D:$D,加弹汇总表!$C44,jt!$F:$F,加弹汇总表!$F44,jt!$O:$O,加弹汇总表!$C$1&amp;"/"&amp;加弹汇总表!$D$1&amp;"/"&amp;加弹汇总表!BP$2)</f>
        <v>0</v>
      </c>
      <c r="BQ44" s="8">
        <f>SUMIFS(jt!$M:$M,jt!$B:$B,加弹汇总表!$B44,jt!$D:$D,加弹汇总表!$C44,jt!$F:$F,加弹汇总表!$F44,jt!$O:$O,加弹汇总表!$C$1&amp;"/"&amp;加弹汇总表!$D$1&amp;"/"&amp;加弹汇总表!BQ$2)</f>
        <v>0</v>
      </c>
      <c r="BR44" s="8">
        <f>SUMIFS(jt!$M:$M,jt!$B:$B,加弹汇总表!$B44,jt!$D:$D,加弹汇总表!$C44,jt!$F:$F,加弹汇总表!$F44,jt!$O:$O,加弹汇总表!$C$1&amp;"/"&amp;加弹汇总表!$D$1&amp;"/"&amp;加弹汇总表!BR$2)</f>
        <v>0</v>
      </c>
      <c r="BS44" s="8">
        <f>SUMIFS(jt!$M:$M,jt!$B:$B,加弹汇总表!$B44,jt!$D:$D,加弹汇总表!$C44,jt!$F:$F,加弹汇总表!$F44,jt!$O:$O,加弹汇总表!$C$1&amp;"/"&amp;加弹汇总表!$D$1&amp;"/"&amp;加弹汇总表!BS$2)</f>
        <v>0</v>
      </c>
    </row>
    <row r="45" spans="1:71" ht="18" customHeight="1">
      <c r="A45" s="250" t="str">
        <f t="shared" si="4"/>
        <v>W-H805355962200D网络丝355/96黑</v>
      </c>
      <c r="B45" s="14" t="s">
        <v>883</v>
      </c>
      <c r="C45" s="98" t="s">
        <v>868</v>
      </c>
      <c r="D45" s="53" t="s">
        <v>441</v>
      </c>
      <c r="E45" s="78"/>
      <c r="F45" s="53" t="s">
        <v>1</v>
      </c>
      <c r="G45" s="53" t="s">
        <v>411</v>
      </c>
      <c r="H45" s="53"/>
      <c r="I45" s="246">
        <f ca="1">IF(SUMIFS(jt!M:M,jt!A:A,加弹汇总表!A45,jt!O:O,加弹汇总表!$E$1)=0,0,SUM(AO45:BS45)/COUNTIF(AO45:BS45,"&lt;&gt;0"))</f>
        <v>0</v>
      </c>
      <c r="J45" s="53">
        <f t="shared" si="5"/>
        <v>0</v>
      </c>
      <c r="K45" s="53">
        <f t="shared" si="6"/>
        <v>0</v>
      </c>
      <c r="L45" s="53">
        <f t="shared" si="7"/>
        <v>0</v>
      </c>
      <c r="M45" s="53">
        <f t="shared" si="0"/>
        <v>0</v>
      </c>
      <c r="N45" s="53"/>
      <c r="O45" s="53">
        <f t="shared" si="15"/>
        <v>0</v>
      </c>
      <c r="P45" s="53">
        <f t="shared" si="2"/>
        <v>0</v>
      </c>
      <c r="Q45" s="53">
        <f t="shared" si="3"/>
        <v>0</v>
      </c>
      <c r="R45" s="60">
        <f>SUMIFS(jt!$K:$K,jt!$A:$A,加弹汇总表!$A45,jt!$R:$R,加弹汇总表!R$2)</f>
        <v>0</v>
      </c>
      <c r="S45" s="60">
        <f>SUMIFS(jt!$K:$K,jt!$A:$A,加弹汇总表!$A45,jt!$R:$R,加弹汇总表!S$2)</f>
        <v>0</v>
      </c>
      <c r="T45" s="60">
        <f>SUMIFS(jt!$K:$K,jt!$A:$A,加弹汇总表!$A45,jt!$R:$R,加弹汇总表!T$2)</f>
        <v>0</v>
      </c>
      <c r="U45" s="60">
        <f>SUMIFS(jt!$J:$J,jt!$A:$A,加弹汇总表!$A45,jt!$R:$R,加弹汇总表!U$2)</f>
        <v>0</v>
      </c>
      <c r="V45" s="60">
        <f>SUMIFS(jt!$J:$J,jt!$A:$A,加弹汇总表!$A45,jt!$R:$R,加弹汇总表!V$2)</f>
        <v>0</v>
      </c>
      <c r="W45" s="60">
        <f>SUMIFS(jt!$J:$J,jt!$A:$A,加弹汇总表!$A45,jt!$R:$R,加弹汇总表!W$2)</f>
        <v>0</v>
      </c>
      <c r="X45" s="61">
        <f>SUMIFS(jt!$L:$L,jt!$A:$A,加弹汇总表!$A45,jt!$R:$R,加弹汇总表!X$2)</f>
        <v>0</v>
      </c>
      <c r="Y45" s="61">
        <f>SUMIFS(jt!$L:$L,jt!$A:$A,加弹汇总表!$A45,jt!$R:$R,加弹汇总表!Y$2)</f>
        <v>0</v>
      </c>
      <c r="Z45" s="61">
        <f>SUMIFS(jt!$L:$L,jt!$A:$A,加弹汇总表!$A45,jt!$R:$R,加弹汇总表!Z$2)</f>
        <v>0</v>
      </c>
      <c r="AA45" s="62">
        <f>SUMIFS(jt!$M:$M,jt!$A:$A,加弹汇总表!$A45,jt!$R:$R,加弹汇总表!AA$2)</f>
        <v>0</v>
      </c>
      <c r="AB45" s="62">
        <f>SUMIFS(jt!$M:$M,jt!$A:$A,加弹汇总表!$A45,jt!$R:$R,加弹汇总表!AB$2)</f>
        <v>0</v>
      </c>
      <c r="AC45" s="62">
        <f>SUMIFS(jt!$M:$M,jt!$A:$A,加弹汇总表!$A45,jt!$R:$R,加弹汇总表!AC$2)</f>
        <v>0</v>
      </c>
      <c r="AD45" s="63">
        <f>SUMIFS(jt!$N:$N,jt!$A:$A,加弹汇总表!$A45,jt!$R:$R,加弹汇总表!AD$2)</f>
        <v>0</v>
      </c>
      <c r="AE45" s="63">
        <f>SUMIFS(jt!$N:$N,jt!$A:$A,加弹汇总表!$A45,jt!$R:$R,加弹汇总表!AE$2)</f>
        <v>0</v>
      </c>
      <c r="AF45" s="63">
        <f>SUMIFS(jt!$N:$N,jt!$A:$A,加弹汇总表!$A45,jt!$R:$R,加弹汇总表!AF$2)</f>
        <v>0</v>
      </c>
      <c r="AG45" s="64">
        <f>SUMIFS(jt!$M:$M,jt!$A:$A,加弹汇总表!$A45,jt!$C:$C,加弹汇总表!AG$2)</f>
        <v>0</v>
      </c>
      <c r="AH45" s="64">
        <f>SUMIFS(jt!$M:$M,jt!$A:$A,加弹汇总表!$A45,jt!$C:$C,加弹汇总表!AH$2)</f>
        <v>0</v>
      </c>
      <c r="AI45" s="64">
        <f>SUMIFS(jt!$M:$M,jt!$A:$A,加弹汇总表!$A45,jt!$C:$C,加弹汇总表!AI$2)</f>
        <v>0</v>
      </c>
      <c r="AJ45" s="64">
        <f>SUMIFS(jt!$M:$M,jt!$A:$A,加弹汇总表!$A45,jt!$C:$C,加弹汇总表!AJ$2)</f>
        <v>0</v>
      </c>
      <c r="AK45" s="64">
        <f>SUMIFS(jt!$M:$M,jt!$A:$A,加弹汇总表!$A45,jt!$C:$C,加弹汇总表!AK$2)</f>
        <v>0</v>
      </c>
      <c r="AL45" s="64">
        <f>SUMIFS(jt!$M:$M,jt!$A:$A,加弹汇总表!$A45,jt!$C:$C,加弹汇总表!AL$2)</f>
        <v>0</v>
      </c>
      <c r="AM45" s="64">
        <f>SUMIFS(jt!$M:$M,jt!$A:$A,加弹汇总表!$A45,jt!$C:$C,加弹汇总表!AM$2)</f>
        <v>0</v>
      </c>
      <c r="AN45" s="80">
        <f>SUMIFS(jt!$M:$M,jt!$A:$A,加弹汇总表!$A45,jt!$C:$C,加弹汇总表!AN$2)</f>
        <v>0</v>
      </c>
      <c r="AO45" s="8">
        <f>SUMIFS(jt!$M:$M,jt!$B:$B,加弹汇总表!$B45,jt!$D:$D,加弹汇总表!$C45,jt!$F:$F,加弹汇总表!$F45,jt!$O:$O,加弹汇总表!$C$1&amp;"/"&amp;加弹汇总表!$D$1&amp;"/"&amp;加弹汇总表!AO$2)</f>
        <v>0</v>
      </c>
      <c r="AP45" s="8">
        <f>SUMIFS(jt!$M:$M,jt!$B:$B,加弹汇总表!$B45,jt!$D:$D,加弹汇总表!$C45,jt!$F:$F,加弹汇总表!$F45,jt!$O:$O,加弹汇总表!$C$1&amp;"/"&amp;加弹汇总表!$D$1&amp;"/"&amp;加弹汇总表!AP$2)</f>
        <v>0</v>
      </c>
      <c r="AQ45" s="8">
        <f>SUMIFS(jt!$M:$M,jt!$B:$B,加弹汇总表!$B45,jt!$D:$D,加弹汇总表!$C45,jt!$F:$F,加弹汇总表!$F45,jt!$O:$O,加弹汇总表!$C$1&amp;"/"&amp;加弹汇总表!$D$1&amp;"/"&amp;加弹汇总表!AQ$2)</f>
        <v>0</v>
      </c>
      <c r="AR45" s="8">
        <f>SUMIFS(jt!$M:$M,jt!$B:$B,加弹汇总表!$B45,jt!$D:$D,加弹汇总表!$C45,jt!$F:$F,加弹汇总表!$F45,jt!$O:$O,加弹汇总表!$C$1&amp;"/"&amp;加弹汇总表!$D$1&amp;"/"&amp;加弹汇总表!AR$2)</f>
        <v>0</v>
      </c>
      <c r="AS45" s="8">
        <f>SUMIFS(jt!$M:$M,jt!$B:$B,加弹汇总表!$B45,jt!$D:$D,加弹汇总表!$C45,jt!$F:$F,加弹汇总表!$F45,jt!$O:$O,加弹汇总表!$C$1&amp;"/"&amp;加弹汇总表!$D$1&amp;"/"&amp;加弹汇总表!AS$2)</f>
        <v>0</v>
      </c>
      <c r="AT45" s="8">
        <f>SUMIFS(jt!$M:$M,jt!$B:$B,加弹汇总表!$B45,jt!$D:$D,加弹汇总表!$C45,jt!$F:$F,加弹汇总表!$F45,jt!$O:$O,加弹汇总表!$C$1&amp;"/"&amp;加弹汇总表!$D$1&amp;"/"&amp;加弹汇总表!AT$2)</f>
        <v>0</v>
      </c>
      <c r="AU45" s="8">
        <f>SUMIFS(jt!$M:$M,jt!$B:$B,加弹汇总表!$B45,jt!$D:$D,加弹汇总表!$C45,jt!$F:$F,加弹汇总表!$F45,jt!$O:$O,加弹汇总表!$C$1&amp;"/"&amp;加弹汇总表!$D$1&amp;"/"&amp;加弹汇总表!AU$2)</f>
        <v>0</v>
      </c>
      <c r="AV45" s="8">
        <f>SUMIFS(jt!$M:$M,jt!$B:$B,加弹汇总表!$B45,jt!$D:$D,加弹汇总表!$C45,jt!$F:$F,加弹汇总表!$F45,jt!$O:$O,加弹汇总表!$C$1&amp;"/"&amp;加弹汇总表!$D$1&amp;"/"&amp;加弹汇总表!AV$2)</f>
        <v>0</v>
      </c>
      <c r="AW45" s="8">
        <f>SUMIFS(jt!$M:$M,jt!$B:$B,加弹汇总表!$B45,jt!$D:$D,加弹汇总表!$C45,jt!$F:$F,加弹汇总表!$F45,jt!$O:$O,加弹汇总表!$C$1&amp;"/"&amp;加弹汇总表!$D$1&amp;"/"&amp;加弹汇总表!AW$2)</f>
        <v>0</v>
      </c>
      <c r="AX45" s="8">
        <f>SUMIFS(jt!$M:$M,jt!$B:$B,加弹汇总表!$B45,jt!$D:$D,加弹汇总表!$C45,jt!$F:$F,加弹汇总表!$F45,jt!$O:$O,加弹汇总表!$C$1&amp;"/"&amp;加弹汇总表!$D$1&amp;"/"&amp;加弹汇总表!AX$2)</f>
        <v>0</v>
      </c>
      <c r="AY45" s="8">
        <f>SUMIFS(jt!$M:$M,jt!$B:$B,加弹汇总表!$B45,jt!$D:$D,加弹汇总表!$C45,jt!$F:$F,加弹汇总表!$F45,jt!$O:$O,加弹汇总表!$C$1&amp;"/"&amp;加弹汇总表!$D$1&amp;"/"&amp;加弹汇总表!AY$2)</f>
        <v>0</v>
      </c>
      <c r="AZ45" s="8">
        <f>SUMIFS(jt!$M:$M,jt!$B:$B,加弹汇总表!$B45,jt!$D:$D,加弹汇总表!$C45,jt!$F:$F,加弹汇总表!$F45,jt!$O:$O,加弹汇总表!$C$1&amp;"/"&amp;加弹汇总表!$D$1&amp;"/"&amp;加弹汇总表!AZ$2)</f>
        <v>0</v>
      </c>
      <c r="BA45" s="8">
        <f>SUMIFS(jt!$M:$M,jt!$B:$B,加弹汇总表!$B45,jt!$D:$D,加弹汇总表!$C45,jt!$F:$F,加弹汇总表!$F45,jt!$O:$O,加弹汇总表!$C$1&amp;"/"&amp;加弹汇总表!$D$1&amp;"/"&amp;加弹汇总表!BA$2)</f>
        <v>0</v>
      </c>
      <c r="BB45" s="8">
        <f>SUMIFS(jt!$M:$M,jt!$B:$B,加弹汇总表!$B45,jt!$D:$D,加弹汇总表!$C45,jt!$F:$F,加弹汇总表!$F45,jt!$O:$O,加弹汇总表!$C$1&amp;"/"&amp;加弹汇总表!$D$1&amp;"/"&amp;加弹汇总表!BB$2)</f>
        <v>0</v>
      </c>
      <c r="BC45" s="8">
        <f>SUMIFS(jt!$M:$M,jt!$B:$B,加弹汇总表!$B45,jt!$D:$D,加弹汇总表!$C45,jt!$F:$F,加弹汇总表!$F45,jt!$O:$O,加弹汇总表!$C$1&amp;"/"&amp;加弹汇总表!$D$1&amp;"/"&amp;加弹汇总表!BC$2)</f>
        <v>0</v>
      </c>
      <c r="BD45" s="8">
        <f>SUMIFS(jt!$M:$M,jt!$B:$B,加弹汇总表!$B45,jt!$D:$D,加弹汇总表!$C45,jt!$F:$F,加弹汇总表!$F45,jt!$O:$O,加弹汇总表!$C$1&amp;"/"&amp;加弹汇总表!$D$1&amp;"/"&amp;加弹汇总表!BD$2)</f>
        <v>0</v>
      </c>
      <c r="BE45" s="8">
        <f>SUMIFS(jt!$M:$M,jt!$B:$B,加弹汇总表!$B45,jt!$D:$D,加弹汇总表!$C45,jt!$F:$F,加弹汇总表!$F45,jt!$O:$O,加弹汇总表!$C$1&amp;"/"&amp;加弹汇总表!$D$1&amp;"/"&amp;加弹汇总表!BE$2)</f>
        <v>0</v>
      </c>
      <c r="BF45" s="8">
        <f>SUMIFS(jt!$M:$M,jt!$B:$B,加弹汇总表!$B45,jt!$D:$D,加弹汇总表!$C45,jt!$F:$F,加弹汇总表!$F45,jt!$O:$O,加弹汇总表!$C$1&amp;"/"&amp;加弹汇总表!$D$1&amp;"/"&amp;加弹汇总表!BF$2)</f>
        <v>0</v>
      </c>
      <c r="BG45" s="8">
        <f>SUMIFS(jt!$M:$M,jt!$B:$B,加弹汇总表!$B45,jt!$D:$D,加弹汇总表!$C45,jt!$F:$F,加弹汇总表!$F45,jt!$O:$O,加弹汇总表!$C$1&amp;"/"&amp;加弹汇总表!$D$1&amp;"/"&amp;加弹汇总表!BG$2)</f>
        <v>0</v>
      </c>
      <c r="BH45" s="8">
        <f>SUMIFS(jt!$M:$M,jt!$B:$B,加弹汇总表!$B45,jt!$D:$D,加弹汇总表!$C45,jt!$F:$F,加弹汇总表!$F45,jt!$O:$O,加弹汇总表!$C$1&amp;"/"&amp;加弹汇总表!$D$1&amp;"/"&amp;加弹汇总表!BH$2)</f>
        <v>0</v>
      </c>
      <c r="BI45" s="8">
        <f>SUMIFS(jt!$M:$M,jt!$B:$B,加弹汇总表!$B45,jt!$D:$D,加弹汇总表!$C45,jt!$F:$F,加弹汇总表!$F45,jt!$O:$O,加弹汇总表!$C$1&amp;"/"&amp;加弹汇总表!$D$1&amp;"/"&amp;加弹汇总表!BI$2)</f>
        <v>0</v>
      </c>
      <c r="BJ45" s="8">
        <f>SUMIFS(jt!$M:$M,jt!$B:$B,加弹汇总表!$B45,jt!$D:$D,加弹汇总表!$C45,jt!$F:$F,加弹汇总表!$F45,jt!$O:$O,加弹汇总表!$C$1&amp;"/"&amp;加弹汇总表!$D$1&amp;"/"&amp;加弹汇总表!BJ$2)</f>
        <v>0</v>
      </c>
      <c r="BK45" s="8">
        <f>SUMIFS(jt!$M:$M,jt!$B:$B,加弹汇总表!$B45,jt!$D:$D,加弹汇总表!$C45,jt!$F:$F,加弹汇总表!$F45,jt!$O:$O,加弹汇总表!$C$1&amp;"/"&amp;加弹汇总表!$D$1&amp;"/"&amp;加弹汇总表!BK$2)</f>
        <v>0</v>
      </c>
      <c r="BL45" s="8">
        <f>SUMIFS(jt!$M:$M,jt!$B:$B,加弹汇总表!$B45,jt!$D:$D,加弹汇总表!$C45,jt!$F:$F,加弹汇总表!$F45,jt!$O:$O,加弹汇总表!$C$1&amp;"/"&amp;加弹汇总表!$D$1&amp;"/"&amp;加弹汇总表!BL$2)</f>
        <v>0</v>
      </c>
      <c r="BM45" s="8">
        <f>SUMIFS(jt!$M:$M,jt!$B:$B,加弹汇总表!$B45,jt!$D:$D,加弹汇总表!$C45,jt!$F:$F,加弹汇总表!$F45,jt!$O:$O,加弹汇总表!$C$1&amp;"/"&amp;加弹汇总表!$D$1&amp;"/"&amp;加弹汇总表!BM$2)</f>
        <v>0</v>
      </c>
      <c r="BN45" s="8">
        <f>SUMIFS(jt!$M:$M,jt!$B:$B,加弹汇总表!$B45,jt!$D:$D,加弹汇总表!$C45,jt!$F:$F,加弹汇总表!$F45,jt!$O:$O,加弹汇总表!$C$1&amp;"/"&amp;加弹汇总表!$D$1&amp;"/"&amp;加弹汇总表!BN$2)</f>
        <v>0</v>
      </c>
      <c r="BO45" s="8">
        <f>SUMIFS(jt!$M:$M,jt!$B:$B,加弹汇总表!$B45,jt!$D:$D,加弹汇总表!$C45,jt!$F:$F,加弹汇总表!$F45,jt!$O:$O,加弹汇总表!$C$1&amp;"/"&amp;加弹汇总表!$D$1&amp;"/"&amp;加弹汇总表!BO$2)</f>
        <v>0</v>
      </c>
      <c r="BP45" s="8">
        <f>SUMIFS(jt!$M:$M,jt!$B:$B,加弹汇总表!$B45,jt!$D:$D,加弹汇总表!$C45,jt!$F:$F,加弹汇总表!$F45,jt!$O:$O,加弹汇总表!$C$1&amp;"/"&amp;加弹汇总表!$D$1&amp;"/"&amp;加弹汇总表!BP$2)</f>
        <v>0</v>
      </c>
      <c r="BQ45" s="8">
        <f>SUMIFS(jt!$M:$M,jt!$B:$B,加弹汇总表!$B45,jt!$D:$D,加弹汇总表!$C45,jt!$F:$F,加弹汇总表!$F45,jt!$O:$O,加弹汇总表!$C$1&amp;"/"&amp;加弹汇总表!$D$1&amp;"/"&amp;加弹汇总表!BQ$2)</f>
        <v>0</v>
      </c>
      <c r="BR45" s="8">
        <f>SUMIFS(jt!$M:$M,jt!$B:$B,加弹汇总表!$B45,jt!$D:$D,加弹汇总表!$C45,jt!$F:$F,加弹汇总表!$F45,jt!$O:$O,加弹汇总表!$C$1&amp;"/"&amp;加弹汇总表!$D$1&amp;"/"&amp;加弹汇总表!BR$2)</f>
        <v>0</v>
      </c>
      <c r="BS45" s="8">
        <f>SUMIFS(jt!$M:$M,jt!$B:$B,加弹汇总表!$B45,jt!$D:$D,加弹汇总表!$C45,jt!$F:$F,加弹汇总表!$F45,jt!$O:$O,加弹汇总表!$C$1&amp;"/"&amp;加弹汇总表!$D$1&amp;"/"&amp;加弹汇总表!BS$2)</f>
        <v>0</v>
      </c>
    </row>
    <row r="46" spans="1:71" ht="18" customHeight="1">
      <c r="A46" s="250" t="str">
        <f t="shared" si="4"/>
        <v>H-114525962300D网络丝525/96白</v>
      </c>
      <c r="B46" s="14" t="s">
        <v>884</v>
      </c>
      <c r="C46" s="98" t="s">
        <v>885</v>
      </c>
      <c r="D46" s="53" t="s">
        <v>886</v>
      </c>
      <c r="E46" s="78"/>
      <c r="F46" s="53" t="s">
        <v>2</v>
      </c>
      <c r="G46" s="53" t="s">
        <v>411</v>
      </c>
      <c r="H46" s="53"/>
      <c r="I46" s="246">
        <f ca="1">IF(SUMIFS(jt!M:M,jt!A:A,加弹汇总表!A46,jt!O:O,加弹汇总表!$E$1)=0,0,SUM(AO46:BS46)/COUNTIF(AO46:BS46,"&lt;&gt;0"))</f>
        <v>0</v>
      </c>
      <c r="J46" s="53">
        <f t="shared" si="5"/>
        <v>0</v>
      </c>
      <c r="K46" s="53">
        <f t="shared" si="6"/>
        <v>0</v>
      </c>
      <c r="L46" s="53">
        <f t="shared" si="7"/>
        <v>0</v>
      </c>
      <c r="M46" s="53">
        <f t="shared" si="0"/>
        <v>0</v>
      </c>
      <c r="N46" s="53"/>
      <c r="O46" s="53">
        <f t="shared" si="15"/>
        <v>0</v>
      </c>
      <c r="P46" s="53">
        <f t="shared" si="2"/>
        <v>0</v>
      </c>
      <c r="Q46" s="53">
        <f t="shared" si="3"/>
        <v>0</v>
      </c>
      <c r="R46" s="60">
        <f>SUMIFS(jt!$K:$K,jt!$A:$A,加弹汇总表!$A46,jt!$R:$R,加弹汇总表!R$2)</f>
        <v>0</v>
      </c>
      <c r="S46" s="60">
        <f>SUMIFS(jt!$K:$K,jt!$A:$A,加弹汇总表!$A46,jt!$R:$R,加弹汇总表!S$2)</f>
        <v>0</v>
      </c>
      <c r="T46" s="60">
        <f>SUMIFS(jt!$K:$K,jt!$A:$A,加弹汇总表!$A46,jt!$R:$R,加弹汇总表!T$2)</f>
        <v>0</v>
      </c>
      <c r="U46" s="60">
        <f>SUMIFS(jt!$J:$J,jt!$A:$A,加弹汇总表!$A46,jt!$R:$R,加弹汇总表!U$2)</f>
        <v>0</v>
      </c>
      <c r="V46" s="60">
        <f>SUMIFS(jt!$J:$J,jt!$A:$A,加弹汇总表!$A46,jt!$R:$R,加弹汇总表!V$2)</f>
        <v>0</v>
      </c>
      <c r="W46" s="60">
        <f>SUMIFS(jt!$J:$J,jt!$A:$A,加弹汇总表!$A46,jt!$R:$R,加弹汇总表!W$2)</f>
        <v>0</v>
      </c>
      <c r="X46" s="61">
        <f>SUMIFS(jt!$L:$L,jt!$A:$A,加弹汇总表!$A46,jt!$R:$R,加弹汇总表!X$2)</f>
        <v>0</v>
      </c>
      <c r="Y46" s="61">
        <f>SUMIFS(jt!$L:$L,jt!$A:$A,加弹汇总表!$A46,jt!$R:$R,加弹汇总表!Y$2)</f>
        <v>0</v>
      </c>
      <c r="Z46" s="61">
        <f>SUMIFS(jt!$L:$L,jt!$A:$A,加弹汇总表!$A46,jt!$R:$R,加弹汇总表!Z$2)</f>
        <v>0</v>
      </c>
      <c r="AA46" s="62">
        <f>SUMIFS(jt!$M:$M,jt!$A:$A,加弹汇总表!$A46,jt!$R:$R,加弹汇总表!AA$2)</f>
        <v>0</v>
      </c>
      <c r="AB46" s="62">
        <f>SUMIFS(jt!$M:$M,jt!$A:$A,加弹汇总表!$A46,jt!$R:$R,加弹汇总表!AB$2)</f>
        <v>0</v>
      </c>
      <c r="AC46" s="62">
        <f>SUMIFS(jt!$M:$M,jt!$A:$A,加弹汇总表!$A46,jt!$R:$R,加弹汇总表!AC$2)</f>
        <v>0</v>
      </c>
      <c r="AD46" s="63">
        <f>SUMIFS(jt!$N:$N,jt!$A:$A,加弹汇总表!$A46,jt!$R:$R,加弹汇总表!AD$2)</f>
        <v>0</v>
      </c>
      <c r="AE46" s="63">
        <f>SUMIFS(jt!$N:$N,jt!$A:$A,加弹汇总表!$A46,jt!$R:$R,加弹汇总表!AE$2)</f>
        <v>0</v>
      </c>
      <c r="AF46" s="63">
        <f>SUMIFS(jt!$N:$N,jt!$A:$A,加弹汇总表!$A46,jt!$R:$R,加弹汇总表!AF$2)</f>
        <v>0</v>
      </c>
      <c r="AG46" s="64">
        <f>SUMIFS(jt!$M:$M,jt!$A:$A,加弹汇总表!$A46,jt!$C:$C,加弹汇总表!AG$2)</f>
        <v>0</v>
      </c>
      <c r="AH46" s="64">
        <f>SUMIFS(jt!$M:$M,jt!$A:$A,加弹汇总表!$A46,jt!$C:$C,加弹汇总表!AH$2)</f>
        <v>0</v>
      </c>
      <c r="AI46" s="64">
        <f>SUMIFS(jt!$M:$M,jt!$A:$A,加弹汇总表!$A46,jt!$C:$C,加弹汇总表!AI$2)</f>
        <v>0</v>
      </c>
      <c r="AJ46" s="64">
        <f>SUMIFS(jt!$M:$M,jt!$A:$A,加弹汇总表!$A46,jt!$C:$C,加弹汇总表!AJ$2)</f>
        <v>0</v>
      </c>
      <c r="AK46" s="64">
        <f>SUMIFS(jt!$M:$M,jt!$A:$A,加弹汇总表!$A46,jt!$C:$C,加弹汇总表!AK$2)</f>
        <v>0</v>
      </c>
      <c r="AL46" s="64">
        <f>SUMIFS(jt!$M:$M,jt!$A:$A,加弹汇总表!$A46,jt!$C:$C,加弹汇总表!AL$2)</f>
        <v>0</v>
      </c>
      <c r="AM46" s="64">
        <f>SUMIFS(jt!$M:$M,jt!$A:$A,加弹汇总表!$A46,jt!$C:$C,加弹汇总表!AM$2)</f>
        <v>0</v>
      </c>
      <c r="AN46" s="80">
        <f>SUMIFS(jt!$M:$M,jt!$A:$A,加弹汇总表!$A46,jt!$C:$C,加弹汇总表!AN$2)</f>
        <v>0</v>
      </c>
      <c r="AO46" s="8">
        <f>SUMIFS(jt!$M:$M,jt!$B:$B,加弹汇总表!$B46,jt!$D:$D,加弹汇总表!$C46,jt!$F:$F,加弹汇总表!$F46,jt!$O:$O,加弹汇总表!$C$1&amp;"/"&amp;加弹汇总表!$D$1&amp;"/"&amp;加弹汇总表!AO$2)</f>
        <v>0</v>
      </c>
      <c r="AP46" s="8">
        <f>SUMIFS(jt!$M:$M,jt!$B:$B,加弹汇总表!$B46,jt!$D:$D,加弹汇总表!$C46,jt!$F:$F,加弹汇总表!$F46,jt!$O:$O,加弹汇总表!$C$1&amp;"/"&amp;加弹汇总表!$D$1&amp;"/"&amp;加弹汇总表!AP$2)</f>
        <v>0</v>
      </c>
      <c r="AQ46" s="8">
        <f>SUMIFS(jt!$M:$M,jt!$B:$B,加弹汇总表!$B46,jt!$D:$D,加弹汇总表!$C46,jt!$F:$F,加弹汇总表!$F46,jt!$O:$O,加弹汇总表!$C$1&amp;"/"&amp;加弹汇总表!$D$1&amp;"/"&amp;加弹汇总表!AQ$2)</f>
        <v>0</v>
      </c>
      <c r="AR46" s="8">
        <f>SUMIFS(jt!$M:$M,jt!$B:$B,加弹汇总表!$B46,jt!$D:$D,加弹汇总表!$C46,jt!$F:$F,加弹汇总表!$F46,jt!$O:$O,加弹汇总表!$C$1&amp;"/"&amp;加弹汇总表!$D$1&amp;"/"&amp;加弹汇总表!AR$2)</f>
        <v>0</v>
      </c>
      <c r="AS46" s="8">
        <f>SUMIFS(jt!$M:$M,jt!$B:$B,加弹汇总表!$B46,jt!$D:$D,加弹汇总表!$C46,jt!$F:$F,加弹汇总表!$F46,jt!$O:$O,加弹汇总表!$C$1&amp;"/"&amp;加弹汇总表!$D$1&amp;"/"&amp;加弹汇总表!AS$2)</f>
        <v>0</v>
      </c>
      <c r="AT46" s="8">
        <f>SUMIFS(jt!$M:$M,jt!$B:$B,加弹汇总表!$B46,jt!$D:$D,加弹汇总表!$C46,jt!$F:$F,加弹汇总表!$F46,jt!$O:$O,加弹汇总表!$C$1&amp;"/"&amp;加弹汇总表!$D$1&amp;"/"&amp;加弹汇总表!AT$2)</f>
        <v>0</v>
      </c>
      <c r="AU46" s="8">
        <f>SUMIFS(jt!$M:$M,jt!$B:$B,加弹汇总表!$B46,jt!$D:$D,加弹汇总表!$C46,jt!$F:$F,加弹汇总表!$F46,jt!$O:$O,加弹汇总表!$C$1&amp;"/"&amp;加弹汇总表!$D$1&amp;"/"&amp;加弹汇总表!AU$2)</f>
        <v>0</v>
      </c>
      <c r="AV46" s="8">
        <f>SUMIFS(jt!$M:$M,jt!$B:$B,加弹汇总表!$B46,jt!$D:$D,加弹汇总表!$C46,jt!$F:$F,加弹汇总表!$F46,jt!$O:$O,加弹汇总表!$C$1&amp;"/"&amp;加弹汇总表!$D$1&amp;"/"&amp;加弹汇总表!AV$2)</f>
        <v>0</v>
      </c>
      <c r="AW46" s="8">
        <f>SUMIFS(jt!$M:$M,jt!$B:$B,加弹汇总表!$B46,jt!$D:$D,加弹汇总表!$C46,jt!$F:$F,加弹汇总表!$F46,jt!$O:$O,加弹汇总表!$C$1&amp;"/"&amp;加弹汇总表!$D$1&amp;"/"&amp;加弹汇总表!AW$2)</f>
        <v>0</v>
      </c>
      <c r="AX46" s="8">
        <f>SUMIFS(jt!$M:$M,jt!$B:$B,加弹汇总表!$B46,jt!$D:$D,加弹汇总表!$C46,jt!$F:$F,加弹汇总表!$F46,jt!$O:$O,加弹汇总表!$C$1&amp;"/"&amp;加弹汇总表!$D$1&amp;"/"&amp;加弹汇总表!AX$2)</f>
        <v>0</v>
      </c>
      <c r="AY46" s="8">
        <f>SUMIFS(jt!$M:$M,jt!$B:$B,加弹汇总表!$B46,jt!$D:$D,加弹汇总表!$C46,jt!$F:$F,加弹汇总表!$F46,jt!$O:$O,加弹汇总表!$C$1&amp;"/"&amp;加弹汇总表!$D$1&amp;"/"&amp;加弹汇总表!AY$2)</f>
        <v>0</v>
      </c>
      <c r="AZ46" s="8">
        <f>SUMIFS(jt!$M:$M,jt!$B:$B,加弹汇总表!$B46,jt!$D:$D,加弹汇总表!$C46,jt!$F:$F,加弹汇总表!$F46,jt!$O:$O,加弹汇总表!$C$1&amp;"/"&amp;加弹汇总表!$D$1&amp;"/"&amp;加弹汇总表!AZ$2)</f>
        <v>0</v>
      </c>
      <c r="BA46" s="8">
        <f>SUMIFS(jt!$M:$M,jt!$B:$B,加弹汇总表!$B46,jt!$D:$D,加弹汇总表!$C46,jt!$F:$F,加弹汇总表!$F46,jt!$O:$O,加弹汇总表!$C$1&amp;"/"&amp;加弹汇总表!$D$1&amp;"/"&amp;加弹汇总表!BA$2)</f>
        <v>0</v>
      </c>
      <c r="BB46" s="8">
        <f>SUMIFS(jt!$M:$M,jt!$B:$B,加弹汇总表!$B46,jt!$D:$D,加弹汇总表!$C46,jt!$F:$F,加弹汇总表!$F46,jt!$O:$O,加弹汇总表!$C$1&amp;"/"&amp;加弹汇总表!$D$1&amp;"/"&amp;加弹汇总表!BB$2)</f>
        <v>0</v>
      </c>
      <c r="BC46" s="8">
        <f>SUMIFS(jt!$M:$M,jt!$B:$B,加弹汇总表!$B46,jt!$D:$D,加弹汇总表!$C46,jt!$F:$F,加弹汇总表!$F46,jt!$O:$O,加弹汇总表!$C$1&amp;"/"&amp;加弹汇总表!$D$1&amp;"/"&amp;加弹汇总表!BC$2)</f>
        <v>0</v>
      </c>
      <c r="BD46" s="8">
        <f>SUMIFS(jt!$M:$M,jt!$B:$B,加弹汇总表!$B46,jt!$D:$D,加弹汇总表!$C46,jt!$F:$F,加弹汇总表!$F46,jt!$O:$O,加弹汇总表!$C$1&amp;"/"&amp;加弹汇总表!$D$1&amp;"/"&amp;加弹汇总表!BD$2)</f>
        <v>0</v>
      </c>
      <c r="BE46" s="8">
        <f>SUMIFS(jt!$M:$M,jt!$B:$B,加弹汇总表!$B46,jt!$D:$D,加弹汇总表!$C46,jt!$F:$F,加弹汇总表!$F46,jt!$O:$O,加弹汇总表!$C$1&amp;"/"&amp;加弹汇总表!$D$1&amp;"/"&amp;加弹汇总表!BE$2)</f>
        <v>0</v>
      </c>
      <c r="BF46" s="8">
        <f>SUMIFS(jt!$M:$M,jt!$B:$B,加弹汇总表!$B46,jt!$D:$D,加弹汇总表!$C46,jt!$F:$F,加弹汇总表!$F46,jt!$O:$O,加弹汇总表!$C$1&amp;"/"&amp;加弹汇总表!$D$1&amp;"/"&amp;加弹汇总表!BF$2)</f>
        <v>0</v>
      </c>
      <c r="BG46" s="8">
        <f>SUMIFS(jt!$M:$M,jt!$B:$B,加弹汇总表!$B46,jt!$D:$D,加弹汇总表!$C46,jt!$F:$F,加弹汇总表!$F46,jt!$O:$O,加弹汇总表!$C$1&amp;"/"&amp;加弹汇总表!$D$1&amp;"/"&amp;加弹汇总表!BG$2)</f>
        <v>0</v>
      </c>
      <c r="BH46" s="8">
        <f>SUMIFS(jt!$M:$M,jt!$B:$B,加弹汇总表!$B46,jt!$D:$D,加弹汇总表!$C46,jt!$F:$F,加弹汇总表!$F46,jt!$O:$O,加弹汇总表!$C$1&amp;"/"&amp;加弹汇总表!$D$1&amp;"/"&amp;加弹汇总表!BH$2)</f>
        <v>0</v>
      </c>
      <c r="BI46" s="8">
        <f>SUMIFS(jt!$M:$M,jt!$B:$B,加弹汇总表!$B46,jt!$D:$D,加弹汇总表!$C46,jt!$F:$F,加弹汇总表!$F46,jt!$O:$O,加弹汇总表!$C$1&amp;"/"&amp;加弹汇总表!$D$1&amp;"/"&amp;加弹汇总表!BI$2)</f>
        <v>0</v>
      </c>
      <c r="BJ46" s="8">
        <f>SUMIFS(jt!$M:$M,jt!$B:$B,加弹汇总表!$B46,jt!$D:$D,加弹汇总表!$C46,jt!$F:$F,加弹汇总表!$F46,jt!$O:$O,加弹汇总表!$C$1&amp;"/"&amp;加弹汇总表!$D$1&amp;"/"&amp;加弹汇总表!BJ$2)</f>
        <v>0</v>
      </c>
      <c r="BK46" s="8">
        <f>SUMIFS(jt!$M:$M,jt!$B:$B,加弹汇总表!$B46,jt!$D:$D,加弹汇总表!$C46,jt!$F:$F,加弹汇总表!$F46,jt!$O:$O,加弹汇总表!$C$1&amp;"/"&amp;加弹汇总表!$D$1&amp;"/"&amp;加弹汇总表!BK$2)</f>
        <v>0</v>
      </c>
      <c r="BL46" s="8">
        <f>SUMIFS(jt!$M:$M,jt!$B:$B,加弹汇总表!$B46,jt!$D:$D,加弹汇总表!$C46,jt!$F:$F,加弹汇总表!$F46,jt!$O:$O,加弹汇总表!$C$1&amp;"/"&amp;加弹汇总表!$D$1&amp;"/"&amp;加弹汇总表!BL$2)</f>
        <v>0</v>
      </c>
      <c r="BM46" s="8">
        <f>SUMIFS(jt!$M:$M,jt!$B:$B,加弹汇总表!$B46,jt!$D:$D,加弹汇总表!$C46,jt!$F:$F,加弹汇总表!$F46,jt!$O:$O,加弹汇总表!$C$1&amp;"/"&amp;加弹汇总表!$D$1&amp;"/"&amp;加弹汇总表!BM$2)</f>
        <v>0</v>
      </c>
      <c r="BN46" s="8">
        <f>SUMIFS(jt!$M:$M,jt!$B:$B,加弹汇总表!$B46,jt!$D:$D,加弹汇总表!$C46,jt!$F:$F,加弹汇总表!$F46,jt!$O:$O,加弹汇总表!$C$1&amp;"/"&amp;加弹汇总表!$D$1&amp;"/"&amp;加弹汇总表!BN$2)</f>
        <v>0</v>
      </c>
      <c r="BO46" s="8">
        <f>SUMIFS(jt!$M:$M,jt!$B:$B,加弹汇总表!$B46,jt!$D:$D,加弹汇总表!$C46,jt!$F:$F,加弹汇总表!$F46,jt!$O:$O,加弹汇总表!$C$1&amp;"/"&amp;加弹汇总表!$D$1&amp;"/"&amp;加弹汇总表!BO$2)</f>
        <v>0</v>
      </c>
      <c r="BP46" s="8">
        <f>SUMIFS(jt!$M:$M,jt!$B:$B,加弹汇总表!$B46,jt!$D:$D,加弹汇总表!$C46,jt!$F:$F,加弹汇总表!$F46,jt!$O:$O,加弹汇总表!$C$1&amp;"/"&amp;加弹汇总表!$D$1&amp;"/"&amp;加弹汇总表!BP$2)</f>
        <v>0</v>
      </c>
      <c r="BQ46" s="8">
        <f>SUMIFS(jt!$M:$M,jt!$B:$B,加弹汇总表!$B46,jt!$D:$D,加弹汇总表!$C46,jt!$F:$F,加弹汇总表!$F46,jt!$O:$O,加弹汇总表!$C$1&amp;"/"&amp;加弹汇总表!$D$1&amp;"/"&amp;加弹汇总表!BQ$2)</f>
        <v>0</v>
      </c>
      <c r="BR46" s="8">
        <f>SUMIFS(jt!$M:$M,jt!$B:$B,加弹汇总表!$B46,jt!$D:$D,加弹汇总表!$C46,jt!$F:$F,加弹汇总表!$F46,jt!$O:$O,加弹汇总表!$C$1&amp;"/"&amp;加弹汇总表!$D$1&amp;"/"&amp;加弹汇总表!BR$2)</f>
        <v>0</v>
      </c>
      <c r="BS46" s="8">
        <f>SUMIFS(jt!$M:$M,jt!$B:$B,加弹汇总表!$B46,jt!$D:$D,加弹汇总表!$C46,jt!$F:$F,加弹汇总表!$F46,jt!$O:$O,加弹汇总表!$C$1&amp;"/"&amp;加弹汇总表!$D$1&amp;"/"&amp;加弹汇总表!BS$2)</f>
        <v>0</v>
      </c>
    </row>
    <row r="47" spans="1:71" ht="18" customHeight="1">
      <c r="A47" s="250" t="str">
        <f t="shared" si="4"/>
        <v>WH805533961R300D网络丝533/96黑</v>
      </c>
      <c r="B47" s="14" t="s">
        <v>887</v>
      </c>
      <c r="C47" s="98" t="s">
        <v>885</v>
      </c>
      <c r="D47" s="53" t="s">
        <v>888</v>
      </c>
      <c r="E47" s="78"/>
      <c r="F47" s="53" t="s">
        <v>1</v>
      </c>
      <c r="G47" s="53" t="s">
        <v>411</v>
      </c>
      <c r="H47" s="53"/>
      <c r="I47" s="246">
        <f ca="1">IF(SUMIFS(jt!M:M,jt!A:A,加弹汇总表!A47,jt!O:O,加弹汇总表!$E$1)=0,0,SUM(AO47:BS47)/COUNTIF(AO47:BS47,"&lt;&gt;0"))</f>
        <v>0</v>
      </c>
      <c r="J47" s="53">
        <f t="shared" si="5"/>
        <v>0</v>
      </c>
      <c r="K47" s="53">
        <f t="shared" si="6"/>
        <v>0</v>
      </c>
      <c r="L47" s="53">
        <f t="shared" si="7"/>
        <v>0</v>
      </c>
      <c r="M47" s="53">
        <f t="shared" si="0"/>
        <v>0</v>
      </c>
      <c r="N47" s="53"/>
      <c r="O47" s="53">
        <f t="shared" si="15"/>
        <v>0</v>
      </c>
      <c r="P47" s="53">
        <f t="shared" si="2"/>
        <v>0</v>
      </c>
      <c r="Q47" s="53">
        <f t="shared" si="3"/>
        <v>0</v>
      </c>
      <c r="R47" s="60">
        <f>SUMIFS(jt!$K:$K,jt!$A:$A,加弹汇总表!$A47,jt!$R:$R,加弹汇总表!R$2)</f>
        <v>0</v>
      </c>
      <c r="S47" s="60">
        <f>SUMIFS(jt!$K:$K,jt!$A:$A,加弹汇总表!$A47,jt!$R:$R,加弹汇总表!S$2)</f>
        <v>0</v>
      </c>
      <c r="T47" s="60">
        <f>SUMIFS(jt!$K:$K,jt!$A:$A,加弹汇总表!$A47,jt!$R:$R,加弹汇总表!T$2)</f>
        <v>0</v>
      </c>
      <c r="U47" s="60">
        <f>SUMIFS(jt!$J:$J,jt!$A:$A,加弹汇总表!$A47,jt!$R:$R,加弹汇总表!U$2)</f>
        <v>0</v>
      </c>
      <c r="V47" s="60">
        <f>SUMIFS(jt!$J:$J,jt!$A:$A,加弹汇总表!$A47,jt!$R:$R,加弹汇总表!V$2)</f>
        <v>0</v>
      </c>
      <c r="W47" s="60">
        <f>SUMIFS(jt!$J:$J,jt!$A:$A,加弹汇总表!$A47,jt!$R:$R,加弹汇总表!W$2)</f>
        <v>0</v>
      </c>
      <c r="X47" s="61">
        <f>SUMIFS(jt!$L:$L,jt!$A:$A,加弹汇总表!$A47,jt!$R:$R,加弹汇总表!X$2)</f>
        <v>0</v>
      </c>
      <c r="Y47" s="61">
        <f>SUMIFS(jt!$L:$L,jt!$A:$A,加弹汇总表!$A47,jt!$R:$R,加弹汇总表!Y$2)</f>
        <v>0</v>
      </c>
      <c r="Z47" s="61">
        <f>SUMIFS(jt!$L:$L,jt!$A:$A,加弹汇总表!$A47,jt!$R:$R,加弹汇总表!Z$2)</f>
        <v>0</v>
      </c>
      <c r="AA47" s="62">
        <f>SUMIFS(jt!$M:$M,jt!$A:$A,加弹汇总表!$A47,jt!$R:$R,加弹汇总表!AA$2)</f>
        <v>0</v>
      </c>
      <c r="AB47" s="62">
        <f>SUMIFS(jt!$M:$M,jt!$A:$A,加弹汇总表!$A47,jt!$R:$R,加弹汇总表!AB$2)</f>
        <v>0</v>
      </c>
      <c r="AC47" s="62">
        <f>SUMIFS(jt!$M:$M,jt!$A:$A,加弹汇总表!$A47,jt!$R:$R,加弹汇总表!AC$2)</f>
        <v>0</v>
      </c>
      <c r="AD47" s="63">
        <f>SUMIFS(jt!$N:$N,jt!$A:$A,加弹汇总表!$A47,jt!$R:$R,加弹汇总表!AD$2)</f>
        <v>0</v>
      </c>
      <c r="AE47" s="63">
        <f>SUMIFS(jt!$N:$N,jt!$A:$A,加弹汇总表!$A47,jt!$R:$R,加弹汇总表!AE$2)</f>
        <v>0</v>
      </c>
      <c r="AF47" s="63">
        <f>SUMIFS(jt!$N:$N,jt!$A:$A,加弹汇总表!$A47,jt!$R:$R,加弹汇总表!AF$2)</f>
        <v>0</v>
      </c>
      <c r="AG47" s="64">
        <f>SUMIFS(jt!$M:$M,jt!$A:$A,加弹汇总表!$A47,jt!$C:$C,加弹汇总表!AG$2)</f>
        <v>0</v>
      </c>
      <c r="AH47" s="64">
        <f>SUMIFS(jt!$M:$M,jt!$A:$A,加弹汇总表!$A47,jt!$C:$C,加弹汇总表!AH$2)</f>
        <v>0</v>
      </c>
      <c r="AI47" s="64">
        <f>SUMIFS(jt!$M:$M,jt!$A:$A,加弹汇总表!$A47,jt!$C:$C,加弹汇总表!AI$2)</f>
        <v>0</v>
      </c>
      <c r="AJ47" s="64">
        <f>SUMIFS(jt!$M:$M,jt!$A:$A,加弹汇总表!$A47,jt!$C:$C,加弹汇总表!AJ$2)</f>
        <v>0</v>
      </c>
      <c r="AK47" s="64">
        <f>SUMIFS(jt!$M:$M,jt!$A:$A,加弹汇总表!$A47,jt!$C:$C,加弹汇总表!AK$2)</f>
        <v>0</v>
      </c>
      <c r="AL47" s="64">
        <f>SUMIFS(jt!$M:$M,jt!$A:$A,加弹汇总表!$A47,jt!$C:$C,加弹汇总表!AL$2)</f>
        <v>0</v>
      </c>
      <c r="AM47" s="64">
        <f>SUMIFS(jt!$M:$M,jt!$A:$A,加弹汇总表!$A47,jt!$C:$C,加弹汇总表!AM$2)</f>
        <v>0</v>
      </c>
      <c r="AN47" s="80">
        <f>SUMIFS(jt!$M:$M,jt!$A:$A,加弹汇总表!$A47,jt!$C:$C,加弹汇总表!AN$2)</f>
        <v>0</v>
      </c>
      <c r="AO47" s="8">
        <f>SUMIFS(jt!$M:$M,jt!$B:$B,加弹汇总表!$B47,jt!$D:$D,加弹汇总表!$C47,jt!$F:$F,加弹汇总表!$F47,jt!$O:$O,加弹汇总表!$C$1&amp;"/"&amp;加弹汇总表!$D$1&amp;"/"&amp;加弹汇总表!AO$2)</f>
        <v>0</v>
      </c>
      <c r="AP47" s="8">
        <f>SUMIFS(jt!$M:$M,jt!$B:$B,加弹汇总表!$B47,jt!$D:$D,加弹汇总表!$C47,jt!$F:$F,加弹汇总表!$F47,jt!$O:$O,加弹汇总表!$C$1&amp;"/"&amp;加弹汇总表!$D$1&amp;"/"&amp;加弹汇总表!AP$2)</f>
        <v>0</v>
      </c>
      <c r="AQ47" s="8">
        <f>SUMIFS(jt!$M:$M,jt!$B:$B,加弹汇总表!$B47,jt!$D:$D,加弹汇总表!$C47,jt!$F:$F,加弹汇总表!$F47,jt!$O:$O,加弹汇总表!$C$1&amp;"/"&amp;加弹汇总表!$D$1&amp;"/"&amp;加弹汇总表!AQ$2)</f>
        <v>0</v>
      </c>
      <c r="AR47" s="8">
        <f>SUMIFS(jt!$M:$M,jt!$B:$B,加弹汇总表!$B47,jt!$D:$D,加弹汇总表!$C47,jt!$F:$F,加弹汇总表!$F47,jt!$O:$O,加弹汇总表!$C$1&amp;"/"&amp;加弹汇总表!$D$1&amp;"/"&amp;加弹汇总表!AR$2)</f>
        <v>0</v>
      </c>
      <c r="AS47" s="8">
        <f>SUMIFS(jt!$M:$M,jt!$B:$B,加弹汇总表!$B47,jt!$D:$D,加弹汇总表!$C47,jt!$F:$F,加弹汇总表!$F47,jt!$O:$O,加弹汇总表!$C$1&amp;"/"&amp;加弹汇总表!$D$1&amp;"/"&amp;加弹汇总表!AS$2)</f>
        <v>0</v>
      </c>
      <c r="AT47" s="8">
        <f>SUMIFS(jt!$M:$M,jt!$B:$B,加弹汇总表!$B47,jt!$D:$D,加弹汇总表!$C47,jt!$F:$F,加弹汇总表!$F47,jt!$O:$O,加弹汇总表!$C$1&amp;"/"&amp;加弹汇总表!$D$1&amp;"/"&amp;加弹汇总表!AT$2)</f>
        <v>0</v>
      </c>
      <c r="AU47" s="8">
        <f>SUMIFS(jt!$M:$M,jt!$B:$B,加弹汇总表!$B47,jt!$D:$D,加弹汇总表!$C47,jt!$F:$F,加弹汇总表!$F47,jt!$O:$O,加弹汇总表!$C$1&amp;"/"&amp;加弹汇总表!$D$1&amp;"/"&amp;加弹汇总表!AU$2)</f>
        <v>0</v>
      </c>
      <c r="AV47" s="8">
        <f>SUMIFS(jt!$M:$M,jt!$B:$B,加弹汇总表!$B47,jt!$D:$D,加弹汇总表!$C47,jt!$F:$F,加弹汇总表!$F47,jt!$O:$O,加弹汇总表!$C$1&amp;"/"&amp;加弹汇总表!$D$1&amp;"/"&amp;加弹汇总表!AV$2)</f>
        <v>0</v>
      </c>
      <c r="AW47" s="8">
        <f>SUMIFS(jt!$M:$M,jt!$B:$B,加弹汇总表!$B47,jt!$D:$D,加弹汇总表!$C47,jt!$F:$F,加弹汇总表!$F47,jt!$O:$O,加弹汇总表!$C$1&amp;"/"&amp;加弹汇总表!$D$1&amp;"/"&amp;加弹汇总表!AW$2)</f>
        <v>0</v>
      </c>
      <c r="AX47" s="8">
        <f>SUMIFS(jt!$M:$M,jt!$B:$B,加弹汇总表!$B47,jt!$D:$D,加弹汇总表!$C47,jt!$F:$F,加弹汇总表!$F47,jt!$O:$O,加弹汇总表!$C$1&amp;"/"&amp;加弹汇总表!$D$1&amp;"/"&amp;加弹汇总表!AX$2)</f>
        <v>0</v>
      </c>
      <c r="AY47" s="8">
        <f>SUMIFS(jt!$M:$M,jt!$B:$B,加弹汇总表!$B47,jt!$D:$D,加弹汇总表!$C47,jt!$F:$F,加弹汇总表!$F47,jt!$O:$O,加弹汇总表!$C$1&amp;"/"&amp;加弹汇总表!$D$1&amp;"/"&amp;加弹汇总表!AY$2)</f>
        <v>0</v>
      </c>
      <c r="AZ47" s="8">
        <f>SUMIFS(jt!$M:$M,jt!$B:$B,加弹汇总表!$B47,jt!$D:$D,加弹汇总表!$C47,jt!$F:$F,加弹汇总表!$F47,jt!$O:$O,加弹汇总表!$C$1&amp;"/"&amp;加弹汇总表!$D$1&amp;"/"&amp;加弹汇总表!AZ$2)</f>
        <v>0</v>
      </c>
      <c r="BA47" s="8">
        <f>SUMIFS(jt!$M:$M,jt!$B:$B,加弹汇总表!$B47,jt!$D:$D,加弹汇总表!$C47,jt!$F:$F,加弹汇总表!$F47,jt!$O:$O,加弹汇总表!$C$1&amp;"/"&amp;加弹汇总表!$D$1&amp;"/"&amp;加弹汇总表!BA$2)</f>
        <v>0</v>
      </c>
      <c r="BB47" s="8">
        <f>SUMIFS(jt!$M:$M,jt!$B:$B,加弹汇总表!$B47,jt!$D:$D,加弹汇总表!$C47,jt!$F:$F,加弹汇总表!$F47,jt!$O:$O,加弹汇总表!$C$1&amp;"/"&amp;加弹汇总表!$D$1&amp;"/"&amp;加弹汇总表!BB$2)</f>
        <v>0</v>
      </c>
      <c r="BC47" s="8">
        <f>SUMIFS(jt!$M:$M,jt!$B:$B,加弹汇总表!$B47,jt!$D:$D,加弹汇总表!$C47,jt!$F:$F,加弹汇总表!$F47,jt!$O:$O,加弹汇总表!$C$1&amp;"/"&amp;加弹汇总表!$D$1&amp;"/"&amp;加弹汇总表!BC$2)</f>
        <v>0</v>
      </c>
      <c r="BD47" s="8">
        <f>SUMIFS(jt!$M:$M,jt!$B:$B,加弹汇总表!$B47,jt!$D:$D,加弹汇总表!$C47,jt!$F:$F,加弹汇总表!$F47,jt!$O:$O,加弹汇总表!$C$1&amp;"/"&amp;加弹汇总表!$D$1&amp;"/"&amp;加弹汇总表!BD$2)</f>
        <v>0</v>
      </c>
      <c r="BE47" s="8">
        <f>SUMIFS(jt!$M:$M,jt!$B:$B,加弹汇总表!$B47,jt!$D:$D,加弹汇总表!$C47,jt!$F:$F,加弹汇总表!$F47,jt!$O:$O,加弹汇总表!$C$1&amp;"/"&amp;加弹汇总表!$D$1&amp;"/"&amp;加弹汇总表!BE$2)</f>
        <v>0</v>
      </c>
      <c r="BF47" s="8">
        <f>SUMIFS(jt!$M:$M,jt!$B:$B,加弹汇总表!$B47,jt!$D:$D,加弹汇总表!$C47,jt!$F:$F,加弹汇总表!$F47,jt!$O:$O,加弹汇总表!$C$1&amp;"/"&amp;加弹汇总表!$D$1&amp;"/"&amp;加弹汇总表!BF$2)</f>
        <v>0</v>
      </c>
      <c r="BG47" s="8">
        <f>SUMIFS(jt!$M:$M,jt!$B:$B,加弹汇总表!$B47,jt!$D:$D,加弹汇总表!$C47,jt!$F:$F,加弹汇总表!$F47,jt!$O:$O,加弹汇总表!$C$1&amp;"/"&amp;加弹汇总表!$D$1&amp;"/"&amp;加弹汇总表!BG$2)</f>
        <v>0</v>
      </c>
      <c r="BH47" s="8">
        <f>SUMIFS(jt!$M:$M,jt!$B:$B,加弹汇总表!$B47,jt!$D:$D,加弹汇总表!$C47,jt!$F:$F,加弹汇总表!$F47,jt!$O:$O,加弹汇总表!$C$1&amp;"/"&amp;加弹汇总表!$D$1&amp;"/"&amp;加弹汇总表!BH$2)</f>
        <v>0</v>
      </c>
      <c r="BI47" s="8">
        <f>SUMIFS(jt!$M:$M,jt!$B:$B,加弹汇总表!$B47,jt!$D:$D,加弹汇总表!$C47,jt!$F:$F,加弹汇总表!$F47,jt!$O:$O,加弹汇总表!$C$1&amp;"/"&amp;加弹汇总表!$D$1&amp;"/"&amp;加弹汇总表!BI$2)</f>
        <v>0</v>
      </c>
      <c r="BJ47" s="8">
        <f>SUMIFS(jt!$M:$M,jt!$B:$B,加弹汇总表!$B47,jt!$D:$D,加弹汇总表!$C47,jt!$F:$F,加弹汇总表!$F47,jt!$O:$O,加弹汇总表!$C$1&amp;"/"&amp;加弹汇总表!$D$1&amp;"/"&amp;加弹汇总表!BJ$2)</f>
        <v>0</v>
      </c>
      <c r="BK47" s="8">
        <f>SUMIFS(jt!$M:$M,jt!$B:$B,加弹汇总表!$B47,jt!$D:$D,加弹汇总表!$C47,jt!$F:$F,加弹汇总表!$F47,jt!$O:$O,加弹汇总表!$C$1&amp;"/"&amp;加弹汇总表!$D$1&amp;"/"&amp;加弹汇总表!BK$2)</f>
        <v>0</v>
      </c>
      <c r="BL47" s="8">
        <f>SUMIFS(jt!$M:$M,jt!$B:$B,加弹汇总表!$B47,jt!$D:$D,加弹汇总表!$C47,jt!$F:$F,加弹汇总表!$F47,jt!$O:$O,加弹汇总表!$C$1&amp;"/"&amp;加弹汇总表!$D$1&amp;"/"&amp;加弹汇总表!BL$2)</f>
        <v>0</v>
      </c>
      <c r="BM47" s="8">
        <f>SUMIFS(jt!$M:$M,jt!$B:$B,加弹汇总表!$B47,jt!$D:$D,加弹汇总表!$C47,jt!$F:$F,加弹汇总表!$F47,jt!$O:$O,加弹汇总表!$C$1&amp;"/"&amp;加弹汇总表!$D$1&amp;"/"&amp;加弹汇总表!BM$2)</f>
        <v>0</v>
      </c>
      <c r="BN47" s="8">
        <f>SUMIFS(jt!$M:$M,jt!$B:$B,加弹汇总表!$B47,jt!$D:$D,加弹汇总表!$C47,jt!$F:$F,加弹汇总表!$F47,jt!$O:$O,加弹汇总表!$C$1&amp;"/"&amp;加弹汇总表!$D$1&amp;"/"&amp;加弹汇总表!BN$2)</f>
        <v>0</v>
      </c>
      <c r="BO47" s="8">
        <f>SUMIFS(jt!$M:$M,jt!$B:$B,加弹汇总表!$B47,jt!$D:$D,加弹汇总表!$C47,jt!$F:$F,加弹汇总表!$F47,jt!$O:$O,加弹汇总表!$C$1&amp;"/"&amp;加弹汇总表!$D$1&amp;"/"&amp;加弹汇总表!BO$2)</f>
        <v>0</v>
      </c>
      <c r="BP47" s="8">
        <f>SUMIFS(jt!$M:$M,jt!$B:$B,加弹汇总表!$B47,jt!$D:$D,加弹汇总表!$C47,jt!$F:$F,加弹汇总表!$F47,jt!$O:$O,加弹汇总表!$C$1&amp;"/"&amp;加弹汇总表!$D$1&amp;"/"&amp;加弹汇总表!BP$2)</f>
        <v>0</v>
      </c>
      <c r="BQ47" s="8">
        <f>SUMIFS(jt!$M:$M,jt!$B:$B,加弹汇总表!$B47,jt!$D:$D,加弹汇总表!$C47,jt!$F:$F,加弹汇总表!$F47,jt!$O:$O,加弹汇总表!$C$1&amp;"/"&amp;加弹汇总表!$D$1&amp;"/"&amp;加弹汇总表!BQ$2)</f>
        <v>0</v>
      </c>
      <c r="BR47" s="8">
        <f>SUMIFS(jt!$M:$M,jt!$B:$B,加弹汇总表!$B47,jt!$D:$D,加弹汇总表!$C47,jt!$F:$F,加弹汇总表!$F47,jt!$O:$O,加弹汇总表!$C$1&amp;"/"&amp;加弹汇总表!$D$1&amp;"/"&amp;加弹汇总表!BR$2)</f>
        <v>0</v>
      </c>
      <c r="BS47" s="8">
        <f>SUMIFS(jt!$M:$M,jt!$B:$B,加弹汇总表!$B47,jt!$D:$D,加弹汇总表!$C47,jt!$F:$F,加弹汇总表!$F47,jt!$O:$O,加弹汇总表!$C$1&amp;"/"&amp;加弹汇总表!$D$1&amp;"/"&amp;加弹汇总表!BS$2)</f>
        <v>0</v>
      </c>
    </row>
    <row r="48" spans="1:71" ht="18" customHeight="1">
      <c r="A48" s="250" t="str">
        <f t="shared" si="4"/>
        <v>H-H114533961300D网络丝533/96黑</v>
      </c>
      <c r="B48" s="14" t="s">
        <v>889</v>
      </c>
      <c r="C48" s="98" t="s">
        <v>885</v>
      </c>
      <c r="D48" s="53" t="s">
        <v>888</v>
      </c>
      <c r="E48" s="78"/>
      <c r="F48" s="53" t="s">
        <v>1</v>
      </c>
      <c r="G48" s="53" t="s">
        <v>411</v>
      </c>
      <c r="H48" s="53"/>
      <c r="I48" s="246">
        <f ca="1">IF(SUMIFS(jt!M:M,jt!A:A,加弹汇总表!A48,jt!O:O,加弹汇总表!$E$1)=0,0,SUM(AO48:BS48)/COUNTIF(AO48:BS48,"&lt;&gt;0"))</f>
        <v>0</v>
      </c>
      <c r="J48" s="53">
        <f t="shared" si="5"/>
        <v>0</v>
      </c>
      <c r="K48" s="53">
        <f t="shared" si="6"/>
        <v>0</v>
      </c>
      <c r="L48" s="53">
        <f t="shared" si="7"/>
        <v>0</v>
      </c>
      <c r="M48" s="53">
        <f t="shared" si="0"/>
        <v>0</v>
      </c>
      <c r="N48" s="53"/>
      <c r="O48" s="53">
        <f t="shared" si="15"/>
        <v>0</v>
      </c>
      <c r="P48" s="53">
        <f t="shared" si="2"/>
        <v>0</v>
      </c>
      <c r="Q48" s="53">
        <f t="shared" si="3"/>
        <v>0</v>
      </c>
      <c r="R48" s="60">
        <f>SUMIFS(jt!$K:$K,jt!$A:$A,加弹汇总表!$A48,jt!$R:$R,加弹汇总表!R$2)</f>
        <v>0</v>
      </c>
      <c r="S48" s="60">
        <f>SUMIFS(jt!$K:$K,jt!$A:$A,加弹汇总表!$A48,jt!$R:$R,加弹汇总表!S$2)</f>
        <v>0</v>
      </c>
      <c r="T48" s="60">
        <f>SUMIFS(jt!$K:$K,jt!$A:$A,加弹汇总表!$A48,jt!$R:$R,加弹汇总表!T$2)</f>
        <v>0</v>
      </c>
      <c r="U48" s="60">
        <f>SUMIFS(jt!$J:$J,jt!$A:$A,加弹汇总表!$A48,jt!$R:$R,加弹汇总表!U$2)</f>
        <v>0</v>
      </c>
      <c r="V48" s="60">
        <f>SUMIFS(jt!$J:$J,jt!$A:$A,加弹汇总表!$A48,jt!$R:$R,加弹汇总表!V$2)</f>
        <v>0</v>
      </c>
      <c r="W48" s="60">
        <f>SUMIFS(jt!$J:$J,jt!$A:$A,加弹汇总表!$A48,jt!$R:$R,加弹汇总表!W$2)</f>
        <v>0</v>
      </c>
      <c r="X48" s="61">
        <f>SUMIFS(jt!$L:$L,jt!$A:$A,加弹汇总表!$A48,jt!$R:$R,加弹汇总表!X$2)</f>
        <v>0</v>
      </c>
      <c r="Y48" s="61">
        <f>SUMIFS(jt!$L:$L,jt!$A:$A,加弹汇总表!$A48,jt!$R:$R,加弹汇总表!Y$2)</f>
        <v>0</v>
      </c>
      <c r="Z48" s="61">
        <f>SUMIFS(jt!$L:$L,jt!$A:$A,加弹汇总表!$A48,jt!$R:$R,加弹汇总表!Z$2)</f>
        <v>0</v>
      </c>
      <c r="AA48" s="62">
        <f>SUMIFS(jt!$M:$M,jt!$A:$A,加弹汇总表!$A48,jt!$R:$R,加弹汇总表!AA$2)</f>
        <v>0</v>
      </c>
      <c r="AB48" s="62">
        <f>SUMIFS(jt!$M:$M,jt!$A:$A,加弹汇总表!$A48,jt!$R:$R,加弹汇总表!AB$2)</f>
        <v>0</v>
      </c>
      <c r="AC48" s="62">
        <f>SUMIFS(jt!$M:$M,jt!$A:$A,加弹汇总表!$A48,jt!$R:$R,加弹汇总表!AC$2)</f>
        <v>0</v>
      </c>
      <c r="AD48" s="63">
        <f>SUMIFS(jt!$N:$N,jt!$A:$A,加弹汇总表!$A48,jt!$R:$R,加弹汇总表!AD$2)</f>
        <v>0</v>
      </c>
      <c r="AE48" s="63">
        <f>SUMIFS(jt!$N:$N,jt!$A:$A,加弹汇总表!$A48,jt!$R:$R,加弹汇总表!AE$2)</f>
        <v>0</v>
      </c>
      <c r="AF48" s="63">
        <f>SUMIFS(jt!$N:$N,jt!$A:$A,加弹汇总表!$A48,jt!$R:$R,加弹汇总表!AF$2)</f>
        <v>0</v>
      </c>
      <c r="AG48" s="64">
        <f>SUMIFS(jt!$M:$M,jt!$A:$A,加弹汇总表!$A48,jt!$C:$C,加弹汇总表!AG$2)</f>
        <v>0</v>
      </c>
      <c r="AH48" s="64">
        <f>SUMIFS(jt!$M:$M,jt!$A:$A,加弹汇总表!$A48,jt!$C:$C,加弹汇总表!AH$2)</f>
        <v>0</v>
      </c>
      <c r="AI48" s="64">
        <f>SUMIFS(jt!$M:$M,jt!$A:$A,加弹汇总表!$A48,jt!$C:$C,加弹汇总表!AI$2)</f>
        <v>0</v>
      </c>
      <c r="AJ48" s="64">
        <f>SUMIFS(jt!$M:$M,jt!$A:$A,加弹汇总表!$A48,jt!$C:$C,加弹汇总表!AJ$2)</f>
        <v>0</v>
      </c>
      <c r="AK48" s="64">
        <f>SUMIFS(jt!$M:$M,jt!$A:$A,加弹汇总表!$A48,jt!$C:$C,加弹汇总表!AK$2)</f>
        <v>0</v>
      </c>
      <c r="AL48" s="64">
        <f>SUMIFS(jt!$M:$M,jt!$A:$A,加弹汇总表!$A48,jt!$C:$C,加弹汇总表!AL$2)</f>
        <v>0</v>
      </c>
      <c r="AM48" s="64">
        <f>SUMIFS(jt!$M:$M,jt!$A:$A,加弹汇总表!$A48,jt!$C:$C,加弹汇总表!AM$2)</f>
        <v>0</v>
      </c>
      <c r="AN48" s="80">
        <f>SUMIFS(jt!$M:$M,jt!$A:$A,加弹汇总表!$A48,jt!$C:$C,加弹汇总表!AN$2)</f>
        <v>0</v>
      </c>
      <c r="AO48" s="8">
        <f>SUMIFS(jt!$M:$M,jt!$B:$B,加弹汇总表!$B48,jt!$D:$D,加弹汇总表!$C48,jt!$F:$F,加弹汇总表!$F48,jt!$O:$O,加弹汇总表!$C$1&amp;"/"&amp;加弹汇总表!$D$1&amp;"/"&amp;加弹汇总表!AO$2)</f>
        <v>0</v>
      </c>
      <c r="AP48" s="8">
        <f>SUMIFS(jt!$M:$M,jt!$B:$B,加弹汇总表!$B48,jt!$D:$D,加弹汇总表!$C48,jt!$F:$F,加弹汇总表!$F48,jt!$O:$O,加弹汇总表!$C$1&amp;"/"&amp;加弹汇总表!$D$1&amp;"/"&amp;加弹汇总表!AP$2)</f>
        <v>0</v>
      </c>
      <c r="AQ48" s="8">
        <f>SUMIFS(jt!$M:$M,jt!$B:$B,加弹汇总表!$B48,jt!$D:$D,加弹汇总表!$C48,jt!$F:$F,加弹汇总表!$F48,jt!$O:$O,加弹汇总表!$C$1&amp;"/"&amp;加弹汇总表!$D$1&amp;"/"&amp;加弹汇总表!AQ$2)</f>
        <v>0</v>
      </c>
      <c r="AR48" s="8">
        <f>SUMIFS(jt!$M:$M,jt!$B:$B,加弹汇总表!$B48,jt!$D:$D,加弹汇总表!$C48,jt!$F:$F,加弹汇总表!$F48,jt!$O:$O,加弹汇总表!$C$1&amp;"/"&amp;加弹汇总表!$D$1&amp;"/"&amp;加弹汇总表!AR$2)</f>
        <v>0</v>
      </c>
      <c r="AS48" s="8">
        <f>SUMIFS(jt!$M:$M,jt!$B:$B,加弹汇总表!$B48,jt!$D:$D,加弹汇总表!$C48,jt!$F:$F,加弹汇总表!$F48,jt!$O:$O,加弹汇总表!$C$1&amp;"/"&amp;加弹汇总表!$D$1&amp;"/"&amp;加弹汇总表!AS$2)</f>
        <v>0</v>
      </c>
      <c r="AT48" s="8">
        <f>SUMIFS(jt!$M:$M,jt!$B:$B,加弹汇总表!$B48,jt!$D:$D,加弹汇总表!$C48,jt!$F:$F,加弹汇总表!$F48,jt!$O:$O,加弹汇总表!$C$1&amp;"/"&amp;加弹汇总表!$D$1&amp;"/"&amp;加弹汇总表!AT$2)</f>
        <v>0</v>
      </c>
      <c r="AU48" s="8">
        <f>SUMIFS(jt!$M:$M,jt!$B:$B,加弹汇总表!$B48,jt!$D:$D,加弹汇总表!$C48,jt!$F:$F,加弹汇总表!$F48,jt!$O:$O,加弹汇总表!$C$1&amp;"/"&amp;加弹汇总表!$D$1&amp;"/"&amp;加弹汇总表!AU$2)</f>
        <v>0</v>
      </c>
      <c r="AV48" s="8">
        <f>SUMIFS(jt!$M:$M,jt!$B:$B,加弹汇总表!$B48,jt!$D:$D,加弹汇总表!$C48,jt!$F:$F,加弹汇总表!$F48,jt!$O:$O,加弹汇总表!$C$1&amp;"/"&amp;加弹汇总表!$D$1&amp;"/"&amp;加弹汇总表!AV$2)</f>
        <v>0</v>
      </c>
      <c r="AW48" s="8">
        <f>SUMIFS(jt!$M:$M,jt!$B:$B,加弹汇总表!$B48,jt!$D:$D,加弹汇总表!$C48,jt!$F:$F,加弹汇总表!$F48,jt!$O:$O,加弹汇总表!$C$1&amp;"/"&amp;加弹汇总表!$D$1&amp;"/"&amp;加弹汇总表!AW$2)</f>
        <v>0</v>
      </c>
      <c r="AX48" s="8">
        <f>SUMIFS(jt!$M:$M,jt!$B:$B,加弹汇总表!$B48,jt!$D:$D,加弹汇总表!$C48,jt!$F:$F,加弹汇总表!$F48,jt!$O:$O,加弹汇总表!$C$1&amp;"/"&amp;加弹汇总表!$D$1&amp;"/"&amp;加弹汇总表!AX$2)</f>
        <v>0</v>
      </c>
      <c r="AY48" s="8">
        <f>SUMIFS(jt!$M:$M,jt!$B:$B,加弹汇总表!$B48,jt!$D:$D,加弹汇总表!$C48,jt!$F:$F,加弹汇总表!$F48,jt!$O:$O,加弹汇总表!$C$1&amp;"/"&amp;加弹汇总表!$D$1&amp;"/"&amp;加弹汇总表!AY$2)</f>
        <v>0</v>
      </c>
      <c r="AZ48" s="8">
        <f>SUMIFS(jt!$M:$M,jt!$B:$B,加弹汇总表!$B48,jt!$D:$D,加弹汇总表!$C48,jt!$F:$F,加弹汇总表!$F48,jt!$O:$O,加弹汇总表!$C$1&amp;"/"&amp;加弹汇总表!$D$1&amp;"/"&amp;加弹汇总表!AZ$2)</f>
        <v>0</v>
      </c>
      <c r="BA48" s="8">
        <f>SUMIFS(jt!$M:$M,jt!$B:$B,加弹汇总表!$B48,jt!$D:$D,加弹汇总表!$C48,jt!$F:$F,加弹汇总表!$F48,jt!$O:$O,加弹汇总表!$C$1&amp;"/"&amp;加弹汇总表!$D$1&amp;"/"&amp;加弹汇总表!BA$2)</f>
        <v>0</v>
      </c>
      <c r="BB48" s="8">
        <f>SUMIFS(jt!$M:$M,jt!$B:$B,加弹汇总表!$B48,jt!$D:$D,加弹汇总表!$C48,jt!$F:$F,加弹汇总表!$F48,jt!$O:$O,加弹汇总表!$C$1&amp;"/"&amp;加弹汇总表!$D$1&amp;"/"&amp;加弹汇总表!BB$2)</f>
        <v>0</v>
      </c>
      <c r="BC48" s="8">
        <f>SUMIFS(jt!$M:$M,jt!$B:$B,加弹汇总表!$B48,jt!$D:$D,加弹汇总表!$C48,jt!$F:$F,加弹汇总表!$F48,jt!$O:$O,加弹汇总表!$C$1&amp;"/"&amp;加弹汇总表!$D$1&amp;"/"&amp;加弹汇总表!BC$2)</f>
        <v>0</v>
      </c>
      <c r="BD48" s="8">
        <f>SUMIFS(jt!$M:$M,jt!$B:$B,加弹汇总表!$B48,jt!$D:$D,加弹汇总表!$C48,jt!$F:$F,加弹汇总表!$F48,jt!$O:$O,加弹汇总表!$C$1&amp;"/"&amp;加弹汇总表!$D$1&amp;"/"&amp;加弹汇总表!BD$2)</f>
        <v>0</v>
      </c>
      <c r="BE48" s="8">
        <f>SUMIFS(jt!$M:$M,jt!$B:$B,加弹汇总表!$B48,jt!$D:$D,加弹汇总表!$C48,jt!$F:$F,加弹汇总表!$F48,jt!$O:$O,加弹汇总表!$C$1&amp;"/"&amp;加弹汇总表!$D$1&amp;"/"&amp;加弹汇总表!BE$2)</f>
        <v>0</v>
      </c>
      <c r="BF48" s="8">
        <f>SUMIFS(jt!$M:$M,jt!$B:$B,加弹汇总表!$B48,jt!$D:$D,加弹汇总表!$C48,jt!$F:$F,加弹汇总表!$F48,jt!$O:$O,加弹汇总表!$C$1&amp;"/"&amp;加弹汇总表!$D$1&amp;"/"&amp;加弹汇总表!BF$2)</f>
        <v>0</v>
      </c>
      <c r="BG48" s="8">
        <f>SUMIFS(jt!$M:$M,jt!$B:$B,加弹汇总表!$B48,jt!$D:$D,加弹汇总表!$C48,jt!$F:$F,加弹汇总表!$F48,jt!$O:$O,加弹汇总表!$C$1&amp;"/"&amp;加弹汇总表!$D$1&amp;"/"&amp;加弹汇总表!BG$2)</f>
        <v>0</v>
      </c>
      <c r="BH48" s="8">
        <f>SUMIFS(jt!$M:$M,jt!$B:$B,加弹汇总表!$B48,jt!$D:$D,加弹汇总表!$C48,jt!$F:$F,加弹汇总表!$F48,jt!$O:$O,加弹汇总表!$C$1&amp;"/"&amp;加弹汇总表!$D$1&amp;"/"&amp;加弹汇总表!BH$2)</f>
        <v>0</v>
      </c>
      <c r="BI48" s="8">
        <f>SUMIFS(jt!$M:$M,jt!$B:$B,加弹汇总表!$B48,jt!$D:$D,加弹汇总表!$C48,jt!$F:$F,加弹汇总表!$F48,jt!$O:$O,加弹汇总表!$C$1&amp;"/"&amp;加弹汇总表!$D$1&amp;"/"&amp;加弹汇总表!BI$2)</f>
        <v>0</v>
      </c>
      <c r="BJ48" s="8">
        <f>SUMIFS(jt!$M:$M,jt!$B:$B,加弹汇总表!$B48,jt!$D:$D,加弹汇总表!$C48,jt!$F:$F,加弹汇总表!$F48,jt!$O:$O,加弹汇总表!$C$1&amp;"/"&amp;加弹汇总表!$D$1&amp;"/"&amp;加弹汇总表!BJ$2)</f>
        <v>0</v>
      </c>
      <c r="BK48" s="8">
        <f>SUMIFS(jt!$M:$M,jt!$B:$B,加弹汇总表!$B48,jt!$D:$D,加弹汇总表!$C48,jt!$F:$F,加弹汇总表!$F48,jt!$O:$O,加弹汇总表!$C$1&amp;"/"&amp;加弹汇总表!$D$1&amp;"/"&amp;加弹汇总表!BK$2)</f>
        <v>0</v>
      </c>
      <c r="BL48" s="8">
        <f>SUMIFS(jt!$M:$M,jt!$B:$B,加弹汇总表!$B48,jt!$D:$D,加弹汇总表!$C48,jt!$F:$F,加弹汇总表!$F48,jt!$O:$O,加弹汇总表!$C$1&amp;"/"&amp;加弹汇总表!$D$1&amp;"/"&amp;加弹汇总表!BL$2)</f>
        <v>0</v>
      </c>
      <c r="BM48" s="8">
        <f>SUMIFS(jt!$M:$M,jt!$B:$B,加弹汇总表!$B48,jt!$D:$D,加弹汇总表!$C48,jt!$F:$F,加弹汇总表!$F48,jt!$O:$O,加弹汇总表!$C$1&amp;"/"&amp;加弹汇总表!$D$1&amp;"/"&amp;加弹汇总表!BM$2)</f>
        <v>0</v>
      </c>
      <c r="BN48" s="8">
        <f>SUMIFS(jt!$M:$M,jt!$B:$B,加弹汇总表!$B48,jt!$D:$D,加弹汇总表!$C48,jt!$F:$F,加弹汇总表!$F48,jt!$O:$O,加弹汇总表!$C$1&amp;"/"&amp;加弹汇总表!$D$1&amp;"/"&amp;加弹汇总表!BN$2)</f>
        <v>0</v>
      </c>
      <c r="BO48" s="8">
        <f>SUMIFS(jt!$M:$M,jt!$B:$B,加弹汇总表!$B48,jt!$D:$D,加弹汇总表!$C48,jt!$F:$F,加弹汇总表!$F48,jt!$O:$O,加弹汇总表!$C$1&amp;"/"&amp;加弹汇总表!$D$1&amp;"/"&amp;加弹汇总表!BO$2)</f>
        <v>0</v>
      </c>
      <c r="BP48" s="8">
        <f>SUMIFS(jt!$M:$M,jt!$B:$B,加弹汇总表!$B48,jt!$D:$D,加弹汇总表!$C48,jt!$F:$F,加弹汇总表!$F48,jt!$O:$O,加弹汇总表!$C$1&amp;"/"&amp;加弹汇总表!$D$1&amp;"/"&amp;加弹汇总表!BP$2)</f>
        <v>0</v>
      </c>
      <c r="BQ48" s="8">
        <f>SUMIFS(jt!$M:$M,jt!$B:$B,加弹汇总表!$B48,jt!$D:$D,加弹汇总表!$C48,jt!$F:$F,加弹汇总表!$F48,jt!$O:$O,加弹汇总表!$C$1&amp;"/"&amp;加弹汇总表!$D$1&amp;"/"&amp;加弹汇总表!BQ$2)</f>
        <v>0</v>
      </c>
      <c r="BR48" s="8">
        <f>SUMIFS(jt!$M:$M,jt!$B:$B,加弹汇总表!$B48,jt!$D:$D,加弹汇总表!$C48,jt!$F:$F,加弹汇总表!$F48,jt!$O:$O,加弹汇总表!$C$1&amp;"/"&amp;加弹汇总表!$D$1&amp;"/"&amp;加弹汇总表!BR$2)</f>
        <v>0</v>
      </c>
      <c r="BS48" s="8">
        <f>SUMIFS(jt!$M:$M,jt!$B:$B,加弹汇总表!$B48,jt!$D:$D,加弹汇总表!$C48,jt!$F:$F,加弹汇总表!$F48,jt!$O:$O,加弹汇总表!$C$1&amp;"/"&amp;加弹汇总表!$D$1&amp;"/"&amp;加弹汇总表!BS$2)</f>
        <v>0</v>
      </c>
    </row>
    <row r="49" spans="1:71" ht="18" customHeight="1">
      <c r="A49" s="250" t="str">
        <f t="shared" si="4"/>
        <v>150D黑150D网络丝150D黑</v>
      </c>
      <c r="B49" s="14" t="s">
        <v>890</v>
      </c>
      <c r="C49" s="98" t="s">
        <v>891</v>
      </c>
      <c r="D49" s="53" t="s">
        <v>892</v>
      </c>
      <c r="E49" s="78"/>
      <c r="F49" s="53" t="s">
        <v>1</v>
      </c>
      <c r="G49" s="53" t="s">
        <v>893</v>
      </c>
      <c r="H49" s="53"/>
      <c r="I49" s="246">
        <f ca="1">IF(SUMIFS(jt!M:M,jt!A:A,加弹汇总表!A49,jt!O:O,加弹汇总表!$E$1)=0,0,SUM(AO49:BS49)/COUNTIF(AO49:BS49,"&lt;&gt;0"))</f>
        <v>0</v>
      </c>
      <c r="J49" s="53">
        <f t="shared" si="5"/>
        <v>0</v>
      </c>
      <c r="K49" s="53">
        <f t="shared" si="6"/>
        <v>0</v>
      </c>
      <c r="L49" s="53">
        <f t="shared" si="7"/>
        <v>0</v>
      </c>
      <c r="M49" s="53">
        <f t="shared" si="0"/>
        <v>0</v>
      </c>
      <c r="N49" s="53"/>
      <c r="O49" s="53">
        <f t="shared" si="15"/>
        <v>0</v>
      </c>
      <c r="P49" s="53">
        <f t="shared" si="2"/>
        <v>0</v>
      </c>
      <c r="Q49" s="53">
        <f t="shared" si="3"/>
        <v>0</v>
      </c>
      <c r="R49" s="60">
        <f>SUMIFS(jt!$K:$K,jt!$A:$A,加弹汇总表!$A49,jt!$R:$R,加弹汇总表!R$2)</f>
        <v>0</v>
      </c>
      <c r="S49" s="60">
        <f>SUMIFS(jt!$K:$K,jt!$A:$A,加弹汇总表!$A49,jt!$R:$R,加弹汇总表!S$2)</f>
        <v>0</v>
      </c>
      <c r="T49" s="60">
        <f>SUMIFS(jt!$K:$K,jt!$A:$A,加弹汇总表!$A49,jt!$R:$R,加弹汇总表!T$2)</f>
        <v>0</v>
      </c>
      <c r="U49" s="60">
        <f>SUMIFS(jt!$J:$J,jt!$A:$A,加弹汇总表!$A49,jt!$R:$R,加弹汇总表!U$2)</f>
        <v>0</v>
      </c>
      <c r="V49" s="60">
        <f>SUMIFS(jt!$J:$J,jt!$A:$A,加弹汇总表!$A49,jt!$R:$R,加弹汇总表!V$2)</f>
        <v>0</v>
      </c>
      <c r="W49" s="60">
        <f>SUMIFS(jt!$J:$J,jt!$A:$A,加弹汇总表!$A49,jt!$R:$R,加弹汇总表!W$2)</f>
        <v>0</v>
      </c>
      <c r="X49" s="61">
        <f>SUMIFS(jt!$L:$L,jt!$A:$A,加弹汇总表!$A49,jt!$R:$R,加弹汇总表!X$2)</f>
        <v>0</v>
      </c>
      <c r="Y49" s="61">
        <f>SUMIFS(jt!$L:$L,jt!$A:$A,加弹汇总表!$A49,jt!$R:$R,加弹汇总表!Y$2)</f>
        <v>0</v>
      </c>
      <c r="Z49" s="61">
        <f>SUMIFS(jt!$L:$L,jt!$A:$A,加弹汇总表!$A49,jt!$R:$R,加弹汇总表!Z$2)</f>
        <v>0</v>
      </c>
      <c r="AA49" s="62">
        <f>SUMIFS(jt!$M:$M,jt!$A:$A,加弹汇总表!$A49,jt!$R:$R,加弹汇总表!AA$2)</f>
        <v>0</v>
      </c>
      <c r="AB49" s="62">
        <f>SUMIFS(jt!$M:$M,jt!$A:$A,加弹汇总表!$A49,jt!$R:$R,加弹汇总表!AB$2)</f>
        <v>0</v>
      </c>
      <c r="AC49" s="62">
        <f>SUMIFS(jt!$M:$M,jt!$A:$A,加弹汇总表!$A49,jt!$R:$R,加弹汇总表!AC$2)</f>
        <v>0</v>
      </c>
      <c r="AD49" s="63">
        <f>SUMIFS(jt!$N:$N,jt!$A:$A,加弹汇总表!$A49,jt!$R:$R,加弹汇总表!AD$2)</f>
        <v>0</v>
      </c>
      <c r="AE49" s="63">
        <f>SUMIFS(jt!$N:$N,jt!$A:$A,加弹汇总表!$A49,jt!$R:$R,加弹汇总表!AE$2)</f>
        <v>0</v>
      </c>
      <c r="AF49" s="63">
        <f>SUMIFS(jt!$N:$N,jt!$A:$A,加弹汇总表!$A49,jt!$R:$R,加弹汇总表!AF$2)</f>
        <v>0</v>
      </c>
      <c r="AG49" s="64">
        <f>SUMIFS(jt!$M:$M,jt!$A:$A,加弹汇总表!$A49,jt!$C:$C,加弹汇总表!AG$2)</f>
        <v>0</v>
      </c>
      <c r="AH49" s="64">
        <f>SUMIFS(jt!$M:$M,jt!$A:$A,加弹汇总表!$A49,jt!$C:$C,加弹汇总表!AH$2)</f>
        <v>0</v>
      </c>
      <c r="AI49" s="64">
        <f>SUMIFS(jt!$M:$M,jt!$A:$A,加弹汇总表!$A49,jt!$C:$C,加弹汇总表!AI$2)</f>
        <v>0</v>
      </c>
      <c r="AJ49" s="64">
        <f>SUMIFS(jt!$M:$M,jt!$A:$A,加弹汇总表!$A49,jt!$C:$C,加弹汇总表!AJ$2)</f>
        <v>0</v>
      </c>
      <c r="AK49" s="64">
        <f>SUMIFS(jt!$M:$M,jt!$A:$A,加弹汇总表!$A49,jt!$C:$C,加弹汇总表!AK$2)</f>
        <v>0</v>
      </c>
      <c r="AL49" s="64">
        <f>SUMIFS(jt!$M:$M,jt!$A:$A,加弹汇总表!$A49,jt!$C:$C,加弹汇总表!AL$2)</f>
        <v>0</v>
      </c>
      <c r="AM49" s="64">
        <f>SUMIFS(jt!$M:$M,jt!$A:$A,加弹汇总表!$A49,jt!$C:$C,加弹汇总表!AM$2)</f>
        <v>0</v>
      </c>
      <c r="AN49" s="80">
        <f>SUMIFS(jt!$M:$M,jt!$A:$A,加弹汇总表!$A49,jt!$C:$C,加弹汇总表!AN$2)</f>
        <v>0</v>
      </c>
      <c r="AO49" s="8">
        <f>SUMIFS(jt!$M:$M,jt!$B:$B,加弹汇总表!$B49,jt!$D:$D,加弹汇总表!$C49,jt!$F:$F,加弹汇总表!$F49,jt!$O:$O,加弹汇总表!$C$1&amp;"/"&amp;加弹汇总表!$D$1&amp;"/"&amp;加弹汇总表!AO$2)</f>
        <v>0</v>
      </c>
      <c r="AP49" s="8">
        <f>SUMIFS(jt!$M:$M,jt!$B:$B,加弹汇总表!$B49,jt!$D:$D,加弹汇总表!$C49,jt!$F:$F,加弹汇总表!$F49,jt!$O:$O,加弹汇总表!$C$1&amp;"/"&amp;加弹汇总表!$D$1&amp;"/"&amp;加弹汇总表!AP$2)</f>
        <v>0</v>
      </c>
      <c r="AQ49" s="8">
        <f>SUMIFS(jt!$M:$M,jt!$B:$B,加弹汇总表!$B49,jt!$D:$D,加弹汇总表!$C49,jt!$F:$F,加弹汇总表!$F49,jt!$O:$O,加弹汇总表!$C$1&amp;"/"&amp;加弹汇总表!$D$1&amp;"/"&amp;加弹汇总表!AQ$2)</f>
        <v>0</v>
      </c>
      <c r="AR49" s="8">
        <f>SUMIFS(jt!$M:$M,jt!$B:$B,加弹汇总表!$B49,jt!$D:$D,加弹汇总表!$C49,jt!$F:$F,加弹汇总表!$F49,jt!$O:$O,加弹汇总表!$C$1&amp;"/"&amp;加弹汇总表!$D$1&amp;"/"&amp;加弹汇总表!AR$2)</f>
        <v>0</v>
      </c>
      <c r="AS49" s="8">
        <f>SUMIFS(jt!$M:$M,jt!$B:$B,加弹汇总表!$B49,jt!$D:$D,加弹汇总表!$C49,jt!$F:$F,加弹汇总表!$F49,jt!$O:$O,加弹汇总表!$C$1&amp;"/"&amp;加弹汇总表!$D$1&amp;"/"&amp;加弹汇总表!AS$2)</f>
        <v>0</v>
      </c>
      <c r="AT49" s="8">
        <f>SUMIFS(jt!$M:$M,jt!$B:$B,加弹汇总表!$B49,jt!$D:$D,加弹汇总表!$C49,jt!$F:$F,加弹汇总表!$F49,jt!$O:$O,加弹汇总表!$C$1&amp;"/"&amp;加弹汇总表!$D$1&amp;"/"&amp;加弹汇总表!AT$2)</f>
        <v>0</v>
      </c>
      <c r="AU49" s="8">
        <f>SUMIFS(jt!$M:$M,jt!$B:$B,加弹汇总表!$B49,jt!$D:$D,加弹汇总表!$C49,jt!$F:$F,加弹汇总表!$F49,jt!$O:$O,加弹汇总表!$C$1&amp;"/"&amp;加弹汇总表!$D$1&amp;"/"&amp;加弹汇总表!AU$2)</f>
        <v>0</v>
      </c>
      <c r="AV49" s="8">
        <f>SUMIFS(jt!$M:$M,jt!$B:$B,加弹汇总表!$B49,jt!$D:$D,加弹汇总表!$C49,jt!$F:$F,加弹汇总表!$F49,jt!$O:$O,加弹汇总表!$C$1&amp;"/"&amp;加弹汇总表!$D$1&amp;"/"&amp;加弹汇总表!AV$2)</f>
        <v>0</v>
      </c>
      <c r="AW49" s="8">
        <f>SUMIFS(jt!$M:$M,jt!$B:$B,加弹汇总表!$B49,jt!$D:$D,加弹汇总表!$C49,jt!$F:$F,加弹汇总表!$F49,jt!$O:$O,加弹汇总表!$C$1&amp;"/"&amp;加弹汇总表!$D$1&amp;"/"&amp;加弹汇总表!AW$2)</f>
        <v>0</v>
      </c>
      <c r="AX49" s="8">
        <f>SUMIFS(jt!$M:$M,jt!$B:$B,加弹汇总表!$B49,jt!$D:$D,加弹汇总表!$C49,jt!$F:$F,加弹汇总表!$F49,jt!$O:$O,加弹汇总表!$C$1&amp;"/"&amp;加弹汇总表!$D$1&amp;"/"&amp;加弹汇总表!AX$2)</f>
        <v>0</v>
      </c>
      <c r="AY49" s="8">
        <f>SUMIFS(jt!$M:$M,jt!$B:$B,加弹汇总表!$B49,jt!$D:$D,加弹汇总表!$C49,jt!$F:$F,加弹汇总表!$F49,jt!$O:$O,加弹汇总表!$C$1&amp;"/"&amp;加弹汇总表!$D$1&amp;"/"&amp;加弹汇总表!AY$2)</f>
        <v>0</v>
      </c>
      <c r="AZ49" s="8">
        <f>SUMIFS(jt!$M:$M,jt!$B:$B,加弹汇总表!$B49,jt!$D:$D,加弹汇总表!$C49,jt!$F:$F,加弹汇总表!$F49,jt!$O:$O,加弹汇总表!$C$1&amp;"/"&amp;加弹汇总表!$D$1&amp;"/"&amp;加弹汇总表!AZ$2)</f>
        <v>0</v>
      </c>
      <c r="BA49" s="8">
        <f>SUMIFS(jt!$M:$M,jt!$B:$B,加弹汇总表!$B49,jt!$D:$D,加弹汇总表!$C49,jt!$F:$F,加弹汇总表!$F49,jt!$O:$O,加弹汇总表!$C$1&amp;"/"&amp;加弹汇总表!$D$1&amp;"/"&amp;加弹汇总表!BA$2)</f>
        <v>0</v>
      </c>
      <c r="BB49" s="8">
        <f>SUMIFS(jt!$M:$M,jt!$B:$B,加弹汇总表!$B49,jt!$D:$D,加弹汇总表!$C49,jt!$F:$F,加弹汇总表!$F49,jt!$O:$O,加弹汇总表!$C$1&amp;"/"&amp;加弹汇总表!$D$1&amp;"/"&amp;加弹汇总表!BB$2)</f>
        <v>0</v>
      </c>
      <c r="BC49" s="8">
        <f>SUMIFS(jt!$M:$M,jt!$B:$B,加弹汇总表!$B49,jt!$D:$D,加弹汇总表!$C49,jt!$F:$F,加弹汇总表!$F49,jt!$O:$O,加弹汇总表!$C$1&amp;"/"&amp;加弹汇总表!$D$1&amp;"/"&amp;加弹汇总表!BC$2)</f>
        <v>0</v>
      </c>
      <c r="BD49" s="8">
        <f>SUMIFS(jt!$M:$M,jt!$B:$B,加弹汇总表!$B49,jt!$D:$D,加弹汇总表!$C49,jt!$F:$F,加弹汇总表!$F49,jt!$O:$O,加弹汇总表!$C$1&amp;"/"&amp;加弹汇总表!$D$1&amp;"/"&amp;加弹汇总表!BD$2)</f>
        <v>0</v>
      </c>
      <c r="BE49" s="8">
        <f>SUMIFS(jt!$M:$M,jt!$B:$B,加弹汇总表!$B49,jt!$D:$D,加弹汇总表!$C49,jt!$F:$F,加弹汇总表!$F49,jt!$O:$O,加弹汇总表!$C$1&amp;"/"&amp;加弹汇总表!$D$1&amp;"/"&amp;加弹汇总表!BE$2)</f>
        <v>0</v>
      </c>
      <c r="BF49" s="8">
        <f>SUMIFS(jt!$M:$M,jt!$B:$B,加弹汇总表!$B49,jt!$D:$D,加弹汇总表!$C49,jt!$F:$F,加弹汇总表!$F49,jt!$O:$O,加弹汇总表!$C$1&amp;"/"&amp;加弹汇总表!$D$1&amp;"/"&amp;加弹汇总表!BF$2)</f>
        <v>0</v>
      </c>
      <c r="BG49" s="8">
        <f>SUMIFS(jt!$M:$M,jt!$B:$B,加弹汇总表!$B49,jt!$D:$D,加弹汇总表!$C49,jt!$F:$F,加弹汇总表!$F49,jt!$O:$O,加弹汇总表!$C$1&amp;"/"&amp;加弹汇总表!$D$1&amp;"/"&amp;加弹汇总表!BG$2)</f>
        <v>0</v>
      </c>
      <c r="BH49" s="8">
        <f>SUMIFS(jt!$M:$M,jt!$B:$B,加弹汇总表!$B49,jt!$D:$D,加弹汇总表!$C49,jt!$F:$F,加弹汇总表!$F49,jt!$O:$O,加弹汇总表!$C$1&amp;"/"&amp;加弹汇总表!$D$1&amp;"/"&amp;加弹汇总表!BH$2)</f>
        <v>0</v>
      </c>
      <c r="BI49" s="8">
        <f>SUMIFS(jt!$M:$M,jt!$B:$B,加弹汇总表!$B49,jt!$D:$D,加弹汇总表!$C49,jt!$F:$F,加弹汇总表!$F49,jt!$O:$O,加弹汇总表!$C$1&amp;"/"&amp;加弹汇总表!$D$1&amp;"/"&amp;加弹汇总表!BI$2)</f>
        <v>0</v>
      </c>
      <c r="BJ49" s="8">
        <f>SUMIFS(jt!$M:$M,jt!$B:$B,加弹汇总表!$B49,jt!$D:$D,加弹汇总表!$C49,jt!$F:$F,加弹汇总表!$F49,jt!$O:$O,加弹汇总表!$C$1&amp;"/"&amp;加弹汇总表!$D$1&amp;"/"&amp;加弹汇总表!BJ$2)</f>
        <v>0</v>
      </c>
      <c r="BK49" s="8">
        <f>SUMIFS(jt!$M:$M,jt!$B:$B,加弹汇总表!$B49,jt!$D:$D,加弹汇总表!$C49,jt!$F:$F,加弹汇总表!$F49,jt!$O:$O,加弹汇总表!$C$1&amp;"/"&amp;加弹汇总表!$D$1&amp;"/"&amp;加弹汇总表!BK$2)</f>
        <v>0</v>
      </c>
      <c r="BL49" s="8">
        <f>SUMIFS(jt!$M:$M,jt!$B:$B,加弹汇总表!$B49,jt!$D:$D,加弹汇总表!$C49,jt!$F:$F,加弹汇总表!$F49,jt!$O:$O,加弹汇总表!$C$1&amp;"/"&amp;加弹汇总表!$D$1&amp;"/"&amp;加弹汇总表!BL$2)</f>
        <v>0</v>
      </c>
      <c r="BM49" s="8">
        <f>SUMIFS(jt!$M:$M,jt!$B:$B,加弹汇总表!$B49,jt!$D:$D,加弹汇总表!$C49,jt!$F:$F,加弹汇总表!$F49,jt!$O:$O,加弹汇总表!$C$1&amp;"/"&amp;加弹汇总表!$D$1&amp;"/"&amp;加弹汇总表!BM$2)</f>
        <v>0</v>
      </c>
      <c r="BN49" s="8">
        <f>SUMIFS(jt!$M:$M,jt!$B:$B,加弹汇总表!$B49,jt!$D:$D,加弹汇总表!$C49,jt!$F:$F,加弹汇总表!$F49,jt!$O:$O,加弹汇总表!$C$1&amp;"/"&amp;加弹汇总表!$D$1&amp;"/"&amp;加弹汇总表!BN$2)</f>
        <v>0</v>
      </c>
      <c r="BO49" s="8">
        <f>SUMIFS(jt!$M:$M,jt!$B:$B,加弹汇总表!$B49,jt!$D:$D,加弹汇总表!$C49,jt!$F:$F,加弹汇总表!$F49,jt!$O:$O,加弹汇总表!$C$1&amp;"/"&amp;加弹汇总表!$D$1&amp;"/"&amp;加弹汇总表!BO$2)</f>
        <v>0</v>
      </c>
      <c r="BP49" s="8">
        <f>SUMIFS(jt!$M:$M,jt!$B:$B,加弹汇总表!$B49,jt!$D:$D,加弹汇总表!$C49,jt!$F:$F,加弹汇总表!$F49,jt!$O:$O,加弹汇总表!$C$1&amp;"/"&amp;加弹汇总表!$D$1&amp;"/"&amp;加弹汇总表!BP$2)</f>
        <v>0</v>
      </c>
      <c r="BQ49" s="8">
        <f>SUMIFS(jt!$M:$M,jt!$B:$B,加弹汇总表!$B49,jt!$D:$D,加弹汇总表!$C49,jt!$F:$F,加弹汇总表!$F49,jt!$O:$O,加弹汇总表!$C$1&amp;"/"&amp;加弹汇总表!$D$1&amp;"/"&amp;加弹汇总表!BQ$2)</f>
        <v>0</v>
      </c>
      <c r="BR49" s="8">
        <f>SUMIFS(jt!$M:$M,jt!$B:$B,加弹汇总表!$B49,jt!$D:$D,加弹汇总表!$C49,jt!$F:$F,加弹汇总表!$F49,jt!$O:$O,加弹汇总表!$C$1&amp;"/"&amp;加弹汇总表!$D$1&amp;"/"&amp;加弹汇总表!BR$2)</f>
        <v>0</v>
      </c>
      <c r="BS49" s="8">
        <f>SUMIFS(jt!$M:$M,jt!$B:$B,加弹汇总表!$B49,jt!$D:$D,加弹汇总表!$C49,jt!$F:$F,加弹汇总表!$F49,jt!$O:$O,加弹汇总表!$C$1&amp;"/"&amp;加弹汇总表!$D$1&amp;"/"&amp;加弹汇总表!BS$2)</f>
        <v>0</v>
      </c>
    </row>
    <row r="50" spans="1:71" ht="18" customHeight="1">
      <c r="A50" s="250" t="str">
        <f t="shared" si="4"/>
        <v>150D白150D网络丝150D白</v>
      </c>
      <c r="B50" s="14" t="s">
        <v>894</v>
      </c>
      <c r="C50" s="98" t="s">
        <v>891</v>
      </c>
      <c r="D50" s="53" t="s">
        <v>892</v>
      </c>
      <c r="E50" s="78"/>
      <c r="F50" s="53" t="s">
        <v>2</v>
      </c>
      <c r="G50" s="53" t="s">
        <v>893</v>
      </c>
      <c r="H50" s="53"/>
      <c r="I50" s="246">
        <f ca="1">IF(SUMIFS(jt!M:M,jt!A:A,加弹汇总表!A50,jt!O:O,加弹汇总表!$E$1)=0,0,SUM(AO50:BS50)/COUNTIF(AO50:BS50,"&lt;&gt;0"))</f>
        <v>0</v>
      </c>
      <c r="J50" s="53">
        <f t="shared" si="5"/>
        <v>0</v>
      </c>
      <c r="K50" s="53">
        <f t="shared" si="6"/>
        <v>0</v>
      </c>
      <c r="L50" s="53">
        <f t="shared" si="7"/>
        <v>0</v>
      </c>
      <c r="M50" s="53">
        <f t="shared" si="0"/>
        <v>0</v>
      </c>
      <c r="N50" s="53"/>
      <c r="O50" s="53">
        <f t="shared" si="15"/>
        <v>0</v>
      </c>
      <c r="P50" s="53">
        <f t="shared" si="2"/>
        <v>0</v>
      </c>
      <c r="Q50" s="53">
        <f t="shared" si="3"/>
        <v>0</v>
      </c>
      <c r="R50" s="60">
        <f>SUMIFS(jt!$K:$K,jt!$A:$A,加弹汇总表!$A50,jt!$R:$R,加弹汇总表!R$2)</f>
        <v>0</v>
      </c>
      <c r="S50" s="60">
        <f>SUMIFS(jt!$K:$K,jt!$A:$A,加弹汇总表!$A50,jt!$R:$R,加弹汇总表!S$2)</f>
        <v>0</v>
      </c>
      <c r="T50" s="60">
        <f>SUMIFS(jt!$K:$K,jt!$A:$A,加弹汇总表!$A50,jt!$R:$R,加弹汇总表!T$2)</f>
        <v>0</v>
      </c>
      <c r="U50" s="60">
        <f>SUMIFS(jt!$J:$J,jt!$A:$A,加弹汇总表!$A50,jt!$R:$R,加弹汇总表!U$2)</f>
        <v>0</v>
      </c>
      <c r="V50" s="60">
        <f>SUMIFS(jt!$J:$J,jt!$A:$A,加弹汇总表!$A50,jt!$R:$R,加弹汇总表!V$2)</f>
        <v>0</v>
      </c>
      <c r="W50" s="60">
        <f>SUMIFS(jt!$J:$J,jt!$A:$A,加弹汇总表!$A50,jt!$R:$R,加弹汇总表!W$2)</f>
        <v>0</v>
      </c>
      <c r="X50" s="61">
        <f>SUMIFS(jt!$L:$L,jt!$A:$A,加弹汇总表!$A50,jt!$R:$R,加弹汇总表!X$2)</f>
        <v>0</v>
      </c>
      <c r="Y50" s="61">
        <f>SUMIFS(jt!$L:$L,jt!$A:$A,加弹汇总表!$A50,jt!$R:$R,加弹汇总表!Y$2)</f>
        <v>0</v>
      </c>
      <c r="Z50" s="61">
        <f>SUMIFS(jt!$L:$L,jt!$A:$A,加弹汇总表!$A50,jt!$R:$R,加弹汇总表!Z$2)</f>
        <v>0</v>
      </c>
      <c r="AA50" s="62">
        <f>SUMIFS(jt!$M:$M,jt!$A:$A,加弹汇总表!$A50,jt!$R:$R,加弹汇总表!AA$2)</f>
        <v>0</v>
      </c>
      <c r="AB50" s="62">
        <f>SUMIFS(jt!$M:$M,jt!$A:$A,加弹汇总表!$A50,jt!$R:$R,加弹汇总表!AB$2)</f>
        <v>0</v>
      </c>
      <c r="AC50" s="62">
        <f>SUMIFS(jt!$M:$M,jt!$A:$A,加弹汇总表!$A50,jt!$R:$R,加弹汇总表!AC$2)</f>
        <v>0</v>
      </c>
      <c r="AD50" s="63">
        <f>SUMIFS(jt!$N:$N,jt!$A:$A,加弹汇总表!$A50,jt!$R:$R,加弹汇总表!AD$2)</f>
        <v>0</v>
      </c>
      <c r="AE50" s="63">
        <f>SUMIFS(jt!$N:$N,jt!$A:$A,加弹汇总表!$A50,jt!$R:$R,加弹汇总表!AE$2)</f>
        <v>0</v>
      </c>
      <c r="AF50" s="63">
        <f>SUMIFS(jt!$N:$N,jt!$A:$A,加弹汇总表!$A50,jt!$R:$R,加弹汇总表!AF$2)</f>
        <v>0</v>
      </c>
      <c r="AG50" s="64">
        <f>SUMIFS(jt!$M:$M,jt!$A:$A,加弹汇总表!$A50,jt!$C:$C,加弹汇总表!AG$2)</f>
        <v>0</v>
      </c>
      <c r="AH50" s="64">
        <f>SUMIFS(jt!$M:$M,jt!$A:$A,加弹汇总表!$A50,jt!$C:$C,加弹汇总表!AH$2)</f>
        <v>0</v>
      </c>
      <c r="AI50" s="64">
        <f>SUMIFS(jt!$M:$M,jt!$A:$A,加弹汇总表!$A50,jt!$C:$C,加弹汇总表!AI$2)</f>
        <v>0</v>
      </c>
      <c r="AJ50" s="64">
        <f>SUMIFS(jt!$M:$M,jt!$A:$A,加弹汇总表!$A50,jt!$C:$C,加弹汇总表!AJ$2)</f>
        <v>0</v>
      </c>
      <c r="AK50" s="64">
        <f>SUMIFS(jt!$M:$M,jt!$A:$A,加弹汇总表!$A50,jt!$C:$C,加弹汇总表!AK$2)</f>
        <v>0</v>
      </c>
      <c r="AL50" s="64">
        <f>SUMIFS(jt!$M:$M,jt!$A:$A,加弹汇总表!$A50,jt!$C:$C,加弹汇总表!AL$2)</f>
        <v>0</v>
      </c>
      <c r="AM50" s="64">
        <f>SUMIFS(jt!$M:$M,jt!$A:$A,加弹汇总表!$A50,jt!$C:$C,加弹汇总表!AM$2)</f>
        <v>0</v>
      </c>
      <c r="AN50" s="80">
        <f>SUMIFS(jt!$M:$M,jt!$A:$A,加弹汇总表!$A50,jt!$C:$C,加弹汇总表!AN$2)</f>
        <v>0</v>
      </c>
      <c r="AO50" s="8">
        <f>SUMIFS(jt!$M:$M,jt!$B:$B,加弹汇总表!$B50,jt!$D:$D,加弹汇总表!$C50,jt!$F:$F,加弹汇总表!$F50,jt!$O:$O,加弹汇总表!$C$1&amp;"/"&amp;加弹汇总表!$D$1&amp;"/"&amp;加弹汇总表!AO$2)</f>
        <v>0</v>
      </c>
      <c r="AP50" s="8">
        <f>SUMIFS(jt!$M:$M,jt!$B:$B,加弹汇总表!$B50,jt!$D:$D,加弹汇总表!$C50,jt!$F:$F,加弹汇总表!$F50,jt!$O:$O,加弹汇总表!$C$1&amp;"/"&amp;加弹汇总表!$D$1&amp;"/"&amp;加弹汇总表!AP$2)</f>
        <v>0</v>
      </c>
      <c r="AQ50" s="8">
        <f>SUMIFS(jt!$M:$M,jt!$B:$B,加弹汇总表!$B50,jt!$D:$D,加弹汇总表!$C50,jt!$F:$F,加弹汇总表!$F50,jt!$O:$O,加弹汇总表!$C$1&amp;"/"&amp;加弹汇总表!$D$1&amp;"/"&amp;加弹汇总表!AQ$2)</f>
        <v>0</v>
      </c>
      <c r="AR50" s="8">
        <f>SUMIFS(jt!$M:$M,jt!$B:$B,加弹汇总表!$B50,jt!$D:$D,加弹汇总表!$C50,jt!$F:$F,加弹汇总表!$F50,jt!$O:$O,加弹汇总表!$C$1&amp;"/"&amp;加弹汇总表!$D$1&amp;"/"&amp;加弹汇总表!AR$2)</f>
        <v>0</v>
      </c>
      <c r="AS50" s="8">
        <f>SUMIFS(jt!$M:$M,jt!$B:$B,加弹汇总表!$B50,jt!$D:$D,加弹汇总表!$C50,jt!$F:$F,加弹汇总表!$F50,jt!$O:$O,加弹汇总表!$C$1&amp;"/"&amp;加弹汇总表!$D$1&amp;"/"&amp;加弹汇总表!AS$2)</f>
        <v>0</v>
      </c>
      <c r="AT50" s="8">
        <f>SUMIFS(jt!$M:$M,jt!$B:$B,加弹汇总表!$B50,jt!$D:$D,加弹汇总表!$C50,jt!$F:$F,加弹汇总表!$F50,jt!$O:$O,加弹汇总表!$C$1&amp;"/"&amp;加弹汇总表!$D$1&amp;"/"&amp;加弹汇总表!AT$2)</f>
        <v>0</v>
      </c>
      <c r="AU50" s="8">
        <f>SUMIFS(jt!$M:$M,jt!$B:$B,加弹汇总表!$B50,jt!$D:$D,加弹汇总表!$C50,jt!$F:$F,加弹汇总表!$F50,jt!$O:$O,加弹汇总表!$C$1&amp;"/"&amp;加弹汇总表!$D$1&amp;"/"&amp;加弹汇总表!AU$2)</f>
        <v>0</v>
      </c>
      <c r="AV50" s="8">
        <f>SUMIFS(jt!$M:$M,jt!$B:$B,加弹汇总表!$B50,jt!$D:$D,加弹汇总表!$C50,jt!$F:$F,加弹汇总表!$F50,jt!$O:$O,加弹汇总表!$C$1&amp;"/"&amp;加弹汇总表!$D$1&amp;"/"&amp;加弹汇总表!AV$2)</f>
        <v>0</v>
      </c>
      <c r="AW50" s="8">
        <f>SUMIFS(jt!$M:$M,jt!$B:$B,加弹汇总表!$B50,jt!$D:$D,加弹汇总表!$C50,jt!$F:$F,加弹汇总表!$F50,jt!$O:$O,加弹汇总表!$C$1&amp;"/"&amp;加弹汇总表!$D$1&amp;"/"&amp;加弹汇总表!AW$2)</f>
        <v>0</v>
      </c>
      <c r="AX50" s="8">
        <f>SUMIFS(jt!$M:$M,jt!$B:$B,加弹汇总表!$B50,jt!$D:$D,加弹汇总表!$C50,jt!$F:$F,加弹汇总表!$F50,jt!$O:$O,加弹汇总表!$C$1&amp;"/"&amp;加弹汇总表!$D$1&amp;"/"&amp;加弹汇总表!AX$2)</f>
        <v>0</v>
      </c>
      <c r="AY50" s="8">
        <f>SUMIFS(jt!$M:$M,jt!$B:$B,加弹汇总表!$B50,jt!$D:$D,加弹汇总表!$C50,jt!$F:$F,加弹汇总表!$F50,jt!$O:$O,加弹汇总表!$C$1&amp;"/"&amp;加弹汇总表!$D$1&amp;"/"&amp;加弹汇总表!AY$2)</f>
        <v>0</v>
      </c>
      <c r="AZ50" s="8">
        <f>SUMIFS(jt!$M:$M,jt!$B:$B,加弹汇总表!$B50,jt!$D:$D,加弹汇总表!$C50,jt!$F:$F,加弹汇总表!$F50,jt!$O:$O,加弹汇总表!$C$1&amp;"/"&amp;加弹汇总表!$D$1&amp;"/"&amp;加弹汇总表!AZ$2)</f>
        <v>0</v>
      </c>
      <c r="BA50" s="8">
        <f>SUMIFS(jt!$M:$M,jt!$B:$B,加弹汇总表!$B50,jt!$D:$D,加弹汇总表!$C50,jt!$F:$F,加弹汇总表!$F50,jt!$O:$O,加弹汇总表!$C$1&amp;"/"&amp;加弹汇总表!$D$1&amp;"/"&amp;加弹汇总表!BA$2)</f>
        <v>0</v>
      </c>
      <c r="BB50" s="8">
        <f>SUMIFS(jt!$M:$M,jt!$B:$B,加弹汇总表!$B50,jt!$D:$D,加弹汇总表!$C50,jt!$F:$F,加弹汇总表!$F50,jt!$O:$O,加弹汇总表!$C$1&amp;"/"&amp;加弹汇总表!$D$1&amp;"/"&amp;加弹汇总表!BB$2)</f>
        <v>0</v>
      </c>
      <c r="BC50" s="8">
        <f>SUMIFS(jt!$M:$M,jt!$B:$B,加弹汇总表!$B50,jt!$D:$D,加弹汇总表!$C50,jt!$F:$F,加弹汇总表!$F50,jt!$O:$O,加弹汇总表!$C$1&amp;"/"&amp;加弹汇总表!$D$1&amp;"/"&amp;加弹汇总表!BC$2)</f>
        <v>0</v>
      </c>
      <c r="BD50" s="8">
        <f>SUMIFS(jt!$M:$M,jt!$B:$B,加弹汇总表!$B50,jt!$D:$D,加弹汇总表!$C50,jt!$F:$F,加弹汇总表!$F50,jt!$O:$O,加弹汇总表!$C$1&amp;"/"&amp;加弹汇总表!$D$1&amp;"/"&amp;加弹汇总表!BD$2)</f>
        <v>0</v>
      </c>
      <c r="BE50" s="8">
        <f>SUMIFS(jt!$M:$M,jt!$B:$B,加弹汇总表!$B50,jt!$D:$D,加弹汇总表!$C50,jt!$F:$F,加弹汇总表!$F50,jt!$O:$O,加弹汇总表!$C$1&amp;"/"&amp;加弹汇总表!$D$1&amp;"/"&amp;加弹汇总表!BE$2)</f>
        <v>0</v>
      </c>
      <c r="BF50" s="8">
        <f>SUMIFS(jt!$M:$M,jt!$B:$B,加弹汇总表!$B50,jt!$D:$D,加弹汇总表!$C50,jt!$F:$F,加弹汇总表!$F50,jt!$O:$O,加弹汇总表!$C$1&amp;"/"&amp;加弹汇总表!$D$1&amp;"/"&amp;加弹汇总表!BF$2)</f>
        <v>0</v>
      </c>
      <c r="BG50" s="8">
        <f>SUMIFS(jt!$M:$M,jt!$B:$B,加弹汇总表!$B50,jt!$D:$D,加弹汇总表!$C50,jt!$F:$F,加弹汇总表!$F50,jt!$O:$O,加弹汇总表!$C$1&amp;"/"&amp;加弹汇总表!$D$1&amp;"/"&amp;加弹汇总表!BG$2)</f>
        <v>0</v>
      </c>
      <c r="BH50" s="8">
        <f>SUMIFS(jt!$M:$M,jt!$B:$B,加弹汇总表!$B50,jt!$D:$D,加弹汇总表!$C50,jt!$F:$F,加弹汇总表!$F50,jt!$O:$O,加弹汇总表!$C$1&amp;"/"&amp;加弹汇总表!$D$1&amp;"/"&amp;加弹汇总表!BH$2)</f>
        <v>0</v>
      </c>
      <c r="BI50" s="8">
        <f>SUMIFS(jt!$M:$M,jt!$B:$B,加弹汇总表!$B50,jt!$D:$D,加弹汇总表!$C50,jt!$F:$F,加弹汇总表!$F50,jt!$O:$O,加弹汇总表!$C$1&amp;"/"&amp;加弹汇总表!$D$1&amp;"/"&amp;加弹汇总表!BI$2)</f>
        <v>0</v>
      </c>
      <c r="BJ50" s="8">
        <f>SUMIFS(jt!$M:$M,jt!$B:$B,加弹汇总表!$B50,jt!$D:$D,加弹汇总表!$C50,jt!$F:$F,加弹汇总表!$F50,jt!$O:$O,加弹汇总表!$C$1&amp;"/"&amp;加弹汇总表!$D$1&amp;"/"&amp;加弹汇总表!BJ$2)</f>
        <v>0</v>
      </c>
      <c r="BK50" s="8">
        <f>SUMIFS(jt!$M:$M,jt!$B:$B,加弹汇总表!$B50,jt!$D:$D,加弹汇总表!$C50,jt!$F:$F,加弹汇总表!$F50,jt!$O:$O,加弹汇总表!$C$1&amp;"/"&amp;加弹汇总表!$D$1&amp;"/"&amp;加弹汇总表!BK$2)</f>
        <v>0</v>
      </c>
      <c r="BL50" s="8">
        <f>SUMIFS(jt!$M:$M,jt!$B:$B,加弹汇总表!$B50,jt!$D:$D,加弹汇总表!$C50,jt!$F:$F,加弹汇总表!$F50,jt!$O:$O,加弹汇总表!$C$1&amp;"/"&amp;加弹汇总表!$D$1&amp;"/"&amp;加弹汇总表!BL$2)</f>
        <v>0</v>
      </c>
      <c r="BM50" s="8">
        <f>SUMIFS(jt!$M:$M,jt!$B:$B,加弹汇总表!$B50,jt!$D:$D,加弹汇总表!$C50,jt!$F:$F,加弹汇总表!$F50,jt!$O:$O,加弹汇总表!$C$1&amp;"/"&amp;加弹汇总表!$D$1&amp;"/"&amp;加弹汇总表!BM$2)</f>
        <v>0</v>
      </c>
      <c r="BN50" s="8">
        <f>SUMIFS(jt!$M:$M,jt!$B:$B,加弹汇总表!$B50,jt!$D:$D,加弹汇总表!$C50,jt!$F:$F,加弹汇总表!$F50,jt!$O:$O,加弹汇总表!$C$1&amp;"/"&amp;加弹汇总表!$D$1&amp;"/"&amp;加弹汇总表!BN$2)</f>
        <v>0</v>
      </c>
      <c r="BO50" s="8">
        <f>SUMIFS(jt!$M:$M,jt!$B:$B,加弹汇总表!$B50,jt!$D:$D,加弹汇总表!$C50,jt!$F:$F,加弹汇总表!$F50,jt!$O:$O,加弹汇总表!$C$1&amp;"/"&amp;加弹汇总表!$D$1&amp;"/"&amp;加弹汇总表!BO$2)</f>
        <v>0</v>
      </c>
      <c r="BP50" s="8">
        <f>SUMIFS(jt!$M:$M,jt!$B:$B,加弹汇总表!$B50,jt!$D:$D,加弹汇总表!$C50,jt!$F:$F,加弹汇总表!$F50,jt!$O:$O,加弹汇总表!$C$1&amp;"/"&amp;加弹汇总表!$D$1&amp;"/"&amp;加弹汇总表!BP$2)</f>
        <v>0</v>
      </c>
      <c r="BQ50" s="8">
        <f>SUMIFS(jt!$M:$M,jt!$B:$B,加弹汇总表!$B50,jt!$D:$D,加弹汇总表!$C50,jt!$F:$F,加弹汇总表!$F50,jt!$O:$O,加弹汇总表!$C$1&amp;"/"&amp;加弹汇总表!$D$1&amp;"/"&amp;加弹汇总表!BQ$2)</f>
        <v>0</v>
      </c>
      <c r="BR50" s="8">
        <f>SUMIFS(jt!$M:$M,jt!$B:$B,加弹汇总表!$B50,jt!$D:$D,加弹汇总表!$C50,jt!$F:$F,加弹汇总表!$F50,jt!$O:$O,加弹汇总表!$C$1&amp;"/"&amp;加弹汇总表!$D$1&amp;"/"&amp;加弹汇总表!BR$2)</f>
        <v>0</v>
      </c>
      <c r="BS50" s="8">
        <f>SUMIFS(jt!$M:$M,jt!$B:$B,加弹汇总表!$B50,jt!$D:$D,加弹汇总表!$C50,jt!$F:$F,加弹汇总表!$F50,jt!$O:$O,加弹汇总表!$C$1&amp;"/"&amp;加弹汇总表!$D$1&amp;"/"&amp;加弹汇总表!BS$2)</f>
        <v>0</v>
      </c>
    </row>
    <row r="51" spans="1:71" ht="18" customHeight="1">
      <c r="A51" s="250" t="str">
        <f t="shared" si="4"/>
        <v>50D无温丝89/48白</v>
      </c>
      <c r="B51" s="14"/>
      <c r="C51" s="98" t="s">
        <v>871</v>
      </c>
      <c r="D51" s="53" t="s">
        <v>455</v>
      </c>
      <c r="E51" s="78"/>
      <c r="F51" s="53" t="s">
        <v>2</v>
      </c>
      <c r="G51" s="53" t="s">
        <v>158</v>
      </c>
      <c r="H51" s="53"/>
      <c r="I51" s="246">
        <f ca="1">IF(SUMIFS(jt!M:M,jt!A:A,加弹汇总表!A51,jt!O:O,加弹汇总表!$E$1)=0,0,SUM(AO51:BS51)/COUNTIF(AO51:BS51,"&lt;&gt;0"))</f>
        <v>0</v>
      </c>
      <c r="J51" s="53">
        <f t="shared" si="5"/>
        <v>0</v>
      </c>
      <c r="K51" s="53">
        <f t="shared" si="6"/>
        <v>0</v>
      </c>
      <c r="L51" s="53">
        <f t="shared" si="7"/>
        <v>0</v>
      </c>
      <c r="M51" s="53">
        <f t="shared" si="0"/>
        <v>0</v>
      </c>
      <c r="N51" s="53"/>
      <c r="O51" s="53">
        <f t="shared" si="15"/>
        <v>0</v>
      </c>
      <c r="P51" s="53">
        <f t="shared" si="2"/>
        <v>0</v>
      </c>
      <c r="Q51" s="53">
        <f t="shared" si="3"/>
        <v>0</v>
      </c>
      <c r="R51" s="60">
        <f>SUMIFS(jt!$K:$K,jt!$A:$A,加弹汇总表!$A51,jt!$R:$R,加弹汇总表!R$2)</f>
        <v>0</v>
      </c>
      <c r="S51" s="60">
        <f>SUMIFS(jt!$K:$K,jt!$A:$A,加弹汇总表!$A51,jt!$R:$R,加弹汇总表!S$2)</f>
        <v>0</v>
      </c>
      <c r="T51" s="60">
        <f>SUMIFS(jt!$K:$K,jt!$A:$A,加弹汇总表!$A51,jt!$R:$R,加弹汇总表!T$2)</f>
        <v>0</v>
      </c>
      <c r="U51" s="60">
        <f>SUMIFS(jt!$J:$J,jt!$A:$A,加弹汇总表!$A51,jt!$R:$R,加弹汇总表!U$2)</f>
        <v>0</v>
      </c>
      <c r="V51" s="60">
        <f>SUMIFS(jt!$J:$J,jt!$A:$A,加弹汇总表!$A51,jt!$R:$R,加弹汇总表!V$2)</f>
        <v>0</v>
      </c>
      <c r="W51" s="60">
        <f>SUMIFS(jt!$J:$J,jt!$A:$A,加弹汇总表!$A51,jt!$R:$R,加弹汇总表!W$2)</f>
        <v>0</v>
      </c>
      <c r="X51" s="61">
        <f>SUMIFS(jt!$L:$L,jt!$A:$A,加弹汇总表!$A51,jt!$R:$R,加弹汇总表!X$2)</f>
        <v>0</v>
      </c>
      <c r="Y51" s="61">
        <f>SUMIFS(jt!$L:$L,jt!$A:$A,加弹汇总表!$A51,jt!$R:$R,加弹汇总表!Y$2)</f>
        <v>0</v>
      </c>
      <c r="Z51" s="61">
        <f>SUMIFS(jt!$L:$L,jt!$A:$A,加弹汇总表!$A51,jt!$R:$R,加弹汇总表!Z$2)</f>
        <v>0</v>
      </c>
      <c r="AA51" s="62">
        <f>SUMIFS(jt!$M:$M,jt!$A:$A,加弹汇总表!$A51,jt!$R:$R,加弹汇总表!AA$2)</f>
        <v>0</v>
      </c>
      <c r="AB51" s="62">
        <f>SUMIFS(jt!$M:$M,jt!$A:$A,加弹汇总表!$A51,jt!$R:$R,加弹汇总表!AB$2)</f>
        <v>0</v>
      </c>
      <c r="AC51" s="62">
        <f>SUMIFS(jt!$M:$M,jt!$A:$A,加弹汇总表!$A51,jt!$R:$R,加弹汇总表!AC$2)</f>
        <v>0</v>
      </c>
      <c r="AD51" s="63">
        <f>SUMIFS(jt!$N:$N,jt!$A:$A,加弹汇总表!$A51,jt!$R:$R,加弹汇总表!AD$2)</f>
        <v>0</v>
      </c>
      <c r="AE51" s="63">
        <f>SUMIFS(jt!$N:$N,jt!$A:$A,加弹汇总表!$A51,jt!$R:$R,加弹汇总表!AE$2)</f>
        <v>0</v>
      </c>
      <c r="AF51" s="63">
        <f>SUMIFS(jt!$N:$N,jt!$A:$A,加弹汇总表!$A51,jt!$R:$R,加弹汇总表!AF$2)</f>
        <v>0</v>
      </c>
      <c r="AG51" s="64">
        <f>SUMIFS(jt!$M:$M,jt!$A:$A,加弹汇总表!$A51,jt!$C:$C,加弹汇总表!AG$2)</f>
        <v>0</v>
      </c>
      <c r="AH51" s="64">
        <f>SUMIFS(jt!$M:$M,jt!$A:$A,加弹汇总表!$A51,jt!$C:$C,加弹汇总表!AH$2)</f>
        <v>0</v>
      </c>
      <c r="AI51" s="64">
        <f>SUMIFS(jt!$M:$M,jt!$A:$A,加弹汇总表!$A51,jt!$C:$C,加弹汇总表!AI$2)</f>
        <v>0</v>
      </c>
      <c r="AJ51" s="64">
        <f>SUMIFS(jt!$M:$M,jt!$A:$A,加弹汇总表!$A51,jt!$C:$C,加弹汇总表!AJ$2)</f>
        <v>0</v>
      </c>
      <c r="AK51" s="64">
        <f>SUMIFS(jt!$M:$M,jt!$A:$A,加弹汇总表!$A51,jt!$C:$C,加弹汇总表!AK$2)</f>
        <v>0</v>
      </c>
      <c r="AL51" s="64">
        <f>SUMIFS(jt!$M:$M,jt!$A:$A,加弹汇总表!$A51,jt!$C:$C,加弹汇总表!AL$2)</f>
        <v>0</v>
      </c>
      <c r="AM51" s="64">
        <f>SUMIFS(jt!$M:$M,jt!$A:$A,加弹汇总表!$A51,jt!$C:$C,加弹汇总表!AM$2)</f>
        <v>0</v>
      </c>
      <c r="AN51" s="80">
        <f>SUMIFS(jt!$M:$M,jt!$A:$A,加弹汇总表!$A51,jt!$C:$C,加弹汇总表!AN$2)</f>
        <v>0</v>
      </c>
      <c r="AO51" s="8">
        <f>SUMIFS(jt!$M:$M,jt!$B:$B,加弹汇总表!$B51,jt!$D:$D,加弹汇总表!$C51,jt!$F:$F,加弹汇总表!$F51,jt!$O:$O,加弹汇总表!$C$1&amp;"/"&amp;加弹汇总表!$D$1&amp;"/"&amp;加弹汇总表!AO$2)</f>
        <v>0</v>
      </c>
      <c r="AP51" s="8">
        <f>SUMIFS(jt!$M:$M,jt!$B:$B,加弹汇总表!$B51,jt!$D:$D,加弹汇总表!$C51,jt!$F:$F,加弹汇总表!$F51,jt!$O:$O,加弹汇总表!$C$1&amp;"/"&amp;加弹汇总表!$D$1&amp;"/"&amp;加弹汇总表!AP$2)</f>
        <v>0</v>
      </c>
      <c r="AQ51" s="8">
        <f>SUMIFS(jt!$M:$M,jt!$B:$B,加弹汇总表!$B51,jt!$D:$D,加弹汇总表!$C51,jt!$F:$F,加弹汇总表!$F51,jt!$O:$O,加弹汇总表!$C$1&amp;"/"&amp;加弹汇总表!$D$1&amp;"/"&amp;加弹汇总表!AQ$2)</f>
        <v>0</v>
      </c>
      <c r="AR51" s="8">
        <f>SUMIFS(jt!$M:$M,jt!$B:$B,加弹汇总表!$B51,jt!$D:$D,加弹汇总表!$C51,jt!$F:$F,加弹汇总表!$F51,jt!$O:$O,加弹汇总表!$C$1&amp;"/"&amp;加弹汇总表!$D$1&amp;"/"&amp;加弹汇总表!AR$2)</f>
        <v>0</v>
      </c>
      <c r="AS51" s="8">
        <f>SUMIFS(jt!$M:$M,jt!$B:$B,加弹汇总表!$B51,jt!$D:$D,加弹汇总表!$C51,jt!$F:$F,加弹汇总表!$F51,jt!$O:$O,加弹汇总表!$C$1&amp;"/"&amp;加弹汇总表!$D$1&amp;"/"&amp;加弹汇总表!AS$2)</f>
        <v>0</v>
      </c>
      <c r="AT51" s="8">
        <f>SUMIFS(jt!$M:$M,jt!$B:$B,加弹汇总表!$B51,jt!$D:$D,加弹汇总表!$C51,jt!$F:$F,加弹汇总表!$F51,jt!$O:$O,加弹汇总表!$C$1&amp;"/"&amp;加弹汇总表!$D$1&amp;"/"&amp;加弹汇总表!AT$2)</f>
        <v>0</v>
      </c>
      <c r="AU51" s="8">
        <f>SUMIFS(jt!$M:$M,jt!$B:$B,加弹汇总表!$B51,jt!$D:$D,加弹汇总表!$C51,jt!$F:$F,加弹汇总表!$F51,jt!$O:$O,加弹汇总表!$C$1&amp;"/"&amp;加弹汇总表!$D$1&amp;"/"&amp;加弹汇总表!AU$2)</f>
        <v>0</v>
      </c>
      <c r="AV51" s="8">
        <f>SUMIFS(jt!$M:$M,jt!$B:$B,加弹汇总表!$B51,jt!$D:$D,加弹汇总表!$C51,jt!$F:$F,加弹汇总表!$F51,jt!$O:$O,加弹汇总表!$C$1&amp;"/"&amp;加弹汇总表!$D$1&amp;"/"&amp;加弹汇总表!AV$2)</f>
        <v>0</v>
      </c>
      <c r="AW51" s="8">
        <f>SUMIFS(jt!$M:$M,jt!$B:$B,加弹汇总表!$B51,jt!$D:$D,加弹汇总表!$C51,jt!$F:$F,加弹汇总表!$F51,jt!$O:$O,加弹汇总表!$C$1&amp;"/"&amp;加弹汇总表!$D$1&amp;"/"&amp;加弹汇总表!AW$2)</f>
        <v>0</v>
      </c>
      <c r="AX51" s="8">
        <f>SUMIFS(jt!$M:$M,jt!$B:$B,加弹汇总表!$B51,jt!$D:$D,加弹汇总表!$C51,jt!$F:$F,加弹汇总表!$F51,jt!$O:$O,加弹汇总表!$C$1&amp;"/"&amp;加弹汇总表!$D$1&amp;"/"&amp;加弹汇总表!AX$2)</f>
        <v>0</v>
      </c>
      <c r="AY51" s="8">
        <f>SUMIFS(jt!$M:$M,jt!$B:$B,加弹汇总表!$B51,jt!$D:$D,加弹汇总表!$C51,jt!$F:$F,加弹汇总表!$F51,jt!$O:$O,加弹汇总表!$C$1&amp;"/"&amp;加弹汇总表!$D$1&amp;"/"&amp;加弹汇总表!AY$2)</f>
        <v>0</v>
      </c>
      <c r="AZ51" s="8">
        <f>SUMIFS(jt!$M:$M,jt!$B:$B,加弹汇总表!$B51,jt!$D:$D,加弹汇总表!$C51,jt!$F:$F,加弹汇总表!$F51,jt!$O:$O,加弹汇总表!$C$1&amp;"/"&amp;加弹汇总表!$D$1&amp;"/"&amp;加弹汇总表!AZ$2)</f>
        <v>0</v>
      </c>
      <c r="BA51" s="8">
        <f>SUMIFS(jt!$M:$M,jt!$B:$B,加弹汇总表!$B51,jt!$D:$D,加弹汇总表!$C51,jt!$F:$F,加弹汇总表!$F51,jt!$O:$O,加弹汇总表!$C$1&amp;"/"&amp;加弹汇总表!$D$1&amp;"/"&amp;加弹汇总表!BA$2)</f>
        <v>0</v>
      </c>
      <c r="BB51" s="8">
        <f>SUMIFS(jt!$M:$M,jt!$B:$B,加弹汇总表!$B51,jt!$D:$D,加弹汇总表!$C51,jt!$F:$F,加弹汇总表!$F51,jt!$O:$O,加弹汇总表!$C$1&amp;"/"&amp;加弹汇总表!$D$1&amp;"/"&amp;加弹汇总表!BB$2)</f>
        <v>0</v>
      </c>
      <c r="BC51" s="8">
        <f>SUMIFS(jt!$M:$M,jt!$B:$B,加弹汇总表!$B51,jt!$D:$D,加弹汇总表!$C51,jt!$F:$F,加弹汇总表!$F51,jt!$O:$O,加弹汇总表!$C$1&amp;"/"&amp;加弹汇总表!$D$1&amp;"/"&amp;加弹汇总表!BC$2)</f>
        <v>0</v>
      </c>
      <c r="BD51" s="8">
        <f>SUMIFS(jt!$M:$M,jt!$B:$B,加弹汇总表!$B51,jt!$D:$D,加弹汇总表!$C51,jt!$F:$F,加弹汇总表!$F51,jt!$O:$O,加弹汇总表!$C$1&amp;"/"&amp;加弹汇总表!$D$1&amp;"/"&amp;加弹汇总表!BD$2)</f>
        <v>0</v>
      </c>
      <c r="BE51" s="8">
        <f>SUMIFS(jt!$M:$M,jt!$B:$B,加弹汇总表!$B51,jt!$D:$D,加弹汇总表!$C51,jt!$F:$F,加弹汇总表!$F51,jt!$O:$O,加弹汇总表!$C$1&amp;"/"&amp;加弹汇总表!$D$1&amp;"/"&amp;加弹汇总表!BE$2)</f>
        <v>0</v>
      </c>
      <c r="BF51" s="8">
        <f>SUMIFS(jt!$M:$M,jt!$B:$B,加弹汇总表!$B51,jt!$D:$D,加弹汇总表!$C51,jt!$F:$F,加弹汇总表!$F51,jt!$O:$O,加弹汇总表!$C$1&amp;"/"&amp;加弹汇总表!$D$1&amp;"/"&amp;加弹汇总表!BF$2)</f>
        <v>0</v>
      </c>
      <c r="BG51" s="8">
        <f>SUMIFS(jt!$M:$M,jt!$B:$B,加弹汇总表!$B51,jt!$D:$D,加弹汇总表!$C51,jt!$F:$F,加弹汇总表!$F51,jt!$O:$O,加弹汇总表!$C$1&amp;"/"&amp;加弹汇总表!$D$1&amp;"/"&amp;加弹汇总表!BG$2)</f>
        <v>0</v>
      </c>
      <c r="BH51" s="8">
        <f>SUMIFS(jt!$M:$M,jt!$B:$B,加弹汇总表!$B51,jt!$D:$D,加弹汇总表!$C51,jt!$F:$F,加弹汇总表!$F51,jt!$O:$O,加弹汇总表!$C$1&amp;"/"&amp;加弹汇总表!$D$1&amp;"/"&amp;加弹汇总表!BH$2)</f>
        <v>0</v>
      </c>
      <c r="BI51" s="8">
        <f>SUMIFS(jt!$M:$M,jt!$B:$B,加弹汇总表!$B51,jt!$D:$D,加弹汇总表!$C51,jt!$F:$F,加弹汇总表!$F51,jt!$O:$O,加弹汇总表!$C$1&amp;"/"&amp;加弹汇总表!$D$1&amp;"/"&amp;加弹汇总表!BI$2)</f>
        <v>0</v>
      </c>
      <c r="BJ51" s="8">
        <f>SUMIFS(jt!$M:$M,jt!$B:$B,加弹汇总表!$B51,jt!$D:$D,加弹汇总表!$C51,jt!$F:$F,加弹汇总表!$F51,jt!$O:$O,加弹汇总表!$C$1&amp;"/"&amp;加弹汇总表!$D$1&amp;"/"&amp;加弹汇总表!BJ$2)</f>
        <v>0</v>
      </c>
      <c r="BK51" s="8">
        <f>SUMIFS(jt!$M:$M,jt!$B:$B,加弹汇总表!$B51,jt!$D:$D,加弹汇总表!$C51,jt!$F:$F,加弹汇总表!$F51,jt!$O:$O,加弹汇总表!$C$1&amp;"/"&amp;加弹汇总表!$D$1&amp;"/"&amp;加弹汇总表!BK$2)</f>
        <v>0</v>
      </c>
      <c r="BL51" s="8">
        <f>SUMIFS(jt!$M:$M,jt!$B:$B,加弹汇总表!$B51,jt!$D:$D,加弹汇总表!$C51,jt!$F:$F,加弹汇总表!$F51,jt!$O:$O,加弹汇总表!$C$1&amp;"/"&amp;加弹汇总表!$D$1&amp;"/"&amp;加弹汇总表!BL$2)</f>
        <v>0</v>
      </c>
      <c r="BM51" s="8">
        <f>SUMIFS(jt!$M:$M,jt!$B:$B,加弹汇总表!$B51,jt!$D:$D,加弹汇总表!$C51,jt!$F:$F,加弹汇总表!$F51,jt!$O:$O,加弹汇总表!$C$1&amp;"/"&amp;加弹汇总表!$D$1&amp;"/"&amp;加弹汇总表!BM$2)</f>
        <v>0</v>
      </c>
      <c r="BN51" s="8">
        <f>SUMIFS(jt!$M:$M,jt!$B:$B,加弹汇总表!$B51,jt!$D:$D,加弹汇总表!$C51,jt!$F:$F,加弹汇总表!$F51,jt!$O:$O,加弹汇总表!$C$1&amp;"/"&amp;加弹汇总表!$D$1&amp;"/"&amp;加弹汇总表!BN$2)</f>
        <v>0</v>
      </c>
      <c r="BO51" s="8">
        <f>SUMIFS(jt!$M:$M,jt!$B:$B,加弹汇总表!$B51,jt!$D:$D,加弹汇总表!$C51,jt!$F:$F,加弹汇总表!$F51,jt!$O:$O,加弹汇总表!$C$1&amp;"/"&amp;加弹汇总表!$D$1&amp;"/"&amp;加弹汇总表!BO$2)</f>
        <v>0</v>
      </c>
      <c r="BP51" s="8">
        <f>SUMIFS(jt!$M:$M,jt!$B:$B,加弹汇总表!$B51,jt!$D:$D,加弹汇总表!$C51,jt!$F:$F,加弹汇总表!$F51,jt!$O:$O,加弹汇总表!$C$1&amp;"/"&amp;加弹汇总表!$D$1&amp;"/"&amp;加弹汇总表!BP$2)</f>
        <v>0</v>
      </c>
      <c r="BQ51" s="8">
        <f>SUMIFS(jt!$M:$M,jt!$B:$B,加弹汇总表!$B51,jt!$D:$D,加弹汇总表!$C51,jt!$F:$F,加弹汇总表!$F51,jt!$O:$O,加弹汇总表!$C$1&amp;"/"&amp;加弹汇总表!$D$1&amp;"/"&amp;加弹汇总表!BQ$2)</f>
        <v>0</v>
      </c>
      <c r="BR51" s="8">
        <f>SUMIFS(jt!$M:$M,jt!$B:$B,加弹汇总表!$B51,jt!$D:$D,加弹汇总表!$C51,jt!$F:$F,加弹汇总表!$F51,jt!$O:$O,加弹汇总表!$C$1&amp;"/"&amp;加弹汇总表!$D$1&amp;"/"&amp;加弹汇总表!BR$2)</f>
        <v>0</v>
      </c>
      <c r="BS51" s="8">
        <f>SUMIFS(jt!$M:$M,jt!$B:$B,加弹汇总表!$B51,jt!$D:$D,加弹汇总表!$C51,jt!$F:$F,加弹汇总表!$F51,jt!$O:$O,加弹汇总表!$C$1&amp;"/"&amp;加弹汇总表!$D$1&amp;"/"&amp;加弹汇总表!BS$2)</f>
        <v>0</v>
      </c>
    </row>
    <row r="52" spans="1:71" ht="18" customHeight="1">
      <c r="A52" s="250" t="str">
        <f t="shared" si="4"/>
        <v>S2132575D 175度高温丝130/48白高温园机</v>
      </c>
      <c r="B52" s="14" t="s">
        <v>384</v>
      </c>
      <c r="C52" s="250" t="s">
        <v>872</v>
      </c>
      <c r="D52" s="53" t="s">
        <v>381</v>
      </c>
      <c r="E52" s="78">
        <v>75</v>
      </c>
      <c r="F52" s="246" t="s">
        <v>3126</v>
      </c>
      <c r="G52" s="53" t="s">
        <v>146</v>
      </c>
      <c r="H52" s="246" t="s">
        <v>3128</v>
      </c>
      <c r="I52" s="246">
        <f ca="1">IF(SUMIFS(jt!M:M,jt!A:A,加弹汇总表!A52,jt!O:O,加弹汇总表!$E$1)=0,0,SUM(AO52:BS52)/COUNTIF(AO52:BS52,"&lt;&gt;0"))</f>
        <v>0</v>
      </c>
      <c r="J52" s="53">
        <f t="shared" si="5"/>
        <v>0</v>
      </c>
      <c r="K52" s="53">
        <f t="shared" si="6"/>
        <v>0</v>
      </c>
      <c r="L52" s="53">
        <f t="shared" si="7"/>
        <v>0</v>
      </c>
      <c r="M52" s="53">
        <f t="shared" si="0"/>
        <v>0</v>
      </c>
      <c r="N52" s="53"/>
      <c r="O52" s="53">
        <f t="shared" si="15"/>
        <v>0</v>
      </c>
      <c r="P52" s="53">
        <f t="shared" si="2"/>
        <v>0</v>
      </c>
      <c r="Q52" s="53">
        <f t="shared" si="3"/>
        <v>0</v>
      </c>
      <c r="R52" s="60">
        <f>SUMIFS(jt!$K:$K,jt!$A:$A,加弹汇总表!$A52,jt!$R:$R,加弹汇总表!R$2)</f>
        <v>0</v>
      </c>
      <c r="S52" s="60">
        <f>SUMIFS(jt!$K:$K,jt!$A:$A,加弹汇总表!$A52,jt!$R:$R,加弹汇总表!S$2)</f>
        <v>0</v>
      </c>
      <c r="T52" s="60">
        <f>SUMIFS(jt!$K:$K,jt!$A:$A,加弹汇总表!$A52,jt!$R:$R,加弹汇总表!T$2)</f>
        <v>0</v>
      </c>
      <c r="U52" s="60">
        <f>SUMIFS(jt!$J:$J,jt!$A:$A,加弹汇总表!$A52,jt!$R:$R,加弹汇总表!U$2)</f>
        <v>0</v>
      </c>
      <c r="V52" s="60">
        <f>SUMIFS(jt!$J:$J,jt!$A:$A,加弹汇总表!$A52,jt!$R:$R,加弹汇总表!V$2)</f>
        <v>0</v>
      </c>
      <c r="W52" s="60">
        <f>SUMIFS(jt!$J:$J,jt!$A:$A,加弹汇总表!$A52,jt!$R:$R,加弹汇总表!W$2)</f>
        <v>0</v>
      </c>
      <c r="X52" s="61">
        <f>SUMIFS(jt!$L:$L,jt!$A:$A,加弹汇总表!$A52,jt!$R:$R,加弹汇总表!X$2)</f>
        <v>0</v>
      </c>
      <c r="Y52" s="61">
        <f>SUMIFS(jt!$L:$L,jt!$A:$A,加弹汇总表!$A52,jt!$R:$R,加弹汇总表!Y$2)</f>
        <v>0</v>
      </c>
      <c r="Z52" s="61">
        <f>SUMIFS(jt!$L:$L,jt!$A:$A,加弹汇总表!$A52,jt!$R:$R,加弹汇总表!Z$2)</f>
        <v>0</v>
      </c>
      <c r="AA52" s="62">
        <f>SUMIFS(jt!$M:$M,jt!$A:$A,加弹汇总表!$A52,jt!$R:$R,加弹汇总表!AA$2)</f>
        <v>0</v>
      </c>
      <c r="AB52" s="62">
        <f>SUMIFS(jt!$M:$M,jt!$A:$A,加弹汇总表!$A52,jt!$R:$R,加弹汇总表!AB$2)</f>
        <v>0</v>
      </c>
      <c r="AC52" s="62">
        <f>SUMIFS(jt!$M:$M,jt!$A:$A,加弹汇总表!$A52,jt!$R:$R,加弹汇总表!AC$2)</f>
        <v>0</v>
      </c>
      <c r="AD52" s="63">
        <f>SUMIFS(jt!$N:$N,jt!$A:$A,加弹汇总表!$A52,jt!$R:$R,加弹汇总表!AD$2)</f>
        <v>0</v>
      </c>
      <c r="AE52" s="63">
        <f>SUMIFS(jt!$N:$N,jt!$A:$A,加弹汇总表!$A52,jt!$R:$R,加弹汇总表!AE$2)</f>
        <v>0</v>
      </c>
      <c r="AF52" s="63">
        <f>SUMIFS(jt!$N:$N,jt!$A:$A,加弹汇总表!$A52,jt!$R:$R,加弹汇总表!AF$2)</f>
        <v>0</v>
      </c>
      <c r="AG52" s="64">
        <f>SUMIFS(jt!$M:$M,jt!$A:$A,加弹汇总表!$A52,jt!$C:$C,加弹汇总表!AG$2)</f>
        <v>0</v>
      </c>
      <c r="AH52" s="64">
        <f>SUMIFS(jt!$M:$M,jt!$A:$A,加弹汇总表!$A52,jt!$C:$C,加弹汇总表!AH$2)</f>
        <v>0</v>
      </c>
      <c r="AI52" s="64">
        <f>SUMIFS(jt!$M:$M,jt!$A:$A,加弹汇总表!$A52,jt!$C:$C,加弹汇总表!AI$2)</f>
        <v>0</v>
      </c>
      <c r="AJ52" s="64">
        <f>SUMIFS(jt!$M:$M,jt!$A:$A,加弹汇总表!$A52,jt!$C:$C,加弹汇总表!AJ$2)</f>
        <v>0</v>
      </c>
      <c r="AK52" s="64">
        <f>SUMIFS(jt!$M:$M,jt!$A:$A,加弹汇总表!$A52,jt!$C:$C,加弹汇总表!AK$2)</f>
        <v>0</v>
      </c>
      <c r="AL52" s="64">
        <f>SUMIFS(jt!$M:$M,jt!$A:$A,加弹汇总表!$A52,jt!$C:$C,加弹汇总表!AL$2)</f>
        <v>0</v>
      </c>
      <c r="AM52" s="64">
        <f>SUMIFS(jt!$M:$M,jt!$A:$A,加弹汇总表!$A52,jt!$C:$C,加弹汇总表!AM$2)</f>
        <v>0</v>
      </c>
      <c r="AN52" s="80">
        <f>SUMIFS(jt!$M:$M,jt!$A:$A,加弹汇总表!$A52,jt!$C:$C,加弹汇总表!AN$2)</f>
        <v>0</v>
      </c>
      <c r="AO52" s="8">
        <f>SUMIFS(jt!$M:$M,jt!$B:$B,加弹汇总表!$B52,jt!$D:$D,加弹汇总表!$C52,jt!$F:$F,加弹汇总表!$F52,jt!$O:$O,加弹汇总表!$C$1&amp;"/"&amp;加弹汇总表!$D$1&amp;"/"&amp;加弹汇总表!AO$2)</f>
        <v>0</v>
      </c>
      <c r="AP52" s="8">
        <f>SUMIFS(jt!$M:$M,jt!$B:$B,加弹汇总表!$B52,jt!$D:$D,加弹汇总表!$C52,jt!$F:$F,加弹汇总表!$F52,jt!$O:$O,加弹汇总表!$C$1&amp;"/"&amp;加弹汇总表!$D$1&amp;"/"&amp;加弹汇总表!AP$2)</f>
        <v>0</v>
      </c>
      <c r="AQ52" s="8">
        <f>SUMIFS(jt!$M:$M,jt!$B:$B,加弹汇总表!$B52,jt!$D:$D,加弹汇总表!$C52,jt!$F:$F,加弹汇总表!$F52,jt!$O:$O,加弹汇总表!$C$1&amp;"/"&amp;加弹汇总表!$D$1&amp;"/"&amp;加弹汇总表!AQ$2)</f>
        <v>0</v>
      </c>
      <c r="AR52" s="8">
        <f>SUMIFS(jt!$M:$M,jt!$B:$B,加弹汇总表!$B52,jt!$D:$D,加弹汇总表!$C52,jt!$F:$F,加弹汇总表!$F52,jt!$O:$O,加弹汇总表!$C$1&amp;"/"&amp;加弹汇总表!$D$1&amp;"/"&amp;加弹汇总表!AR$2)</f>
        <v>0</v>
      </c>
      <c r="AS52" s="8">
        <f>SUMIFS(jt!$M:$M,jt!$B:$B,加弹汇总表!$B52,jt!$D:$D,加弹汇总表!$C52,jt!$F:$F,加弹汇总表!$F52,jt!$O:$O,加弹汇总表!$C$1&amp;"/"&amp;加弹汇总表!$D$1&amp;"/"&amp;加弹汇总表!AS$2)</f>
        <v>580</v>
      </c>
      <c r="AT52" s="8">
        <f>SUMIFS(jt!$M:$M,jt!$B:$B,加弹汇总表!$B52,jt!$D:$D,加弹汇总表!$C52,jt!$F:$F,加弹汇总表!$F52,jt!$O:$O,加弹汇总表!$C$1&amp;"/"&amp;加弹汇总表!$D$1&amp;"/"&amp;加弹汇总表!AT$2)</f>
        <v>0</v>
      </c>
      <c r="AU52" s="8">
        <f>SUMIFS(jt!$M:$M,jt!$B:$B,加弹汇总表!$B52,jt!$D:$D,加弹汇总表!$C52,jt!$F:$F,加弹汇总表!$F52,jt!$O:$O,加弹汇总表!$C$1&amp;"/"&amp;加弹汇总表!$D$1&amp;"/"&amp;加弹汇总表!AU$2)</f>
        <v>0</v>
      </c>
      <c r="AV52" s="8">
        <f>SUMIFS(jt!$M:$M,jt!$B:$B,加弹汇总表!$B52,jt!$D:$D,加弹汇总表!$C52,jt!$F:$F,加弹汇总表!$F52,jt!$O:$O,加弹汇总表!$C$1&amp;"/"&amp;加弹汇总表!$D$1&amp;"/"&amp;加弹汇总表!AV$2)</f>
        <v>0</v>
      </c>
      <c r="AW52" s="8">
        <f>SUMIFS(jt!$M:$M,jt!$B:$B,加弹汇总表!$B52,jt!$D:$D,加弹汇总表!$C52,jt!$F:$F,加弹汇总表!$F52,jt!$O:$O,加弹汇总表!$C$1&amp;"/"&amp;加弹汇总表!$D$1&amp;"/"&amp;加弹汇总表!AW$2)</f>
        <v>0</v>
      </c>
      <c r="AX52" s="8">
        <f>SUMIFS(jt!$M:$M,jt!$B:$B,加弹汇总表!$B52,jt!$D:$D,加弹汇总表!$C52,jt!$F:$F,加弹汇总表!$F52,jt!$O:$O,加弹汇总表!$C$1&amp;"/"&amp;加弹汇总表!$D$1&amp;"/"&amp;加弹汇总表!AX$2)</f>
        <v>0</v>
      </c>
      <c r="AY52" s="8">
        <f>SUMIFS(jt!$M:$M,jt!$B:$B,加弹汇总表!$B52,jt!$D:$D,加弹汇总表!$C52,jt!$F:$F,加弹汇总表!$F52,jt!$O:$O,加弹汇总表!$C$1&amp;"/"&amp;加弹汇总表!$D$1&amp;"/"&amp;加弹汇总表!AY$2)</f>
        <v>0</v>
      </c>
      <c r="AZ52" s="8">
        <f>SUMIFS(jt!$M:$M,jt!$B:$B,加弹汇总表!$B52,jt!$D:$D,加弹汇总表!$C52,jt!$F:$F,加弹汇总表!$F52,jt!$O:$O,加弹汇总表!$C$1&amp;"/"&amp;加弹汇总表!$D$1&amp;"/"&amp;加弹汇总表!AZ$2)</f>
        <v>0</v>
      </c>
      <c r="BA52" s="8">
        <f>SUMIFS(jt!$M:$M,jt!$B:$B,加弹汇总表!$B52,jt!$D:$D,加弹汇总表!$C52,jt!$F:$F,加弹汇总表!$F52,jt!$O:$O,加弹汇总表!$C$1&amp;"/"&amp;加弹汇总表!$D$1&amp;"/"&amp;加弹汇总表!BA$2)</f>
        <v>0</v>
      </c>
      <c r="BB52" s="8">
        <f>SUMIFS(jt!$M:$M,jt!$B:$B,加弹汇总表!$B52,jt!$D:$D,加弹汇总表!$C52,jt!$F:$F,加弹汇总表!$F52,jt!$O:$O,加弹汇总表!$C$1&amp;"/"&amp;加弹汇总表!$D$1&amp;"/"&amp;加弹汇总表!BB$2)</f>
        <v>0</v>
      </c>
      <c r="BC52" s="8">
        <f>SUMIFS(jt!$M:$M,jt!$B:$B,加弹汇总表!$B52,jt!$D:$D,加弹汇总表!$C52,jt!$F:$F,加弹汇总表!$F52,jt!$O:$O,加弹汇总表!$C$1&amp;"/"&amp;加弹汇总表!$D$1&amp;"/"&amp;加弹汇总表!BC$2)</f>
        <v>0</v>
      </c>
      <c r="BD52" s="8">
        <f>SUMIFS(jt!$M:$M,jt!$B:$B,加弹汇总表!$B52,jt!$D:$D,加弹汇总表!$C52,jt!$F:$F,加弹汇总表!$F52,jt!$O:$O,加弹汇总表!$C$1&amp;"/"&amp;加弹汇总表!$D$1&amp;"/"&amp;加弹汇总表!BD$2)</f>
        <v>0</v>
      </c>
      <c r="BE52" s="8">
        <f>SUMIFS(jt!$M:$M,jt!$B:$B,加弹汇总表!$B52,jt!$D:$D,加弹汇总表!$C52,jt!$F:$F,加弹汇总表!$F52,jt!$O:$O,加弹汇总表!$C$1&amp;"/"&amp;加弹汇总表!$D$1&amp;"/"&amp;加弹汇总表!BE$2)</f>
        <v>0</v>
      </c>
      <c r="BF52" s="8">
        <f>SUMIFS(jt!$M:$M,jt!$B:$B,加弹汇总表!$B52,jt!$D:$D,加弹汇总表!$C52,jt!$F:$F,加弹汇总表!$F52,jt!$O:$O,加弹汇总表!$C$1&amp;"/"&amp;加弹汇总表!$D$1&amp;"/"&amp;加弹汇总表!BF$2)</f>
        <v>0</v>
      </c>
      <c r="BG52" s="8">
        <f>SUMIFS(jt!$M:$M,jt!$B:$B,加弹汇总表!$B52,jt!$D:$D,加弹汇总表!$C52,jt!$F:$F,加弹汇总表!$F52,jt!$O:$O,加弹汇总表!$C$1&amp;"/"&amp;加弹汇总表!$D$1&amp;"/"&amp;加弹汇总表!BG$2)</f>
        <v>0</v>
      </c>
      <c r="BH52" s="8">
        <f>SUMIFS(jt!$M:$M,jt!$B:$B,加弹汇总表!$B52,jt!$D:$D,加弹汇总表!$C52,jt!$F:$F,加弹汇总表!$F52,jt!$O:$O,加弹汇总表!$C$1&amp;"/"&amp;加弹汇总表!$D$1&amp;"/"&amp;加弹汇总表!BH$2)</f>
        <v>0</v>
      </c>
      <c r="BI52" s="8">
        <f>SUMIFS(jt!$M:$M,jt!$B:$B,加弹汇总表!$B52,jt!$D:$D,加弹汇总表!$C52,jt!$F:$F,加弹汇总表!$F52,jt!$O:$O,加弹汇总表!$C$1&amp;"/"&amp;加弹汇总表!$D$1&amp;"/"&amp;加弹汇总表!BI$2)</f>
        <v>0</v>
      </c>
      <c r="BJ52" s="8">
        <f>SUMIFS(jt!$M:$M,jt!$B:$B,加弹汇总表!$B52,jt!$D:$D,加弹汇总表!$C52,jt!$F:$F,加弹汇总表!$F52,jt!$O:$O,加弹汇总表!$C$1&amp;"/"&amp;加弹汇总表!$D$1&amp;"/"&amp;加弹汇总表!BJ$2)</f>
        <v>0</v>
      </c>
      <c r="BK52" s="8">
        <f>SUMIFS(jt!$M:$M,jt!$B:$B,加弹汇总表!$B52,jt!$D:$D,加弹汇总表!$C52,jt!$F:$F,加弹汇总表!$F52,jt!$O:$O,加弹汇总表!$C$1&amp;"/"&amp;加弹汇总表!$D$1&amp;"/"&amp;加弹汇总表!BK$2)</f>
        <v>0</v>
      </c>
      <c r="BL52" s="8">
        <f>SUMIFS(jt!$M:$M,jt!$B:$B,加弹汇总表!$B52,jt!$D:$D,加弹汇总表!$C52,jt!$F:$F,加弹汇总表!$F52,jt!$O:$O,加弹汇总表!$C$1&amp;"/"&amp;加弹汇总表!$D$1&amp;"/"&amp;加弹汇总表!BL$2)</f>
        <v>0</v>
      </c>
      <c r="BM52" s="8">
        <f>SUMIFS(jt!$M:$M,jt!$B:$B,加弹汇总表!$B52,jt!$D:$D,加弹汇总表!$C52,jt!$F:$F,加弹汇总表!$F52,jt!$O:$O,加弹汇总表!$C$1&amp;"/"&amp;加弹汇总表!$D$1&amp;"/"&amp;加弹汇总表!BM$2)</f>
        <v>0</v>
      </c>
      <c r="BN52" s="8">
        <f>SUMIFS(jt!$M:$M,jt!$B:$B,加弹汇总表!$B52,jt!$D:$D,加弹汇总表!$C52,jt!$F:$F,加弹汇总表!$F52,jt!$O:$O,加弹汇总表!$C$1&amp;"/"&amp;加弹汇总表!$D$1&amp;"/"&amp;加弹汇总表!BN$2)</f>
        <v>0</v>
      </c>
      <c r="BO52" s="8">
        <f>SUMIFS(jt!$M:$M,jt!$B:$B,加弹汇总表!$B52,jt!$D:$D,加弹汇总表!$C52,jt!$F:$F,加弹汇总表!$F52,jt!$O:$O,加弹汇总表!$C$1&amp;"/"&amp;加弹汇总表!$D$1&amp;"/"&amp;加弹汇总表!BO$2)</f>
        <v>0</v>
      </c>
      <c r="BP52" s="8">
        <f>SUMIFS(jt!$M:$M,jt!$B:$B,加弹汇总表!$B52,jt!$D:$D,加弹汇总表!$C52,jt!$F:$F,加弹汇总表!$F52,jt!$O:$O,加弹汇总表!$C$1&amp;"/"&amp;加弹汇总表!$D$1&amp;"/"&amp;加弹汇总表!BP$2)</f>
        <v>0</v>
      </c>
      <c r="BQ52" s="8">
        <f>SUMIFS(jt!$M:$M,jt!$B:$B,加弹汇总表!$B52,jt!$D:$D,加弹汇总表!$C52,jt!$F:$F,加弹汇总表!$F52,jt!$O:$O,加弹汇总表!$C$1&amp;"/"&amp;加弹汇总表!$D$1&amp;"/"&amp;加弹汇总表!BQ$2)</f>
        <v>0</v>
      </c>
      <c r="BR52" s="8">
        <f>SUMIFS(jt!$M:$M,jt!$B:$B,加弹汇总表!$B52,jt!$D:$D,加弹汇总表!$C52,jt!$F:$F,加弹汇总表!$F52,jt!$O:$O,加弹汇总表!$C$1&amp;"/"&amp;加弹汇总表!$D$1&amp;"/"&amp;加弹汇总表!BR$2)</f>
        <v>0</v>
      </c>
      <c r="BS52" s="8">
        <f>SUMIFS(jt!$M:$M,jt!$B:$B,加弹汇总表!$B52,jt!$D:$D,加弹汇总表!$C52,jt!$F:$F,加弹汇总表!$F52,jt!$O:$O,加弹汇总表!$C$1&amp;"/"&amp;加弹汇总表!$D$1&amp;"/"&amp;加弹汇总表!BS$2)</f>
        <v>0</v>
      </c>
    </row>
    <row r="53" spans="1:71" ht="18" customHeight="1">
      <c r="A53" s="250" t="str">
        <f t="shared" si="4"/>
        <v>3R0775SC盛元76/36白圆机</v>
      </c>
      <c r="B53" s="65" t="s">
        <v>895</v>
      </c>
      <c r="C53" s="65" t="s">
        <v>55</v>
      </c>
      <c r="D53" s="19" t="s">
        <v>566</v>
      </c>
      <c r="E53" s="19"/>
      <c r="F53" s="19" t="s">
        <v>2</v>
      </c>
      <c r="G53" s="19" t="s">
        <v>896</v>
      </c>
      <c r="H53" s="19" t="s">
        <v>849</v>
      </c>
      <c r="I53" s="246">
        <f ca="1">IF(SUMIFS(jt!M:M,jt!A:A,加弹汇总表!A53,jt!O:O,加弹汇总表!$E$1)=0,0,SUM(AO53:BS53)/COUNTIF(AO53:BS53,"&lt;&gt;0"))</f>
        <v>0</v>
      </c>
      <c r="J53" s="19">
        <f t="shared" si="5"/>
        <v>0</v>
      </c>
      <c r="K53" s="19">
        <f t="shared" ref="K53:K55" si="16">SUM(R53:T53)</f>
        <v>0</v>
      </c>
      <c r="L53" s="19">
        <f t="shared" si="7"/>
        <v>0</v>
      </c>
      <c r="M53" s="19">
        <f t="shared" si="0"/>
        <v>0</v>
      </c>
      <c r="N53" s="53"/>
      <c r="O53" s="53">
        <f t="shared" ref="O53:O55" si="17">SUM(X53:Z53)</f>
        <v>0</v>
      </c>
      <c r="P53" s="53">
        <f t="shared" si="2"/>
        <v>0</v>
      </c>
      <c r="Q53" s="53">
        <f t="shared" si="3"/>
        <v>0</v>
      </c>
      <c r="R53" s="60">
        <f>SUMIFS(jt!$K:$K,jt!$A:$A,加弹汇总表!$A53,jt!$R:$R,加弹汇总表!R$2)</f>
        <v>0</v>
      </c>
      <c r="S53" s="60">
        <f>SUMIFS(jt!$K:$K,jt!$A:$A,加弹汇总表!$A53,jt!$R:$R,加弹汇总表!S$2)</f>
        <v>0</v>
      </c>
      <c r="T53" s="60">
        <f>SUMIFS(jt!$K:$K,jt!$A:$A,加弹汇总表!$A53,jt!$R:$R,加弹汇总表!T$2)</f>
        <v>0</v>
      </c>
      <c r="U53" s="60">
        <f>SUMIFS(jt!$J:$J,jt!$A:$A,加弹汇总表!$A53,jt!$R:$R,加弹汇总表!U$2)</f>
        <v>0</v>
      </c>
      <c r="V53" s="60">
        <f>SUMIFS(jt!$J:$J,jt!$A:$A,加弹汇总表!$A53,jt!$R:$R,加弹汇总表!V$2)</f>
        <v>0</v>
      </c>
      <c r="W53" s="60">
        <f>SUMIFS(jt!$J:$J,jt!$A:$A,加弹汇总表!$A53,jt!$R:$R,加弹汇总表!W$2)</f>
        <v>0</v>
      </c>
      <c r="X53" s="61">
        <f>SUMIFS(jt!$L:$L,jt!$A:$A,加弹汇总表!$A53,jt!$R:$R,加弹汇总表!X$2)</f>
        <v>0</v>
      </c>
      <c r="Y53" s="61">
        <f>SUMIFS(jt!$L:$L,jt!$A:$A,加弹汇总表!$A53,jt!$R:$R,加弹汇总表!Y$2)</f>
        <v>0</v>
      </c>
      <c r="Z53" s="61">
        <f>SUMIFS(jt!$L:$L,jt!$A:$A,加弹汇总表!$A53,jt!$R:$R,加弹汇总表!Z$2)</f>
        <v>0</v>
      </c>
      <c r="AA53" s="62">
        <f>SUMIFS(jt!$M:$M,jt!$A:$A,加弹汇总表!$A53,jt!$R:$R,加弹汇总表!AA$2)</f>
        <v>0</v>
      </c>
      <c r="AB53" s="62">
        <f>SUMIFS(jt!$M:$M,jt!$A:$A,加弹汇总表!$A53,jt!$R:$R,加弹汇总表!AB$2)</f>
        <v>0</v>
      </c>
      <c r="AC53" s="62">
        <f>SUMIFS(jt!$M:$M,jt!$A:$A,加弹汇总表!$A53,jt!$R:$R,加弹汇总表!AC$2)</f>
        <v>0</v>
      </c>
      <c r="AD53" s="63">
        <f>SUMIFS(jt!$N:$N,jt!$A:$A,加弹汇总表!$A53,jt!$R:$R,加弹汇总表!AD$2)</f>
        <v>0</v>
      </c>
      <c r="AE53" s="63">
        <f>SUMIFS(jt!$N:$N,jt!$A:$A,加弹汇总表!$A53,jt!$R:$R,加弹汇总表!AE$2)</f>
        <v>0</v>
      </c>
      <c r="AF53" s="63">
        <f>SUMIFS(jt!$N:$N,jt!$A:$A,加弹汇总表!$A53,jt!$R:$R,加弹汇总表!AF$2)</f>
        <v>0</v>
      </c>
      <c r="AG53" s="64">
        <f>SUMIFS(jt!$M:$M,jt!$A:$A,加弹汇总表!$A53,jt!$C:$C,加弹汇总表!AG$2)</f>
        <v>0</v>
      </c>
      <c r="AH53" s="64">
        <f>SUMIFS(jt!$M:$M,jt!$A:$A,加弹汇总表!$A53,jt!$C:$C,加弹汇总表!AH$2)</f>
        <v>0</v>
      </c>
      <c r="AI53" s="64">
        <f>SUMIFS(jt!$M:$M,jt!$A:$A,加弹汇总表!$A53,jt!$C:$C,加弹汇总表!AI$2)</f>
        <v>0</v>
      </c>
      <c r="AJ53" s="64">
        <f>SUMIFS(jt!$M:$M,jt!$A:$A,加弹汇总表!$A53,jt!$C:$C,加弹汇总表!AJ$2)</f>
        <v>0</v>
      </c>
      <c r="AK53" s="64">
        <f>SUMIFS(jt!$M:$M,jt!$A:$A,加弹汇总表!$A53,jt!$C:$C,加弹汇总表!AK$2)</f>
        <v>0</v>
      </c>
      <c r="AL53" s="64">
        <f>SUMIFS(jt!$M:$M,jt!$A:$A,加弹汇总表!$A53,jt!$C:$C,加弹汇总表!AL$2)</f>
        <v>0</v>
      </c>
      <c r="AM53" s="64">
        <f>SUMIFS(jt!$M:$M,jt!$A:$A,加弹汇总表!$A53,jt!$C:$C,加弹汇总表!AM$2)</f>
        <v>0</v>
      </c>
      <c r="AN53" s="80">
        <f>SUMIFS(jt!$M:$M,jt!$A:$A,加弹汇总表!$A53,jt!$C:$C,加弹汇总表!AN$2)</f>
        <v>0</v>
      </c>
      <c r="AO53" s="8">
        <f>SUMIFS(jt!$M:$M,jt!$B:$B,加弹汇总表!$B53,jt!$D:$D,加弹汇总表!$C53,jt!$F:$F,加弹汇总表!$F53,jt!$O:$O,加弹汇总表!$C$1&amp;"/"&amp;加弹汇总表!$D$1&amp;"/"&amp;加弹汇总表!AO$2)</f>
        <v>0</v>
      </c>
      <c r="AP53" s="8">
        <f>SUMIFS(jt!$M:$M,jt!$B:$B,加弹汇总表!$B53,jt!$D:$D,加弹汇总表!$C53,jt!$F:$F,加弹汇总表!$F53,jt!$O:$O,加弹汇总表!$C$1&amp;"/"&amp;加弹汇总表!$D$1&amp;"/"&amp;加弹汇总表!AP$2)</f>
        <v>0</v>
      </c>
      <c r="AQ53" s="8">
        <f>SUMIFS(jt!$M:$M,jt!$B:$B,加弹汇总表!$B53,jt!$D:$D,加弹汇总表!$C53,jt!$F:$F,加弹汇总表!$F53,jt!$O:$O,加弹汇总表!$C$1&amp;"/"&amp;加弹汇总表!$D$1&amp;"/"&amp;加弹汇总表!AQ$2)</f>
        <v>0</v>
      </c>
      <c r="AR53" s="8">
        <f>SUMIFS(jt!$M:$M,jt!$B:$B,加弹汇总表!$B53,jt!$D:$D,加弹汇总表!$C53,jt!$F:$F,加弹汇总表!$F53,jt!$O:$O,加弹汇总表!$C$1&amp;"/"&amp;加弹汇总表!$D$1&amp;"/"&amp;加弹汇总表!AR$2)</f>
        <v>0</v>
      </c>
      <c r="AS53" s="8">
        <f>SUMIFS(jt!$M:$M,jt!$B:$B,加弹汇总表!$B53,jt!$D:$D,加弹汇总表!$C53,jt!$F:$F,加弹汇总表!$F53,jt!$O:$O,加弹汇总表!$C$1&amp;"/"&amp;加弹汇总表!$D$1&amp;"/"&amp;加弹汇总表!AS$2)</f>
        <v>0</v>
      </c>
      <c r="AT53" s="8">
        <f>SUMIFS(jt!$M:$M,jt!$B:$B,加弹汇总表!$B53,jt!$D:$D,加弹汇总表!$C53,jt!$F:$F,加弹汇总表!$F53,jt!$O:$O,加弹汇总表!$C$1&amp;"/"&amp;加弹汇总表!$D$1&amp;"/"&amp;加弹汇总表!AT$2)</f>
        <v>0</v>
      </c>
      <c r="AU53" s="8">
        <f>SUMIFS(jt!$M:$M,jt!$B:$B,加弹汇总表!$B53,jt!$D:$D,加弹汇总表!$C53,jt!$F:$F,加弹汇总表!$F53,jt!$O:$O,加弹汇总表!$C$1&amp;"/"&amp;加弹汇总表!$D$1&amp;"/"&amp;加弹汇总表!AU$2)</f>
        <v>0</v>
      </c>
      <c r="AV53" s="8">
        <f>SUMIFS(jt!$M:$M,jt!$B:$B,加弹汇总表!$B53,jt!$D:$D,加弹汇总表!$C53,jt!$F:$F,加弹汇总表!$F53,jt!$O:$O,加弹汇总表!$C$1&amp;"/"&amp;加弹汇总表!$D$1&amp;"/"&amp;加弹汇总表!AV$2)</f>
        <v>0</v>
      </c>
      <c r="AW53" s="8">
        <f>SUMIFS(jt!$M:$M,jt!$B:$B,加弹汇总表!$B53,jt!$D:$D,加弹汇总表!$C53,jt!$F:$F,加弹汇总表!$F53,jt!$O:$O,加弹汇总表!$C$1&amp;"/"&amp;加弹汇总表!$D$1&amp;"/"&amp;加弹汇总表!AW$2)</f>
        <v>0</v>
      </c>
      <c r="AX53" s="8">
        <f>SUMIFS(jt!$M:$M,jt!$B:$B,加弹汇总表!$B53,jt!$D:$D,加弹汇总表!$C53,jt!$F:$F,加弹汇总表!$F53,jt!$O:$O,加弹汇总表!$C$1&amp;"/"&amp;加弹汇总表!$D$1&amp;"/"&amp;加弹汇总表!AX$2)</f>
        <v>0</v>
      </c>
      <c r="AY53" s="8">
        <f>SUMIFS(jt!$M:$M,jt!$B:$B,加弹汇总表!$B53,jt!$D:$D,加弹汇总表!$C53,jt!$F:$F,加弹汇总表!$F53,jt!$O:$O,加弹汇总表!$C$1&amp;"/"&amp;加弹汇总表!$D$1&amp;"/"&amp;加弹汇总表!AY$2)</f>
        <v>0</v>
      </c>
      <c r="AZ53" s="8">
        <f>SUMIFS(jt!$M:$M,jt!$B:$B,加弹汇总表!$B53,jt!$D:$D,加弹汇总表!$C53,jt!$F:$F,加弹汇总表!$F53,jt!$O:$O,加弹汇总表!$C$1&amp;"/"&amp;加弹汇总表!$D$1&amp;"/"&amp;加弹汇总表!AZ$2)</f>
        <v>0</v>
      </c>
      <c r="BA53" s="8">
        <f>SUMIFS(jt!$M:$M,jt!$B:$B,加弹汇总表!$B53,jt!$D:$D,加弹汇总表!$C53,jt!$F:$F,加弹汇总表!$F53,jt!$O:$O,加弹汇总表!$C$1&amp;"/"&amp;加弹汇总表!$D$1&amp;"/"&amp;加弹汇总表!BA$2)</f>
        <v>0</v>
      </c>
      <c r="BB53" s="8">
        <f>SUMIFS(jt!$M:$M,jt!$B:$B,加弹汇总表!$B53,jt!$D:$D,加弹汇总表!$C53,jt!$F:$F,加弹汇总表!$F53,jt!$O:$O,加弹汇总表!$C$1&amp;"/"&amp;加弹汇总表!$D$1&amp;"/"&amp;加弹汇总表!BB$2)</f>
        <v>0</v>
      </c>
      <c r="BC53" s="8">
        <f>SUMIFS(jt!$M:$M,jt!$B:$B,加弹汇总表!$B53,jt!$D:$D,加弹汇总表!$C53,jt!$F:$F,加弹汇总表!$F53,jt!$O:$O,加弹汇总表!$C$1&amp;"/"&amp;加弹汇总表!$D$1&amp;"/"&amp;加弹汇总表!BC$2)</f>
        <v>0</v>
      </c>
      <c r="BD53" s="8">
        <f>SUMIFS(jt!$M:$M,jt!$B:$B,加弹汇总表!$B53,jt!$D:$D,加弹汇总表!$C53,jt!$F:$F,加弹汇总表!$F53,jt!$O:$O,加弹汇总表!$C$1&amp;"/"&amp;加弹汇总表!$D$1&amp;"/"&amp;加弹汇总表!BD$2)</f>
        <v>0</v>
      </c>
      <c r="BE53" s="8">
        <f>SUMIFS(jt!$M:$M,jt!$B:$B,加弹汇总表!$B53,jt!$D:$D,加弹汇总表!$C53,jt!$F:$F,加弹汇总表!$F53,jt!$O:$O,加弹汇总表!$C$1&amp;"/"&amp;加弹汇总表!$D$1&amp;"/"&amp;加弹汇总表!BE$2)</f>
        <v>0</v>
      </c>
      <c r="BF53" s="8">
        <f>SUMIFS(jt!$M:$M,jt!$B:$B,加弹汇总表!$B53,jt!$D:$D,加弹汇总表!$C53,jt!$F:$F,加弹汇总表!$F53,jt!$O:$O,加弹汇总表!$C$1&amp;"/"&amp;加弹汇总表!$D$1&amp;"/"&amp;加弹汇总表!BF$2)</f>
        <v>0</v>
      </c>
      <c r="BG53" s="8">
        <f>SUMIFS(jt!$M:$M,jt!$B:$B,加弹汇总表!$B53,jt!$D:$D,加弹汇总表!$C53,jt!$F:$F,加弹汇总表!$F53,jt!$O:$O,加弹汇总表!$C$1&amp;"/"&amp;加弹汇总表!$D$1&amp;"/"&amp;加弹汇总表!BG$2)</f>
        <v>0</v>
      </c>
      <c r="BH53" s="8">
        <f>SUMIFS(jt!$M:$M,jt!$B:$B,加弹汇总表!$B53,jt!$D:$D,加弹汇总表!$C53,jt!$F:$F,加弹汇总表!$F53,jt!$O:$O,加弹汇总表!$C$1&amp;"/"&amp;加弹汇总表!$D$1&amp;"/"&amp;加弹汇总表!BH$2)</f>
        <v>0</v>
      </c>
      <c r="BI53" s="8">
        <f>SUMIFS(jt!$M:$M,jt!$B:$B,加弹汇总表!$B53,jt!$D:$D,加弹汇总表!$C53,jt!$F:$F,加弹汇总表!$F53,jt!$O:$O,加弹汇总表!$C$1&amp;"/"&amp;加弹汇总表!$D$1&amp;"/"&amp;加弹汇总表!BI$2)</f>
        <v>0</v>
      </c>
      <c r="BJ53" s="8">
        <f>SUMIFS(jt!$M:$M,jt!$B:$B,加弹汇总表!$B53,jt!$D:$D,加弹汇总表!$C53,jt!$F:$F,加弹汇总表!$F53,jt!$O:$O,加弹汇总表!$C$1&amp;"/"&amp;加弹汇总表!$D$1&amp;"/"&amp;加弹汇总表!BJ$2)</f>
        <v>0</v>
      </c>
      <c r="BK53" s="8">
        <f>SUMIFS(jt!$M:$M,jt!$B:$B,加弹汇总表!$B53,jt!$D:$D,加弹汇总表!$C53,jt!$F:$F,加弹汇总表!$F53,jt!$O:$O,加弹汇总表!$C$1&amp;"/"&amp;加弹汇总表!$D$1&amp;"/"&amp;加弹汇总表!BK$2)</f>
        <v>0</v>
      </c>
      <c r="BL53" s="8">
        <f>SUMIFS(jt!$M:$M,jt!$B:$B,加弹汇总表!$B53,jt!$D:$D,加弹汇总表!$C53,jt!$F:$F,加弹汇总表!$F53,jt!$O:$O,加弹汇总表!$C$1&amp;"/"&amp;加弹汇总表!$D$1&amp;"/"&amp;加弹汇总表!BL$2)</f>
        <v>0</v>
      </c>
      <c r="BM53" s="8">
        <f>SUMIFS(jt!$M:$M,jt!$B:$B,加弹汇总表!$B53,jt!$D:$D,加弹汇总表!$C53,jt!$F:$F,加弹汇总表!$F53,jt!$O:$O,加弹汇总表!$C$1&amp;"/"&amp;加弹汇总表!$D$1&amp;"/"&amp;加弹汇总表!BM$2)</f>
        <v>0</v>
      </c>
      <c r="BN53" s="8">
        <f>SUMIFS(jt!$M:$M,jt!$B:$B,加弹汇总表!$B53,jt!$D:$D,加弹汇总表!$C53,jt!$F:$F,加弹汇总表!$F53,jt!$O:$O,加弹汇总表!$C$1&amp;"/"&amp;加弹汇总表!$D$1&amp;"/"&amp;加弹汇总表!BN$2)</f>
        <v>0</v>
      </c>
      <c r="BO53" s="8">
        <f>SUMIFS(jt!$M:$M,jt!$B:$B,加弹汇总表!$B53,jt!$D:$D,加弹汇总表!$C53,jt!$F:$F,加弹汇总表!$F53,jt!$O:$O,加弹汇总表!$C$1&amp;"/"&amp;加弹汇总表!$D$1&amp;"/"&amp;加弹汇总表!BO$2)</f>
        <v>0</v>
      </c>
      <c r="BP53" s="8">
        <f>SUMIFS(jt!$M:$M,jt!$B:$B,加弹汇总表!$B53,jt!$D:$D,加弹汇总表!$C53,jt!$F:$F,加弹汇总表!$F53,jt!$O:$O,加弹汇总表!$C$1&amp;"/"&amp;加弹汇总表!$D$1&amp;"/"&amp;加弹汇总表!BP$2)</f>
        <v>0</v>
      </c>
      <c r="BQ53" s="8">
        <f>SUMIFS(jt!$M:$M,jt!$B:$B,加弹汇总表!$B53,jt!$D:$D,加弹汇总表!$C53,jt!$F:$F,加弹汇总表!$F53,jt!$O:$O,加弹汇总表!$C$1&amp;"/"&amp;加弹汇总表!$D$1&amp;"/"&amp;加弹汇总表!BQ$2)</f>
        <v>0</v>
      </c>
      <c r="BR53" s="8">
        <f>SUMIFS(jt!$M:$M,jt!$B:$B,加弹汇总表!$B53,jt!$D:$D,加弹汇总表!$C53,jt!$F:$F,加弹汇总表!$F53,jt!$O:$O,加弹汇总表!$C$1&amp;"/"&amp;加弹汇总表!$D$1&amp;"/"&amp;加弹汇总表!BR$2)</f>
        <v>0</v>
      </c>
      <c r="BS53" s="8">
        <f>SUMIFS(jt!$M:$M,jt!$B:$B,加弹汇总表!$B53,jt!$D:$D,加弹汇总表!$C53,jt!$F:$F,加弹汇总表!$F53,jt!$O:$O,加弹汇总表!$C$1&amp;"/"&amp;加弹汇总表!$D$1&amp;"/"&amp;加弹汇总表!BS$2)</f>
        <v>0</v>
      </c>
    </row>
    <row r="54" spans="1:71" ht="18" customHeight="1">
      <c r="A54" s="250" t="str">
        <f t="shared" si="4"/>
        <v>S21211威尔89/48白圆机</v>
      </c>
      <c r="B54" s="65" t="s">
        <v>456</v>
      </c>
      <c r="C54" s="65" t="s">
        <v>820</v>
      </c>
      <c r="D54" s="19" t="s">
        <v>455</v>
      </c>
      <c r="E54" s="19" t="s">
        <v>1060</v>
      </c>
      <c r="F54" s="19" t="s">
        <v>2</v>
      </c>
      <c r="G54" s="19" t="s">
        <v>897</v>
      </c>
      <c r="H54" s="19" t="s">
        <v>849</v>
      </c>
      <c r="I54" s="246">
        <f ca="1">IF(SUMIFS(jt!M:M,jt!A:A,加弹汇总表!A54,jt!O:O,加弹汇总表!$E$1)=0,0,SUM(AO54:BS54)/COUNTIF(AO54:BS54,"&lt;&gt;0"))</f>
        <v>0</v>
      </c>
      <c r="J54" s="19">
        <f t="shared" si="5"/>
        <v>0</v>
      </c>
      <c r="K54" s="19">
        <f t="shared" si="16"/>
        <v>0</v>
      </c>
      <c r="L54" s="19">
        <f t="shared" si="7"/>
        <v>0</v>
      </c>
      <c r="M54" s="19">
        <f t="shared" si="0"/>
        <v>0</v>
      </c>
      <c r="N54" s="53"/>
      <c r="O54" s="53">
        <f t="shared" si="17"/>
        <v>0</v>
      </c>
      <c r="P54" s="53">
        <f t="shared" si="2"/>
        <v>0</v>
      </c>
      <c r="Q54" s="53">
        <f t="shared" si="3"/>
        <v>0</v>
      </c>
      <c r="R54" s="60">
        <f>SUMIFS(jt!$K:$K,jt!$A:$A,加弹汇总表!$A54,jt!$R:$R,加弹汇总表!R$2)</f>
        <v>0</v>
      </c>
      <c r="S54" s="60">
        <f>SUMIFS(jt!$K:$K,jt!$A:$A,加弹汇总表!$A54,jt!$R:$R,加弹汇总表!S$2)</f>
        <v>0</v>
      </c>
      <c r="T54" s="60">
        <f>SUMIFS(jt!$K:$K,jt!$A:$A,加弹汇总表!$A54,jt!$R:$R,加弹汇总表!T$2)</f>
        <v>0</v>
      </c>
      <c r="U54" s="60">
        <f>SUMIFS(jt!$J:$J,jt!$A:$A,加弹汇总表!$A54,jt!$R:$R,加弹汇总表!U$2)</f>
        <v>0</v>
      </c>
      <c r="V54" s="60">
        <f>SUMIFS(jt!$J:$J,jt!$A:$A,加弹汇总表!$A54,jt!$R:$R,加弹汇总表!V$2)</f>
        <v>0</v>
      </c>
      <c r="W54" s="60">
        <f>SUMIFS(jt!$J:$J,jt!$A:$A,加弹汇总表!$A54,jt!$R:$R,加弹汇总表!W$2)</f>
        <v>0</v>
      </c>
      <c r="X54" s="61">
        <f>SUMIFS(jt!$L:$L,jt!$A:$A,加弹汇总表!$A54,jt!$R:$R,加弹汇总表!X$2)</f>
        <v>0</v>
      </c>
      <c r="Y54" s="61">
        <f>SUMIFS(jt!$L:$L,jt!$A:$A,加弹汇总表!$A54,jt!$R:$R,加弹汇总表!Y$2)</f>
        <v>0</v>
      </c>
      <c r="Z54" s="61">
        <f>SUMIFS(jt!$L:$L,jt!$A:$A,加弹汇总表!$A54,jt!$R:$R,加弹汇总表!Z$2)</f>
        <v>0</v>
      </c>
      <c r="AA54" s="62">
        <f>SUMIFS(jt!$M:$M,jt!$A:$A,加弹汇总表!$A54,jt!$R:$R,加弹汇总表!AA$2)</f>
        <v>0</v>
      </c>
      <c r="AB54" s="62">
        <f>SUMIFS(jt!$M:$M,jt!$A:$A,加弹汇总表!$A54,jt!$R:$R,加弹汇总表!AB$2)</f>
        <v>0</v>
      </c>
      <c r="AC54" s="62">
        <f>SUMIFS(jt!$M:$M,jt!$A:$A,加弹汇总表!$A54,jt!$R:$R,加弹汇总表!AC$2)</f>
        <v>0</v>
      </c>
      <c r="AD54" s="63">
        <f>SUMIFS(jt!$N:$N,jt!$A:$A,加弹汇总表!$A54,jt!$R:$R,加弹汇总表!AD$2)</f>
        <v>0</v>
      </c>
      <c r="AE54" s="63">
        <f>SUMIFS(jt!$N:$N,jt!$A:$A,加弹汇总表!$A54,jt!$R:$R,加弹汇总表!AE$2)</f>
        <v>0</v>
      </c>
      <c r="AF54" s="63">
        <f>SUMIFS(jt!$N:$N,jt!$A:$A,加弹汇总表!$A54,jt!$R:$R,加弹汇总表!AF$2)</f>
        <v>0</v>
      </c>
      <c r="AG54" s="64">
        <f>SUMIFS(jt!$M:$M,jt!$A:$A,加弹汇总表!$A54,jt!$C:$C,加弹汇总表!AG$2)</f>
        <v>0</v>
      </c>
      <c r="AH54" s="64">
        <f>SUMIFS(jt!$M:$M,jt!$A:$A,加弹汇总表!$A54,jt!$C:$C,加弹汇总表!AH$2)</f>
        <v>0</v>
      </c>
      <c r="AI54" s="64">
        <f>SUMIFS(jt!$M:$M,jt!$A:$A,加弹汇总表!$A54,jt!$C:$C,加弹汇总表!AI$2)</f>
        <v>0</v>
      </c>
      <c r="AJ54" s="64">
        <f>SUMIFS(jt!$M:$M,jt!$A:$A,加弹汇总表!$A54,jt!$C:$C,加弹汇总表!AJ$2)</f>
        <v>0</v>
      </c>
      <c r="AK54" s="64">
        <f>SUMIFS(jt!$M:$M,jt!$A:$A,加弹汇总表!$A54,jt!$C:$C,加弹汇总表!AK$2)</f>
        <v>0</v>
      </c>
      <c r="AL54" s="64">
        <f>SUMIFS(jt!$M:$M,jt!$A:$A,加弹汇总表!$A54,jt!$C:$C,加弹汇总表!AL$2)</f>
        <v>0</v>
      </c>
      <c r="AM54" s="64">
        <f>SUMIFS(jt!$M:$M,jt!$A:$A,加弹汇总表!$A54,jt!$C:$C,加弹汇总表!AM$2)</f>
        <v>0</v>
      </c>
      <c r="AN54" s="80">
        <f>SUMIFS(jt!$M:$M,jt!$A:$A,加弹汇总表!$A54,jt!$C:$C,加弹汇总表!AN$2)</f>
        <v>0</v>
      </c>
      <c r="AO54" s="8">
        <f>SUMIFS(jt!$M:$M,jt!$B:$B,加弹汇总表!$B54,jt!$D:$D,加弹汇总表!$C54,jt!$F:$F,加弹汇总表!$F54,jt!$O:$O,加弹汇总表!$C$1&amp;"/"&amp;加弹汇总表!$D$1&amp;"/"&amp;加弹汇总表!AO$2)</f>
        <v>0</v>
      </c>
      <c r="AP54" s="8">
        <f>SUMIFS(jt!$M:$M,jt!$B:$B,加弹汇总表!$B54,jt!$D:$D,加弹汇总表!$C54,jt!$F:$F,加弹汇总表!$F54,jt!$O:$O,加弹汇总表!$C$1&amp;"/"&amp;加弹汇总表!$D$1&amp;"/"&amp;加弹汇总表!AP$2)</f>
        <v>0</v>
      </c>
      <c r="AQ54" s="8">
        <f>SUMIFS(jt!$M:$M,jt!$B:$B,加弹汇总表!$B54,jt!$D:$D,加弹汇总表!$C54,jt!$F:$F,加弹汇总表!$F54,jt!$O:$O,加弹汇总表!$C$1&amp;"/"&amp;加弹汇总表!$D$1&amp;"/"&amp;加弹汇总表!AQ$2)</f>
        <v>0</v>
      </c>
      <c r="AR54" s="8">
        <f>SUMIFS(jt!$M:$M,jt!$B:$B,加弹汇总表!$B54,jt!$D:$D,加弹汇总表!$C54,jt!$F:$F,加弹汇总表!$F54,jt!$O:$O,加弹汇总表!$C$1&amp;"/"&amp;加弹汇总表!$D$1&amp;"/"&amp;加弹汇总表!AR$2)</f>
        <v>0</v>
      </c>
      <c r="AS54" s="8">
        <f>SUMIFS(jt!$M:$M,jt!$B:$B,加弹汇总表!$B54,jt!$D:$D,加弹汇总表!$C54,jt!$F:$F,加弹汇总表!$F54,jt!$O:$O,加弹汇总表!$C$1&amp;"/"&amp;加弹汇总表!$D$1&amp;"/"&amp;加弹汇总表!AS$2)</f>
        <v>0</v>
      </c>
      <c r="AT54" s="8">
        <f>SUMIFS(jt!$M:$M,jt!$B:$B,加弹汇总表!$B54,jt!$D:$D,加弹汇总表!$C54,jt!$F:$F,加弹汇总表!$F54,jt!$O:$O,加弹汇总表!$C$1&amp;"/"&amp;加弹汇总表!$D$1&amp;"/"&amp;加弹汇总表!AT$2)</f>
        <v>0</v>
      </c>
      <c r="AU54" s="8">
        <f>SUMIFS(jt!$M:$M,jt!$B:$B,加弹汇总表!$B54,jt!$D:$D,加弹汇总表!$C54,jt!$F:$F,加弹汇总表!$F54,jt!$O:$O,加弹汇总表!$C$1&amp;"/"&amp;加弹汇总表!$D$1&amp;"/"&amp;加弹汇总表!AU$2)</f>
        <v>0</v>
      </c>
      <c r="AV54" s="8">
        <f>SUMIFS(jt!$M:$M,jt!$B:$B,加弹汇总表!$B54,jt!$D:$D,加弹汇总表!$C54,jt!$F:$F,加弹汇总表!$F54,jt!$O:$O,加弹汇总表!$C$1&amp;"/"&amp;加弹汇总表!$D$1&amp;"/"&amp;加弹汇总表!AV$2)</f>
        <v>0</v>
      </c>
      <c r="AW54" s="8">
        <f>SUMIFS(jt!$M:$M,jt!$B:$B,加弹汇总表!$B54,jt!$D:$D,加弹汇总表!$C54,jt!$F:$F,加弹汇总表!$F54,jt!$O:$O,加弹汇总表!$C$1&amp;"/"&amp;加弹汇总表!$D$1&amp;"/"&amp;加弹汇总表!AW$2)</f>
        <v>0</v>
      </c>
      <c r="AX54" s="8">
        <f>SUMIFS(jt!$M:$M,jt!$B:$B,加弹汇总表!$B54,jt!$D:$D,加弹汇总表!$C54,jt!$F:$F,加弹汇总表!$F54,jt!$O:$O,加弹汇总表!$C$1&amp;"/"&amp;加弹汇总表!$D$1&amp;"/"&amp;加弹汇总表!AX$2)</f>
        <v>0</v>
      </c>
      <c r="AY54" s="8">
        <f>SUMIFS(jt!$M:$M,jt!$B:$B,加弹汇总表!$B54,jt!$D:$D,加弹汇总表!$C54,jt!$F:$F,加弹汇总表!$F54,jt!$O:$O,加弹汇总表!$C$1&amp;"/"&amp;加弹汇总表!$D$1&amp;"/"&amp;加弹汇总表!AY$2)</f>
        <v>0</v>
      </c>
      <c r="AZ54" s="8">
        <f>SUMIFS(jt!$M:$M,jt!$B:$B,加弹汇总表!$B54,jt!$D:$D,加弹汇总表!$C54,jt!$F:$F,加弹汇总表!$F54,jt!$O:$O,加弹汇总表!$C$1&amp;"/"&amp;加弹汇总表!$D$1&amp;"/"&amp;加弹汇总表!AZ$2)</f>
        <v>0</v>
      </c>
      <c r="BA54" s="8">
        <f>SUMIFS(jt!$M:$M,jt!$B:$B,加弹汇总表!$B54,jt!$D:$D,加弹汇总表!$C54,jt!$F:$F,加弹汇总表!$F54,jt!$O:$O,加弹汇总表!$C$1&amp;"/"&amp;加弹汇总表!$D$1&amp;"/"&amp;加弹汇总表!BA$2)</f>
        <v>0</v>
      </c>
      <c r="BB54" s="8">
        <f>SUMIFS(jt!$M:$M,jt!$B:$B,加弹汇总表!$B54,jt!$D:$D,加弹汇总表!$C54,jt!$F:$F,加弹汇总表!$F54,jt!$O:$O,加弹汇总表!$C$1&amp;"/"&amp;加弹汇总表!$D$1&amp;"/"&amp;加弹汇总表!BB$2)</f>
        <v>0</v>
      </c>
      <c r="BC54" s="8">
        <f>SUMIFS(jt!$M:$M,jt!$B:$B,加弹汇总表!$B54,jt!$D:$D,加弹汇总表!$C54,jt!$F:$F,加弹汇总表!$F54,jt!$O:$O,加弹汇总表!$C$1&amp;"/"&amp;加弹汇总表!$D$1&amp;"/"&amp;加弹汇总表!BC$2)</f>
        <v>0</v>
      </c>
      <c r="BD54" s="8">
        <f>SUMIFS(jt!$M:$M,jt!$B:$B,加弹汇总表!$B54,jt!$D:$D,加弹汇总表!$C54,jt!$F:$F,加弹汇总表!$F54,jt!$O:$O,加弹汇总表!$C$1&amp;"/"&amp;加弹汇总表!$D$1&amp;"/"&amp;加弹汇总表!BD$2)</f>
        <v>0</v>
      </c>
      <c r="BE54" s="8">
        <f>SUMIFS(jt!$M:$M,jt!$B:$B,加弹汇总表!$B54,jt!$D:$D,加弹汇总表!$C54,jt!$F:$F,加弹汇总表!$F54,jt!$O:$O,加弹汇总表!$C$1&amp;"/"&amp;加弹汇总表!$D$1&amp;"/"&amp;加弹汇总表!BE$2)</f>
        <v>0</v>
      </c>
      <c r="BF54" s="8">
        <f>SUMIFS(jt!$M:$M,jt!$B:$B,加弹汇总表!$B54,jt!$D:$D,加弹汇总表!$C54,jt!$F:$F,加弹汇总表!$F54,jt!$O:$O,加弹汇总表!$C$1&amp;"/"&amp;加弹汇总表!$D$1&amp;"/"&amp;加弹汇总表!BF$2)</f>
        <v>0</v>
      </c>
      <c r="BG54" s="8">
        <f>SUMIFS(jt!$M:$M,jt!$B:$B,加弹汇总表!$B54,jt!$D:$D,加弹汇总表!$C54,jt!$F:$F,加弹汇总表!$F54,jt!$O:$O,加弹汇总表!$C$1&amp;"/"&amp;加弹汇总表!$D$1&amp;"/"&amp;加弹汇总表!BG$2)</f>
        <v>0</v>
      </c>
      <c r="BH54" s="8">
        <f>SUMIFS(jt!$M:$M,jt!$B:$B,加弹汇总表!$B54,jt!$D:$D,加弹汇总表!$C54,jt!$F:$F,加弹汇总表!$F54,jt!$O:$O,加弹汇总表!$C$1&amp;"/"&amp;加弹汇总表!$D$1&amp;"/"&amp;加弹汇总表!BH$2)</f>
        <v>0</v>
      </c>
      <c r="BI54" s="8">
        <f>SUMIFS(jt!$M:$M,jt!$B:$B,加弹汇总表!$B54,jt!$D:$D,加弹汇总表!$C54,jt!$F:$F,加弹汇总表!$F54,jt!$O:$O,加弹汇总表!$C$1&amp;"/"&amp;加弹汇总表!$D$1&amp;"/"&amp;加弹汇总表!BI$2)</f>
        <v>0</v>
      </c>
      <c r="BJ54" s="8">
        <f>SUMIFS(jt!$M:$M,jt!$B:$B,加弹汇总表!$B54,jt!$D:$D,加弹汇总表!$C54,jt!$F:$F,加弹汇总表!$F54,jt!$O:$O,加弹汇总表!$C$1&amp;"/"&amp;加弹汇总表!$D$1&amp;"/"&amp;加弹汇总表!BJ$2)</f>
        <v>0</v>
      </c>
      <c r="BK54" s="8">
        <f>SUMIFS(jt!$M:$M,jt!$B:$B,加弹汇总表!$B54,jt!$D:$D,加弹汇总表!$C54,jt!$F:$F,加弹汇总表!$F54,jt!$O:$O,加弹汇总表!$C$1&amp;"/"&amp;加弹汇总表!$D$1&amp;"/"&amp;加弹汇总表!BK$2)</f>
        <v>0</v>
      </c>
      <c r="BL54" s="8">
        <f>SUMIFS(jt!$M:$M,jt!$B:$B,加弹汇总表!$B54,jt!$D:$D,加弹汇总表!$C54,jt!$F:$F,加弹汇总表!$F54,jt!$O:$O,加弹汇总表!$C$1&amp;"/"&amp;加弹汇总表!$D$1&amp;"/"&amp;加弹汇总表!BL$2)</f>
        <v>0</v>
      </c>
      <c r="BM54" s="8">
        <f>SUMIFS(jt!$M:$M,jt!$B:$B,加弹汇总表!$B54,jt!$D:$D,加弹汇总表!$C54,jt!$F:$F,加弹汇总表!$F54,jt!$O:$O,加弹汇总表!$C$1&amp;"/"&amp;加弹汇总表!$D$1&amp;"/"&amp;加弹汇总表!BM$2)</f>
        <v>0</v>
      </c>
      <c r="BN54" s="8">
        <f>SUMIFS(jt!$M:$M,jt!$B:$B,加弹汇总表!$B54,jt!$D:$D,加弹汇总表!$C54,jt!$F:$F,加弹汇总表!$F54,jt!$O:$O,加弹汇总表!$C$1&amp;"/"&amp;加弹汇总表!$D$1&amp;"/"&amp;加弹汇总表!BN$2)</f>
        <v>0</v>
      </c>
      <c r="BO54" s="8">
        <f>SUMIFS(jt!$M:$M,jt!$B:$B,加弹汇总表!$B54,jt!$D:$D,加弹汇总表!$C54,jt!$F:$F,加弹汇总表!$F54,jt!$O:$O,加弹汇总表!$C$1&amp;"/"&amp;加弹汇总表!$D$1&amp;"/"&amp;加弹汇总表!BO$2)</f>
        <v>0</v>
      </c>
      <c r="BP54" s="8">
        <f>SUMIFS(jt!$M:$M,jt!$B:$B,加弹汇总表!$B54,jt!$D:$D,加弹汇总表!$C54,jt!$F:$F,加弹汇总表!$F54,jt!$O:$O,加弹汇总表!$C$1&amp;"/"&amp;加弹汇总表!$D$1&amp;"/"&amp;加弹汇总表!BP$2)</f>
        <v>0</v>
      </c>
      <c r="BQ54" s="8">
        <f>SUMIFS(jt!$M:$M,jt!$B:$B,加弹汇总表!$B54,jt!$D:$D,加弹汇总表!$C54,jt!$F:$F,加弹汇总表!$F54,jt!$O:$O,加弹汇总表!$C$1&amp;"/"&amp;加弹汇总表!$D$1&amp;"/"&amp;加弹汇总表!BQ$2)</f>
        <v>0</v>
      </c>
      <c r="BR54" s="8">
        <f>SUMIFS(jt!$M:$M,jt!$B:$B,加弹汇总表!$B54,jt!$D:$D,加弹汇总表!$C54,jt!$F:$F,加弹汇总表!$F54,jt!$O:$O,加弹汇总表!$C$1&amp;"/"&amp;加弹汇总表!$D$1&amp;"/"&amp;加弹汇总表!BR$2)</f>
        <v>0</v>
      </c>
      <c r="BS54" s="8">
        <f>SUMIFS(jt!$M:$M,jt!$B:$B,加弹汇总表!$B54,jt!$D:$D,加弹汇总表!$C54,jt!$F:$F,加弹汇总表!$F54,jt!$O:$O,加弹汇总表!$C$1&amp;"/"&amp;加弹汇总表!$D$1&amp;"/"&amp;加弹汇总表!BS$2)</f>
        <v>0</v>
      </c>
    </row>
    <row r="55" spans="1:71" ht="18" customHeight="1">
      <c r="A55" s="250" t="str">
        <f t="shared" si="4"/>
        <v>S21211东华89/48白圆机</v>
      </c>
      <c r="B55" s="65" t="s">
        <v>456</v>
      </c>
      <c r="C55" s="65" t="s">
        <v>819</v>
      </c>
      <c r="D55" s="19" t="s">
        <v>455</v>
      </c>
      <c r="E55" s="19" t="s">
        <v>1061</v>
      </c>
      <c r="F55" s="19" t="s">
        <v>2</v>
      </c>
      <c r="G55" s="19" t="s">
        <v>897</v>
      </c>
      <c r="H55" s="19" t="s">
        <v>849</v>
      </c>
      <c r="I55" s="246">
        <f ca="1">IF(SUMIFS(jt!M:M,jt!A:A,加弹汇总表!A55,jt!O:O,加弹汇总表!$E$1)=0,0,SUM(AO55:BS55)/COUNTIF(AO55:BS55,"&lt;&gt;0"))</f>
        <v>0</v>
      </c>
      <c r="J55" s="19">
        <f t="shared" si="5"/>
        <v>0</v>
      </c>
      <c r="K55" s="19">
        <f t="shared" si="16"/>
        <v>0</v>
      </c>
      <c r="L55" s="19">
        <f t="shared" si="7"/>
        <v>0</v>
      </c>
      <c r="M55" s="19">
        <f t="shared" si="0"/>
        <v>0</v>
      </c>
      <c r="N55" s="53"/>
      <c r="O55" s="53">
        <f t="shared" si="17"/>
        <v>0</v>
      </c>
      <c r="P55" s="53">
        <f t="shared" si="2"/>
        <v>0</v>
      </c>
      <c r="Q55" s="53">
        <f t="shared" si="3"/>
        <v>0</v>
      </c>
      <c r="R55" s="60">
        <f>SUMIFS(jt!$K:$K,jt!$A:$A,加弹汇总表!$A55,jt!$R:$R,加弹汇总表!R$2)</f>
        <v>0</v>
      </c>
      <c r="S55" s="60">
        <f>SUMIFS(jt!$K:$K,jt!$A:$A,加弹汇总表!$A55,jt!$R:$R,加弹汇总表!S$2)</f>
        <v>0</v>
      </c>
      <c r="T55" s="60">
        <f>SUMIFS(jt!$K:$K,jt!$A:$A,加弹汇总表!$A55,jt!$R:$R,加弹汇总表!T$2)</f>
        <v>0</v>
      </c>
      <c r="U55" s="60">
        <f>SUMIFS(jt!$J:$J,jt!$A:$A,加弹汇总表!$A55,jt!$R:$R,加弹汇总表!U$2)</f>
        <v>0</v>
      </c>
      <c r="V55" s="60">
        <f>SUMIFS(jt!$J:$J,jt!$A:$A,加弹汇总表!$A55,jt!$R:$R,加弹汇总表!V$2)</f>
        <v>0</v>
      </c>
      <c r="W55" s="60">
        <f>SUMIFS(jt!$J:$J,jt!$A:$A,加弹汇总表!$A55,jt!$R:$R,加弹汇总表!W$2)</f>
        <v>0</v>
      </c>
      <c r="X55" s="61">
        <f>SUMIFS(jt!$L:$L,jt!$A:$A,加弹汇总表!$A55,jt!$R:$R,加弹汇总表!X$2)</f>
        <v>0</v>
      </c>
      <c r="Y55" s="61">
        <f>SUMIFS(jt!$L:$L,jt!$A:$A,加弹汇总表!$A55,jt!$R:$R,加弹汇总表!Y$2)</f>
        <v>0</v>
      </c>
      <c r="Z55" s="61">
        <f>SUMIFS(jt!$L:$L,jt!$A:$A,加弹汇总表!$A55,jt!$R:$R,加弹汇总表!Z$2)</f>
        <v>0</v>
      </c>
      <c r="AA55" s="62">
        <f>SUMIFS(jt!$M:$M,jt!$A:$A,加弹汇总表!$A55,jt!$R:$R,加弹汇总表!AA$2)</f>
        <v>0</v>
      </c>
      <c r="AB55" s="62">
        <f>SUMIFS(jt!$M:$M,jt!$A:$A,加弹汇总表!$A55,jt!$R:$R,加弹汇总表!AB$2)</f>
        <v>0</v>
      </c>
      <c r="AC55" s="62">
        <f>SUMIFS(jt!$M:$M,jt!$A:$A,加弹汇总表!$A55,jt!$R:$R,加弹汇总表!AC$2)</f>
        <v>0</v>
      </c>
      <c r="AD55" s="63">
        <f>SUMIFS(jt!$N:$N,jt!$A:$A,加弹汇总表!$A55,jt!$R:$R,加弹汇总表!AD$2)</f>
        <v>0</v>
      </c>
      <c r="AE55" s="63">
        <f>SUMIFS(jt!$N:$N,jt!$A:$A,加弹汇总表!$A55,jt!$R:$R,加弹汇总表!AE$2)</f>
        <v>0</v>
      </c>
      <c r="AF55" s="63">
        <f>SUMIFS(jt!$N:$N,jt!$A:$A,加弹汇总表!$A55,jt!$R:$R,加弹汇总表!AF$2)</f>
        <v>0</v>
      </c>
      <c r="AG55" s="64">
        <f>SUMIFS(jt!$M:$M,jt!$A:$A,加弹汇总表!$A55,jt!$C:$C,加弹汇总表!AG$2)</f>
        <v>0</v>
      </c>
      <c r="AH55" s="64">
        <f>SUMIFS(jt!$M:$M,jt!$A:$A,加弹汇总表!$A55,jt!$C:$C,加弹汇总表!AH$2)</f>
        <v>0</v>
      </c>
      <c r="AI55" s="64">
        <f>SUMIFS(jt!$M:$M,jt!$A:$A,加弹汇总表!$A55,jt!$C:$C,加弹汇总表!AI$2)</f>
        <v>0</v>
      </c>
      <c r="AJ55" s="64">
        <f>SUMIFS(jt!$M:$M,jt!$A:$A,加弹汇总表!$A55,jt!$C:$C,加弹汇总表!AJ$2)</f>
        <v>0</v>
      </c>
      <c r="AK55" s="64">
        <f>SUMIFS(jt!$M:$M,jt!$A:$A,加弹汇总表!$A55,jt!$C:$C,加弹汇总表!AK$2)</f>
        <v>0</v>
      </c>
      <c r="AL55" s="64">
        <f>SUMIFS(jt!$M:$M,jt!$A:$A,加弹汇总表!$A55,jt!$C:$C,加弹汇总表!AL$2)</f>
        <v>0</v>
      </c>
      <c r="AM55" s="64">
        <f>SUMIFS(jt!$M:$M,jt!$A:$A,加弹汇总表!$A55,jt!$C:$C,加弹汇总表!AM$2)</f>
        <v>0</v>
      </c>
      <c r="AN55" s="80">
        <f>SUMIFS(jt!$M:$M,jt!$A:$A,加弹汇总表!$A55,jt!$C:$C,加弹汇总表!AN$2)</f>
        <v>0</v>
      </c>
      <c r="AO55" s="8">
        <f>SUMIFS(jt!$M:$M,jt!$B:$B,加弹汇总表!$B55,jt!$D:$D,加弹汇总表!$C55,jt!$F:$F,加弹汇总表!$F55,jt!$O:$O,加弹汇总表!$C$1&amp;"/"&amp;加弹汇总表!$D$1&amp;"/"&amp;加弹汇总表!AO$2)</f>
        <v>0</v>
      </c>
      <c r="AP55" s="8">
        <f>SUMIFS(jt!$M:$M,jt!$B:$B,加弹汇总表!$B55,jt!$D:$D,加弹汇总表!$C55,jt!$F:$F,加弹汇总表!$F55,jt!$O:$O,加弹汇总表!$C$1&amp;"/"&amp;加弹汇总表!$D$1&amp;"/"&amp;加弹汇总表!AP$2)</f>
        <v>0</v>
      </c>
      <c r="AQ55" s="8">
        <f>SUMIFS(jt!$M:$M,jt!$B:$B,加弹汇总表!$B55,jt!$D:$D,加弹汇总表!$C55,jt!$F:$F,加弹汇总表!$F55,jt!$O:$O,加弹汇总表!$C$1&amp;"/"&amp;加弹汇总表!$D$1&amp;"/"&amp;加弹汇总表!AQ$2)</f>
        <v>0</v>
      </c>
      <c r="AR55" s="8">
        <f>SUMIFS(jt!$M:$M,jt!$B:$B,加弹汇总表!$B55,jt!$D:$D,加弹汇总表!$C55,jt!$F:$F,加弹汇总表!$F55,jt!$O:$O,加弹汇总表!$C$1&amp;"/"&amp;加弹汇总表!$D$1&amp;"/"&amp;加弹汇总表!AR$2)</f>
        <v>0</v>
      </c>
      <c r="AS55" s="8">
        <f>SUMIFS(jt!$M:$M,jt!$B:$B,加弹汇总表!$B55,jt!$D:$D,加弹汇总表!$C55,jt!$F:$F,加弹汇总表!$F55,jt!$O:$O,加弹汇总表!$C$1&amp;"/"&amp;加弹汇总表!$D$1&amp;"/"&amp;加弹汇总表!AS$2)</f>
        <v>0</v>
      </c>
      <c r="AT55" s="8">
        <f>SUMIFS(jt!$M:$M,jt!$B:$B,加弹汇总表!$B55,jt!$D:$D,加弹汇总表!$C55,jt!$F:$F,加弹汇总表!$F55,jt!$O:$O,加弹汇总表!$C$1&amp;"/"&amp;加弹汇总表!$D$1&amp;"/"&amp;加弹汇总表!AT$2)</f>
        <v>0</v>
      </c>
      <c r="AU55" s="8">
        <f>SUMIFS(jt!$M:$M,jt!$B:$B,加弹汇总表!$B55,jt!$D:$D,加弹汇总表!$C55,jt!$F:$F,加弹汇总表!$F55,jt!$O:$O,加弹汇总表!$C$1&amp;"/"&amp;加弹汇总表!$D$1&amp;"/"&amp;加弹汇总表!AU$2)</f>
        <v>0</v>
      </c>
      <c r="AV55" s="8">
        <f>SUMIFS(jt!$M:$M,jt!$B:$B,加弹汇总表!$B55,jt!$D:$D,加弹汇总表!$C55,jt!$F:$F,加弹汇总表!$F55,jt!$O:$O,加弹汇总表!$C$1&amp;"/"&amp;加弹汇总表!$D$1&amp;"/"&amp;加弹汇总表!AV$2)</f>
        <v>0</v>
      </c>
      <c r="AW55" s="8">
        <f>SUMIFS(jt!$M:$M,jt!$B:$B,加弹汇总表!$B55,jt!$D:$D,加弹汇总表!$C55,jt!$F:$F,加弹汇总表!$F55,jt!$O:$O,加弹汇总表!$C$1&amp;"/"&amp;加弹汇总表!$D$1&amp;"/"&amp;加弹汇总表!AW$2)</f>
        <v>0</v>
      </c>
      <c r="AX55" s="8">
        <f>SUMIFS(jt!$M:$M,jt!$B:$B,加弹汇总表!$B55,jt!$D:$D,加弹汇总表!$C55,jt!$F:$F,加弹汇总表!$F55,jt!$O:$O,加弹汇总表!$C$1&amp;"/"&amp;加弹汇总表!$D$1&amp;"/"&amp;加弹汇总表!AX$2)</f>
        <v>0</v>
      </c>
      <c r="AY55" s="8">
        <f>SUMIFS(jt!$M:$M,jt!$B:$B,加弹汇总表!$B55,jt!$D:$D,加弹汇总表!$C55,jt!$F:$F,加弹汇总表!$F55,jt!$O:$O,加弹汇总表!$C$1&amp;"/"&amp;加弹汇总表!$D$1&amp;"/"&amp;加弹汇总表!AY$2)</f>
        <v>0</v>
      </c>
      <c r="AZ55" s="8">
        <f>SUMIFS(jt!$M:$M,jt!$B:$B,加弹汇总表!$B55,jt!$D:$D,加弹汇总表!$C55,jt!$F:$F,加弹汇总表!$F55,jt!$O:$O,加弹汇总表!$C$1&amp;"/"&amp;加弹汇总表!$D$1&amp;"/"&amp;加弹汇总表!AZ$2)</f>
        <v>0</v>
      </c>
      <c r="BA55" s="8">
        <f>SUMIFS(jt!$M:$M,jt!$B:$B,加弹汇总表!$B55,jt!$D:$D,加弹汇总表!$C55,jt!$F:$F,加弹汇总表!$F55,jt!$O:$O,加弹汇总表!$C$1&amp;"/"&amp;加弹汇总表!$D$1&amp;"/"&amp;加弹汇总表!BA$2)</f>
        <v>0</v>
      </c>
      <c r="BB55" s="8">
        <f>SUMIFS(jt!$M:$M,jt!$B:$B,加弹汇总表!$B55,jt!$D:$D,加弹汇总表!$C55,jt!$F:$F,加弹汇总表!$F55,jt!$O:$O,加弹汇总表!$C$1&amp;"/"&amp;加弹汇总表!$D$1&amp;"/"&amp;加弹汇总表!BB$2)</f>
        <v>0</v>
      </c>
      <c r="BC55" s="8">
        <f>SUMIFS(jt!$M:$M,jt!$B:$B,加弹汇总表!$B55,jt!$D:$D,加弹汇总表!$C55,jt!$F:$F,加弹汇总表!$F55,jt!$O:$O,加弹汇总表!$C$1&amp;"/"&amp;加弹汇总表!$D$1&amp;"/"&amp;加弹汇总表!BC$2)</f>
        <v>0</v>
      </c>
      <c r="BD55" s="8">
        <f>SUMIFS(jt!$M:$M,jt!$B:$B,加弹汇总表!$B55,jt!$D:$D,加弹汇总表!$C55,jt!$F:$F,加弹汇总表!$F55,jt!$O:$O,加弹汇总表!$C$1&amp;"/"&amp;加弹汇总表!$D$1&amp;"/"&amp;加弹汇总表!BD$2)</f>
        <v>0</v>
      </c>
      <c r="BE55" s="8">
        <f>SUMIFS(jt!$M:$M,jt!$B:$B,加弹汇总表!$B55,jt!$D:$D,加弹汇总表!$C55,jt!$F:$F,加弹汇总表!$F55,jt!$O:$O,加弹汇总表!$C$1&amp;"/"&amp;加弹汇总表!$D$1&amp;"/"&amp;加弹汇总表!BE$2)</f>
        <v>0</v>
      </c>
      <c r="BF55" s="8">
        <f>SUMIFS(jt!$M:$M,jt!$B:$B,加弹汇总表!$B55,jt!$D:$D,加弹汇总表!$C55,jt!$F:$F,加弹汇总表!$F55,jt!$O:$O,加弹汇总表!$C$1&amp;"/"&amp;加弹汇总表!$D$1&amp;"/"&amp;加弹汇总表!BF$2)</f>
        <v>0</v>
      </c>
      <c r="BG55" s="8">
        <f>SUMIFS(jt!$M:$M,jt!$B:$B,加弹汇总表!$B55,jt!$D:$D,加弹汇总表!$C55,jt!$F:$F,加弹汇总表!$F55,jt!$O:$O,加弹汇总表!$C$1&amp;"/"&amp;加弹汇总表!$D$1&amp;"/"&amp;加弹汇总表!BG$2)</f>
        <v>0</v>
      </c>
      <c r="BH55" s="8">
        <f>SUMIFS(jt!$M:$M,jt!$B:$B,加弹汇总表!$B55,jt!$D:$D,加弹汇总表!$C55,jt!$F:$F,加弹汇总表!$F55,jt!$O:$O,加弹汇总表!$C$1&amp;"/"&amp;加弹汇总表!$D$1&amp;"/"&amp;加弹汇总表!BH$2)</f>
        <v>0</v>
      </c>
      <c r="BI55" s="8">
        <f>SUMIFS(jt!$M:$M,jt!$B:$B,加弹汇总表!$B55,jt!$D:$D,加弹汇总表!$C55,jt!$F:$F,加弹汇总表!$F55,jt!$O:$O,加弹汇总表!$C$1&amp;"/"&amp;加弹汇总表!$D$1&amp;"/"&amp;加弹汇总表!BI$2)</f>
        <v>0</v>
      </c>
      <c r="BJ55" s="8">
        <f>SUMIFS(jt!$M:$M,jt!$B:$B,加弹汇总表!$B55,jt!$D:$D,加弹汇总表!$C55,jt!$F:$F,加弹汇总表!$F55,jt!$O:$O,加弹汇总表!$C$1&amp;"/"&amp;加弹汇总表!$D$1&amp;"/"&amp;加弹汇总表!BJ$2)</f>
        <v>0</v>
      </c>
      <c r="BK55" s="8">
        <f>SUMIFS(jt!$M:$M,jt!$B:$B,加弹汇总表!$B55,jt!$D:$D,加弹汇总表!$C55,jt!$F:$F,加弹汇总表!$F55,jt!$O:$O,加弹汇总表!$C$1&amp;"/"&amp;加弹汇总表!$D$1&amp;"/"&amp;加弹汇总表!BK$2)</f>
        <v>0</v>
      </c>
      <c r="BL55" s="8">
        <f>SUMIFS(jt!$M:$M,jt!$B:$B,加弹汇总表!$B55,jt!$D:$D,加弹汇总表!$C55,jt!$F:$F,加弹汇总表!$F55,jt!$O:$O,加弹汇总表!$C$1&amp;"/"&amp;加弹汇总表!$D$1&amp;"/"&amp;加弹汇总表!BL$2)</f>
        <v>0</v>
      </c>
      <c r="BM55" s="8">
        <f>SUMIFS(jt!$M:$M,jt!$B:$B,加弹汇总表!$B55,jt!$D:$D,加弹汇总表!$C55,jt!$F:$F,加弹汇总表!$F55,jt!$O:$O,加弹汇总表!$C$1&amp;"/"&amp;加弹汇总表!$D$1&amp;"/"&amp;加弹汇总表!BM$2)</f>
        <v>0</v>
      </c>
      <c r="BN55" s="8">
        <f>SUMIFS(jt!$M:$M,jt!$B:$B,加弹汇总表!$B55,jt!$D:$D,加弹汇总表!$C55,jt!$F:$F,加弹汇总表!$F55,jt!$O:$O,加弹汇总表!$C$1&amp;"/"&amp;加弹汇总表!$D$1&amp;"/"&amp;加弹汇总表!BN$2)</f>
        <v>0</v>
      </c>
      <c r="BO55" s="8">
        <f>SUMIFS(jt!$M:$M,jt!$B:$B,加弹汇总表!$B55,jt!$D:$D,加弹汇总表!$C55,jt!$F:$F,加弹汇总表!$F55,jt!$O:$O,加弹汇总表!$C$1&amp;"/"&amp;加弹汇总表!$D$1&amp;"/"&amp;加弹汇总表!BO$2)</f>
        <v>0</v>
      </c>
      <c r="BP55" s="8">
        <f>SUMIFS(jt!$M:$M,jt!$B:$B,加弹汇总表!$B55,jt!$D:$D,加弹汇总表!$C55,jt!$F:$F,加弹汇总表!$F55,jt!$O:$O,加弹汇总表!$C$1&amp;"/"&amp;加弹汇总表!$D$1&amp;"/"&amp;加弹汇总表!BP$2)</f>
        <v>0</v>
      </c>
      <c r="BQ55" s="8">
        <f>SUMIFS(jt!$M:$M,jt!$B:$B,加弹汇总表!$B55,jt!$D:$D,加弹汇总表!$C55,jt!$F:$F,加弹汇总表!$F55,jt!$O:$O,加弹汇总表!$C$1&amp;"/"&amp;加弹汇总表!$D$1&amp;"/"&amp;加弹汇总表!BQ$2)</f>
        <v>0</v>
      </c>
      <c r="BR55" s="8">
        <f>SUMIFS(jt!$M:$M,jt!$B:$B,加弹汇总表!$B55,jt!$D:$D,加弹汇总表!$C55,jt!$F:$F,加弹汇总表!$F55,jt!$O:$O,加弹汇总表!$C$1&amp;"/"&amp;加弹汇总表!$D$1&amp;"/"&amp;加弹汇总表!BR$2)</f>
        <v>0</v>
      </c>
      <c r="BS55" s="8">
        <f>SUMIFS(jt!$M:$M,jt!$B:$B,加弹汇总表!$B55,jt!$D:$D,加弹汇总表!$C55,jt!$F:$F,加弹汇总表!$F55,jt!$O:$O,加弹汇总表!$C$1&amp;"/"&amp;加弹汇总表!$D$1&amp;"/"&amp;加弹汇总表!BS$2)</f>
        <v>0</v>
      </c>
    </row>
    <row r="56" spans="1:71">
      <c r="A56" s="250" t="str">
        <f t="shared" si="4"/>
        <v>总计</v>
      </c>
      <c r="H56" s="99" t="s">
        <v>1159</v>
      </c>
      <c r="I56" s="246">
        <f ca="1">SUM(I3:I55)</f>
        <v>11330.678</v>
      </c>
      <c r="P56" s="51">
        <f>SUM(P3:P52)</f>
        <v>377157.72000000003</v>
      </c>
      <c r="Q56" s="99">
        <f t="shared" ref="Q56:AA56" si="18">SUM(Q3:Q52)</f>
        <v>0</v>
      </c>
      <c r="R56" s="99">
        <f t="shared" si="18"/>
        <v>0</v>
      </c>
      <c r="S56" s="99">
        <f t="shared" si="18"/>
        <v>0</v>
      </c>
      <c r="T56" s="99">
        <f t="shared" si="18"/>
        <v>0</v>
      </c>
      <c r="U56" s="99">
        <f t="shared" si="18"/>
        <v>0</v>
      </c>
      <c r="V56" s="99">
        <f t="shared" si="18"/>
        <v>0</v>
      </c>
      <c r="W56" s="99">
        <f t="shared" si="18"/>
        <v>0</v>
      </c>
      <c r="X56" s="99">
        <f t="shared" si="18"/>
        <v>0</v>
      </c>
      <c r="Y56" s="99">
        <f t="shared" si="18"/>
        <v>0</v>
      </c>
      <c r="Z56" s="99">
        <f t="shared" si="18"/>
        <v>0</v>
      </c>
      <c r="AA56" s="99">
        <f t="shared" si="18"/>
        <v>317031.58</v>
      </c>
      <c r="AG56" s="51">
        <f>SUM(AG3:AG55)</f>
        <v>52553.06</v>
      </c>
      <c r="AH56" s="51">
        <f t="shared" ref="AH56:AN56" si="19">SUM(AH3:AH55)</f>
        <v>56154.95</v>
      </c>
      <c r="AI56" s="51">
        <f t="shared" si="19"/>
        <v>16464</v>
      </c>
      <c r="AJ56" s="51">
        <f t="shared" si="19"/>
        <v>59712.5</v>
      </c>
      <c r="AK56" s="51">
        <f t="shared" si="19"/>
        <v>60147.1</v>
      </c>
      <c r="AL56" s="51">
        <f t="shared" si="19"/>
        <v>46458.11</v>
      </c>
      <c r="AM56" s="51">
        <f t="shared" si="19"/>
        <v>65621.89</v>
      </c>
      <c r="AN56" s="51">
        <f t="shared" si="19"/>
        <v>20046.11</v>
      </c>
      <c r="AO56" s="250">
        <f>SUM(AO3:AO55)</f>
        <v>11324.17</v>
      </c>
      <c r="AP56" s="250">
        <f>SUM(AP3:AP55)</f>
        <v>10525.35</v>
      </c>
      <c r="AQ56" s="250">
        <f t="shared" ref="AQ56:AS56" si="20">SUM(AQ3:AQ55)</f>
        <v>12612.53</v>
      </c>
      <c r="AR56" s="250">
        <f t="shared" si="20"/>
        <v>13204.42</v>
      </c>
      <c r="AS56" s="250">
        <f t="shared" si="20"/>
        <v>13039.67</v>
      </c>
    </row>
    <row r="57" spans="1:71">
      <c r="A57" s="250" t="str">
        <f t="shared" si="4"/>
        <v/>
      </c>
    </row>
    <row r="58" spans="1:71">
      <c r="A58" s="250" t="str">
        <f t="shared" si="4"/>
        <v/>
      </c>
    </row>
    <row r="60" spans="1:71">
      <c r="B60">
        <f ca="1">SUMIFS(jt!M:M,jt!A:A,加弹汇总表!A3,jt!O:O,加弹汇总表!E1,jt!M:M,"")</f>
        <v>0</v>
      </c>
    </row>
  </sheetData>
  <mergeCells count="5">
    <mergeCell ref="AG1:AN1"/>
    <mergeCell ref="AD1:AF1"/>
    <mergeCell ref="AA1:AC1"/>
    <mergeCell ref="E1:F1"/>
    <mergeCell ref="M1:P1"/>
  </mergeCells>
  <phoneticPr fontId="1" type="noConversion"/>
  <dataValidations count="2">
    <dataValidation type="list" allowBlank="1" showInputMessage="1" showErrorMessage="1" sqref="C1">
      <formula1>年</formula1>
    </dataValidation>
    <dataValidation type="list" allowBlank="1" showInputMessage="1" showErrorMessage="1" sqref="D1">
      <formula1>月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 filterMode="1"/>
  <dimension ref="A1:AQ61"/>
  <sheetViews>
    <sheetView topLeftCell="A13" zoomScaleNormal="100" workbookViewId="0">
      <pane xSplit="1" ySplit="2" topLeftCell="B15" activePane="bottomRight" state="frozen"/>
      <selection activeCell="A13" sqref="A13"/>
      <selection pane="topRight" activeCell="B13" sqref="B13"/>
      <selection pane="bottomLeft" activeCell="A15" sqref="A15"/>
      <selection pane="bottomRight" activeCell="A22" sqref="A22:XFD22"/>
    </sheetView>
  </sheetViews>
  <sheetFormatPr defaultRowHeight="13.5" outlineLevelRow="1"/>
  <cols>
    <col min="1" max="1" width="14.75" customWidth="1"/>
    <col min="2" max="2" width="16.5" customWidth="1"/>
    <col min="3" max="3" width="7.5" bestFit="1" customWidth="1"/>
    <col min="5" max="5" width="7.5" bestFit="1" customWidth="1"/>
    <col min="6" max="6" width="8.5" bestFit="1" customWidth="1"/>
    <col min="7" max="7" width="7.5" bestFit="1" customWidth="1"/>
    <col min="8" max="8" width="13.625" bestFit="1" customWidth="1"/>
    <col min="9" max="9" width="7.5" bestFit="1" customWidth="1"/>
    <col min="10" max="10" width="9" bestFit="1" customWidth="1"/>
    <col min="11" max="11" width="9.5" bestFit="1" customWidth="1"/>
    <col min="12" max="12" width="13.25" bestFit="1" customWidth="1"/>
    <col min="13" max="15" width="7.5" bestFit="1" customWidth="1"/>
    <col min="16" max="16" width="6.5" bestFit="1" customWidth="1"/>
    <col min="17" max="27" width="7.5" bestFit="1" customWidth="1"/>
    <col min="28" max="28" width="6.5" bestFit="1" customWidth="1"/>
    <col min="29" max="31" width="7.5" bestFit="1" customWidth="1"/>
    <col min="32" max="32" width="6.5" bestFit="1" customWidth="1"/>
    <col min="33" max="38" width="7.5" bestFit="1" customWidth="1"/>
    <col min="39" max="40" width="5.375" bestFit="1" customWidth="1"/>
    <col min="41" max="41" width="6.5" bestFit="1" customWidth="1"/>
    <col min="42" max="43" width="7.5" bestFit="1" customWidth="1"/>
  </cols>
  <sheetData>
    <row r="1" spans="1:43" ht="21" hidden="1" customHeight="1" outlineLevel="1">
      <c r="A1" s="293" t="s">
        <v>0</v>
      </c>
      <c r="B1" s="293"/>
      <c r="C1" s="293"/>
      <c r="D1" s="293"/>
      <c r="E1" s="293"/>
      <c r="F1" s="293"/>
      <c r="G1" s="293"/>
      <c r="H1" s="293"/>
      <c r="I1" s="293"/>
      <c r="J1" s="293"/>
      <c r="K1" s="293"/>
      <c r="L1" s="293"/>
      <c r="M1" s="293"/>
    </row>
    <row r="2" spans="1:43" ht="23.25" hidden="1" customHeight="1" outlineLevel="1">
      <c r="A2" s="2"/>
      <c r="B2" s="2" t="s">
        <v>1</v>
      </c>
      <c r="C2" s="1" t="s">
        <v>2</v>
      </c>
      <c r="D2" s="1" t="s">
        <v>2</v>
      </c>
      <c r="E2" s="2" t="s">
        <v>2</v>
      </c>
      <c r="F2" s="1" t="s">
        <v>1</v>
      </c>
      <c r="G2" s="3" t="s">
        <v>2</v>
      </c>
      <c r="H2" s="1" t="s">
        <v>2</v>
      </c>
      <c r="I2" s="1" t="s">
        <v>2</v>
      </c>
      <c r="J2" s="1" t="s">
        <v>2</v>
      </c>
      <c r="K2" s="1"/>
      <c r="L2" s="1" t="s">
        <v>2</v>
      </c>
      <c r="M2" s="1" t="s">
        <v>1</v>
      </c>
    </row>
    <row r="3" spans="1:43" ht="23.25" hidden="1" customHeight="1" outlineLevel="1">
      <c r="A3" s="4"/>
      <c r="B3" s="5">
        <v>21</v>
      </c>
      <c r="C3" s="6">
        <v>23</v>
      </c>
      <c r="D3" s="6">
        <v>29</v>
      </c>
      <c r="E3" s="5">
        <v>34</v>
      </c>
      <c r="F3" s="6">
        <v>35</v>
      </c>
      <c r="G3" s="6">
        <v>36</v>
      </c>
      <c r="H3" s="6">
        <v>38</v>
      </c>
      <c r="I3" s="6">
        <v>39</v>
      </c>
      <c r="J3" s="6">
        <v>40</v>
      </c>
      <c r="K3" s="6"/>
      <c r="L3" s="6">
        <v>48</v>
      </c>
      <c r="M3" s="6">
        <v>49</v>
      </c>
    </row>
    <row r="4" spans="1:43" ht="23.25" hidden="1" customHeight="1" outlineLevel="1">
      <c r="A4" s="7">
        <v>30</v>
      </c>
      <c r="B4" s="4">
        <f t="shared" ref="B4:J6" si="0">SUMIFS($K$15:$K$60,$C$15:$C$60,$A4,$G$15:$G$60,B$3,$E$15:$E$60,B$2)</f>
        <v>0</v>
      </c>
      <c r="C4" s="8">
        <f t="shared" si="0"/>
        <v>687.90000000000009</v>
      </c>
      <c r="D4" s="8">
        <f t="shared" si="0"/>
        <v>0</v>
      </c>
      <c r="E4" s="8">
        <f t="shared" si="0"/>
        <v>0</v>
      </c>
      <c r="F4" s="8">
        <f t="shared" si="0"/>
        <v>0</v>
      </c>
      <c r="G4" s="8">
        <f t="shared" si="0"/>
        <v>0</v>
      </c>
      <c r="H4" s="8">
        <f t="shared" si="0"/>
        <v>0</v>
      </c>
      <c r="I4" s="8">
        <f t="shared" si="0"/>
        <v>0</v>
      </c>
      <c r="J4" s="8">
        <f t="shared" si="0"/>
        <v>0</v>
      </c>
      <c r="K4" s="8"/>
      <c r="L4" s="8">
        <f t="shared" ref="L4:M6" si="1">SUMIFS($K$15:$K$60,$C$15:$C$60,$A4,$G$15:$G$60,L$3,$E$15:$E$60,L$2)</f>
        <v>0</v>
      </c>
      <c r="M4" s="8">
        <f t="shared" si="1"/>
        <v>0</v>
      </c>
    </row>
    <row r="5" spans="1:43" ht="23.25" hidden="1" customHeight="1" outlineLevel="1">
      <c r="A5" s="7">
        <v>50</v>
      </c>
      <c r="B5" s="4">
        <f t="shared" si="0"/>
        <v>0</v>
      </c>
      <c r="C5" s="8">
        <f t="shared" si="0"/>
        <v>0</v>
      </c>
      <c r="D5" s="8">
        <f t="shared" si="0"/>
        <v>0</v>
      </c>
      <c r="E5" s="8">
        <f t="shared" si="0"/>
        <v>0</v>
      </c>
      <c r="F5" s="8">
        <f t="shared" si="0"/>
        <v>6892.7999999999993</v>
      </c>
      <c r="G5" s="8">
        <f t="shared" si="0"/>
        <v>137.69999999999999</v>
      </c>
      <c r="H5" s="8">
        <f t="shared" si="0"/>
        <v>932</v>
      </c>
      <c r="I5" s="8">
        <f t="shared" si="0"/>
        <v>0</v>
      </c>
      <c r="J5" s="8">
        <f t="shared" si="0"/>
        <v>0</v>
      </c>
      <c r="K5" s="8"/>
      <c r="L5" s="8">
        <f t="shared" si="1"/>
        <v>0</v>
      </c>
      <c r="M5" s="8">
        <f t="shared" si="1"/>
        <v>0</v>
      </c>
    </row>
    <row r="6" spans="1:43" ht="23.25" hidden="1" customHeight="1" outlineLevel="1">
      <c r="A6" s="7">
        <v>75</v>
      </c>
      <c r="B6" s="4">
        <f t="shared" si="0"/>
        <v>0</v>
      </c>
      <c r="C6" s="8">
        <f t="shared" si="0"/>
        <v>0</v>
      </c>
      <c r="D6" s="8">
        <f t="shared" si="0"/>
        <v>0</v>
      </c>
      <c r="E6" s="8">
        <f t="shared" si="0"/>
        <v>0</v>
      </c>
      <c r="F6" s="8">
        <f t="shared" si="0"/>
        <v>0</v>
      </c>
      <c r="G6" s="8">
        <f t="shared" si="0"/>
        <v>0</v>
      </c>
      <c r="H6" s="8">
        <f t="shared" si="0"/>
        <v>0</v>
      </c>
      <c r="I6" s="8">
        <f t="shared" si="0"/>
        <v>102.5</v>
      </c>
      <c r="J6" s="8">
        <f t="shared" si="0"/>
        <v>0</v>
      </c>
      <c r="K6" s="8"/>
      <c r="L6" s="8">
        <f t="shared" si="1"/>
        <v>0</v>
      </c>
      <c r="M6" s="8">
        <f t="shared" si="1"/>
        <v>0</v>
      </c>
    </row>
    <row r="7" spans="1:43" hidden="1" outlineLevel="1"/>
    <row r="8" spans="1:43" hidden="1" outlineLevel="1"/>
    <row r="9" spans="1:43" hidden="1" outlineLevel="1"/>
    <row r="10" spans="1:43" hidden="1" outlineLevel="1"/>
    <row r="11" spans="1:43" hidden="1" outlineLevel="1"/>
    <row r="12" spans="1:43" hidden="1" outlineLevel="1"/>
    <row r="13" spans="1:43" ht="27" customHeight="1" collapsed="1">
      <c r="B13" s="9"/>
      <c r="C13" s="9"/>
      <c r="D13" s="9"/>
      <c r="E13" s="10"/>
      <c r="F13" s="10"/>
      <c r="G13" s="10"/>
      <c r="H13" s="9"/>
      <c r="I13" s="11">
        <v>2019</v>
      </c>
      <c r="J13" s="12">
        <v>11</v>
      </c>
      <c r="K13" s="31" t="s">
        <v>1003</v>
      </c>
      <c r="L13" s="223">
        <f ca="1">TODAY()</f>
        <v>43775</v>
      </c>
      <c r="M13" s="294" t="s">
        <v>1601</v>
      </c>
      <c r="N13" s="294"/>
      <c r="O13" s="294"/>
      <c r="P13" s="294"/>
      <c r="Q13" s="294"/>
      <c r="R13" s="294"/>
      <c r="S13" s="294"/>
      <c r="T13" s="294"/>
      <c r="U13" s="294"/>
      <c r="V13" s="294"/>
      <c r="W13" s="294"/>
      <c r="X13" s="294"/>
      <c r="Y13" s="294"/>
      <c r="Z13" s="294"/>
      <c r="AA13" s="294"/>
      <c r="AB13" s="294"/>
      <c r="AC13" s="294"/>
      <c r="AD13" s="294"/>
      <c r="AE13" s="294"/>
      <c r="AF13" s="294"/>
      <c r="AG13" s="294"/>
      <c r="AH13" s="294"/>
      <c r="AI13" s="294"/>
      <c r="AJ13" s="294"/>
      <c r="AK13" s="294"/>
      <c r="AL13" s="294"/>
      <c r="AM13" s="294"/>
      <c r="AN13" s="294"/>
      <c r="AO13" s="294"/>
      <c r="AP13" s="294"/>
      <c r="AQ13" s="294"/>
    </row>
    <row r="14" spans="1:43" ht="24" customHeight="1">
      <c r="A14" s="13" t="s">
        <v>3</v>
      </c>
      <c r="B14" s="14" t="s">
        <v>4</v>
      </c>
      <c r="C14" s="14" t="s">
        <v>5</v>
      </c>
      <c r="D14" s="14" t="s">
        <v>7</v>
      </c>
      <c r="E14" s="13" t="s">
        <v>9</v>
      </c>
      <c r="F14" s="13" t="s">
        <v>10</v>
      </c>
      <c r="G14" s="13" t="s">
        <v>11</v>
      </c>
      <c r="H14" s="14" t="s">
        <v>12</v>
      </c>
      <c r="I14" s="13" t="s">
        <v>13</v>
      </c>
      <c r="J14" s="182" t="s">
        <v>1666</v>
      </c>
      <c r="K14" s="15" t="s">
        <v>15</v>
      </c>
      <c r="L14" s="15" t="s">
        <v>131</v>
      </c>
      <c r="M14" s="16">
        <v>1</v>
      </c>
      <c r="N14" s="16">
        <v>2</v>
      </c>
      <c r="O14" s="16">
        <v>3</v>
      </c>
      <c r="P14" s="16">
        <v>4</v>
      </c>
      <c r="Q14" s="16">
        <v>5</v>
      </c>
      <c r="R14" s="16">
        <v>6</v>
      </c>
      <c r="S14" s="16">
        <v>7</v>
      </c>
      <c r="T14" s="16">
        <v>8</v>
      </c>
      <c r="U14" s="16">
        <v>9</v>
      </c>
      <c r="V14" s="16">
        <v>10</v>
      </c>
      <c r="W14" s="16">
        <v>11</v>
      </c>
      <c r="X14" s="16">
        <v>12</v>
      </c>
      <c r="Y14" s="16">
        <v>13</v>
      </c>
      <c r="Z14" s="16">
        <v>14</v>
      </c>
      <c r="AA14" s="16">
        <v>15</v>
      </c>
      <c r="AB14" s="16">
        <v>16</v>
      </c>
      <c r="AC14" s="16">
        <v>17</v>
      </c>
      <c r="AD14" s="16">
        <v>18</v>
      </c>
      <c r="AE14" s="16">
        <v>19</v>
      </c>
      <c r="AF14" s="16">
        <v>20</v>
      </c>
      <c r="AG14" s="16">
        <v>21</v>
      </c>
      <c r="AH14" s="16">
        <v>22</v>
      </c>
      <c r="AI14" s="16">
        <v>23</v>
      </c>
      <c r="AJ14" s="16">
        <v>24</v>
      </c>
      <c r="AK14" s="16">
        <v>25</v>
      </c>
      <c r="AL14" s="16">
        <v>26</v>
      </c>
      <c r="AM14" s="16">
        <v>27</v>
      </c>
      <c r="AN14" s="16">
        <v>28</v>
      </c>
      <c r="AO14" s="16">
        <v>29</v>
      </c>
      <c r="AP14" s="16">
        <v>30</v>
      </c>
      <c r="AQ14" s="16">
        <v>31</v>
      </c>
    </row>
    <row r="15" spans="1:43" ht="18" hidden="1" customHeight="1">
      <c r="A15" s="13" t="s">
        <v>19</v>
      </c>
      <c r="B15" s="14" t="s">
        <v>16</v>
      </c>
      <c r="C15" s="17">
        <v>30</v>
      </c>
      <c r="D15" s="17" t="s">
        <v>20</v>
      </c>
      <c r="E15" s="13" t="s">
        <v>2</v>
      </c>
      <c r="F15" s="13">
        <v>160</v>
      </c>
      <c r="G15" s="13">
        <v>23</v>
      </c>
      <c r="H15" s="14" t="s">
        <v>22</v>
      </c>
      <c r="I15" s="13"/>
      <c r="J15" s="78">
        <f ca="1">IF(SUMIFS(yj!$I:$I,yj!$B:$B,小圆机汇总表!A15,yj!$G:$G,小圆机汇总表!$L$13)&gt;0,SUMIFS(yj!$H:$H,yj!$B:$B,小圆机汇总表!A15,yj!$G:$G,小圆机汇总表!$L$13),0)</f>
        <v>0</v>
      </c>
      <c r="K15" s="15">
        <f>SUMIFS(yj!$H:$H,yj!$B:$B,小圆机汇总表!A15,yj!$M:$M,小圆机汇总表!$J$13)</f>
        <v>0</v>
      </c>
      <c r="L15" s="15">
        <f>SUMIFS(yj!$I:$I,yj!$B:$B,小圆机汇总表!A15,yj!$M:$M,小圆机汇总表!$J$13)</f>
        <v>0</v>
      </c>
      <c r="M15" s="18">
        <f>IF($K$13="件数",SUMIFS(yj!$I:$I,yj!$B:$B,小圆机汇总表!$A15,yj!$G:$G,小圆机汇总表!$I$13&amp;"/"&amp;小圆机汇总表!$J$13&amp;"/"&amp;小圆机汇总表!M$14),SUMIFS(yj!$H:$H,yj!$B:$B,小圆机汇总表!$A15,yj!$G:$G,小圆机汇总表!$I$13&amp;"/"&amp;小圆机汇总表!$J$13&amp;"/"&amp;小圆机汇总表!M$14))</f>
        <v>0</v>
      </c>
      <c r="N15" s="18">
        <f>IF($K$13="件数",SUMIFS(yj!$I:$I,yj!$B:$B,小圆机汇总表!$A15,yj!$G:$G,小圆机汇总表!$I$13&amp;"/"&amp;小圆机汇总表!$J$13&amp;"/"&amp;小圆机汇总表!N$14),SUMIFS(yj!$H:$H,yj!$B:$B,小圆机汇总表!$A15,yj!$G:$G,小圆机汇总表!$I$13&amp;"/"&amp;小圆机汇总表!$J$13&amp;"/"&amp;小圆机汇总表!N$14))</f>
        <v>0</v>
      </c>
      <c r="O15" s="18">
        <f>IF($K$13="件数",SUMIFS(yj!$I:$I,yj!$B:$B,小圆机汇总表!$A15,yj!$G:$G,小圆机汇总表!$I$13&amp;"/"&amp;小圆机汇总表!$J$13&amp;"/"&amp;小圆机汇总表!O$14),SUMIFS(yj!$H:$H,yj!$B:$B,小圆机汇总表!$A15,yj!$G:$G,小圆机汇总表!$I$13&amp;"/"&amp;小圆机汇总表!$J$13&amp;"/"&amp;小圆机汇总表!O$14))</f>
        <v>0</v>
      </c>
      <c r="P15" s="18">
        <f>IF($K$13="件数",SUMIFS(yj!$I:$I,yj!$B:$B,小圆机汇总表!$A15,yj!$G:$G,小圆机汇总表!$I$13&amp;"/"&amp;小圆机汇总表!$J$13&amp;"/"&amp;小圆机汇总表!P$14),SUMIFS(yj!$H:$H,yj!$B:$B,小圆机汇总表!$A15,yj!$G:$G,小圆机汇总表!$I$13&amp;"/"&amp;小圆机汇总表!$J$13&amp;"/"&amp;小圆机汇总表!P$14))</f>
        <v>0</v>
      </c>
      <c r="Q15" s="18">
        <f>IF($K$13="件数",SUMIFS(yj!$I:$I,yj!$B:$B,小圆机汇总表!$A15,yj!$G:$G,小圆机汇总表!$I$13&amp;"/"&amp;小圆机汇总表!$J$13&amp;"/"&amp;小圆机汇总表!Q$14),SUMIFS(yj!$H:$H,yj!$B:$B,小圆机汇总表!$A15,yj!$G:$G,小圆机汇总表!$I$13&amp;"/"&amp;小圆机汇总表!$J$13&amp;"/"&amp;小圆机汇总表!Q$14))</f>
        <v>0</v>
      </c>
      <c r="R15" s="18">
        <f>IF($K$13="件数",SUMIFS(yj!$I:$I,yj!$B:$B,小圆机汇总表!$A15,yj!$G:$G,小圆机汇总表!$I$13&amp;"/"&amp;小圆机汇总表!$J$13&amp;"/"&amp;小圆机汇总表!R$14),SUMIFS(yj!$H:$H,yj!$B:$B,小圆机汇总表!$A15,yj!$G:$G,小圆机汇总表!$I$13&amp;"/"&amp;小圆机汇总表!$J$13&amp;"/"&amp;小圆机汇总表!R$14))</f>
        <v>0</v>
      </c>
      <c r="S15" s="18">
        <f>IF($K$13="件数",SUMIFS(yj!$I:$I,yj!$B:$B,小圆机汇总表!$A15,yj!$G:$G,小圆机汇总表!$I$13&amp;"/"&amp;小圆机汇总表!$J$13&amp;"/"&amp;小圆机汇总表!S$14),SUMIFS(yj!$H:$H,yj!$B:$B,小圆机汇总表!$A15,yj!$G:$G,小圆机汇总表!$I$13&amp;"/"&amp;小圆机汇总表!$J$13&amp;"/"&amp;小圆机汇总表!S$14))</f>
        <v>0</v>
      </c>
      <c r="T15" s="18">
        <f>IF($K$13="件数",SUMIFS(yj!$I:$I,yj!$B:$B,小圆机汇总表!$A15,yj!$G:$G,小圆机汇总表!$I$13&amp;"/"&amp;小圆机汇总表!$J$13&amp;"/"&amp;小圆机汇总表!T$14),SUMIFS(yj!$H:$H,yj!$B:$B,小圆机汇总表!$A15,yj!$G:$G,小圆机汇总表!$I$13&amp;"/"&amp;小圆机汇总表!$J$13&amp;"/"&amp;小圆机汇总表!T$14))</f>
        <v>0</v>
      </c>
      <c r="U15" s="18">
        <f>IF($K$13="件数",SUMIFS(yj!$I:$I,yj!$B:$B,小圆机汇总表!$A15,yj!$G:$G,小圆机汇总表!$I$13&amp;"/"&amp;小圆机汇总表!$J$13&amp;"/"&amp;小圆机汇总表!U$14),SUMIFS(yj!$H:$H,yj!$B:$B,小圆机汇总表!$A15,yj!$G:$G,小圆机汇总表!$I$13&amp;"/"&amp;小圆机汇总表!$J$13&amp;"/"&amp;小圆机汇总表!U$14))</f>
        <v>0</v>
      </c>
      <c r="V15" s="18">
        <f>IF($K$13="件数",SUMIFS(yj!$I:$I,yj!$B:$B,小圆机汇总表!$A15,yj!$G:$G,小圆机汇总表!$I$13&amp;"/"&amp;小圆机汇总表!$J$13&amp;"/"&amp;小圆机汇总表!V$14),SUMIFS(yj!$H:$H,yj!$B:$B,小圆机汇总表!$A15,yj!$G:$G,小圆机汇总表!$I$13&amp;"/"&amp;小圆机汇总表!$J$13&amp;"/"&amp;小圆机汇总表!V$14))</f>
        <v>0</v>
      </c>
      <c r="W15" s="18">
        <f>IF($K$13="件数",SUMIFS(yj!$I:$I,yj!$B:$B,小圆机汇总表!$A15,yj!$G:$G,小圆机汇总表!$I$13&amp;"/"&amp;小圆机汇总表!$J$13&amp;"/"&amp;小圆机汇总表!W$14),SUMIFS(yj!$H:$H,yj!$B:$B,小圆机汇总表!$A15,yj!$G:$G,小圆机汇总表!$I$13&amp;"/"&amp;小圆机汇总表!$J$13&amp;"/"&amp;小圆机汇总表!W$14))</f>
        <v>0</v>
      </c>
      <c r="X15" s="18">
        <f>IF($K$13="件数",SUMIFS(yj!$I:$I,yj!$B:$B,小圆机汇总表!$A15,yj!$G:$G,小圆机汇总表!$I$13&amp;"/"&amp;小圆机汇总表!$J$13&amp;"/"&amp;小圆机汇总表!X$14),SUMIFS(yj!$H:$H,yj!$B:$B,小圆机汇总表!$A15,yj!$G:$G,小圆机汇总表!$I$13&amp;"/"&amp;小圆机汇总表!$J$13&amp;"/"&amp;小圆机汇总表!X$14))</f>
        <v>0</v>
      </c>
      <c r="Y15" s="18">
        <f>IF($K$13="件数",SUMIFS(yj!$I:$I,yj!$B:$B,小圆机汇总表!$A15,yj!$G:$G,小圆机汇总表!$I$13&amp;"/"&amp;小圆机汇总表!$J$13&amp;"/"&amp;小圆机汇总表!Y$14),SUMIFS(yj!$H:$H,yj!$B:$B,小圆机汇总表!$A15,yj!$G:$G,小圆机汇总表!$I$13&amp;"/"&amp;小圆机汇总表!$J$13&amp;"/"&amp;小圆机汇总表!Y$14))</f>
        <v>0</v>
      </c>
      <c r="Z15" s="18">
        <f>IF($K$13="件数",SUMIFS(yj!$I:$I,yj!$B:$B,小圆机汇总表!$A15,yj!$G:$G,小圆机汇总表!$I$13&amp;"/"&amp;小圆机汇总表!$J$13&amp;"/"&amp;小圆机汇总表!Z$14),SUMIFS(yj!$H:$H,yj!$B:$B,小圆机汇总表!$A15,yj!$G:$G,小圆机汇总表!$I$13&amp;"/"&amp;小圆机汇总表!$J$13&amp;"/"&amp;小圆机汇总表!Z$14))</f>
        <v>0</v>
      </c>
      <c r="AA15" s="18">
        <f>IF($K$13="件数",SUMIFS(yj!$I:$I,yj!$B:$B,小圆机汇总表!$A15,yj!$G:$G,小圆机汇总表!$I$13&amp;"/"&amp;小圆机汇总表!$J$13&amp;"/"&amp;小圆机汇总表!AA$14),SUMIFS(yj!$H:$H,yj!$B:$B,小圆机汇总表!$A15,yj!$G:$G,小圆机汇总表!$I$13&amp;"/"&amp;小圆机汇总表!$J$13&amp;"/"&amp;小圆机汇总表!AA$14))</f>
        <v>0</v>
      </c>
      <c r="AB15" s="18">
        <f>IF($K$13="件数",SUMIFS(yj!$I:$I,yj!$B:$B,小圆机汇总表!$A15,yj!$G:$G,小圆机汇总表!$I$13&amp;"/"&amp;小圆机汇总表!$J$13&amp;"/"&amp;小圆机汇总表!AB$14),SUMIFS(yj!$H:$H,yj!$B:$B,小圆机汇总表!$A15,yj!$G:$G,小圆机汇总表!$I$13&amp;"/"&amp;小圆机汇总表!$J$13&amp;"/"&amp;小圆机汇总表!AB$14))</f>
        <v>0</v>
      </c>
      <c r="AC15" s="18">
        <f>IF($K$13="件数",SUMIFS(yj!$I:$I,yj!$B:$B,小圆机汇总表!$A15,yj!$G:$G,小圆机汇总表!$I$13&amp;"/"&amp;小圆机汇总表!$J$13&amp;"/"&amp;小圆机汇总表!AC$14),SUMIFS(yj!$H:$H,yj!$B:$B,小圆机汇总表!$A15,yj!$G:$G,小圆机汇总表!$I$13&amp;"/"&amp;小圆机汇总表!$J$13&amp;"/"&amp;小圆机汇总表!AC$14))</f>
        <v>0</v>
      </c>
      <c r="AD15" s="18">
        <f>IF($K$13="件数",SUMIFS(yj!$I:$I,yj!$B:$B,小圆机汇总表!$A15,yj!$G:$G,小圆机汇总表!$I$13&amp;"/"&amp;小圆机汇总表!$J$13&amp;"/"&amp;小圆机汇总表!AD$14),SUMIFS(yj!$H:$H,yj!$B:$B,小圆机汇总表!$A15,yj!$G:$G,小圆机汇总表!$I$13&amp;"/"&amp;小圆机汇总表!$J$13&amp;"/"&amp;小圆机汇总表!AD$14))</f>
        <v>0</v>
      </c>
      <c r="AE15" s="18">
        <f>IF($K$13="件数",SUMIFS(yj!$I:$I,yj!$B:$B,小圆机汇总表!$A15,yj!$G:$G,小圆机汇总表!$I$13&amp;"/"&amp;小圆机汇总表!$J$13&amp;"/"&amp;小圆机汇总表!AE$14),SUMIFS(yj!$H:$H,yj!$B:$B,小圆机汇总表!$A15,yj!$G:$G,小圆机汇总表!$I$13&amp;"/"&amp;小圆机汇总表!$J$13&amp;"/"&amp;小圆机汇总表!AE$14))</f>
        <v>0</v>
      </c>
      <c r="AF15" s="18">
        <f>IF($K$13="件数",SUMIFS(yj!$I:$I,yj!$B:$B,小圆机汇总表!$A15,yj!$G:$G,小圆机汇总表!$I$13&amp;"/"&amp;小圆机汇总表!$J$13&amp;"/"&amp;小圆机汇总表!AF$14),SUMIFS(yj!$H:$H,yj!$B:$B,小圆机汇总表!$A15,yj!$G:$G,小圆机汇总表!$I$13&amp;"/"&amp;小圆机汇总表!$J$13&amp;"/"&amp;小圆机汇总表!AF$14))</f>
        <v>0</v>
      </c>
      <c r="AG15" s="18">
        <f>IF($K$13="件数",SUMIFS(yj!$I:$I,yj!$B:$B,小圆机汇总表!$A15,yj!$G:$G,小圆机汇总表!$I$13&amp;"/"&amp;小圆机汇总表!$J$13&amp;"/"&amp;小圆机汇总表!AG$14),SUMIFS(yj!$H:$H,yj!$B:$B,小圆机汇总表!$A15,yj!$G:$G,小圆机汇总表!$I$13&amp;"/"&amp;小圆机汇总表!$J$13&amp;"/"&amp;小圆机汇总表!AG$14))</f>
        <v>0</v>
      </c>
      <c r="AH15" s="18">
        <f>IF($K$13="件数",SUMIFS(yj!$I:$I,yj!$B:$B,小圆机汇总表!$A15,yj!$G:$G,小圆机汇总表!$I$13&amp;"/"&amp;小圆机汇总表!$J$13&amp;"/"&amp;小圆机汇总表!AH$14),SUMIFS(yj!$H:$H,yj!$B:$B,小圆机汇总表!$A15,yj!$G:$G,小圆机汇总表!$I$13&amp;"/"&amp;小圆机汇总表!$J$13&amp;"/"&amp;小圆机汇总表!AH$14))</f>
        <v>0</v>
      </c>
      <c r="AI15" s="18">
        <f>IF($K$13="件数",SUMIFS(yj!$I:$I,yj!$B:$B,小圆机汇总表!$A15,yj!$G:$G,小圆机汇总表!$I$13&amp;"/"&amp;小圆机汇总表!$J$13&amp;"/"&amp;小圆机汇总表!AI$14),SUMIFS(yj!$H:$H,yj!$B:$B,小圆机汇总表!$A15,yj!$G:$G,小圆机汇总表!$I$13&amp;"/"&amp;小圆机汇总表!$J$13&amp;"/"&amp;小圆机汇总表!AI$14))</f>
        <v>0</v>
      </c>
      <c r="AJ15" s="18">
        <f>IF($K$13="件数",SUMIFS(yj!$I:$I,yj!$B:$B,小圆机汇总表!$A15,yj!$G:$G,小圆机汇总表!$I$13&amp;"/"&amp;小圆机汇总表!$J$13&amp;"/"&amp;小圆机汇总表!AJ$14),SUMIFS(yj!$H:$H,yj!$B:$B,小圆机汇总表!$A15,yj!$G:$G,小圆机汇总表!$I$13&amp;"/"&amp;小圆机汇总表!$J$13&amp;"/"&amp;小圆机汇总表!AJ$14))</f>
        <v>0</v>
      </c>
      <c r="AK15" s="18">
        <f>IF($K$13="件数",SUMIFS(yj!$I:$I,yj!$B:$B,小圆机汇总表!$A15,yj!$G:$G,小圆机汇总表!$I$13&amp;"/"&amp;小圆机汇总表!$J$13&amp;"/"&amp;小圆机汇总表!AK$14),SUMIFS(yj!$H:$H,yj!$B:$B,小圆机汇总表!$A15,yj!$G:$G,小圆机汇总表!$I$13&amp;"/"&amp;小圆机汇总表!$J$13&amp;"/"&amp;小圆机汇总表!AK$14))</f>
        <v>0</v>
      </c>
      <c r="AL15" s="18">
        <f>IF($K$13="件数",SUMIFS(yj!$I:$I,yj!$B:$B,小圆机汇总表!$A15,yj!$G:$G,小圆机汇总表!$I$13&amp;"/"&amp;小圆机汇总表!$J$13&amp;"/"&amp;小圆机汇总表!AL$14),SUMIFS(yj!$H:$H,yj!$B:$B,小圆机汇总表!$A15,yj!$G:$G,小圆机汇总表!$I$13&amp;"/"&amp;小圆机汇总表!$J$13&amp;"/"&amp;小圆机汇总表!AL$14))</f>
        <v>0</v>
      </c>
      <c r="AM15" s="18">
        <f>IF($K$13="件数",SUMIFS(yj!$I:$I,yj!$B:$B,小圆机汇总表!$A15,yj!$G:$G,小圆机汇总表!$I$13&amp;"/"&amp;小圆机汇总表!$J$13&amp;"/"&amp;小圆机汇总表!AM$14),SUMIFS(yj!$H:$H,yj!$B:$B,小圆机汇总表!$A15,yj!$G:$G,小圆机汇总表!$I$13&amp;"/"&amp;小圆机汇总表!$J$13&amp;"/"&amp;小圆机汇总表!AM$14))</f>
        <v>0</v>
      </c>
      <c r="AN15" s="18">
        <f>IF($K$13="件数",SUMIFS(yj!$I:$I,yj!$B:$B,小圆机汇总表!$A15,yj!$G:$G,小圆机汇总表!$I$13&amp;"/"&amp;小圆机汇总表!$J$13&amp;"/"&amp;小圆机汇总表!AN$14),SUMIFS(yj!$H:$H,yj!$B:$B,小圆机汇总表!$A15,yj!$G:$G,小圆机汇总表!$I$13&amp;"/"&amp;小圆机汇总表!$J$13&amp;"/"&amp;小圆机汇总表!AN$14))</f>
        <v>0</v>
      </c>
      <c r="AO15" s="18">
        <f>IF($K$13="件数",SUMIFS(yj!$I:$I,yj!$B:$B,小圆机汇总表!$A15,yj!$G:$G,小圆机汇总表!$I$13&amp;"/"&amp;小圆机汇总表!$J$13&amp;"/"&amp;小圆机汇总表!AO$14),SUMIFS(yj!$H:$H,yj!$B:$B,小圆机汇总表!$A15,yj!$G:$G,小圆机汇总表!$I$13&amp;"/"&amp;小圆机汇总表!$J$13&amp;"/"&amp;小圆机汇总表!AO$14))</f>
        <v>0</v>
      </c>
      <c r="AP15" s="18">
        <f>IF($K$13="件数",SUMIFS(yj!$I:$I,yj!$B:$B,小圆机汇总表!$A15,yj!$G:$G,小圆机汇总表!$I$13&amp;"/"&amp;小圆机汇总表!$J$13&amp;"/"&amp;小圆机汇总表!AP$14),SUMIFS(yj!$H:$H,yj!$B:$B,小圆机汇总表!$A15,yj!$G:$G,小圆机汇总表!$I$13&amp;"/"&amp;小圆机汇总表!$J$13&amp;"/"&amp;小圆机汇总表!AP$14))</f>
        <v>0</v>
      </c>
      <c r="AQ15" s="18">
        <f>IF($K$13="件数",SUMIFS(yj!$I:$I,yj!$B:$B,小圆机汇总表!$A15,yj!$G:$G,小圆机汇总表!$I$13&amp;"/"&amp;小圆机汇总表!$J$13&amp;"/"&amp;小圆机汇总表!AQ$14),SUMIFS(yj!$H:$H,yj!$B:$B,小圆机汇总表!$A15,yj!$G:$G,小圆机汇总表!$I$13&amp;"/"&amp;小圆机汇总表!$J$13&amp;"/"&amp;小圆机汇总表!AQ$14))</f>
        <v>0</v>
      </c>
    </row>
    <row r="16" spans="1:43" ht="18" hidden="1" customHeight="1">
      <c r="A16" s="182" t="s">
        <v>1004</v>
      </c>
      <c r="B16" s="176" t="s">
        <v>16</v>
      </c>
      <c r="C16" s="17">
        <v>30</v>
      </c>
      <c r="D16" s="17" t="s">
        <v>20</v>
      </c>
      <c r="E16" s="182" t="s">
        <v>2</v>
      </c>
      <c r="F16" s="182">
        <v>160</v>
      </c>
      <c r="G16" s="182">
        <v>23</v>
      </c>
      <c r="H16" s="176" t="s">
        <v>810</v>
      </c>
      <c r="I16" s="182"/>
      <c r="J16" s="182">
        <f ca="1">IF(SUMIFS(yj!$I:$I,yj!$B:$B,小圆机汇总表!A16,yj!$G:$G,小圆机汇总表!$L$13)&gt;0,SUMIFS(yj!$H:$H,yj!$B:$B,小圆机汇总表!A16,yj!$G:$G,小圆机汇总表!$L$13),0)</f>
        <v>0</v>
      </c>
      <c r="K16" s="15">
        <f>SUMIFS(yj!$H:$H,yj!$B:$B,小圆机汇总表!A16,yj!$M:$M,小圆机汇总表!$J$13)</f>
        <v>273.60000000000002</v>
      </c>
      <c r="L16" s="15">
        <f>SUMIFS(yj!$I:$I,yj!$B:$B,小圆机汇总表!A16,yj!$M:$M,小圆机汇总表!$J$13)</f>
        <v>15</v>
      </c>
      <c r="M16" s="18">
        <f>IF($K$13="件数",SUMIFS(yj!$I:$I,yj!$B:$B,小圆机汇总表!$A16,yj!$G:$G,小圆机汇总表!$I$13&amp;"/"&amp;小圆机汇总表!$J$13&amp;"/"&amp;小圆机汇总表!M$14),SUMIFS(yj!$H:$H,yj!$B:$B,小圆机汇总表!$A16,yj!$G:$G,小圆机汇总表!$I$13&amp;"/"&amp;小圆机汇总表!$J$13&amp;"/"&amp;小圆机汇总表!M$14))</f>
        <v>56.7</v>
      </c>
      <c r="N16" s="18">
        <f>IF($K$13="件数",SUMIFS(yj!$I:$I,yj!$B:$B,小圆机汇总表!$A16,yj!$G:$G,小圆机汇总表!$I$13&amp;"/"&amp;小圆机汇总表!$J$13&amp;"/"&amp;小圆机汇总表!N$14),SUMIFS(yj!$H:$H,yj!$B:$B,小圆机汇总表!$A16,yj!$G:$G,小圆机汇总表!$I$13&amp;"/"&amp;小圆机汇总表!$J$13&amp;"/"&amp;小圆机汇总表!N$14))</f>
        <v>56.7</v>
      </c>
      <c r="O16" s="18">
        <f>IF($K$13="件数",SUMIFS(yj!$I:$I,yj!$B:$B,小圆机汇总表!$A16,yj!$G:$G,小圆机汇总表!$I$13&amp;"/"&amp;小圆机汇总表!$J$13&amp;"/"&amp;小圆机汇总表!O$14),SUMIFS(yj!$H:$H,yj!$B:$B,小圆机汇总表!$A16,yj!$G:$G,小圆机汇总表!$I$13&amp;"/"&amp;小圆机汇总表!$J$13&amp;"/"&amp;小圆机汇总表!O$14))</f>
        <v>56.7</v>
      </c>
      <c r="P16" s="18">
        <f>IF($K$13="件数",SUMIFS(yj!$I:$I,yj!$B:$B,小圆机汇总表!$A16,yj!$G:$G,小圆机汇总表!$I$13&amp;"/"&amp;小圆机汇总表!$J$13&amp;"/"&amp;小圆机汇总表!P$14),SUMIFS(yj!$H:$H,yj!$B:$B,小圆机汇总表!$A16,yj!$G:$G,小圆机汇总表!$I$13&amp;"/"&amp;小圆机汇总表!$J$13&amp;"/"&amp;小圆机汇总表!P$14))</f>
        <v>56.7</v>
      </c>
      <c r="Q16" s="18">
        <f>IF($K$13="件数",SUMIFS(yj!$I:$I,yj!$B:$B,小圆机汇总表!$A16,yj!$G:$G,小圆机汇总表!$I$13&amp;"/"&amp;小圆机汇总表!$J$13&amp;"/"&amp;小圆机汇总表!Q$14),SUMIFS(yj!$H:$H,yj!$B:$B,小圆机汇总表!$A16,yj!$G:$G,小圆机汇总表!$I$13&amp;"/"&amp;小圆机汇总表!$J$13&amp;"/"&amp;小圆机汇总表!Q$14))</f>
        <v>46.8</v>
      </c>
      <c r="R16" s="18">
        <f>IF($K$13="件数",SUMIFS(yj!$I:$I,yj!$B:$B,小圆机汇总表!$A16,yj!$G:$G,小圆机汇总表!$I$13&amp;"/"&amp;小圆机汇总表!$J$13&amp;"/"&amp;小圆机汇总表!R$14),SUMIFS(yj!$H:$H,yj!$B:$B,小圆机汇总表!$A16,yj!$G:$G,小圆机汇总表!$I$13&amp;"/"&amp;小圆机汇总表!$J$13&amp;"/"&amp;小圆机汇总表!R$14))</f>
        <v>0</v>
      </c>
      <c r="S16" s="18">
        <f>IF($K$13="件数",SUMIFS(yj!$I:$I,yj!$B:$B,小圆机汇总表!$A16,yj!$G:$G,小圆机汇总表!$I$13&amp;"/"&amp;小圆机汇总表!$J$13&amp;"/"&amp;小圆机汇总表!S$14),SUMIFS(yj!$H:$H,yj!$B:$B,小圆机汇总表!$A16,yj!$G:$G,小圆机汇总表!$I$13&amp;"/"&amp;小圆机汇总表!$J$13&amp;"/"&amp;小圆机汇总表!S$14))</f>
        <v>0</v>
      </c>
      <c r="T16" s="18">
        <f>IF($K$13="件数",SUMIFS(yj!$I:$I,yj!$B:$B,小圆机汇总表!$A16,yj!$G:$G,小圆机汇总表!$I$13&amp;"/"&amp;小圆机汇总表!$J$13&amp;"/"&amp;小圆机汇总表!T$14),SUMIFS(yj!$H:$H,yj!$B:$B,小圆机汇总表!$A16,yj!$G:$G,小圆机汇总表!$I$13&amp;"/"&amp;小圆机汇总表!$J$13&amp;"/"&amp;小圆机汇总表!T$14))</f>
        <v>0</v>
      </c>
      <c r="U16" s="18">
        <f>IF($K$13="件数",SUMIFS(yj!$I:$I,yj!$B:$B,小圆机汇总表!$A16,yj!$G:$G,小圆机汇总表!$I$13&amp;"/"&amp;小圆机汇总表!$J$13&amp;"/"&amp;小圆机汇总表!U$14),SUMIFS(yj!$H:$H,yj!$B:$B,小圆机汇总表!$A16,yj!$G:$G,小圆机汇总表!$I$13&amp;"/"&amp;小圆机汇总表!$J$13&amp;"/"&amp;小圆机汇总表!U$14))</f>
        <v>0</v>
      </c>
      <c r="V16" s="18">
        <f>IF($K$13="件数",SUMIFS(yj!$I:$I,yj!$B:$B,小圆机汇总表!$A16,yj!$G:$G,小圆机汇总表!$I$13&amp;"/"&amp;小圆机汇总表!$J$13&amp;"/"&amp;小圆机汇总表!V$14),SUMIFS(yj!$H:$H,yj!$B:$B,小圆机汇总表!$A16,yj!$G:$G,小圆机汇总表!$I$13&amp;"/"&amp;小圆机汇总表!$J$13&amp;"/"&amp;小圆机汇总表!V$14))</f>
        <v>0</v>
      </c>
      <c r="W16" s="18">
        <f>IF($K$13="件数",SUMIFS(yj!$I:$I,yj!$B:$B,小圆机汇总表!$A16,yj!$G:$G,小圆机汇总表!$I$13&amp;"/"&amp;小圆机汇总表!$J$13&amp;"/"&amp;小圆机汇总表!W$14),SUMIFS(yj!$H:$H,yj!$B:$B,小圆机汇总表!$A16,yj!$G:$G,小圆机汇总表!$I$13&amp;"/"&amp;小圆机汇总表!$J$13&amp;"/"&amp;小圆机汇总表!W$14))</f>
        <v>0</v>
      </c>
      <c r="X16" s="18">
        <f>IF($K$13="件数",SUMIFS(yj!$I:$I,yj!$B:$B,小圆机汇总表!$A16,yj!$G:$G,小圆机汇总表!$I$13&amp;"/"&amp;小圆机汇总表!$J$13&amp;"/"&amp;小圆机汇总表!X$14),SUMIFS(yj!$H:$H,yj!$B:$B,小圆机汇总表!$A16,yj!$G:$G,小圆机汇总表!$I$13&amp;"/"&amp;小圆机汇总表!$J$13&amp;"/"&amp;小圆机汇总表!X$14))</f>
        <v>0</v>
      </c>
      <c r="Y16" s="18">
        <f>IF($K$13="件数",SUMIFS(yj!$I:$I,yj!$B:$B,小圆机汇总表!$A16,yj!$G:$G,小圆机汇总表!$I$13&amp;"/"&amp;小圆机汇总表!$J$13&amp;"/"&amp;小圆机汇总表!Y$14),SUMIFS(yj!$H:$H,yj!$B:$B,小圆机汇总表!$A16,yj!$G:$G,小圆机汇总表!$I$13&amp;"/"&amp;小圆机汇总表!$J$13&amp;"/"&amp;小圆机汇总表!Y$14))</f>
        <v>0</v>
      </c>
      <c r="Z16" s="18">
        <f>IF($K$13="件数",SUMIFS(yj!$I:$I,yj!$B:$B,小圆机汇总表!$A16,yj!$G:$G,小圆机汇总表!$I$13&amp;"/"&amp;小圆机汇总表!$J$13&amp;"/"&amp;小圆机汇总表!Z$14),SUMIFS(yj!$H:$H,yj!$B:$B,小圆机汇总表!$A16,yj!$G:$G,小圆机汇总表!$I$13&amp;"/"&amp;小圆机汇总表!$J$13&amp;"/"&amp;小圆机汇总表!Z$14))</f>
        <v>0</v>
      </c>
      <c r="AA16" s="18">
        <f>IF($K$13="件数",SUMIFS(yj!$I:$I,yj!$B:$B,小圆机汇总表!$A16,yj!$G:$G,小圆机汇总表!$I$13&amp;"/"&amp;小圆机汇总表!$J$13&amp;"/"&amp;小圆机汇总表!AA$14),SUMIFS(yj!$H:$H,yj!$B:$B,小圆机汇总表!$A16,yj!$G:$G,小圆机汇总表!$I$13&amp;"/"&amp;小圆机汇总表!$J$13&amp;"/"&amp;小圆机汇总表!AA$14))</f>
        <v>0</v>
      </c>
      <c r="AB16" s="18">
        <f>IF($K$13="件数",SUMIFS(yj!$I:$I,yj!$B:$B,小圆机汇总表!$A16,yj!$G:$G,小圆机汇总表!$I$13&amp;"/"&amp;小圆机汇总表!$J$13&amp;"/"&amp;小圆机汇总表!AB$14),SUMIFS(yj!$H:$H,yj!$B:$B,小圆机汇总表!$A16,yj!$G:$G,小圆机汇总表!$I$13&amp;"/"&amp;小圆机汇总表!$J$13&amp;"/"&amp;小圆机汇总表!AB$14))</f>
        <v>0</v>
      </c>
      <c r="AC16" s="18">
        <f>IF($K$13="件数",SUMIFS(yj!$I:$I,yj!$B:$B,小圆机汇总表!$A16,yj!$G:$G,小圆机汇总表!$I$13&amp;"/"&amp;小圆机汇总表!$J$13&amp;"/"&amp;小圆机汇总表!AC$14),SUMIFS(yj!$H:$H,yj!$B:$B,小圆机汇总表!$A16,yj!$G:$G,小圆机汇总表!$I$13&amp;"/"&amp;小圆机汇总表!$J$13&amp;"/"&amp;小圆机汇总表!AC$14))</f>
        <v>0</v>
      </c>
      <c r="AD16" s="18">
        <f>IF($K$13="件数",SUMIFS(yj!$I:$I,yj!$B:$B,小圆机汇总表!$A16,yj!$G:$G,小圆机汇总表!$I$13&amp;"/"&amp;小圆机汇总表!$J$13&amp;"/"&amp;小圆机汇总表!AD$14),SUMIFS(yj!$H:$H,yj!$B:$B,小圆机汇总表!$A16,yj!$G:$G,小圆机汇总表!$I$13&amp;"/"&amp;小圆机汇总表!$J$13&amp;"/"&amp;小圆机汇总表!AD$14))</f>
        <v>0</v>
      </c>
      <c r="AE16" s="18">
        <f>IF($K$13="件数",SUMIFS(yj!$I:$I,yj!$B:$B,小圆机汇总表!$A16,yj!$G:$G,小圆机汇总表!$I$13&amp;"/"&amp;小圆机汇总表!$J$13&amp;"/"&amp;小圆机汇总表!AE$14),SUMIFS(yj!$H:$H,yj!$B:$B,小圆机汇总表!$A16,yj!$G:$G,小圆机汇总表!$I$13&amp;"/"&amp;小圆机汇总表!$J$13&amp;"/"&amp;小圆机汇总表!AE$14))</f>
        <v>0</v>
      </c>
      <c r="AF16" s="18">
        <f>IF($K$13="件数",SUMIFS(yj!$I:$I,yj!$B:$B,小圆机汇总表!$A16,yj!$G:$G,小圆机汇总表!$I$13&amp;"/"&amp;小圆机汇总表!$J$13&amp;"/"&amp;小圆机汇总表!AF$14),SUMIFS(yj!$H:$H,yj!$B:$B,小圆机汇总表!$A16,yj!$G:$G,小圆机汇总表!$I$13&amp;"/"&amp;小圆机汇总表!$J$13&amp;"/"&amp;小圆机汇总表!AF$14))</f>
        <v>0</v>
      </c>
      <c r="AG16" s="18">
        <f>IF($K$13="件数",SUMIFS(yj!$I:$I,yj!$B:$B,小圆机汇总表!$A16,yj!$G:$G,小圆机汇总表!$I$13&amp;"/"&amp;小圆机汇总表!$J$13&amp;"/"&amp;小圆机汇总表!AG$14),SUMIFS(yj!$H:$H,yj!$B:$B,小圆机汇总表!$A16,yj!$G:$G,小圆机汇总表!$I$13&amp;"/"&amp;小圆机汇总表!$J$13&amp;"/"&amp;小圆机汇总表!AG$14))</f>
        <v>0</v>
      </c>
      <c r="AH16" s="18">
        <f>IF($K$13="件数",SUMIFS(yj!$I:$I,yj!$B:$B,小圆机汇总表!$A16,yj!$G:$G,小圆机汇总表!$I$13&amp;"/"&amp;小圆机汇总表!$J$13&amp;"/"&amp;小圆机汇总表!AH$14),SUMIFS(yj!$H:$H,yj!$B:$B,小圆机汇总表!$A16,yj!$G:$G,小圆机汇总表!$I$13&amp;"/"&amp;小圆机汇总表!$J$13&amp;"/"&amp;小圆机汇总表!AH$14))</f>
        <v>0</v>
      </c>
      <c r="AI16" s="18">
        <f>IF($K$13="件数",SUMIFS(yj!$I:$I,yj!$B:$B,小圆机汇总表!$A16,yj!$G:$G,小圆机汇总表!$I$13&amp;"/"&amp;小圆机汇总表!$J$13&amp;"/"&amp;小圆机汇总表!AI$14),SUMIFS(yj!$H:$H,yj!$B:$B,小圆机汇总表!$A16,yj!$G:$G,小圆机汇总表!$I$13&amp;"/"&amp;小圆机汇总表!$J$13&amp;"/"&amp;小圆机汇总表!AI$14))</f>
        <v>0</v>
      </c>
      <c r="AJ16" s="18">
        <f>IF($K$13="件数",SUMIFS(yj!$I:$I,yj!$B:$B,小圆机汇总表!$A16,yj!$G:$G,小圆机汇总表!$I$13&amp;"/"&amp;小圆机汇总表!$J$13&amp;"/"&amp;小圆机汇总表!AJ$14),SUMIFS(yj!$H:$H,yj!$B:$B,小圆机汇总表!$A16,yj!$G:$G,小圆机汇总表!$I$13&amp;"/"&amp;小圆机汇总表!$J$13&amp;"/"&amp;小圆机汇总表!AJ$14))</f>
        <v>0</v>
      </c>
      <c r="AK16" s="18">
        <f>IF($K$13="件数",SUMIFS(yj!$I:$I,yj!$B:$B,小圆机汇总表!$A16,yj!$G:$G,小圆机汇总表!$I$13&amp;"/"&amp;小圆机汇总表!$J$13&amp;"/"&amp;小圆机汇总表!AK$14),SUMIFS(yj!$H:$H,yj!$B:$B,小圆机汇总表!$A16,yj!$G:$G,小圆机汇总表!$I$13&amp;"/"&amp;小圆机汇总表!$J$13&amp;"/"&amp;小圆机汇总表!AK$14))</f>
        <v>0</v>
      </c>
      <c r="AL16" s="18">
        <f>IF($K$13="件数",SUMIFS(yj!$I:$I,yj!$B:$B,小圆机汇总表!$A16,yj!$G:$G,小圆机汇总表!$I$13&amp;"/"&amp;小圆机汇总表!$J$13&amp;"/"&amp;小圆机汇总表!AL$14),SUMIFS(yj!$H:$H,yj!$B:$B,小圆机汇总表!$A16,yj!$G:$G,小圆机汇总表!$I$13&amp;"/"&amp;小圆机汇总表!$J$13&amp;"/"&amp;小圆机汇总表!AL$14))</f>
        <v>0</v>
      </c>
      <c r="AM16" s="18">
        <f>IF($K$13="件数",SUMIFS(yj!$I:$I,yj!$B:$B,小圆机汇总表!$A16,yj!$G:$G,小圆机汇总表!$I$13&amp;"/"&amp;小圆机汇总表!$J$13&amp;"/"&amp;小圆机汇总表!AM$14),SUMIFS(yj!$H:$H,yj!$B:$B,小圆机汇总表!$A16,yj!$G:$G,小圆机汇总表!$I$13&amp;"/"&amp;小圆机汇总表!$J$13&amp;"/"&amp;小圆机汇总表!AM$14))</f>
        <v>0</v>
      </c>
      <c r="AN16" s="18">
        <f>IF($K$13="件数",SUMIFS(yj!$I:$I,yj!$B:$B,小圆机汇总表!$A16,yj!$G:$G,小圆机汇总表!$I$13&amp;"/"&amp;小圆机汇总表!$J$13&amp;"/"&amp;小圆机汇总表!AN$14),SUMIFS(yj!$H:$H,yj!$B:$B,小圆机汇总表!$A16,yj!$G:$G,小圆机汇总表!$I$13&amp;"/"&amp;小圆机汇总表!$J$13&amp;"/"&amp;小圆机汇总表!AN$14))</f>
        <v>0</v>
      </c>
      <c r="AO16" s="18">
        <f>IF($K$13="件数",SUMIFS(yj!$I:$I,yj!$B:$B,小圆机汇总表!$A16,yj!$G:$G,小圆机汇总表!$I$13&amp;"/"&amp;小圆机汇总表!$J$13&amp;"/"&amp;小圆机汇总表!AO$14),SUMIFS(yj!$H:$H,yj!$B:$B,小圆机汇总表!$A16,yj!$G:$G,小圆机汇总表!$I$13&amp;"/"&amp;小圆机汇总表!$J$13&amp;"/"&amp;小圆机汇总表!AO$14))</f>
        <v>0</v>
      </c>
      <c r="AP16" s="18">
        <f>IF($K$13="件数",SUMIFS(yj!$I:$I,yj!$B:$B,小圆机汇总表!$A16,yj!$G:$G,小圆机汇总表!$I$13&amp;"/"&amp;小圆机汇总表!$J$13&amp;"/"&amp;小圆机汇总表!AP$14),SUMIFS(yj!$H:$H,yj!$B:$B,小圆机汇总表!$A16,yj!$G:$G,小圆机汇总表!$I$13&amp;"/"&amp;小圆机汇总表!$J$13&amp;"/"&amp;小圆机汇总表!AP$14))</f>
        <v>0</v>
      </c>
      <c r="AQ16" s="18">
        <f>IF($K$13="件数",SUMIFS(yj!$I:$I,yj!$B:$B,小圆机汇总表!$A16,yj!$G:$G,小圆机汇总表!$I$13&amp;"/"&amp;小圆机汇总表!$J$13&amp;"/"&amp;小圆机汇总表!AQ$14),SUMIFS(yj!$H:$H,yj!$B:$B,小圆机汇总表!$A16,yj!$G:$G,小圆机汇总表!$I$13&amp;"/"&amp;小圆机汇总表!$J$13&amp;"/"&amp;小圆机汇总表!AQ$14))</f>
        <v>0</v>
      </c>
    </row>
    <row r="17" spans="1:43" ht="18" hidden="1" customHeight="1">
      <c r="A17" s="182" t="s">
        <v>1777</v>
      </c>
      <c r="B17" s="14" t="s">
        <v>16</v>
      </c>
      <c r="C17" s="17">
        <v>30</v>
      </c>
      <c r="D17" s="17" t="s">
        <v>20</v>
      </c>
      <c r="E17" s="76" t="s">
        <v>2</v>
      </c>
      <c r="F17" s="76">
        <v>160</v>
      </c>
      <c r="G17" s="76">
        <v>23</v>
      </c>
      <c r="H17" s="176" t="s">
        <v>1778</v>
      </c>
      <c r="I17" s="76"/>
      <c r="J17" s="182">
        <f ca="1">IF(SUMIFS(yj!$I:$I,yj!$B:$B,小圆机汇总表!A17,yj!$G:$G,小圆机汇总表!$L$13)&gt;0,SUMIFS(yj!$H:$H,yj!$B:$B,小圆机汇总表!A17,yj!$G:$G,小圆机汇总表!$L$13),0)</f>
        <v>0</v>
      </c>
      <c r="K17" s="15">
        <f>SUMIFS(yj!$H:$H,yj!$B:$B,小圆机汇总表!A17,yj!$M:$M,小圆机汇总表!$J$13)</f>
        <v>0</v>
      </c>
      <c r="L17" s="15">
        <f>SUMIFS(yj!$I:$I,yj!$B:$B,小圆机汇总表!A17,yj!$M:$M,小圆机汇总表!$J$13)</f>
        <v>0</v>
      </c>
      <c r="M17" s="18">
        <f>IF($K$13="件数",SUMIFS(yj!$I:$I,yj!$B:$B,小圆机汇总表!$A17,yj!$G:$G,小圆机汇总表!$I$13&amp;"/"&amp;小圆机汇总表!$J$13&amp;"/"&amp;小圆机汇总表!M$14),SUMIFS(yj!$H:$H,yj!$B:$B,小圆机汇总表!$A17,yj!$G:$G,小圆机汇总表!$I$13&amp;"/"&amp;小圆机汇总表!$J$13&amp;"/"&amp;小圆机汇总表!M$14))</f>
        <v>0</v>
      </c>
      <c r="N17" s="18">
        <f>IF($K$13="件数",SUMIFS(yj!$I:$I,yj!$B:$B,小圆机汇总表!$A17,yj!$G:$G,小圆机汇总表!$I$13&amp;"/"&amp;小圆机汇总表!$J$13&amp;"/"&amp;小圆机汇总表!N$14),SUMIFS(yj!$H:$H,yj!$B:$B,小圆机汇总表!$A17,yj!$G:$G,小圆机汇总表!$I$13&amp;"/"&amp;小圆机汇总表!$J$13&amp;"/"&amp;小圆机汇总表!N$14))</f>
        <v>0</v>
      </c>
      <c r="O17" s="18">
        <f>IF($K$13="件数",SUMIFS(yj!$I:$I,yj!$B:$B,小圆机汇总表!$A17,yj!$G:$G,小圆机汇总表!$I$13&amp;"/"&amp;小圆机汇总表!$J$13&amp;"/"&amp;小圆机汇总表!O$14),SUMIFS(yj!$H:$H,yj!$B:$B,小圆机汇总表!$A17,yj!$G:$G,小圆机汇总表!$I$13&amp;"/"&amp;小圆机汇总表!$J$13&amp;"/"&amp;小圆机汇总表!O$14))</f>
        <v>0</v>
      </c>
      <c r="P17" s="18">
        <f>IF($K$13="件数",SUMIFS(yj!$I:$I,yj!$B:$B,小圆机汇总表!$A17,yj!$G:$G,小圆机汇总表!$I$13&amp;"/"&amp;小圆机汇总表!$J$13&amp;"/"&amp;小圆机汇总表!P$14),SUMIFS(yj!$H:$H,yj!$B:$B,小圆机汇总表!$A17,yj!$G:$G,小圆机汇总表!$I$13&amp;"/"&amp;小圆机汇总表!$J$13&amp;"/"&amp;小圆机汇总表!P$14))</f>
        <v>0</v>
      </c>
      <c r="Q17" s="18">
        <f>IF($K$13="件数",SUMIFS(yj!$I:$I,yj!$B:$B,小圆机汇总表!$A17,yj!$G:$G,小圆机汇总表!$I$13&amp;"/"&amp;小圆机汇总表!$J$13&amp;"/"&amp;小圆机汇总表!Q$14),SUMIFS(yj!$H:$H,yj!$B:$B,小圆机汇总表!$A17,yj!$G:$G,小圆机汇总表!$I$13&amp;"/"&amp;小圆机汇总表!$J$13&amp;"/"&amp;小圆机汇总表!Q$14))</f>
        <v>0</v>
      </c>
      <c r="R17" s="18">
        <f>IF($K$13="件数",SUMIFS(yj!$I:$I,yj!$B:$B,小圆机汇总表!$A17,yj!$G:$G,小圆机汇总表!$I$13&amp;"/"&amp;小圆机汇总表!$J$13&amp;"/"&amp;小圆机汇总表!R$14),SUMIFS(yj!$H:$H,yj!$B:$B,小圆机汇总表!$A17,yj!$G:$G,小圆机汇总表!$I$13&amp;"/"&amp;小圆机汇总表!$J$13&amp;"/"&amp;小圆机汇总表!R$14))</f>
        <v>0</v>
      </c>
      <c r="S17" s="18">
        <f>IF($K$13="件数",SUMIFS(yj!$I:$I,yj!$B:$B,小圆机汇总表!$A17,yj!$G:$G,小圆机汇总表!$I$13&amp;"/"&amp;小圆机汇总表!$J$13&amp;"/"&amp;小圆机汇总表!S$14),SUMIFS(yj!$H:$H,yj!$B:$B,小圆机汇总表!$A17,yj!$G:$G,小圆机汇总表!$I$13&amp;"/"&amp;小圆机汇总表!$J$13&amp;"/"&amp;小圆机汇总表!S$14))</f>
        <v>0</v>
      </c>
      <c r="T17" s="18">
        <f>IF($K$13="件数",SUMIFS(yj!$I:$I,yj!$B:$B,小圆机汇总表!$A17,yj!$G:$G,小圆机汇总表!$I$13&amp;"/"&amp;小圆机汇总表!$J$13&amp;"/"&amp;小圆机汇总表!T$14),SUMIFS(yj!$H:$H,yj!$B:$B,小圆机汇总表!$A17,yj!$G:$G,小圆机汇总表!$I$13&amp;"/"&amp;小圆机汇总表!$J$13&amp;"/"&amp;小圆机汇总表!T$14))</f>
        <v>0</v>
      </c>
      <c r="U17" s="18">
        <f>IF($K$13="件数",SUMIFS(yj!$I:$I,yj!$B:$B,小圆机汇总表!$A17,yj!$G:$G,小圆机汇总表!$I$13&amp;"/"&amp;小圆机汇总表!$J$13&amp;"/"&amp;小圆机汇总表!U$14),SUMIFS(yj!$H:$H,yj!$B:$B,小圆机汇总表!$A17,yj!$G:$G,小圆机汇总表!$I$13&amp;"/"&amp;小圆机汇总表!$J$13&amp;"/"&amp;小圆机汇总表!U$14))</f>
        <v>0</v>
      </c>
      <c r="V17" s="18">
        <f>IF($K$13="件数",SUMIFS(yj!$I:$I,yj!$B:$B,小圆机汇总表!$A17,yj!$G:$G,小圆机汇总表!$I$13&amp;"/"&amp;小圆机汇总表!$J$13&amp;"/"&amp;小圆机汇总表!V$14),SUMIFS(yj!$H:$H,yj!$B:$B,小圆机汇总表!$A17,yj!$G:$G,小圆机汇总表!$I$13&amp;"/"&amp;小圆机汇总表!$J$13&amp;"/"&amp;小圆机汇总表!V$14))</f>
        <v>0</v>
      </c>
      <c r="W17" s="18">
        <f>IF($K$13="件数",SUMIFS(yj!$I:$I,yj!$B:$B,小圆机汇总表!$A17,yj!$G:$G,小圆机汇总表!$I$13&amp;"/"&amp;小圆机汇总表!$J$13&amp;"/"&amp;小圆机汇总表!W$14),SUMIFS(yj!$H:$H,yj!$B:$B,小圆机汇总表!$A17,yj!$G:$G,小圆机汇总表!$I$13&amp;"/"&amp;小圆机汇总表!$J$13&amp;"/"&amp;小圆机汇总表!W$14))</f>
        <v>0</v>
      </c>
      <c r="X17" s="18">
        <f>IF($K$13="件数",SUMIFS(yj!$I:$I,yj!$B:$B,小圆机汇总表!$A17,yj!$G:$G,小圆机汇总表!$I$13&amp;"/"&amp;小圆机汇总表!$J$13&amp;"/"&amp;小圆机汇总表!X$14),SUMIFS(yj!$H:$H,yj!$B:$B,小圆机汇总表!$A17,yj!$G:$G,小圆机汇总表!$I$13&amp;"/"&amp;小圆机汇总表!$J$13&amp;"/"&amp;小圆机汇总表!X$14))</f>
        <v>0</v>
      </c>
      <c r="Y17" s="18">
        <f>IF($K$13="件数",SUMIFS(yj!$I:$I,yj!$B:$B,小圆机汇总表!$A17,yj!$G:$G,小圆机汇总表!$I$13&amp;"/"&amp;小圆机汇总表!$J$13&amp;"/"&amp;小圆机汇总表!Y$14),SUMIFS(yj!$H:$H,yj!$B:$B,小圆机汇总表!$A17,yj!$G:$G,小圆机汇总表!$I$13&amp;"/"&amp;小圆机汇总表!$J$13&amp;"/"&amp;小圆机汇总表!Y$14))</f>
        <v>0</v>
      </c>
      <c r="Z17" s="18">
        <f>IF($K$13="件数",SUMIFS(yj!$I:$I,yj!$B:$B,小圆机汇总表!$A17,yj!$G:$G,小圆机汇总表!$I$13&amp;"/"&amp;小圆机汇总表!$J$13&amp;"/"&amp;小圆机汇总表!Z$14),SUMIFS(yj!$H:$H,yj!$B:$B,小圆机汇总表!$A17,yj!$G:$G,小圆机汇总表!$I$13&amp;"/"&amp;小圆机汇总表!$J$13&amp;"/"&amp;小圆机汇总表!Z$14))</f>
        <v>0</v>
      </c>
      <c r="AA17" s="18">
        <f>IF($K$13="件数",SUMIFS(yj!$I:$I,yj!$B:$B,小圆机汇总表!$A17,yj!$G:$G,小圆机汇总表!$I$13&amp;"/"&amp;小圆机汇总表!$J$13&amp;"/"&amp;小圆机汇总表!AA$14),SUMIFS(yj!$H:$H,yj!$B:$B,小圆机汇总表!$A17,yj!$G:$G,小圆机汇总表!$I$13&amp;"/"&amp;小圆机汇总表!$J$13&amp;"/"&amp;小圆机汇总表!AA$14))</f>
        <v>0</v>
      </c>
      <c r="AB17" s="18">
        <f>IF($K$13="件数",SUMIFS(yj!$I:$I,yj!$B:$B,小圆机汇总表!$A17,yj!$G:$G,小圆机汇总表!$I$13&amp;"/"&amp;小圆机汇总表!$J$13&amp;"/"&amp;小圆机汇总表!AB$14),SUMIFS(yj!$H:$H,yj!$B:$B,小圆机汇总表!$A17,yj!$G:$G,小圆机汇总表!$I$13&amp;"/"&amp;小圆机汇总表!$J$13&amp;"/"&amp;小圆机汇总表!AB$14))</f>
        <v>0</v>
      </c>
      <c r="AC17" s="18">
        <f>IF($K$13="件数",SUMIFS(yj!$I:$I,yj!$B:$B,小圆机汇总表!$A17,yj!$G:$G,小圆机汇总表!$I$13&amp;"/"&amp;小圆机汇总表!$J$13&amp;"/"&amp;小圆机汇总表!AC$14),SUMIFS(yj!$H:$H,yj!$B:$B,小圆机汇总表!$A17,yj!$G:$G,小圆机汇总表!$I$13&amp;"/"&amp;小圆机汇总表!$J$13&amp;"/"&amp;小圆机汇总表!AC$14))</f>
        <v>0</v>
      </c>
      <c r="AD17" s="18">
        <f>IF($K$13="件数",SUMIFS(yj!$I:$I,yj!$B:$B,小圆机汇总表!$A17,yj!$G:$G,小圆机汇总表!$I$13&amp;"/"&amp;小圆机汇总表!$J$13&amp;"/"&amp;小圆机汇总表!AD$14),SUMIFS(yj!$H:$H,yj!$B:$B,小圆机汇总表!$A17,yj!$G:$G,小圆机汇总表!$I$13&amp;"/"&amp;小圆机汇总表!$J$13&amp;"/"&amp;小圆机汇总表!AD$14))</f>
        <v>0</v>
      </c>
      <c r="AE17" s="18">
        <f>IF($K$13="件数",SUMIFS(yj!$I:$I,yj!$B:$B,小圆机汇总表!$A17,yj!$G:$G,小圆机汇总表!$I$13&amp;"/"&amp;小圆机汇总表!$J$13&amp;"/"&amp;小圆机汇总表!AE$14),SUMIFS(yj!$H:$H,yj!$B:$B,小圆机汇总表!$A17,yj!$G:$G,小圆机汇总表!$I$13&amp;"/"&amp;小圆机汇总表!$J$13&amp;"/"&amp;小圆机汇总表!AE$14))</f>
        <v>0</v>
      </c>
      <c r="AF17" s="18">
        <f>IF($K$13="件数",SUMIFS(yj!$I:$I,yj!$B:$B,小圆机汇总表!$A17,yj!$G:$G,小圆机汇总表!$I$13&amp;"/"&amp;小圆机汇总表!$J$13&amp;"/"&amp;小圆机汇总表!AF$14),SUMIFS(yj!$H:$H,yj!$B:$B,小圆机汇总表!$A17,yj!$G:$G,小圆机汇总表!$I$13&amp;"/"&amp;小圆机汇总表!$J$13&amp;"/"&amp;小圆机汇总表!AF$14))</f>
        <v>0</v>
      </c>
      <c r="AG17" s="18">
        <f>IF($K$13="件数",SUMIFS(yj!$I:$I,yj!$B:$B,小圆机汇总表!$A17,yj!$G:$G,小圆机汇总表!$I$13&amp;"/"&amp;小圆机汇总表!$J$13&amp;"/"&amp;小圆机汇总表!AG$14),SUMIFS(yj!$H:$H,yj!$B:$B,小圆机汇总表!$A17,yj!$G:$G,小圆机汇总表!$I$13&amp;"/"&amp;小圆机汇总表!$J$13&amp;"/"&amp;小圆机汇总表!AG$14))</f>
        <v>0</v>
      </c>
      <c r="AH17" s="18">
        <f>IF($K$13="件数",SUMIFS(yj!$I:$I,yj!$B:$B,小圆机汇总表!$A17,yj!$G:$G,小圆机汇总表!$I$13&amp;"/"&amp;小圆机汇总表!$J$13&amp;"/"&amp;小圆机汇总表!AH$14),SUMIFS(yj!$H:$H,yj!$B:$B,小圆机汇总表!$A17,yj!$G:$G,小圆机汇总表!$I$13&amp;"/"&amp;小圆机汇总表!$J$13&amp;"/"&amp;小圆机汇总表!AH$14))</f>
        <v>0</v>
      </c>
      <c r="AI17" s="18">
        <f>IF($K$13="件数",SUMIFS(yj!$I:$I,yj!$B:$B,小圆机汇总表!$A17,yj!$G:$G,小圆机汇总表!$I$13&amp;"/"&amp;小圆机汇总表!$J$13&amp;"/"&amp;小圆机汇总表!AI$14),SUMIFS(yj!$H:$H,yj!$B:$B,小圆机汇总表!$A17,yj!$G:$G,小圆机汇总表!$I$13&amp;"/"&amp;小圆机汇总表!$J$13&amp;"/"&amp;小圆机汇总表!AI$14))</f>
        <v>0</v>
      </c>
      <c r="AJ17" s="18">
        <f>IF($K$13="件数",SUMIFS(yj!$I:$I,yj!$B:$B,小圆机汇总表!$A17,yj!$G:$G,小圆机汇总表!$I$13&amp;"/"&amp;小圆机汇总表!$J$13&amp;"/"&amp;小圆机汇总表!AJ$14),SUMIFS(yj!$H:$H,yj!$B:$B,小圆机汇总表!$A17,yj!$G:$G,小圆机汇总表!$I$13&amp;"/"&amp;小圆机汇总表!$J$13&amp;"/"&amp;小圆机汇总表!AJ$14))</f>
        <v>0</v>
      </c>
      <c r="AK17" s="18">
        <f>IF($K$13="件数",SUMIFS(yj!$I:$I,yj!$B:$B,小圆机汇总表!$A17,yj!$G:$G,小圆机汇总表!$I$13&amp;"/"&amp;小圆机汇总表!$J$13&amp;"/"&amp;小圆机汇总表!AK$14),SUMIFS(yj!$H:$H,yj!$B:$B,小圆机汇总表!$A17,yj!$G:$G,小圆机汇总表!$I$13&amp;"/"&amp;小圆机汇总表!$J$13&amp;"/"&amp;小圆机汇总表!AK$14))</f>
        <v>0</v>
      </c>
      <c r="AL17" s="18">
        <f>IF($K$13="件数",SUMIFS(yj!$I:$I,yj!$B:$B,小圆机汇总表!$A17,yj!$G:$G,小圆机汇总表!$I$13&amp;"/"&amp;小圆机汇总表!$J$13&amp;"/"&amp;小圆机汇总表!AL$14),SUMIFS(yj!$H:$H,yj!$B:$B,小圆机汇总表!$A17,yj!$G:$G,小圆机汇总表!$I$13&amp;"/"&amp;小圆机汇总表!$J$13&amp;"/"&amp;小圆机汇总表!AL$14))</f>
        <v>0</v>
      </c>
      <c r="AM17" s="18">
        <f>IF($K$13="件数",SUMIFS(yj!$I:$I,yj!$B:$B,小圆机汇总表!$A17,yj!$G:$G,小圆机汇总表!$I$13&amp;"/"&amp;小圆机汇总表!$J$13&amp;"/"&amp;小圆机汇总表!AM$14),SUMIFS(yj!$H:$H,yj!$B:$B,小圆机汇总表!$A17,yj!$G:$G,小圆机汇总表!$I$13&amp;"/"&amp;小圆机汇总表!$J$13&amp;"/"&amp;小圆机汇总表!AM$14))</f>
        <v>0</v>
      </c>
      <c r="AN17" s="18">
        <f>IF($K$13="件数",SUMIFS(yj!$I:$I,yj!$B:$B,小圆机汇总表!$A17,yj!$G:$G,小圆机汇总表!$I$13&amp;"/"&amp;小圆机汇总表!$J$13&amp;"/"&amp;小圆机汇总表!AN$14),SUMIFS(yj!$H:$H,yj!$B:$B,小圆机汇总表!$A17,yj!$G:$G,小圆机汇总表!$I$13&amp;"/"&amp;小圆机汇总表!$J$13&amp;"/"&amp;小圆机汇总表!AN$14))</f>
        <v>0</v>
      </c>
      <c r="AO17" s="18">
        <f>IF($K$13="件数",SUMIFS(yj!$I:$I,yj!$B:$B,小圆机汇总表!$A17,yj!$G:$G,小圆机汇总表!$I$13&amp;"/"&amp;小圆机汇总表!$J$13&amp;"/"&amp;小圆机汇总表!AO$14),SUMIFS(yj!$H:$H,yj!$B:$B,小圆机汇总表!$A17,yj!$G:$G,小圆机汇总表!$I$13&amp;"/"&amp;小圆机汇总表!$J$13&amp;"/"&amp;小圆机汇总表!AO$14))</f>
        <v>0</v>
      </c>
      <c r="AP17" s="18">
        <f>IF($K$13="件数",SUMIFS(yj!$I:$I,yj!$B:$B,小圆机汇总表!$A17,yj!$G:$G,小圆机汇总表!$I$13&amp;"/"&amp;小圆机汇总表!$J$13&amp;"/"&amp;小圆机汇总表!AP$14),SUMIFS(yj!$H:$H,yj!$B:$B,小圆机汇总表!$A17,yj!$G:$G,小圆机汇总表!$I$13&amp;"/"&amp;小圆机汇总表!$J$13&amp;"/"&amp;小圆机汇总表!AP$14))</f>
        <v>0</v>
      </c>
      <c r="AQ17" s="18">
        <f>IF($K$13="件数",SUMIFS(yj!$I:$I,yj!$B:$B,小圆机汇总表!$A17,yj!$G:$G,小圆机汇总表!$I$13&amp;"/"&amp;小圆机汇总表!$J$13&amp;"/"&amp;小圆机汇总表!AQ$14),SUMIFS(yj!$H:$H,yj!$B:$B,小圆机汇总表!$A17,yj!$G:$G,小圆机汇总表!$I$13&amp;"/"&amp;小圆机汇总表!$J$13&amp;"/"&amp;小圆机汇总表!AQ$14))</f>
        <v>0</v>
      </c>
    </row>
    <row r="18" spans="1:43" ht="18" hidden="1" customHeight="1">
      <c r="A18" s="13" t="s">
        <v>25</v>
      </c>
      <c r="B18" s="14" t="s">
        <v>26</v>
      </c>
      <c r="C18" s="17">
        <v>30</v>
      </c>
      <c r="D18" s="17" t="s">
        <v>27</v>
      </c>
      <c r="E18" s="13" t="s">
        <v>2</v>
      </c>
      <c r="F18" s="13">
        <v>160</v>
      </c>
      <c r="G18" s="13">
        <v>23</v>
      </c>
      <c r="H18" s="14" t="s">
        <v>28</v>
      </c>
      <c r="I18" s="13"/>
      <c r="J18" s="182">
        <f ca="1">IF(SUMIFS(yj!$I:$I,yj!$B:$B,小圆机汇总表!A18,yj!$G:$G,小圆机汇总表!$L$13)&gt;0,SUMIFS(yj!$H:$H,yj!$B:$B,小圆机汇总表!A18,yj!$G:$G,小圆机汇总表!$L$13),0)</f>
        <v>0</v>
      </c>
      <c r="K18" s="15">
        <f>SUMIFS(yj!$H:$H,yj!$B:$B,小圆机汇总表!A18,yj!$M:$M,小圆机汇总表!$J$13)</f>
        <v>0</v>
      </c>
      <c r="L18" s="15">
        <f>SUMIFS(yj!$I:$I,yj!$B:$B,小圆机汇总表!A18,yj!$M:$M,小圆机汇总表!$J$13)</f>
        <v>0</v>
      </c>
      <c r="M18" s="18">
        <f>IF($K$13="件数",SUMIFS(yj!$I:$I,yj!$B:$B,小圆机汇总表!$A18,yj!$G:$G,小圆机汇总表!$I$13&amp;"/"&amp;小圆机汇总表!$J$13&amp;"/"&amp;小圆机汇总表!M$14),SUMIFS(yj!$H:$H,yj!$B:$B,小圆机汇总表!$A18,yj!$G:$G,小圆机汇总表!$I$13&amp;"/"&amp;小圆机汇总表!$J$13&amp;"/"&amp;小圆机汇总表!M$14))</f>
        <v>0</v>
      </c>
      <c r="N18" s="18">
        <f>IF($K$13="件数",SUMIFS(yj!$I:$I,yj!$B:$B,小圆机汇总表!$A18,yj!$G:$G,小圆机汇总表!$I$13&amp;"/"&amp;小圆机汇总表!$J$13&amp;"/"&amp;小圆机汇总表!N$14),SUMIFS(yj!$H:$H,yj!$B:$B,小圆机汇总表!$A18,yj!$G:$G,小圆机汇总表!$I$13&amp;"/"&amp;小圆机汇总表!$J$13&amp;"/"&amp;小圆机汇总表!N$14))</f>
        <v>0</v>
      </c>
      <c r="O18" s="18">
        <f>IF($K$13="件数",SUMIFS(yj!$I:$I,yj!$B:$B,小圆机汇总表!$A18,yj!$G:$G,小圆机汇总表!$I$13&amp;"/"&amp;小圆机汇总表!$J$13&amp;"/"&amp;小圆机汇总表!O$14),SUMIFS(yj!$H:$H,yj!$B:$B,小圆机汇总表!$A18,yj!$G:$G,小圆机汇总表!$I$13&amp;"/"&amp;小圆机汇总表!$J$13&amp;"/"&amp;小圆机汇总表!O$14))</f>
        <v>0</v>
      </c>
      <c r="P18" s="18">
        <f>IF($K$13="件数",SUMIFS(yj!$I:$I,yj!$B:$B,小圆机汇总表!$A18,yj!$G:$G,小圆机汇总表!$I$13&amp;"/"&amp;小圆机汇总表!$J$13&amp;"/"&amp;小圆机汇总表!P$14),SUMIFS(yj!$H:$H,yj!$B:$B,小圆机汇总表!$A18,yj!$G:$G,小圆机汇总表!$I$13&amp;"/"&amp;小圆机汇总表!$J$13&amp;"/"&amp;小圆机汇总表!P$14))</f>
        <v>0</v>
      </c>
      <c r="Q18" s="18">
        <f>IF($K$13="件数",SUMIFS(yj!$I:$I,yj!$B:$B,小圆机汇总表!$A18,yj!$G:$G,小圆机汇总表!$I$13&amp;"/"&amp;小圆机汇总表!$J$13&amp;"/"&amp;小圆机汇总表!Q$14),SUMIFS(yj!$H:$H,yj!$B:$B,小圆机汇总表!$A18,yj!$G:$G,小圆机汇总表!$I$13&amp;"/"&amp;小圆机汇总表!$J$13&amp;"/"&amp;小圆机汇总表!Q$14))</f>
        <v>0</v>
      </c>
      <c r="R18" s="18">
        <f>IF($K$13="件数",SUMIFS(yj!$I:$I,yj!$B:$B,小圆机汇总表!$A18,yj!$G:$G,小圆机汇总表!$I$13&amp;"/"&amp;小圆机汇总表!$J$13&amp;"/"&amp;小圆机汇总表!R$14),SUMIFS(yj!$H:$H,yj!$B:$B,小圆机汇总表!$A18,yj!$G:$G,小圆机汇总表!$I$13&amp;"/"&amp;小圆机汇总表!$J$13&amp;"/"&amp;小圆机汇总表!R$14))</f>
        <v>0</v>
      </c>
      <c r="S18" s="18">
        <f>IF($K$13="件数",SUMIFS(yj!$I:$I,yj!$B:$B,小圆机汇总表!$A18,yj!$G:$G,小圆机汇总表!$I$13&amp;"/"&amp;小圆机汇总表!$J$13&amp;"/"&amp;小圆机汇总表!S$14),SUMIFS(yj!$H:$H,yj!$B:$B,小圆机汇总表!$A18,yj!$G:$G,小圆机汇总表!$I$13&amp;"/"&amp;小圆机汇总表!$J$13&amp;"/"&amp;小圆机汇总表!S$14))</f>
        <v>0</v>
      </c>
      <c r="T18" s="18">
        <f>IF($K$13="件数",SUMIFS(yj!$I:$I,yj!$B:$B,小圆机汇总表!$A18,yj!$G:$G,小圆机汇总表!$I$13&amp;"/"&amp;小圆机汇总表!$J$13&amp;"/"&amp;小圆机汇总表!T$14),SUMIFS(yj!$H:$H,yj!$B:$B,小圆机汇总表!$A18,yj!$G:$G,小圆机汇总表!$I$13&amp;"/"&amp;小圆机汇总表!$J$13&amp;"/"&amp;小圆机汇总表!T$14))</f>
        <v>0</v>
      </c>
      <c r="U18" s="18">
        <f>IF($K$13="件数",SUMIFS(yj!$I:$I,yj!$B:$B,小圆机汇总表!$A18,yj!$G:$G,小圆机汇总表!$I$13&amp;"/"&amp;小圆机汇总表!$J$13&amp;"/"&amp;小圆机汇总表!U$14),SUMIFS(yj!$H:$H,yj!$B:$B,小圆机汇总表!$A18,yj!$G:$G,小圆机汇总表!$I$13&amp;"/"&amp;小圆机汇总表!$J$13&amp;"/"&amp;小圆机汇总表!U$14))</f>
        <v>0</v>
      </c>
      <c r="V18" s="18">
        <f>IF($K$13="件数",SUMIFS(yj!$I:$I,yj!$B:$B,小圆机汇总表!$A18,yj!$G:$G,小圆机汇总表!$I$13&amp;"/"&amp;小圆机汇总表!$J$13&amp;"/"&amp;小圆机汇总表!V$14),SUMIFS(yj!$H:$H,yj!$B:$B,小圆机汇总表!$A18,yj!$G:$G,小圆机汇总表!$I$13&amp;"/"&amp;小圆机汇总表!$J$13&amp;"/"&amp;小圆机汇总表!V$14))</f>
        <v>0</v>
      </c>
      <c r="W18" s="18">
        <f>IF($K$13="件数",SUMIFS(yj!$I:$I,yj!$B:$B,小圆机汇总表!$A18,yj!$G:$G,小圆机汇总表!$I$13&amp;"/"&amp;小圆机汇总表!$J$13&amp;"/"&amp;小圆机汇总表!W$14),SUMIFS(yj!$H:$H,yj!$B:$B,小圆机汇总表!$A18,yj!$G:$G,小圆机汇总表!$I$13&amp;"/"&amp;小圆机汇总表!$J$13&amp;"/"&amp;小圆机汇总表!W$14))</f>
        <v>0</v>
      </c>
      <c r="X18" s="18">
        <f>IF($K$13="件数",SUMIFS(yj!$I:$I,yj!$B:$B,小圆机汇总表!$A18,yj!$G:$G,小圆机汇总表!$I$13&amp;"/"&amp;小圆机汇总表!$J$13&amp;"/"&amp;小圆机汇总表!X$14),SUMIFS(yj!$H:$H,yj!$B:$B,小圆机汇总表!$A18,yj!$G:$G,小圆机汇总表!$I$13&amp;"/"&amp;小圆机汇总表!$J$13&amp;"/"&amp;小圆机汇总表!X$14))</f>
        <v>0</v>
      </c>
      <c r="Y18" s="18">
        <f>IF($K$13="件数",SUMIFS(yj!$I:$I,yj!$B:$B,小圆机汇总表!$A18,yj!$G:$G,小圆机汇总表!$I$13&amp;"/"&amp;小圆机汇总表!$J$13&amp;"/"&amp;小圆机汇总表!Y$14),SUMIFS(yj!$H:$H,yj!$B:$B,小圆机汇总表!$A18,yj!$G:$G,小圆机汇总表!$I$13&amp;"/"&amp;小圆机汇总表!$J$13&amp;"/"&amp;小圆机汇总表!Y$14))</f>
        <v>0</v>
      </c>
      <c r="Z18" s="18">
        <f>IF($K$13="件数",SUMIFS(yj!$I:$I,yj!$B:$B,小圆机汇总表!$A18,yj!$G:$G,小圆机汇总表!$I$13&amp;"/"&amp;小圆机汇总表!$J$13&amp;"/"&amp;小圆机汇总表!Z$14),SUMIFS(yj!$H:$H,yj!$B:$B,小圆机汇总表!$A18,yj!$G:$G,小圆机汇总表!$I$13&amp;"/"&amp;小圆机汇总表!$J$13&amp;"/"&amp;小圆机汇总表!Z$14))</f>
        <v>0</v>
      </c>
      <c r="AA18" s="18">
        <f>IF($K$13="件数",SUMIFS(yj!$I:$I,yj!$B:$B,小圆机汇总表!$A18,yj!$G:$G,小圆机汇总表!$I$13&amp;"/"&amp;小圆机汇总表!$J$13&amp;"/"&amp;小圆机汇总表!AA$14),SUMIFS(yj!$H:$H,yj!$B:$B,小圆机汇总表!$A18,yj!$G:$G,小圆机汇总表!$I$13&amp;"/"&amp;小圆机汇总表!$J$13&amp;"/"&amp;小圆机汇总表!AA$14))</f>
        <v>0</v>
      </c>
      <c r="AB18" s="18">
        <f>IF($K$13="件数",SUMIFS(yj!$I:$I,yj!$B:$B,小圆机汇总表!$A18,yj!$G:$G,小圆机汇总表!$I$13&amp;"/"&amp;小圆机汇总表!$J$13&amp;"/"&amp;小圆机汇总表!AB$14),SUMIFS(yj!$H:$H,yj!$B:$B,小圆机汇总表!$A18,yj!$G:$G,小圆机汇总表!$I$13&amp;"/"&amp;小圆机汇总表!$J$13&amp;"/"&amp;小圆机汇总表!AB$14))</f>
        <v>0</v>
      </c>
      <c r="AC18" s="18">
        <f>IF($K$13="件数",SUMIFS(yj!$I:$I,yj!$B:$B,小圆机汇总表!$A18,yj!$G:$G,小圆机汇总表!$I$13&amp;"/"&amp;小圆机汇总表!$J$13&amp;"/"&amp;小圆机汇总表!AC$14),SUMIFS(yj!$H:$H,yj!$B:$B,小圆机汇总表!$A18,yj!$G:$G,小圆机汇总表!$I$13&amp;"/"&amp;小圆机汇总表!$J$13&amp;"/"&amp;小圆机汇总表!AC$14))</f>
        <v>0</v>
      </c>
      <c r="AD18" s="18">
        <f>IF($K$13="件数",SUMIFS(yj!$I:$I,yj!$B:$B,小圆机汇总表!$A18,yj!$G:$G,小圆机汇总表!$I$13&amp;"/"&amp;小圆机汇总表!$J$13&amp;"/"&amp;小圆机汇总表!AD$14),SUMIFS(yj!$H:$H,yj!$B:$B,小圆机汇总表!$A18,yj!$G:$G,小圆机汇总表!$I$13&amp;"/"&amp;小圆机汇总表!$J$13&amp;"/"&amp;小圆机汇总表!AD$14))</f>
        <v>0</v>
      </c>
      <c r="AE18" s="18">
        <f>IF($K$13="件数",SUMIFS(yj!$I:$I,yj!$B:$B,小圆机汇总表!$A18,yj!$G:$G,小圆机汇总表!$I$13&amp;"/"&amp;小圆机汇总表!$J$13&amp;"/"&amp;小圆机汇总表!AE$14),SUMIFS(yj!$H:$H,yj!$B:$B,小圆机汇总表!$A18,yj!$G:$G,小圆机汇总表!$I$13&amp;"/"&amp;小圆机汇总表!$J$13&amp;"/"&amp;小圆机汇总表!AE$14))</f>
        <v>0</v>
      </c>
      <c r="AF18" s="18">
        <f>IF($K$13="件数",SUMIFS(yj!$I:$I,yj!$B:$B,小圆机汇总表!$A18,yj!$G:$G,小圆机汇总表!$I$13&amp;"/"&amp;小圆机汇总表!$J$13&amp;"/"&amp;小圆机汇总表!AF$14),SUMIFS(yj!$H:$H,yj!$B:$B,小圆机汇总表!$A18,yj!$G:$G,小圆机汇总表!$I$13&amp;"/"&amp;小圆机汇总表!$J$13&amp;"/"&amp;小圆机汇总表!AF$14))</f>
        <v>0</v>
      </c>
      <c r="AG18" s="18">
        <f>IF($K$13="件数",SUMIFS(yj!$I:$I,yj!$B:$B,小圆机汇总表!$A18,yj!$G:$G,小圆机汇总表!$I$13&amp;"/"&amp;小圆机汇总表!$J$13&amp;"/"&amp;小圆机汇总表!AG$14),SUMIFS(yj!$H:$H,yj!$B:$B,小圆机汇总表!$A18,yj!$G:$G,小圆机汇总表!$I$13&amp;"/"&amp;小圆机汇总表!$J$13&amp;"/"&amp;小圆机汇总表!AG$14))</f>
        <v>0</v>
      </c>
      <c r="AH18" s="18">
        <f>IF($K$13="件数",SUMIFS(yj!$I:$I,yj!$B:$B,小圆机汇总表!$A18,yj!$G:$G,小圆机汇总表!$I$13&amp;"/"&amp;小圆机汇总表!$J$13&amp;"/"&amp;小圆机汇总表!AH$14),SUMIFS(yj!$H:$H,yj!$B:$B,小圆机汇总表!$A18,yj!$G:$G,小圆机汇总表!$I$13&amp;"/"&amp;小圆机汇总表!$J$13&amp;"/"&amp;小圆机汇总表!AH$14))</f>
        <v>0</v>
      </c>
      <c r="AI18" s="18">
        <f>IF($K$13="件数",SUMIFS(yj!$I:$I,yj!$B:$B,小圆机汇总表!$A18,yj!$G:$G,小圆机汇总表!$I$13&amp;"/"&amp;小圆机汇总表!$J$13&amp;"/"&amp;小圆机汇总表!AI$14),SUMIFS(yj!$H:$H,yj!$B:$B,小圆机汇总表!$A18,yj!$G:$G,小圆机汇总表!$I$13&amp;"/"&amp;小圆机汇总表!$J$13&amp;"/"&amp;小圆机汇总表!AI$14))</f>
        <v>0</v>
      </c>
      <c r="AJ18" s="18">
        <f>IF($K$13="件数",SUMIFS(yj!$I:$I,yj!$B:$B,小圆机汇总表!$A18,yj!$G:$G,小圆机汇总表!$I$13&amp;"/"&amp;小圆机汇总表!$J$13&amp;"/"&amp;小圆机汇总表!AJ$14),SUMIFS(yj!$H:$H,yj!$B:$B,小圆机汇总表!$A18,yj!$G:$G,小圆机汇总表!$I$13&amp;"/"&amp;小圆机汇总表!$J$13&amp;"/"&amp;小圆机汇总表!AJ$14))</f>
        <v>0</v>
      </c>
      <c r="AK18" s="18">
        <f>IF($K$13="件数",SUMIFS(yj!$I:$I,yj!$B:$B,小圆机汇总表!$A18,yj!$G:$G,小圆机汇总表!$I$13&amp;"/"&amp;小圆机汇总表!$J$13&amp;"/"&amp;小圆机汇总表!AK$14),SUMIFS(yj!$H:$H,yj!$B:$B,小圆机汇总表!$A18,yj!$G:$G,小圆机汇总表!$I$13&amp;"/"&amp;小圆机汇总表!$J$13&amp;"/"&amp;小圆机汇总表!AK$14))</f>
        <v>0</v>
      </c>
      <c r="AL18" s="18">
        <f>IF($K$13="件数",SUMIFS(yj!$I:$I,yj!$B:$B,小圆机汇总表!$A18,yj!$G:$G,小圆机汇总表!$I$13&amp;"/"&amp;小圆机汇总表!$J$13&amp;"/"&amp;小圆机汇总表!AL$14),SUMIFS(yj!$H:$H,yj!$B:$B,小圆机汇总表!$A18,yj!$G:$G,小圆机汇总表!$I$13&amp;"/"&amp;小圆机汇总表!$J$13&amp;"/"&amp;小圆机汇总表!AL$14))</f>
        <v>0</v>
      </c>
      <c r="AM18" s="18">
        <f>IF($K$13="件数",SUMIFS(yj!$I:$I,yj!$B:$B,小圆机汇总表!$A18,yj!$G:$G,小圆机汇总表!$I$13&amp;"/"&amp;小圆机汇总表!$J$13&amp;"/"&amp;小圆机汇总表!AM$14),SUMIFS(yj!$H:$H,yj!$B:$B,小圆机汇总表!$A18,yj!$G:$G,小圆机汇总表!$I$13&amp;"/"&amp;小圆机汇总表!$J$13&amp;"/"&amp;小圆机汇总表!AM$14))</f>
        <v>0</v>
      </c>
      <c r="AN18" s="18">
        <f>IF($K$13="件数",SUMIFS(yj!$I:$I,yj!$B:$B,小圆机汇总表!$A18,yj!$G:$G,小圆机汇总表!$I$13&amp;"/"&amp;小圆机汇总表!$J$13&amp;"/"&amp;小圆机汇总表!AN$14),SUMIFS(yj!$H:$H,yj!$B:$B,小圆机汇总表!$A18,yj!$G:$G,小圆机汇总表!$I$13&amp;"/"&amp;小圆机汇总表!$J$13&amp;"/"&amp;小圆机汇总表!AN$14))</f>
        <v>0</v>
      </c>
      <c r="AO18" s="18">
        <f>IF($K$13="件数",SUMIFS(yj!$I:$I,yj!$B:$B,小圆机汇总表!$A18,yj!$G:$G,小圆机汇总表!$I$13&amp;"/"&amp;小圆机汇总表!$J$13&amp;"/"&amp;小圆机汇总表!AO$14),SUMIFS(yj!$H:$H,yj!$B:$B,小圆机汇总表!$A18,yj!$G:$G,小圆机汇总表!$I$13&amp;"/"&amp;小圆机汇总表!$J$13&amp;"/"&amp;小圆机汇总表!AO$14))</f>
        <v>0</v>
      </c>
      <c r="AP18" s="18">
        <f>IF($K$13="件数",SUMIFS(yj!$I:$I,yj!$B:$B,小圆机汇总表!$A18,yj!$G:$G,小圆机汇总表!$I$13&amp;"/"&amp;小圆机汇总表!$J$13&amp;"/"&amp;小圆机汇总表!AP$14),SUMIFS(yj!$H:$H,yj!$B:$B,小圆机汇总表!$A18,yj!$G:$G,小圆机汇总表!$I$13&amp;"/"&amp;小圆机汇总表!$J$13&amp;"/"&amp;小圆机汇总表!AP$14))</f>
        <v>0</v>
      </c>
      <c r="AQ18" s="18">
        <f>IF($K$13="件数",SUMIFS(yj!$I:$I,yj!$B:$B,小圆机汇总表!$A18,yj!$G:$G,小圆机汇总表!$I$13&amp;"/"&amp;小圆机汇总表!$J$13&amp;"/"&amp;小圆机汇总表!AQ$14),SUMIFS(yj!$H:$H,yj!$B:$B,小圆机汇总表!$A18,yj!$G:$G,小圆机汇总表!$I$13&amp;"/"&amp;小圆机汇总表!$J$13&amp;"/"&amp;小圆机汇总表!AQ$14))</f>
        <v>0</v>
      </c>
    </row>
    <row r="19" spans="1:43" ht="18" hidden="1" customHeight="1">
      <c r="A19" s="182" t="s">
        <v>1780</v>
      </c>
      <c r="B19" s="176" t="s">
        <v>26</v>
      </c>
      <c r="C19" s="17">
        <v>30</v>
      </c>
      <c r="D19" s="17" t="s">
        <v>27</v>
      </c>
      <c r="E19" s="182" t="s">
        <v>2</v>
      </c>
      <c r="F19" s="182">
        <v>160</v>
      </c>
      <c r="G19" s="182">
        <v>23</v>
      </c>
      <c r="H19" s="176" t="s">
        <v>810</v>
      </c>
      <c r="I19" s="182"/>
      <c r="J19" s="182">
        <f ca="1">IF(SUMIFS(yj!$I:$I,yj!$B:$B,小圆机汇总表!A19,yj!$G:$G,小圆机汇总表!$L$13)&gt;0,SUMIFS(yj!$H:$H,yj!$B:$B,小圆机汇总表!A19,yj!$G:$G,小圆机汇总表!$L$13),0)</f>
        <v>0</v>
      </c>
      <c r="K19" s="15">
        <f>SUMIFS(yj!$H:$H,yj!$B:$B,小圆机汇总表!A19,yj!$M:$M,小圆机汇总表!$J$13)</f>
        <v>414.3</v>
      </c>
      <c r="L19" s="15">
        <f>SUMIFS(yj!$I:$I,yj!$B:$B,小圆机汇总表!A19,yj!$M:$M,小圆机汇总表!$J$13)</f>
        <v>22</v>
      </c>
      <c r="M19" s="18">
        <f>IF($K$13="件数",SUMIFS(yj!$I:$I,yj!$B:$B,小圆机汇总表!$A19,yj!$G:$G,小圆机汇总表!$I$13&amp;"/"&amp;小圆机汇总表!$J$13&amp;"/"&amp;小圆机汇总表!M$14),SUMIFS(yj!$H:$H,yj!$B:$B,小圆机汇总表!$A19,yj!$G:$G,小圆机汇总表!$I$13&amp;"/"&amp;小圆机汇总表!$J$13&amp;"/"&amp;小圆机汇总表!M$14))</f>
        <v>95.1</v>
      </c>
      <c r="N19" s="18">
        <f>IF($K$13="件数",SUMIFS(yj!$I:$I,yj!$B:$B,小圆机汇总表!$A19,yj!$G:$G,小圆机汇总表!$I$13&amp;"/"&amp;小圆机汇总表!$J$13&amp;"/"&amp;小圆机汇总表!N$14),SUMIFS(yj!$H:$H,yj!$B:$B,小圆机汇总表!$A19,yj!$G:$G,小圆机汇总表!$I$13&amp;"/"&amp;小圆机汇总表!$J$13&amp;"/"&amp;小圆机汇总表!N$14))</f>
        <v>94.9</v>
      </c>
      <c r="O19" s="18">
        <f>IF($K$13="件数",SUMIFS(yj!$I:$I,yj!$B:$B,小圆机汇总表!$A19,yj!$G:$G,小圆机汇总表!$I$13&amp;"/"&amp;小圆机汇总表!$J$13&amp;"/"&amp;小圆机汇总表!O$14),SUMIFS(yj!$H:$H,yj!$B:$B,小圆机汇总表!$A19,yj!$G:$G,小圆机汇总表!$I$13&amp;"/"&amp;小圆机汇总表!$J$13&amp;"/"&amp;小圆机汇总表!O$14))</f>
        <v>114</v>
      </c>
      <c r="P19" s="18">
        <f>IF($K$13="件数",SUMIFS(yj!$I:$I,yj!$B:$B,小圆机汇总表!$A19,yj!$G:$G,小圆机汇总表!$I$13&amp;"/"&amp;小圆机汇总表!$J$13&amp;"/"&amp;小圆机汇总表!P$14),SUMIFS(yj!$H:$H,yj!$B:$B,小圆机汇总表!$A19,yj!$G:$G,小圆机汇总表!$I$13&amp;"/"&amp;小圆机汇总表!$J$13&amp;"/"&amp;小圆机汇总表!P$14))</f>
        <v>94.3</v>
      </c>
      <c r="Q19" s="18">
        <f>IF($K$13="件数",SUMIFS(yj!$I:$I,yj!$B:$B,小圆机汇总表!$A19,yj!$G:$G,小圆机汇总表!$I$13&amp;"/"&amp;小圆机汇总表!$J$13&amp;"/"&amp;小圆机汇总表!Q$14),SUMIFS(yj!$H:$H,yj!$B:$B,小圆机汇总表!$A19,yj!$G:$G,小圆机汇总表!$I$13&amp;"/"&amp;小圆机汇总表!$J$13&amp;"/"&amp;小圆机汇总表!Q$14))</f>
        <v>16</v>
      </c>
      <c r="R19" s="18">
        <f>IF($K$13="件数",SUMIFS(yj!$I:$I,yj!$B:$B,小圆机汇总表!$A19,yj!$G:$G,小圆机汇总表!$I$13&amp;"/"&amp;小圆机汇总表!$J$13&amp;"/"&amp;小圆机汇总表!R$14),SUMIFS(yj!$H:$H,yj!$B:$B,小圆机汇总表!$A19,yj!$G:$G,小圆机汇总表!$I$13&amp;"/"&amp;小圆机汇总表!$J$13&amp;"/"&amp;小圆机汇总表!R$14))</f>
        <v>0</v>
      </c>
      <c r="S19" s="18">
        <f>IF($K$13="件数",SUMIFS(yj!$I:$I,yj!$B:$B,小圆机汇总表!$A19,yj!$G:$G,小圆机汇总表!$I$13&amp;"/"&amp;小圆机汇总表!$J$13&amp;"/"&amp;小圆机汇总表!S$14),SUMIFS(yj!$H:$H,yj!$B:$B,小圆机汇总表!$A19,yj!$G:$G,小圆机汇总表!$I$13&amp;"/"&amp;小圆机汇总表!$J$13&amp;"/"&amp;小圆机汇总表!S$14))</f>
        <v>0</v>
      </c>
      <c r="T19" s="18">
        <f>IF($K$13="件数",SUMIFS(yj!$I:$I,yj!$B:$B,小圆机汇总表!$A19,yj!$G:$G,小圆机汇总表!$I$13&amp;"/"&amp;小圆机汇总表!$J$13&amp;"/"&amp;小圆机汇总表!T$14),SUMIFS(yj!$H:$H,yj!$B:$B,小圆机汇总表!$A19,yj!$G:$G,小圆机汇总表!$I$13&amp;"/"&amp;小圆机汇总表!$J$13&amp;"/"&amp;小圆机汇总表!T$14))</f>
        <v>0</v>
      </c>
      <c r="U19" s="18">
        <f>IF($K$13="件数",SUMIFS(yj!$I:$I,yj!$B:$B,小圆机汇总表!$A19,yj!$G:$G,小圆机汇总表!$I$13&amp;"/"&amp;小圆机汇总表!$J$13&amp;"/"&amp;小圆机汇总表!U$14),SUMIFS(yj!$H:$H,yj!$B:$B,小圆机汇总表!$A19,yj!$G:$G,小圆机汇总表!$I$13&amp;"/"&amp;小圆机汇总表!$J$13&amp;"/"&amp;小圆机汇总表!U$14))</f>
        <v>0</v>
      </c>
      <c r="V19" s="18">
        <f>IF($K$13="件数",SUMIFS(yj!$I:$I,yj!$B:$B,小圆机汇总表!$A19,yj!$G:$G,小圆机汇总表!$I$13&amp;"/"&amp;小圆机汇总表!$J$13&amp;"/"&amp;小圆机汇总表!V$14),SUMIFS(yj!$H:$H,yj!$B:$B,小圆机汇总表!$A19,yj!$G:$G,小圆机汇总表!$I$13&amp;"/"&amp;小圆机汇总表!$J$13&amp;"/"&amp;小圆机汇总表!V$14))</f>
        <v>0</v>
      </c>
      <c r="W19" s="18">
        <f>IF($K$13="件数",SUMIFS(yj!$I:$I,yj!$B:$B,小圆机汇总表!$A19,yj!$G:$G,小圆机汇总表!$I$13&amp;"/"&amp;小圆机汇总表!$J$13&amp;"/"&amp;小圆机汇总表!W$14),SUMIFS(yj!$H:$H,yj!$B:$B,小圆机汇总表!$A19,yj!$G:$G,小圆机汇总表!$I$13&amp;"/"&amp;小圆机汇总表!$J$13&amp;"/"&amp;小圆机汇总表!W$14))</f>
        <v>0</v>
      </c>
      <c r="X19" s="18">
        <f>IF($K$13="件数",SUMIFS(yj!$I:$I,yj!$B:$B,小圆机汇总表!$A19,yj!$G:$G,小圆机汇总表!$I$13&amp;"/"&amp;小圆机汇总表!$J$13&amp;"/"&amp;小圆机汇总表!X$14),SUMIFS(yj!$H:$H,yj!$B:$B,小圆机汇总表!$A19,yj!$G:$G,小圆机汇总表!$I$13&amp;"/"&amp;小圆机汇总表!$J$13&amp;"/"&amp;小圆机汇总表!X$14))</f>
        <v>0</v>
      </c>
      <c r="Y19" s="18">
        <f>IF($K$13="件数",SUMIFS(yj!$I:$I,yj!$B:$B,小圆机汇总表!$A19,yj!$G:$G,小圆机汇总表!$I$13&amp;"/"&amp;小圆机汇总表!$J$13&amp;"/"&amp;小圆机汇总表!Y$14),SUMIFS(yj!$H:$H,yj!$B:$B,小圆机汇总表!$A19,yj!$G:$G,小圆机汇总表!$I$13&amp;"/"&amp;小圆机汇总表!$J$13&amp;"/"&amp;小圆机汇总表!Y$14))</f>
        <v>0</v>
      </c>
      <c r="Z19" s="18">
        <f>IF($K$13="件数",SUMIFS(yj!$I:$I,yj!$B:$B,小圆机汇总表!$A19,yj!$G:$G,小圆机汇总表!$I$13&amp;"/"&amp;小圆机汇总表!$J$13&amp;"/"&amp;小圆机汇总表!Z$14),SUMIFS(yj!$H:$H,yj!$B:$B,小圆机汇总表!$A19,yj!$G:$G,小圆机汇总表!$I$13&amp;"/"&amp;小圆机汇总表!$J$13&amp;"/"&amp;小圆机汇总表!Z$14))</f>
        <v>0</v>
      </c>
      <c r="AA19" s="18">
        <f>IF($K$13="件数",SUMIFS(yj!$I:$I,yj!$B:$B,小圆机汇总表!$A19,yj!$G:$G,小圆机汇总表!$I$13&amp;"/"&amp;小圆机汇总表!$J$13&amp;"/"&amp;小圆机汇总表!AA$14),SUMIFS(yj!$H:$H,yj!$B:$B,小圆机汇总表!$A19,yj!$G:$G,小圆机汇总表!$I$13&amp;"/"&amp;小圆机汇总表!$J$13&amp;"/"&amp;小圆机汇总表!AA$14))</f>
        <v>0</v>
      </c>
      <c r="AB19" s="18">
        <f>IF($K$13="件数",SUMIFS(yj!$I:$I,yj!$B:$B,小圆机汇总表!$A19,yj!$G:$G,小圆机汇总表!$I$13&amp;"/"&amp;小圆机汇总表!$J$13&amp;"/"&amp;小圆机汇总表!AB$14),SUMIFS(yj!$H:$H,yj!$B:$B,小圆机汇总表!$A19,yj!$G:$G,小圆机汇总表!$I$13&amp;"/"&amp;小圆机汇总表!$J$13&amp;"/"&amp;小圆机汇总表!AB$14))</f>
        <v>0</v>
      </c>
      <c r="AC19" s="18">
        <f>IF($K$13="件数",SUMIFS(yj!$I:$I,yj!$B:$B,小圆机汇总表!$A19,yj!$G:$G,小圆机汇总表!$I$13&amp;"/"&amp;小圆机汇总表!$J$13&amp;"/"&amp;小圆机汇总表!AC$14),SUMIFS(yj!$H:$H,yj!$B:$B,小圆机汇总表!$A19,yj!$G:$G,小圆机汇总表!$I$13&amp;"/"&amp;小圆机汇总表!$J$13&amp;"/"&amp;小圆机汇总表!AC$14))</f>
        <v>0</v>
      </c>
      <c r="AD19" s="18">
        <f>IF($K$13="件数",SUMIFS(yj!$I:$I,yj!$B:$B,小圆机汇总表!$A19,yj!$G:$G,小圆机汇总表!$I$13&amp;"/"&amp;小圆机汇总表!$J$13&amp;"/"&amp;小圆机汇总表!AD$14),SUMIFS(yj!$H:$H,yj!$B:$B,小圆机汇总表!$A19,yj!$G:$G,小圆机汇总表!$I$13&amp;"/"&amp;小圆机汇总表!$J$13&amp;"/"&amp;小圆机汇总表!AD$14))</f>
        <v>0</v>
      </c>
      <c r="AE19" s="18">
        <f>IF($K$13="件数",SUMIFS(yj!$I:$I,yj!$B:$B,小圆机汇总表!$A19,yj!$G:$G,小圆机汇总表!$I$13&amp;"/"&amp;小圆机汇总表!$J$13&amp;"/"&amp;小圆机汇总表!AE$14),SUMIFS(yj!$H:$H,yj!$B:$B,小圆机汇总表!$A19,yj!$G:$G,小圆机汇总表!$I$13&amp;"/"&amp;小圆机汇总表!$J$13&amp;"/"&amp;小圆机汇总表!AE$14))</f>
        <v>0</v>
      </c>
      <c r="AF19" s="18">
        <f>IF($K$13="件数",SUMIFS(yj!$I:$I,yj!$B:$B,小圆机汇总表!$A19,yj!$G:$G,小圆机汇总表!$I$13&amp;"/"&amp;小圆机汇总表!$J$13&amp;"/"&amp;小圆机汇总表!AF$14),SUMIFS(yj!$H:$H,yj!$B:$B,小圆机汇总表!$A19,yj!$G:$G,小圆机汇总表!$I$13&amp;"/"&amp;小圆机汇总表!$J$13&amp;"/"&amp;小圆机汇总表!AF$14))</f>
        <v>0</v>
      </c>
      <c r="AG19" s="18">
        <f>IF($K$13="件数",SUMIFS(yj!$I:$I,yj!$B:$B,小圆机汇总表!$A19,yj!$G:$G,小圆机汇总表!$I$13&amp;"/"&amp;小圆机汇总表!$J$13&amp;"/"&amp;小圆机汇总表!AG$14),SUMIFS(yj!$H:$H,yj!$B:$B,小圆机汇总表!$A19,yj!$G:$G,小圆机汇总表!$I$13&amp;"/"&amp;小圆机汇总表!$J$13&amp;"/"&amp;小圆机汇总表!AG$14))</f>
        <v>0</v>
      </c>
      <c r="AH19" s="18">
        <f>IF($K$13="件数",SUMIFS(yj!$I:$I,yj!$B:$B,小圆机汇总表!$A19,yj!$G:$G,小圆机汇总表!$I$13&amp;"/"&amp;小圆机汇总表!$J$13&amp;"/"&amp;小圆机汇总表!AH$14),SUMIFS(yj!$H:$H,yj!$B:$B,小圆机汇总表!$A19,yj!$G:$G,小圆机汇总表!$I$13&amp;"/"&amp;小圆机汇总表!$J$13&amp;"/"&amp;小圆机汇总表!AH$14))</f>
        <v>0</v>
      </c>
      <c r="AI19" s="18">
        <f>IF($K$13="件数",SUMIFS(yj!$I:$I,yj!$B:$B,小圆机汇总表!$A19,yj!$G:$G,小圆机汇总表!$I$13&amp;"/"&amp;小圆机汇总表!$J$13&amp;"/"&amp;小圆机汇总表!AI$14),SUMIFS(yj!$H:$H,yj!$B:$B,小圆机汇总表!$A19,yj!$G:$G,小圆机汇总表!$I$13&amp;"/"&amp;小圆机汇总表!$J$13&amp;"/"&amp;小圆机汇总表!AI$14))</f>
        <v>0</v>
      </c>
      <c r="AJ19" s="18">
        <f>IF($K$13="件数",SUMIFS(yj!$I:$I,yj!$B:$B,小圆机汇总表!$A19,yj!$G:$G,小圆机汇总表!$I$13&amp;"/"&amp;小圆机汇总表!$J$13&amp;"/"&amp;小圆机汇总表!AJ$14),SUMIFS(yj!$H:$H,yj!$B:$B,小圆机汇总表!$A19,yj!$G:$G,小圆机汇总表!$I$13&amp;"/"&amp;小圆机汇总表!$J$13&amp;"/"&amp;小圆机汇总表!AJ$14))</f>
        <v>0</v>
      </c>
      <c r="AK19" s="18">
        <f>IF($K$13="件数",SUMIFS(yj!$I:$I,yj!$B:$B,小圆机汇总表!$A19,yj!$G:$G,小圆机汇总表!$I$13&amp;"/"&amp;小圆机汇总表!$J$13&amp;"/"&amp;小圆机汇总表!AK$14),SUMIFS(yj!$H:$H,yj!$B:$B,小圆机汇总表!$A19,yj!$G:$G,小圆机汇总表!$I$13&amp;"/"&amp;小圆机汇总表!$J$13&amp;"/"&amp;小圆机汇总表!AK$14))</f>
        <v>0</v>
      </c>
      <c r="AL19" s="18">
        <f>IF($K$13="件数",SUMIFS(yj!$I:$I,yj!$B:$B,小圆机汇总表!$A19,yj!$G:$G,小圆机汇总表!$I$13&amp;"/"&amp;小圆机汇总表!$J$13&amp;"/"&amp;小圆机汇总表!AL$14),SUMIFS(yj!$H:$H,yj!$B:$B,小圆机汇总表!$A19,yj!$G:$G,小圆机汇总表!$I$13&amp;"/"&amp;小圆机汇总表!$J$13&amp;"/"&amp;小圆机汇总表!AL$14))</f>
        <v>0</v>
      </c>
      <c r="AM19" s="18">
        <f>IF($K$13="件数",SUMIFS(yj!$I:$I,yj!$B:$B,小圆机汇总表!$A19,yj!$G:$G,小圆机汇总表!$I$13&amp;"/"&amp;小圆机汇总表!$J$13&amp;"/"&amp;小圆机汇总表!AM$14),SUMIFS(yj!$H:$H,yj!$B:$B,小圆机汇总表!$A19,yj!$G:$G,小圆机汇总表!$I$13&amp;"/"&amp;小圆机汇总表!$J$13&amp;"/"&amp;小圆机汇总表!AM$14))</f>
        <v>0</v>
      </c>
      <c r="AN19" s="18">
        <f>IF($K$13="件数",SUMIFS(yj!$I:$I,yj!$B:$B,小圆机汇总表!$A19,yj!$G:$G,小圆机汇总表!$I$13&amp;"/"&amp;小圆机汇总表!$J$13&amp;"/"&amp;小圆机汇总表!AN$14),SUMIFS(yj!$H:$H,yj!$B:$B,小圆机汇总表!$A19,yj!$G:$G,小圆机汇总表!$I$13&amp;"/"&amp;小圆机汇总表!$J$13&amp;"/"&amp;小圆机汇总表!AN$14))</f>
        <v>0</v>
      </c>
      <c r="AO19" s="18">
        <f>IF($K$13="件数",SUMIFS(yj!$I:$I,yj!$B:$B,小圆机汇总表!$A19,yj!$G:$G,小圆机汇总表!$I$13&amp;"/"&amp;小圆机汇总表!$J$13&amp;"/"&amp;小圆机汇总表!AO$14),SUMIFS(yj!$H:$H,yj!$B:$B,小圆机汇总表!$A19,yj!$G:$G,小圆机汇总表!$I$13&amp;"/"&amp;小圆机汇总表!$J$13&amp;"/"&amp;小圆机汇总表!AO$14))</f>
        <v>0</v>
      </c>
      <c r="AP19" s="18">
        <f>IF($K$13="件数",SUMIFS(yj!$I:$I,yj!$B:$B,小圆机汇总表!$A19,yj!$G:$G,小圆机汇总表!$I$13&amp;"/"&amp;小圆机汇总表!$J$13&amp;"/"&amp;小圆机汇总表!AP$14),SUMIFS(yj!$H:$H,yj!$B:$B,小圆机汇总表!$A19,yj!$G:$G,小圆机汇总表!$I$13&amp;"/"&amp;小圆机汇总表!$J$13&amp;"/"&amp;小圆机汇总表!AP$14))</f>
        <v>0</v>
      </c>
      <c r="AQ19" s="18">
        <f>IF($K$13="件数",SUMIFS(yj!$I:$I,yj!$B:$B,小圆机汇总表!$A19,yj!$G:$G,小圆机汇总表!$I$13&amp;"/"&amp;小圆机汇总表!$J$13&amp;"/"&amp;小圆机汇总表!AQ$14),SUMIFS(yj!$H:$H,yj!$B:$B,小圆机汇总表!$A19,yj!$G:$G,小圆机汇总表!$I$13&amp;"/"&amp;小圆机汇总表!$J$13&amp;"/"&amp;小圆机汇总表!AQ$14))</f>
        <v>0</v>
      </c>
    </row>
    <row r="20" spans="1:43" ht="18" hidden="1" customHeight="1">
      <c r="A20" s="13" t="s">
        <v>29</v>
      </c>
      <c r="B20" s="14" t="s">
        <v>30</v>
      </c>
      <c r="C20" s="17">
        <v>30</v>
      </c>
      <c r="D20" s="17" t="s">
        <v>32</v>
      </c>
      <c r="E20" s="13" t="s">
        <v>2</v>
      </c>
      <c r="F20" s="13">
        <v>160</v>
      </c>
      <c r="G20" s="13">
        <v>21</v>
      </c>
      <c r="H20" s="14" t="s">
        <v>21</v>
      </c>
      <c r="I20" s="13"/>
      <c r="J20" s="182">
        <f ca="1">IF(SUMIFS(yj!$I:$I,yj!$B:$B,小圆机汇总表!A20,yj!$G:$G,小圆机汇总表!$L$13)&gt;0,SUMIFS(yj!$H:$H,yj!$B:$B,小圆机汇总表!A20,yj!$G:$G,小圆机汇总表!$L$13),0)</f>
        <v>0</v>
      </c>
      <c r="K20" s="15">
        <f>SUMIFS(yj!$H:$H,yj!$B:$B,小圆机汇总表!A20,yj!$M:$M,小圆机汇总表!$J$13)</f>
        <v>0</v>
      </c>
      <c r="L20" s="15">
        <f>SUMIFS(yj!$I:$I,yj!$B:$B,小圆机汇总表!A20,yj!$M:$M,小圆机汇总表!$J$13)</f>
        <v>0</v>
      </c>
      <c r="M20" s="18">
        <f>IF($K$13="件数",SUMIFS(yj!$I:$I,yj!$B:$B,小圆机汇总表!$A20,yj!$G:$G,小圆机汇总表!$I$13&amp;"/"&amp;小圆机汇总表!$J$13&amp;"/"&amp;小圆机汇总表!M$14),SUMIFS(yj!$H:$H,yj!$B:$B,小圆机汇总表!$A20,yj!$G:$G,小圆机汇总表!$I$13&amp;"/"&amp;小圆机汇总表!$J$13&amp;"/"&amp;小圆机汇总表!M$14))</f>
        <v>0</v>
      </c>
      <c r="N20" s="18">
        <f>IF($K$13="件数",SUMIFS(yj!$I:$I,yj!$B:$B,小圆机汇总表!$A20,yj!$G:$G,小圆机汇总表!$I$13&amp;"/"&amp;小圆机汇总表!$J$13&amp;"/"&amp;小圆机汇总表!N$14),SUMIFS(yj!$H:$H,yj!$B:$B,小圆机汇总表!$A20,yj!$G:$G,小圆机汇总表!$I$13&amp;"/"&amp;小圆机汇总表!$J$13&amp;"/"&amp;小圆机汇总表!N$14))</f>
        <v>0</v>
      </c>
      <c r="O20" s="18">
        <f>IF($K$13="件数",SUMIFS(yj!$I:$I,yj!$B:$B,小圆机汇总表!$A20,yj!$G:$G,小圆机汇总表!$I$13&amp;"/"&amp;小圆机汇总表!$J$13&amp;"/"&amp;小圆机汇总表!O$14),SUMIFS(yj!$H:$H,yj!$B:$B,小圆机汇总表!$A20,yj!$G:$G,小圆机汇总表!$I$13&amp;"/"&amp;小圆机汇总表!$J$13&amp;"/"&amp;小圆机汇总表!O$14))</f>
        <v>0</v>
      </c>
      <c r="P20" s="18">
        <f>IF($K$13="件数",SUMIFS(yj!$I:$I,yj!$B:$B,小圆机汇总表!$A20,yj!$G:$G,小圆机汇总表!$I$13&amp;"/"&amp;小圆机汇总表!$J$13&amp;"/"&amp;小圆机汇总表!P$14),SUMIFS(yj!$H:$H,yj!$B:$B,小圆机汇总表!$A20,yj!$G:$G,小圆机汇总表!$I$13&amp;"/"&amp;小圆机汇总表!$J$13&amp;"/"&amp;小圆机汇总表!P$14))</f>
        <v>0</v>
      </c>
      <c r="Q20" s="18">
        <f>IF($K$13="件数",SUMIFS(yj!$I:$I,yj!$B:$B,小圆机汇总表!$A20,yj!$G:$G,小圆机汇总表!$I$13&amp;"/"&amp;小圆机汇总表!$J$13&amp;"/"&amp;小圆机汇总表!Q$14),SUMIFS(yj!$H:$H,yj!$B:$B,小圆机汇总表!$A20,yj!$G:$G,小圆机汇总表!$I$13&amp;"/"&amp;小圆机汇总表!$J$13&amp;"/"&amp;小圆机汇总表!Q$14))</f>
        <v>0</v>
      </c>
      <c r="R20" s="18">
        <f>IF($K$13="件数",SUMIFS(yj!$I:$I,yj!$B:$B,小圆机汇总表!$A20,yj!$G:$G,小圆机汇总表!$I$13&amp;"/"&amp;小圆机汇总表!$J$13&amp;"/"&amp;小圆机汇总表!R$14),SUMIFS(yj!$H:$H,yj!$B:$B,小圆机汇总表!$A20,yj!$G:$G,小圆机汇总表!$I$13&amp;"/"&amp;小圆机汇总表!$J$13&amp;"/"&amp;小圆机汇总表!R$14))</f>
        <v>0</v>
      </c>
      <c r="S20" s="18">
        <f>IF($K$13="件数",SUMIFS(yj!$I:$I,yj!$B:$B,小圆机汇总表!$A20,yj!$G:$G,小圆机汇总表!$I$13&amp;"/"&amp;小圆机汇总表!$J$13&amp;"/"&amp;小圆机汇总表!S$14),SUMIFS(yj!$H:$H,yj!$B:$B,小圆机汇总表!$A20,yj!$G:$G,小圆机汇总表!$I$13&amp;"/"&amp;小圆机汇总表!$J$13&amp;"/"&amp;小圆机汇总表!S$14))</f>
        <v>0</v>
      </c>
      <c r="T20" s="18">
        <f>IF($K$13="件数",SUMIFS(yj!$I:$I,yj!$B:$B,小圆机汇总表!$A20,yj!$G:$G,小圆机汇总表!$I$13&amp;"/"&amp;小圆机汇总表!$J$13&amp;"/"&amp;小圆机汇总表!T$14),SUMIFS(yj!$H:$H,yj!$B:$B,小圆机汇总表!$A20,yj!$G:$G,小圆机汇总表!$I$13&amp;"/"&amp;小圆机汇总表!$J$13&amp;"/"&amp;小圆机汇总表!T$14))</f>
        <v>0</v>
      </c>
      <c r="U20" s="18">
        <f>IF($K$13="件数",SUMIFS(yj!$I:$I,yj!$B:$B,小圆机汇总表!$A20,yj!$G:$G,小圆机汇总表!$I$13&amp;"/"&amp;小圆机汇总表!$J$13&amp;"/"&amp;小圆机汇总表!U$14),SUMIFS(yj!$H:$H,yj!$B:$B,小圆机汇总表!$A20,yj!$G:$G,小圆机汇总表!$I$13&amp;"/"&amp;小圆机汇总表!$J$13&amp;"/"&amp;小圆机汇总表!U$14))</f>
        <v>0</v>
      </c>
      <c r="V20" s="18">
        <f>IF($K$13="件数",SUMIFS(yj!$I:$I,yj!$B:$B,小圆机汇总表!$A20,yj!$G:$G,小圆机汇总表!$I$13&amp;"/"&amp;小圆机汇总表!$J$13&amp;"/"&amp;小圆机汇总表!V$14),SUMIFS(yj!$H:$H,yj!$B:$B,小圆机汇总表!$A20,yj!$G:$G,小圆机汇总表!$I$13&amp;"/"&amp;小圆机汇总表!$J$13&amp;"/"&amp;小圆机汇总表!V$14))</f>
        <v>0</v>
      </c>
      <c r="W20" s="18">
        <f>IF($K$13="件数",SUMIFS(yj!$I:$I,yj!$B:$B,小圆机汇总表!$A20,yj!$G:$G,小圆机汇总表!$I$13&amp;"/"&amp;小圆机汇总表!$J$13&amp;"/"&amp;小圆机汇总表!W$14),SUMIFS(yj!$H:$H,yj!$B:$B,小圆机汇总表!$A20,yj!$G:$G,小圆机汇总表!$I$13&amp;"/"&amp;小圆机汇总表!$J$13&amp;"/"&amp;小圆机汇总表!W$14))</f>
        <v>0</v>
      </c>
      <c r="X20" s="18">
        <f>IF($K$13="件数",SUMIFS(yj!$I:$I,yj!$B:$B,小圆机汇总表!$A20,yj!$G:$G,小圆机汇总表!$I$13&amp;"/"&amp;小圆机汇总表!$J$13&amp;"/"&amp;小圆机汇总表!X$14),SUMIFS(yj!$H:$H,yj!$B:$B,小圆机汇总表!$A20,yj!$G:$G,小圆机汇总表!$I$13&amp;"/"&amp;小圆机汇总表!$J$13&amp;"/"&amp;小圆机汇总表!X$14))</f>
        <v>0</v>
      </c>
      <c r="Y20" s="18">
        <f>IF($K$13="件数",SUMIFS(yj!$I:$I,yj!$B:$B,小圆机汇总表!$A20,yj!$G:$G,小圆机汇总表!$I$13&amp;"/"&amp;小圆机汇总表!$J$13&amp;"/"&amp;小圆机汇总表!Y$14),SUMIFS(yj!$H:$H,yj!$B:$B,小圆机汇总表!$A20,yj!$G:$G,小圆机汇总表!$I$13&amp;"/"&amp;小圆机汇总表!$J$13&amp;"/"&amp;小圆机汇总表!Y$14))</f>
        <v>0</v>
      </c>
      <c r="Z20" s="18">
        <f>IF($K$13="件数",SUMIFS(yj!$I:$I,yj!$B:$B,小圆机汇总表!$A20,yj!$G:$G,小圆机汇总表!$I$13&amp;"/"&amp;小圆机汇总表!$J$13&amp;"/"&amp;小圆机汇总表!Z$14),SUMIFS(yj!$H:$H,yj!$B:$B,小圆机汇总表!$A20,yj!$G:$G,小圆机汇总表!$I$13&amp;"/"&amp;小圆机汇总表!$J$13&amp;"/"&amp;小圆机汇总表!Z$14))</f>
        <v>0</v>
      </c>
      <c r="AA20" s="18">
        <f>IF($K$13="件数",SUMIFS(yj!$I:$I,yj!$B:$B,小圆机汇总表!$A20,yj!$G:$G,小圆机汇总表!$I$13&amp;"/"&amp;小圆机汇总表!$J$13&amp;"/"&amp;小圆机汇总表!AA$14),SUMIFS(yj!$H:$H,yj!$B:$B,小圆机汇总表!$A20,yj!$G:$G,小圆机汇总表!$I$13&amp;"/"&amp;小圆机汇总表!$J$13&amp;"/"&amp;小圆机汇总表!AA$14))</f>
        <v>0</v>
      </c>
      <c r="AB20" s="18">
        <f>IF($K$13="件数",SUMIFS(yj!$I:$I,yj!$B:$B,小圆机汇总表!$A20,yj!$G:$G,小圆机汇总表!$I$13&amp;"/"&amp;小圆机汇总表!$J$13&amp;"/"&amp;小圆机汇总表!AB$14),SUMIFS(yj!$H:$H,yj!$B:$B,小圆机汇总表!$A20,yj!$G:$G,小圆机汇总表!$I$13&amp;"/"&amp;小圆机汇总表!$J$13&amp;"/"&amp;小圆机汇总表!AB$14))</f>
        <v>0</v>
      </c>
      <c r="AC20" s="18">
        <f>IF($K$13="件数",SUMIFS(yj!$I:$I,yj!$B:$B,小圆机汇总表!$A20,yj!$G:$G,小圆机汇总表!$I$13&amp;"/"&amp;小圆机汇总表!$J$13&amp;"/"&amp;小圆机汇总表!AC$14),SUMIFS(yj!$H:$H,yj!$B:$B,小圆机汇总表!$A20,yj!$G:$G,小圆机汇总表!$I$13&amp;"/"&amp;小圆机汇总表!$J$13&amp;"/"&amp;小圆机汇总表!AC$14))</f>
        <v>0</v>
      </c>
      <c r="AD20" s="18">
        <f>IF($K$13="件数",SUMIFS(yj!$I:$I,yj!$B:$B,小圆机汇总表!$A20,yj!$G:$G,小圆机汇总表!$I$13&amp;"/"&amp;小圆机汇总表!$J$13&amp;"/"&amp;小圆机汇总表!AD$14),SUMIFS(yj!$H:$H,yj!$B:$B,小圆机汇总表!$A20,yj!$G:$G,小圆机汇总表!$I$13&amp;"/"&amp;小圆机汇总表!$J$13&amp;"/"&amp;小圆机汇总表!AD$14))</f>
        <v>0</v>
      </c>
      <c r="AE20" s="18">
        <f>IF($K$13="件数",SUMIFS(yj!$I:$I,yj!$B:$B,小圆机汇总表!$A20,yj!$G:$G,小圆机汇总表!$I$13&amp;"/"&amp;小圆机汇总表!$J$13&amp;"/"&amp;小圆机汇总表!AE$14),SUMIFS(yj!$H:$H,yj!$B:$B,小圆机汇总表!$A20,yj!$G:$G,小圆机汇总表!$I$13&amp;"/"&amp;小圆机汇总表!$J$13&amp;"/"&amp;小圆机汇总表!AE$14))</f>
        <v>0</v>
      </c>
      <c r="AF20" s="18">
        <f>IF($K$13="件数",SUMIFS(yj!$I:$I,yj!$B:$B,小圆机汇总表!$A20,yj!$G:$G,小圆机汇总表!$I$13&amp;"/"&amp;小圆机汇总表!$J$13&amp;"/"&amp;小圆机汇总表!AF$14),SUMIFS(yj!$H:$H,yj!$B:$B,小圆机汇总表!$A20,yj!$G:$G,小圆机汇总表!$I$13&amp;"/"&amp;小圆机汇总表!$J$13&amp;"/"&amp;小圆机汇总表!AF$14))</f>
        <v>0</v>
      </c>
      <c r="AG20" s="18">
        <f>IF($K$13="件数",SUMIFS(yj!$I:$I,yj!$B:$B,小圆机汇总表!$A20,yj!$G:$G,小圆机汇总表!$I$13&amp;"/"&amp;小圆机汇总表!$J$13&amp;"/"&amp;小圆机汇总表!AG$14),SUMIFS(yj!$H:$H,yj!$B:$B,小圆机汇总表!$A20,yj!$G:$G,小圆机汇总表!$I$13&amp;"/"&amp;小圆机汇总表!$J$13&amp;"/"&amp;小圆机汇总表!AG$14))</f>
        <v>0</v>
      </c>
      <c r="AH20" s="18">
        <f>IF($K$13="件数",SUMIFS(yj!$I:$I,yj!$B:$B,小圆机汇总表!$A20,yj!$G:$G,小圆机汇总表!$I$13&amp;"/"&amp;小圆机汇总表!$J$13&amp;"/"&amp;小圆机汇总表!AH$14),SUMIFS(yj!$H:$H,yj!$B:$B,小圆机汇总表!$A20,yj!$G:$G,小圆机汇总表!$I$13&amp;"/"&amp;小圆机汇总表!$J$13&amp;"/"&amp;小圆机汇总表!AH$14))</f>
        <v>0</v>
      </c>
      <c r="AI20" s="18">
        <f>IF($K$13="件数",SUMIFS(yj!$I:$I,yj!$B:$B,小圆机汇总表!$A20,yj!$G:$G,小圆机汇总表!$I$13&amp;"/"&amp;小圆机汇总表!$J$13&amp;"/"&amp;小圆机汇总表!AI$14),SUMIFS(yj!$H:$H,yj!$B:$B,小圆机汇总表!$A20,yj!$G:$G,小圆机汇总表!$I$13&amp;"/"&amp;小圆机汇总表!$J$13&amp;"/"&amp;小圆机汇总表!AI$14))</f>
        <v>0</v>
      </c>
      <c r="AJ20" s="18">
        <f>IF($K$13="件数",SUMIFS(yj!$I:$I,yj!$B:$B,小圆机汇总表!$A20,yj!$G:$G,小圆机汇总表!$I$13&amp;"/"&amp;小圆机汇总表!$J$13&amp;"/"&amp;小圆机汇总表!AJ$14),SUMIFS(yj!$H:$H,yj!$B:$B,小圆机汇总表!$A20,yj!$G:$G,小圆机汇总表!$I$13&amp;"/"&amp;小圆机汇总表!$J$13&amp;"/"&amp;小圆机汇总表!AJ$14))</f>
        <v>0</v>
      </c>
      <c r="AK20" s="18">
        <f>IF($K$13="件数",SUMIFS(yj!$I:$I,yj!$B:$B,小圆机汇总表!$A20,yj!$G:$G,小圆机汇总表!$I$13&amp;"/"&amp;小圆机汇总表!$J$13&amp;"/"&amp;小圆机汇总表!AK$14),SUMIFS(yj!$H:$H,yj!$B:$B,小圆机汇总表!$A20,yj!$G:$G,小圆机汇总表!$I$13&amp;"/"&amp;小圆机汇总表!$J$13&amp;"/"&amp;小圆机汇总表!AK$14))</f>
        <v>0</v>
      </c>
      <c r="AL20" s="18">
        <f>IF($K$13="件数",SUMIFS(yj!$I:$I,yj!$B:$B,小圆机汇总表!$A20,yj!$G:$G,小圆机汇总表!$I$13&amp;"/"&amp;小圆机汇总表!$J$13&amp;"/"&amp;小圆机汇总表!AL$14),SUMIFS(yj!$H:$H,yj!$B:$B,小圆机汇总表!$A20,yj!$G:$G,小圆机汇总表!$I$13&amp;"/"&amp;小圆机汇总表!$J$13&amp;"/"&amp;小圆机汇总表!AL$14))</f>
        <v>0</v>
      </c>
      <c r="AM20" s="18">
        <f>IF($K$13="件数",SUMIFS(yj!$I:$I,yj!$B:$B,小圆机汇总表!$A20,yj!$G:$G,小圆机汇总表!$I$13&amp;"/"&amp;小圆机汇总表!$J$13&amp;"/"&amp;小圆机汇总表!AM$14),SUMIFS(yj!$H:$H,yj!$B:$B,小圆机汇总表!$A20,yj!$G:$G,小圆机汇总表!$I$13&amp;"/"&amp;小圆机汇总表!$J$13&amp;"/"&amp;小圆机汇总表!AM$14))</f>
        <v>0</v>
      </c>
      <c r="AN20" s="18">
        <f>IF($K$13="件数",SUMIFS(yj!$I:$I,yj!$B:$B,小圆机汇总表!$A20,yj!$G:$G,小圆机汇总表!$I$13&amp;"/"&amp;小圆机汇总表!$J$13&amp;"/"&amp;小圆机汇总表!AN$14),SUMIFS(yj!$H:$H,yj!$B:$B,小圆机汇总表!$A20,yj!$G:$G,小圆机汇总表!$I$13&amp;"/"&amp;小圆机汇总表!$J$13&amp;"/"&amp;小圆机汇总表!AN$14))</f>
        <v>0</v>
      </c>
      <c r="AO20" s="18">
        <f>IF($K$13="件数",SUMIFS(yj!$I:$I,yj!$B:$B,小圆机汇总表!$A20,yj!$G:$G,小圆机汇总表!$I$13&amp;"/"&amp;小圆机汇总表!$J$13&amp;"/"&amp;小圆机汇总表!AO$14),SUMIFS(yj!$H:$H,yj!$B:$B,小圆机汇总表!$A20,yj!$G:$G,小圆机汇总表!$I$13&amp;"/"&amp;小圆机汇总表!$J$13&amp;"/"&amp;小圆机汇总表!AO$14))</f>
        <v>0</v>
      </c>
      <c r="AP20" s="18">
        <f>IF($K$13="件数",SUMIFS(yj!$I:$I,yj!$B:$B,小圆机汇总表!$A20,yj!$G:$G,小圆机汇总表!$I$13&amp;"/"&amp;小圆机汇总表!$J$13&amp;"/"&amp;小圆机汇总表!AP$14),SUMIFS(yj!$H:$H,yj!$B:$B,小圆机汇总表!$A20,yj!$G:$G,小圆机汇总表!$I$13&amp;"/"&amp;小圆机汇总表!$J$13&amp;"/"&amp;小圆机汇总表!AP$14))</f>
        <v>0</v>
      </c>
      <c r="AQ20" s="18">
        <f>IF($K$13="件数",SUMIFS(yj!$I:$I,yj!$B:$B,小圆机汇总表!$A20,yj!$G:$G,小圆机汇总表!$I$13&amp;"/"&amp;小圆机汇总表!$J$13&amp;"/"&amp;小圆机汇总表!AQ$14),SUMIFS(yj!$H:$H,yj!$B:$B,小圆机汇总表!$A20,yj!$G:$G,小圆机汇总表!$I$13&amp;"/"&amp;小圆机汇总表!$J$13&amp;"/"&amp;小圆机汇总表!AQ$14))</f>
        <v>0</v>
      </c>
    </row>
    <row r="21" spans="1:43" ht="18" hidden="1" customHeight="1">
      <c r="A21" s="13" t="s">
        <v>33</v>
      </c>
      <c r="B21" s="14" t="s">
        <v>23</v>
      </c>
      <c r="C21" s="17">
        <v>30</v>
      </c>
      <c r="D21" s="17" t="s">
        <v>31</v>
      </c>
      <c r="E21" s="13" t="s">
        <v>2</v>
      </c>
      <c r="F21" s="13">
        <v>160</v>
      </c>
      <c r="G21" s="13">
        <v>29</v>
      </c>
      <c r="H21" s="14" t="s">
        <v>34</v>
      </c>
      <c r="I21" s="13"/>
      <c r="J21" s="182">
        <f ca="1">IF(SUMIFS(yj!$I:$I,yj!$B:$B,小圆机汇总表!A21,yj!$G:$G,小圆机汇总表!$L$13)&gt;0,SUMIFS(yj!$H:$H,yj!$B:$B,小圆机汇总表!A21,yj!$G:$G,小圆机汇总表!$L$13),0)</f>
        <v>0</v>
      </c>
      <c r="K21" s="15">
        <f>SUMIFS(yj!$H:$H,yj!$B:$B,小圆机汇总表!A21,yj!$M:$M,小圆机汇总表!$J$13)</f>
        <v>0</v>
      </c>
      <c r="L21" s="15">
        <f>SUMIFS(yj!$I:$I,yj!$B:$B,小圆机汇总表!A21,yj!$M:$M,小圆机汇总表!$J$13)</f>
        <v>0</v>
      </c>
      <c r="M21" s="18">
        <f>IF($K$13="件数",SUMIFS(yj!$I:$I,yj!$B:$B,小圆机汇总表!$A21,yj!$G:$G,小圆机汇总表!$I$13&amp;"/"&amp;小圆机汇总表!$J$13&amp;"/"&amp;小圆机汇总表!M$14),SUMIFS(yj!$H:$H,yj!$B:$B,小圆机汇总表!$A21,yj!$G:$G,小圆机汇总表!$I$13&amp;"/"&amp;小圆机汇总表!$J$13&amp;"/"&amp;小圆机汇总表!M$14))</f>
        <v>0</v>
      </c>
      <c r="N21" s="18">
        <f>IF($K$13="件数",SUMIFS(yj!$I:$I,yj!$B:$B,小圆机汇总表!$A21,yj!$G:$G,小圆机汇总表!$I$13&amp;"/"&amp;小圆机汇总表!$J$13&amp;"/"&amp;小圆机汇总表!N$14),SUMIFS(yj!$H:$H,yj!$B:$B,小圆机汇总表!$A21,yj!$G:$G,小圆机汇总表!$I$13&amp;"/"&amp;小圆机汇总表!$J$13&amp;"/"&amp;小圆机汇总表!N$14))</f>
        <v>0</v>
      </c>
      <c r="O21" s="18">
        <f>IF($K$13="件数",SUMIFS(yj!$I:$I,yj!$B:$B,小圆机汇总表!$A21,yj!$G:$G,小圆机汇总表!$I$13&amp;"/"&amp;小圆机汇总表!$J$13&amp;"/"&amp;小圆机汇总表!O$14),SUMIFS(yj!$H:$H,yj!$B:$B,小圆机汇总表!$A21,yj!$G:$G,小圆机汇总表!$I$13&amp;"/"&amp;小圆机汇总表!$J$13&amp;"/"&amp;小圆机汇总表!O$14))</f>
        <v>0</v>
      </c>
      <c r="P21" s="18">
        <f>IF($K$13="件数",SUMIFS(yj!$I:$I,yj!$B:$B,小圆机汇总表!$A21,yj!$G:$G,小圆机汇总表!$I$13&amp;"/"&amp;小圆机汇总表!$J$13&amp;"/"&amp;小圆机汇总表!P$14),SUMIFS(yj!$H:$H,yj!$B:$B,小圆机汇总表!$A21,yj!$G:$G,小圆机汇总表!$I$13&amp;"/"&amp;小圆机汇总表!$J$13&amp;"/"&amp;小圆机汇总表!P$14))</f>
        <v>0</v>
      </c>
      <c r="Q21" s="18">
        <f>IF($K$13="件数",SUMIFS(yj!$I:$I,yj!$B:$B,小圆机汇总表!$A21,yj!$G:$G,小圆机汇总表!$I$13&amp;"/"&amp;小圆机汇总表!$J$13&amp;"/"&amp;小圆机汇总表!Q$14),SUMIFS(yj!$H:$H,yj!$B:$B,小圆机汇总表!$A21,yj!$G:$G,小圆机汇总表!$I$13&amp;"/"&amp;小圆机汇总表!$J$13&amp;"/"&amp;小圆机汇总表!Q$14))</f>
        <v>0</v>
      </c>
      <c r="R21" s="18">
        <f>IF($K$13="件数",SUMIFS(yj!$I:$I,yj!$B:$B,小圆机汇总表!$A21,yj!$G:$G,小圆机汇总表!$I$13&amp;"/"&amp;小圆机汇总表!$J$13&amp;"/"&amp;小圆机汇总表!R$14),SUMIFS(yj!$H:$H,yj!$B:$B,小圆机汇总表!$A21,yj!$G:$G,小圆机汇总表!$I$13&amp;"/"&amp;小圆机汇总表!$J$13&amp;"/"&amp;小圆机汇总表!R$14))</f>
        <v>0</v>
      </c>
      <c r="S21" s="18">
        <f>IF($K$13="件数",SUMIFS(yj!$I:$I,yj!$B:$B,小圆机汇总表!$A21,yj!$G:$G,小圆机汇总表!$I$13&amp;"/"&amp;小圆机汇总表!$J$13&amp;"/"&amp;小圆机汇总表!S$14),SUMIFS(yj!$H:$H,yj!$B:$B,小圆机汇总表!$A21,yj!$G:$G,小圆机汇总表!$I$13&amp;"/"&amp;小圆机汇总表!$J$13&amp;"/"&amp;小圆机汇总表!S$14))</f>
        <v>0</v>
      </c>
      <c r="T21" s="18">
        <f>IF($K$13="件数",SUMIFS(yj!$I:$I,yj!$B:$B,小圆机汇总表!$A21,yj!$G:$G,小圆机汇总表!$I$13&amp;"/"&amp;小圆机汇总表!$J$13&amp;"/"&amp;小圆机汇总表!T$14),SUMIFS(yj!$H:$H,yj!$B:$B,小圆机汇总表!$A21,yj!$G:$G,小圆机汇总表!$I$13&amp;"/"&amp;小圆机汇总表!$J$13&amp;"/"&amp;小圆机汇总表!T$14))</f>
        <v>0</v>
      </c>
      <c r="U21" s="18">
        <f>IF($K$13="件数",SUMIFS(yj!$I:$I,yj!$B:$B,小圆机汇总表!$A21,yj!$G:$G,小圆机汇总表!$I$13&amp;"/"&amp;小圆机汇总表!$J$13&amp;"/"&amp;小圆机汇总表!U$14),SUMIFS(yj!$H:$H,yj!$B:$B,小圆机汇总表!$A21,yj!$G:$G,小圆机汇总表!$I$13&amp;"/"&amp;小圆机汇总表!$J$13&amp;"/"&amp;小圆机汇总表!U$14))</f>
        <v>0</v>
      </c>
      <c r="V21" s="18">
        <f>IF($K$13="件数",SUMIFS(yj!$I:$I,yj!$B:$B,小圆机汇总表!$A21,yj!$G:$G,小圆机汇总表!$I$13&amp;"/"&amp;小圆机汇总表!$J$13&amp;"/"&amp;小圆机汇总表!V$14),SUMIFS(yj!$H:$H,yj!$B:$B,小圆机汇总表!$A21,yj!$G:$G,小圆机汇总表!$I$13&amp;"/"&amp;小圆机汇总表!$J$13&amp;"/"&amp;小圆机汇总表!V$14))</f>
        <v>0</v>
      </c>
      <c r="W21" s="18">
        <f>IF($K$13="件数",SUMIFS(yj!$I:$I,yj!$B:$B,小圆机汇总表!$A21,yj!$G:$G,小圆机汇总表!$I$13&amp;"/"&amp;小圆机汇总表!$J$13&amp;"/"&amp;小圆机汇总表!W$14),SUMIFS(yj!$H:$H,yj!$B:$B,小圆机汇总表!$A21,yj!$G:$G,小圆机汇总表!$I$13&amp;"/"&amp;小圆机汇总表!$J$13&amp;"/"&amp;小圆机汇总表!W$14))</f>
        <v>0</v>
      </c>
      <c r="X21" s="18">
        <f>IF($K$13="件数",SUMIFS(yj!$I:$I,yj!$B:$B,小圆机汇总表!$A21,yj!$G:$G,小圆机汇总表!$I$13&amp;"/"&amp;小圆机汇总表!$J$13&amp;"/"&amp;小圆机汇总表!X$14),SUMIFS(yj!$H:$H,yj!$B:$B,小圆机汇总表!$A21,yj!$G:$G,小圆机汇总表!$I$13&amp;"/"&amp;小圆机汇总表!$J$13&amp;"/"&amp;小圆机汇总表!X$14))</f>
        <v>0</v>
      </c>
      <c r="Y21" s="18">
        <f>IF($K$13="件数",SUMIFS(yj!$I:$I,yj!$B:$B,小圆机汇总表!$A21,yj!$G:$G,小圆机汇总表!$I$13&amp;"/"&amp;小圆机汇总表!$J$13&amp;"/"&amp;小圆机汇总表!Y$14),SUMIFS(yj!$H:$H,yj!$B:$B,小圆机汇总表!$A21,yj!$G:$G,小圆机汇总表!$I$13&amp;"/"&amp;小圆机汇总表!$J$13&amp;"/"&amp;小圆机汇总表!Y$14))</f>
        <v>0</v>
      </c>
      <c r="Z21" s="18">
        <f>IF($K$13="件数",SUMIFS(yj!$I:$I,yj!$B:$B,小圆机汇总表!$A21,yj!$G:$G,小圆机汇总表!$I$13&amp;"/"&amp;小圆机汇总表!$J$13&amp;"/"&amp;小圆机汇总表!Z$14),SUMIFS(yj!$H:$H,yj!$B:$B,小圆机汇总表!$A21,yj!$G:$G,小圆机汇总表!$I$13&amp;"/"&amp;小圆机汇总表!$J$13&amp;"/"&amp;小圆机汇总表!Z$14))</f>
        <v>0</v>
      </c>
      <c r="AA21" s="18">
        <f>IF($K$13="件数",SUMIFS(yj!$I:$I,yj!$B:$B,小圆机汇总表!$A21,yj!$G:$G,小圆机汇总表!$I$13&amp;"/"&amp;小圆机汇总表!$J$13&amp;"/"&amp;小圆机汇总表!AA$14),SUMIFS(yj!$H:$H,yj!$B:$B,小圆机汇总表!$A21,yj!$G:$G,小圆机汇总表!$I$13&amp;"/"&amp;小圆机汇总表!$J$13&amp;"/"&amp;小圆机汇总表!AA$14))</f>
        <v>0</v>
      </c>
      <c r="AB21" s="18">
        <f>IF($K$13="件数",SUMIFS(yj!$I:$I,yj!$B:$B,小圆机汇总表!$A21,yj!$G:$G,小圆机汇总表!$I$13&amp;"/"&amp;小圆机汇总表!$J$13&amp;"/"&amp;小圆机汇总表!AB$14),SUMIFS(yj!$H:$H,yj!$B:$B,小圆机汇总表!$A21,yj!$G:$G,小圆机汇总表!$I$13&amp;"/"&amp;小圆机汇总表!$J$13&amp;"/"&amp;小圆机汇总表!AB$14))</f>
        <v>0</v>
      </c>
      <c r="AC21" s="18">
        <f>IF($K$13="件数",SUMIFS(yj!$I:$I,yj!$B:$B,小圆机汇总表!$A21,yj!$G:$G,小圆机汇总表!$I$13&amp;"/"&amp;小圆机汇总表!$J$13&amp;"/"&amp;小圆机汇总表!AC$14),SUMIFS(yj!$H:$H,yj!$B:$B,小圆机汇总表!$A21,yj!$G:$G,小圆机汇总表!$I$13&amp;"/"&amp;小圆机汇总表!$J$13&amp;"/"&amp;小圆机汇总表!AC$14))</f>
        <v>0</v>
      </c>
      <c r="AD21" s="18">
        <f>IF($K$13="件数",SUMIFS(yj!$I:$I,yj!$B:$B,小圆机汇总表!$A21,yj!$G:$G,小圆机汇总表!$I$13&amp;"/"&amp;小圆机汇总表!$J$13&amp;"/"&amp;小圆机汇总表!AD$14),SUMIFS(yj!$H:$H,yj!$B:$B,小圆机汇总表!$A21,yj!$G:$G,小圆机汇总表!$I$13&amp;"/"&amp;小圆机汇总表!$J$13&amp;"/"&amp;小圆机汇总表!AD$14))</f>
        <v>0</v>
      </c>
      <c r="AE21" s="18">
        <f>IF($K$13="件数",SUMIFS(yj!$I:$I,yj!$B:$B,小圆机汇总表!$A21,yj!$G:$G,小圆机汇总表!$I$13&amp;"/"&amp;小圆机汇总表!$J$13&amp;"/"&amp;小圆机汇总表!AE$14),SUMIFS(yj!$H:$H,yj!$B:$B,小圆机汇总表!$A21,yj!$G:$G,小圆机汇总表!$I$13&amp;"/"&amp;小圆机汇总表!$J$13&amp;"/"&amp;小圆机汇总表!AE$14))</f>
        <v>0</v>
      </c>
      <c r="AF21" s="18">
        <f>IF($K$13="件数",SUMIFS(yj!$I:$I,yj!$B:$B,小圆机汇总表!$A21,yj!$G:$G,小圆机汇总表!$I$13&amp;"/"&amp;小圆机汇总表!$J$13&amp;"/"&amp;小圆机汇总表!AF$14),SUMIFS(yj!$H:$H,yj!$B:$B,小圆机汇总表!$A21,yj!$G:$G,小圆机汇总表!$I$13&amp;"/"&amp;小圆机汇总表!$J$13&amp;"/"&amp;小圆机汇总表!AF$14))</f>
        <v>0</v>
      </c>
      <c r="AG21" s="18">
        <f>IF($K$13="件数",SUMIFS(yj!$I:$I,yj!$B:$B,小圆机汇总表!$A21,yj!$G:$G,小圆机汇总表!$I$13&amp;"/"&amp;小圆机汇总表!$J$13&amp;"/"&amp;小圆机汇总表!AG$14),SUMIFS(yj!$H:$H,yj!$B:$B,小圆机汇总表!$A21,yj!$G:$G,小圆机汇总表!$I$13&amp;"/"&amp;小圆机汇总表!$J$13&amp;"/"&amp;小圆机汇总表!AG$14))</f>
        <v>0</v>
      </c>
      <c r="AH21" s="18">
        <f>IF($K$13="件数",SUMIFS(yj!$I:$I,yj!$B:$B,小圆机汇总表!$A21,yj!$G:$G,小圆机汇总表!$I$13&amp;"/"&amp;小圆机汇总表!$J$13&amp;"/"&amp;小圆机汇总表!AH$14),SUMIFS(yj!$H:$H,yj!$B:$B,小圆机汇总表!$A21,yj!$G:$G,小圆机汇总表!$I$13&amp;"/"&amp;小圆机汇总表!$J$13&amp;"/"&amp;小圆机汇总表!AH$14))</f>
        <v>0</v>
      </c>
      <c r="AI21" s="18">
        <f>IF($K$13="件数",SUMIFS(yj!$I:$I,yj!$B:$B,小圆机汇总表!$A21,yj!$G:$G,小圆机汇总表!$I$13&amp;"/"&amp;小圆机汇总表!$J$13&amp;"/"&amp;小圆机汇总表!AI$14),SUMIFS(yj!$H:$H,yj!$B:$B,小圆机汇总表!$A21,yj!$G:$G,小圆机汇总表!$I$13&amp;"/"&amp;小圆机汇总表!$J$13&amp;"/"&amp;小圆机汇总表!AI$14))</f>
        <v>0</v>
      </c>
      <c r="AJ21" s="18">
        <f>IF($K$13="件数",SUMIFS(yj!$I:$I,yj!$B:$B,小圆机汇总表!$A21,yj!$G:$G,小圆机汇总表!$I$13&amp;"/"&amp;小圆机汇总表!$J$13&amp;"/"&amp;小圆机汇总表!AJ$14),SUMIFS(yj!$H:$H,yj!$B:$B,小圆机汇总表!$A21,yj!$G:$G,小圆机汇总表!$I$13&amp;"/"&amp;小圆机汇总表!$J$13&amp;"/"&amp;小圆机汇总表!AJ$14))</f>
        <v>0</v>
      </c>
      <c r="AK21" s="18">
        <f>IF($K$13="件数",SUMIFS(yj!$I:$I,yj!$B:$B,小圆机汇总表!$A21,yj!$G:$G,小圆机汇总表!$I$13&amp;"/"&amp;小圆机汇总表!$J$13&amp;"/"&amp;小圆机汇总表!AK$14),SUMIFS(yj!$H:$H,yj!$B:$B,小圆机汇总表!$A21,yj!$G:$G,小圆机汇总表!$I$13&amp;"/"&amp;小圆机汇总表!$J$13&amp;"/"&amp;小圆机汇总表!AK$14))</f>
        <v>0</v>
      </c>
      <c r="AL21" s="18">
        <f>IF($K$13="件数",SUMIFS(yj!$I:$I,yj!$B:$B,小圆机汇总表!$A21,yj!$G:$G,小圆机汇总表!$I$13&amp;"/"&amp;小圆机汇总表!$J$13&amp;"/"&amp;小圆机汇总表!AL$14),SUMIFS(yj!$H:$H,yj!$B:$B,小圆机汇总表!$A21,yj!$G:$G,小圆机汇总表!$I$13&amp;"/"&amp;小圆机汇总表!$J$13&amp;"/"&amp;小圆机汇总表!AL$14))</f>
        <v>0</v>
      </c>
      <c r="AM21" s="18">
        <f>IF($K$13="件数",SUMIFS(yj!$I:$I,yj!$B:$B,小圆机汇总表!$A21,yj!$G:$G,小圆机汇总表!$I$13&amp;"/"&amp;小圆机汇总表!$J$13&amp;"/"&amp;小圆机汇总表!AM$14),SUMIFS(yj!$H:$H,yj!$B:$B,小圆机汇总表!$A21,yj!$G:$G,小圆机汇总表!$I$13&amp;"/"&amp;小圆机汇总表!$J$13&amp;"/"&amp;小圆机汇总表!AM$14))</f>
        <v>0</v>
      </c>
      <c r="AN21" s="18">
        <f>IF($K$13="件数",SUMIFS(yj!$I:$I,yj!$B:$B,小圆机汇总表!$A21,yj!$G:$G,小圆机汇总表!$I$13&amp;"/"&amp;小圆机汇总表!$J$13&amp;"/"&amp;小圆机汇总表!AN$14),SUMIFS(yj!$H:$H,yj!$B:$B,小圆机汇总表!$A21,yj!$G:$G,小圆机汇总表!$I$13&amp;"/"&amp;小圆机汇总表!$J$13&amp;"/"&amp;小圆机汇总表!AN$14))</f>
        <v>0</v>
      </c>
      <c r="AO21" s="18">
        <f>IF($K$13="件数",SUMIFS(yj!$I:$I,yj!$B:$B,小圆机汇总表!$A21,yj!$G:$G,小圆机汇总表!$I$13&amp;"/"&amp;小圆机汇总表!$J$13&amp;"/"&amp;小圆机汇总表!AO$14),SUMIFS(yj!$H:$H,yj!$B:$B,小圆机汇总表!$A21,yj!$G:$G,小圆机汇总表!$I$13&amp;"/"&amp;小圆机汇总表!$J$13&amp;"/"&amp;小圆机汇总表!AO$14))</f>
        <v>0</v>
      </c>
      <c r="AP21" s="18">
        <f>IF($K$13="件数",SUMIFS(yj!$I:$I,yj!$B:$B,小圆机汇总表!$A21,yj!$G:$G,小圆机汇总表!$I$13&amp;"/"&amp;小圆机汇总表!$J$13&amp;"/"&amp;小圆机汇总表!AP$14),SUMIFS(yj!$H:$H,yj!$B:$B,小圆机汇总表!$A21,yj!$G:$G,小圆机汇总表!$I$13&amp;"/"&amp;小圆机汇总表!$J$13&amp;"/"&amp;小圆机汇总表!AP$14))</f>
        <v>0</v>
      </c>
      <c r="AQ21" s="18">
        <f>IF($K$13="件数",SUMIFS(yj!$I:$I,yj!$B:$B,小圆机汇总表!$A21,yj!$G:$G,小圆机汇总表!$I$13&amp;"/"&amp;小圆机汇总表!$J$13&amp;"/"&amp;小圆机汇总表!AQ$14),SUMIFS(yj!$H:$H,yj!$B:$B,小圆机汇总表!$A21,yj!$G:$G,小圆机汇总表!$I$13&amp;"/"&amp;小圆机汇总表!$J$13&amp;"/"&amp;小圆机汇总表!AQ$14))</f>
        <v>0</v>
      </c>
    </row>
    <row r="22" spans="1:43" ht="18" customHeight="1">
      <c r="A22" s="246" t="s">
        <v>2929</v>
      </c>
      <c r="B22" s="248" t="s">
        <v>2930</v>
      </c>
      <c r="C22" s="17">
        <v>50</v>
      </c>
      <c r="D22" s="17" t="s">
        <v>38</v>
      </c>
      <c r="E22" s="78" t="s">
        <v>1620</v>
      </c>
      <c r="F22" s="13">
        <v>160</v>
      </c>
      <c r="G22" s="13">
        <v>35</v>
      </c>
      <c r="H22" s="14" t="s">
        <v>1621</v>
      </c>
      <c r="I22" s="13"/>
      <c r="J22" s="182">
        <f ca="1">IF(SUMIFS(yj!$I:$I,yj!$B:$B,小圆机汇总表!A22,yj!$G:$G,小圆机汇总表!$L$13)&gt;0,SUMIFS(yj!$H:$H,yj!$B:$B,小圆机汇总表!A22,yj!$G:$G,小圆机汇总表!$L$13),0)</f>
        <v>179</v>
      </c>
      <c r="K22" s="15">
        <f>SUMIFS(yj!$H:$H,yj!$B:$B,小圆机汇总表!A22,yj!$M:$M,小圆机汇总表!$J$13)</f>
        <v>329.2</v>
      </c>
      <c r="L22" s="15">
        <f>SUMIFS(yj!$I:$I,yj!$B:$B,小圆机汇总表!A22,yj!$M:$M,小圆机汇总表!$J$13)</f>
        <v>17</v>
      </c>
      <c r="M22" s="18">
        <f>IF($K$13="件数",SUMIFS(yj!$I:$I,yj!$B:$B,小圆机汇总表!$A22,yj!$G:$G,小圆机汇总表!$I$13&amp;"/"&amp;小圆机汇总表!$J$13&amp;"/"&amp;小圆机汇总表!M$14),SUMIFS(yj!$H:$H,yj!$B:$B,小圆机汇总表!$A22,yj!$G:$G,小圆机汇总表!$I$13&amp;"/"&amp;小圆机汇总表!$J$13&amp;"/"&amp;小圆机汇总表!M$14))</f>
        <v>0</v>
      </c>
      <c r="N22" s="18">
        <f>IF($K$13="件数",SUMIFS(yj!$I:$I,yj!$B:$B,小圆机汇总表!$A22,yj!$G:$G,小圆机汇总表!$I$13&amp;"/"&amp;小圆机汇总表!$J$13&amp;"/"&amp;小圆机汇总表!N$14),SUMIFS(yj!$H:$H,yj!$B:$B,小圆机汇总表!$A22,yj!$G:$G,小圆机汇总表!$I$13&amp;"/"&amp;小圆机汇总表!$J$13&amp;"/"&amp;小圆机汇总表!N$14))</f>
        <v>0</v>
      </c>
      <c r="O22" s="18">
        <f>IF($K$13="件数",SUMIFS(yj!$I:$I,yj!$B:$B,小圆机汇总表!$A22,yj!$G:$G,小圆机汇总表!$I$13&amp;"/"&amp;小圆机汇总表!$J$13&amp;"/"&amp;小圆机汇总表!O$14),SUMIFS(yj!$H:$H,yj!$B:$B,小圆机汇总表!$A22,yj!$G:$G,小圆机汇总表!$I$13&amp;"/"&amp;小圆机汇总表!$J$13&amp;"/"&amp;小圆机汇总表!O$14))</f>
        <v>0</v>
      </c>
      <c r="P22" s="18">
        <f>IF($K$13="件数",SUMIFS(yj!$I:$I,yj!$B:$B,小圆机汇总表!$A22,yj!$G:$G,小圆机汇总表!$I$13&amp;"/"&amp;小圆机汇总表!$J$13&amp;"/"&amp;小圆机汇总表!P$14),SUMIFS(yj!$H:$H,yj!$B:$B,小圆机汇总表!$A22,yj!$G:$G,小圆机汇总表!$I$13&amp;"/"&amp;小圆机汇总表!$J$13&amp;"/"&amp;小圆机汇总表!P$14))</f>
        <v>0</v>
      </c>
      <c r="Q22" s="18">
        <f>IF($K$13="件数",SUMIFS(yj!$I:$I,yj!$B:$B,小圆机汇总表!$A22,yj!$G:$G,小圆机汇总表!$I$13&amp;"/"&amp;小圆机汇总表!$J$13&amp;"/"&amp;小圆机汇总表!Q$14),SUMIFS(yj!$H:$H,yj!$B:$B,小圆机汇总表!$A22,yj!$G:$G,小圆机汇总表!$I$13&amp;"/"&amp;小圆机汇总表!$J$13&amp;"/"&amp;小圆机汇总表!Q$14))</f>
        <v>150.19999999999999</v>
      </c>
      <c r="R22" s="18">
        <f>IF($K$13="件数",SUMIFS(yj!$I:$I,yj!$B:$B,小圆机汇总表!$A22,yj!$G:$G,小圆机汇总表!$I$13&amp;"/"&amp;小圆机汇总表!$J$13&amp;"/"&amp;小圆机汇总表!R$14),SUMIFS(yj!$H:$H,yj!$B:$B,小圆机汇总表!$A22,yj!$G:$G,小圆机汇总表!$I$13&amp;"/"&amp;小圆机汇总表!$J$13&amp;"/"&amp;小圆机汇总表!R$14))</f>
        <v>179</v>
      </c>
      <c r="S22" s="18">
        <f>IF($K$13="件数",SUMIFS(yj!$I:$I,yj!$B:$B,小圆机汇总表!$A22,yj!$G:$G,小圆机汇总表!$I$13&amp;"/"&amp;小圆机汇总表!$J$13&amp;"/"&amp;小圆机汇总表!S$14),SUMIFS(yj!$H:$H,yj!$B:$B,小圆机汇总表!$A22,yj!$G:$G,小圆机汇总表!$I$13&amp;"/"&amp;小圆机汇总表!$J$13&amp;"/"&amp;小圆机汇总表!S$14))</f>
        <v>0</v>
      </c>
      <c r="T22" s="18">
        <f>IF($K$13="件数",SUMIFS(yj!$I:$I,yj!$B:$B,小圆机汇总表!$A22,yj!$G:$G,小圆机汇总表!$I$13&amp;"/"&amp;小圆机汇总表!$J$13&amp;"/"&amp;小圆机汇总表!T$14),SUMIFS(yj!$H:$H,yj!$B:$B,小圆机汇总表!$A22,yj!$G:$G,小圆机汇总表!$I$13&amp;"/"&amp;小圆机汇总表!$J$13&amp;"/"&amp;小圆机汇总表!T$14))</f>
        <v>0</v>
      </c>
      <c r="U22" s="18">
        <f>IF($K$13="件数",SUMIFS(yj!$I:$I,yj!$B:$B,小圆机汇总表!$A22,yj!$G:$G,小圆机汇总表!$I$13&amp;"/"&amp;小圆机汇总表!$J$13&amp;"/"&amp;小圆机汇总表!U$14),SUMIFS(yj!$H:$H,yj!$B:$B,小圆机汇总表!$A22,yj!$G:$G,小圆机汇总表!$I$13&amp;"/"&amp;小圆机汇总表!$J$13&amp;"/"&amp;小圆机汇总表!U$14))</f>
        <v>0</v>
      </c>
      <c r="V22" s="18">
        <f>IF($K$13="件数",SUMIFS(yj!$I:$I,yj!$B:$B,小圆机汇总表!$A22,yj!$G:$G,小圆机汇总表!$I$13&amp;"/"&amp;小圆机汇总表!$J$13&amp;"/"&amp;小圆机汇总表!V$14),SUMIFS(yj!$H:$H,yj!$B:$B,小圆机汇总表!$A22,yj!$G:$G,小圆机汇总表!$I$13&amp;"/"&amp;小圆机汇总表!$J$13&amp;"/"&amp;小圆机汇总表!V$14))</f>
        <v>0</v>
      </c>
      <c r="W22" s="18">
        <f>IF($K$13="件数",SUMIFS(yj!$I:$I,yj!$B:$B,小圆机汇总表!$A22,yj!$G:$G,小圆机汇总表!$I$13&amp;"/"&amp;小圆机汇总表!$J$13&amp;"/"&amp;小圆机汇总表!W$14),SUMIFS(yj!$H:$H,yj!$B:$B,小圆机汇总表!$A22,yj!$G:$G,小圆机汇总表!$I$13&amp;"/"&amp;小圆机汇总表!$J$13&amp;"/"&amp;小圆机汇总表!W$14))</f>
        <v>0</v>
      </c>
      <c r="X22" s="18">
        <f>IF($K$13="件数",SUMIFS(yj!$I:$I,yj!$B:$B,小圆机汇总表!$A22,yj!$G:$G,小圆机汇总表!$I$13&amp;"/"&amp;小圆机汇总表!$J$13&amp;"/"&amp;小圆机汇总表!X$14),SUMIFS(yj!$H:$H,yj!$B:$B,小圆机汇总表!$A22,yj!$G:$G,小圆机汇总表!$I$13&amp;"/"&amp;小圆机汇总表!$J$13&amp;"/"&amp;小圆机汇总表!X$14))</f>
        <v>0</v>
      </c>
      <c r="Y22" s="18">
        <f>IF($K$13="件数",SUMIFS(yj!$I:$I,yj!$B:$B,小圆机汇总表!$A22,yj!$G:$G,小圆机汇总表!$I$13&amp;"/"&amp;小圆机汇总表!$J$13&amp;"/"&amp;小圆机汇总表!Y$14),SUMIFS(yj!$H:$H,yj!$B:$B,小圆机汇总表!$A22,yj!$G:$G,小圆机汇总表!$I$13&amp;"/"&amp;小圆机汇总表!$J$13&amp;"/"&amp;小圆机汇总表!Y$14))</f>
        <v>0</v>
      </c>
      <c r="Z22" s="18">
        <f>IF($K$13="件数",SUMIFS(yj!$I:$I,yj!$B:$B,小圆机汇总表!$A22,yj!$G:$G,小圆机汇总表!$I$13&amp;"/"&amp;小圆机汇总表!$J$13&amp;"/"&amp;小圆机汇总表!Z$14),SUMIFS(yj!$H:$H,yj!$B:$B,小圆机汇总表!$A22,yj!$G:$G,小圆机汇总表!$I$13&amp;"/"&amp;小圆机汇总表!$J$13&amp;"/"&amp;小圆机汇总表!Z$14))</f>
        <v>0</v>
      </c>
      <c r="AA22" s="18">
        <f>IF($K$13="件数",SUMIFS(yj!$I:$I,yj!$B:$B,小圆机汇总表!$A22,yj!$G:$G,小圆机汇总表!$I$13&amp;"/"&amp;小圆机汇总表!$J$13&amp;"/"&amp;小圆机汇总表!AA$14),SUMIFS(yj!$H:$H,yj!$B:$B,小圆机汇总表!$A22,yj!$G:$G,小圆机汇总表!$I$13&amp;"/"&amp;小圆机汇总表!$J$13&amp;"/"&amp;小圆机汇总表!AA$14))</f>
        <v>0</v>
      </c>
      <c r="AB22" s="18">
        <f>IF($K$13="件数",SUMIFS(yj!$I:$I,yj!$B:$B,小圆机汇总表!$A22,yj!$G:$G,小圆机汇总表!$I$13&amp;"/"&amp;小圆机汇总表!$J$13&amp;"/"&amp;小圆机汇总表!AB$14),SUMIFS(yj!$H:$H,yj!$B:$B,小圆机汇总表!$A22,yj!$G:$G,小圆机汇总表!$I$13&amp;"/"&amp;小圆机汇总表!$J$13&amp;"/"&amp;小圆机汇总表!AB$14))</f>
        <v>0</v>
      </c>
      <c r="AC22" s="18">
        <f>IF($K$13="件数",SUMIFS(yj!$I:$I,yj!$B:$B,小圆机汇总表!$A22,yj!$G:$G,小圆机汇总表!$I$13&amp;"/"&amp;小圆机汇总表!$J$13&amp;"/"&amp;小圆机汇总表!AC$14),SUMIFS(yj!$H:$H,yj!$B:$B,小圆机汇总表!$A22,yj!$G:$G,小圆机汇总表!$I$13&amp;"/"&amp;小圆机汇总表!$J$13&amp;"/"&amp;小圆机汇总表!AC$14))</f>
        <v>0</v>
      </c>
      <c r="AD22" s="18">
        <f>IF($K$13="件数",SUMIFS(yj!$I:$I,yj!$B:$B,小圆机汇总表!$A22,yj!$G:$G,小圆机汇总表!$I$13&amp;"/"&amp;小圆机汇总表!$J$13&amp;"/"&amp;小圆机汇总表!AD$14),SUMIFS(yj!$H:$H,yj!$B:$B,小圆机汇总表!$A22,yj!$G:$G,小圆机汇总表!$I$13&amp;"/"&amp;小圆机汇总表!$J$13&amp;"/"&amp;小圆机汇总表!AD$14))</f>
        <v>0</v>
      </c>
      <c r="AE22" s="18">
        <f>IF($K$13="件数",SUMIFS(yj!$I:$I,yj!$B:$B,小圆机汇总表!$A22,yj!$G:$G,小圆机汇总表!$I$13&amp;"/"&amp;小圆机汇总表!$J$13&amp;"/"&amp;小圆机汇总表!AE$14),SUMIFS(yj!$H:$H,yj!$B:$B,小圆机汇总表!$A22,yj!$G:$G,小圆机汇总表!$I$13&amp;"/"&amp;小圆机汇总表!$J$13&amp;"/"&amp;小圆机汇总表!AE$14))</f>
        <v>0</v>
      </c>
      <c r="AF22" s="18">
        <f>IF($K$13="件数",SUMIFS(yj!$I:$I,yj!$B:$B,小圆机汇总表!$A22,yj!$G:$G,小圆机汇总表!$I$13&amp;"/"&amp;小圆机汇总表!$J$13&amp;"/"&amp;小圆机汇总表!AF$14),SUMIFS(yj!$H:$H,yj!$B:$B,小圆机汇总表!$A22,yj!$G:$G,小圆机汇总表!$I$13&amp;"/"&amp;小圆机汇总表!$J$13&amp;"/"&amp;小圆机汇总表!AF$14))</f>
        <v>0</v>
      </c>
      <c r="AG22" s="18">
        <f>IF($K$13="件数",SUMIFS(yj!$I:$I,yj!$B:$B,小圆机汇总表!$A22,yj!$G:$G,小圆机汇总表!$I$13&amp;"/"&amp;小圆机汇总表!$J$13&amp;"/"&amp;小圆机汇总表!AG$14),SUMIFS(yj!$H:$H,yj!$B:$B,小圆机汇总表!$A22,yj!$G:$G,小圆机汇总表!$I$13&amp;"/"&amp;小圆机汇总表!$J$13&amp;"/"&amp;小圆机汇总表!AG$14))</f>
        <v>0</v>
      </c>
      <c r="AH22" s="18">
        <f>IF($K$13="件数",SUMIFS(yj!$I:$I,yj!$B:$B,小圆机汇总表!$A22,yj!$G:$G,小圆机汇总表!$I$13&amp;"/"&amp;小圆机汇总表!$J$13&amp;"/"&amp;小圆机汇总表!AH$14),SUMIFS(yj!$H:$H,yj!$B:$B,小圆机汇总表!$A22,yj!$G:$G,小圆机汇总表!$I$13&amp;"/"&amp;小圆机汇总表!$J$13&amp;"/"&amp;小圆机汇总表!AH$14))</f>
        <v>0</v>
      </c>
      <c r="AI22" s="18">
        <f>IF($K$13="件数",SUMIFS(yj!$I:$I,yj!$B:$B,小圆机汇总表!$A22,yj!$G:$G,小圆机汇总表!$I$13&amp;"/"&amp;小圆机汇总表!$J$13&amp;"/"&amp;小圆机汇总表!AI$14),SUMIFS(yj!$H:$H,yj!$B:$B,小圆机汇总表!$A22,yj!$G:$G,小圆机汇总表!$I$13&amp;"/"&amp;小圆机汇总表!$J$13&amp;"/"&amp;小圆机汇总表!AI$14))</f>
        <v>0</v>
      </c>
      <c r="AJ22" s="18">
        <f>IF($K$13="件数",SUMIFS(yj!$I:$I,yj!$B:$B,小圆机汇总表!$A22,yj!$G:$G,小圆机汇总表!$I$13&amp;"/"&amp;小圆机汇总表!$J$13&amp;"/"&amp;小圆机汇总表!AJ$14),SUMIFS(yj!$H:$H,yj!$B:$B,小圆机汇总表!$A22,yj!$G:$G,小圆机汇总表!$I$13&amp;"/"&amp;小圆机汇总表!$J$13&amp;"/"&amp;小圆机汇总表!AJ$14))</f>
        <v>0</v>
      </c>
      <c r="AK22" s="18">
        <f>IF($K$13="件数",SUMIFS(yj!$I:$I,yj!$B:$B,小圆机汇总表!$A22,yj!$G:$G,小圆机汇总表!$I$13&amp;"/"&amp;小圆机汇总表!$J$13&amp;"/"&amp;小圆机汇总表!AK$14),SUMIFS(yj!$H:$H,yj!$B:$B,小圆机汇总表!$A22,yj!$G:$G,小圆机汇总表!$I$13&amp;"/"&amp;小圆机汇总表!$J$13&amp;"/"&amp;小圆机汇总表!AK$14))</f>
        <v>0</v>
      </c>
      <c r="AL22" s="18">
        <f>IF($K$13="件数",SUMIFS(yj!$I:$I,yj!$B:$B,小圆机汇总表!$A22,yj!$G:$G,小圆机汇总表!$I$13&amp;"/"&amp;小圆机汇总表!$J$13&amp;"/"&amp;小圆机汇总表!AL$14),SUMIFS(yj!$H:$H,yj!$B:$B,小圆机汇总表!$A22,yj!$G:$G,小圆机汇总表!$I$13&amp;"/"&amp;小圆机汇总表!$J$13&amp;"/"&amp;小圆机汇总表!AL$14))</f>
        <v>0</v>
      </c>
      <c r="AM22" s="18">
        <f>IF($K$13="件数",SUMIFS(yj!$I:$I,yj!$B:$B,小圆机汇总表!$A22,yj!$G:$G,小圆机汇总表!$I$13&amp;"/"&amp;小圆机汇总表!$J$13&amp;"/"&amp;小圆机汇总表!AM$14),SUMIFS(yj!$H:$H,yj!$B:$B,小圆机汇总表!$A22,yj!$G:$G,小圆机汇总表!$I$13&amp;"/"&amp;小圆机汇总表!$J$13&amp;"/"&amp;小圆机汇总表!AM$14))</f>
        <v>0</v>
      </c>
      <c r="AN22" s="18">
        <f>IF($K$13="件数",SUMIFS(yj!$I:$I,yj!$B:$B,小圆机汇总表!$A22,yj!$G:$G,小圆机汇总表!$I$13&amp;"/"&amp;小圆机汇总表!$J$13&amp;"/"&amp;小圆机汇总表!AN$14),SUMIFS(yj!$H:$H,yj!$B:$B,小圆机汇总表!$A22,yj!$G:$G,小圆机汇总表!$I$13&amp;"/"&amp;小圆机汇总表!$J$13&amp;"/"&amp;小圆机汇总表!AN$14))</f>
        <v>0</v>
      </c>
      <c r="AO22" s="18">
        <f>IF($K$13="件数",SUMIFS(yj!$I:$I,yj!$B:$B,小圆机汇总表!$A22,yj!$G:$G,小圆机汇总表!$I$13&amp;"/"&amp;小圆机汇总表!$J$13&amp;"/"&amp;小圆机汇总表!AO$14),SUMIFS(yj!$H:$H,yj!$B:$B,小圆机汇总表!$A22,yj!$G:$G,小圆机汇总表!$I$13&amp;"/"&amp;小圆机汇总表!$J$13&amp;"/"&amp;小圆机汇总表!AO$14))</f>
        <v>0</v>
      </c>
      <c r="AP22" s="18">
        <f>IF($K$13="件数",SUMIFS(yj!$I:$I,yj!$B:$B,小圆机汇总表!$A22,yj!$G:$G,小圆机汇总表!$I$13&amp;"/"&amp;小圆机汇总表!$J$13&amp;"/"&amp;小圆机汇总表!AP$14),SUMIFS(yj!$H:$H,yj!$B:$B,小圆机汇总表!$A22,yj!$G:$G,小圆机汇总表!$I$13&amp;"/"&amp;小圆机汇总表!$J$13&amp;"/"&amp;小圆机汇总表!AP$14))</f>
        <v>0</v>
      </c>
      <c r="AQ22" s="18">
        <f>IF($K$13="件数",SUMIFS(yj!$I:$I,yj!$B:$B,小圆机汇总表!$A22,yj!$G:$G,小圆机汇总表!$I$13&amp;"/"&amp;小圆机汇总表!$J$13&amp;"/"&amp;小圆机汇总表!AQ$14),SUMIFS(yj!$H:$H,yj!$B:$B,小圆机汇总表!$A22,yj!$G:$G,小圆机汇总表!$I$13&amp;"/"&amp;小圆机汇总表!$J$13&amp;"/"&amp;小圆机汇总表!AQ$14))</f>
        <v>0</v>
      </c>
    </row>
    <row r="23" spans="1:43" ht="18" customHeight="1">
      <c r="A23" s="13" t="s">
        <v>37</v>
      </c>
      <c r="B23" s="14" t="s">
        <v>35</v>
      </c>
      <c r="C23" s="17">
        <v>50</v>
      </c>
      <c r="D23" s="17" t="s">
        <v>38</v>
      </c>
      <c r="E23" s="182" t="s">
        <v>2</v>
      </c>
      <c r="F23" s="13">
        <v>160</v>
      </c>
      <c r="G23" s="13">
        <v>32</v>
      </c>
      <c r="H23" s="176" t="s">
        <v>39</v>
      </c>
      <c r="I23" s="13"/>
      <c r="J23" s="182">
        <f ca="1">IF(SUMIFS(yj!$I:$I,yj!$B:$B,小圆机汇总表!A23,yj!$G:$G,小圆机汇总表!$L$13)&gt;0,SUMIFS(yj!$H:$H,yj!$B:$B,小圆机汇总表!A23,yj!$G:$G,小圆机汇总表!$L$13),0)</f>
        <v>0</v>
      </c>
      <c r="K23" s="15">
        <f>SUMIFS(yj!$H:$H,yj!$B:$B,小圆机汇总表!A23,yj!$M:$M,小圆机汇总表!$J$13)</f>
        <v>0</v>
      </c>
      <c r="L23" s="15">
        <f>SUMIFS(yj!$I:$I,yj!$B:$B,小圆机汇总表!A23,yj!$M:$M,小圆机汇总表!$J$13)</f>
        <v>0</v>
      </c>
      <c r="M23" s="18">
        <f>IF($K$13="件数",SUMIFS(yj!$I:$I,yj!$B:$B,小圆机汇总表!$A23,yj!$G:$G,小圆机汇总表!$I$13&amp;"/"&amp;小圆机汇总表!$J$13&amp;"/"&amp;小圆机汇总表!M$14),SUMIFS(yj!$H:$H,yj!$B:$B,小圆机汇总表!$A23,yj!$G:$G,小圆机汇总表!$I$13&amp;"/"&amp;小圆机汇总表!$J$13&amp;"/"&amp;小圆机汇总表!M$14))</f>
        <v>0</v>
      </c>
      <c r="N23" s="18">
        <f>IF($K$13="件数",SUMIFS(yj!$I:$I,yj!$B:$B,小圆机汇总表!$A23,yj!$G:$G,小圆机汇总表!$I$13&amp;"/"&amp;小圆机汇总表!$J$13&amp;"/"&amp;小圆机汇总表!N$14),SUMIFS(yj!$H:$H,yj!$B:$B,小圆机汇总表!$A23,yj!$G:$G,小圆机汇总表!$I$13&amp;"/"&amp;小圆机汇总表!$J$13&amp;"/"&amp;小圆机汇总表!N$14))</f>
        <v>0</v>
      </c>
      <c r="O23" s="18">
        <f>IF($K$13="件数",SUMIFS(yj!$I:$I,yj!$B:$B,小圆机汇总表!$A23,yj!$G:$G,小圆机汇总表!$I$13&amp;"/"&amp;小圆机汇总表!$J$13&amp;"/"&amp;小圆机汇总表!O$14),SUMIFS(yj!$H:$H,yj!$B:$B,小圆机汇总表!$A23,yj!$G:$G,小圆机汇总表!$I$13&amp;"/"&amp;小圆机汇总表!$J$13&amp;"/"&amp;小圆机汇总表!O$14))</f>
        <v>0</v>
      </c>
      <c r="P23" s="18">
        <f>IF($K$13="件数",SUMIFS(yj!$I:$I,yj!$B:$B,小圆机汇总表!$A23,yj!$G:$G,小圆机汇总表!$I$13&amp;"/"&amp;小圆机汇总表!$J$13&amp;"/"&amp;小圆机汇总表!P$14),SUMIFS(yj!$H:$H,yj!$B:$B,小圆机汇总表!$A23,yj!$G:$G,小圆机汇总表!$I$13&amp;"/"&amp;小圆机汇总表!$J$13&amp;"/"&amp;小圆机汇总表!P$14))</f>
        <v>0</v>
      </c>
      <c r="Q23" s="18">
        <f>IF($K$13="件数",SUMIFS(yj!$I:$I,yj!$B:$B,小圆机汇总表!$A23,yj!$G:$G,小圆机汇总表!$I$13&amp;"/"&amp;小圆机汇总表!$J$13&amp;"/"&amp;小圆机汇总表!Q$14),SUMIFS(yj!$H:$H,yj!$B:$B,小圆机汇总表!$A23,yj!$G:$G,小圆机汇总表!$I$13&amp;"/"&amp;小圆机汇总表!$J$13&amp;"/"&amp;小圆机汇总表!Q$14))</f>
        <v>0</v>
      </c>
      <c r="R23" s="18">
        <f>IF($K$13="件数",SUMIFS(yj!$I:$I,yj!$B:$B,小圆机汇总表!$A23,yj!$G:$G,小圆机汇总表!$I$13&amp;"/"&amp;小圆机汇总表!$J$13&amp;"/"&amp;小圆机汇总表!R$14),SUMIFS(yj!$H:$H,yj!$B:$B,小圆机汇总表!$A23,yj!$G:$G,小圆机汇总表!$I$13&amp;"/"&amp;小圆机汇总表!$J$13&amp;"/"&amp;小圆机汇总表!R$14))</f>
        <v>0</v>
      </c>
      <c r="S23" s="18">
        <f>IF($K$13="件数",SUMIFS(yj!$I:$I,yj!$B:$B,小圆机汇总表!$A23,yj!$G:$G,小圆机汇总表!$I$13&amp;"/"&amp;小圆机汇总表!$J$13&amp;"/"&amp;小圆机汇总表!S$14),SUMIFS(yj!$H:$H,yj!$B:$B,小圆机汇总表!$A23,yj!$G:$G,小圆机汇总表!$I$13&amp;"/"&amp;小圆机汇总表!$J$13&amp;"/"&amp;小圆机汇总表!S$14))</f>
        <v>0</v>
      </c>
      <c r="T23" s="18">
        <f>IF($K$13="件数",SUMIFS(yj!$I:$I,yj!$B:$B,小圆机汇总表!$A23,yj!$G:$G,小圆机汇总表!$I$13&amp;"/"&amp;小圆机汇总表!$J$13&amp;"/"&amp;小圆机汇总表!T$14),SUMIFS(yj!$H:$H,yj!$B:$B,小圆机汇总表!$A23,yj!$G:$G,小圆机汇总表!$I$13&amp;"/"&amp;小圆机汇总表!$J$13&amp;"/"&amp;小圆机汇总表!T$14))</f>
        <v>0</v>
      </c>
      <c r="U23" s="18">
        <f>IF($K$13="件数",SUMIFS(yj!$I:$I,yj!$B:$B,小圆机汇总表!$A23,yj!$G:$G,小圆机汇总表!$I$13&amp;"/"&amp;小圆机汇总表!$J$13&amp;"/"&amp;小圆机汇总表!U$14),SUMIFS(yj!$H:$H,yj!$B:$B,小圆机汇总表!$A23,yj!$G:$G,小圆机汇总表!$I$13&amp;"/"&amp;小圆机汇总表!$J$13&amp;"/"&amp;小圆机汇总表!U$14))</f>
        <v>0</v>
      </c>
      <c r="V23" s="18">
        <f>IF($K$13="件数",SUMIFS(yj!$I:$I,yj!$B:$B,小圆机汇总表!$A23,yj!$G:$G,小圆机汇总表!$I$13&amp;"/"&amp;小圆机汇总表!$J$13&amp;"/"&amp;小圆机汇总表!V$14),SUMIFS(yj!$H:$H,yj!$B:$B,小圆机汇总表!$A23,yj!$G:$G,小圆机汇总表!$I$13&amp;"/"&amp;小圆机汇总表!$J$13&amp;"/"&amp;小圆机汇总表!V$14))</f>
        <v>0</v>
      </c>
      <c r="W23" s="18">
        <f>IF($K$13="件数",SUMIFS(yj!$I:$I,yj!$B:$B,小圆机汇总表!$A23,yj!$G:$G,小圆机汇总表!$I$13&amp;"/"&amp;小圆机汇总表!$J$13&amp;"/"&amp;小圆机汇总表!W$14),SUMIFS(yj!$H:$H,yj!$B:$B,小圆机汇总表!$A23,yj!$G:$G,小圆机汇总表!$I$13&amp;"/"&amp;小圆机汇总表!$J$13&amp;"/"&amp;小圆机汇总表!W$14))</f>
        <v>0</v>
      </c>
      <c r="X23" s="18">
        <f>IF($K$13="件数",SUMIFS(yj!$I:$I,yj!$B:$B,小圆机汇总表!$A23,yj!$G:$G,小圆机汇总表!$I$13&amp;"/"&amp;小圆机汇总表!$J$13&amp;"/"&amp;小圆机汇总表!X$14),SUMIFS(yj!$H:$H,yj!$B:$B,小圆机汇总表!$A23,yj!$G:$G,小圆机汇总表!$I$13&amp;"/"&amp;小圆机汇总表!$J$13&amp;"/"&amp;小圆机汇总表!X$14))</f>
        <v>0</v>
      </c>
      <c r="Y23" s="18">
        <f>IF($K$13="件数",SUMIFS(yj!$I:$I,yj!$B:$B,小圆机汇总表!$A23,yj!$G:$G,小圆机汇总表!$I$13&amp;"/"&amp;小圆机汇总表!$J$13&amp;"/"&amp;小圆机汇总表!Y$14),SUMIFS(yj!$H:$H,yj!$B:$B,小圆机汇总表!$A23,yj!$G:$G,小圆机汇总表!$I$13&amp;"/"&amp;小圆机汇总表!$J$13&amp;"/"&amp;小圆机汇总表!Y$14))</f>
        <v>0</v>
      </c>
      <c r="Z23" s="18">
        <f>IF($K$13="件数",SUMIFS(yj!$I:$I,yj!$B:$B,小圆机汇总表!$A23,yj!$G:$G,小圆机汇总表!$I$13&amp;"/"&amp;小圆机汇总表!$J$13&amp;"/"&amp;小圆机汇总表!Z$14),SUMIFS(yj!$H:$H,yj!$B:$B,小圆机汇总表!$A23,yj!$G:$G,小圆机汇总表!$I$13&amp;"/"&amp;小圆机汇总表!$J$13&amp;"/"&amp;小圆机汇总表!Z$14))</f>
        <v>0</v>
      </c>
      <c r="AA23" s="18">
        <f>IF($K$13="件数",SUMIFS(yj!$I:$I,yj!$B:$B,小圆机汇总表!$A23,yj!$G:$G,小圆机汇总表!$I$13&amp;"/"&amp;小圆机汇总表!$J$13&amp;"/"&amp;小圆机汇总表!AA$14),SUMIFS(yj!$H:$H,yj!$B:$B,小圆机汇总表!$A23,yj!$G:$G,小圆机汇总表!$I$13&amp;"/"&amp;小圆机汇总表!$J$13&amp;"/"&amp;小圆机汇总表!AA$14))</f>
        <v>0</v>
      </c>
      <c r="AB23" s="18">
        <f>IF($K$13="件数",SUMIFS(yj!$I:$I,yj!$B:$B,小圆机汇总表!$A23,yj!$G:$G,小圆机汇总表!$I$13&amp;"/"&amp;小圆机汇总表!$J$13&amp;"/"&amp;小圆机汇总表!AB$14),SUMIFS(yj!$H:$H,yj!$B:$B,小圆机汇总表!$A23,yj!$G:$G,小圆机汇总表!$I$13&amp;"/"&amp;小圆机汇总表!$J$13&amp;"/"&amp;小圆机汇总表!AB$14))</f>
        <v>0</v>
      </c>
      <c r="AC23" s="18">
        <f>IF($K$13="件数",SUMIFS(yj!$I:$I,yj!$B:$B,小圆机汇总表!$A23,yj!$G:$G,小圆机汇总表!$I$13&amp;"/"&amp;小圆机汇总表!$J$13&amp;"/"&amp;小圆机汇总表!AC$14),SUMIFS(yj!$H:$H,yj!$B:$B,小圆机汇总表!$A23,yj!$G:$G,小圆机汇总表!$I$13&amp;"/"&amp;小圆机汇总表!$J$13&amp;"/"&amp;小圆机汇总表!AC$14))</f>
        <v>0</v>
      </c>
      <c r="AD23" s="18">
        <f>IF($K$13="件数",SUMIFS(yj!$I:$I,yj!$B:$B,小圆机汇总表!$A23,yj!$G:$G,小圆机汇总表!$I$13&amp;"/"&amp;小圆机汇总表!$J$13&amp;"/"&amp;小圆机汇总表!AD$14),SUMIFS(yj!$H:$H,yj!$B:$B,小圆机汇总表!$A23,yj!$G:$G,小圆机汇总表!$I$13&amp;"/"&amp;小圆机汇总表!$J$13&amp;"/"&amp;小圆机汇总表!AD$14))</f>
        <v>0</v>
      </c>
      <c r="AE23" s="18">
        <f>IF($K$13="件数",SUMIFS(yj!$I:$I,yj!$B:$B,小圆机汇总表!$A23,yj!$G:$G,小圆机汇总表!$I$13&amp;"/"&amp;小圆机汇总表!$J$13&amp;"/"&amp;小圆机汇总表!AE$14),SUMIFS(yj!$H:$H,yj!$B:$B,小圆机汇总表!$A23,yj!$G:$G,小圆机汇总表!$I$13&amp;"/"&amp;小圆机汇总表!$J$13&amp;"/"&amp;小圆机汇总表!AE$14))</f>
        <v>0</v>
      </c>
      <c r="AF23" s="18">
        <f>IF($K$13="件数",SUMIFS(yj!$I:$I,yj!$B:$B,小圆机汇总表!$A23,yj!$G:$G,小圆机汇总表!$I$13&amp;"/"&amp;小圆机汇总表!$J$13&amp;"/"&amp;小圆机汇总表!AF$14),SUMIFS(yj!$H:$H,yj!$B:$B,小圆机汇总表!$A23,yj!$G:$G,小圆机汇总表!$I$13&amp;"/"&amp;小圆机汇总表!$J$13&amp;"/"&amp;小圆机汇总表!AF$14))</f>
        <v>0</v>
      </c>
      <c r="AG23" s="18">
        <f>IF($K$13="件数",SUMIFS(yj!$I:$I,yj!$B:$B,小圆机汇总表!$A23,yj!$G:$G,小圆机汇总表!$I$13&amp;"/"&amp;小圆机汇总表!$J$13&amp;"/"&amp;小圆机汇总表!AG$14),SUMIFS(yj!$H:$H,yj!$B:$B,小圆机汇总表!$A23,yj!$G:$G,小圆机汇总表!$I$13&amp;"/"&amp;小圆机汇总表!$J$13&amp;"/"&amp;小圆机汇总表!AG$14))</f>
        <v>0</v>
      </c>
      <c r="AH23" s="18">
        <f>IF($K$13="件数",SUMIFS(yj!$I:$I,yj!$B:$B,小圆机汇总表!$A23,yj!$G:$G,小圆机汇总表!$I$13&amp;"/"&amp;小圆机汇总表!$J$13&amp;"/"&amp;小圆机汇总表!AH$14),SUMIFS(yj!$H:$H,yj!$B:$B,小圆机汇总表!$A23,yj!$G:$G,小圆机汇总表!$I$13&amp;"/"&amp;小圆机汇总表!$J$13&amp;"/"&amp;小圆机汇总表!AH$14))</f>
        <v>0</v>
      </c>
      <c r="AI23" s="18">
        <f>IF($K$13="件数",SUMIFS(yj!$I:$I,yj!$B:$B,小圆机汇总表!$A23,yj!$G:$G,小圆机汇总表!$I$13&amp;"/"&amp;小圆机汇总表!$J$13&amp;"/"&amp;小圆机汇总表!AI$14),SUMIFS(yj!$H:$H,yj!$B:$B,小圆机汇总表!$A23,yj!$G:$G,小圆机汇总表!$I$13&amp;"/"&amp;小圆机汇总表!$J$13&amp;"/"&amp;小圆机汇总表!AI$14))</f>
        <v>0</v>
      </c>
      <c r="AJ23" s="18">
        <f>IF($K$13="件数",SUMIFS(yj!$I:$I,yj!$B:$B,小圆机汇总表!$A23,yj!$G:$G,小圆机汇总表!$I$13&amp;"/"&amp;小圆机汇总表!$J$13&amp;"/"&amp;小圆机汇总表!AJ$14),SUMIFS(yj!$H:$H,yj!$B:$B,小圆机汇总表!$A23,yj!$G:$G,小圆机汇总表!$I$13&amp;"/"&amp;小圆机汇总表!$J$13&amp;"/"&amp;小圆机汇总表!AJ$14))</f>
        <v>0</v>
      </c>
      <c r="AK23" s="18">
        <f>IF($K$13="件数",SUMIFS(yj!$I:$I,yj!$B:$B,小圆机汇总表!$A23,yj!$G:$G,小圆机汇总表!$I$13&amp;"/"&amp;小圆机汇总表!$J$13&amp;"/"&amp;小圆机汇总表!AK$14),SUMIFS(yj!$H:$H,yj!$B:$B,小圆机汇总表!$A23,yj!$G:$G,小圆机汇总表!$I$13&amp;"/"&amp;小圆机汇总表!$J$13&amp;"/"&amp;小圆机汇总表!AK$14))</f>
        <v>0</v>
      </c>
      <c r="AL23" s="18">
        <f>IF($K$13="件数",SUMIFS(yj!$I:$I,yj!$B:$B,小圆机汇总表!$A23,yj!$G:$G,小圆机汇总表!$I$13&amp;"/"&amp;小圆机汇总表!$J$13&amp;"/"&amp;小圆机汇总表!AL$14),SUMIFS(yj!$H:$H,yj!$B:$B,小圆机汇总表!$A23,yj!$G:$G,小圆机汇总表!$I$13&amp;"/"&amp;小圆机汇总表!$J$13&amp;"/"&amp;小圆机汇总表!AL$14))</f>
        <v>0</v>
      </c>
      <c r="AM23" s="18">
        <f>IF($K$13="件数",SUMIFS(yj!$I:$I,yj!$B:$B,小圆机汇总表!$A23,yj!$G:$G,小圆机汇总表!$I$13&amp;"/"&amp;小圆机汇总表!$J$13&amp;"/"&amp;小圆机汇总表!AM$14),SUMIFS(yj!$H:$H,yj!$B:$B,小圆机汇总表!$A23,yj!$G:$G,小圆机汇总表!$I$13&amp;"/"&amp;小圆机汇总表!$J$13&amp;"/"&amp;小圆机汇总表!AM$14))</f>
        <v>0</v>
      </c>
      <c r="AN23" s="18">
        <f>IF($K$13="件数",SUMIFS(yj!$I:$I,yj!$B:$B,小圆机汇总表!$A23,yj!$G:$G,小圆机汇总表!$I$13&amp;"/"&amp;小圆机汇总表!$J$13&amp;"/"&amp;小圆机汇总表!AN$14),SUMIFS(yj!$H:$H,yj!$B:$B,小圆机汇总表!$A23,yj!$G:$G,小圆机汇总表!$I$13&amp;"/"&amp;小圆机汇总表!$J$13&amp;"/"&amp;小圆机汇总表!AN$14))</f>
        <v>0</v>
      </c>
      <c r="AO23" s="18">
        <f>IF($K$13="件数",SUMIFS(yj!$I:$I,yj!$B:$B,小圆机汇总表!$A23,yj!$G:$G,小圆机汇总表!$I$13&amp;"/"&amp;小圆机汇总表!$J$13&amp;"/"&amp;小圆机汇总表!AO$14),SUMIFS(yj!$H:$H,yj!$B:$B,小圆机汇总表!$A23,yj!$G:$G,小圆机汇总表!$I$13&amp;"/"&amp;小圆机汇总表!$J$13&amp;"/"&amp;小圆机汇总表!AO$14))</f>
        <v>0</v>
      </c>
      <c r="AP23" s="18">
        <f>IF($K$13="件数",SUMIFS(yj!$I:$I,yj!$B:$B,小圆机汇总表!$A23,yj!$G:$G,小圆机汇总表!$I$13&amp;"/"&amp;小圆机汇总表!$J$13&amp;"/"&amp;小圆机汇总表!AP$14),SUMIFS(yj!$H:$H,yj!$B:$B,小圆机汇总表!$A23,yj!$G:$G,小圆机汇总表!$I$13&amp;"/"&amp;小圆机汇总表!$J$13&amp;"/"&amp;小圆机汇总表!AP$14))</f>
        <v>0</v>
      </c>
      <c r="AQ23" s="18">
        <f>IF($K$13="件数",SUMIFS(yj!$I:$I,yj!$B:$B,小圆机汇总表!$A23,yj!$G:$G,小圆机汇总表!$I$13&amp;"/"&amp;小圆机汇总表!$J$13&amp;"/"&amp;小圆机汇总表!AQ$14),SUMIFS(yj!$H:$H,yj!$B:$B,小圆机汇总表!$A23,yj!$G:$G,小圆机汇总表!$I$13&amp;"/"&amp;小圆机汇总表!$J$13&amp;"/"&amp;小圆机汇总表!AQ$14))</f>
        <v>0</v>
      </c>
    </row>
    <row r="24" spans="1:43" ht="18" hidden="1" customHeight="1">
      <c r="A24" s="246" t="s">
        <v>42</v>
      </c>
      <c r="B24" s="14" t="s">
        <v>43</v>
      </c>
      <c r="C24" s="17">
        <v>50</v>
      </c>
      <c r="D24" s="17" t="s">
        <v>44</v>
      </c>
      <c r="E24" s="13" t="s">
        <v>1620</v>
      </c>
      <c r="F24" s="13">
        <v>152</v>
      </c>
      <c r="G24" s="13">
        <v>34</v>
      </c>
      <c r="H24" s="14" t="s">
        <v>1621</v>
      </c>
      <c r="I24" s="13"/>
      <c r="J24" s="182">
        <f ca="1">IF(SUMIFS(yj!$I:$I,yj!$B:$B,小圆机汇总表!A24,yj!$G:$G,小圆机汇总表!$L$13)&gt;0,SUMIFS(yj!$H:$H,yj!$B:$B,小圆机汇总表!A24,yj!$G:$G,小圆机汇总表!$L$13),0)</f>
        <v>0</v>
      </c>
      <c r="K24" s="15">
        <f>SUMIFS(yj!$H:$H,yj!$B:$B,小圆机汇总表!A24,yj!$M:$M,小圆机汇总表!$J$13)</f>
        <v>0</v>
      </c>
      <c r="L24" s="15">
        <f>SUMIFS(yj!$I:$I,yj!$B:$B,小圆机汇总表!A24,yj!$M:$M,小圆机汇总表!$J$13)</f>
        <v>0</v>
      </c>
      <c r="M24" s="18">
        <f>IF($K$13="件数",SUMIFS(yj!$I:$I,yj!$B:$B,小圆机汇总表!$A24,yj!$G:$G,小圆机汇总表!$I$13&amp;"/"&amp;小圆机汇总表!$J$13&amp;"/"&amp;小圆机汇总表!M$14),SUMIFS(yj!$H:$H,yj!$B:$B,小圆机汇总表!$A24,yj!$G:$G,小圆机汇总表!$I$13&amp;"/"&amp;小圆机汇总表!$J$13&amp;"/"&amp;小圆机汇总表!M$14))</f>
        <v>0</v>
      </c>
      <c r="N24" s="18">
        <f>IF($K$13="件数",SUMIFS(yj!$I:$I,yj!$B:$B,小圆机汇总表!$A24,yj!$G:$G,小圆机汇总表!$I$13&amp;"/"&amp;小圆机汇总表!$J$13&amp;"/"&amp;小圆机汇总表!N$14),SUMIFS(yj!$H:$H,yj!$B:$B,小圆机汇总表!$A24,yj!$G:$G,小圆机汇总表!$I$13&amp;"/"&amp;小圆机汇总表!$J$13&amp;"/"&amp;小圆机汇总表!N$14))</f>
        <v>0</v>
      </c>
      <c r="O24" s="18">
        <f>IF($K$13="件数",SUMIFS(yj!$I:$I,yj!$B:$B,小圆机汇总表!$A24,yj!$G:$G,小圆机汇总表!$I$13&amp;"/"&amp;小圆机汇总表!$J$13&amp;"/"&amp;小圆机汇总表!O$14),SUMIFS(yj!$H:$H,yj!$B:$B,小圆机汇总表!$A24,yj!$G:$G,小圆机汇总表!$I$13&amp;"/"&amp;小圆机汇总表!$J$13&amp;"/"&amp;小圆机汇总表!O$14))</f>
        <v>0</v>
      </c>
      <c r="P24" s="18">
        <f>IF($K$13="件数",SUMIFS(yj!$I:$I,yj!$B:$B,小圆机汇总表!$A24,yj!$G:$G,小圆机汇总表!$I$13&amp;"/"&amp;小圆机汇总表!$J$13&amp;"/"&amp;小圆机汇总表!P$14),SUMIFS(yj!$H:$H,yj!$B:$B,小圆机汇总表!$A24,yj!$G:$G,小圆机汇总表!$I$13&amp;"/"&amp;小圆机汇总表!$J$13&amp;"/"&amp;小圆机汇总表!P$14))</f>
        <v>0</v>
      </c>
      <c r="Q24" s="18">
        <f>IF($K$13="件数",SUMIFS(yj!$I:$I,yj!$B:$B,小圆机汇总表!$A24,yj!$G:$G,小圆机汇总表!$I$13&amp;"/"&amp;小圆机汇总表!$J$13&amp;"/"&amp;小圆机汇总表!Q$14),SUMIFS(yj!$H:$H,yj!$B:$B,小圆机汇总表!$A24,yj!$G:$G,小圆机汇总表!$I$13&amp;"/"&amp;小圆机汇总表!$J$13&amp;"/"&amp;小圆机汇总表!Q$14))</f>
        <v>0</v>
      </c>
      <c r="R24" s="18">
        <f>IF($K$13="件数",SUMIFS(yj!$I:$I,yj!$B:$B,小圆机汇总表!$A24,yj!$G:$G,小圆机汇总表!$I$13&amp;"/"&amp;小圆机汇总表!$J$13&amp;"/"&amp;小圆机汇总表!R$14),SUMIFS(yj!$H:$H,yj!$B:$B,小圆机汇总表!$A24,yj!$G:$G,小圆机汇总表!$I$13&amp;"/"&amp;小圆机汇总表!$J$13&amp;"/"&amp;小圆机汇总表!R$14))</f>
        <v>0</v>
      </c>
      <c r="S24" s="18">
        <f>IF($K$13="件数",SUMIFS(yj!$I:$I,yj!$B:$B,小圆机汇总表!$A24,yj!$G:$G,小圆机汇总表!$I$13&amp;"/"&amp;小圆机汇总表!$J$13&amp;"/"&amp;小圆机汇总表!S$14),SUMIFS(yj!$H:$H,yj!$B:$B,小圆机汇总表!$A24,yj!$G:$G,小圆机汇总表!$I$13&amp;"/"&amp;小圆机汇总表!$J$13&amp;"/"&amp;小圆机汇总表!S$14))</f>
        <v>0</v>
      </c>
      <c r="T24" s="18">
        <f>IF($K$13="件数",SUMIFS(yj!$I:$I,yj!$B:$B,小圆机汇总表!$A24,yj!$G:$G,小圆机汇总表!$I$13&amp;"/"&amp;小圆机汇总表!$J$13&amp;"/"&amp;小圆机汇总表!T$14),SUMIFS(yj!$H:$H,yj!$B:$B,小圆机汇总表!$A24,yj!$G:$G,小圆机汇总表!$I$13&amp;"/"&amp;小圆机汇总表!$J$13&amp;"/"&amp;小圆机汇总表!T$14))</f>
        <v>0</v>
      </c>
      <c r="U24" s="18">
        <f>IF($K$13="件数",SUMIFS(yj!$I:$I,yj!$B:$B,小圆机汇总表!$A24,yj!$G:$G,小圆机汇总表!$I$13&amp;"/"&amp;小圆机汇总表!$J$13&amp;"/"&amp;小圆机汇总表!U$14),SUMIFS(yj!$H:$H,yj!$B:$B,小圆机汇总表!$A24,yj!$G:$G,小圆机汇总表!$I$13&amp;"/"&amp;小圆机汇总表!$J$13&amp;"/"&amp;小圆机汇总表!U$14))</f>
        <v>0</v>
      </c>
      <c r="V24" s="18">
        <f>IF($K$13="件数",SUMIFS(yj!$I:$I,yj!$B:$B,小圆机汇总表!$A24,yj!$G:$G,小圆机汇总表!$I$13&amp;"/"&amp;小圆机汇总表!$J$13&amp;"/"&amp;小圆机汇总表!V$14),SUMIFS(yj!$H:$H,yj!$B:$B,小圆机汇总表!$A24,yj!$G:$G,小圆机汇总表!$I$13&amp;"/"&amp;小圆机汇总表!$J$13&amp;"/"&amp;小圆机汇总表!V$14))</f>
        <v>0</v>
      </c>
      <c r="W24" s="18">
        <f>IF($K$13="件数",SUMIFS(yj!$I:$I,yj!$B:$B,小圆机汇总表!$A24,yj!$G:$G,小圆机汇总表!$I$13&amp;"/"&amp;小圆机汇总表!$J$13&amp;"/"&amp;小圆机汇总表!W$14),SUMIFS(yj!$H:$H,yj!$B:$B,小圆机汇总表!$A24,yj!$G:$G,小圆机汇总表!$I$13&amp;"/"&amp;小圆机汇总表!$J$13&amp;"/"&amp;小圆机汇总表!W$14))</f>
        <v>0</v>
      </c>
      <c r="X24" s="18">
        <f>IF($K$13="件数",SUMIFS(yj!$I:$I,yj!$B:$B,小圆机汇总表!$A24,yj!$G:$G,小圆机汇总表!$I$13&amp;"/"&amp;小圆机汇总表!$J$13&amp;"/"&amp;小圆机汇总表!X$14),SUMIFS(yj!$H:$H,yj!$B:$B,小圆机汇总表!$A24,yj!$G:$G,小圆机汇总表!$I$13&amp;"/"&amp;小圆机汇总表!$J$13&amp;"/"&amp;小圆机汇总表!X$14))</f>
        <v>0</v>
      </c>
      <c r="Y24" s="18">
        <f>IF($K$13="件数",SUMIFS(yj!$I:$I,yj!$B:$B,小圆机汇总表!$A24,yj!$G:$G,小圆机汇总表!$I$13&amp;"/"&amp;小圆机汇总表!$J$13&amp;"/"&amp;小圆机汇总表!Y$14),SUMIFS(yj!$H:$H,yj!$B:$B,小圆机汇总表!$A24,yj!$G:$G,小圆机汇总表!$I$13&amp;"/"&amp;小圆机汇总表!$J$13&amp;"/"&amp;小圆机汇总表!Y$14))</f>
        <v>0</v>
      </c>
      <c r="Z24" s="18">
        <f>IF($K$13="件数",SUMIFS(yj!$I:$I,yj!$B:$B,小圆机汇总表!$A24,yj!$G:$G,小圆机汇总表!$I$13&amp;"/"&amp;小圆机汇总表!$J$13&amp;"/"&amp;小圆机汇总表!Z$14),SUMIFS(yj!$H:$H,yj!$B:$B,小圆机汇总表!$A24,yj!$G:$G,小圆机汇总表!$I$13&amp;"/"&amp;小圆机汇总表!$J$13&amp;"/"&amp;小圆机汇总表!Z$14))</f>
        <v>0</v>
      </c>
      <c r="AA24" s="18">
        <f>IF($K$13="件数",SUMIFS(yj!$I:$I,yj!$B:$B,小圆机汇总表!$A24,yj!$G:$G,小圆机汇总表!$I$13&amp;"/"&amp;小圆机汇总表!$J$13&amp;"/"&amp;小圆机汇总表!AA$14),SUMIFS(yj!$H:$H,yj!$B:$B,小圆机汇总表!$A24,yj!$G:$G,小圆机汇总表!$I$13&amp;"/"&amp;小圆机汇总表!$J$13&amp;"/"&amp;小圆机汇总表!AA$14))</f>
        <v>0</v>
      </c>
      <c r="AB24" s="18">
        <f>IF($K$13="件数",SUMIFS(yj!$I:$I,yj!$B:$B,小圆机汇总表!$A24,yj!$G:$G,小圆机汇总表!$I$13&amp;"/"&amp;小圆机汇总表!$J$13&amp;"/"&amp;小圆机汇总表!AB$14),SUMIFS(yj!$H:$H,yj!$B:$B,小圆机汇总表!$A24,yj!$G:$G,小圆机汇总表!$I$13&amp;"/"&amp;小圆机汇总表!$J$13&amp;"/"&amp;小圆机汇总表!AB$14))</f>
        <v>0</v>
      </c>
      <c r="AC24" s="18">
        <f>IF($K$13="件数",SUMIFS(yj!$I:$I,yj!$B:$B,小圆机汇总表!$A24,yj!$G:$G,小圆机汇总表!$I$13&amp;"/"&amp;小圆机汇总表!$J$13&amp;"/"&amp;小圆机汇总表!AC$14),SUMIFS(yj!$H:$H,yj!$B:$B,小圆机汇总表!$A24,yj!$G:$G,小圆机汇总表!$I$13&amp;"/"&amp;小圆机汇总表!$J$13&amp;"/"&amp;小圆机汇总表!AC$14))</f>
        <v>0</v>
      </c>
      <c r="AD24" s="18">
        <f>IF($K$13="件数",SUMIFS(yj!$I:$I,yj!$B:$B,小圆机汇总表!$A24,yj!$G:$G,小圆机汇总表!$I$13&amp;"/"&amp;小圆机汇总表!$J$13&amp;"/"&amp;小圆机汇总表!AD$14),SUMIFS(yj!$H:$H,yj!$B:$B,小圆机汇总表!$A24,yj!$G:$G,小圆机汇总表!$I$13&amp;"/"&amp;小圆机汇总表!$J$13&amp;"/"&amp;小圆机汇总表!AD$14))</f>
        <v>0</v>
      </c>
      <c r="AE24" s="18">
        <f>IF($K$13="件数",SUMIFS(yj!$I:$I,yj!$B:$B,小圆机汇总表!$A24,yj!$G:$G,小圆机汇总表!$I$13&amp;"/"&amp;小圆机汇总表!$J$13&amp;"/"&amp;小圆机汇总表!AE$14),SUMIFS(yj!$H:$H,yj!$B:$B,小圆机汇总表!$A24,yj!$G:$G,小圆机汇总表!$I$13&amp;"/"&amp;小圆机汇总表!$J$13&amp;"/"&amp;小圆机汇总表!AE$14))</f>
        <v>0</v>
      </c>
      <c r="AF24" s="18">
        <f>IF($K$13="件数",SUMIFS(yj!$I:$I,yj!$B:$B,小圆机汇总表!$A24,yj!$G:$G,小圆机汇总表!$I$13&amp;"/"&amp;小圆机汇总表!$J$13&amp;"/"&amp;小圆机汇总表!AF$14),SUMIFS(yj!$H:$H,yj!$B:$B,小圆机汇总表!$A24,yj!$G:$G,小圆机汇总表!$I$13&amp;"/"&amp;小圆机汇总表!$J$13&amp;"/"&amp;小圆机汇总表!AF$14))</f>
        <v>0</v>
      </c>
      <c r="AG24" s="18">
        <f>IF($K$13="件数",SUMIFS(yj!$I:$I,yj!$B:$B,小圆机汇总表!$A24,yj!$G:$G,小圆机汇总表!$I$13&amp;"/"&amp;小圆机汇总表!$J$13&amp;"/"&amp;小圆机汇总表!AG$14),SUMIFS(yj!$H:$H,yj!$B:$B,小圆机汇总表!$A24,yj!$G:$G,小圆机汇总表!$I$13&amp;"/"&amp;小圆机汇总表!$J$13&amp;"/"&amp;小圆机汇总表!AG$14))</f>
        <v>0</v>
      </c>
      <c r="AH24" s="18">
        <f>IF($K$13="件数",SUMIFS(yj!$I:$I,yj!$B:$B,小圆机汇总表!$A24,yj!$G:$G,小圆机汇总表!$I$13&amp;"/"&amp;小圆机汇总表!$J$13&amp;"/"&amp;小圆机汇总表!AH$14),SUMIFS(yj!$H:$H,yj!$B:$B,小圆机汇总表!$A24,yj!$G:$G,小圆机汇总表!$I$13&amp;"/"&amp;小圆机汇总表!$J$13&amp;"/"&amp;小圆机汇总表!AH$14))</f>
        <v>0</v>
      </c>
      <c r="AI24" s="18">
        <f>IF($K$13="件数",SUMIFS(yj!$I:$I,yj!$B:$B,小圆机汇总表!$A24,yj!$G:$G,小圆机汇总表!$I$13&amp;"/"&amp;小圆机汇总表!$J$13&amp;"/"&amp;小圆机汇总表!AI$14),SUMIFS(yj!$H:$H,yj!$B:$B,小圆机汇总表!$A24,yj!$G:$G,小圆机汇总表!$I$13&amp;"/"&amp;小圆机汇总表!$J$13&amp;"/"&amp;小圆机汇总表!AI$14))</f>
        <v>0</v>
      </c>
      <c r="AJ24" s="18">
        <f>IF($K$13="件数",SUMIFS(yj!$I:$I,yj!$B:$B,小圆机汇总表!$A24,yj!$G:$G,小圆机汇总表!$I$13&amp;"/"&amp;小圆机汇总表!$J$13&amp;"/"&amp;小圆机汇总表!AJ$14),SUMIFS(yj!$H:$H,yj!$B:$B,小圆机汇总表!$A24,yj!$G:$G,小圆机汇总表!$I$13&amp;"/"&amp;小圆机汇总表!$J$13&amp;"/"&amp;小圆机汇总表!AJ$14))</f>
        <v>0</v>
      </c>
      <c r="AK24" s="18">
        <f>IF($K$13="件数",SUMIFS(yj!$I:$I,yj!$B:$B,小圆机汇总表!$A24,yj!$G:$G,小圆机汇总表!$I$13&amp;"/"&amp;小圆机汇总表!$J$13&amp;"/"&amp;小圆机汇总表!AK$14),SUMIFS(yj!$H:$H,yj!$B:$B,小圆机汇总表!$A24,yj!$G:$G,小圆机汇总表!$I$13&amp;"/"&amp;小圆机汇总表!$J$13&amp;"/"&amp;小圆机汇总表!AK$14))</f>
        <v>0</v>
      </c>
      <c r="AL24" s="18">
        <f>IF($K$13="件数",SUMIFS(yj!$I:$I,yj!$B:$B,小圆机汇总表!$A24,yj!$G:$G,小圆机汇总表!$I$13&amp;"/"&amp;小圆机汇总表!$J$13&amp;"/"&amp;小圆机汇总表!AL$14),SUMIFS(yj!$H:$H,yj!$B:$B,小圆机汇总表!$A24,yj!$G:$G,小圆机汇总表!$I$13&amp;"/"&amp;小圆机汇总表!$J$13&amp;"/"&amp;小圆机汇总表!AL$14))</f>
        <v>0</v>
      </c>
      <c r="AM24" s="18">
        <f>IF($K$13="件数",SUMIFS(yj!$I:$I,yj!$B:$B,小圆机汇总表!$A24,yj!$G:$G,小圆机汇总表!$I$13&amp;"/"&amp;小圆机汇总表!$J$13&amp;"/"&amp;小圆机汇总表!AM$14),SUMIFS(yj!$H:$H,yj!$B:$B,小圆机汇总表!$A24,yj!$G:$G,小圆机汇总表!$I$13&amp;"/"&amp;小圆机汇总表!$J$13&amp;"/"&amp;小圆机汇总表!AM$14))</f>
        <v>0</v>
      </c>
      <c r="AN24" s="18">
        <f>IF($K$13="件数",SUMIFS(yj!$I:$I,yj!$B:$B,小圆机汇总表!$A24,yj!$G:$G,小圆机汇总表!$I$13&amp;"/"&amp;小圆机汇总表!$J$13&amp;"/"&amp;小圆机汇总表!AN$14),SUMIFS(yj!$H:$H,yj!$B:$B,小圆机汇总表!$A24,yj!$G:$G,小圆机汇总表!$I$13&amp;"/"&amp;小圆机汇总表!$J$13&amp;"/"&amp;小圆机汇总表!AN$14))</f>
        <v>0</v>
      </c>
      <c r="AO24" s="18">
        <f>IF($K$13="件数",SUMIFS(yj!$I:$I,yj!$B:$B,小圆机汇总表!$A24,yj!$G:$G,小圆机汇总表!$I$13&amp;"/"&amp;小圆机汇总表!$J$13&amp;"/"&amp;小圆机汇总表!AO$14),SUMIFS(yj!$H:$H,yj!$B:$B,小圆机汇总表!$A24,yj!$G:$G,小圆机汇总表!$I$13&amp;"/"&amp;小圆机汇总表!$J$13&amp;"/"&amp;小圆机汇总表!AO$14))</f>
        <v>0</v>
      </c>
      <c r="AP24" s="18">
        <f>IF($K$13="件数",SUMIFS(yj!$I:$I,yj!$B:$B,小圆机汇总表!$A24,yj!$G:$G,小圆机汇总表!$I$13&amp;"/"&amp;小圆机汇总表!$J$13&amp;"/"&amp;小圆机汇总表!AP$14),SUMIFS(yj!$H:$H,yj!$B:$B,小圆机汇总表!$A24,yj!$G:$G,小圆机汇总表!$I$13&amp;"/"&amp;小圆机汇总表!$J$13&amp;"/"&amp;小圆机汇总表!AP$14))</f>
        <v>0</v>
      </c>
      <c r="AQ24" s="18">
        <f>IF($K$13="件数",SUMIFS(yj!$I:$I,yj!$B:$B,小圆机汇总表!$A24,yj!$G:$G,小圆机汇总表!$I$13&amp;"/"&amp;小圆机汇总表!$J$13&amp;"/"&amp;小圆机汇总表!AQ$14),SUMIFS(yj!$H:$H,yj!$B:$B,小圆机汇总表!$A24,yj!$G:$G,小圆机汇总表!$I$13&amp;"/"&amp;小圆机汇总表!$J$13&amp;"/"&amp;小圆机汇总表!AQ$14))</f>
        <v>0</v>
      </c>
    </row>
    <row r="25" spans="1:43" ht="18" customHeight="1">
      <c r="A25" s="19" t="s">
        <v>48</v>
      </c>
      <c r="B25" s="14" t="s">
        <v>45</v>
      </c>
      <c r="C25" s="17">
        <v>50</v>
      </c>
      <c r="D25" s="17" t="s">
        <v>38</v>
      </c>
      <c r="E25" s="13" t="s">
        <v>2</v>
      </c>
      <c r="F25" s="13">
        <v>160</v>
      </c>
      <c r="G25" s="13">
        <v>35</v>
      </c>
      <c r="H25" s="14" t="s">
        <v>39</v>
      </c>
      <c r="I25" s="13"/>
      <c r="J25" s="182">
        <f ca="1">IF(SUMIFS(yj!$I:$I,yj!$B:$B,小圆机汇总表!A25,yj!$G:$G,小圆机汇总表!$L$13)&gt;0,SUMIFS(yj!$H:$H,yj!$B:$B,小圆机汇总表!A25,yj!$G:$G,小圆机汇总表!$L$13),0)</f>
        <v>80.8</v>
      </c>
      <c r="K25" s="15">
        <f>SUMIFS(yj!$H:$H,yj!$B:$B,小圆机汇总表!A25,yj!$M:$M,小圆机汇总表!$J$13)</f>
        <v>2600.8000000000002</v>
      </c>
      <c r="L25" s="15">
        <f>SUMIFS(yj!$I:$I,yj!$B:$B,小圆机汇总表!A25,yj!$M:$M,小圆机汇总表!$J$13)</f>
        <v>133</v>
      </c>
      <c r="M25" s="18">
        <f>IF($K$13="件数",SUMIFS(yj!$I:$I,yj!$B:$B,小圆机汇总表!$A25,yj!$G:$G,小圆机汇总表!$I$13&amp;"/"&amp;小圆机汇总表!$J$13&amp;"/"&amp;小圆机汇总表!M$14),SUMIFS(yj!$H:$H,yj!$B:$B,小圆机汇总表!$A25,yj!$G:$G,小圆机汇总表!$I$13&amp;"/"&amp;小圆机汇总表!$J$13&amp;"/"&amp;小圆机汇总表!M$14))</f>
        <v>733.2</v>
      </c>
      <c r="N25" s="18">
        <f>IF($K$13="件数",SUMIFS(yj!$I:$I,yj!$B:$B,小圆机汇总表!$A25,yj!$G:$G,小圆机汇总表!$I$13&amp;"/"&amp;小圆机汇总表!$J$13&amp;"/"&amp;小圆机汇总表!N$14),SUMIFS(yj!$H:$H,yj!$B:$B,小圆机汇总表!$A25,yj!$G:$G,小圆机汇总表!$I$13&amp;"/"&amp;小圆机汇总表!$J$13&amp;"/"&amp;小圆机汇总表!N$14))</f>
        <v>613.6</v>
      </c>
      <c r="O25" s="18">
        <f>IF($K$13="件数",SUMIFS(yj!$I:$I,yj!$B:$B,小圆机汇总表!$A25,yj!$G:$G,小圆机汇总表!$I$13&amp;"/"&amp;小圆机汇总表!$J$13&amp;"/"&amp;小圆机汇总表!O$14),SUMIFS(yj!$H:$H,yj!$B:$B,小圆机汇总表!$A25,yj!$G:$G,小圆机汇总表!$I$13&amp;"/"&amp;小圆机汇总表!$J$13&amp;"/"&amp;小圆机汇总表!O$14))</f>
        <v>454.7</v>
      </c>
      <c r="P25" s="18">
        <f>IF($K$13="件数",SUMIFS(yj!$I:$I,yj!$B:$B,小圆机汇总表!$A25,yj!$G:$G,小圆机汇总表!$I$13&amp;"/"&amp;小圆机汇总表!$J$13&amp;"/"&amp;小圆机汇总表!P$14),SUMIFS(yj!$H:$H,yj!$B:$B,小圆机汇总表!$A25,yj!$G:$G,小圆机汇总表!$I$13&amp;"/"&amp;小圆机汇总表!$J$13&amp;"/"&amp;小圆机汇总表!P$14))</f>
        <v>481.8</v>
      </c>
      <c r="Q25" s="18">
        <f>IF($K$13="件数",SUMIFS(yj!$I:$I,yj!$B:$B,小圆机汇总表!$A25,yj!$G:$G,小圆机汇总表!$I$13&amp;"/"&amp;小圆机汇总表!$J$13&amp;"/"&amp;小圆机汇总表!Q$14),SUMIFS(yj!$H:$H,yj!$B:$B,小圆机汇总表!$A25,yj!$G:$G,小圆机汇总表!$I$13&amp;"/"&amp;小圆机汇总表!$J$13&amp;"/"&amp;小圆机汇总表!Q$14))</f>
        <v>236.7</v>
      </c>
      <c r="R25" s="18">
        <f>IF($K$13="件数",SUMIFS(yj!$I:$I,yj!$B:$B,小圆机汇总表!$A25,yj!$G:$G,小圆机汇总表!$I$13&amp;"/"&amp;小圆机汇总表!$J$13&amp;"/"&amp;小圆机汇总表!R$14),SUMIFS(yj!$H:$H,yj!$B:$B,小圆机汇总表!$A25,yj!$G:$G,小圆机汇总表!$I$13&amp;"/"&amp;小圆机汇总表!$J$13&amp;"/"&amp;小圆机汇总表!R$14))</f>
        <v>80.8</v>
      </c>
      <c r="S25" s="18">
        <f>IF($K$13="件数",SUMIFS(yj!$I:$I,yj!$B:$B,小圆机汇总表!$A25,yj!$G:$G,小圆机汇总表!$I$13&amp;"/"&amp;小圆机汇总表!$J$13&amp;"/"&amp;小圆机汇总表!S$14),SUMIFS(yj!$H:$H,yj!$B:$B,小圆机汇总表!$A25,yj!$G:$G,小圆机汇总表!$I$13&amp;"/"&amp;小圆机汇总表!$J$13&amp;"/"&amp;小圆机汇总表!S$14))</f>
        <v>0</v>
      </c>
      <c r="T25" s="18">
        <f>IF($K$13="件数",SUMIFS(yj!$I:$I,yj!$B:$B,小圆机汇总表!$A25,yj!$G:$G,小圆机汇总表!$I$13&amp;"/"&amp;小圆机汇总表!$J$13&amp;"/"&amp;小圆机汇总表!T$14),SUMIFS(yj!$H:$H,yj!$B:$B,小圆机汇总表!$A25,yj!$G:$G,小圆机汇总表!$I$13&amp;"/"&amp;小圆机汇总表!$J$13&amp;"/"&amp;小圆机汇总表!T$14))</f>
        <v>0</v>
      </c>
      <c r="U25" s="18">
        <f>IF($K$13="件数",SUMIFS(yj!$I:$I,yj!$B:$B,小圆机汇总表!$A25,yj!$G:$G,小圆机汇总表!$I$13&amp;"/"&amp;小圆机汇总表!$J$13&amp;"/"&amp;小圆机汇总表!U$14),SUMIFS(yj!$H:$H,yj!$B:$B,小圆机汇总表!$A25,yj!$G:$G,小圆机汇总表!$I$13&amp;"/"&amp;小圆机汇总表!$J$13&amp;"/"&amp;小圆机汇总表!U$14))</f>
        <v>0</v>
      </c>
      <c r="V25" s="18">
        <f>IF($K$13="件数",SUMIFS(yj!$I:$I,yj!$B:$B,小圆机汇总表!$A25,yj!$G:$G,小圆机汇总表!$I$13&amp;"/"&amp;小圆机汇总表!$J$13&amp;"/"&amp;小圆机汇总表!V$14),SUMIFS(yj!$H:$H,yj!$B:$B,小圆机汇总表!$A25,yj!$G:$G,小圆机汇总表!$I$13&amp;"/"&amp;小圆机汇总表!$J$13&amp;"/"&amp;小圆机汇总表!V$14))</f>
        <v>0</v>
      </c>
      <c r="W25" s="18">
        <f>IF($K$13="件数",SUMIFS(yj!$I:$I,yj!$B:$B,小圆机汇总表!$A25,yj!$G:$G,小圆机汇总表!$I$13&amp;"/"&amp;小圆机汇总表!$J$13&amp;"/"&amp;小圆机汇总表!W$14),SUMIFS(yj!$H:$H,yj!$B:$B,小圆机汇总表!$A25,yj!$G:$G,小圆机汇总表!$I$13&amp;"/"&amp;小圆机汇总表!$J$13&amp;"/"&amp;小圆机汇总表!W$14))</f>
        <v>0</v>
      </c>
      <c r="X25" s="18">
        <f>IF($K$13="件数",SUMIFS(yj!$I:$I,yj!$B:$B,小圆机汇总表!$A25,yj!$G:$G,小圆机汇总表!$I$13&amp;"/"&amp;小圆机汇总表!$J$13&amp;"/"&amp;小圆机汇总表!X$14),SUMIFS(yj!$H:$H,yj!$B:$B,小圆机汇总表!$A25,yj!$G:$G,小圆机汇总表!$I$13&amp;"/"&amp;小圆机汇总表!$J$13&amp;"/"&amp;小圆机汇总表!X$14))</f>
        <v>0</v>
      </c>
      <c r="Y25" s="18">
        <f>IF($K$13="件数",SUMIFS(yj!$I:$I,yj!$B:$B,小圆机汇总表!$A25,yj!$G:$G,小圆机汇总表!$I$13&amp;"/"&amp;小圆机汇总表!$J$13&amp;"/"&amp;小圆机汇总表!Y$14),SUMIFS(yj!$H:$H,yj!$B:$B,小圆机汇总表!$A25,yj!$G:$G,小圆机汇总表!$I$13&amp;"/"&amp;小圆机汇总表!$J$13&amp;"/"&amp;小圆机汇总表!Y$14))</f>
        <v>0</v>
      </c>
      <c r="Z25" s="18">
        <f>IF($K$13="件数",SUMIFS(yj!$I:$I,yj!$B:$B,小圆机汇总表!$A25,yj!$G:$G,小圆机汇总表!$I$13&amp;"/"&amp;小圆机汇总表!$J$13&amp;"/"&amp;小圆机汇总表!Z$14),SUMIFS(yj!$H:$H,yj!$B:$B,小圆机汇总表!$A25,yj!$G:$G,小圆机汇总表!$I$13&amp;"/"&amp;小圆机汇总表!$J$13&amp;"/"&amp;小圆机汇总表!Z$14))</f>
        <v>0</v>
      </c>
      <c r="AA25" s="18">
        <f>IF($K$13="件数",SUMIFS(yj!$I:$I,yj!$B:$B,小圆机汇总表!$A25,yj!$G:$G,小圆机汇总表!$I$13&amp;"/"&amp;小圆机汇总表!$J$13&amp;"/"&amp;小圆机汇总表!AA$14),SUMIFS(yj!$H:$H,yj!$B:$B,小圆机汇总表!$A25,yj!$G:$G,小圆机汇总表!$I$13&amp;"/"&amp;小圆机汇总表!$J$13&amp;"/"&amp;小圆机汇总表!AA$14))</f>
        <v>0</v>
      </c>
      <c r="AB25" s="18">
        <f>IF($K$13="件数",SUMIFS(yj!$I:$I,yj!$B:$B,小圆机汇总表!$A25,yj!$G:$G,小圆机汇总表!$I$13&amp;"/"&amp;小圆机汇总表!$J$13&amp;"/"&amp;小圆机汇总表!AB$14),SUMIFS(yj!$H:$H,yj!$B:$B,小圆机汇总表!$A25,yj!$G:$G,小圆机汇总表!$I$13&amp;"/"&amp;小圆机汇总表!$J$13&amp;"/"&amp;小圆机汇总表!AB$14))</f>
        <v>0</v>
      </c>
      <c r="AC25" s="18">
        <f>IF($K$13="件数",SUMIFS(yj!$I:$I,yj!$B:$B,小圆机汇总表!$A25,yj!$G:$G,小圆机汇总表!$I$13&amp;"/"&amp;小圆机汇总表!$J$13&amp;"/"&amp;小圆机汇总表!AC$14),SUMIFS(yj!$H:$H,yj!$B:$B,小圆机汇总表!$A25,yj!$G:$G,小圆机汇总表!$I$13&amp;"/"&amp;小圆机汇总表!$J$13&amp;"/"&amp;小圆机汇总表!AC$14))</f>
        <v>0</v>
      </c>
      <c r="AD25" s="18">
        <f>IF($K$13="件数",SUMIFS(yj!$I:$I,yj!$B:$B,小圆机汇总表!$A25,yj!$G:$G,小圆机汇总表!$I$13&amp;"/"&amp;小圆机汇总表!$J$13&amp;"/"&amp;小圆机汇总表!AD$14),SUMIFS(yj!$H:$H,yj!$B:$B,小圆机汇总表!$A25,yj!$G:$G,小圆机汇总表!$I$13&amp;"/"&amp;小圆机汇总表!$J$13&amp;"/"&amp;小圆机汇总表!AD$14))</f>
        <v>0</v>
      </c>
      <c r="AE25" s="18">
        <f>IF($K$13="件数",SUMIFS(yj!$I:$I,yj!$B:$B,小圆机汇总表!$A25,yj!$G:$G,小圆机汇总表!$I$13&amp;"/"&amp;小圆机汇总表!$J$13&amp;"/"&amp;小圆机汇总表!AE$14),SUMIFS(yj!$H:$H,yj!$B:$B,小圆机汇总表!$A25,yj!$G:$G,小圆机汇总表!$I$13&amp;"/"&amp;小圆机汇总表!$J$13&amp;"/"&amp;小圆机汇总表!AE$14))</f>
        <v>0</v>
      </c>
      <c r="AF25" s="18">
        <f>IF($K$13="件数",SUMIFS(yj!$I:$I,yj!$B:$B,小圆机汇总表!$A25,yj!$G:$G,小圆机汇总表!$I$13&amp;"/"&amp;小圆机汇总表!$J$13&amp;"/"&amp;小圆机汇总表!AF$14),SUMIFS(yj!$H:$H,yj!$B:$B,小圆机汇总表!$A25,yj!$G:$G,小圆机汇总表!$I$13&amp;"/"&amp;小圆机汇总表!$J$13&amp;"/"&amp;小圆机汇总表!AF$14))</f>
        <v>0</v>
      </c>
      <c r="AG25" s="18">
        <f>IF($K$13="件数",SUMIFS(yj!$I:$I,yj!$B:$B,小圆机汇总表!$A25,yj!$G:$G,小圆机汇总表!$I$13&amp;"/"&amp;小圆机汇总表!$J$13&amp;"/"&amp;小圆机汇总表!AG$14),SUMIFS(yj!$H:$H,yj!$B:$B,小圆机汇总表!$A25,yj!$G:$G,小圆机汇总表!$I$13&amp;"/"&amp;小圆机汇总表!$J$13&amp;"/"&amp;小圆机汇总表!AG$14))</f>
        <v>0</v>
      </c>
      <c r="AH25" s="18">
        <f>IF($K$13="件数",SUMIFS(yj!$I:$I,yj!$B:$B,小圆机汇总表!$A25,yj!$G:$G,小圆机汇总表!$I$13&amp;"/"&amp;小圆机汇总表!$J$13&amp;"/"&amp;小圆机汇总表!AH$14),SUMIFS(yj!$H:$H,yj!$B:$B,小圆机汇总表!$A25,yj!$G:$G,小圆机汇总表!$I$13&amp;"/"&amp;小圆机汇总表!$J$13&amp;"/"&amp;小圆机汇总表!AH$14))</f>
        <v>0</v>
      </c>
      <c r="AI25" s="18">
        <f>IF($K$13="件数",SUMIFS(yj!$I:$I,yj!$B:$B,小圆机汇总表!$A25,yj!$G:$G,小圆机汇总表!$I$13&amp;"/"&amp;小圆机汇总表!$J$13&amp;"/"&amp;小圆机汇总表!AI$14),SUMIFS(yj!$H:$H,yj!$B:$B,小圆机汇总表!$A25,yj!$G:$G,小圆机汇总表!$I$13&amp;"/"&amp;小圆机汇总表!$J$13&amp;"/"&amp;小圆机汇总表!AI$14))</f>
        <v>0</v>
      </c>
      <c r="AJ25" s="18">
        <f>IF($K$13="件数",SUMIFS(yj!$I:$I,yj!$B:$B,小圆机汇总表!$A25,yj!$G:$G,小圆机汇总表!$I$13&amp;"/"&amp;小圆机汇总表!$J$13&amp;"/"&amp;小圆机汇总表!AJ$14),SUMIFS(yj!$H:$H,yj!$B:$B,小圆机汇总表!$A25,yj!$G:$G,小圆机汇总表!$I$13&amp;"/"&amp;小圆机汇总表!$J$13&amp;"/"&amp;小圆机汇总表!AJ$14))</f>
        <v>0</v>
      </c>
      <c r="AK25" s="18">
        <f>IF($K$13="件数",SUMIFS(yj!$I:$I,yj!$B:$B,小圆机汇总表!$A25,yj!$G:$G,小圆机汇总表!$I$13&amp;"/"&amp;小圆机汇总表!$J$13&amp;"/"&amp;小圆机汇总表!AK$14),SUMIFS(yj!$H:$H,yj!$B:$B,小圆机汇总表!$A25,yj!$G:$G,小圆机汇总表!$I$13&amp;"/"&amp;小圆机汇总表!$J$13&amp;"/"&amp;小圆机汇总表!AK$14))</f>
        <v>0</v>
      </c>
      <c r="AL25" s="18">
        <f>IF($K$13="件数",SUMIFS(yj!$I:$I,yj!$B:$B,小圆机汇总表!$A25,yj!$G:$G,小圆机汇总表!$I$13&amp;"/"&amp;小圆机汇总表!$J$13&amp;"/"&amp;小圆机汇总表!AL$14),SUMIFS(yj!$H:$H,yj!$B:$B,小圆机汇总表!$A25,yj!$G:$G,小圆机汇总表!$I$13&amp;"/"&amp;小圆机汇总表!$J$13&amp;"/"&amp;小圆机汇总表!AL$14))</f>
        <v>0</v>
      </c>
      <c r="AM25" s="18">
        <f>IF($K$13="件数",SUMIFS(yj!$I:$I,yj!$B:$B,小圆机汇总表!$A25,yj!$G:$G,小圆机汇总表!$I$13&amp;"/"&amp;小圆机汇总表!$J$13&amp;"/"&amp;小圆机汇总表!AM$14),SUMIFS(yj!$H:$H,yj!$B:$B,小圆机汇总表!$A25,yj!$G:$G,小圆机汇总表!$I$13&amp;"/"&amp;小圆机汇总表!$J$13&amp;"/"&amp;小圆机汇总表!AM$14))</f>
        <v>0</v>
      </c>
      <c r="AN25" s="18">
        <f>IF($K$13="件数",SUMIFS(yj!$I:$I,yj!$B:$B,小圆机汇总表!$A25,yj!$G:$G,小圆机汇总表!$I$13&amp;"/"&amp;小圆机汇总表!$J$13&amp;"/"&amp;小圆机汇总表!AN$14),SUMIFS(yj!$H:$H,yj!$B:$B,小圆机汇总表!$A25,yj!$G:$G,小圆机汇总表!$I$13&amp;"/"&amp;小圆机汇总表!$J$13&amp;"/"&amp;小圆机汇总表!AN$14))</f>
        <v>0</v>
      </c>
      <c r="AO25" s="18">
        <f>IF($K$13="件数",SUMIFS(yj!$I:$I,yj!$B:$B,小圆机汇总表!$A25,yj!$G:$G,小圆机汇总表!$I$13&amp;"/"&amp;小圆机汇总表!$J$13&amp;"/"&amp;小圆机汇总表!AO$14),SUMIFS(yj!$H:$H,yj!$B:$B,小圆机汇总表!$A25,yj!$G:$G,小圆机汇总表!$I$13&amp;"/"&amp;小圆机汇总表!$J$13&amp;"/"&amp;小圆机汇总表!AO$14))</f>
        <v>0</v>
      </c>
      <c r="AP25" s="18">
        <f>IF($K$13="件数",SUMIFS(yj!$I:$I,yj!$B:$B,小圆机汇总表!$A25,yj!$G:$G,小圆机汇总表!$I$13&amp;"/"&amp;小圆机汇总表!$J$13&amp;"/"&amp;小圆机汇总表!AP$14),SUMIFS(yj!$H:$H,yj!$B:$B,小圆机汇总表!$A25,yj!$G:$G,小圆机汇总表!$I$13&amp;"/"&amp;小圆机汇总表!$J$13&amp;"/"&amp;小圆机汇总表!AP$14))</f>
        <v>0</v>
      </c>
      <c r="AQ25" s="18">
        <f>IF($K$13="件数",SUMIFS(yj!$I:$I,yj!$B:$B,小圆机汇总表!$A25,yj!$G:$G,小圆机汇总表!$I$13&amp;"/"&amp;小圆机汇总表!$J$13&amp;"/"&amp;小圆机汇总表!AQ$14),SUMIFS(yj!$H:$H,yj!$B:$B,小圆机汇总表!$A25,yj!$G:$G,小圆机汇总表!$I$13&amp;"/"&amp;小圆机汇总表!$J$13&amp;"/"&amp;小圆机汇总表!AQ$14))</f>
        <v>0</v>
      </c>
    </row>
    <row r="26" spans="1:43" ht="18" customHeight="1">
      <c r="A26" s="13" t="s">
        <v>51</v>
      </c>
      <c r="B26" s="14" t="s">
        <v>49</v>
      </c>
      <c r="C26" s="17">
        <v>50</v>
      </c>
      <c r="D26" s="17" t="s">
        <v>53</v>
      </c>
      <c r="E26" s="182" t="s">
        <v>1</v>
      </c>
      <c r="F26" s="13">
        <v>160</v>
      </c>
      <c r="G26" s="13">
        <v>35</v>
      </c>
      <c r="H26" s="176" t="s">
        <v>46</v>
      </c>
      <c r="I26" s="13"/>
      <c r="J26" s="182">
        <f ca="1">IF(SUMIFS(yj!$I:$I,yj!$B:$B,小圆机汇总表!A26,yj!$G:$G,小圆机汇总表!$L$13)&gt;0,SUMIFS(yj!$H:$H,yj!$B:$B,小圆机汇总表!A26,yj!$G:$G,小圆机汇总表!$L$13),0)</f>
        <v>1166.5999999999999</v>
      </c>
      <c r="K26" s="15">
        <f>SUMIFS(yj!$H:$H,yj!$B:$B,小圆机汇总表!A26,yj!$M:$M,小圆机汇总表!$J$13)</f>
        <v>6892.7999999999993</v>
      </c>
      <c r="L26" s="15">
        <f>SUMIFS(yj!$I:$I,yj!$B:$B,小圆机汇总表!A26,yj!$M:$M,小圆机汇总表!$J$13)</f>
        <v>314</v>
      </c>
      <c r="M26" s="18">
        <f>IF($K$13="件数",SUMIFS(yj!$I:$I,yj!$B:$B,小圆机汇总表!$A26,yj!$G:$G,小圆机汇总表!$I$13&amp;"/"&amp;小圆机汇总表!$J$13&amp;"/"&amp;小圆机汇总表!M$14),SUMIFS(yj!$H:$H,yj!$B:$B,小圆机汇总表!$A26,yj!$G:$G,小圆机汇总表!$I$13&amp;"/"&amp;小圆机汇总表!$J$13&amp;"/"&amp;小圆机汇总表!M$14))</f>
        <v>1094.3</v>
      </c>
      <c r="N26" s="18">
        <f>IF($K$13="件数",SUMIFS(yj!$I:$I,yj!$B:$B,小圆机汇总表!$A26,yj!$G:$G,小圆机汇总表!$I$13&amp;"/"&amp;小圆机汇总表!$J$13&amp;"/"&amp;小圆机汇总表!N$14),SUMIFS(yj!$H:$H,yj!$B:$B,小圆机汇总表!$A26,yj!$G:$G,小圆机汇总表!$I$13&amp;"/"&amp;小圆机汇总表!$J$13&amp;"/"&amp;小圆机汇总表!N$14))</f>
        <v>1167.0999999999999</v>
      </c>
      <c r="O26" s="18">
        <f>IF($K$13="件数",SUMIFS(yj!$I:$I,yj!$B:$B,小圆机汇总表!$A26,yj!$G:$G,小圆机汇总表!$I$13&amp;"/"&amp;小圆机汇总表!$J$13&amp;"/"&amp;小圆机汇总表!O$14),SUMIFS(yj!$H:$H,yj!$B:$B,小圆机汇总表!$A26,yj!$G:$G,小圆机汇总表!$I$13&amp;"/"&amp;小圆机汇总表!$J$13&amp;"/"&amp;小圆机汇总表!O$14))</f>
        <v>1145.7</v>
      </c>
      <c r="P26" s="18">
        <f>IF($K$13="件数",SUMIFS(yj!$I:$I,yj!$B:$B,小圆机汇总表!$A26,yj!$G:$G,小圆机汇总表!$I$13&amp;"/"&amp;小圆机汇总表!$J$13&amp;"/"&amp;小圆机汇总表!P$14),SUMIFS(yj!$H:$H,yj!$B:$B,小圆机汇总表!$A26,yj!$G:$G,小圆机汇总表!$I$13&amp;"/"&amp;小圆机汇总表!$J$13&amp;"/"&amp;小圆机汇总表!P$14))</f>
        <v>1189.0999999999999</v>
      </c>
      <c r="Q26" s="18">
        <f>IF($K$13="件数",SUMIFS(yj!$I:$I,yj!$B:$B,小圆机汇总表!$A26,yj!$G:$G,小圆机汇总表!$I$13&amp;"/"&amp;小圆机汇总表!$J$13&amp;"/"&amp;小圆机汇总表!Q$14),SUMIFS(yj!$H:$H,yj!$B:$B,小圆机汇总表!$A26,yj!$G:$G,小圆机汇总表!$I$13&amp;"/"&amp;小圆机汇总表!$J$13&amp;"/"&amp;小圆机汇总表!Q$14))</f>
        <v>1130</v>
      </c>
      <c r="R26" s="18">
        <f>IF($K$13="件数",SUMIFS(yj!$I:$I,yj!$B:$B,小圆机汇总表!$A26,yj!$G:$G,小圆机汇总表!$I$13&amp;"/"&amp;小圆机汇总表!$J$13&amp;"/"&amp;小圆机汇总表!R$14),SUMIFS(yj!$H:$H,yj!$B:$B,小圆机汇总表!$A26,yj!$G:$G,小圆机汇总表!$I$13&amp;"/"&amp;小圆机汇总表!$J$13&amp;"/"&amp;小圆机汇总表!R$14))</f>
        <v>1166.5999999999999</v>
      </c>
      <c r="S26" s="18">
        <f>IF($K$13="件数",SUMIFS(yj!$I:$I,yj!$B:$B,小圆机汇总表!$A26,yj!$G:$G,小圆机汇总表!$I$13&amp;"/"&amp;小圆机汇总表!$J$13&amp;"/"&amp;小圆机汇总表!S$14),SUMIFS(yj!$H:$H,yj!$B:$B,小圆机汇总表!$A26,yj!$G:$G,小圆机汇总表!$I$13&amp;"/"&amp;小圆机汇总表!$J$13&amp;"/"&amp;小圆机汇总表!S$14))</f>
        <v>0</v>
      </c>
      <c r="T26" s="18">
        <f>IF($K$13="件数",SUMIFS(yj!$I:$I,yj!$B:$B,小圆机汇总表!$A26,yj!$G:$G,小圆机汇总表!$I$13&amp;"/"&amp;小圆机汇总表!$J$13&amp;"/"&amp;小圆机汇总表!T$14),SUMIFS(yj!$H:$H,yj!$B:$B,小圆机汇总表!$A26,yj!$G:$G,小圆机汇总表!$I$13&amp;"/"&amp;小圆机汇总表!$J$13&amp;"/"&amp;小圆机汇总表!T$14))</f>
        <v>0</v>
      </c>
      <c r="U26" s="18">
        <f>IF($K$13="件数",SUMIFS(yj!$I:$I,yj!$B:$B,小圆机汇总表!$A26,yj!$G:$G,小圆机汇总表!$I$13&amp;"/"&amp;小圆机汇总表!$J$13&amp;"/"&amp;小圆机汇总表!U$14),SUMIFS(yj!$H:$H,yj!$B:$B,小圆机汇总表!$A26,yj!$G:$G,小圆机汇总表!$I$13&amp;"/"&amp;小圆机汇总表!$J$13&amp;"/"&amp;小圆机汇总表!U$14))</f>
        <v>0</v>
      </c>
      <c r="V26" s="18">
        <f>IF($K$13="件数",SUMIFS(yj!$I:$I,yj!$B:$B,小圆机汇总表!$A26,yj!$G:$G,小圆机汇总表!$I$13&amp;"/"&amp;小圆机汇总表!$J$13&amp;"/"&amp;小圆机汇总表!V$14),SUMIFS(yj!$H:$H,yj!$B:$B,小圆机汇总表!$A26,yj!$G:$G,小圆机汇总表!$I$13&amp;"/"&amp;小圆机汇总表!$J$13&amp;"/"&amp;小圆机汇总表!V$14))</f>
        <v>0</v>
      </c>
      <c r="W26" s="18">
        <f>IF($K$13="件数",SUMIFS(yj!$I:$I,yj!$B:$B,小圆机汇总表!$A26,yj!$G:$G,小圆机汇总表!$I$13&amp;"/"&amp;小圆机汇总表!$J$13&amp;"/"&amp;小圆机汇总表!W$14),SUMIFS(yj!$H:$H,yj!$B:$B,小圆机汇总表!$A26,yj!$G:$G,小圆机汇总表!$I$13&amp;"/"&amp;小圆机汇总表!$J$13&amp;"/"&amp;小圆机汇总表!W$14))</f>
        <v>0</v>
      </c>
      <c r="X26" s="18">
        <f>IF($K$13="件数",SUMIFS(yj!$I:$I,yj!$B:$B,小圆机汇总表!$A26,yj!$G:$G,小圆机汇总表!$I$13&amp;"/"&amp;小圆机汇总表!$J$13&amp;"/"&amp;小圆机汇总表!X$14),SUMIFS(yj!$H:$H,yj!$B:$B,小圆机汇总表!$A26,yj!$G:$G,小圆机汇总表!$I$13&amp;"/"&amp;小圆机汇总表!$J$13&amp;"/"&amp;小圆机汇总表!X$14))</f>
        <v>0</v>
      </c>
      <c r="Y26" s="18">
        <f>IF($K$13="件数",SUMIFS(yj!$I:$I,yj!$B:$B,小圆机汇总表!$A26,yj!$G:$G,小圆机汇总表!$I$13&amp;"/"&amp;小圆机汇总表!$J$13&amp;"/"&amp;小圆机汇总表!Y$14),SUMIFS(yj!$H:$H,yj!$B:$B,小圆机汇总表!$A26,yj!$G:$G,小圆机汇总表!$I$13&amp;"/"&amp;小圆机汇总表!$J$13&amp;"/"&amp;小圆机汇总表!Y$14))</f>
        <v>0</v>
      </c>
      <c r="Z26" s="18">
        <f>IF($K$13="件数",SUMIFS(yj!$I:$I,yj!$B:$B,小圆机汇总表!$A26,yj!$G:$G,小圆机汇总表!$I$13&amp;"/"&amp;小圆机汇总表!$J$13&amp;"/"&amp;小圆机汇总表!Z$14),SUMIFS(yj!$H:$H,yj!$B:$B,小圆机汇总表!$A26,yj!$G:$G,小圆机汇总表!$I$13&amp;"/"&amp;小圆机汇总表!$J$13&amp;"/"&amp;小圆机汇总表!Z$14))</f>
        <v>0</v>
      </c>
      <c r="AA26" s="18">
        <f>IF($K$13="件数",SUMIFS(yj!$I:$I,yj!$B:$B,小圆机汇总表!$A26,yj!$G:$G,小圆机汇总表!$I$13&amp;"/"&amp;小圆机汇总表!$J$13&amp;"/"&amp;小圆机汇总表!AA$14),SUMIFS(yj!$H:$H,yj!$B:$B,小圆机汇总表!$A26,yj!$G:$G,小圆机汇总表!$I$13&amp;"/"&amp;小圆机汇总表!$J$13&amp;"/"&amp;小圆机汇总表!AA$14))</f>
        <v>0</v>
      </c>
      <c r="AB26" s="18">
        <f>IF($K$13="件数",SUMIFS(yj!$I:$I,yj!$B:$B,小圆机汇总表!$A26,yj!$G:$G,小圆机汇总表!$I$13&amp;"/"&amp;小圆机汇总表!$J$13&amp;"/"&amp;小圆机汇总表!AB$14),SUMIFS(yj!$H:$H,yj!$B:$B,小圆机汇总表!$A26,yj!$G:$G,小圆机汇总表!$I$13&amp;"/"&amp;小圆机汇总表!$J$13&amp;"/"&amp;小圆机汇总表!AB$14))</f>
        <v>0</v>
      </c>
      <c r="AC26" s="18">
        <f>IF($K$13="件数",SUMIFS(yj!$I:$I,yj!$B:$B,小圆机汇总表!$A26,yj!$G:$G,小圆机汇总表!$I$13&amp;"/"&amp;小圆机汇总表!$J$13&amp;"/"&amp;小圆机汇总表!AC$14),SUMIFS(yj!$H:$H,yj!$B:$B,小圆机汇总表!$A26,yj!$G:$G,小圆机汇总表!$I$13&amp;"/"&amp;小圆机汇总表!$J$13&amp;"/"&amp;小圆机汇总表!AC$14))</f>
        <v>0</v>
      </c>
      <c r="AD26" s="18">
        <f>IF($K$13="件数",SUMIFS(yj!$I:$I,yj!$B:$B,小圆机汇总表!$A26,yj!$G:$G,小圆机汇总表!$I$13&amp;"/"&amp;小圆机汇总表!$J$13&amp;"/"&amp;小圆机汇总表!AD$14),SUMIFS(yj!$H:$H,yj!$B:$B,小圆机汇总表!$A26,yj!$G:$G,小圆机汇总表!$I$13&amp;"/"&amp;小圆机汇总表!$J$13&amp;"/"&amp;小圆机汇总表!AD$14))</f>
        <v>0</v>
      </c>
      <c r="AE26" s="18">
        <f>IF($K$13="件数",SUMIFS(yj!$I:$I,yj!$B:$B,小圆机汇总表!$A26,yj!$G:$G,小圆机汇总表!$I$13&amp;"/"&amp;小圆机汇总表!$J$13&amp;"/"&amp;小圆机汇总表!AE$14),SUMIFS(yj!$H:$H,yj!$B:$B,小圆机汇总表!$A26,yj!$G:$G,小圆机汇总表!$I$13&amp;"/"&amp;小圆机汇总表!$J$13&amp;"/"&amp;小圆机汇总表!AE$14))</f>
        <v>0</v>
      </c>
      <c r="AF26" s="18">
        <f>IF($K$13="件数",SUMIFS(yj!$I:$I,yj!$B:$B,小圆机汇总表!$A26,yj!$G:$G,小圆机汇总表!$I$13&amp;"/"&amp;小圆机汇总表!$J$13&amp;"/"&amp;小圆机汇总表!AF$14),SUMIFS(yj!$H:$H,yj!$B:$B,小圆机汇总表!$A26,yj!$G:$G,小圆机汇总表!$I$13&amp;"/"&amp;小圆机汇总表!$J$13&amp;"/"&amp;小圆机汇总表!AF$14))</f>
        <v>0</v>
      </c>
      <c r="AG26" s="18">
        <f>IF($K$13="件数",SUMIFS(yj!$I:$I,yj!$B:$B,小圆机汇总表!$A26,yj!$G:$G,小圆机汇总表!$I$13&amp;"/"&amp;小圆机汇总表!$J$13&amp;"/"&amp;小圆机汇总表!AG$14),SUMIFS(yj!$H:$H,yj!$B:$B,小圆机汇总表!$A26,yj!$G:$G,小圆机汇总表!$I$13&amp;"/"&amp;小圆机汇总表!$J$13&amp;"/"&amp;小圆机汇总表!AG$14))</f>
        <v>0</v>
      </c>
      <c r="AH26" s="18">
        <f>IF($K$13="件数",SUMIFS(yj!$I:$I,yj!$B:$B,小圆机汇总表!$A26,yj!$G:$G,小圆机汇总表!$I$13&amp;"/"&amp;小圆机汇总表!$J$13&amp;"/"&amp;小圆机汇总表!AH$14),SUMIFS(yj!$H:$H,yj!$B:$B,小圆机汇总表!$A26,yj!$G:$G,小圆机汇总表!$I$13&amp;"/"&amp;小圆机汇总表!$J$13&amp;"/"&amp;小圆机汇总表!AH$14))</f>
        <v>0</v>
      </c>
      <c r="AI26" s="18">
        <f>IF($K$13="件数",SUMIFS(yj!$I:$I,yj!$B:$B,小圆机汇总表!$A26,yj!$G:$G,小圆机汇总表!$I$13&amp;"/"&amp;小圆机汇总表!$J$13&amp;"/"&amp;小圆机汇总表!AI$14),SUMIFS(yj!$H:$H,yj!$B:$B,小圆机汇总表!$A26,yj!$G:$G,小圆机汇总表!$I$13&amp;"/"&amp;小圆机汇总表!$J$13&amp;"/"&amp;小圆机汇总表!AI$14))</f>
        <v>0</v>
      </c>
      <c r="AJ26" s="18">
        <f>IF($K$13="件数",SUMIFS(yj!$I:$I,yj!$B:$B,小圆机汇总表!$A26,yj!$G:$G,小圆机汇总表!$I$13&amp;"/"&amp;小圆机汇总表!$J$13&amp;"/"&amp;小圆机汇总表!AJ$14),SUMIFS(yj!$H:$H,yj!$B:$B,小圆机汇总表!$A26,yj!$G:$G,小圆机汇总表!$I$13&amp;"/"&amp;小圆机汇总表!$J$13&amp;"/"&amp;小圆机汇总表!AJ$14))</f>
        <v>0</v>
      </c>
      <c r="AK26" s="18">
        <f>IF($K$13="件数",SUMIFS(yj!$I:$I,yj!$B:$B,小圆机汇总表!$A26,yj!$G:$G,小圆机汇总表!$I$13&amp;"/"&amp;小圆机汇总表!$J$13&amp;"/"&amp;小圆机汇总表!AK$14),SUMIFS(yj!$H:$H,yj!$B:$B,小圆机汇总表!$A26,yj!$G:$G,小圆机汇总表!$I$13&amp;"/"&amp;小圆机汇总表!$J$13&amp;"/"&amp;小圆机汇总表!AK$14))</f>
        <v>0</v>
      </c>
      <c r="AL26" s="18">
        <f>IF($K$13="件数",SUMIFS(yj!$I:$I,yj!$B:$B,小圆机汇总表!$A26,yj!$G:$G,小圆机汇总表!$I$13&amp;"/"&amp;小圆机汇总表!$J$13&amp;"/"&amp;小圆机汇总表!AL$14),SUMIFS(yj!$H:$H,yj!$B:$B,小圆机汇总表!$A26,yj!$G:$G,小圆机汇总表!$I$13&amp;"/"&amp;小圆机汇总表!$J$13&amp;"/"&amp;小圆机汇总表!AL$14))</f>
        <v>0</v>
      </c>
      <c r="AM26" s="18">
        <f>IF($K$13="件数",SUMIFS(yj!$I:$I,yj!$B:$B,小圆机汇总表!$A26,yj!$G:$G,小圆机汇总表!$I$13&amp;"/"&amp;小圆机汇总表!$J$13&amp;"/"&amp;小圆机汇总表!AM$14),SUMIFS(yj!$H:$H,yj!$B:$B,小圆机汇总表!$A26,yj!$G:$G,小圆机汇总表!$I$13&amp;"/"&amp;小圆机汇总表!$J$13&amp;"/"&amp;小圆机汇总表!AM$14))</f>
        <v>0</v>
      </c>
      <c r="AN26" s="18">
        <f>IF($K$13="件数",SUMIFS(yj!$I:$I,yj!$B:$B,小圆机汇总表!$A26,yj!$G:$G,小圆机汇总表!$I$13&amp;"/"&amp;小圆机汇总表!$J$13&amp;"/"&amp;小圆机汇总表!AN$14),SUMIFS(yj!$H:$H,yj!$B:$B,小圆机汇总表!$A26,yj!$G:$G,小圆机汇总表!$I$13&amp;"/"&amp;小圆机汇总表!$J$13&amp;"/"&amp;小圆机汇总表!AN$14))</f>
        <v>0</v>
      </c>
      <c r="AO26" s="18">
        <f>IF($K$13="件数",SUMIFS(yj!$I:$I,yj!$B:$B,小圆机汇总表!$A26,yj!$G:$G,小圆机汇总表!$I$13&amp;"/"&amp;小圆机汇总表!$J$13&amp;"/"&amp;小圆机汇总表!AO$14),SUMIFS(yj!$H:$H,yj!$B:$B,小圆机汇总表!$A26,yj!$G:$G,小圆机汇总表!$I$13&amp;"/"&amp;小圆机汇总表!$J$13&amp;"/"&amp;小圆机汇总表!AO$14))</f>
        <v>0</v>
      </c>
      <c r="AP26" s="18">
        <f>IF($K$13="件数",SUMIFS(yj!$I:$I,yj!$B:$B,小圆机汇总表!$A26,yj!$G:$G,小圆机汇总表!$I$13&amp;"/"&amp;小圆机汇总表!$J$13&amp;"/"&amp;小圆机汇总表!AP$14),SUMIFS(yj!$H:$H,yj!$B:$B,小圆机汇总表!$A26,yj!$G:$G,小圆机汇总表!$I$13&amp;"/"&amp;小圆机汇总表!$J$13&amp;"/"&amp;小圆机汇总表!AP$14))</f>
        <v>0</v>
      </c>
      <c r="AQ26" s="18">
        <f>IF($K$13="件数",SUMIFS(yj!$I:$I,yj!$B:$B,小圆机汇总表!$A26,yj!$G:$G,小圆机汇总表!$I$13&amp;"/"&amp;小圆机汇总表!$J$13&amp;"/"&amp;小圆机汇总表!AQ$14),SUMIFS(yj!$H:$H,yj!$B:$B,小圆机汇总表!$A26,yj!$G:$G,小圆机汇总表!$I$13&amp;"/"&amp;小圆机汇总表!$J$13&amp;"/"&amp;小圆机汇总表!AQ$14))</f>
        <v>0</v>
      </c>
    </row>
    <row r="27" spans="1:43" ht="18" hidden="1" customHeight="1">
      <c r="A27" s="13" t="s">
        <v>56</v>
      </c>
      <c r="B27" s="14" t="s">
        <v>54</v>
      </c>
      <c r="C27" s="17">
        <v>50</v>
      </c>
      <c r="D27" s="17" t="s">
        <v>64</v>
      </c>
      <c r="E27" s="110" t="s">
        <v>1058</v>
      </c>
      <c r="F27" s="13">
        <v>160</v>
      </c>
      <c r="G27" s="13">
        <v>34</v>
      </c>
      <c r="H27" s="14" t="s">
        <v>39</v>
      </c>
      <c r="I27" s="13"/>
      <c r="J27" s="182">
        <f ca="1">IF(SUMIFS(yj!$I:$I,yj!$B:$B,小圆机汇总表!A27,yj!$G:$G,小圆机汇总表!$L$13)&gt;0,SUMIFS(yj!$H:$H,yj!$B:$B,小圆机汇总表!A27,yj!$G:$G,小圆机汇总表!$L$13),0)</f>
        <v>263.10000000000002</v>
      </c>
      <c r="K27" s="15">
        <f>SUMIFS(yj!$H:$H,yj!$B:$B,小圆机汇总表!A27,yj!$M:$M,小圆机汇总表!$J$13)</f>
        <v>934.2</v>
      </c>
      <c r="L27" s="15">
        <f>SUMIFS(yj!$I:$I,yj!$B:$B,小圆机汇总表!A27,yj!$M:$M,小圆机汇总表!$J$13)</f>
        <v>47</v>
      </c>
      <c r="M27" s="18">
        <f>IF($K$13="件数",SUMIFS(yj!$I:$I,yj!$B:$B,小圆机汇总表!$A27,yj!$G:$G,小圆机汇总表!$I$13&amp;"/"&amp;小圆机汇总表!$J$13&amp;"/"&amp;小圆机汇总表!M$14),SUMIFS(yj!$H:$H,yj!$B:$B,小圆机汇总表!$A27,yj!$G:$G,小圆机汇总表!$I$13&amp;"/"&amp;小圆机汇总表!$J$13&amp;"/"&amp;小圆机汇总表!M$14))</f>
        <v>0</v>
      </c>
      <c r="N27" s="18">
        <f>IF($K$13="件数",SUMIFS(yj!$I:$I,yj!$B:$B,小圆机汇总表!$A27,yj!$G:$G,小圆机汇总表!$I$13&amp;"/"&amp;小圆机汇总表!$J$13&amp;"/"&amp;小圆机汇总表!N$14),SUMIFS(yj!$H:$H,yj!$B:$B,小圆机汇总表!$A27,yj!$G:$G,小圆机汇总表!$I$13&amp;"/"&amp;小圆机汇总表!$J$13&amp;"/"&amp;小圆机汇总表!N$14))</f>
        <v>81</v>
      </c>
      <c r="O27" s="18">
        <f>IF($K$13="件数",SUMIFS(yj!$I:$I,yj!$B:$B,小圆机汇总表!$A27,yj!$G:$G,小圆机汇总表!$I$13&amp;"/"&amp;小圆机汇总表!$J$13&amp;"/"&amp;小圆机汇总表!O$14),SUMIFS(yj!$H:$H,yj!$B:$B,小圆机汇总表!$A27,yj!$G:$G,小圆机汇总表!$I$13&amp;"/"&amp;小圆机汇总表!$J$13&amp;"/"&amp;小圆机汇总表!O$14))</f>
        <v>200.2</v>
      </c>
      <c r="P27" s="18">
        <f>IF($K$13="件数",SUMIFS(yj!$I:$I,yj!$B:$B,小圆机汇总表!$A27,yj!$G:$G,小圆机汇总表!$I$13&amp;"/"&amp;小圆机汇总表!$J$13&amp;"/"&amp;小圆机汇总表!P$14),SUMIFS(yj!$H:$H,yj!$B:$B,小圆机汇总表!$A27,yj!$G:$G,小圆机汇总表!$I$13&amp;"/"&amp;小圆机汇总表!$J$13&amp;"/"&amp;小圆机汇总表!P$14))</f>
        <v>189.9</v>
      </c>
      <c r="Q27" s="18">
        <f>IF($K$13="件数",SUMIFS(yj!$I:$I,yj!$B:$B,小圆机汇总表!$A27,yj!$G:$G,小圆机汇总表!$I$13&amp;"/"&amp;小圆机汇总表!$J$13&amp;"/"&amp;小圆机汇总表!Q$14),SUMIFS(yj!$H:$H,yj!$B:$B,小圆机汇总表!$A27,yj!$G:$G,小圆机汇总表!$I$13&amp;"/"&amp;小圆机汇总表!$J$13&amp;"/"&amp;小圆机汇总表!Q$14))</f>
        <v>200</v>
      </c>
      <c r="R27" s="18">
        <f>IF($K$13="件数",SUMIFS(yj!$I:$I,yj!$B:$B,小圆机汇总表!$A27,yj!$G:$G,小圆机汇总表!$I$13&amp;"/"&amp;小圆机汇总表!$J$13&amp;"/"&amp;小圆机汇总表!R$14),SUMIFS(yj!$H:$H,yj!$B:$B,小圆机汇总表!$A27,yj!$G:$G,小圆机汇总表!$I$13&amp;"/"&amp;小圆机汇总表!$J$13&amp;"/"&amp;小圆机汇总表!R$14))</f>
        <v>263.10000000000002</v>
      </c>
      <c r="S27" s="18">
        <f>IF($K$13="件数",SUMIFS(yj!$I:$I,yj!$B:$B,小圆机汇总表!$A27,yj!$G:$G,小圆机汇总表!$I$13&amp;"/"&amp;小圆机汇总表!$J$13&amp;"/"&amp;小圆机汇总表!S$14),SUMIFS(yj!$H:$H,yj!$B:$B,小圆机汇总表!$A27,yj!$G:$G,小圆机汇总表!$I$13&amp;"/"&amp;小圆机汇总表!$J$13&amp;"/"&amp;小圆机汇总表!S$14))</f>
        <v>0</v>
      </c>
      <c r="T27" s="18">
        <f>IF($K$13="件数",SUMIFS(yj!$I:$I,yj!$B:$B,小圆机汇总表!$A27,yj!$G:$G,小圆机汇总表!$I$13&amp;"/"&amp;小圆机汇总表!$J$13&amp;"/"&amp;小圆机汇总表!T$14),SUMIFS(yj!$H:$H,yj!$B:$B,小圆机汇总表!$A27,yj!$G:$G,小圆机汇总表!$I$13&amp;"/"&amp;小圆机汇总表!$J$13&amp;"/"&amp;小圆机汇总表!T$14))</f>
        <v>0</v>
      </c>
      <c r="U27" s="18">
        <f>IF($K$13="件数",SUMIFS(yj!$I:$I,yj!$B:$B,小圆机汇总表!$A27,yj!$G:$G,小圆机汇总表!$I$13&amp;"/"&amp;小圆机汇总表!$J$13&amp;"/"&amp;小圆机汇总表!U$14),SUMIFS(yj!$H:$H,yj!$B:$B,小圆机汇总表!$A27,yj!$G:$G,小圆机汇总表!$I$13&amp;"/"&amp;小圆机汇总表!$J$13&amp;"/"&amp;小圆机汇总表!U$14))</f>
        <v>0</v>
      </c>
      <c r="V27" s="18">
        <f>IF($K$13="件数",SUMIFS(yj!$I:$I,yj!$B:$B,小圆机汇总表!$A27,yj!$G:$G,小圆机汇总表!$I$13&amp;"/"&amp;小圆机汇总表!$J$13&amp;"/"&amp;小圆机汇总表!V$14),SUMIFS(yj!$H:$H,yj!$B:$B,小圆机汇总表!$A27,yj!$G:$G,小圆机汇总表!$I$13&amp;"/"&amp;小圆机汇总表!$J$13&amp;"/"&amp;小圆机汇总表!V$14))</f>
        <v>0</v>
      </c>
      <c r="W27" s="18">
        <f>IF($K$13="件数",SUMIFS(yj!$I:$I,yj!$B:$B,小圆机汇总表!$A27,yj!$G:$G,小圆机汇总表!$I$13&amp;"/"&amp;小圆机汇总表!$J$13&amp;"/"&amp;小圆机汇总表!W$14),SUMIFS(yj!$H:$H,yj!$B:$B,小圆机汇总表!$A27,yj!$G:$G,小圆机汇总表!$I$13&amp;"/"&amp;小圆机汇总表!$J$13&amp;"/"&amp;小圆机汇总表!W$14))</f>
        <v>0</v>
      </c>
      <c r="X27" s="18">
        <f>IF($K$13="件数",SUMIFS(yj!$I:$I,yj!$B:$B,小圆机汇总表!$A27,yj!$G:$G,小圆机汇总表!$I$13&amp;"/"&amp;小圆机汇总表!$J$13&amp;"/"&amp;小圆机汇总表!X$14),SUMIFS(yj!$H:$H,yj!$B:$B,小圆机汇总表!$A27,yj!$G:$G,小圆机汇总表!$I$13&amp;"/"&amp;小圆机汇总表!$J$13&amp;"/"&amp;小圆机汇总表!X$14))</f>
        <v>0</v>
      </c>
      <c r="Y27" s="18">
        <f>IF($K$13="件数",SUMIFS(yj!$I:$I,yj!$B:$B,小圆机汇总表!$A27,yj!$G:$G,小圆机汇总表!$I$13&amp;"/"&amp;小圆机汇总表!$J$13&amp;"/"&amp;小圆机汇总表!Y$14),SUMIFS(yj!$H:$H,yj!$B:$B,小圆机汇总表!$A27,yj!$G:$G,小圆机汇总表!$I$13&amp;"/"&amp;小圆机汇总表!$J$13&amp;"/"&amp;小圆机汇总表!Y$14))</f>
        <v>0</v>
      </c>
      <c r="Z27" s="18">
        <f>IF($K$13="件数",SUMIFS(yj!$I:$I,yj!$B:$B,小圆机汇总表!$A27,yj!$G:$G,小圆机汇总表!$I$13&amp;"/"&amp;小圆机汇总表!$J$13&amp;"/"&amp;小圆机汇总表!Z$14),SUMIFS(yj!$H:$H,yj!$B:$B,小圆机汇总表!$A27,yj!$G:$G,小圆机汇总表!$I$13&amp;"/"&amp;小圆机汇总表!$J$13&amp;"/"&amp;小圆机汇总表!Z$14))</f>
        <v>0</v>
      </c>
      <c r="AA27" s="18">
        <f>IF($K$13="件数",SUMIFS(yj!$I:$I,yj!$B:$B,小圆机汇总表!$A27,yj!$G:$G,小圆机汇总表!$I$13&amp;"/"&amp;小圆机汇总表!$J$13&amp;"/"&amp;小圆机汇总表!AA$14),SUMIFS(yj!$H:$H,yj!$B:$B,小圆机汇总表!$A27,yj!$G:$G,小圆机汇总表!$I$13&amp;"/"&amp;小圆机汇总表!$J$13&amp;"/"&amp;小圆机汇总表!AA$14))</f>
        <v>0</v>
      </c>
      <c r="AB27" s="18">
        <f>IF($K$13="件数",SUMIFS(yj!$I:$I,yj!$B:$B,小圆机汇总表!$A27,yj!$G:$G,小圆机汇总表!$I$13&amp;"/"&amp;小圆机汇总表!$J$13&amp;"/"&amp;小圆机汇总表!AB$14),SUMIFS(yj!$H:$H,yj!$B:$B,小圆机汇总表!$A27,yj!$G:$G,小圆机汇总表!$I$13&amp;"/"&amp;小圆机汇总表!$J$13&amp;"/"&amp;小圆机汇总表!AB$14))</f>
        <v>0</v>
      </c>
      <c r="AC27" s="18">
        <f>IF($K$13="件数",SUMIFS(yj!$I:$I,yj!$B:$B,小圆机汇总表!$A27,yj!$G:$G,小圆机汇总表!$I$13&amp;"/"&amp;小圆机汇总表!$J$13&amp;"/"&amp;小圆机汇总表!AC$14),SUMIFS(yj!$H:$H,yj!$B:$B,小圆机汇总表!$A27,yj!$G:$G,小圆机汇总表!$I$13&amp;"/"&amp;小圆机汇总表!$J$13&amp;"/"&amp;小圆机汇总表!AC$14))</f>
        <v>0</v>
      </c>
      <c r="AD27" s="18">
        <f>IF($K$13="件数",SUMIFS(yj!$I:$I,yj!$B:$B,小圆机汇总表!$A27,yj!$G:$G,小圆机汇总表!$I$13&amp;"/"&amp;小圆机汇总表!$J$13&amp;"/"&amp;小圆机汇总表!AD$14),SUMIFS(yj!$H:$H,yj!$B:$B,小圆机汇总表!$A27,yj!$G:$G,小圆机汇总表!$I$13&amp;"/"&amp;小圆机汇总表!$J$13&amp;"/"&amp;小圆机汇总表!AD$14))</f>
        <v>0</v>
      </c>
      <c r="AE27" s="18">
        <f>IF($K$13="件数",SUMIFS(yj!$I:$I,yj!$B:$B,小圆机汇总表!$A27,yj!$G:$G,小圆机汇总表!$I$13&amp;"/"&amp;小圆机汇总表!$J$13&amp;"/"&amp;小圆机汇总表!AE$14),SUMIFS(yj!$H:$H,yj!$B:$B,小圆机汇总表!$A27,yj!$G:$G,小圆机汇总表!$I$13&amp;"/"&amp;小圆机汇总表!$J$13&amp;"/"&amp;小圆机汇总表!AE$14))</f>
        <v>0</v>
      </c>
      <c r="AF27" s="18">
        <f>IF($K$13="件数",SUMIFS(yj!$I:$I,yj!$B:$B,小圆机汇总表!$A27,yj!$G:$G,小圆机汇总表!$I$13&amp;"/"&amp;小圆机汇总表!$J$13&amp;"/"&amp;小圆机汇总表!AF$14),SUMIFS(yj!$H:$H,yj!$B:$B,小圆机汇总表!$A27,yj!$G:$G,小圆机汇总表!$I$13&amp;"/"&amp;小圆机汇总表!$J$13&amp;"/"&amp;小圆机汇总表!AF$14))</f>
        <v>0</v>
      </c>
      <c r="AG27" s="18">
        <f>IF($K$13="件数",SUMIFS(yj!$I:$I,yj!$B:$B,小圆机汇总表!$A27,yj!$G:$G,小圆机汇总表!$I$13&amp;"/"&amp;小圆机汇总表!$J$13&amp;"/"&amp;小圆机汇总表!AG$14),SUMIFS(yj!$H:$H,yj!$B:$B,小圆机汇总表!$A27,yj!$G:$G,小圆机汇总表!$I$13&amp;"/"&amp;小圆机汇总表!$J$13&amp;"/"&amp;小圆机汇总表!AG$14))</f>
        <v>0</v>
      </c>
      <c r="AH27" s="18">
        <f>IF($K$13="件数",SUMIFS(yj!$I:$I,yj!$B:$B,小圆机汇总表!$A27,yj!$G:$G,小圆机汇总表!$I$13&amp;"/"&amp;小圆机汇总表!$J$13&amp;"/"&amp;小圆机汇总表!AH$14),SUMIFS(yj!$H:$H,yj!$B:$B,小圆机汇总表!$A27,yj!$G:$G,小圆机汇总表!$I$13&amp;"/"&amp;小圆机汇总表!$J$13&amp;"/"&amp;小圆机汇总表!AH$14))</f>
        <v>0</v>
      </c>
      <c r="AI27" s="18">
        <f>IF($K$13="件数",SUMIFS(yj!$I:$I,yj!$B:$B,小圆机汇总表!$A27,yj!$G:$G,小圆机汇总表!$I$13&amp;"/"&amp;小圆机汇总表!$J$13&amp;"/"&amp;小圆机汇总表!AI$14),SUMIFS(yj!$H:$H,yj!$B:$B,小圆机汇总表!$A27,yj!$G:$G,小圆机汇总表!$I$13&amp;"/"&amp;小圆机汇总表!$J$13&amp;"/"&amp;小圆机汇总表!AI$14))</f>
        <v>0</v>
      </c>
      <c r="AJ27" s="18">
        <f>IF($K$13="件数",SUMIFS(yj!$I:$I,yj!$B:$B,小圆机汇总表!$A27,yj!$G:$G,小圆机汇总表!$I$13&amp;"/"&amp;小圆机汇总表!$J$13&amp;"/"&amp;小圆机汇总表!AJ$14),SUMIFS(yj!$H:$H,yj!$B:$B,小圆机汇总表!$A27,yj!$G:$G,小圆机汇总表!$I$13&amp;"/"&amp;小圆机汇总表!$J$13&amp;"/"&amp;小圆机汇总表!AJ$14))</f>
        <v>0</v>
      </c>
      <c r="AK27" s="18">
        <f>IF($K$13="件数",SUMIFS(yj!$I:$I,yj!$B:$B,小圆机汇总表!$A27,yj!$G:$G,小圆机汇总表!$I$13&amp;"/"&amp;小圆机汇总表!$J$13&amp;"/"&amp;小圆机汇总表!AK$14),SUMIFS(yj!$H:$H,yj!$B:$B,小圆机汇总表!$A27,yj!$G:$G,小圆机汇总表!$I$13&amp;"/"&amp;小圆机汇总表!$J$13&amp;"/"&amp;小圆机汇总表!AK$14))</f>
        <v>0</v>
      </c>
      <c r="AL27" s="18">
        <f>IF($K$13="件数",SUMIFS(yj!$I:$I,yj!$B:$B,小圆机汇总表!$A27,yj!$G:$G,小圆机汇总表!$I$13&amp;"/"&amp;小圆机汇总表!$J$13&amp;"/"&amp;小圆机汇总表!AL$14),SUMIFS(yj!$H:$H,yj!$B:$B,小圆机汇总表!$A27,yj!$G:$G,小圆机汇总表!$I$13&amp;"/"&amp;小圆机汇总表!$J$13&amp;"/"&amp;小圆机汇总表!AL$14))</f>
        <v>0</v>
      </c>
      <c r="AM27" s="18">
        <f>IF($K$13="件数",SUMIFS(yj!$I:$I,yj!$B:$B,小圆机汇总表!$A27,yj!$G:$G,小圆机汇总表!$I$13&amp;"/"&amp;小圆机汇总表!$J$13&amp;"/"&amp;小圆机汇总表!AM$14),SUMIFS(yj!$H:$H,yj!$B:$B,小圆机汇总表!$A27,yj!$G:$G,小圆机汇总表!$I$13&amp;"/"&amp;小圆机汇总表!$J$13&amp;"/"&amp;小圆机汇总表!AM$14))</f>
        <v>0</v>
      </c>
      <c r="AN27" s="18">
        <f>IF($K$13="件数",SUMIFS(yj!$I:$I,yj!$B:$B,小圆机汇总表!$A27,yj!$G:$G,小圆机汇总表!$I$13&amp;"/"&amp;小圆机汇总表!$J$13&amp;"/"&amp;小圆机汇总表!AN$14),SUMIFS(yj!$H:$H,yj!$B:$B,小圆机汇总表!$A27,yj!$G:$G,小圆机汇总表!$I$13&amp;"/"&amp;小圆机汇总表!$J$13&amp;"/"&amp;小圆机汇总表!AN$14))</f>
        <v>0</v>
      </c>
      <c r="AO27" s="18">
        <f>IF($K$13="件数",SUMIFS(yj!$I:$I,yj!$B:$B,小圆机汇总表!$A27,yj!$G:$G,小圆机汇总表!$I$13&amp;"/"&amp;小圆机汇总表!$J$13&amp;"/"&amp;小圆机汇总表!AO$14),SUMIFS(yj!$H:$H,yj!$B:$B,小圆机汇总表!$A27,yj!$G:$G,小圆机汇总表!$I$13&amp;"/"&amp;小圆机汇总表!$J$13&amp;"/"&amp;小圆机汇总表!AO$14))</f>
        <v>0</v>
      </c>
      <c r="AP27" s="18">
        <f>IF($K$13="件数",SUMIFS(yj!$I:$I,yj!$B:$B,小圆机汇总表!$A27,yj!$G:$G,小圆机汇总表!$I$13&amp;"/"&amp;小圆机汇总表!$J$13&amp;"/"&amp;小圆机汇总表!AP$14),SUMIFS(yj!$H:$H,yj!$B:$B,小圆机汇总表!$A27,yj!$G:$G,小圆机汇总表!$I$13&amp;"/"&amp;小圆机汇总表!$J$13&amp;"/"&amp;小圆机汇总表!AP$14))</f>
        <v>0</v>
      </c>
      <c r="AQ27" s="18">
        <f>IF($K$13="件数",SUMIFS(yj!$I:$I,yj!$B:$B,小圆机汇总表!$A27,yj!$G:$G,小圆机汇总表!$I$13&amp;"/"&amp;小圆机汇总表!$J$13&amp;"/"&amp;小圆机汇总表!AQ$14),SUMIFS(yj!$H:$H,yj!$B:$B,小圆机汇总表!$A27,yj!$G:$G,小圆机汇总表!$I$13&amp;"/"&amp;小圆机汇总表!$J$13&amp;"/"&amp;小圆机汇总表!AQ$14))</f>
        <v>0</v>
      </c>
    </row>
    <row r="28" spans="1:43" ht="18" customHeight="1">
      <c r="A28" s="19" t="s">
        <v>60</v>
      </c>
      <c r="B28" s="14" t="s">
        <v>58</v>
      </c>
      <c r="C28" s="17">
        <v>50</v>
      </c>
      <c r="D28" s="17" t="s">
        <v>57</v>
      </c>
      <c r="E28" s="13" t="s">
        <v>2</v>
      </c>
      <c r="F28" s="13">
        <v>160</v>
      </c>
      <c r="G28" s="13">
        <v>35</v>
      </c>
      <c r="H28" s="14" t="s">
        <v>39</v>
      </c>
      <c r="I28" s="13"/>
      <c r="J28" s="182">
        <f ca="1">IF(SUMIFS(yj!$I:$I,yj!$B:$B,小圆机汇总表!A28,yj!$G:$G,小圆机汇总表!$L$13)&gt;0,SUMIFS(yj!$H:$H,yj!$B:$B,小圆机汇总表!A28,yj!$G:$G,小圆机汇总表!$L$13),0)</f>
        <v>158</v>
      </c>
      <c r="K28" s="15">
        <f>SUMIFS(yj!$H:$H,yj!$B:$B,小圆机汇总表!A28,yj!$M:$M,小圆机汇总表!$J$13)</f>
        <v>987.5</v>
      </c>
      <c r="L28" s="15">
        <f>SUMIFS(yj!$I:$I,yj!$B:$B,小圆机汇总表!A28,yj!$M:$M,小圆机汇总表!$J$13)</f>
        <v>50</v>
      </c>
      <c r="M28" s="18">
        <f>IF($K$13="件数",SUMIFS(yj!$I:$I,yj!$B:$B,小圆机汇总表!$A28,yj!$G:$G,小圆机汇总表!$I$13&amp;"/"&amp;小圆机汇总表!$J$13&amp;"/"&amp;小圆机汇总表!M$14),SUMIFS(yj!$H:$H,yj!$B:$B,小圆机汇总表!$A28,yj!$G:$G,小圆机汇总表!$I$13&amp;"/"&amp;小圆机汇总表!$J$13&amp;"/"&amp;小圆机汇总表!M$14))</f>
        <v>158</v>
      </c>
      <c r="N28" s="18">
        <f>IF($K$13="件数",SUMIFS(yj!$I:$I,yj!$B:$B,小圆机汇总表!$A28,yj!$G:$G,小圆机汇总表!$I$13&amp;"/"&amp;小圆机汇总表!$J$13&amp;"/"&amp;小圆机汇总表!N$14),SUMIFS(yj!$H:$H,yj!$B:$B,小圆机汇总表!$A28,yj!$G:$G,小圆机汇总表!$I$13&amp;"/"&amp;小圆机汇总表!$J$13&amp;"/"&amp;小圆机汇总表!N$14))</f>
        <v>177.7</v>
      </c>
      <c r="O28" s="18">
        <f>IF($K$13="件数",SUMIFS(yj!$I:$I,yj!$B:$B,小圆机汇总表!$A28,yj!$G:$G,小圆机汇总表!$I$13&amp;"/"&amp;小圆机汇总表!$J$13&amp;"/"&amp;小圆机汇总表!O$14),SUMIFS(yj!$H:$H,yj!$B:$B,小圆机汇总表!$A28,yj!$G:$G,小圆机汇总表!$I$13&amp;"/"&amp;小圆机汇总表!$J$13&amp;"/"&amp;小圆机汇总表!O$14))</f>
        <v>158</v>
      </c>
      <c r="P28" s="18">
        <f>IF($K$13="件数",SUMIFS(yj!$I:$I,yj!$B:$B,小圆机汇总表!$A28,yj!$G:$G,小圆机汇总表!$I$13&amp;"/"&amp;小圆机汇总表!$J$13&amp;"/"&amp;小圆机汇总表!P$14),SUMIFS(yj!$H:$H,yj!$B:$B,小圆机汇总表!$A28,yj!$G:$G,小圆机汇总表!$I$13&amp;"/"&amp;小圆机汇总表!$J$13&amp;"/"&amp;小圆机汇总表!P$14))</f>
        <v>177.8</v>
      </c>
      <c r="Q28" s="18">
        <f>IF($K$13="件数",SUMIFS(yj!$I:$I,yj!$B:$B,小圆机汇总表!$A28,yj!$G:$G,小圆机汇总表!$I$13&amp;"/"&amp;小圆机汇总表!$J$13&amp;"/"&amp;小圆机汇总表!Q$14),SUMIFS(yj!$H:$H,yj!$B:$B,小圆机汇总表!$A28,yj!$G:$G,小圆机汇总表!$I$13&amp;"/"&amp;小圆机汇总表!$J$13&amp;"/"&amp;小圆机汇总表!Q$14))</f>
        <v>158</v>
      </c>
      <c r="R28" s="18">
        <f>IF($K$13="件数",SUMIFS(yj!$I:$I,yj!$B:$B,小圆机汇总表!$A28,yj!$G:$G,小圆机汇总表!$I$13&amp;"/"&amp;小圆机汇总表!$J$13&amp;"/"&amp;小圆机汇总表!R$14),SUMIFS(yj!$H:$H,yj!$B:$B,小圆机汇总表!$A28,yj!$G:$G,小圆机汇总表!$I$13&amp;"/"&amp;小圆机汇总表!$J$13&amp;"/"&amp;小圆机汇总表!R$14))</f>
        <v>158</v>
      </c>
      <c r="S28" s="18">
        <f>IF($K$13="件数",SUMIFS(yj!$I:$I,yj!$B:$B,小圆机汇总表!$A28,yj!$G:$G,小圆机汇总表!$I$13&amp;"/"&amp;小圆机汇总表!$J$13&amp;"/"&amp;小圆机汇总表!S$14),SUMIFS(yj!$H:$H,yj!$B:$B,小圆机汇总表!$A28,yj!$G:$G,小圆机汇总表!$I$13&amp;"/"&amp;小圆机汇总表!$J$13&amp;"/"&amp;小圆机汇总表!S$14))</f>
        <v>0</v>
      </c>
      <c r="T28" s="18">
        <f>IF($K$13="件数",SUMIFS(yj!$I:$I,yj!$B:$B,小圆机汇总表!$A28,yj!$G:$G,小圆机汇总表!$I$13&amp;"/"&amp;小圆机汇总表!$J$13&amp;"/"&amp;小圆机汇总表!T$14),SUMIFS(yj!$H:$H,yj!$B:$B,小圆机汇总表!$A28,yj!$G:$G,小圆机汇总表!$I$13&amp;"/"&amp;小圆机汇总表!$J$13&amp;"/"&amp;小圆机汇总表!T$14))</f>
        <v>0</v>
      </c>
      <c r="U28" s="18">
        <f>IF($K$13="件数",SUMIFS(yj!$I:$I,yj!$B:$B,小圆机汇总表!$A28,yj!$G:$G,小圆机汇总表!$I$13&amp;"/"&amp;小圆机汇总表!$J$13&amp;"/"&amp;小圆机汇总表!U$14),SUMIFS(yj!$H:$H,yj!$B:$B,小圆机汇总表!$A28,yj!$G:$G,小圆机汇总表!$I$13&amp;"/"&amp;小圆机汇总表!$J$13&amp;"/"&amp;小圆机汇总表!U$14))</f>
        <v>0</v>
      </c>
      <c r="V28" s="18">
        <f>IF($K$13="件数",SUMIFS(yj!$I:$I,yj!$B:$B,小圆机汇总表!$A28,yj!$G:$G,小圆机汇总表!$I$13&amp;"/"&amp;小圆机汇总表!$J$13&amp;"/"&amp;小圆机汇总表!V$14),SUMIFS(yj!$H:$H,yj!$B:$B,小圆机汇总表!$A28,yj!$G:$G,小圆机汇总表!$I$13&amp;"/"&amp;小圆机汇总表!$J$13&amp;"/"&amp;小圆机汇总表!V$14))</f>
        <v>0</v>
      </c>
      <c r="W28" s="18">
        <f>IF($K$13="件数",SUMIFS(yj!$I:$I,yj!$B:$B,小圆机汇总表!$A28,yj!$G:$G,小圆机汇总表!$I$13&amp;"/"&amp;小圆机汇总表!$J$13&amp;"/"&amp;小圆机汇总表!W$14),SUMIFS(yj!$H:$H,yj!$B:$B,小圆机汇总表!$A28,yj!$G:$G,小圆机汇总表!$I$13&amp;"/"&amp;小圆机汇总表!$J$13&amp;"/"&amp;小圆机汇总表!W$14))</f>
        <v>0</v>
      </c>
      <c r="X28" s="18">
        <f>IF($K$13="件数",SUMIFS(yj!$I:$I,yj!$B:$B,小圆机汇总表!$A28,yj!$G:$G,小圆机汇总表!$I$13&amp;"/"&amp;小圆机汇总表!$J$13&amp;"/"&amp;小圆机汇总表!X$14),SUMIFS(yj!$H:$H,yj!$B:$B,小圆机汇总表!$A28,yj!$G:$G,小圆机汇总表!$I$13&amp;"/"&amp;小圆机汇总表!$J$13&amp;"/"&amp;小圆机汇总表!X$14))</f>
        <v>0</v>
      </c>
      <c r="Y28" s="18">
        <f>IF($K$13="件数",SUMIFS(yj!$I:$I,yj!$B:$B,小圆机汇总表!$A28,yj!$G:$G,小圆机汇总表!$I$13&amp;"/"&amp;小圆机汇总表!$J$13&amp;"/"&amp;小圆机汇总表!Y$14),SUMIFS(yj!$H:$H,yj!$B:$B,小圆机汇总表!$A28,yj!$G:$G,小圆机汇总表!$I$13&amp;"/"&amp;小圆机汇总表!$J$13&amp;"/"&amp;小圆机汇总表!Y$14))</f>
        <v>0</v>
      </c>
      <c r="Z28" s="18">
        <f>IF($K$13="件数",SUMIFS(yj!$I:$I,yj!$B:$B,小圆机汇总表!$A28,yj!$G:$G,小圆机汇总表!$I$13&amp;"/"&amp;小圆机汇总表!$J$13&amp;"/"&amp;小圆机汇总表!Z$14),SUMIFS(yj!$H:$H,yj!$B:$B,小圆机汇总表!$A28,yj!$G:$G,小圆机汇总表!$I$13&amp;"/"&amp;小圆机汇总表!$J$13&amp;"/"&amp;小圆机汇总表!Z$14))</f>
        <v>0</v>
      </c>
      <c r="AA28" s="18">
        <f>IF($K$13="件数",SUMIFS(yj!$I:$I,yj!$B:$B,小圆机汇总表!$A28,yj!$G:$G,小圆机汇总表!$I$13&amp;"/"&amp;小圆机汇总表!$J$13&amp;"/"&amp;小圆机汇总表!AA$14),SUMIFS(yj!$H:$H,yj!$B:$B,小圆机汇总表!$A28,yj!$G:$G,小圆机汇总表!$I$13&amp;"/"&amp;小圆机汇总表!$J$13&amp;"/"&amp;小圆机汇总表!AA$14))</f>
        <v>0</v>
      </c>
      <c r="AB28" s="18">
        <f>IF($K$13="件数",SUMIFS(yj!$I:$I,yj!$B:$B,小圆机汇总表!$A28,yj!$G:$G,小圆机汇总表!$I$13&amp;"/"&amp;小圆机汇总表!$J$13&amp;"/"&amp;小圆机汇总表!AB$14),SUMIFS(yj!$H:$H,yj!$B:$B,小圆机汇总表!$A28,yj!$G:$G,小圆机汇总表!$I$13&amp;"/"&amp;小圆机汇总表!$J$13&amp;"/"&amp;小圆机汇总表!AB$14))</f>
        <v>0</v>
      </c>
      <c r="AC28" s="18">
        <f>IF($K$13="件数",SUMIFS(yj!$I:$I,yj!$B:$B,小圆机汇总表!$A28,yj!$G:$G,小圆机汇总表!$I$13&amp;"/"&amp;小圆机汇总表!$J$13&amp;"/"&amp;小圆机汇总表!AC$14),SUMIFS(yj!$H:$H,yj!$B:$B,小圆机汇总表!$A28,yj!$G:$G,小圆机汇总表!$I$13&amp;"/"&amp;小圆机汇总表!$J$13&amp;"/"&amp;小圆机汇总表!AC$14))</f>
        <v>0</v>
      </c>
      <c r="AD28" s="18">
        <f>IF($K$13="件数",SUMIFS(yj!$I:$I,yj!$B:$B,小圆机汇总表!$A28,yj!$G:$G,小圆机汇总表!$I$13&amp;"/"&amp;小圆机汇总表!$J$13&amp;"/"&amp;小圆机汇总表!AD$14),SUMIFS(yj!$H:$H,yj!$B:$B,小圆机汇总表!$A28,yj!$G:$G,小圆机汇总表!$I$13&amp;"/"&amp;小圆机汇总表!$J$13&amp;"/"&amp;小圆机汇总表!AD$14))</f>
        <v>0</v>
      </c>
      <c r="AE28" s="18">
        <f>IF($K$13="件数",SUMIFS(yj!$I:$I,yj!$B:$B,小圆机汇总表!$A28,yj!$G:$G,小圆机汇总表!$I$13&amp;"/"&amp;小圆机汇总表!$J$13&amp;"/"&amp;小圆机汇总表!AE$14),SUMIFS(yj!$H:$H,yj!$B:$B,小圆机汇总表!$A28,yj!$G:$G,小圆机汇总表!$I$13&amp;"/"&amp;小圆机汇总表!$J$13&amp;"/"&amp;小圆机汇总表!AE$14))</f>
        <v>0</v>
      </c>
      <c r="AF28" s="18">
        <f>IF($K$13="件数",SUMIFS(yj!$I:$I,yj!$B:$B,小圆机汇总表!$A28,yj!$G:$G,小圆机汇总表!$I$13&amp;"/"&amp;小圆机汇总表!$J$13&amp;"/"&amp;小圆机汇总表!AF$14),SUMIFS(yj!$H:$H,yj!$B:$B,小圆机汇总表!$A28,yj!$G:$G,小圆机汇总表!$I$13&amp;"/"&amp;小圆机汇总表!$J$13&amp;"/"&amp;小圆机汇总表!AF$14))</f>
        <v>0</v>
      </c>
      <c r="AG28" s="18">
        <f>IF($K$13="件数",SUMIFS(yj!$I:$I,yj!$B:$B,小圆机汇总表!$A28,yj!$G:$G,小圆机汇总表!$I$13&amp;"/"&amp;小圆机汇总表!$J$13&amp;"/"&amp;小圆机汇总表!AG$14),SUMIFS(yj!$H:$H,yj!$B:$B,小圆机汇总表!$A28,yj!$G:$G,小圆机汇总表!$I$13&amp;"/"&amp;小圆机汇总表!$J$13&amp;"/"&amp;小圆机汇总表!AG$14))</f>
        <v>0</v>
      </c>
      <c r="AH28" s="18">
        <f>IF($K$13="件数",SUMIFS(yj!$I:$I,yj!$B:$B,小圆机汇总表!$A28,yj!$G:$G,小圆机汇总表!$I$13&amp;"/"&amp;小圆机汇总表!$J$13&amp;"/"&amp;小圆机汇总表!AH$14),SUMIFS(yj!$H:$H,yj!$B:$B,小圆机汇总表!$A28,yj!$G:$G,小圆机汇总表!$I$13&amp;"/"&amp;小圆机汇总表!$J$13&amp;"/"&amp;小圆机汇总表!AH$14))</f>
        <v>0</v>
      </c>
      <c r="AI28" s="18">
        <f>IF($K$13="件数",SUMIFS(yj!$I:$I,yj!$B:$B,小圆机汇总表!$A28,yj!$G:$G,小圆机汇总表!$I$13&amp;"/"&amp;小圆机汇总表!$J$13&amp;"/"&amp;小圆机汇总表!AI$14),SUMIFS(yj!$H:$H,yj!$B:$B,小圆机汇总表!$A28,yj!$G:$G,小圆机汇总表!$I$13&amp;"/"&amp;小圆机汇总表!$J$13&amp;"/"&amp;小圆机汇总表!AI$14))</f>
        <v>0</v>
      </c>
      <c r="AJ28" s="18">
        <f>IF($K$13="件数",SUMIFS(yj!$I:$I,yj!$B:$B,小圆机汇总表!$A28,yj!$G:$G,小圆机汇总表!$I$13&amp;"/"&amp;小圆机汇总表!$J$13&amp;"/"&amp;小圆机汇总表!AJ$14),SUMIFS(yj!$H:$H,yj!$B:$B,小圆机汇总表!$A28,yj!$G:$G,小圆机汇总表!$I$13&amp;"/"&amp;小圆机汇总表!$J$13&amp;"/"&amp;小圆机汇总表!AJ$14))</f>
        <v>0</v>
      </c>
      <c r="AK28" s="18">
        <f>IF($K$13="件数",SUMIFS(yj!$I:$I,yj!$B:$B,小圆机汇总表!$A28,yj!$G:$G,小圆机汇总表!$I$13&amp;"/"&amp;小圆机汇总表!$J$13&amp;"/"&amp;小圆机汇总表!AK$14),SUMIFS(yj!$H:$H,yj!$B:$B,小圆机汇总表!$A28,yj!$G:$G,小圆机汇总表!$I$13&amp;"/"&amp;小圆机汇总表!$J$13&amp;"/"&amp;小圆机汇总表!AK$14))</f>
        <v>0</v>
      </c>
      <c r="AL28" s="18">
        <f>IF($K$13="件数",SUMIFS(yj!$I:$I,yj!$B:$B,小圆机汇总表!$A28,yj!$G:$G,小圆机汇总表!$I$13&amp;"/"&amp;小圆机汇总表!$J$13&amp;"/"&amp;小圆机汇总表!AL$14),SUMIFS(yj!$H:$H,yj!$B:$B,小圆机汇总表!$A28,yj!$G:$G,小圆机汇总表!$I$13&amp;"/"&amp;小圆机汇总表!$J$13&amp;"/"&amp;小圆机汇总表!AL$14))</f>
        <v>0</v>
      </c>
      <c r="AM28" s="18">
        <f>IF($K$13="件数",SUMIFS(yj!$I:$I,yj!$B:$B,小圆机汇总表!$A28,yj!$G:$G,小圆机汇总表!$I$13&amp;"/"&amp;小圆机汇总表!$J$13&amp;"/"&amp;小圆机汇总表!AM$14),SUMIFS(yj!$H:$H,yj!$B:$B,小圆机汇总表!$A28,yj!$G:$G,小圆机汇总表!$I$13&amp;"/"&amp;小圆机汇总表!$J$13&amp;"/"&amp;小圆机汇总表!AM$14))</f>
        <v>0</v>
      </c>
      <c r="AN28" s="18">
        <f>IF($K$13="件数",SUMIFS(yj!$I:$I,yj!$B:$B,小圆机汇总表!$A28,yj!$G:$G,小圆机汇总表!$I$13&amp;"/"&amp;小圆机汇总表!$J$13&amp;"/"&amp;小圆机汇总表!AN$14),SUMIFS(yj!$H:$H,yj!$B:$B,小圆机汇总表!$A28,yj!$G:$G,小圆机汇总表!$I$13&amp;"/"&amp;小圆机汇总表!$J$13&amp;"/"&amp;小圆机汇总表!AN$14))</f>
        <v>0</v>
      </c>
      <c r="AO28" s="18">
        <f>IF($K$13="件数",SUMIFS(yj!$I:$I,yj!$B:$B,小圆机汇总表!$A28,yj!$G:$G,小圆机汇总表!$I$13&amp;"/"&amp;小圆机汇总表!$J$13&amp;"/"&amp;小圆机汇总表!AO$14),SUMIFS(yj!$H:$H,yj!$B:$B,小圆机汇总表!$A28,yj!$G:$G,小圆机汇总表!$I$13&amp;"/"&amp;小圆机汇总表!$J$13&amp;"/"&amp;小圆机汇总表!AO$14))</f>
        <v>0</v>
      </c>
      <c r="AP28" s="18">
        <f>IF($K$13="件数",SUMIFS(yj!$I:$I,yj!$B:$B,小圆机汇总表!$A28,yj!$G:$G,小圆机汇总表!$I$13&amp;"/"&amp;小圆机汇总表!$J$13&amp;"/"&amp;小圆机汇总表!AP$14),SUMIFS(yj!$H:$H,yj!$B:$B,小圆机汇总表!$A28,yj!$G:$G,小圆机汇总表!$I$13&amp;"/"&amp;小圆机汇总表!$J$13&amp;"/"&amp;小圆机汇总表!AP$14))</f>
        <v>0</v>
      </c>
      <c r="AQ28" s="18">
        <f>IF($K$13="件数",SUMIFS(yj!$I:$I,yj!$B:$B,小圆机汇总表!$A28,yj!$G:$G,小圆机汇总表!$I$13&amp;"/"&amp;小圆机汇总表!$J$13&amp;"/"&amp;小圆机汇总表!AQ$14),SUMIFS(yj!$H:$H,yj!$B:$B,小圆机汇总表!$A28,yj!$G:$G,小圆机汇总表!$I$13&amp;"/"&amp;小圆机汇总表!$J$13&amp;"/"&amp;小圆机汇总表!AQ$14))</f>
        <v>0</v>
      </c>
    </row>
    <row r="29" spans="1:43" ht="18" hidden="1" customHeight="1">
      <c r="A29" s="13" t="s">
        <v>63</v>
      </c>
      <c r="B29" s="14" t="s">
        <v>61</v>
      </c>
      <c r="C29" s="17">
        <v>50</v>
      </c>
      <c r="D29" s="17" t="s">
        <v>64</v>
      </c>
      <c r="E29" s="78" t="s">
        <v>1058</v>
      </c>
      <c r="F29" s="13">
        <v>160</v>
      </c>
      <c r="G29" s="13">
        <v>36</v>
      </c>
      <c r="H29" s="14" t="s">
        <v>39</v>
      </c>
      <c r="I29" s="13"/>
      <c r="J29" s="182">
        <f ca="1">IF(SUMIFS(yj!$I:$I,yj!$B:$B,小圆机汇总表!A29,yj!$G:$G,小圆机汇总表!$L$13)&gt;0,SUMIFS(yj!$H:$H,yj!$B:$B,小圆机汇总表!A29,yj!$G:$G,小圆机汇总表!$L$13),0)</f>
        <v>1065</v>
      </c>
      <c r="K29" s="15">
        <f>SUMIFS(yj!$H:$H,yj!$B:$B,小圆机汇总表!A29,yj!$M:$M,小圆机汇总表!$J$13)</f>
        <v>6544.6</v>
      </c>
      <c r="L29" s="15">
        <f>SUMIFS(yj!$I:$I,yj!$B:$B,小圆机汇总表!A29,yj!$M:$M,小圆机汇总表!$J$13)</f>
        <v>328</v>
      </c>
      <c r="M29" s="18">
        <f>IF($K$13="件数",SUMIFS(yj!$I:$I,yj!$B:$B,小圆机汇总表!$A29,yj!$G:$G,小圆机汇总表!$I$13&amp;"/"&amp;小圆机汇总表!$J$13&amp;"/"&amp;小圆机汇总表!M$14),SUMIFS(yj!$H:$H,yj!$B:$B,小圆机汇总表!$A29,yj!$G:$G,小圆机汇总表!$I$13&amp;"/"&amp;小圆机汇总表!$J$13&amp;"/"&amp;小圆机汇总表!M$14))</f>
        <v>1128.4000000000001</v>
      </c>
      <c r="N29" s="18">
        <f>IF($K$13="件数",SUMIFS(yj!$I:$I,yj!$B:$B,小圆机汇总表!$A29,yj!$G:$G,小圆机汇总表!$I$13&amp;"/"&amp;小圆机汇总表!$J$13&amp;"/"&amp;小圆机汇总表!N$14),SUMIFS(yj!$H:$H,yj!$B:$B,小圆机汇总表!$A29,yj!$G:$G,小圆机汇总表!$I$13&amp;"/"&amp;小圆机汇总表!$J$13&amp;"/"&amp;小圆机汇总表!N$14))</f>
        <v>1138.9000000000001</v>
      </c>
      <c r="O29" s="18">
        <f>IF($K$13="件数",SUMIFS(yj!$I:$I,yj!$B:$B,小圆机汇总表!$A29,yj!$G:$G,小圆机汇总表!$I$13&amp;"/"&amp;小圆机汇总表!$J$13&amp;"/"&amp;小圆机汇总表!O$14),SUMIFS(yj!$H:$H,yj!$B:$B,小圆机汇总表!$A29,yj!$G:$G,小圆机汇总表!$I$13&amp;"/"&amp;小圆机汇总表!$J$13&amp;"/"&amp;小圆机汇总表!O$14))</f>
        <v>1045.9000000000001</v>
      </c>
      <c r="P29" s="18">
        <f>IF($K$13="件数",SUMIFS(yj!$I:$I,yj!$B:$B,小圆机汇总表!$A29,yj!$G:$G,小圆机汇总表!$I$13&amp;"/"&amp;小圆机汇总表!$J$13&amp;"/"&amp;小圆机汇总表!P$14),SUMIFS(yj!$H:$H,yj!$B:$B,小圆机汇总表!$A29,yj!$G:$G,小圆机汇总表!$I$13&amp;"/"&amp;小圆机汇总表!$J$13&amp;"/"&amp;小圆机汇总表!P$14))</f>
        <v>1104.5</v>
      </c>
      <c r="Q29" s="18">
        <f>IF($K$13="件数",SUMIFS(yj!$I:$I,yj!$B:$B,小圆机汇总表!$A29,yj!$G:$G,小圆机汇总表!$I$13&amp;"/"&amp;小圆机汇总表!$J$13&amp;"/"&amp;小圆机汇总表!Q$14),SUMIFS(yj!$H:$H,yj!$B:$B,小圆机汇总表!$A29,yj!$G:$G,小圆机汇总表!$I$13&amp;"/"&amp;小圆机汇总表!$J$13&amp;"/"&amp;小圆机汇总表!Q$14))</f>
        <v>1061.9000000000001</v>
      </c>
      <c r="R29" s="18">
        <f>IF($K$13="件数",SUMIFS(yj!$I:$I,yj!$B:$B,小圆机汇总表!$A29,yj!$G:$G,小圆机汇总表!$I$13&amp;"/"&amp;小圆机汇总表!$J$13&amp;"/"&amp;小圆机汇总表!R$14),SUMIFS(yj!$H:$H,yj!$B:$B,小圆机汇总表!$A29,yj!$G:$G,小圆机汇总表!$I$13&amp;"/"&amp;小圆机汇总表!$J$13&amp;"/"&amp;小圆机汇总表!R$14))</f>
        <v>1065</v>
      </c>
      <c r="S29" s="18">
        <f>IF($K$13="件数",SUMIFS(yj!$I:$I,yj!$B:$B,小圆机汇总表!$A29,yj!$G:$G,小圆机汇总表!$I$13&amp;"/"&amp;小圆机汇总表!$J$13&amp;"/"&amp;小圆机汇总表!S$14),SUMIFS(yj!$H:$H,yj!$B:$B,小圆机汇总表!$A29,yj!$G:$G,小圆机汇总表!$I$13&amp;"/"&amp;小圆机汇总表!$J$13&amp;"/"&amp;小圆机汇总表!S$14))</f>
        <v>0</v>
      </c>
      <c r="T29" s="18">
        <f>IF($K$13="件数",SUMIFS(yj!$I:$I,yj!$B:$B,小圆机汇总表!$A29,yj!$G:$G,小圆机汇总表!$I$13&amp;"/"&amp;小圆机汇总表!$J$13&amp;"/"&amp;小圆机汇总表!T$14),SUMIFS(yj!$H:$H,yj!$B:$B,小圆机汇总表!$A29,yj!$G:$G,小圆机汇总表!$I$13&amp;"/"&amp;小圆机汇总表!$J$13&amp;"/"&amp;小圆机汇总表!T$14))</f>
        <v>0</v>
      </c>
      <c r="U29" s="18">
        <f>IF($K$13="件数",SUMIFS(yj!$I:$I,yj!$B:$B,小圆机汇总表!$A29,yj!$G:$G,小圆机汇总表!$I$13&amp;"/"&amp;小圆机汇总表!$J$13&amp;"/"&amp;小圆机汇总表!U$14),SUMIFS(yj!$H:$H,yj!$B:$B,小圆机汇总表!$A29,yj!$G:$G,小圆机汇总表!$I$13&amp;"/"&amp;小圆机汇总表!$J$13&amp;"/"&amp;小圆机汇总表!U$14))</f>
        <v>0</v>
      </c>
      <c r="V29" s="18">
        <f>IF($K$13="件数",SUMIFS(yj!$I:$I,yj!$B:$B,小圆机汇总表!$A29,yj!$G:$G,小圆机汇总表!$I$13&amp;"/"&amp;小圆机汇总表!$J$13&amp;"/"&amp;小圆机汇总表!V$14),SUMIFS(yj!$H:$H,yj!$B:$B,小圆机汇总表!$A29,yj!$G:$G,小圆机汇总表!$I$13&amp;"/"&amp;小圆机汇总表!$J$13&amp;"/"&amp;小圆机汇总表!V$14))</f>
        <v>0</v>
      </c>
      <c r="W29" s="18">
        <f>IF($K$13="件数",SUMIFS(yj!$I:$I,yj!$B:$B,小圆机汇总表!$A29,yj!$G:$G,小圆机汇总表!$I$13&amp;"/"&amp;小圆机汇总表!$J$13&amp;"/"&amp;小圆机汇总表!W$14),SUMIFS(yj!$H:$H,yj!$B:$B,小圆机汇总表!$A29,yj!$G:$G,小圆机汇总表!$I$13&amp;"/"&amp;小圆机汇总表!$J$13&amp;"/"&amp;小圆机汇总表!W$14))</f>
        <v>0</v>
      </c>
      <c r="X29" s="18">
        <f>IF($K$13="件数",SUMIFS(yj!$I:$I,yj!$B:$B,小圆机汇总表!$A29,yj!$G:$G,小圆机汇总表!$I$13&amp;"/"&amp;小圆机汇总表!$J$13&amp;"/"&amp;小圆机汇总表!X$14),SUMIFS(yj!$H:$H,yj!$B:$B,小圆机汇总表!$A29,yj!$G:$G,小圆机汇总表!$I$13&amp;"/"&amp;小圆机汇总表!$J$13&amp;"/"&amp;小圆机汇总表!X$14))</f>
        <v>0</v>
      </c>
      <c r="Y29" s="18">
        <f>IF($K$13="件数",SUMIFS(yj!$I:$I,yj!$B:$B,小圆机汇总表!$A29,yj!$G:$G,小圆机汇总表!$I$13&amp;"/"&amp;小圆机汇总表!$J$13&amp;"/"&amp;小圆机汇总表!Y$14),SUMIFS(yj!$H:$H,yj!$B:$B,小圆机汇总表!$A29,yj!$G:$G,小圆机汇总表!$I$13&amp;"/"&amp;小圆机汇总表!$J$13&amp;"/"&amp;小圆机汇总表!Y$14))</f>
        <v>0</v>
      </c>
      <c r="Z29" s="18">
        <f>IF($K$13="件数",SUMIFS(yj!$I:$I,yj!$B:$B,小圆机汇总表!$A29,yj!$G:$G,小圆机汇总表!$I$13&amp;"/"&amp;小圆机汇总表!$J$13&amp;"/"&amp;小圆机汇总表!Z$14),SUMIFS(yj!$H:$H,yj!$B:$B,小圆机汇总表!$A29,yj!$G:$G,小圆机汇总表!$I$13&amp;"/"&amp;小圆机汇总表!$J$13&amp;"/"&amp;小圆机汇总表!Z$14))</f>
        <v>0</v>
      </c>
      <c r="AA29" s="18">
        <f>IF($K$13="件数",SUMIFS(yj!$I:$I,yj!$B:$B,小圆机汇总表!$A29,yj!$G:$G,小圆机汇总表!$I$13&amp;"/"&amp;小圆机汇总表!$J$13&amp;"/"&amp;小圆机汇总表!AA$14),SUMIFS(yj!$H:$H,yj!$B:$B,小圆机汇总表!$A29,yj!$G:$G,小圆机汇总表!$I$13&amp;"/"&amp;小圆机汇总表!$J$13&amp;"/"&amp;小圆机汇总表!AA$14))</f>
        <v>0</v>
      </c>
      <c r="AB29" s="18">
        <f>IF($K$13="件数",SUMIFS(yj!$I:$I,yj!$B:$B,小圆机汇总表!$A29,yj!$G:$G,小圆机汇总表!$I$13&amp;"/"&amp;小圆机汇总表!$J$13&amp;"/"&amp;小圆机汇总表!AB$14),SUMIFS(yj!$H:$H,yj!$B:$B,小圆机汇总表!$A29,yj!$G:$G,小圆机汇总表!$I$13&amp;"/"&amp;小圆机汇总表!$J$13&amp;"/"&amp;小圆机汇总表!AB$14))</f>
        <v>0</v>
      </c>
      <c r="AC29" s="18">
        <f>IF($K$13="件数",SUMIFS(yj!$I:$I,yj!$B:$B,小圆机汇总表!$A29,yj!$G:$G,小圆机汇总表!$I$13&amp;"/"&amp;小圆机汇总表!$J$13&amp;"/"&amp;小圆机汇总表!AC$14),SUMIFS(yj!$H:$H,yj!$B:$B,小圆机汇总表!$A29,yj!$G:$G,小圆机汇总表!$I$13&amp;"/"&amp;小圆机汇总表!$J$13&amp;"/"&amp;小圆机汇总表!AC$14))</f>
        <v>0</v>
      </c>
      <c r="AD29" s="18">
        <f>IF($K$13="件数",SUMIFS(yj!$I:$I,yj!$B:$B,小圆机汇总表!$A29,yj!$G:$G,小圆机汇总表!$I$13&amp;"/"&amp;小圆机汇总表!$J$13&amp;"/"&amp;小圆机汇总表!AD$14),SUMIFS(yj!$H:$H,yj!$B:$B,小圆机汇总表!$A29,yj!$G:$G,小圆机汇总表!$I$13&amp;"/"&amp;小圆机汇总表!$J$13&amp;"/"&amp;小圆机汇总表!AD$14))</f>
        <v>0</v>
      </c>
      <c r="AE29" s="18">
        <f>IF($K$13="件数",SUMIFS(yj!$I:$I,yj!$B:$B,小圆机汇总表!$A29,yj!$G:$G,小圆机汇总表!$I$13&amp;"/"&amp;小圆机汇总表!$J$13&amp;"/"&amp;小圆机汇总表!AE$14),SUMIFS(yj!$H:$H,yj!$B:$B,小圆机汇总表!$A29,yj!$G:$G,小圆机汇总表!$I$13&amp;"/"&amp;小圆机汇总表!$J$13&amp;"/"&amp;小圆机汇总表!AE$14))</f>
        <v>0</v>
      </c>
      <c r="AF29" s="18">
        <f>IF($K$13="件数",SUMIFS(yj!$I:$I,yj!$B:$B,小圆机汇总表!$A29,yj!$G:$G,小圆机汇总表!$I$13&amp;"/"&amp;小圆机汇总表!$J$13&amp;"/"&amp;小圆机汇总表!AF$14),SUMIFS(yj!$H:$H,yj!$B:$B,小圆机汇总表!$A29,yj!$G:$G,小圆机汇总表!$I$13&amp;"/"&amp;小圆机汇总表!$J$13&amp;"/"&amp;小圆机汇总表!AF$14))</f>
        <v>0</v>
      </c>
      <c r="AG29" s="18">
        <f>IF($K$13="件数",SUMIFS(yj!$I:$I,yj!$B:$B,小圆机汇总表!$A29,yj!$G:$G,小圆机汇总表!$I$13&amp;"/"&amp;小圆机汇总表!$J$13&amp;"/"&amp;小圆机汇总表!AG$14),SUMIFS(yj!$H:$H,yj!$B:$B,小圆机汇总表!$A29,yj!$G:$G,小圆机汇总表!$I$13&amp;"/"&amp;小圆机汇总表!$J$13&amp;"/"&amp;小圆机汇总表!AG$14))</f>
        <v>0</v>
      </c>
      <c r="AH29" s="18">
        <f>IF($K$13="件数",SUMIFS(yj!$I:$I,yj!$B:$B,小圆机汇总表!$A29,yj!$G:$G,小圆机汇总表!$I$13&amp;"/"&amp;小圆机汇总表!$J$13&amp;"/"&amp;小圆机汇总表!AH$14),SUMIFS(yj!$H:$H,yj!$B:$B,小圆机汇总表!$A29,yj!$G:$G,小圆机汇总表!$I$13&amp;"/"&amp;小圆机汇总表!$J$13&amp;"/"&amp;小圆机汇总表!AH$14))</f>
        <v>0</v>
      </c>
      <c r="AI29" s="18">
        <f>IF($K$13="件数",SUMIFS(yj!$I:$I,yj!$B:$B,小圆机汇总表!$A29,yj!$G:$G,小圆机汇总表!$I$13&amp;"/"&amp;小圆机汇总表!$J$13&amp;"/"&amp;小圆机汇总表!AI$14),SUMIFS(yj!$H:$H,yj!$B:$B,小圆机汇总表!$A29,yj!$G:$G,小圆机汇总表!$I$13&amp;"/"&amp;小圆机汇总表!$J$13&amp;"/"&amp;小圆机汇总表!AI$14))</f>
        <v>0</v>
      </c>
      <c r="AJ29" s="18">
        <f>IF($K$13="件数",SUMIFS(yj!$I:$I,yj!$B:$B,小圆机汇总表!$A29,yj!$G:$G,小圆机汇总表!$I$13&amp;"/"&amp;小圆机汇总表!$J$13&amp;"/"&amp;小圆机汇总表!AJ$14),SUMIFS(yj!$H:$H,yj!$B:$B,小圆机汇总表!$A29,yj!$G:$G,小圆机汇总表!$I$13&amp;"/"&amp;小圆机汇总表!$J$13&amp;"/"&amp;小圆机汇总表!AJ$14))</f>
        <v>0</v>
      </c>
      <c r="AK29" s="18">
        <f>IF($K$13="件数",SUMIFS(yj!$I:$I,yj!$B:$B,小圆机汇总表!$A29,yj!$G:$G,小圆机汇总表!$I$13&amp;"/"&amp;小圆机汇总表!$J$13&amp;"/"&amp;小圆机汇总表!AK$14),SUMIFS(yj!$H:$H,yj!$B:$B,小圆机汇总表!$A29,yj!$G:$G,小圆机汇总表!$I$13&amp;"/"&amp;小圆机汇总表!$J$13&amp;"/"&amp;小圆机汇总表!AK$14))</f>
        <v>0</v>
      </c>
      <c r="AL29" s="18">
        <f>IF($K$13="件数",SUMIFS(yj!$I:$I,yj!$B:$B,小圆机汇总表!$A29,yj!$G:$G,小圆机汇总表!$I$13&amp;"/"&amp;小圆机汇总表!$J$13&amp;"/"&amp;小圆机汇总表!AL$14),SUMIFS(yj!$H:$H,yj!$B:$B,小圆机汇总表!$A29,yj!$G:$G,小圆机汇总表!$I$13&amp;"/"&amp;小圆机汇总表!$J$13&amp;"/"&amp;小圆机汇总表!AL$14))</f>
        <v>0</v>
      </c>
      <c r="AM29" s="18">
        <f>IF($K$13="件数",SUMIFS(yj!$I:$I,yj!$B:$B,小圆机汇总表!$A29,yj!$G:$G,小圆机汇总表!$I$13&amp;"/"&amp;小圆机汇总表!$J$13&amp;"/"&amp;小圆机汇总表!AM$14),SUMIFS(yj!$H:$H,yj!$B:$B,小圆机汇总表!$A29,yj!$G:$G,小圆机汇总表!$I$13&amp;"/"&amp;小圆机汇总表!$J$13&amp;"/"&amp;小圆机汇总表!AM$14))</f>
        <v>0</v>
      </c>
      <c r="AN29" s="18">
        <f>IF($K$13="件数",SUMIFS(yj!$I:$I,yj!$B:$B,小圆机汇总表!$A29,yj!$G:$G,小圆机汇总表!$I$13&amp;"/"&amp;小圆机汇总表!$J$13&amp;"/"&amp;小圆机汇总表!AN$14),SUMIFS(yj!$H:$H,yj!$B:$B,小圆机汇总表!$A29,yj!$G:$G,小圆机汇总表!$I$13&amp;"/"&amp;小圆机汇总表!$J$13&amp;"/"&amp;小圆机汇总表!AN$14))</f>
        <v>0</v>
      </c>
      <c r="AO29" s="18">
        <f>IF($K$13="件数",SUMIFS(yj!$I:$I,yj!$B:$B,小圆机汇总表!$A29,yj!$G:$G,小圆机汇总表!$I$13&amp;"/"&amp;小圆机汇总表!$J$13&amp;"/"&amp;小圆机汇总表!AO$14),SUMIFS(yj!$H:$H,yj!$B:$B,小圆机汇总表!$A29,yj!$G:$G,小圆机汇总表!$I$13&amp;"/"&amp;小圆机汇总表!$J$13&amp;"/"&amp;小圆机汇总表!AO$14))</f>
        <v>0</v>
      </c>
      <c r="AP29" s="18">
        <f>IF($K$13="件数",SUMIFS(yj!$I:$I,yj!$B:$B,小圆机汇总表!$A29,yj!$G:$G,小圆机汇总表!$I$13&amp;"/"&amp;小圆机汇总表!$J$13&amp;"/"&amp;小圆机汇总表!AP$14),SUMIFS(yj!$H:$H,yj!$B:$B,小圆机汇总表!$A29,yj!$G:$G,小圆机汇总表!$I$13&amp;"/"&amp;小圆机汇总表!$J$13&amp;"/"&amp;小圆机汇总表!AP$14))</f>
        <v>0</v>
      </c>
      <c r="AQ29" s="18">
        <f>IF($K$13="件数",SUMIFS(yj!$I:$I,yj!$B:$B,小圆机汇总表!$A29,yj!$G:$G,小圆机汇总表!$I$13&amp;"/"&amp;小圆机汇总表!$J$13&amp;"/"&amp;小圆机汇总表!AQ$14),SUMIFS(yj!$H:$H,yj!$B:$B,小圆机汇总表!$A29,yj!$G:$G,小圆机汇总表!$I$13&amp;"/"&amp;小圆机汇总表!$J$13&amp;"/"&amp;小圆机汇总表!AQ$14))</f>
        <v>0</v>
      </c>
    </row>
    <row r="30" spans="1:43" ht="18" hidden="1" customHeight="1">
      <c r="A30" s="13" t="s">
        <v>66</v>
      </c>
      <c r="B30" s="14" t="s">
        <v>65</v>
      </c>
      <c r="C30" s="17">
        <v>50</v>
      </c>
      <c r="D30" s="17" t="s">
        <v>57</v>
      </c>
      <c r="E30" s="13" t="s">
        <v>2</v>
      </c>
      <c r="F30" s="13">
        <v>160</v>
      </c>
      <c r="G30" s="13">
        <v>45</v>
      </c>
      <c r="H30" s="14" t="s">
        <v>39</v>
      </c>
      <c r="I30" s="13"/>
      <c r="J30" s="182">
        <f ca="1">IF(SUMIFS(yj!$I:$I,yj!$B:$B,小圆机汇总表!A30,yj!$G:$G,小圆机汇总表!$L$13)&gt;0,SUMIFS(yj!$H:$H,yj!$B:$B,小圆机汇总表!A30,yj!$G:$G,小圆机汇总表!$L$13),0)</f>
        <v>0</v>
      </c>
      <c r="K30" s="15">
        <f>SUMIFS(yj!$H:$H,yj!$B:$B,小圆机汇总表!A30,yj!$M:$M,小圆机汇总表!$J$13)</f>
        <v>0</v>
      </c>
      <c r="L30" s="15">
        <f>SUMIFS(yj!$I:$I,yj!$B:$B,小圆机汇总表!A30,yj!$M:$M,小圆机汇总表!$J$13)</f>
        <v>0</v>
      </c>
      <c r="M30" s="18">
        <f>IF($K$13="件数",SUMIFS(yj!$I:$I,yj!$B:$B,小圆机汇总表!$A30,yj!$G:$G,小圆机汇总表!$I$13&amp;"/"&amp;小圆机汇总表!$J$13&amp;"/"&amp;小圆机汇总表!M$14),SUMIFS(yj!$H:$H,yj!$B:$B,小圆机汇总表!$A30,yj!$G:$G,小圆机汇总表!$I$13&amp;"/"&amp;小圆机汇总表!$J$13&amp;"/"&amp;小圆机汇总表!M$14))</f>
        <v>0</v>
      </c>
      <c r="N30" s="18">
        <f>IF($K$13="件数",SUMIFS(yj!$I:$I,yj!$B:$B,小圆机汇总表!$A30,yj!$G:$G,小圆机汇总表!$I$13&amp;"/"&amp;小圆机汇总表!$J$13&amp;"/"&amp;小圆机汇总表!N$14),SUMIFS(yj!$H:$H,yj!$B:$B,小圆机汇总表!$A30,yj!$G:$G,小圆机汇总表!$I$13&amp;"/"&amp;小圆机汇总表!$J$13&amp;"/"&amp;小圆机汇总表!N$14))</f>
        <v>0</v>
      </c>
      <c r="O30" s="18">
        <f>IF($K$13="件数",SUMIFS(yj!$I:$I,yj!$B:$B,小圆机汇总表!$A30,yj!$G:$G,小圆机汇总表!$I$13&amp;"/"&amp;小圆机汇总表!$J$13&amp;"/"&amp;小圆机汇总表!O$14),SUMIFS(yj!$H:$H,yj!$B:$B,小圆机汇总表!$A30,yj!$G:$G,小圆机汇总表!$I$13&amp;"/"&amp;小圆机汇总表!$J$13&amp;"/"&amp;小圆机汇总表!O$14))</f>
        <v>0</v>
      </c>
      <c r="P30" s="18">
        <f>IF($K$13="件数",SUMIFS(yj!$I:$I,yj!$B:$B,小圆机汇总表!$A30,yj!$G:$G,小圆机汇总表!$I$13&amp;"/"&amp;小圆机汇总表!$J$13&amp;"/"&amp;小圆机汇总表!P$14),SUMIFS(yj!$H:$H,yj!$B:$B,小圆机汇总表!$A30,yj!$G:$G,小圆机汇总表!$I$13&amp;"/"&amp;小圆机汇总表!$J$13&amp;"/"&amp;小圆机汇总表!P$14))</f>
        <v>0</v>
      </c>
      <c r="Q30" s="18">
        <f>IF($K$13="件数",SUMIFS(yj!$I:$I,yj!$B:$B,小圆机汇总表!$A30,yj!$G:$G,小圆机汇总表!$I$13&amp;"/"&amp;小圆机汇总表!$J$13&amp;"/"&amp;小圆机汇总表!Q$14),SUMIFS(yj!$H:$H,yj!$B:$B,小圆机汇总表!$A30,yj!$G:$G,小圆机汇总表!$I$13&amp;"/"&amp;小圆机汇总表!$J$13&amp;"/"&amp;小圆机汇总表!Q$14))</f>
        <v>0</v>
      </c>
      <c r="R30" s="18">
        <f>IF($K$13="件数",SUMIFS(yj!$I:$I,yj!$B:$B,小圆机汇总表!$A30,yj!$G:$G,小圆机汇总表!$I$13&amp;"/"&amp;小圆机汇总表!$J$13&amp;"/"&amp;小圆机汇总表!R$14),SUMIFS(yj!$H:$H,yj!$B:$B,小圆机汇总表!$A30,yj!$G:$G,小圆机汇总表!$I$13&amp;"/"&amp;小圆机汇总表!$J$13&amp;"/"&amp;小圆机汇总表!R$14))</f>
        <v>0</v>
      </c>
      <c r="S30" s="18">
        <f>IF($K$13="件数",SUMIFS(yj!$I:$I,yj!$B:$B,小圆机汇总表!$A30,yj!$G:$G,小圆机汇总表!$I$13&amp;"/"&amp;小圆机汇总表!$J$13&amp;"/"&amp;小圆机汇总表!S$14),SUMIFS(yj!$H:$H,yj!$B:$B,小圆机汇总表!$A30,yj!$G:$G,小圆机汇总表!$I$13&amp;"/"&amp;小圆机汇总表!$J$13&amp;"/"&amp;小圆机汇总表!S$14))</f>
        <v>0</v>
      </c>
      <c r="T30" s="18">
        <f>IF($K$13="件数",SUMIFS(yj!$I:$I,yj!$B:$B,小圆机汇总表!$A30,yj!$G:$G,小圆机汇总表!$I$13&amp;"/"&amp;小圆机汇总表!$J$13&amp;"/"&amp;小圆机汇总表!T$14),SUMIFS(yj!$H:$H,yj!$B:$B,小圆机汇总表!$A30,yj!$G:$G,小圆机汇总表!$I$13&amp;"/"&amp;小圆机汇总表!$J$13&amp;"/"&amp;小圆机汇总表!T$14))</f>
        <v>0</v>
      </c>
      <c r="U30" s="18">
        <f>IF($K$13="件数",SUMIFS(yj!$I:$I,yj!$B:$B,小圆机汇总表!$A30,yj!$G:$G,小圆机汇总表!$I$13&amp;"/"&amp;小圆机汇总表!$J$13&amp;"/"&amp;小圆机汇总表!U$14),SUMIFS(yj!$H:$H,yj!$B:$B,小圆机汇总表!$A30,yj!$G:$G,小圆机汇总表!$I$13&amp;"/"&amp;小圆机汇总表!$J$13&amp;"/"&amp;小圆机汇总表!U$14))</f>
        <v>0</v>
      </c>
      <c r="V30" s="18">
        <f>IF($K$13="件数",SUMIFS(yj!$I:$I,yj!$B:$B,小圆机汇总表!$A30,yj!$G:$G,小圆机汇总表!$I$13&amp;"/"&amp;小圆机汇总表!$J$13&amp;"/"&amp;小圆机汇总表!V$14),SUMIFS(yj!$H:$H,yj!$B:$B,小圆机汇总表!$A30,yj!$G:$G,小圆机汇总表!$I$13&amp;"/"&amp;小圆机汇总表!$J$13&amp;"/"&amp;小圆机汇总表!V$14))</f>
        <v>0</v>
      </c>
      <c r="W30" s="18">
        <f>IF($K$13="件数",SUMIFS(yj!$I:$I,yj!$B:$B,小圆机汇总表!$A30,yj!$G:$G,小圆机汇总表!$I$13&amp;"/"&amp;小圆机汇总表!$J$13&amp;"/"&amp;小圆机汇总表!W$14),SUMIFS(yj!$H:$H,yj!$B:$B,小圆机汇总表!$A30,yj!$G:$G,小圆机汇总表!$I$13&amp;"/"&amp;小圆机汇总表!$J$13&amp;"/"&amp;小圆机汇总表!W$14))</f>
        <v>0</v>
      </c>
      <c r="X30" s="18">
        <f>IF($K$13="件数",SUMIFS(yj!$I:$I,yj!$B:$B,小圆机汇总表!$A30,yj!$G:$G,小圆机汇总表!$I$13&amp;"/"&amp;小圆机汇总表!$J$13&amp;"/"&amp;小圆机汇总表!X$14),SUMIFS(yj!$H:$H,yj!$B:$B,小圆机汇总表!$A30,yj!$G:$G,小圆机汇总表!$I$13&amp;"/"&amp;小圆机汇总表!$J$13&amp;"/"&amp;小圆机汇总表!X$14))</f>
        <v>0</v>
      </c>
      <c r="Y30" s="18">
        <f>IF($K$13="件数",SUMIFS(yj!$I:$I,yj!$B:$B,小圆机汇总表!$A30,yj!$G:$G,小圆机汇总表!$I$13&amp;"/"&amp;小圆机汇总表!$J$13&amp;"/"&amp;小圆机汇总表!Y$14),SUMIFS(yj!$H:$H,yj!$B:$B,小圆机汇总表!$A30,yj!$G:$G,小圆机汇总表!$I$13&amp;"/"&amp;小圆机汇总表!$J$13&amp;"/"&amp;小圆机汇总表!Y$14))</f>
        <v>0</v>
      </c>
      <c r="Z30" s="18">
        <f>IF($K$13="件数",SUMIFS(yj!$I:$I,yj!$B:$B,小圆机汇总表!$A30,yj!$G:$G,小圆机汇总表!$I$13&amp;"/"&amp;小圆机汇总表!$J$13&amp;"/"&amp;小圆机汇总表!Z$14),SUMIFS(yj!$H:$H,yj!$B:$B,小圆机汇总表!$A30,yj!$G:$G,小圆机汇总表!$I$13&amp;"/"&amp;小圆机汇总表!$J$13&amp;"/"&amp;小圆机汇总表!Z$14))</f>
        <v>0</v>
      </c>
      <c r="AA30" s="18">
        <f>IF($K$13="件数",SUMIFS(yj!$I:$I,yj!$B:$B,小圆机汇总表!$A30,yj!$G:$G,小圆机汇总表!$I$13&amp;"/"&amp;小圆机汇总表!$J$13&amp;"/"&amp;小圆机汇总表!AA$14),SUMIFS(yj!$H:$H,yj!$B:$B,小圆机汇总表!$A30,yj!$G:$G,小圆机汇总表!$I$13&amp;"/"&amp;小圆机汇总表!$J$13&amp;"/"&amp;小圆机汇总表!AA$14))</f>
        <v>0</v>
      </c>
      <c r="AB30" s="18">
        <f>IF($K$13="件数",SUMIFS(yj!$I:$I,yj!$B:$B,小圆机汇总表!$A30,yj!$G:$G,小圆机汇总表!$I$13&amp;"/"&amp;小圆机汇总表!$J$13&amp;"/"&amp;小圆机汇总表!AB$14),SUMIFS(yj!$H:$H,yj!$B:$B,小圆机汇总表!$A30,yj!$G:$G,小圆机汇总表!$I$13&amp;"/"&amp;小圆机汇总表!$J$13&amp;"/"&amp;小圆机汇总表!AB$14))</f>
        <v>0</v>
      </c>
      <c r="AC30" s="18">
        <f>IF($K$13="件数",SUMIFS(yj!$I:$I,yj!$B:$B,小圆机汇总表!$A30,yj!$G:$G,小圆机汇总表!$I$13&amp;"/"&amp;小圆机汇总表!$J$13&amp;"/"&amp;小圆机汇总表!AC$14),SUMIFS(yj!$H:$H,yj!$B:$B,小圆机汇总表!$A30,yj!$G:$G,小圆机汇总表!$I$13&amp;"/"&amp;小圆机汇总表!$J$13&amp;"/"&amp;小圆机汇总表!AC$14))</f>
        <v>0</v>
      </c>
      <c r="AD30" s="18">
        <f>IF($K$13="件数",SUMIFS(yj!$I:$I,yj!$B:$B,小圆机汇总表!$A30,yj!$G:$G,小圆机汇总表!$I$13&amp;"/"&amp;小圆机汇总表!$J$13&amp;"/"&amp;小圆机汇总表!AD$14),SUMIFS(yj!$H:$H,yj!$B:$B,小圆机汇总表!$A30,yj!$G:$G,小圆机汇总表!$I$13&amp;"/"&amp;小圆机汇总表!$J$13&amp;"/"&amp;小圆机汇总表!AD$14))</f>
        <v>0</v>
      </c>
      <c r="AE30" s="18">
        <f>IF($K$13="件数",SUMIFS(yj!$I:$I,yj!$B:$B,小圆机汇总表!$A30,yj!$G:$G,小圆机汇总表!$I$13&amp;"/"&amp;小圆机汇总表!$J$13&amp;"/"&amp;小圆机汇总表!AE$14),SUMIFS(yj!$H:$H,yj!$B:$B,小圆机汇总表!$A30,yj!$G:$G,小圆机汇总表!$I$13&amp;"/"&amp;小圆机汇总表!$J$13&amp;"/"&amp;小圆机汇总表!AE$14))</f>
        <v>0</v>
      </c>
      <c r="AF30" s="18">
        <f>IF($K$13="件数",SUMIFS(yj!$I:$I,yj!$B:$B,小圆机汇总表!$A30,yj!$G:$G,小圆机汇总表!$I$13&amp;"/"&amp;小圆机汇总表!$J$13&amp;"/"&amp;小圆机汇总表!AF$14),SUMIFS(yj!$H:$H,yj!$B:$B,小圆机汇总表!$A30,yj!$G:$G,小圆机汇总表!$I$13&amp;"/"&amp;小圆机汇总表!$J$13&amp;"/"&amp;小圆机汇总表!AF$14))</f>
        <v>0</v>
      </c>
      <c r="AG30" s="18">
        <f>IF($K$13="件数",SUMIFS(yj!$I:$I,yj!$B:$B,小圆机汇总表!$A30,yj!$G:$G,小圆机汇总表!$I$13&amp;"/"&amp;小圆机汇总表!$J$13&amp;"/"&amp;小圆机汇总表!AG$14),SUMIFS(yj!$H:$H,yj!$B:$B,小圆机汇总表!$A30,yj!$G:$G,小圆机汇总表!$I$13&amp;"/"&amp;小圆机汇总表!$J$13&amp;"/"&amp;小圆机汇总表!AG$14))</f>
        <v>0</v>
      </c>
      <c r="AH30" s="18">
        <f>IF($K$13="件数",SUMIFS(yj!$I:$I,yj!$B:$B,小圆机汇总表!$A30,yj!$G:$G,小圆机汇总表!$I$13&amp;"/"&amp;小圆机汇总表!$J$13&amp;"/"&amp;小圆机汇总表!AH$14),SUMIFS(yj!$H:$H,yj!$B:$B,小圆机汇总表!$A30,yj!$G:$G,小圆机汇总表!$I$13&amp;"/"&amp;小圆机汇总表!$J$13&amp;"/"&amp;小圆机汇总表!AH$14))</f>
        <v>0</v>
      </c>
      <c r="AI30" s="18">
        <f>IF($K$13="件数",SUMIFS(yj!$I:$I,yj!$B:$B,小圆机汇总表!$A30,yj!$G:$G,小圆机汇总表!$I$13&amp;"/"&amp;小圆机汇总表!$J$13&amp;"/"&amp;小圆机汇总表!AI$14),SUMIFS(yj!$H:$H,yj!$B:$B,小圆机汇总表!$A30,yj!$G:$G,小圆机汇总表!$I$13&amp;"/"&amp;小圆机汇总表!$J$13&amp;"/"&amp;小圆机汇总表!AI$14))</f>
        <v>0</v>
      </c>
      <c r="AJ30" s="18">
        <f>IF($K$13="件数",SUMIFS(yj!$I:$I,yj!$B:$B,小圆机汇总表!$A30,yj!$G:$G,小圆机汇总表!$I$13&amp;"/"&amp;小圆机汇总表!$J$13&amp;"/"&amp;小圆机汇总表!AJ$14),SUMIFS(yj!$H:$H,yj!$B:$B,小圆机汇总表!$A30,yj!$G:$G,小圆机汇总表!$I$13&amp;"/"&amp;小圆机汇总表!$J$13&amp;"/"&amp;小圆机汇总表!AJ$14))</f>
        <v>0</v>
      </c>
      <c r="AK30" s="18">
        <f>IF($K$13="件数",SUMIFS(yj!$I:$I,yj!$B:$B,小圆机汇总表!$A30,yj!$G:$G,小圆机汇总表!$I$13&amp;"/"&amp;小圆机汇总表!$J$13&amp;"/"&amp;小圆机汇总表!AK$14),SUMIFS(yj!$H:$H,yj!$B:$B,小圆机汇总表!$A30,yj!$G:$G,小圆机汇总表!$I$13&amp;"/"&amp;小圆机汇总表!$J$13&amp;"/"&amp;小圆机汇总表!AK$14))</f>
        <v>0</v>
      </c>
      <c r="AL30" s="18">
        <f>IF($K$13="件数",SUMIFS(yj!$I:$I,yj!$B:$B,小圆机汇总表!$A30,yj!$G:$G,小圆机汇总表!$I$13&amp;"/"&amp;小圆机汇总表!$J$13&amp;"/"&amp;小圆机汇总表!AL$14),SUMIFS(yj!$H:$H,yj!$B:$B,小圆机汇总表!$A30,yj!$G:$G,小圆机汇总表!$I$13&amp;"/"&amp;小圆机汇总表!$J$13&amp;"/"&amp;小圆机汇总表!AL$14))</f>
        <v>0</v>
      </c>
      <c r="AM30" s="18">
        <f>IF($K$13="件数",SUMIFS(yj!$I:$I,yj!$B:$B,小圆机汇总表!$A30,yj!$G:$G,小圆机汇总表!$I$13&amp;"/"&amp;小圆机汇总表!$J$13&amp;"/"&amp;小圆机汇总表!AM$14),SUMIFS(yj!$H:$H,yj!$B:$B,小圆机汇总表!$A30,yj!$G:$G,小圆机汇总表!$I$13&amp;"/"&amp;小圆机汇总表!$J$13&amp;"/"&amp;小圆机汇总表!AM$14))</f>
        <v>0</v>
      </c>
      <c r="AN30" s="18">
        <f>IF($K$13="件数",SUMIFS(yj!$I:$I,yj!$B:$B,小圆机汇总表!$A30,yj!$G:$G,小圆机汇总表!$I$13&amp;"/"&amp;小圆机汇总表!$J$13&amp;"/"&amp;小圆机汇总表!AN$14),SUMIFS(yj!$H:$H,yj!$B:$B,小圆机汇总表!$A30,yj!$G:$G,小圆机汇总表!$I$13&amp;"/"&amp;小圆机汇总表!$J$13&amp;"/"&amp;小圆机汇总表!AN$14))</f>
        <v>0</v>
      </c>
      <c r="AO30" s="18">
        <f>IF($K$13="件数",SUMIFS(yj!$I:$I,yj!$B:$B,小圆机汇总表!$A30,yj!$G:$G,小圆机汇总表!$I$13&amp;"/"&amp;小圆机汇总表!$J$13&amp;"/"&amp;小圆机汇总表!AO$14),SUMIFS(yj!$H:$H,yj!$B:$B,小圆机汇总表!$A30,yj!$G:$G,小圆机汇总表!$I$13&amp;"/"&amp;小圆机汇总表!$J$13&amp;"/"&amp;小圆机汇总表!AO$14))</f>
        <v>0</v>
      </c>
      <c r="AP30" s="18">
        <f>IF($K$13="件数",SUMIFS(yj!$I:$I,yj!$B:$B,小圆机汇总表!$A30,yj!$G:$G,小圆机汇总表!$I$13&amp;"/"&amp;小圆机汇总表!$J$13&amp;"/"&amp;小圆机汇总表!AP$14),SUMIFS(yj!$H:$H,yj!$B:$B,小圆机汇总表!$A30,yj!$G:$G,小圆机汇总表!$I$13&amp;"/"&amp;小圆机汇总表!$J$13&amp;"/"&amp;小圆机汇总表!AP$14))</f>
        <v>0</v>
      </c>
      <c r="AQ30" s="18">
        <f>IF($K$13="件数",SUMIFS(yj!$I:$I,yj!$B:$B,小圆机汇总表!$A30,yj!$G:$G,小圆机汇总表!$I$13&amp;"/"&amp;小圆机汇总表!$J$13&amp;"/"&amp;小圆机汇总表!AQ$14),SUMIFS(yj!$H:$H,yj!$B:$B,小圆机汇总表!$A30,yj!$G:$G,小圆机汇总表!$I$13&amp;"/"&amp;小圆机汇总表!$J$13&amp;"/"&amp;小圆机汇总表!AQ$14))</f>
        <v>0</v>
      </c>
    </row>
    <row r="31" spans="1:43" ht="18" hidden="1" customHeight="1">
      <c r="A31" s="13" t="s">
        <v>68</v>
      </c>
      <c r="B31" s="14" t="s">
        <v>67</v>
      </c>
      <c r="C31" s="17">
        <v>50</v>
      </c>
      <c r="D31" s="17" t="s">
        <v>69</v>
      </c>
      <c r="E31" s="13" t="s">
        <v>2</v>
      </c>
      <c r="F31" s="13">
        <v>160</v>
      </c>
      <c r="G31" s="13">
        <v>36</v>
      </c>
      <c r="H31" s="14" t="s">
        <v>39</v>
      </c>
      <c r="I31" s="13"/>
      <c r="J31" s="182">
        <f ca="1">IF(SUMIFS(yj!$I:$I,yj!$B:$B,小圆机汇总表!A31,yj!$G:$G,小圆机汇总表!$L$13)&gt;0,SUMIFS(yj!$H:$H,yj!$B:$B,小圆机汇总表!A31,yj!$G:$G,小圆机汇总表!$L$13),0)</f>
        <v>0</v>
      </c>
      <c r="K31" s="15">
        <f>SUMIFS(yj!$H:$H,yj!$B:$B,小圆机汇总表!A31,yj!$M:$M,小圆机汇总表!$J$13)</f>
        <v>0</v>
      </c>
      <c r="L31" s="15">
        <f>SUMIFS(yj!$I:$I,yj!$B:$B,小圆机汇总表!A31,yj!$M:$M,小圆机汇总表!$J$13)</f>
        <v>0</v>
      </c>
      <c r="M31" s="18">
        <f>IF($K$13="件数",SUMIFS(yj!$I:$I,yj!$B:$B,小圆机汇总表!$A31,yj!$G:$G,小圆机汇总表!$I$13&amp;"/"&amp;小圆机汇总表!$J$13&amp;"/"&amp;小圆机汇总表!M$14),SUMIFS(yj!$H:$H,yj!$B:$B,小圆机汇总表!$A31,yj!$G:$G,小圆机汇总表!$I$13&amp;"/"&amp;小圆机汇总表!$J$13&amp;"/"&amp;小圆机汇总表!M$14))</f>
        <v>0</v>
      </c>
      <c r="N31" s="18">
        <f>IF($K$13="件数",SUMIFS(yj!$I:$I,yj!$B:$B,小圆机汇总表!$A31,yj!$G:$G,小圆机汇总表!$I$13&amp;"/"&amp;小圆机汇总表!$J$13&amp;"/"&amp;小圆机汇总表!N$14),SUMIFS(yj!$H:$H,yj!$B:$B,小圆机汇总表!$A31,yj!$G:$G,小圆机汇总表!$I$13&amp;"/"&amp;小圆机汇总表!$J$13&amp;"/"&amp;小圆机汇总表!N$14))</f>
        <v>0</v>
      </c>
      <c r="O31" s="18">
        <f>IF($K$13="件数",SUMIFS(yj!$I:$I,yj!$B:$B,小圆机汇总表!$A31,yj!$G:$G,小圆机汇总表!$I$13&amp;"/"&amp;小圆机汇总表!$J$13&amp;"/"&amp;小圆机汇总表!O$14),SUMIFS(yj!$H:$H,yj!$B:$B,小圆机汇总表!$A31,yj!$G:$G,小圆机汇总表!$I$13&amp;"/"&amp;小圆机汇总表!$J$13&amp;"/"&amp;小圆机汇总表!O$14))</f>
        <v>0</v>
      </c>
      <c r="P31" s="18">
        <f>IF($K$13="件数",SUMIFS(yj!$I:$I,yj!$B:$B,小圆机汇总表!$A31,yj!$G:$G,小圆机汇总表!$I$13&amp;"/"&amp;小圆机汇总表!$J$13&amp;"/"&amp;小圆机汇总表!P$14),SUMIFS(yj!$H:$H,yj!$B:$B,小圆机汇总表!$A31,yj!$G:$G,小圆机汇总表!$I$13&amp;"/"&amp;小圆机汇总表!$J$13&amp;"/"&amp;小圆机汇总表!P$14))</f>
        <v>0</v>
      </c>
      <c r="Q31" s="18">
        <f>IF($K$13="件数",SUMIFS(yj!$I:$I,yj!$B:$B,小圆机汇总表!$A31,yj!$G:$G,小圆机汇总表!$I$13&amp;"/"&amp;小圆机汇总表!$J$13&amp;"/"&amp;小圆机汇总表!Q$14),SUMIFS(yj!$H:$H,yj!$B:$B,小圆机汇总表!$A31,yj!$G:$G,小圆机汇总表!$I$13&amp;"/"&amp;小圆机汇总表!$J$13&amp;"/"&amp;小圆机汇总表!Q$14))</f>
        <v>0</v>
      </c>
      <c r="R31" s="18">
        <f>IF($K$13="件数",SUMIFS(yj!$I:$I,yj!$B:$B,小圆机汇总表!$A31,yj!$G:$G,小圆机汇总表!$I$13&amp;"/"&amp;小圆机汇总表!$J$13&amp;"/"&amp;小圆机汇总表!R$14),SUMIFS(yj!$H:$H,yj!$B:$B,小圆机汇总表!$A31,yj!$G:$G,小圆机汇总表!$I$13&amp;"/"&amp;小圆机汇总表!$J$13&amp;"/"&amp;小圆机汇总表!R$14))</f>
        <v>0</v>
      </c>
      <c r="S31" s="18">
        <f>IF($K$13="件数",SUMIFS(yj!$I:$I,yj!$B:$B,小圆机汇总表!$A31,yj!$G:$G,小圆机汇总表!$I$13&amp;"/"&amp;小圆机汇总表!$J$13&amp;"/"&amp;小圆机汇总表!S$14),SUMIFS(yj!$H:$H,yj!$B:$B,小圆机汇总表!$A31,yj!$G:$G,小圆机汇总表!$I$13&amp;"/"&amp;小圆机汇总表!$J$13&amp;"/"&amp;小圆机汇总表!S$14))</f>
        <v>0</v>
      </c>
      <c r="T31" s="18">
        <f>IF($K$13="件数",SUMIFS(yj!$I:$I,yj!$B:$B,小圆机汇总表!$A31,yj!$G:$G,小圆机汇总表!$I$13&amp;"/"&amp;小圆机汇总表!$J$13&amp;"/"&amp;小圆机汇总表!T$14),SUMIFS(yj!$H:$H,yj!$B:$B,小圆机汇总表!$A31,yj!$G:$G,小圆机汇总表!$I$13&amp;"/"&amp;小圆机汇总表!$J$13&amp;"/"&amp;小圆机汇总表!T$14))</f>
        <v>0</v>
      </c>
      <c r="U31" s="18">
        <f>IF($K$13="件数",SUMIFS(yj!$I:$I,yj!$B:$B,小圆机汇总表!$A31,yj!$G:$G,小圆机汇总表!$I$13&amp;"/"&amp;小圆机汇总表!$J$13&amp;"/"&amp;小圆机汇总表!U$14),SUMIFS(yj!$H:$H,yj!$B:$B,小圆机汇总表!$A31,yj!$G:$G,小圆机汇总表!$I$13&amp;"/"&amp;小圆机汇总表!$J$13&amp;"/"&amp;小圆机汇总表!U$14))</f>
        <v>0</v>
      </c>
      <c r="V31" s="18">
        <f>IF($K$13="件数",SUMIFS(yj!$I:$I,yj!$B:$B,小圆机汇总表!$A31,yj!$G:$G,小圆机汇总表!$I$13&amp;"/"&amp;小圆机汇总表!$J$13&amp;"/"&amp;小圆机汇总表!V$14),SUMIFS(yj!$H:$H,yj!$B:$B,小圆机汇总表!$A31,yj!$G:$G,小圆机汇总表!$I$13&amp;"/"&amp;小圆机汇总表!$J$13&amp;"/"&amp;小圆机汇总表!V$14))</f>
        <v>0</v>
      </c>
      <c r="W31" s="18">
        <f>IF($K$13="件数",SUMIFS(yj!$I:$I,yj!$B:$B,小圆机汇总表!$A31,yj!$G:$G,小圆机汇总表!$I$13&amp;"/"&amp;小圆机汇总表!$J$13&amp;"/"&amp;小圆机汇总表!W$14),SUMIFS(yj!$H:$H,yj!$B:$B,小圆机汇总表!$A31,yj!$G:$G,小圆机汇总表!$I$13&amp;"/"&amp;小圆机汇总表!$J$13&amp;"/"&amp;小圆机汇总表!W$14))</f>
        <v>0</v>
      </c>
      <c r="X31" s="18">
        <f>IF($K$13="件数",SUMIFS(yj!$I:$I,yj!$B:$B,小圆机汇总表!$A31,yj!$G:$G,小圆机汇总表!$I$13&amp;"/"&amp;小圆机汇总表!$J$13&amp;"/"&amp;小圆机汇总表!X$14),SUMIFS(yj!$H:$H,yj!$B:$B,小圆机汇总表!$A31,yj!$G:$G,小圆机汇总表!$I$13&amp;"/"&amp;小圆机汇总表!$J$13&amp;"/"&amp;小圆机汇总表!X$14))</f>
        <v>0</v>
      </c>
      <c r="Y31" s="18">
        <f>IF($K$13="件数",SUMIFS(yj!$I:$I,yj!$B:$B,小圆机汇总表!$A31,yj!$G:$G,小圆机汇总表!$I$13&amp;"/"&amp;小圆机汇总表!$J$13&amp;"/"&amp;小圆机汇总表!Y$14),SUMIFS(yj!$H:$H,yj!$B:$B,小圆机汇总表!$A31,yj!$G:$G,小圆机汇总表!$I$13&amp;"/"&amp;小圆机汇总表!$J$13&amp;"/"&amp;小圆机汇总表!Y$14))</f>
        <v>0</v>
      </c>
      <c r="Z31" s="18">
        <f>IF($K$13="件数",SUMIFS(yj!$I:$I,yj!$B:$B,小圆机汇总表!$A31,yj!$G:$G,小圆机汇总表!$I$13&amp;"/"&amp;小圆机汇总表!$J$13&amp;"/"&amp;小圆机汇总表!Z$14),SUMIFS(yj!$H:$H,yj!$B:$B,小圆机汇总表!$A31,yj!$G:$G,小圆机汇总表!$I$13&amp;"/"&amp;小圆机汇总表!$J$13&amp;"/"&amp;小圆机汇总表!Z$14))</f>
        <v>0</v>
      </c>
      <c r="AA31" s="18">
        <f>IF($K$13="件数",SUMIFS(yj!$I:$I,yj!$B:$B,小圆机汇总表!$A31,yj!$G:$G,小圆机汇总表!$I$13&amp;"/"&amp;小圆机汇总表!$J$13&amp;"/"&amp;小圆机汇总表!AA$14),SUMIFS(yj!$H:$H,yj!$B:$B,小圆机汇总表!$A31,yj!$G:$G,小圆机汇总表!$I$13&amp;"/"&amp;小圆机汇总表!$J$13&amp;"/"&amp;小圆机汇总表!AA$14))</f>
        <v>0</v>
      </c>
      <c r="AB31" s="18">
        <f>IF($K$13="件数",SUMIFS(yj!$I:$I,yj!$B:$B,小圆机汇总表!$A31,yj!$G:$G,小圆机汇总表!$I$13&amp;"/"&amp;小圆机汇总表!$J$13&amp;"/"&amp;小圆机汇总表!AB$14),SUMIFS(yj!$H:$H,yj!$B:$B,小圆机汇总表!$A31,yj!$G:$G,小圆机汇总表!$I$13&amp;"/"&amp;小圆机汇总表!$J$13&amp;"/"&amp;小圆机汇总表!AB$14))</f>
        <v>0</v>
      </c>
      <c r="AC31" s="18">
        <f>IF($K$13="件数",SUMIFS(yj!$I:$I,yj!$B:$B,小圆机汇总表!$A31,yj!$G:$G,小圆机汇总表!$I$13&amp;"/"&amp;小圆机汇总表!$J$13&amp;"/"&amp;小圆机汇总表!AC$14),SUMIFS(yj!$H:$H,yj!$B:$B,小圆机汇总表!$A31,yj!$G:$G,小圆机汇总表!$I$13&amp;"/"&amp;小圆机汇总表!$J$13&amp;"/"&amp;小圆机汇总表!AC$14))</f>
        <v>0</v>
      </c>
      <c r="AD31" s="18">
        <f>IF($K$13="件数",SUMIFS(yj!$I:$I,yj!$B:$B,小圆机汇总表!$A31,yj!$G:$G,小圆机汇总表!$I$13&amp;"/"&amp;小圆机汇总表!$J$13&amp;"/"&amp;小圆机汇总表!AD$14),SUMIFS(yj!$H:$H,yj!$B:$B,小圆机汇总表!$A31,yj!$G:$G,小圆机汇总表!$I$13&amp;"/"&amp;小圆机汇总表!$J$13&amp;"/"&amp;小圆机汇总表!AD$14))</f>
        <v>0</v>
      </c>
      <c r="AE31" s="18">
        <f>IF($K$13="件数",SUMIFS(yj!$I:$I,yj!$B:$B,小圆机汇总表!$A31,yj!$G:$G,小圆机汇总表!$I$13&amp;"/"&amp;小圆机汇总表!$J$13&amp;"/"&amp;小圆机汇总表!AE$14),SUMIFS(yj!$H:$H,yj!$B:$B,小圆机汇总表!$A31,yj!$G:$G,小圆机汇总表!$I$13&amp;"/"&amp;小圆机汇总表!$J$13&amp;"/"&amp;小圆机汇总表!AE$14))</f>
        <v>0</v>
      </c>
      <c r="AF31" s="18">
        <f>IF($K$13="件数",SUMIFS(yj!$I:$I,yj!$B:$B,小圆机汇总表!$A31,yj!$G:$G,小圆机汇总表!$I$13&amp;"/"&amp;小圆机汇总表!$J$13&amp;"/"&amp;小圆机汇总表!AF$14),SUMIFS(yj!$H:$H,yj!$B:$B,小圆机汇总表!$A31,yj!$G:$G,小圆机汇总表!$I$13&amp;"/"&amp;小圆机汇总表!$J$13&amp;"/"&amp;小圆机汇总表!AF$14))</f>
        <v>0</v>
      </c>
      <c r="AG31" s="18">
        <f>IF($K$13="件数",SUMIFS(yj!$I:$I,yj!$B:$B,小圆机汇总表!$A31,yj!$G:$G,小圆机汇总表!$I$13&amp;"/"&amp;小圆机汇总表!$J$13&amp;"/"&amp;小圆机汇总表!AG$14),SUMIFS(yj!$H:$H,yj!$B:$B,小圆机汇总表!$A31,yj!$G:$G,小圆机汇总表!$I$13&amp;"/"&amp;小圆机汇总表!$J$13&amp;"/"&amp;小圆机汇总表!AG$14))</f>
        <v>0</v>
      </c>
      <c r="AH31" s="18">
        <f>IF($K$13="件数",SUMIFS(yj!$I:$I,yj!$B:$B,小圆机汇总表!$A31,yj!$G:$G,小圆机汇总表!$I$13&amp;"/"&amp;小圆机汇总表!$J$13&amp;"/"&amp;小圆机汇总表!AH$14),SUMIFS(yj!$H:$H,yj!$B:$B,小圆机汇总表!$A31,yj!$G:$G,小圆机汇总表!$I$13&amp;"/"&amp;小圆机汇总表!$J$13&amp;"/"&amp;小圆机汇总表!AH$14))</f>
        <v>0</v>
      </c>
      <c r="AI31" s="18">
        <f>IF($K$13="件数",SUMIFS(yj!$I:$I,yj!$B:$B,小圆机汇总表!$A31,yj!$G:$G,小圆机汇总表!$I$13&amp;"/"&amp;小圆机汇总表!$J$13&amp;"/"&amp;小圆机汇总表!AI$14),SUMIFS(yj!$H:$H,yj!$B:$B,小圆机汇总表!$A31,yj!$G:$G,小圆机汇总表!$I$13&amp;"/"&amp;小圆机汇总表!$J$13&amp;"/"&amp;小圆机汇总表!AI$14))</f>
        <v>0</v>
      </c>
      <c r="AJ31" s="18">
        <f>IF($K$13="件数",SUMIFS(yj!$I:$I,yj!$B:$B,小圆机汇总表!$A31,yj!$G:$G,小圆机汇总表!$I$13&amp;"/"&amp;小圆机汇总表!$J$13&amp;"/"&amp;小圆机汇总表!AJ$14),SUMIFS(yj!$H:$H,yj!$B:$B,小圆机汇总表!$A31,yj!$G:$G,小圆机汇总表!$I$13&amp;"/"&amp;小圆机汇总表!$J$13&amp;"/"&amp;小圆机汇总表!AJ$14))</f>
        <v>0</v>
      </c>
      <c r="AK31" s="18">
        <f>IF($K$13="件数",SUMIFS(yj!$I:$I,yj!$B:$B,小圆机汇总表!$A31,yj!$G:$G,小圆机汇总表!$I$13&amp;"/"&amp;小圆机汇总表!$J$13&amp;"/"&amp;小圆机汇总表!AK$14),SUMIFS(yj!$H:$H,yj!$B:$B,小圆机汇总表!$A31,yj!$G:$G,小圆机汇总表!$I$13&amp;"/"&amp;小圆机汇总表!$J$13&amp;"/"&amp;小圆机汇总表!AK$14))</f>
        <v>0</v>
      </c>
      <c r="AL31" s="18">
        <f>IF($K$13="件数",SUMIFS(yj!$I:$I,yj!$B:$B,小圆机汇总表!$A31,yj!$G:$G,小圆机汇总表!$I$13&amp;"/"&amp;小圆机汇总表!$J$13&amp;"/"&amp;小圆机汇总表!AL$14),SUMIFS(yj!$H:$H,yj!$B:$B,小圆机汇总表!$A31,yj!$G:$G,小圆机汇总表!$I$13&amp;"/"&amp;小圆机汇总表!$J$13&amp;"/"&amp;小圆机汇总表!AL$14))</f>
        <v>0</v>
      </c>
      <c r="AM31" s="18">
        <f>IF($K$13="件数",SUMIFS(yj!$I:$I,yj!$B:$B,小圆机汇总表!$A31,yj!$G:$G,小圆机汇总表!$I$13&amp;"/"&amp;小圆机汇总表!$J$13&amp;"/"&amp;小圆机汇总表!AM$14),SUMIFS(yj!$H:$H,yj!$B:$B,小圆机汇总表!$A31,yj!$G:$G,小圆机汇总表!$I$13&amp;"/"&amp;小圆机汇总表!$J$13&amp;"/"&amp;小圆机汇总表!AM$14))</f>
        <v>0</v>
      </c>
      <c r="AN31" s="18">
        <f>IF($K$13="件数",SUMIFS(yj!$I:$I,yj!$B:$B,小圆机汇总表!$A31,yj!$G:$G,小圆机汇总表!$I$13&amp;"/"&amp;小圆机汇总表!$J$13&amp;"/"&amp;小圆机汇总表!AN$14),SUMIFS(yj!$H:$H,yj!$B:$B,小圆机汇总表!$A31,yj!$G:$G,小圆机汇总表!$I$13&amp;"/"&amp;小圆机汇总表!$J$13&amp;"/"&amp;小圆机汇总表!AN$14))</f>
        <v>0</v>
      </c>
      <c r="AO31" s="18">
        <f>IF($K$13="件数",SUMIFS(yj!$I:$I,yj!$B:$B,小圆机汇总表!$A31,yj!$G:$G,小圆机汇总表!$I$13&amp;"/"&amp;小圆机汇总表!$J$13&amp;"/"&amp;小圆机汇总表!AO$14),SUMIFS(yj!$H:$H,yj!$B:$B,小圆机汇总表!$A31,yj!$G:$G,小圆机汇总表!$I$13&amp;"/"&amp;小圆机汇总表!$J$13&amp;"/"&amp;小圆机汇总表!AO$14))</f>
        <v>0</v>
      </c>
      <c r="AP31" s="18">
        <f>IF($K$13="件数",SUMIFS(yj!$I:$I,yj!$B:$B,小圆机汇总表!$A31,yj!$G:$G,小圆机汇总表!$I$13&amp;"/"&amp;小圆机汇总表!$J$13&amp;"/"&amp;小圆机汇总表!AP$14),SUMIFS(yj!$H:$H,yj!$B:$B,小圆机汇总表!$A31,yj!$G:$G,小圆机汇总表!$I$13&amp;"/"&amp;小圆机汇总表!$J$13&amp;"/"&amp;小圆机汇总表!AP$14))</f>
        <v>0</v>
      </c>
      <c r="AQ31" s="18">
        <f>IF($K$13="件数",SUMIFS(yj!$I:$I,yj!$B:$B,小圆机汇总表!$A31,yj!$G:$G,小圆机汇总表!$I$13&amp;"/"&amp;小圆机汇总表!$J$13&amp;"/"&amp;小圆机汇总表!AQ$14),SUMIFS(yj!$H:$H,yj!$B:$B,小圆机汇总表!$A31,yj!$G:$G,小圆机汇总表!$I$13&amp;"/"&amp;小圆机汇总表!$J$13&amp;"/"&amp;小圆机汇总表!AQ$14))</f>
        <v>0</v>
      </c>
    </row>
    <row r="32" spans="1:43" ht="18" hidden="1" customHeight="1">
      <c r="A32" s="194" t="s">
        <v>2470</v>
      </c>
      <c r="B32" s="205" t="s">
        <v>2468</v>
      </c>
      <c r="C32" s="17">
        <v>50</v>
      </c>
      <c r="D32" s="17" t="s">
        <v>44</v>
      </c>
      <c r="E32" s="194" t="s">
        <v>2308</v>
      </c>
      <c r="F32" s="194">
        <v>160</v>
      </c>
      <c r="G32" s="194">
        <v>36</v>
      </c>
      <c r="H32" s="205" t="s">
        <v>39</v>
      </c>
      <c r="I32" s="194"/>
      <c r="J32" s="194">
        <f ca="1">IF(SUMIFS(yj!$I:$I,yj!$B:$B,小圆机汇总表!A32,yj!$G:$G,小圆机汇总表!$L$13)&gt;0,SUMIFS(yj!$H:$H,yj!$B:$B,小圆机汇总表!A32,yj!$G:$G,小圆机汇总表!$L$13),0)</f>
        <v>0</v>
      </c>
      <c r="K32" s="15">
        <f>SUMIFS(yj!$H:$H,yj!$B:$B,小圆机汇总表!A32,yj!$M:$M,小圆机汇总表!$J$13)</f>
        <v>137.69999999999999</v>
      </c>
      <c r="L32" s="15">
        <f>SUMIFS(yj!$I:$I,yj!$B:$B,小圆机汇总表!A32,yj!$M:$M,小圆机汇总表!$J$13)</f>
        <v>7</v>
      </c>
      <c r="M32" s="18">
        <f>IF($K$13="件数",SUMIFS(yj!$I:$I,yj!$B:$B,小圆机汇总表!$A32,yj!$G:$G,小圆机汇总表!$I$13&amp;"/"&amp;小圆机汇总表!$J$13&amp;"/"&amp;小圆机汇总表!M$14),SUMIFS(yj!$H:$H,yj!$B:$B,小圆机汇总表!$A32,yj!$G:$G,小圆机汇总表!$I$13&amp;"/"&amp;小圆机汇总表!$J$13&amp;"/"&amp;小圆机汇总表!M$14))</f>
        <v>98.3</v>
      </c>
      <c r="N32" s="18">
        <f>IF($K$13="件数",SUMIFS(yj!$I:$I,yj!$B:$B,小圆机汇总表!$A32,yj!$G:$G,小圆机汇总表!$I$13&amp;"/"&amp;小圆机汇总表!$J$13&amp;"/"&amp;小圆机汇总表!N$14),SUMIFS(yj!$H:$H,yj!$B:$B,小圆机汇总表!$A32,yj!$G:$G,小圆机汇总表!$I$13&amp;"/"&amp;小圆机汇总表!$J$13&amp;"/"&amp;小圆机汇总表!N$14))</f>
        <v>39.4</v>
      </c>
      <c r="O32" s="18">
        <f>IF($K$13="件数",SUMIFS(yj!$I:$I,yj!$B:$B,小圆机汇总表!$A32,yj!$G:$G,小圆机汇总表!$I$13&amp;"/"&amp;小圆机汇总表!$J$13&amp;"/"&amp;小圆机汇总表!O$14),SUMIFS(yj!$H:$H,yj!$B:$B,小圆机汇总表!$A32,yj!$G:$G,小圆机汇总表!$I$13&amp;"/"&amp;小圆机汇总表!$J$13&amp;"/"&amp;小圆机汇总表!O$14))</f>
        <v>0</v>
      </c>
      <c r="P32" s="18">
        <f>IF($K$13="件数",SUMIFS(yj!$I:$I,yj!$B:$B,小圆机汇总表!$A32,yj!$G:$G,小圆机汇总表!$I$13&amp;"/"&amp;小圆机汇总表!$J$13&amp;"/"&amp;小圆机汇总表!P$14),SUMIFS(yj!$H:$H,yj!$B:$B,小圆机汇总表!$A32,yj!$G:$G,小圆机汇总表!$I$13&amp;"/"&amp;小圆机汇总表!$J$13&amp;"/"&amp;小圆机汇总表!P$14))</f>
        <v>0</v>
      </c>
      <c r="Q32" s="18">
        <f>IF($K$13="件数",SUMIFS(yj!$I:$I,yj!$B:$B,小圆机汇总表!$A32,yj!$G:$G,小圆机汇总表!$I$13&amp;"/"&amp;小圆机汇总表!$J$13&amp;"/"&amp;小圆机汇总表!Q$14),SUMIFS(yj!$H:$H,yj!$B:$B,小圆机汇总表!$A32,yj!$G:$G,小圆机汇总表!$I$13&amp;"/"&amp;小圆机汇总表!$J$13&amp;"/"&amp;小圆机汇总表!Q$14))</f>
        <v>0</v>
      </c>
      <c r="R32" s="18">
        <f>IF($K$13="件数",SUMIFS(yj!$I:$I,yj!$B:$B,小圆机汇总表!$A32,yj!$G:$G,小圆机汇总表!$I$13&amp;"/"&amp;小圆机汇总表!$J$13&amp;"/"&amp;小圆机汇总表!R$14),SUMIFS(yj!$H:$H,yj!$B:$B,小圆机汇总表!$A32,yj!$G:$G,小圆机汇总表!$I$13&amp;"/"&amp;小圆机汇总表!$J$13&amp;"/"&amp;小圆机汇总表!R$14))</f>
        <v>0</v>
      </c>
      <c r="S32" s="18">
        <f>IF($K$13="件数",SUMIFS(yj!$I:$I,yj!$B:$B,小圆机汇总表!$A32,yj!$G:$G,小圆机汇总表!$I$13&amp;"/"&amp;小圆机汇总表!$J$13&amp;"/"&amp;小圆机汇总表!S$14),SUMIFS(yj!$H:$H,yj!$B:$B,小圆机汇总表!$A32,yj!$G:$G,小圆机汇总表!$I$13&amp;"/"&amp;小圆机汇总表!$J$13&amp;"/"&amp;小圆机汇总表!S$14))</f>
        <v>0</v>
      </c>
      <c r="T32" s="18">
        <f>IF($K$13="件数",SUMIFS(yj!$I:$I,yj!$B:$B,小圆机汇总表!$A32,yj!$G:$G,小圆机汇总表!$I$13&amp;"/"&amp;小圆机汇总表!$J$13&amp;"/"&amp;小圆机汇总表!T$14),SUMIFS(yj!$H:$H,yj!$B:$B,小圆机汇总表!$A32,yj!$G:$G,小圆机汇总表!$I$13&amp;"/"&amp;小圆机汇总表!$J$13&amp;"/"&amp;小圆机汇总表!T$14))</f>
        <v>0</v>
      </c>
      <c r="U32" s="18">
        <f>IF($K$13="件数",SUMIFS(yj!$I:$I,yj!$B:$B,小圆机汇总表!$A32,yj!$G:$G,小圆机汇总表!$I$13&amp;"/"&amp;小圆机汇总表!$J$13&amp;"/"&amp;小圆机汇总表!U$14),SUMIFS(yj!$H:$H,yj!$B:$B,小圆机汇总表!$A32,yj!$G:$G,小圆机汇总表!$I$13&amp;"/"&amp;小圆机汇总表!$J$13&amp;"/"&amp;小圆机汇总表!U$14))</f>
        <v>0</v>
      </c>
      <c r="V32" s="18">
        <f>IF($K$13="件数",SUMIFS(yj!$I:$I,yj!$B:$B,小圆机汇总表!$A32,yj!$G:$G,小圆机汇总表!$I$13&amp;"/"&amp;小圆机汇总表!$J$13&amp;"/"&amp;小圆机汇总表!V$14),SUMIFS(yj!$H:$H,yj!$B:$B,小圆机汇总表!$A32,yj!$G:$G,小圆机汇总表!$I$13&amp;"/"&amp;小圆机汇总表!$J$13&amp;"/"&amp;小圆机汇总表!V$14))</f>
        <v>0</v>
      </c>
      <c r="W32" s="18">
        <f>IF($K$13="件数",SUMIFS(yj!$I:$I,yj!$B:$B,小圆机汇总表!$A32,yj!$G:$G,小圆机汇总表!$I$13&amp;"/"&amp;小圆机汇总表!$J$13&amp;"/"&amp;小圆机汇总表!W$14),SUMIFS(yj!$H:$H,yj!$B:$B,小圆机汇总表!$A32,yj!$G:$G,小圆机汇总表!$I$13&amp;"/"&amp;小圆机汇总表!$J$13&amp;"/"&amp;小圆机汇总表!W$14))</f>
        <v>0</v>
      </c>
      <c r="X32" s="18">
        <f>IF($K$13="件数",SUMIFS(yj!$I:$I,yj!$B:$B,小圆机汇总表!$A32,yj!$G:$G,小圆机汇总表!$I$13&amp;"/"&amp;小圆机汇总表!$J$13&amp;"/"&amp;小圆机汇总表!X$14),SUMIFS(yj!$H:$H,yj!$B:$B,小圆机汇总表!$A32,yj!$G:$G,小圆机汇总表!$I$13&amp;"/"&amp;小圆机汇总表!$J$13&amp;"/"&amp;小圆机汇总表!X$14))</f>
        <v>0</v>
      </c>
      <c r="Y32" s="18">
        <f>IF($K$13="件数",SUMIFS(yj!$I:$I,yj!$B:$B,小圆机汇总表!$A32,yj!$G:$G,小圆机汇总表!$I$13&amp;"/"&amp;小圆机汇总表!$J$13&amp;"/"&amp;小圆机汇总表!Y$14),SUMIFS(yj!$H:$H,yj!$B:$B,小圆机汇总表!$A32,yj!$G:$G,小圆机汇总表!$I$13&amp;"/"&amp;小圆机汇总表!$J$13&amp;"/"&amp;小圆机汇总表!Y$14))</f>
        <v>0</v>
      </c>
      <c r="Z32" s="18">
        <f>IF($K$13="件数",SUMIFS(yj!$I:$I,yj!$B:$B,小圆机汇总表!$A32,yj!$G:$G,小圆机汇总表!$I$13&amp;"/"&amp;小圆机汇总表!$J$13&amp;"/"&amp;小圆机汇总表!Z$14),SUMIFS(yj!$H:$H,yj!$B:$B,小圆机汇总表!$A32,yj!$G:$G,小圆机汇总表!$I$13&amp;"/"&amp;小圆机汇总表!$J$13&amp;"/"&amp;小圆机汇总表!Z$14))</f>
        <v>0</v>
      </c>
      <c r="AA32" s="18">
        <f>IF($K$13="件数",SUMIFS(yj!$I:$I,yj!$B:$B,小圆机汇总表!$A32,yj!$G:$G,小圆机汇总表!$I$13&amp;"/"&amp;小圆机汇总表!$J$13&amp;"/"&amp;小圆机汇总表!AA$14),SUMIFS(yj!$H:$H,yj!$B:$B,小圆机汇总表!$A32,yj!$G:$G,小圆机汇总表!$I$13&amp;"/"&amp;小圆机汇总表!$J$13&amp;"/"&amp;小圆机汇总表!AA$14))</f>
        <v>0</v>
      </c>
      <c r="AB32" s="18">
        <f>IF($K$13="件数",SUMIFS(yj!$I:$I,yj!$B:$B,小圆机汇总表!$A32,yj!$G:$G,小圆机汇总表!$I$13&amp;"/"&amp;小圆机汇总表!$J$13&amp;"/"&amp;小圆机汇总表!AB$14),SUMIFS(yj!$H:$H,yj!$B:$B,小圆机汇总表!$A32,yj!$G:$G,小圆机汇总表!$I$13&amp;"/"&amp;小圆机汇总表!$J$13&amp;"/"&amp;小圆机汇总表!AB$14))</f>
        <v>0</v>
      </c>
      <c r="AC32" s="18">
        <f>IF($K$13="件数",SUMIFS(yj!$I:$I,yj!$B:$B,小圆机汇总表!$A32,yj!$G:$G,小圆机汇总表!$I$13&amp;"/"&amp;小圆机汇总表!$J$13&amp;"/"&amp;小圆机汇总表!AC$14),SUMIFS(yj!$H:$H,yj!$B:$B,小圆机汇总表!$A32,yj!$G:$G,小圆机汇总表!$I$13&amp;"/"&amp;小圆机汇总表!$J$13&amp;"/"&amp;小圆机汇总表!AC$14))</f>
        <v>0</v>
      </c>
      <c r="AD32" s="18">
        <f>IF($K$13="件数",SUMIFS(yj!$I:$I,yj!$B:$B,小圆机汇总表!$A32,yj!$G:$G,小圆机汇总表!$I$13&amp;"/"&amp;小圆机汇总表!$J$13&amp;"/"&amp;小圆机汇总表!AD$14),SUMIFS(yj!$H:$H,yj!$B:$B,小圆机汇总表!$A32,yj!$G:$G,小圆机汇总表!$I$13&amp;"/"&amp;小圆机汇总表!$J$13&amp;"/"&amp;小圆机汇总表!AD$14))</f>
        <v>0</v>
      </c>
      <c r="AE32" s="18">
        <f>IF($K$13="件数",SUMIFS(yj!$I:$I,yj!$B:$B,小圆机汇总表!$A32,yj!$G:$G,小圆机汇总表!$I$13&amp;"/"&amp;小圆机汇总表!$J$13&amp;"/"&amp;小圆机汇总表!AE$14),SUMIFS(yj!$H:$H,yj!$B:$B,小圆机汇总表!$A32,yj!$G:$G,小圆机汇总表!$I$13&amp;"/"&amp;小圆机汇总表!$J$13&amp;"/"&amp;小圆机汇总表!AE$14))</f>
        <v>0</v>
      </c>
      <c r="AF32" s="18">
        <f>IF($K$13="件数",SUMIFS(yj!$I:$I,yj!$B:$B,小圆机汇总表!$A32,yj!$G:$G,小圆机汇总表!$I$13&amp;"/"&amp;小圆机汇总表!$J$13&amp;"/"&amp;小圆机汇总表!AF$14),SUMIFS(yj!$H:$H,yj!$B:$B,小圆机汇总表!$A32,yj!$G:$G,小圆机汇总表!$I$13&amp;"/"&amp;小圆机汇总表!$J$13&amp;"/"&amp;小圆机汇总表!AF$14))</f>
        <v>0</v>
      </c>
      <c r="AG32" s="18">
        <f>IF($K$13="件数",SUMIFS(yj!$I:$I,yj!$B:$B,小圆机汇总表!$A32,yj!$G:$G,小圆机汇总表!$I$13&amp;"/"&amp;小圆机汇总表!$J$13&amp;"/"&amp;小圆机汇总表!AG$14),SUMIFS(yj!$H:$H,yj!$B:$B,小圆机汇总表!$A32,yj!$G:$G,小圆机汇总表!$I$13&amp;"/"&amp;小圆机汇总表!$J$13&amp;"/"&amp;小圆机汇总表!AG$14))</f>
        <v>0</v>
      </c>
      <c r="AH32" s="18">
        <f>IF($K$13="件数",SUMIFS(yj!$I:$I,yj!$B:$B,小圆机汇总表!$A32,yj!$G:$G,小圆机汇总表!$I$13&amp;"/"&amp;小圆机汇总表!$J$13&amp;"/"&amp;小圆机汇总表!AH$14),SUMIFS(yj!$H:$H,yj!$B:$B,小圆机汇总表!$A32,yj!$G:$G,小圆机汇总表!$I$13&amp;"/"&amp;小圆机汇总表!$J$13&amp;"/"&amp;小圆机汇总表!AH$14))</f>
        <v>0</v>
      </c>
      <c r="AI32" s="18">
        <f>IF($K$13="件数",SUMIFS(yj!$I:$I,yj!$B:$B,小圆机汇总表!$A32,yj!$G:$G,小圆机汇总表!$I$13&amp;"/"&amp;小圆机汇总表!$J$13&amp;"/"&amp;小圆机汇总表!AI$14),SUMIFS(yj!$H:$H,yj!$B:$B,小圆机汇总表!$A32,yj!$G:$G,小圆机汇总表!$I$13&amp;"/"&amp;小圆机汇总表!$J$13&amp;"/"&amp;小圆机汇总表!AI$14))</f>
        <v>0</v>
      </c>
      <c r="AJ32" s="18">
        <f>IF($K$13="件数",SUMIFS(yj!$I:$I,yj!$B:$B,小圆机汇总表!$A32,yj!$G:$G,小圆机汇总表!$I$13&amp;"/"&amp;小圆机汇总表!$J$13&amp;"/"&amp;小圆机汇总表!AJ$14),SUMIFS(yj!$H:$H,yj!$B:$B,小圆机汇总表!$A32,yj!$G:$G,小圆机汇总表!$I$13&amp;"/"&amp;小圆机汇总表!$J$13&amp;"/"&amp;小圆机汇总表!AJ$14))</f>
        <v>0</v>
      </c>
      <c r="AK32" s="18">
        <f>IF($K$13="件数",SUMIFS(yj!$I:$I,yj!$B:$B,小圆机汇总表!$A32,yj!$G:$G,小圆机汇总表!$I$13&amp;"/"&amp;小圆机汇总表!$J$13&amp;"/"&amp;小圆机汇总表!AK$14),SUMIFS(yj!$H:$H,yj!$B:$B,小圆机汇总表!$A32,yj!$G:$G,小圆机汇总表!$I$13&amp;"/"&amp;小圆机汇总表!$J$13&amp;"/"&amp;小圆机汇总表!AK$14))</f>
        <v>0</v>
      </c>
      <c r="AL32" s="18">
        <f>IF($K$13="件数",SUMIFS(yj!$I:$I,yj!$B:$B,小圆机汇总表!$A32,yj!$G:$G,小圆机汇总表!$I$13&amp;"/"&amp;小圆机汇总表!$J$13&amp;"/"&amp;小圆机汇总表!AL$14),SUMIFS(yj!$H:$H,yj!$B:$B,小圆机汇总表!$A32,yj!$G:$G,小圆机汇总表!$I$13&amp;"/"&amp;小圆机汇总表!$J$13&amp;"/"&amp;小圆机汇总表!AL$14))</f>
        <v>0</v>
      </c>
      <c r="AM32" s="18">
        <f>IF($K$13="件数",SUMIFS(yj!$I:$I,yj!$B:$B,小圆机汇总表!$A32,yj!$G:$G,小圆机汇总表!$I$13&amp;"/"&amp;小圆机汇总表!$J$13&amp;"/"&amp;小圆机汇总表!AM$14),SUMIFS(yj!$H:$H,yj!$B:$B,小圆机汇总表!$A32,yj!$G:$G,小圆机汇总表!$I$13&amp;"/"&amp;小圆机汇总表!$J$13&amp;"/"&amp;小圆机汇总表!AM$14))</f>
        <v>0</v>
      </c>
      <c r="AN32" s="18">
        <f>IF($K$13="件数",SUMIFS(yj!$I:$I,yj!$B:$B,小圆机汇总表!$A32,yj!$G:$G,小圆机汇总表!$I$13&amp;"/"&amp;小圆机汇总表!$J$13&amp;"/"&amp;小圆机汇总表!AN$14),SUMIFS(yj!$H:$H,yj!$B:$B,小圆机汇总表!$A32,yj!$G:$G,小圆机汇总表!$I$13&amp;"/"&amp;小圆机汇总表!$J$13&amp;"/"&amp;小圆机汇总表!AN$14))</f>
        <v>0</v>
      </c>
      <c r="AO32" s="18">
        <f>IF($K$13="件数",SUMIFS(yj!$I:$I,yj!$B:$B,小圆机汇总表!$A32,yj!$G:$G,小圆机汇总表!$I$13&amp;"/"&amp;小圆机汇总表!$J$13&amp;"/"&amp;小圆机汇总表!AO$14),SUMIFS(yj!$H:$H,yj!$B:$B,小圆机汇总表!$A32,yj!$G:$G,小圆机汇总表!$I$13&amp;"/"&amp;小圆机汇总表!$J$13&amp;"/"&amp;小圆机汇总表!AO$14))</f>
        <v>0</v>
      </c>
      <c r="AP32" s="18">
        <f>IF($K$13="件数",SUMIFS(yj!$I:$I,yj!$B:$B,小圆机汇总表!$A32,yj!$G:$G,小圆机汇总表!$I$13&amp;"/"&amp;小圆机汇总表!$J$13&amp;"/"&amp;小圆机汇总表!AP$14),SUMIFS(yj!$H:$H,yj!$B:$B,小圆机汇总表!$A32,yj!$G:$G,小圆机汇总表!$I$13&amp;"/"&amp;小圆机汇总表!$J$13&amp;"/"&amp;小圆机汇总表!AP$14))</f>
        <v>0</v>
      </c>
      <c r="AQ32" s="18">
        <f>IF($K$13="件数",SUMIFS(yj!$I:$I,yj!$B:$B,小圆机汇总表!$A32,yj!$G:$G,小圆机汇总表!$I$13&amp;"/"&amp;小圆机汇总表!$J$13&amp;"/"&amp;小圆机汇总表!AQ$14),SUMIFS(yj!$H:$H,yj!$B:$B,小圆机汇总表!$A32,yj!$G:$G,小圆机汇总表!$I$13&amp;"/"&amp;小圆机汇总表!$J$13&amp;"/"&amp;小圆机汇总表!AQ$14))</f>
        <v>0</v>
      </c>
    </row>
    <row r="33" spans="1:43" ht="18" hidden="1" customHeight="1">
      <c r="A33" s="246" t="s">
        <v>2732</v>
      </c>
      <c r="B33" s="248" t="s">
        <v>2468</v>
      </c>
      <c r="C33" s="17">
        <v>50</v>
      </c>
      <c r="D33" s="17" t="s">
        <v>44</v>
      </c>
      <c r="E33" s="246" t="s">
        <v>1727</v>
      </c>
      <c r="F33" s="246">
        <v>160</v>
      </c>
      <c r="G33" s="246">
        <v>36</v>
      </c>
      <c r="H33" s="248" t="s">
        <v>978</v>
      </c>
      <c r="I33" s="246"/>
      <c r="J33" s="246">
        <f ca="1">IF(SUMIFS(yj!$I:$I,yj!$B:$B,小圆机汇总表!A33,yj!$G:$G,小圆机汇总表!$L$13)&gt;0,SUMIFS(yj!$H:$H,yj!$B:$B,小圆机汇总表!A33,yj!$G:$G,小圆机汇总表!$L$13),0)</f>
        <v>0</v>
      </c>
      <c r="K33" s="15">
        <f>SUMIFS(yj!$H:$H,yj!$B:$B,小圆机汇总表!A33,yj!$M:$M,小圆机汇总表!$J$13)</f>
        <v>44.2</v>
      </c>
      <c r="L33" s="15">
        <f>SUMIFS(yj!$I:$I,yj!$B:$B,小圆机汇总表!A33,yj!$M:$M,小圆机汇总表!$J$13)</f>
        <v>2</v>
      </c>
      <c r="M33" s="18">
        <f>IF($K$13="件数",SUMIFS(yj!$I:$I,yj!$B:$B,小圆机汇总表!$A33,yj!$G:$G,小圆机汇总表!$I$13&amp;"/"&amp;小圆机汇总表!$J$13&amp;"/"&amp;小圆机汇总表!M$14),SUMIFS(yj!$H:$H,yj!$B:$B,小圆机汇总表!$A33,yj!$G:$G,小圆机汇总表!$I$13&amp;"/"&amp;小圆机汇总表!$J$13&amp;"/"&amp;小圆机汇总表!M$14))</f>
        <v>0</v>
      </c>
      <c r="N33" s="18">
        <f>IF($K$13="件数",SUMIFS(yj!$I:$I,yj!$B:$B,小圆机汇总表!$A33,yj!$G:$G,小圆机汇总表!$I$13&amp;"/"&amp;小圆机汇总表!$J$13&amp;"/"&amp;小圆机汇总表!N$14),SUMIFS(yj!$H:$H,yj!$B:$B,小圆机汇总表!$A33,yj!$G:$G,小圆机汇总表!$I$13&amp;"/"&amp;小圆机汇总表!$J$13&amp;"/"&amp;小圆机汇总表!N$14))</f>
        <v>44.2</v>
      </c>
      <c r="O33" s="18">
        <f>IF($K$13="件数",SUMIFS(yj!$I:$I,yj!$B:$B,小圆机汇总表!$A33,yj!$G:$G,小圆机汇总表!$I$13&amp;"/"&amp;小圆机汇总表!$J$13&amp;"/"&amp;小圆机汇总表!O$14),SUMIFS(yj!$H:$H,yj!$B:$B,小圆机汇总表!$A33,yj!$G:$G,小圆机汇总表!$I$13&amp;"/"&amp;小圆机汇总表!$J$13&amp;"/"&amp;小圆机汇总表!O$14))</f>
        <v>0</v>
      </c>
      <c r="P33" s="18">
        <f>IF($K$13="件数",SUMIFS(yj!$I:$I,yj!$B:$B,小圆机汇总表!$A33,yj!$G:$G,小圆机汇总表!$I$13&amp;"/"&amp;小圆机汇总表!$J$13&amp;"/"&amp;小圆机汇总表!P$14),SUMIFS(yj!$H:$H,yj!$B:$B,小圆机汇总表!$A33,yj!$G:$G,小圆机汇总表!$I$13&amp;"/"&amp;小圆机汇总表!$J$13&amp;"/"&amp;小圆机汇总表!P$14))</f>
        <v>0</v>
      </c>
      <c r="Q33" s="18">
        <f>IF($K$13="件数",SUMIFS(yj!$I:$I,yj!$B:$B,小圆机汇总表!$A33,yj!$G:$G,小圆机汇总表!$I$13&amp;"/"&amp;小圆机汇总表!$J$13&amp;"/"&amp;小圆机汇总表!Q$14),SUMIFS(yj!$H:$H,yj!$B:$B,小圆机汇总表!$A33,yj!$G:$G,小圆机汇总表!$I$13&amp;"/"&amp;小圆机汇总表!$J$13&amp;"/"&amp;小圆机汇总表!Q$14))</f>
        <v>0</v>
      </c>
      <c r="R33" s="18">
        <f>IF($K$13="件数",SUMIFS(yj!$I:$I,yj!$B:$B,小圆机汇总表!$A33,yj!$G:$G,小圆机汇总表!$I$13&amp;"/"&amp;小圆机汇总表!$J$13&amp;"/"&amp;小圆机汇总表!R$14),SUMIFS(yj!$H:$H,yj!$B:$B,小圆机汇总表!$A33,yj!$G:$G,小圆机汇总表!$I$13&amp;"/"&amp;小圆机汇总表!$J$13&amp;"/"&amp;小圆机汇总表!R$14))</f>
        <v>0</v>
      </c>
      <c r="S33" s="18">
        <f>IF($K$13="件数",SUMIFS(yj!$I:$I,yj!$B:$B,小圆机汇总表!$A33,yj!$G:$G,小圆机汇总表!$I$13&amp;"/"&amp;小圆机汇总表!$J$13&amp;"/"&amp;小圆机汇总表!S$14),SUMIFS(yj!$H:$H,yj!$B:$B,小圆机汇总表!$A33,yj!$G:$G,小圆机汇总表!$I$13&amp;"/"&amp;小圆机汇总表!$J$13&amp;"/"&amp;小圆机汇总表!S$14))</f>
        <v>0</v>
      </c>
      <c r="T33" s="18">
        <f>IF($K$13="件数",SUMIFS(yj!$I:$I,yj!$B:$B,小圆机汇总表!$A33,yj!$G:$G,小圆机汇总表!$I$13&amp;"/"&amp;小圆机汇总表!$J$13&amp;"/"&amp;小圆机汇总表!T$14),SUMIFS(yj!$H:$H,yj!$B:$B,小圆机汇总表!$A33,yj!$G:$G,小圆机汇总表!$I$13&amp;"/"&amp;小圆机汇总表!$J$13&amp;"/"&amp;小圆机汇总表!T$14))</f>
        <v>0</v>
      </c>
      <c r="U33" s="18">
        <f>IF($K$13="件数",SUMIFS(yj!$I:$I,yj!$B:$B,小圆机汇总表!$A33,yj!$G:$G,小圆机汇总表!$I$13&amp;"/"&amp;小圆机汇总表!$J$13&amp;"/"&amp;小圆机汇总表!U$14),SUMIFS(yj!$H:$H,yj!$B:$B,小圆机汇总表!$A33,yj!$G:$G,小圆机汇总表!$I$13&amp;"/"&amp;小圆机汇总表!$J$13&amp;"/"&amp;小圆机汇总表!U$14))</f>
        <v>0</v>
      </c>
      <c r="V33" s="18">
        <f>IF($K$13="件数",SUMIFS(yj!$I:$I,yj!$B:$B,小圆机汇总表!$A33,yj!$G:$G,小圆机汇总表!$I$13&amp;"/"&amp;小圆机汇总表!$J$13&amp;"/"&amp;小圆机汇总表!V$14),SUMIFS(yj!$H:$H,yj!$B:$B,小圆机汇总表!$A33,yj!$G:$G,小圆机汇总表!$I$13&amp;"/"&amp;小圆机汇总表!$J$13&amp;"/"&amp;小圆机汇总表!V$14))</f>
        <v>0</v>
      </c>
      <c r="W33" s="18">
        <f>IF($K$13="件数",SUMIFS(yj!$I:$I,yj!$B:$B,小圆机汇总表!$A33,yj!$G:$G,小圆机汇总表!$I$13&amp;"/"&amp;小圆机汇总表!$J$13&amp;"/"&amp;小圆机汇总表!W$14),SUMIFS(yj!$H:$H,yj!$B:$B,小圆机汇总表!$A33,yj!$G:$G,小圆机汇总表!$I$13&amp;"/"&amp;小圆机汇总表!$J$13&amp;"/"&amp;小圆机汇总表!W$14))</f>
        <v>0</v>
      </c>
      <c r="X33" s="18">
        <f>IF($K$13="件数",SUMIFS(yj!$I:$I,yj!$B:$B,小圆机汇总表!$A33,yj!$G:$G,小圆机汇总表!$I$13&amp;"/"&amp;小圆机汇总表!$J$13&amp;"/"&amp;小圆机汇总表!X$14),SUMIFS(yj!$H:$H,yj!$B:$B,小圆机汇总表!$A33,yj!$G:$G,小圆机汇总表!$I$13&amp;"/"&amp;小圆机汇总表!$J$13&amp;"/"&amp;小圆机汇总表!X$14))</f>
        <v>0</v>
      </c>
      <c r="Y33" s="18">
        <f>IF($K$13="件数",SUMIFS(yj!$I:$I,yj!$B:$B,小圆机汇总表!$A33,yj!$G:$G,小圆机汇总表!$I$13&amp;"/"&amp;小圆机汇总表!$J$13&amp;"/"&amp;小圆机汇总表!Y$14),SUMIFS(yj!$H:$H,yj!$B:$B,小圆机汇总表!$A33,yj!$G:$G,小圆机汇总表!$I$13&amp;"/"&amp;小圆机汇总表!$J$13&amp;"/"&amp;小圆机汇总表!Y$14))</f>
        <v>0</v>
      </c>
      <c r="Z33" s="18">
        <f>IF($K$13="件数",SUMIFS(yj!$I:$I,yj!$B:$B,小圆机汇总表!$A33,yj!$G:$G,小圆机汇总表!$I$13&amp;"/"&amp;小圆机汇总表!$J$13&amp;"/"&amp;小圆机汇总表!Z$14),SUMIFS(yj!$H:$H,yj!$B:$B,小圆机汇总表!$A33,yj!$G:$G,小圆机汇总表!$I$13&amp;"/"&amp;小圆机汇总表!$J$13&amp;"/"&amp;小圆机汇总表!Z$14))</f>
        <v>0</v>
      </c>
      <c r="AA33" s="18">
        <f>IF($K$13="件数",SUMIFS(yj!$I:$I,yj!$B:$B,小圆机汇总表!$A33,yj!$G:$G,小圆机汇总表!$I$13&amp;"/"&amp;小圆机汇总表!$J$13&amp;"/"&amp;小圆机汇总表!AA$14),SUMIFS(yj!$H:$H,yj!$B:$B,小圆机汇总表!$A33,yj!$G:$G,小圆机汇总表!$I$13&amp;"/"&amp;小圆机汇总表!$J$13&amp;"/"&amp;小圆机汇总表!AA$14))</f>
        <v>0</v>
      </c>
      <c r="AB33" s="18">
        <f>IF($K$13="件数",SUMIFS(yj!$I:$I,yj!$B:$B,小圆机汇总表!$A33,yj!$G:$G,小圆机汇总表!$I$13&amp;"/"&amp;小圆机汇总表!$J$13&amp;"/"&amp;小圆机汇总表!AB$14),SUMIFS(yj!$H:$H,yj!$B:$B,小圆机汇总表!$A33,yj!$G:$G,小圆机汇总表!$I$13&amp;"/"&amp;小圆机汇总表!$J$13&amp;"/"&amp;小圆机汇总表!AB$14))</f>
        <v>0</v>
      </c>
      <c r="AC33" s="18">
        <f>IF($K$13="件数",SUMIFS(yj!$I:$I,yj!$B:$B,小圆机汇总表!$A33,yj!$G:$G,小圆机汇总表!$I$13&amp;"/"&amp;小圆机汇总表!$J$13&amp;"/"&amp;小圆机汇总表!AC$14),SUMIFS(yj!$H:$H,yj!$B:$B,小圆机汇总表!$A33,yj!$G:$G,小圆机汇总表!$I$13&amp;"/"&amp;小圆机汇总表!$J$13&amp;"/"&amp;小圆机汇总表!AC$14))</f>
        <v>0</v>
      </c>
      <c r="AD33" s="18">
        <f>IF($K$13="件数",SUMIFS(yj!$I:$I,yj!$B:$B,小圆机汇总表!$A33,yj!$G:$G,小圆机汇总表!$I$13&amp;"/"&amp;小圆机汇总表!$J$13&amp;"/"&amp;小圆机汇总表!AD$14),SUMIFS(yj!$H:$H,yj!$B:$B,小圆机汇总表!$A33,yj!$G:$G,小圆机汇总表!$I$13&amp;"/"&amp;小圆机汇总表!$J$13&amp;"/"&amp;小圆机汇总表!AD$14))</f>
        <v>0</v>
      </c>
      <c r="AE33" s="18">
        <f>IF($K$13="件数",SUMIFS(yj!$I:$I,yj!$B:$B,小圆机汇总表!$A33,yj!$G:$G,小圆机汇总表!$I$13&amp;"/"&amp;小圆机汇总表!$J$13&amp;"/"&amp;小圆机汇总表!AE$14),SUMIFS(yj!$H:$H,yj!$B:$B,小圆机汇总表!$A33,yj!$G:$G,小圆机汇总表!$I$13&amp;"/"&amp;小圆机汇总表!$J$13&amp;"/"&amp;小圆机汇总表!AE$14))</f>
        <v>0</v>
      </c>
      <c r="AF33" s="18">
        <f>IF($K$13="件数",SUMIFS(yj!$I:$I,yj!$B:$B,小圆机汇总表!$A33,yj!$G:$G,小圆机汇总表!$I$13&amp;"/"&amp;小圆机汇总表!$J$13&amp;"/"&amp;小圆机汇总表!AF$14),SUMIFS(yj!$H:$H,yj!$B:$B,小圆机汇总表!$A33,yj!$G:$G,小圆机汇总表!$I$13&amp;"/"&amp;小圆机汇总表!$J$13&amp;"/"&amp;小圆机汇总表!AF$14))</f>
        <v>0</v>
      </c>
      <c r="AG33" s="18">
        <f>IF($K$13="件数",SUMIFS(yj!$I:$I,yj!$B:$B,小圆机汇总表!$A33,yj!$G:$G,小圆机汇总表!$I$13&amp;"/"&amp;小圆机汇总表!$J$13&amp;"/"&amp;小圆机汇总表!AG$14),SUMIFS(yj!$H:$H,yj!$B:$B,小圆机汇总表!$A33,yj!$G:$G,小圆机汇总表!$I$13&amp;"/"&amp;小圆机汇总表!$J$13&amp;"/"&amp;小圆机汇总表!AG$14))</f>
        <v>0</v>
      </c>
      <c r="AH33" s="18">
        <f>IF($K$13="件数",SUMIFS(yj!$I:$I,yj!$B:$B,小圆机汇总表!$A33,yj!$G:$G,小圆机汇总表!$I$13&amp;"/"&amp;小圆机汇总表!$J$13&amp;"/"&amp;小圆机汇总表!AH$14),SUMIFS(yj!$H:$H,yj!$B:$B,小圆机汇总表!$A33,yj!$G:$G,小圆机汇总表!$I$13&amp;"/"&amp;小圆机汇总表!$J$13&amp;"/"&amp;小圆机汇总表!AH$14))</f>
        <v>0</v>
      </c>
      <c r="AI33" s="18">
        <f>IF($K$13="件数",SUMIFS(yj!$I:$I,yj!$B:$B,小圆机汇总表!$A33,yj!$G:$G,小圆机汇总表!$I$13&amp;"/"&amp;小圆机汇总表!$J$13&amp;"/"&amp;小圆机汇总表!AI$14),SUMIFS(yj!$H:$H,yj!$B:$B,小圆机汇总表!$A33,yj!$G:$G,小圆机汇总表!$I$13&amp;"/"&amp;小圆机汇总表!$J$13&amp;"/"&amp;小圆机汇总表!AI$14))</f>
        <v>0</v>
      </c>
      <c r="AJ33" s="18">
        <f>IF($K$13="件数",SUMIFS(yj!$I:$I,yj!$B:$B,小圆机汇总表!$A33,yj!$G:$G,小圆机汇总表!$I$13&amp;"/"&amp;小圆机汇总表!$J$13&amp;"/"&amp;小圆机汇总表!AJ$14),SUMIFS(yj!$H:$H,yj!$B:$B,小圆机汇总表!$A33,yj!$G:$G,小圆机汇总表!$I$13&amp;"/"&amp;小圆机汇总表!$J$13&amp;"/"&amp;小圆机汇总表!AJ$14))</f>
        <v>0</v>
      </c>
      <c r="AK33" s="18">
        <f>IF($K$13="件数",SUMIFS(yj!$I:$I,yj!$B:$B,小圆机汇总表!$A33,yj!$G:$G,小圆机汇总表!$I$13&amp;"/"&amp;小圆机汇总表!$J$13&amp;"/"&amp;小圆机汇总表!AK$14),SUMIFS(yj!$H:$H,yj!$B:$B,小圆机汇总表!$A33,yj!$G:$G,小圆机汇总表!$I$13&amp;"/"&amp;小圆机汇总表!$J$13&amp;"/"&amp;小圆机汇总表!AK$14))</f>
        <v>0</v>
      </c>
      <c r="AL33" s="18">
        <f>IF($K$13="件数",SUMIFS(yj!$I:$I,yj!$B:$B,小圆机汇总表!$A33,yj!$G:$G,小圆机汇总表!$I$13&amp;"/"&amp;小圆机汇总表!$J$13&amp;"/"&amp;小圆机汇总表!AL$14),SUMIFS(yj!$H:$H,yj!$B:$B,小圆机汇总表!$A33,yj!$G:$G,小圆机汇总表!$I$13&amp;"/"&amp;小圆机汇总表!$J$13&amp;"/"&amp;小圆机汇总表!AL$14))</f>
        <v>0</v>
      </c>
      <c r="AM33" s="18">
        <f>IF($K$13="件数",SUMIFS(yj!$I:$I,yj!$B:$B,小圆机汇总表!$A33,yj!$G:$G,小圆机汇总表!$I$13&amp;"/"&amp;小圆机汇总表!$J$13&amp;"/"&amp;小圆机汇总表!AM$14),SUMIFS(yj!$H:$H,yj!$B:$B,小圆机汇总表!$A33,yj!$G:$G,小圆机汇总表!$I$13&amp;"/"&amp;小圆机汇总表!$J$13&amp;"/"&amp;小圆机汇总表!AM$14))</f>
        <v>0</v>
      </c>
      <c r="AN33" s="18">
        <f>IF($K$13="件数",SUMIFS(yj!$I:$I,yj!$B:$B,小圆机汇总表!$A33,yj!$G:$G,小圆机汇总表!$I$13&amp;"/"&amp;小圆机汇总表!$J$13&amp;"/"&amp;小圆机汇总表!AN$14),SUMIFS(yj!$H:$H,yj!$B:$B,小圆机汇总表!$A33,yj!$G:$G,小圆机汇总表!$I$13&amp;"/"&amp;小圆机汇总表!$J$13&amp;"/"&amp;小圆机汇总表!AN$14))</f>
        <v>0</v>
      </c>
      <c r="AO33" s="18">
        <f>IF($K$13="件数",SUMIFS(yj!$I:$I,yj!$B:$B,小圆机汇总表!$A33,yj!$G:$G,小圆机汇总表!$I$13&amp;"/"&amp;小圆机汇总表!$J$13&amp;"/"&amp;小圆机汇总表!AO$14),SUMIFS(yj!$H:$H,yj!$B:$B,小圆机汇总表!$A33,yj!$G:$G,小圆机汇总表!$I$13&amp;"/"&amp;小圆机汇总表!$J$13&amp;"/"&amp;小圆机汇总表!AO$14))</f>
        <v>0</v>
      </c>
      <c r="AP33" s="18">
        <f>IF($K$13="件数",SUMIFS(yj!$I:$I,yj!$B:$B,小圆机汇总表!$A33,yj!$G:$G,小圆机汇总表!$I$13&amp;"/"&amp;小圆机汇总表!$J$13&amp;"/"&amp;小圆机汇总表!AP$14),SUMIFS(yj!$H:$H,yj!$B:$B,小圆机汇总表!$A33,yj!$G:$G,小圆机汇总表!$I$13&amp;"/"&amp;小圆机汇总表!$J$13&amp;"/"&amp;小圆机汇总表!AP$14))</f>
        <v>0</v>
      </c>
      <c r="AQ33" s="18">
        <f>IF($K$13="件数",SUMIFS(yj!$I:$I,yj!$B:$B,小圆机汇总表!$A33,yj!$G:$G,小圆机汇总表!$I$13&amp;"/"&amp;小圆机汇总表!$J$13&amp;"/"&amp;小圆机汇总表!AQ$14),SUMIFS(yj!$H:$H,yj!$B:$B,小圆机汇总表!$A33,yj!$G:$G,小圆机汇总表!$I$13&amp;"/"&amp;小圆机汇总表!$J$13&amp;"/"&amp;小圆机汇总表!AQ$14))</f>
        <v>0</v>
      </c>
    </row>
    <row r="34" spans="1:43" ht="18" hidden="1" customHeight="1">
      <c r="A34" s="13" t="s">
        <v>71</v>
      </c>
      <c r="B34" s="14" t="s">
        <v>70</v>
      </c>
      <c r="C34" s="17">
        <v>50</v>
      </c>
      <c r="D34" s="17" t="s">
        <v>38</v>
      </c>
      <c r="E34" s="13" t="s">
        <v>2</v>
      </c>
      <c r="F34" s="13">
        <v>160</v>
      </c>
      <c r="G34" s="13">
        <v>38</v>
      </c>
      <c r="H34" s="14" t="s">
        <v>39</v>
      </c>
      <c r="I34" s="13"/>
      <c r="J34" s="182">
        <f ca="1">IF(SUMIFS(yj!$I:$I,yj!$B:$B,小圆机汇总表!A34,yj!$G:$G,小圆机汇总表!$L$13)&gt;0,SUMIFS(yj!$H:$H,yj!$B:$B,小圆机汇总表!A34,yj!$G:$G,小圆机汇总表!$L$13),0)</f>
        <v>389.2</v>
      </c>
      <c r="K34" s="15">
        <f>SUMIFS(yj!$H:$H,yj!$B:$B,小圆机汇总表!A34,yj!$M:$M,小圆机汇总表!$J$13)</f>
        <v>589.20000000000005</v>
      </c>
      <c r="L34" s="15">
        <f>SUMIFS(yj!$I:$I,yj!$B:$B,小圆机汇总表!A34,yj!$M:$M,小圆机汇总表!$J$13)</f>
        <v>30</v>
      </c>
      <c r="M34" s="18">
        <f>IF($K$13="件数",SUMIFS(yj!$I:$I,yj!$B:$B,小圆机汇总表!$A34,yj!$G:$G,小圆机汇总表!$I$13&amp;"/"&amp;小圆机汇总表!$J$13&amp;"/"&amp;小圆机汇总表!M$14),SUMIFS(yj!$H:$H,yj!$B:$B,小圆机汇总表!$A34,yj!$G:$G,小圆机汇总表!$I$13&amp;"/"&amp;小圆机汇总表!$J$13&amp;"/"&amp;小圆机汇总表!M$14))</f>
        <v>0</v>
      </c>
      <c r="N34" s="18">
        <f>IF($K$13="件数",SUMIFS(yj!$I:$I,yj!$B:$B,小圆机汇总表!$A34,yj!$G:$G,小圆机汇总表!$I$13&amp;"/"&amp;小圆机汇总表!$J$13&amp;"/"&amp;小圆机汇总表!N$14),SUMIFS(yj!$H:$H,yj!$B:$B,小圆机汇总表!$A34,yj!$G:$G,小圆机汇总表!$I$13&amp;"/"&amp;小圆机汇总表!$J$13&amp;"/"&amp;小圆机汇总表!N$14))</f>
        <v>0</v>
      </c>
      <c r="O34" s="18">
        <f>IF($K$13="件数",SUMIFS(yj!$I:$I,yj!$B:$B,小圆机汇总表!$A34,yj!$G:$G,小圆机汇总表!$I$13&amp;"/"&amp;小圆机汇总表!$J$13&amp;"/"&amp;小圆机汇总表!O$14),SUMIFS(yj!$H:$H,yj!$B:$B,小圆机汇总表!$A34,yj!$G:$G,小圆机汇总表!$I$13&amp;"/"&amp;小圆机汇总表!$J$13&amp;"/"&amp;小圆机汇总表!O$14))</f>
        <v>0</v>
      </c>
      <c r="P34" s="18">
        <f>IF($K$13="件数",SUMIFS(yj!$I:$I,yj!$B:$B,小圆机汇总表!$A34,yj!$G:$G,小圆机汇总表!$I$13&amp;"/"&amp;小圆机汇总表!$J$13&amp;"/"&amp;小圆机汇总表!P$14),SUMIFS(yj!$H:$H,yj!$B:$B,小圆机汇总表!$A34,yj!$G:$G,小圆机汇总表!$I$13&amp;"/"&amp;小圆机汇总表!$J$13&amp;"/"&amp;小圆机汇总表!P$14))</f>
        <v>0</v>
      </c>
      <c r="Q34" s="18">
        <f>IF($K$13="件数",SUMIFS(yj!$I:$I,yj!$B:$B,小圆机汇总表!$A34,yj!$G:$G,小圆机汇总表!$I$13&amp;"/"&amp;小圆机汇总表!$J$13&amp;"/"&amp;小圆机汇总表!Q$14),SUMIFS(yj!$H:$H,yj!$B:$B,小圆机汇总表!$A34,yj!$G:$G,小圆机汇总表!$I$13&amp;"/"&amp;小圆机汇总表!$J$13&amp;"/"&amp;小圆机汇总表!Q$14))</f>
        <v>200</v>
      </c>
      <c r="R34" s="18">
        <f>IF($K$13="件数",SUMIFS(yj!$I:$I,yj!$B:$B,小圆机汇总表!$A34,yj!$G:$G,小圆机汇总表!$I$13&amp;"/"&amp;小圆机汇总表!$J$13&amp;"/"&amp;小圆机汇总表!R$14),SUMIFS(yj!$H:$H,yj!$B:$B,小圆机汇总表!$A34,yj!$G:$G,小圆机汇总表!$I$13&amp;"/"&amp;小圆机汇总表!$J$13&amp;"/"&amp;小圆机汇总表!R$14))</f>
        <v>389.2</v>
      </c>
      <c r="S34" s="18">
        <f>IF($K$13="件数",SUMIFS(yj!$I:$I,yj!$B:$B,小圆机汇总表!$A34,yj!$G:$G,小圆机汇总表!$I$13&amp;"/"&amp;小圆机汇总表!$J$13&amp;"/"&amp;小圆机汇总表!S$14),SUMIFS(yj!$H:$H,yj!$B:$B,小圆机汇总表!$A34,yj!$G:$G,小圆机汇总表!$I$13&amp;"/"&amp;小圆机汇总表!$J$13&amp;"/"&amp;小圆机汇总表!S$14))</f>
        <v>0</v>
      </c>
      <c r="T34" s="18">
        <f>IF($K$13="件数",SUMIFS(yj!$I:$I,yj!$B:$B,小圆机汇总表!$A34,yj!$G:$G,小圆机汇总表!$I$13&amp;"/"&amp;小圆机汇总表!$J$13&amp;"/"&amp;小圆机汇总表!T$14),SUMIFS(yj!$H:$H,yj!$B:$B,小圆机汇总表!$A34,yj!$G:$G,小圆机汇总表!$I$13&amp;"/"&amp;小圆机汇总表!$J$13&amp;"/"&amp;小圆机汇总表!T$14))</f>
        <v>0</v>
      </c>
      <c r="U34" s="18">
        <f>IF($K$13="件数",SUMIFS(yj!$I:$I,yj!$B:$B,小圆机汇总表!$A34,yj!$G:$G,小圆机汇总表!$I$13&amp;"/"&amp;小圆机汇总表!$J$13&amp;"/"&amp;小圆机汇总表!U$14),SUMIFS(yj!$H:$H,yj!$B:$B,小圆机汇总表!$A34,yj!$G:$G,小圆机汇总表!$I$13&amp;"/"&amp;小圆机汇总表!$J$13&amp;"/"&amp;小圆机汇总表!U$14))</f>
        <v>0</v>
      </c>
      <c r="V34" s="18">
        <f>IF($K$13="件数",SUMIFS(yj!$I:$I,yj!$B:$B,小圆机汇总表!$A34,yj!$G:$G,小圆机汇总表!$I$13&amp;"/"&amp;小圆机汇总表!$J$13&amp;"/"&amp;小圆机汇总表!V$14),SUMIFS(yj!$H:$H,yj!$B:$B,小圆机汇总表!$A34,yj!$G:$G,小圆机汇总表!$I$13&amp;"/"&amp;小圆机汇总表!$J$13&amp;"/"&amp;小圆机汇总表!V$14))</f>
        <v>0</v>
      </c>
      <c r="W34" s="18">
        <f>IF($K$13="件数",SUMIFS(yj!$I:$I,yj!$B:$B,小圆机汇总表!$A34,yj!$G:$G,小圆机汇总表!$I$13&amp;"/"&amp;小圆机汇总表!$J$13&amp;"/"&amp;小圆机汇总表!W$14),SUMIFS(yj!$H:$H,yj!$B:$B,小圆机汇总表!$A34,yj!$G:$G,小圆机汇总表!$I$13&amp;"/"&amp;小圆机汇总表!$J$13&amp;"/"&amp;小圆机汇总表!W$14))</f>
        <v>0</v>
      </c>
      <c r="X34" s="18">
        <f>IF($K$13="件数",SUMIFS(yj!$I:$I,yj!$B:$B,小圆机汇总表!$A34,yj!$G:$G,小圆机汇总表!$I$13&amp;"/"&amp;小圆机汇总表!$J$13&amp;"/"&amp;小圆机汇总表!X$14),SUMIFS(yj!$H:$H,yj!$B:$B,小圆机汇总表!$A34,yj!$G:$G,小圆机汇总表!$I$13&amp;"/"&amp;小圆机汇总表!$J$13&amp;"/"&amp;小圆机汇总表!X$14))</f>
        <v>0</v>
      </c>
      <c r="Y34" s="18">
        <f>IF($K$13="件数",SUMIFS(yj!$I:$I,yj!$B:$B,小圆机汇总表!$A34,yj!$G:$G,小圆机汇总表!$I$13&amp;"/"&amp;小圆机汇总表!$J$13&amp;"/"&amp;小圆机汇总表!Y$14),SUMIFS(yj!$H:$H,yj!$B:$B,小圆机汇总表!$A34,yj!$G:$G,小圆机汇总表!$I$13&amp;"/"&amp;小圆机汇总表!$J$13&amp;"/"&amp;小圆机汇总表!Y$14))</f>
        <v>0</v>
      </c>
      <c r="Z34" s="18">
        <f>IF($K$13="件数",SUMIFS(yj!$I:$I,yj!$B:$B,小圆机汇总表!$A34,yj!$G:$G,小圆机汇总表!$I$13&amp;"/"&amp;小圆机汇总表!$J$13&amp;"/"&amp;小圆机汇总表!Z$14),SUMIFS(yj!$H:$H,yj!$B:$B,小圆机汇总表!$A34,yj!$G:$G,小圆机汇总表!$I$13&amp;"/"&amp;小圆机汇总表!$J$13&amp;"/"&amp;小圆机汇总表!Z$14))</f>
        <v>0</v>
      </c>
      <c r="AA34" s="18">
        <f>IF($K$13="件数",SUMIFS(yj!$I:$I,yj!$B:$B,小圆机汇总表!$A34,yj!$G:$G,小圆机汇总表!$I$13&amp;"/"&amp;小圆机汇总表!$J$13&amp;"/"&amp;小圆机汇总表!AA$14),SUMIFS(yj!$H:$H,yj!$B:$B,小圆机汇总表!$A34,yj!$G:$G,小圆机汇总表!$I$13&amp;"/"&amp;小圆机汇总表!$J$13&amp;"/"&amp;小圆机汇总表!AA$14))</f>
        <v>0</v>
      </c>
      <c r="AB34" s="18">
        <f>IF($K$13="件数",SUMIFS(yj!$I:$I,yj!$B:$B,小圆机汇总表!$A34,yj!$G:$G,小圆机汇总表!$I$13&amp;"/"&amp;小圆机汇总表!$J$13&amp;"/"&amp;小圆机汇总表!AB$14),SUMIFS(yj!$H:$H,yj!$B:$B,小圆机汇总表!$A34,yj!$G:$G,小圆机汇总表!$I$13&amp;"/"&amp;小圆机汇总表!$J$13&amp;"/"&amp;小圆机汇总表!AB$14))</f>
        <v>0</v>
      </c>
      <c r="AC34" s="18">
        <f>IF($K$13="件数",SUMIFS(yj!$I:$I,yj!$B:$B,小圆机汇总表!$A34,yj!$G:$G,小圆机汇总表!$I$13&amp;"/"&amp;小圆机汇总表!$J$13&amp;"/"&amp;小圆机汇总表!AC$14),SUMIFS(yj!$H:$H,yj!$B:$B,小圆机汇总表!$A34,yj!$G:$G,小圆机汇总表!$I$13&amp;"/"&amp;小圆机汇总表!$J$13&amp;"/"&amp;小圆机汇总表!AC$14))</f>
        <v>0</v>
      </c>
      <c r="AD34" s="18">
        <f>IF($K$13="件数",SUMIFS(yj!$I:$I,yj!$B:$B,小圆机汇总表!$A34,yj!$G:$G,小圆机汇总表!$I$13&amp;"/"&amp;小圆机汇总表!$J$13&amp;"/"&amp;小圆机汇总表!AD$14),SUMIFS(yj!$H:$H,yj!$B:$B,小圆机汇总表!$A34,yj!$G:$G,小圆机汇总表!$I$13&amp;"/"&amp;小圆机汇总表!$J$13&amp;"/"&amp;小圆机汇总表!AD$14))</f>
        <v>0</v>
      </c>
      <c r="AE34" s="18">
        <f>IF($K$13="件数",SUMIFS(yj!$I:$I,yj!$B:$B,小圆机汇总表!$A34,yj!$G:$G,小圆机汇总表!$I$13&amp;"/"&amp;小圆机汇总表!$J$13&amp;"/"&amp;小圆机汇总表!AE$14),SUMIFS(yj!$H:$H,yj!$B:$B,小圆机汇总表!$A34,yj!$G:$G,小圆机汇总表!$I$13&amp;"/"&amp;小圆机汇总表!$J$13&amp;"/"&amp;小圆机汇总表!AE$14))</f>
        <v>0</v>
      </c>
      <c r="AF34" s="18">
        <f>IF($K$13="件数",SUMIFS(yj!$I:$I,yj!$B:$B,小圆机汇总表!$A34,yj!$G:$G,小圆机汇总表!$I$13&amp;"/"&amp;小圆机汇总表!$J$13&amp;"/"&amp;小圆机汇总表!AF$14),SUMIFS(yj!$H:$H,yj!$B:$B,小圆机汇总表!$A34,yj!$G:$G,小圆机汇总表!$I$13&amp;"/"&amp;小圆机汇总表!$J$13&amp;"/"&amp;小圆机汇总表!AF$14))</f>
        <v>0</v>
      </c>
      <c r="AG34" s="18">
        <f>IF($K$13="件数",SUMIFS(yj!$I:$I,yj!$B:$B,小圆机汇总表!$A34,yj!$G:$G,小圆机汇总表!$I$13&amp;"/"&amp;小圆机汇总表!$J$13&amp;"/"&amp;小圆机汇总表!AG$14),SUMIFS(yj!$H:$H,yj!$B:$B,小圆机汇总表!$A34,yj!$G:$G,小圆机汇总表!$I$13&amp;"/"&amp;小圆机汇总表!$J$13&amp;"/"&amp;小圆机汇总表!AG$14))</f>
        <v>0</v>
      </c>
      <c r="AH34" s="18">
        <f>IF($K$13="件数",SUMIFS(yj!$I:$I,yj!$B:$B,小圆机汇总表!$A34,yj!$G:$G,小圆机汇总表!$I$13&amp;"/"&amp;小圆机汇总表!$J$13&amp;"/"&amp;小圆机汇总表!AH$14),SUMIFS(yj!$H:$H,yj!$B:$B,小圆机汇总表!$A34,yj!$G:$G,小圆机汇总表!$I$13&amp;"/"&amp;小圆机汇总表!$J$13&amp;"/"&amp;小圆机汇总表!AH$14))</f>
        <v>0</v>
      </c>
      <c r="AI34" s="18">
        <f>IF($K$13="件数",SUMIFS(yj!$I:$I,yj!$B:$B,小圆机汇总表!$A34,yj!$G:$G,小圆机汇总表!$I$13&amp;"/"&amp;小圆机汇总表!$J$13&amp;"/"&amp;小圆机汇总表!AI$14),SUMIFS(yj!$H:$H,yj!$B:$B,小圆机汇总表!$A34,yj!$G:$G,小圆机汇总表!$I$13&amp;"/"&amp;小圆机汇总表!$J$13&amp;"/"&amp;小圆机汇总表!AI$14))</f>
        <v>0</v>
      </c>
      <c r="AJ34" s="18">
        <f>IF($K$13="件数",SUMIFS(yj!$I:$I,yj!$B:$B,小圆机汇总表!$A34,yj!$G:$G,小圆机汇总表!$I$13&amp;"/"&amp;小圆机汇总表!$J$13&amp;"/"&amp;小圆机汇总表!AJ$14),SUMIFS(yj!$H:$H,yj!$B:$B,小圆机汇总表!$A34,yj!$G:$G,小圆机汇总表!$I$13&amp;"/"&amp;小圆机汇总表!$J$13&amp;"/"&amp;小圆机汇总表!AJ$14))</f>
        <v>0</v>
      </c>
      <c r="AK34" s="18">
        <f>IF($K$13="件数",SUMIFS(yj!$I:$I,yj!$B:$B,小圆机汇总表!$A34,yj!$G:$G,小圆机汇总表!$I$13&amp;"/"&amp;小圆机汇总表!$J$13&amp;"/"&amp;小圆机汇总表!AK$14),SUMIFS(yj!$H:$H,yj!$B:$B,小圆机汇总表!$A34,yj!$G:$G,小圆机汇总表!$I$13&amp;"/"&amp;小圆机汇总表!$J$13&amp;"/"&amp;小圆机汇总表!AK$14))</f>
        <v>0</v>
      </c>
      <c r="AL34" s="18">
        <f>IF($K$13="件数",SUMIFS(yj!$I:$I,yj!$B:$B,小圆机汇总表!$A34,yj!$G:$G,小圆机汇总表!$I$13&amp;"/"&amp;小圆机汇总表!$J$13&amp;"/"&amp;小圆机汇总表!AL$14),SUMIFS(yj!$H:$H,yj!$B:$B,小圆机汇总表!$A34,yj!$G:$G,小圆机汇总表!$I$13&amp;"/"&amp;小圆机汇总表!$J$13&amp;"/"&amp;小圆机汇总表!AL$14))</f>
        <v>0</v>
      </c>
      <c r="AM34" s="18">
        <f>IF($K$13="件数",SUMIFS(yj!$I:$I,yj!$B:$B,小圆机汇总表!$A34,yj!$G:$G,小圆机汇总表!$I$13&amp;"/"&amp;小圆机汇总表!$J$13&amp;"/"&amp;小圆机汇总表!AM$14),SUMIFS(yj!$H:$H,yj!$B:$B,小圆机汇总表!$A34,yj!$G:$G,小圆机汇总表!$I$13&amp;"/"&amp;小圆机汇总表!$J$13&amp;"/"&amp;小圆机汇总表!AM$14))</f>
        <v>0</v>
      </c>
      <c r="AN34" s="18">
        <f>IF($K$13="件数",SUMIFS(yj!$I:$I,yj!$B:$B,小圆机汇总表!$A34,yj!$G:$G,小圆机汇总表!$I$13&amp;"/"&amp;小圆机汇总表!$J$13&amp;"/"&amp;小圆机汇总表!AN$14),SUMIFS(yj!$H:$H,yj!$B:$B,小圆机汇总表!$A34,yj!$G:$G,小圆机汇总表!$I$13&amp;"/"&amp;小圆机汇总表!$J$13&amp;"/"&amp;小圆机汇总表!AN$14))</f>
        <v>0</v>
      </c>
      <c r="AO34" s="18">
        <f>IF($K$13="件数",SUMIFS(yj!$I:$I,yj!$B:$B,小圆机汇总表!$A34,yj!$G:$G,小圆机汇总表!$I$13&amp;"/"&amp;小圆机汇总表!$J$13&amp;"/"&amp;小圆机汇总表!AO$14),SUMIFS(yj!$H:$H,yj!$B:$B,小圆机汇总表!$A34,yj!$G:$G,小圆机汇总表!$I$13&amp;"/"&amp;小圆机汇总表!$J$13&amp;"/"&amp;小圆机汇总表!AO$14))</f>
        <v>0</v>
      </c>
      <c r="AP34" s="18">
        <f>IF($K$13="件数",SUMIFS(yj!$I:$I,yj!$B:$B,小圆机汇总表!$A34,yj!$G:$G,小圆机汇总表!$I$13&amp;"/"&amp;小圆机汇总表!$J$13&amp;"/"&amp;小圆机汇总表!AP$14),SUMIFS(yj!$H:$H,yj!$B:$B,小圆机汇总表!$A34,yj!$G:$G,小圆机汇总表!$I$13&amp;"/"&amp;小圆机汇总表!$J$13&amp;"/"&amp;小圆机汇总表!AP$14))</f>
        <v>0</v>
      </c>
      <c r="AQ34" s="18">
        <f>IF($K$13="件数",SUMIFS(yj!$I:$I,yj!$B:$B,小圆机汇总表!$A34,yj!$G:$G,小圆机汇总表!$I$13&amp;"/"&amp;小圆机汇总表!$J$13&amp;"/"&amp;小圆机汇总表!AQ$14),SUMIFS(yj!$H:$H,yj!$B:$B,小圆机汇总表!$A34,yj!$G:$G,小圆机汇总表!$I$13&amp;"/"&amp;小圆机汇总表!$J$13&amp;"/"&amp;小圆机汇总表!AQ$14))</f>
        <v>0</v>
      </c>
    </row>
    <row r="35" spans="1:43" ht="18" hidden="1" customHeight="1">
      <c r="A35" s="194" t="s">
        <v>2304</v>
      </c>
      <c r="B35" s="205" t="s">
        <v>2307</v>
      </c>
      <c r="C35" s="17">
        <v>50</v>
      </c>
      <c r="D35" s="17" t="s">
        <v>57</v>
      </c>
      <c r="E35" s="194" t="s">
        <v>2</v>
      </c>
      <c r="F35" s="194">
        <v>160</v>
      </c>
      <c r="G35" s="194">
        <v>38</v>
      </c>
      <c r="H35" s="205" t="s">
        <v>39</v>
      </c>
      <c r="I35" s="194"/>
      <c r="J35" s="194">
        <f ca="1">IF(SUMIFS(yj!$I:$I,yj!$B:$B,小圆机汇总表!A35,yj!$G:$G,小圆机汇总表!$L$13)&gt;0,SUMIFS(yj!$H:$H,yj!$B:$B,小圆机汇总表!A35,yj!$G:$G,小圆机汇总表!$L$13),0)</f>
        <v>0</v>
      </c>
      <c r="K35" s="15">
        <f>SUMIFS(yj!$H:$H,yj!$B:$B,小圆机汇总表!A35,yj!$M:$M,小圆机汇总表!$J$13)</f>
        <v>342.8</v>
      </c>
      <c r="L35" s="15">
        <f>SUMIFS(yj!$I:$I,yj!$B:$B,小圆机汇总表!A35,yj!$M:$M,小圆机汇总表!$J$13)</f>
        <v>17</v>
      </c>
      <c r="M35" s="18">
        <f>IF($K$13="件数",SUMIFS(yj!$I:$I,yj!$B:$B,小圆机汇总表!$A35,yj!$G:$G,小圆机汇总表!$I$13&amp;"/"&amp;小圆机汇总表!$J$13&amp;"/"&amp;小圆机汇总表!M$14),SUMIFS(yj!$H:$H,yj!$B:$B,小圆机汇总表!$A35,yj!$G:$G,小圆机汇总表!$I$13&amp;"/"&amp;小圆机汇总表!$J$13&amp;"/"&amp;小圆机汇总表!M$14))</f>
        <v>176.4</v>
      </c>
      <c r="N35" s="18">
        <f>IF($K$13="件数",SUMIFS(yj!$I:$I,yj!$B:$B,小圆机汇总表!$A35,yj!$G:$G,小圆机汇总表!$I$13&amp;"/"&amp;小圆机汇总表!$J$13&amp;"/"&amp;小圆机汇总表!N$14),SUMIFS(yj!$H:$H,yj!$B:$B,小圆机汇总表!$A35,yj!$G:$G,小圆机汇总表!$I$13&amp;"/"&amp;小圆机汇总表!$J$13&amp;"/"&amp;小圆机汇总表!N$14))</f>
        <v>124.8</v>
      </c>
      <c r="O35" s="18">
        <f>IF($K$13="件数",SUMIFS(yj!$I:$I,yj!$B:$B,小圆机汇总表!$A35,yj!$G:$G,小圆机汇总表!$I$13&amp;"/"&amp;小圆机汇总表!$J$13&amp;"/"&amp;小圆机汇总表!O$14),SUMIFS(yj!$H:$H,yj!$B:$B,小圆机汇总表!$A35,yj!$G:$G,小圆机汇总表!$I$13&amp;"/"&amp;小圆机汇总表!$J$13&amp;"/"&amp;小圆机汇总表!O$14))</f>
        <v>41.6</v>
      </c>
      <c r="P35" s="18">
        <f>IF($K$13="件数",SUMIFS(yj!$I:$I,yj!$B:$B,小圆机汇总表!$A35,yj!$G:$G,小圆机汇总表!$I$13&amp;"/"&amp;小圆机汇总表!$J$13&amp;"/"&amp;小圆机汇总表!P$14),SUMIFS(yj!$H:$H,yj!$B:$B,小圆机汇总表!$A35,yj!$G:$G,小圆机汇总表!$I$13&amp;"/"&amp;小圆机汇总表!$J$13&amp;"/"&amp;小圆机汇总表!P$14))</f>
        <v>0</v>
      </c>
      <c r="Q35" s="18">
        <f>IF($K$13="件数",SUMIFS(yj!$I:$I,yj!$B:$B,小圆机汇总表!$A35,yj!$G:$G,小圆机汇总表!$I$13&amp;"/"&amp;小圆机汇总表!$J$13&amp;"/"&amp;小圆机汇总表!Q$14),SUMIFS(yj!$H:$H,yj!$B:$B,小圆机汇总表!$A35,yj!$G:$G,小圆机汇总表!$I$13&amp;"/"&amp;小圆机汇总表!$J$13&amp;"/"&amp;小圆机汇总表!Q$14))</f>
        <v>0</v>
      </c>
      <c r="R35" s="18">
        <f>IF($K$13="件数",SUMIFS(yj!$I:$I,yj!$B:$B,小圆机汇总表!$A35,yj!$G:$G,小圆机汇总表!$I$13&amp;"/"&amp;小圆机汇总表!$J$13&amp;"/"&amp;小圆机汇总表!R$14),SUMIFS(yj!$H:$H,yj!$B:$B,小圆机汇总表!$A35,yj!$G:$G,小圆机汇总表!$I$13&amp;"/"&amp;小圆机汇总表!$J$13&amp;"/"&amp;小圆机汇总表!R$14))</f>
        <v>0</v>
      </c>
      <c r="S35" s="18">
        <f>IF($K$13="件数",SUMIFS(yj!$I:$I,yj!$B:$B,小圆机汇总表!$A35,yj!$G:$G,小圆机汇总表!$I$13&amp;"/"&amp;小圆机汇总表!$J$13&amp;"/"&amp;小圆机汇总表!S$14),SUMIFS(yj!$H:$H,yj!$B:$B,小圆机汇总表!$A35,yj!$G:$G,小圆机汇总表!$I$13&amp;"/"&amp;小圆机汇总表!$J$13&amp;"/"&amp;小圆机汇总表!S$14))</f>
        <v>0</v>
      </c>
      <c r="T35" s="18">
        <f>IF($K$13="件数",SUMIFS(yj!$I:$I,yj!$B:$B,小圆机汇总表!$A35,yj!$G:$G,小圆机汇总表!$I$13&amp;"/"&amp;小圆机汇总表!$J$13&amp;"/"&amp;小圆机汇总表!T$14),SUMIFS(yj!$H:$H,yj!$B:$B,小圆机汇总表!$A35,yj!$G:$G,小圆机汇总表!$I$13&amp;"/"&amp;小圆机汇总表!$J$13&amp;"/"&amp;小圆机汇总表!T$14))</f>
        <v>0</v>
      </c>
      <c r="U35" s="18">
        <f>IF($K$13="件数",SUMIFS(yj!$I:$I,yj!$B:$B,小圆机汇总表!$A35,yj!$G:$G,小圆机汇总表!$I$13&amp;"/"&amp;小圆机汇总表!$J$13&amp;"/"&amp;小圆机汇总表!U$14),SUMIFS(yj!$H:$H,yj!$B:$B,小圆机汇总表!$A35,yj!$G:$G,小圆机汇总表!$I$13&amp;"/"&amp;小圆机汇总表!$J$13&amp;"/"&amp;小圆机汇总表!U$14))</f>
        <v>0</v>
      </c>
      <c r="V35" s="18">
        <f>IF($K$13="件数",SUMIFS(yj!$I:$I,yj!$B:$B,小圆机汇总表!$A35,yj!$G:$G,小圆机汇总表!$I$13&amp;"/"&amp;小圆机汇总表!$J$13&amp;"/"&amp;小圆机汇总表!V$14),SUMIFS(yj!$H:$H,yj!$B:$B,小圆机汇总表!$A35,yj!$G:$G,小圆机汇总表!$I$13&amp;"/"&amp;小圆机汇总表!$J$13&amp;"/"&amp;小圆机汇总表!V$14))</f>
        <v>0</v>
      </c>
      <c r="W35" s="18">
        <f>IF($K$13="件数",SUMIFS(yj!$I:$I,yj!$B:$B,小圆机汇总表!$A35,yj!$G:$G,小圆机汇总表!$I$13&amp;"/"&amp;小圆机汇总表!$J$13&amp;"/"&amp;小圆机汇总表!W$14),SUMIFS(yj!$H:$H,yj!$B:$B,小圆机汇总表!$A35,yj!$G:$G,小圆机汇总表!$I$13&amp;"/"&amp;小圆机汇总表!$J$13&amp;"/"&amp;小圆机汇总表!W$14))</f>
        <v>0</v>
      </c>
      <c r="X35" s="18">
        <f>IF($K$13="件数",SUMIFS(yj!$I:$I,yj!$B:$B,小圆机汇总表!$A35,yj!$G:$G,小圆机汇总表!$I$13&amp;"/"&amp;小圆机汇总表!$J$13&amp;"/"&amp;小圆机汇总表!X$14),SUMIFS(yj!$H:$H,yj!$B:$B,小圆机汇总表!$A35,yj!$G:$G,小圆机汇总表!$I$13&amp;"/"&amp;小圆机汇总表!$J$13&amp;"/"&amp;小圆机汇总表!X$14))</f>
        <v>0</v>
      </c>
      <c r="Y35" s="18">
        <f>IF($K$13="件数",SUMIFS(yj!$I:$I,yj!$B:$B,小圆机汇总表!$A35,yj!$G:$G,小圆机汇总表!$I$13&amp;"/"&amp;小圆机汇总表!$J$13&amp;"/"&amp;小圆机汇总表!Y$14),SUMIFS(yj!$H:$H,yj!$B:$B,小圆机汇总表!$A35,yj!$G:$G,小圆机汇总表!$I$13&amp;"/"&amp;小圆机汇总表!$J$13&amp;"/"&amp;小圆机汇总表!Y$14))</f>
        <v>0</v>
      </c>
      <c r="Z35" s="18">
        <f>IF($K$13="件数",SUMIFS(yj!$I:$I,yj!$B:$B,小圆机汇总表!$A35,yj!$G:$G,小圆机汇总表!$I$13&amp;"/"&amp;小圆机汇总表!$J$13&amp;"/"&amp;小圆机汇总表!Z$14),SUMIFS(yj!$H:$H,yj!$B:$B,小圆机汇总表!$A35,yj!$G:$G,小圆机汇总表!$I$13&amp;"/"&amp;小圆机汇总表!$J$13&amp;"/"&amp;小圆机汇总表!Z$14))</f>
        <v>0</v>
      </c>
      <c r="AA35" s="18">
        <f>IF($K$13="件数",SUMIFS(yj!$I:$I,yj!$B:$B,小圆机汇总表!$A35,yj!$G:$G,小圆机汇总表!$I$13&amp;"/"&amp;小圆机汇总表!$J$13&amp;"/"&amp;小圆机汇总表!AA$14),SUMIFS(yj!$H:$H,yj!$B:$B,小圆机汇总表!$A35,yj!$G:$G,小圆机汇总表!$I$13&amp;"/"&amp;小圆机汇总表!$J$13&amp;"/"&amp;小圆机汇总表!AA$14))</f>
        <v>0</v>
      </c>
      <c r="AB35" s="18">
        <f>IF($K$13="件数",SUMIFS(yj!$I:$I,yj!$B:$B,小圆机汇总表!$A35,yj!$G:$G,小圆机汇总表!$I$13&amp;"/"&amp;小圆机汇总表!$J$13&amp;"/"&amp;小圆机汇总表!AB$14),SUMIFS(yj!$H:$H,yj!$B:$B,小圆机汇总表!$A35,yj!$G:$G,小圆机汇总表!$I$13&amp;"/"&amp;小圆机汇总表!$J$13&amp;"/"&amp;小圆机汇总表!AB$14))</f>
        <v>0</v>
      </c>
      <c r="AC35" s="18">
        <f>IF($K$13="件数",SUMIFS(yj!$I:$I,yj!$B:$B,小圆机汇总表!$A35,yj!$G:$G,小圆机汇总表!$I$13&amp;"/"&amp;小圆机汇总表!$J$13&amp;"/"&amp;小圆机汇总表!AC$14),SUMIFS(yj!$H:$H,yj!$B:$B,小圆机汇总表!$A35,yj!$G:$G,小圆机汇总表!$I$13&amp;"/"&amp;小圆机汇总表!$J$13&amp;"/"&amp;小圆机汇总表!AC$14))</f>
        <v>0</v>
      </c>
      <c r="AD35" s="18">
        <f>IF($K$13="件数",SUMIFS(yj!$I:$I,yj!$B:$B,小圆机汇总表!$A35,yj!$G:$G,小圆机汇总表!$I$13&amp;"/"&amp;小圆机汇总表!$J$13&amp;"/"&amp;小圆机汇总表!AD$14),SUMIFS(yj!$H:$H,yj!$B:$B,小圆机汇总表!$A35,yj!$G:$G,小圆机汇总表!$I$13&amp;"/"&amp;小圆机汇总表!$J$13&amp;"/"&amp;小圆机汇总表!AD$14))</f>
        <v>0</v>
      </c>
      <c r="AE35" s="18">
        <f>IF($K$13="件数",SUMIFS(yj!$I:$I,yj!$B:$B,小圆机汇总表!$A35,yj!$G:$G,小圆机汇总表!$I$13&amp;"/"&amp;小圆机汇总表!$J$13&amp;"/"&amp;小圆机汇总表!AE$14),SUMIFS(yj!$H:$H,yj!$B:$B,小圆机汇总表!$A35,yj!$G:$G,小圆机汇总表!$I$13&amp;"/"&amp;小圆机汇总表!$J$13&amp;"/"&amp;小圆机汇总表!AE$14))</f>
        <v>0</v>
      </c>
      <c r="AF35" s="18">
        <f>IF($K$13="件数",SUMIFS(yj!$I:$I,yj!$B:$B,小圆机汇总表!$A35,yj!$G:$G,小圆机汇总表!$I$13&amp;"/"&amp;小圆机汇总表!$J$13&amp;"/"&amp;小圆机汇总表!AF$14),SUMIFS(yj!$H:$H,yj!$B:$B,小圆机汇总表!$A35,yj!$G:$G,小圆机汇总表!$I$13&amp;"/"&amp;小圆机汇总表!$J$13&amp;"/"&amp;小圆机汇总表!AF$14))</f>
        <v>0</v>
      </c>
      <c r="AG35" s="18">
        <f>IF($K$13="件数",SUMIFS(yj!$I:$I,yj!$B:$B,小圆机汇总表!$A35,yj!$G:$G,小圆机汇总表!$I$13&amp;"/"&amp;小圆机汇总表!$J$13&amp;"/"&amp;小圆机汇总表!AG$14),SUMIFS(yj!$H:$H,yj!$B:$B,小圆机汇总表!$A35,yj!$G:$G,小圆机汇总表!$I$13&amp;"/"&amp;小圆机汇总表!$J$13&amp;"/"&amp;小圆机汇总表!AG$14))</f>
        <v>0</v>
      </c>
      <c r="AH35" s="18">
        <f>IF($K$13="件数",SUMIFS(yj!$I:$I,yj!$B:$B,小圆机汇总表!$A35,yj!$G:$G,小圆机汇总表!$I$13&amp;"/"&amp;小圆机汇总表!$J$13&amp;"/"&amp;小圆机汇总表!AH$14),SUMIFS(yj!$H:$H,yj!$B:$B,小圆机汇总表!$A35,yj!$G:$G,小圆机汇总表!$I$13&amp;"/"&amp;小圆机汇总表!$J$13&amp;"/"&amp;小圆机汇总表!AH$14))</f>
        <v>0</v>
      </c>
      <c r="AI35" s="18">
        <f>IF($K$13="件数",SUMIFS(yj!$I:$I,yj!$B:$B,小圆机汇总表!$A35,yj!$G:$G,小圆机汇总表!$I$13&amp;"/"&amp;小圆机汇总表!$J$13&amp;"/"&amp;小圆机汇总表!AI$14),SUMIFS(yj!$H:$H,yj!$B:$B,小圆机汇总表!$A35,yj!$G:$G,小圆机汇总表!$I$13&amp;"/"&amp;小圆机汇总表!$J$13&amp;"/"&amp;小圆机汇总表!AI$14))</f>
        <v>0</v>
      </c>
      <c r="AJ35" s="18">
        <f>IF($K$13="件数",SUMIFS(yj!$I:$I,yj!$B:$B,小圆机汇总表!$A35,yj!$G:$G,小圆机汇总表!$I$13&amp;"/"&amp;小圆机汇总表!$J$13&amp;"/"&amp;小圆机汇总表!AJ$14),SUMIFS(yj!$H:$H,yj!$B:$B,小圆机汇总表!$A35,yj!$G:$G,小圆机汇总表!$I$13&amp;"/"&amp;小圆机汇总表!$J$13&amp;"/"&amp;小圆机汇总表!AJ$14))</f>
        <v>0</v>
      </c>
      <c r="AK35" s="18">
        <f>IF($K$13="件数",SUMIFS(yj!$I:$I,yj!$B:$B,小圆机汇总表!$A35,yj!$G:$G,小圆机汇总表!$I$13&amp;"/"&amp;小圆机汇总表!$J$13&amp;"/"&amp;小圆机汇总表!AK$14),SUMIFS(yj!$H:$H,yj!$B:$B,小圆机汇总表!$A35,yj!$G:$G,小圆机汇总表!$I$13&amp;"/"&amp;小圆机汇总表!$J$13&amp;"/"&amp;小圆机汇总表!AK$14))</f>
        <v>0</v>
      </c>
      <c r="AL35" s="18">
        <f>IF($K$13="件数",SUMIFS(yj!$I:$I,yj!$B:$B,小圆机汇总表!$A35,yj!$G:$G,小圆机汇总表!$I$13&amp;"/"&amp;小圆机汇总表!$J$13&amp;"/"&amp;小圆机汇总表!AL$14),SUMIFS(yj!$H:$H,yj!$B:$B,小圆机汇总表!$A35,yj!$G:$G,小圆机汇总表!$I$13&amp;"/"&amp;小圆机汇总表!$J$13&amp;"/"&amp;小圆机汇总表!AL$14))</f>
        <v>0</v>
      </c>
      <c r="AM35" s="18">
        <f>IF($K$13="件数",SUMIFS(yj!$I:$I,yj!$B:$B,小圆机汇总表!$A35,yj!$G:$G,小圆机汇总表!$I$13&amp;"/"&amp;小圆机汇总表!$J$13&amp;"/"&amp;小圆机汇总表!AM$14),SUMIFS(yj!$H:$H,yj!$B:$B,小圆机汇总表!$A35,yj!$G:$G,小圆机汇总表!$I$13&amp;"/"&amp;小圆机汇总表!$J$13&amp;"/"&amp;小圆机汇总表!AM$14))</f>
        <v>0</v>
      </c>
      <c r="AN35" s="18">
        <f>IF($K$13="件数",SUMIFS(yj!$I:$I,yj!$B:$B,小圆机汇总表!$A35,yj!$G:$G,小圆机汇总表!$I$13&amp;"/"&amp;小圆机汇总表!$J$13&amp;"/"&amp;小圆机汇总表!AN$14),SUMIFS(yj!$H:$H,yj!$B:$B,小圆机汇总表!$A35,yj!$G:$G,小圆机汇总表!$I$13&amp;"/"&amp;小圆机汇总表!$J$13&amp;"/"&amp;小圆机汇总表!AN$14))</f>
        <v>0</v>
      </c>
      <c r="AO35" s="18">
        <f>IF($K$13="件数",SUMIFS(yj!$I:$I,yj!$B:$B,小圆机汇总表!$A35,yj!$G:$G,小圆机汇总表!$I$13&amp;"/"&amp;小圆机汇总表!$J$13&amp;"/"&amp;小圆机汇总表!AO$14),SUMIFS(yj!$H:$H,yj!$B:$B,小圆机汇总表!$A35,yj!$G:$G,小圆机汇总表!$I$13&amp;"/"&amp;小圆机汇总表!$J$13&amp;"/"&amp;小圆机汇总表!AO$14))</f>
        <v>0</v>
      </c>
      <c r="AP35" s="18">
        <f>IF($K$13="件数",SUMIFS(yj!$I:$I,yj!$B:$B,小圆机汇总表!$A35,yj!$G:$G,小圆机汇总表!$I$13&amp;"/"&amp;小圆机汇总表!$J$13&amp;"/"&amp;小圆机汇总表!AP$14),SUMIFS(yj!$H:$H,yj!$B:$B,小圆机汇总表!$A35,yj!$G:$G,小圆机汇总表!$I$13&amp;"/"&amp;小圆机汇总表!$J$13&amp;"/"&amp;小圆机汇总表!AP$14))</f>
        <v>0</v>
      </c>
      <c r="AQ35" s="18">
        <f>IF($K$13="件数",SUMIFS(yj!$I:$I,yj!$B:$B,小圆机汇总表!$A35,yj!$G:$G,小圆机汇总表!$I$13&amp;"/"&amp;小圆机汇总表!$J$13&amp;"/"&amp;小圆机汇总表!AQ$14),SUMIFS(yj!$H:$H,yj!$B:$B,小圆机汇总表!$A35,yj!$G:$G,小圆机汇总表!$I$13&amp;"/"&amp;小圆机汇总表!$J$13&amp;"/"&amp;小圆机汇总表!AQ$14))</f>
        <v>0</v>
      </c>
    </row>
    <row r="36" spans="1:43" ht="18" hidden="1" customHeight="1">
      <c r="A36" s="13" t="s">
        <v>73</v>
      </c>
      <c r="B36" s="14" t="s">
        <v>74</v>
      </c>
      <c r="C36" s="17">
        <v>50</v>
      </c>
      <c r="D36" s="17" t="s">
        <v>75</v>
      </c>
      <c r="E36" s="13" t="s">
        <v>2</v>
      </c>
      <c r="F36" s="13">
        <v>160</v>
      </c>
      <c r="G36" s="13">
        <v>38</v>
      </c>
      <c r="H36" s="14" t="s">
        <v>39</v>
      </c>
      <c r="I36" s="13"/>
      <c r="J36" s="182">
        <f ca="1">IF(SUMIFS(yj!$I:$I,yj!$B:$B,小圆机汇总表!A36,yj!$G:$G,小圆机汇总表!$L$13)&gt;0,SUMIFS(yj!$H:$H,yj!$B:$B,小圆机汇总表!A36,yj!$G:$G,小圆机汇总表!$L$13),0)</f>
        <v>0</v>
      </c>
      <c r="K36" s="15">
        <f>SUMIFS(yj!$H:$H,yj!$B:$B,小圆机汇总表!A36,yj!$M:$M,小圆机汇总表!$J$13)</f>
        <v>0</v>
      </c>
      <c r="L36" s="15">
        <f>SUMIFS(yj!$I:$I,yj!$B:$B,小圆机汇总表!A36,yj!$M:$M,小圆机汇总表!$J$13)</f>
        <v>0</v>
      </c>
      <c r="M36" s="18">
        <f>IF($K$13="件数",SUMIFS(yj!$I:$I,yj!$B:$B,小圆机汇总表!$A36,yj!$G:$G,小圆机汇总表!$I$13&amp;"/"&amp;小圆机汇总表!$J$13&amp;"/"&amp;小圆机汇总表!M$14),SUMIFS(yj!$H:$H,yj!$B:$B,小圆机汇总表!$A36,yj!$G:$G,小圆机汇总表!$I$13&amp;"/"&amp;小圆机汇总表!$J$13&amp;"/"&amp;小圆机汇总表!M$14))</f>
        <v>0</v>
      </c>
      <c r="N36" s="18">
        <f>IF($K$13="件数",SUMIFS(yj!$I:$I,yj!$B:$B,小圆机汇总表!$A36,yj!$G:$G,小圆机汇总表!$I$13&amp;"/"&amp;小圆机汇总表!$J$13&amp;"/"&amp;小圆机汇总表!N$14),SUMIFS(yj!$H:$H,yj!$B:$B,小圆机汇总表!$A36,yj!$G:$G,小圆机汇总表!$I$13&amp;"/"&amp;小圆机汇总表!$J$13&amp;"/"&amp;小圆机汇总表!N$14))</f>
        <v>0</v>
      </c>
      <c r="O36" s="18">
        <f>IF($K$13="件数",SUMIFS(yj!$I:$I,yj!$B:$B,小圆机汇总表!$A36,yj!$G:$G,小圆机汇总表!$I$13&amp;"/"&amp;小圆机汇总表!$J$13&amp;"/"&amp;小圆机汇总表!O$14),SUMIFS(yj!$H:$H,yj!$B:$B,小圆机汇总表!$A36,yj!$G:$G,小圆机汇总表!$I$13&amp;"/"&amp;小圆机汇总表!$J$13&amp;"/"&amp;小圆机汇总表!O$14))</f>
        <v>0</v>
      </c>
      <c r="P36" s="18">
        <f>IF($K$13="件数",SUMIFS(yj!$I:$I,yj!$B:$B,小圆机汇总表!$A36,yj!$G:$G,小圆机汇总表!$I$13&amp;"/"&amp;小圆机汇总表!$J$13&amp;"/"&amp;小圆机汇总表!P$14),SUMIFS(yj!$H:$H,yj!$B:$B,小圆机汇总表!$A36,yj!$G:$G,小圆机汇总表!$I$13&amp;"/"&amp;小圆机汇总表!$J$13&amp;"/"&amp;小圆机汇总表!P$14))</f>
        <v>0</v>
      </c>
      <c r="Q36" s="18">
        <f>IF($K$13="件数",SUMIFS(yj!$I:$I,yj!$B:$B,小圆机汇总表!$A36,yj!$G:$G,小圆机汇总表!$I$13&amp;"/"&amp;小圆机汇总表!$J$13&amp;"/"&amp;小圆机汇总表!Q$14),SUMIFS(yj!$H:$H,yj!$B:$B,小圆机汇总表!$A36,yj!$G:$G,小圆机汇总表!$I$13&amp;"/"&amp;小圆机汇总表!$J$13&amp;"/"&amp;小圆机汇总表!Q$14))</f>
        <v>0</v>
      </c>
      <c r="R36" s="18">
        <f>IF($K$13="件数",SUMIFS(yj!$I:$I,yj!$B:$B,小圆机汇总表!$A36,yj!$G:$G,小圆机汇总表!$I$13&amp;"/"&amp;小圆机汇总表!$J$13&amp;"/"&amp;小圆机汇总表!R$14),SUMIFS(yj!$H:$H,yj!$B:$B,小圆机汇总表!$A36,yj!$G:$G,小圆机汇总表!$I$13&amp;"/"&amp;小圆机汇总表!$J$13&amp;"/"&amp;小圆机汇总表!R$14))</f>
        <v>0</v>
      </c>
      <c r="S36" s="18">
        <f>IF($K$13="件数",SUMIFS(yj!$I:$I,yj!$B:$B,小圆机汇总表!$A36,yj!$G:$G,小圆机汇总表!$I$13&amp;"/"&amp;小圆机汇总表!$J$13&amp;"/"&amp;小圆机汇总表!S$14),SUMIFS(yj!$H:$H,yj!$B:$B,小圆机汇总表!$A36,yj!$G:$G,小圆机汇总表!$I$13&amp;"/"&amp;小圆机汇总表!$J$13&amp;"/"&amp;小圆机汇总表!S$14))</f>
        <v>0</v>
      </c>
      <c r="T36" s="18">
        <f>IF($K$13="件数",SUMIFS(yj!$I:$I,yj!$B:$B,小圆机汇总表!$A36,yj!$G:$G,小圆机汇总表!$I$13&amp;"/"&amp;小圆机汇总表!$J$13&amp;"/"&amp;小圆机汇总表!T$14),SUMIFS(yj!$H:$H,yj!$B:$B,小圆机汇总表!$A36,yj!$G:$G,小圆机汇总表!$I$13&amp;"/"&amp;小圆机汇总表!$J$13&amp;"/"&amp;小圆机汇总表!T$14))</f>
        <v>0</v>
      </c>
      <c r="U36" s="18">
        <f>IF($K$13="件数",SUMIFS(yj!$I:$I,yj!$B:$B,小圆机汇总表!$A36,yj!$G:$G,小圆机汇总表!$I$13&amp;"/"&amp;小圆机汇总表!$J$13&amp;"/"&amp;小圆机汇总表!U$14),SUMIFS(yj!$H:$H,yj!$B:$B,小圆机汇总表!$A36,yj!$G:$G,小圆机汇总表!$I$13&amp;"/"&amp;小圆机汇总表!$J$13&amp;"/"&amp;小圆机汇总表!U$14))</f>
        <v>0</v>
      </c>
      <c r="V36" s="18">
        <f>IF($K$13="件数",SUMIFS(yj!$I:$I,yj!$B:$B,小圆机汇总表!$A36,yj!$G:$G,小圆机汇总表!$I$13&amp;"/"&amp;小圆机汇总表!$J$13&amp;"/"&amp;小圆机汇总表!V$14),SUMIFS(yj!$H:$H,yj!$B:$B,小圆机汇总表!$A36,yj!$G:$G,小圆机汇总表!$I$13&amp;"/"&amp;小圆机汇总表!$J$13&amp;"/"&amp;小圆机汇总表!V$14))</f>
        <v>0</v>
      </c>
      <c r="W36" s="18">
        <f>IF($K$13="件数",SUMIFS(yj!$I:$I,yj!$B:$B,小圆机汇总表!$A36,yj!$G:$G,小圆机汇总表!$I$13&amp;"/"&amp;小圆机汇总表!$J$13&amp;"/"&amp;小圆机汇总表!W$14),SUMIFS(yj!$H:$H,yj!$B:$B,小圆机汇总表!$A36,yj!$G:$G,小圆机汇总表!$I$13&amp;"/"&amp;小圆机汇总表!$J$13&amp;"/"&amp;小圆机汇总表!W$14))</f>
        <v>0</v>
      </c>
      <c r="X36" s="18">
        <f>IF($K$13="件数",SUMIFS(yj!$I:$I,yj!$B:$B,小圆机汇总表!$A36,yj!$G:$G,小圆机汇总表!$I$13&amp;"/"&amp;小圆机汇总表!$J$13&amp;"/"&amp;小圆机汇总表!X$14),SUMIFS(yj!$H:$H,yj!$B:$B,小圆机汇总表!$A36,yj!$G:$G,小圆机汇总表!$I$13&amp;"/"&amp;小圆机汇总表!$J$13&amp;"/"&amp;小圆机汇总表!X$14))</f>
        <v>0</v>
      </c>
      <c r="Y36" s="18">
        <f>IF($K$13="件数",SUMIFS(yj!$I:$I,yj!$B:$B,小圆机汇总表!$A36,yj!$G:$G,小圆机汇总表!$I$13&amp;"/"&amp;小圆机汇总表!$J$13&amp;"/"&amp;小圆机汇总表!Y$14),SUMIFS(yj!$H:$H,yj!$B:$B,小圆机汇总表!$A36,yj!$G:$G,小圆机汇总表!$I$13&amp;"/"&amp;小圆机汇总表!$J$13&amp;"/"&amp;小圆机汇总表!Y$14))</f>
        <v>0</v>
      </c>
      <c r="Z36" s="18">
        <f>IF($K$13="件数",SUMIFS(yj!$I:$I,yj!$B:$B,小圆机汇总表!$A36,yj!$G:$G,小圆机汇总表!$I$13&amp;"/"&amp;小圆机汇总表!$J$13&amp;"/"&amp;小圆机汇总表!Z$14),SUMIFS(yj!$H:$H,yj!$B:$B,小圆机汇总表!$A36,yj!$G:$G,小圆机汇总表!$I$13&amp;"/"&amp;小圆机汇总表!$J$13&amp;"/"&amp;小圆机汇总表!Z$14))</f>
        <v>0</v>
      </c>
      <c r="AA36" s="18">
        <f>IF($K$13="件数",SUMIFS(yj!$I:$I,yj!$B:$B,小圆机汇总表!$A36,yj!$G:$G,小圆机汇总表!$I$13&amp;"/"&amp;小圆机汇总表!$J$13&amp;"/"&amp;小圆机汇总表!AA$14),SUMIFS(yj!$H:$H,yj!$B:$B,小圆机汇总表!$A36,yj!$G:$G,小圆机汇总表!$I$13&amp;"/"&amp;小圆机汇总表!$J$13&amp;"/"&amp;小圆机汇总表!AA$14))</f>
        <v>0</v>
      </c>
      <c r="AB36" s="18">
        <f>IF($K$13="件数",SUMIFS(yj!$I:$I,yj!$B:$B,小圆机汇总表!$A36,yj!$G:$G,小圆机汇总表!$I$13&amp;"/"&amp;小圆机汇总表!$J$13&amp;"/"&amp;小圆机汇总表!AB$14),SUMIFS(yj!$H:$H,yj!$B:$B,小圆机汇总表!$A36,yj!$G:$G,小圆机汇总表!$I$13&amp;"/"&amp;小圆机汇总表!$J$13&amp;"/"&amp;小圆机汇总表!AB$14))</f>
        <v>0</v>
      </c>
      <c r="AC36" s="18">
        <f>IF($K$13="件数",SUMIFS(yj!$I:$I,yj!$B:$B,小圆机汇总表!$A36,yj!$G:$G,小圆机汇总表!$I$13&amp;"/"&amp;小圆机汇总表!$J$13&amp;"/"&amp;小圆机汇总表!AC$14),SUMIFS(yj!$H:$H,yj!$B:$B,小圆机汇总表!$A36,yj!$G:$G,小圆机汇总表!$I$13&amp;"/"&amp;小圆机汇总表!$J$13&amp;"/"&amp;小圆机汇总表!AC$14))</f>
        <v>0</v>
      </c>
      <c r="AD36" s="18">
        <f>IF($K$13="件数",SUMIFS(yj!$I:$I,yj!$B:$B,小圆机汇总表!$A36,yj!$G:$G,小圆机汇总表!$I$13&amp;"/"&amp;小圆机汇总表!$J$13&amp;"/"&amp;小圆机汇总表!AD$14),SUMIFS(yj!$H:$H,yj!$B:$B,小圆机汇总表!$A36,yj!$G:$G,小圆机汇总表!$I$13&amp;"/"&amp;小圆机汇总表!$J$13&amp;"/"&amp;小圆机汇总表!AD$14))</f>
        <v>0</v>
      </c>
      <c r="AE36" s="18">
        <f>IF($K$13="件数",SUMIFS(yj!$I:$I,yj!$B:$B,小圆机汇总表!$A36,yj!$G:$G,小圆机汇总表!$I$13&amp;"/"&amp;小圆机汇总表!$J$13&amp;"/"&amp;小圆机汇总表!AE$14),SUMIFS(yj!$H:$H,yj!$B:$B,小圆机汇总表!$A36,yj!$G:$G,小圆机汇总表!$I$13&amp;"/"&amp;小圆机汇总表!$J$13&amp;"/"&amp;小圆机汇总表!AE$14))</f>
        <v>0</v>
      </c>
      <c r="AF36" s="18">
        <f>IF($K$13="件数",SUMIFS(yj!$I:$I,yj!$B:$B,小圆机汇总表!$A36,yj!$G:$G,小圆机汇总表!$I$13&amp;"/"&amp;小圆机汇总表!$J$13&amp;"/"&amp;小圆机汇总表!AF$14),SUMIFS(yj!$H:$H,yj!$B:$B,小圆机汇总表!$A36,yj!$G:$G,小圆机汇总表!$I$13&amp;"/"&amp;小圆机汇总表!$J$13&amp;"/"&amp;小圆机汇总表!AF$14))</f>
        <v>0</v>
      </c>
      <c r="AG36" s="18">
        <f>IF($K$13="件数",SUMIFS(yj!$I:$I,yj!$B:$B,小圆机汇总表!$A36,yj!$G:$G,小圆机汇总表!$I$13&amp;"/"&amp;小圆机汇总表!$J$13&amp;"/"&amp;小圆机汇总表!AG$14),SUMIFS(yj!$H:$H,yj!$B:$B,小圆机汇总表!$A36,yj!$G:$G,小圆机汇总表!$I$13&amp;"/"&amp;小圆机汇总表!$J$13&amp;"/"&amp;小圆机汇总表!AG$14))</f>
        <v>0</v>
      </c>
      <c r="AH36" s="18">
        <f>IF($K$13="件数",SUMIFS(yj!$I:$I,yj!$B:$B,小圆机汇总表!$A36,yj!$G:$G,小圆机汇总表!$I$13&amp;"/"&amp;小圆机汇总表!$J$13&amp;"/"&amp;小圆机汇总表!AH$14),SUMIFS(yj!$H:$H,yj!$B:$B,小圆机汇总表!$A36,yj!$G:$G,小圆机汇总表!$I$13&amp;"/"&amp;小圆机汇总表!$J$13&amp;"/"&amp;小圆机汇总表!AH$14))</f>
        <v>0</v>
      </c>
      <c r="AI36" s="18">
        <f>IF($K$13="件数",SUMIFS(yj!$I:$I,yj!$B:$B,小圆机汇总表!$A36,yj!$G:$G,小圆机汇总表!$I$13&amp;"/"&amp;小圆机汇总表!$J$13&amp;"/"&amp;小圆机汇总表!AI$14),SUMIFS(yj!$H:$H,yj!$B:$B,小圆机汇总表!$A36,yj!$G:$G,小圆机汇总表!$I$13&amp;"/"&amp;小圆机汇总表!$J$13&amp;"/"&amp;小圆机汇总表!AI$14))</f>
        <v>0</v>
      </c>
      <c r="AJ36" s="18">
        <f>IF($K$13="件数",SUMIFS(yj!$I:$I,yj!$B:$B,小圆机汇总表!$A36,yj!$G:$G,小圆机汇总表!$I$13&amp;"/"&amp;小圆机汇总表!$J$13&amp;"/"&amp;小圆机汇总表!AJ$14),SUMIFS(yj!$H:$H,yj!$B:$B,小圆机汇总表!$A36,yj!$G:$G,小圆机汇总表!$I$13&amp;"/"&amp;小圆机汇总表!$J$13&amp;"/"&amp;小圆机汇总表!AJ$14))</f>
        <v>0</v>
      </c>
      <c r="AK36" s="18">
        <f>IF($K$13="件数",SUMIFS(yj!$I:$I,yj!$B:$B,小圆机汇总表!$A36,yj!$G:$G,小圆机汇总表!$I$13&amp;"/"&amp;小圆机汇总表!$J$13&amp;"/"&amp;小圆机汇总表!AK$14),SUMIFS(yj!$H:$H,yj!$B:$B,小圆机汇总表!$A36,yj!$G:$G,小圆机汇总表!$I$13&amp;"/"&amp;小圆机汇总表!$J$13&amp;"/"&amp;小圆机汇总表!AK$14))</f>
        <v>0</v>
      </c>
      <c r="AL36" s="18">
        <f>IF($K$13="件数",SUMIFS(yj!$I:$I,yj!$B:$B,小圆机汇总表!$A36,yj!$G:$G,小圆机汇总表!$I$13&amp;"/"&amp;小圆机汇总表!$J$13&amp;"/"&amp;小圆机汇总表!AL$14),SUMIFS(yj!$H:$H,yj!$B:$B,小圆机汇总表!$A36,yj!$G:$G,小圆机汇总表!$I$13&amp;"/"&amp;小圆机汇总表!$J$13&amp;"/"&amp;小圆机汇总表!AL$14))</f>
        <v>0</v>
      </c>
      <c r="AM36" s="18">
        <f>IF($K$13="件数",SUMIFS(yj!$I:$I,yj!$B:$B,小圆机汇总表!$A36,yj!$G:$G,小圆机汇总表!$I$13&amp;"/"&amp;小圆机汇总表!$J$13&amp;"/"&amp;小圆机汇总表!AM$14),SUMIFS(yj!$H:$H,yj!$B:$B,小圆机汇总表!$A36,yj!$G:$G,小圆机汇总表!$I$13&amp;"/"&amp;小圆机汇总表!$J$13&amp;"/"&amp;小圆机汇总表!AM$14))</f>
        <v>0</v>
      </c>
      <c r="AN36" s="18">
        <f>IF($K$13="件数",SUMIFS(yj!$I:$I,yj!$B:$B,小圆机汇总表!$A36,yj!$G:$G,小圆机汇总表!$I$13&amp;"/"&amp;小圆机汇总表!$J$13&amp;"/"&amp;小圆机汇总表!AN$14),SUMIFS(yj!$H:$H,yj!$B:$B,小圆机汇总表!$A36,yj!$G:$G,小圆机汇总表!$I$13&amp;"/"&amp;小圆机汇总表!$J$13&amp;"/"&amp;小圆机汇总表!AN$14))</f>
        <v>0</v>
      </c>
      <c r="AO36" s="18">
        <f>IF($K$13="件数",SUMIFS(yj!$I:$I,yj!$B:$B,小圆机汇总表!$A36,yj!$G:$G,小圆机汇总表!$I$13&amp;"/"&amp;小圆机汇总表!$J$13&amp;"/"&amp;小圆机汇总表!AO$14),SUMIFS(yj!$H:$H,yj!$B:$B,小圆机汇总表!$A36,yj!$G:$G,小圆机汇总表!$I$13&amp;"/"&amp;小圆机汇总表!$J$13&amp;"/"&amp;小圆机汇总表!AO$14))</f>
        <v>0</v>
      </c>
      <c r="AP36" s="18">
        <f>IF($K$13="件数",SUMIFS(yj!$I:$I,yj!$B:$B,小圆机汇总表!$A36,yj!$G:$G,小圆机汇总表!$I$13&amp;"/"&amp;小圆机汇总表!$J$13&amp;"/"&amp;小圆机汇总表!AP$14),SUMIFS(yj!$H:$H,yj!$B:$B,小圆机汇总表!$A36,yj!$G:$G,小圆机汇总表!$I$13&amp;"/"&amp;小圆机汇总表!$J$13&amp;"/"&amp;小圆机汇总表!AP$14))</f>
        <v>0</v>
      </c>
      <c r="AQ36" s="18">
        <f>IF($K$13="件数",SUMIFS(yj!$I:$I,yj!$B:$B,小圆机汇总表!$A36,yj!$G:$G,小圆机汇总表!$I$13&amp;"/"&amp;小圆机汇总表!$J$13&amp;"/"&amp;小圆机汇总表!AQ$14),SUMIFS(yj!$H:$H,yj!$B:$B,小圆机汇总表!$A36,yj!$G:$G,小圆机汇总表!$I$13&amp;"/"&amp;小圆机汇总表!$J$13&amp;"/"&amp;小圆机汇总表!AQ$14))</f>
        <v>0</v>
      </c>
    </row>
    <row r="37" spans="1:43" ht="18" customHeight="1">
      <c r="A37" s="13" t="s">
        <v>76</v>
      </c>
      <c r="B37" s="14" t="s">
        <v>72</v>
      </c>
      <c r="C37" s="17">
        <v>50</v>
      </c>
      <c r="D37" s="17" t="s">
        <v>968</v>
      </c>
      <c r="E37" s="13" t="s">
        <v>2</v>
      </c>
      <c r="F37" s="13">
        <v>160</v>
      </c>
      <c r="G37" s="13">
        <v>32</v>
      </c>
      <c r="H37" s="14" t="s">
        <v>77</v>
      </c>
      <c r="I37" s="13"/>
      <c r="J37" s="182">
        <f ca="1">IF(SUMIFS(yj!$I:$I,yj!$B:$B,小圆机汇总表!A37,yj!$G:$G,小圆机汇总表!$L$13)&gt;0,SUMIFS(yj!$H:$H,yj!$B:$B,小圆机汇总表!A37,yj!$G:$G,小圆机汇总表!$L$13),0)</f>
        <v>0</v>
      </c>
      <c r="K37" s="15">
        <f>SUMIFS(yj!$H:$H,yj!$B:$B,小圆机汇总表!A37,yj!$M:$M,小圆机汇总表!$J$13)</f>
        <v>0</v>
      </c>
      <c r="L37" s="15">
        <f>SUMIFS(yj!$I:$I,yj!$B:$B,小圆机汇总表!A37,yj!$M:$M,小圆机汇总表!$J$13)</f>
        <v>0</v>
      </c>
      <c r="M37" s="18">
        <f>IF($K$13="件数",SUMIFS(yj!$I:$I,yj!$B:$B,小圆机汇总表!$A37,yj!$G:$G,小圆机汇总表!$I$13&amp;"/"&amp;小圆机汇总表!$J$13&amp;"/"&amp;小圆机汇总表!M$14),SUMIFS(yj!$H:$H,yj!$B:$B,小圆机汇总表!$A37,yj!$G:$G,小圆机汇总表!$I$13&amp;"/"&amp;小圆机汇总表!$J$13&amp;"/"&amp;小圆机汇总表!M$14))</f>
        <v>0</v>
      </c>
      <c r="N37" s="18">
        <f>IF($K$13="件数",SUMIFS(yj!$I:$I,yj!$B:$B,小圆机汇总表!$A37,yj!$G:$G,小圆机汇总表!$I$13&amp;"/"&amp;小圆机汇总表!$J$13&amp;"/"&amp;小圆机汇总表!N$14),SUMIFS(yj!$H:$H,yj!$B:$B,小圆机汇总表!$A37,yj!$G:$G,小圆机汇总表!$I$13&amp;"/"&amp;小圆机汇总表!$J$13&amp;"/"&amp;小圆机汇总表!N$14))</f>
        <v>0</v>
      </c>
      <c r="O37" s="18">
        <f>IF($K$13="件数",SUMIFS(yj!$I:$I,yj!$B:$B,小圆机汇总表!$A37,yj!$G:$G,小圆机汇总表!$I$13&amp;"/"&amp;小圆机汇总表!$J$13&amp;"/"&amp;小圆机汇总表!O$14),SUMIFS(yj!$H:$H,yj!$B:$B,小圆机汇总表!$A37,yj!$G:$G,小圆机汇总表!$I$13&amp;"/"&amp;小圆机汇总表!$J$13&amp;"/"&amp;小圆机汇总表!O$14))</f>
        <v>0</v>
      </c>
      <c r="P37" s="18">
        <f>IF($K$13="件数",SUMIFS(yj!$I:$I,yj!$B:$B,小圆机汇总表!$A37,yj!$G:$G,小圆机汇总表!$I$13&amp;"/"&amp;小圆机汇总表!$J$13&amp;"/"&amp;小圆机汇总表!P$14),SUMIFS(yj!$H:$H,yj!$B:$B,小圆机汇总表!$A37,yj!$G:$G,小圆机汇总表!$I$13&amp;"/"&amp;小圆机汇总表!$J$13&amp;"/"&amp;小圆机汇总表!P$14))</f>
        <v>0</v>
      </c>
      <c r="Q37" s="18">
        <f>IF($K$13="件数",SUMIFS(yj!$I:$I,yj!$B:$B,小圆机汇总表!$A37,yj!$G:$G,小圆机汇总表!$I$13&amp;"/"&amp;小圆机汇总表!$J$13&amp;"/"&amp;小圆机汇总表!Q$14),SUMIFS(yj!$H:$H,yj!$B:$B,小圆机汇总表!$A37,yj!$G:$G,小圆机汇总表!$I$13&amp;"/"&amp;小圆机汇总表!$J$13&amp;"/"&amp;小圆机汇总表!Q$14))</f>
        <v>0</v>
      </c>
      <c r="R37" s="18">
        <f>IF($K$13="件数",SUMIFS(yj!$I:$I,yj!$B:$B,小圆机汇总表!$A37,yj!$G:$G,小圆机汇总表!$I$13&amp;"/"&amp;小圆机汇总表!$J$13&amp;"/"&amp;小圆机汇总表!R$14),SUMIFS(yj!$H:$H,yj!$B:$B,小圆机汇总表!$A37,yj!$G:$G,小圆机汇总表!$I$13&amp;"/"&amp;小圆机汇总表!$J$13&amp;"/"&amp;小圆机汇总表!R$14))</f>
        <v>0</v>
      </c>
      <c r="S37" s="18">
        <f>IF($K$13="件数",SUMIFS(yj!$I:$I,yj!$B:$B,小圆机汇总表!$A37,yj!$G:$G,小圆机汇总表!$I$13&amp;"/"&amp;小圆机汇总表!$J$13&amp;"/"&amp;小圆机汇总表!S$14),SUMIFS(yj!$H:$H,yj!$B:$B,小圆机汇总表!$A37,yj!$G:$G,小圆机汇总表!$I$13&amp;"/"&amp;小圆机汇总表!$J$13&amp;"/"&amp;小圆机汇总表!S$14))</f>
        <v>0</v>
      </c>
      <c r="T37" s="18">
        <f>IF($K$13="件数",SUMIFS(yj!$I:$I,yj!$B:$B,小圆机汇总表!$A37,yj!$G:$G,小圆机汇总表!$I$13&amp;"/"&amp;小圆机汇总表!$J$13&amp;"/"&amp;小圆机汇总表!T$14),SUMIFS(yj!$H:$H,yj!$B:$B,小圆机汇总表!$A37,yj!$G:$G,小圆机汇总表!$I$13&amp;"/"&amp;小圆机汇总表!$J$13&amp;"/"&amp;小圆机汇总表!T$14))</f>
        <v>0</v>
      </c>
      <c r="U37" s="18">
        <f>IF($K$13="件数",SUMIFS(yj!$I:$I,yj!$B:$B,小圆机汇总表!$A37,yj!$G:$G,小圆机汇总表!$I$13&amp;"/"&amp;小圆机汇总表!$J$13&amp;"/"&amp;小圆机汇总表!U$14),SUMIFS(yj!$H:$H,yj!$B:$B,小圆机汇总表!$A37,yj!$G:$G,小圆机汇总表!$I$13&amp;"/"&amp;小圆机汇总表!$J$13&amp;"/"&amp;小圆机汇总表!U$14))</f>
        <v>0</v>
      </c>
      <c r="V37" s="18">
        <f>IF($K$13="件数",SUMIFS(yj!$I:$I,yj!$B:$B,小圆机汇总表!$A37,yj!$G:$G,小圆机汇总表!$I$13&amp;"/"&amp;小圆机汇总表!$J$13&amp;"/"&amp;小圆机汇总表!V$14),SUMIFS(yj!$H:$H,yj!$B:$B,小圆机汇总表!$A37,yj!$G:$G,小圆机汇总表!$I$13&amp;"/"&amp;小圆机汇总表!$J$13&amp;"/"&amp;小圆机汇总表!V$14))</f>
        <v>0</v>
      </c>
      <c r="W37" s="18">
        <f>IF($K$13="件数",SUMIFS(yj!$I:$I,yj!$B:$B,小圆机汇总表!$A37,yj!$G:$G,小圆机汇总表!$I$13&amp;"/"&amp;小圆机汇总表!$J$13&amp;"/"&amp;小圆机汇总表!W$14),SUMIFS(yj!$H:$H,yj!$B:$B,小圆机汇总表!$A37,yj!$G:$G,小圆机汇总表!$I$13&amp;"/"&amp;小圆机汇总表!$J$13&amp;"/"&amp;小圆机汇总表!W$14))</f>
        <v>0</v>
      </c>
      <c r="X37" s="18">
        <f>IF($K$13="件数",SUMIFS(yj!$I:$I,yj!$B:$B,小圆机汇总表!$A37,yj!$G:$G,小圆机汇总表!$I$13&amp;"/"&amp;小圆机汇总表!$J$13&amp;"/"&amp;小圆机汇总表!X$14),SUMIFS(yj!$H:$H,yj!$B:$B,小圆机汇总表!$A37,yj!$G:$G,小圆机汇总表!$I$13&amp;"/"&amp;小圆机汇总表!$J$13&amp;"/"&amp;小圆机汇总表!X$14))</f>
        <v>0</v>
      </c>
      <c r="Y37" s="18">
        <f>IF($K$13="件数",SUMIFS(yj!$I:$I,yj!$B:$B,小圆机汇总表!$A37,yj!$G:$G,小圆机汇总表!$I$13&amp;"/"&amp;小圆机汇总表!$J$13&amp;"/"&amp;小圆机汇总表!Y$14),SUMIFS(yj!$H:$H,yj!$B:$B,小圆机汇总表!$A37,yj!$G:$G,小圆机汇总表!$I$13&amp;"/"&amp;小圆机汇总表!$J$13&amp;"/"&amp;小圆机汇总表!Y$14))</f>
        <v>0</v>
      </c>
      <c r="Z37" s="18">
        <f>IF($K$13="件数",SUMIFS(yj!$I:$I,yj!$B:$B,小圆机汇总表!$A37,yj!$G:$G,小圆机汇总表!$I$13&amp;"/"&amp;小圆机汇总表!$J$13&amp;"/"&amp;小圆机汇总表!Z$14),SUMIFS(yj!$H:$H,yj!$B:$B,小圆机汇总表!$A37,yj!$G:$G,小圆机汇总表!$I$13&amp;"/"&amp;小圆机汇总表!$J$13&amp;"/"&amp;小圆机汇总表!Z$14))</f>
        <v>0</v>
      </c>
      <c r="AA37" s="18">
        <f>IF($K$13="件数",SUMIFS(yj!$I:$I,yj!$B:$B,小圆机汇总表!$A37,yj!$G:$G,小圆机汇总表!$I$13&amp;"/"&amp;小圆机汇总表!$J$13&amp;"/"&amp;小圆机汇总表!AA$14),SUMIFS(yj!$H:$H,yj!$B:$B,小圆机汇总表!$A37,yj!$G:$G,小圆机汇总表!$I$13&amp;"/"&amp;小圆机汇总表!$J$13&amp;"/"&amp;小圆机汇总表!AA$14))</f>
        <v>0</v>
      </c>
      <c r="AB37" s="18">
        <f>IF($K$13="件数",SUMIFS(yj!$I:$I,yj!$B:$B,小圆机汇总表!$A37,yj!$G:$G,小圆机汇总表!$I$13&amp;"/"&amp;小圆机汇总表!$J$13&amp;"/"&amp;小圆机汇总表!AB$14),SUMIFS(yj!$H:$H,yj!$B:$B,小圆机汇总表!$A37,yj!$G:$G,小圆机汇总表!$I$13&amp;"/"&amp;小圆机汇总表!$J$13&amp;"/"&amp;小圆机汇总表!AB$14))</f>
        <v>0</v>
      </c>
      <c r="AC37" s="18">
        <f>IF($K$13="件数",SUMIFS(yj!$I:$I,yj!$B:$B,小圆机汇总表!$A37,yj!$G:$G,小圆机汇总表!$I$13&amp;"/"&amp;小圆机汇总表!$J$13&amp;"/"&amp;小圆机汇总表!AC$14),SUMIFS(yj!$H:$H,yj!$B:$B,小圆机汇总表!$A37,yj!$G:$G,小圆机汇总表!$I$13&amp;"/"&amp;小圆机汇总表!$J$13&amp;"/"&amp;小圆机汇总表!AC$14))</f>
        <v>0</v>
      </c>
      <c r="AD37" s="18">
        <f>IF($K$13="件数",SUMIFS(yj!$I:$I,yj!$B:$B,小圆机汇总表!$A37,yj!$G:$G,小圆机汇总表!$I$13&amp;"/"&amp;小圆机汇总表!$J$13&amp;"/"&amp;小圆机汇总表!AD$14),SUMIFS(yj!$H:$H,yj!$B:$B,小圆机汇总表!$A37,yj!$G:$G,小圆机汇总表!$I$13&amp;"/"&amp;小圆机汇总表!$J$13&amp;"/"&amp;小圆机汇总表!AD$14))</f>
        <v>0</v>
      </c>
      <c r="AE37" s="18">
        <f>IF($K$13="件数",SUMIFS(yj!$I:$I,yj!$B:$B,小圆机汇总表!$A37,yj!$G:$G,小圆机汇总表!$I$13&amp;"/"&amp;小圆机汇总表!$J$13&amp;"/"&amp;小圆机汇总表!AE$14),SUMIFS(yj!$H:$H,yj!$B:$B,小圆机汇总表!$A37,yj!$G:$G,小圆机汇总表!$I$13&amp;"/"&amp;小圆机汇总表!$J$13&amp;"/"&amp;小圆机汇总表!AE$14))</f>
        <v>0</v>
      </c>
      <c r="AF37" s="18">
        <f>IF($K$13="件数",SUMIFS(yj!$I:$I,yj!$B:$B,小圆机汇总表!$A37,yj!$G:$G,小圆机汇总表!$I$13&amp;"/"&amp;小圆机汇总表!$J$13&amp;"/"&amp;小圆机汇总表!AF$14),SUMIFS(yj!$H:$H,yj!$B:$B,小圆机汇总表!$A37,yj!$G:$G,小圆机汇总表!$I$13&amp;"/"&amp;小圆机汇总表!$J$13&amp;"/"&amp;小圆机汇总表!AF$14))</f>
        <v>0</v>
      </c>
      <c r="AG37" s="18">
        <f>IF($K$13="件数",SUMIFS(yj!$I:$I,yj!$B:$B,小圆机汇总表!$A37,yj!$G:$G,小圆机汇总表!$I$13&amp;"/"&amp;小圆机汇总表!$J$13&amp;"/"&amp;小圆机汇总表!AG$14),SUMIFS(yj!$H:$H,yj!$B:$B,小圆机汇总表!$A37,yj!$G:$G,小圆机汇总表!$I$13&amp;"/"&amp;小圆机汇总表!$J$13&amp;"/"&amp;小圆机汇总表!AG$14))</f>
        <v>0</v>
      </c>
      <c r="AH37" s="18">
        <f>IF($K$13="件数",SUMIFS(yj!$I:$I,yj!$B:$B,小圆机汇总表!$A37,yj!$G:$G,小圆机汇总表!$I$13&amp;"/"&amp;小圆机汇总表!$J$13&amp;"/"&amp;小圆机汇总表!AH$14),SUMIFS(yj!$H:$H,yj!$B:$B,小圆机汇总表!$A37,yj!$G:$G,小圆机汇总表!$I$13&amp;"/"&amp;小圆机汇总表!$J$13&amp;"/"&amp;小圆机汇总表!AH$14))</f>
        <v>0</v>
      </c>
      <c r="AI37" s="18">
        <f>IF($K$13="件数",SUMIFS(yj!$I:$I,yj!$B:$B,小圆机汇总表!$A37,yj!$G:$G,小圆机汇总表!$I$13&amp;"/"&amp;小圆机汇总表!$J$13&amp;"/"&amp;小圆机汇总表!AI$14),SUMIFS(yj!$H:$H,yj!$B:$B,小圆机汇总表!$A37,yj!$G:$G,小圆机汇总表!$I$13&amp;"/"&amp;小圆机汇总表!$J$13&amp;"/"&amp;小圆机汇总表!AI$14))</f>
        <v>0</v>
      </c>
      <c r="AJ37" s="18">
        <f>IF($K$13="件数",SUMIFS(yj!$I:$I,yj!$B:$B,小圆机汇总表!$A37,yj!$G:$G,小圆机汇总表!$I$13&amp;"/"&amp;小圆机汇总表!$J$13&amp;"/"&amp;小圆机汇总表!AJ$14),SUMIFS(yj!$H:$H,yj!$B:$B,小圆机汇总表!$A37,yj!$G:$G,小圆机汇总表!$I$13&amp;"/"&amp;小圆机汇总表!$J$13&amp;"/"&amp;小圆机汇总表!AJ$14))</f>
        <v>0</v>
      </c>
      <c r="AK37" s="18">
        <f>IF($K$13="件数",SUMIFS(yj!$I:$I,yj!$B:$B,小圆机汇总表!$A37,yj!$G:$G,小圆机汇总表!$I$13&amp;"/"&amp;小圆机汇总表!$J$13&amp;"/"&amp;小圆机汇总表!AK$14),SUMIFS(yj!$H:$H,yj!$B:$B,小圆机汇总表!$A37,yj!$G:$G,小圆机汇总表!$I$13&amp;"/"&amp;小圆机汇总表!$J$13&amp;"/"&amp;小圆机汇总表!AK$14))</f>
        <v>0</v>
      </c>
      <c r="AL37" s="18">
        <f>IF($K$13="件数",SUMIFS(yj!$I:$I,yj!$B:$B,小圆机汇总表!$A37,yj!$G:$G,小圆机汇总表!$I$13&amp;"/"&amp;小圆机汇总表!$J$13&amp;"/"&amp;小圆机汇总表!AL$14),SUMIFS(yj!$H:$H,yj!$B:$B,小圆机汇总表!$A37,yj!$G:$G,小圆机汇总表!$I$13&amp;"/"&amp;小圆机汇总表!$J$13&amp;"/"&amp;小圆机汇总表!AL$14))</f>
        <v>0</v>
      </c>
      <c r="AM37" s="18">
        <f>IF($K$13="件数",SUMIFS(yj!$I:$I,yj!$B:$B,小圆机汇总表!$A37,yj!$G:$G,小圆机汇总表!$I$13&amp;"/"&amp;小圆机汇总表!$J$13&amp;"/"&amp;小圆机汇总表!AM$14),SUMIFS(yj!$H:$H,yj!$B:$B,小圆机汇总表!$A37,yj!$G:$G,小圆机汇总表!$I$13&amp;"/"&amp;小圆机汇总表!$J$13&amp;"/"&amp;小圆机汇总表!AM$14))</f>
        <v>0</v>
      </c>
      <c r="AN37" s="18">
        <f>IF($K$13="件数",SUMIFS(yj!$I:$I,yj!$B:$B,小圆机汇总表!$A37,yj!$G:$G,小圆机汇总表!$I$13&amp;"/"&amp;小圆机汇总表!$J$13&amp;"/"&amp;小圆机汇总表!AN$14),SUMIFS(yj!$H:$H,yj!$B:$B,小圆机汇总表!$A37,yj!$G:$G,小圆机汇总表!$I$13&amp;"/"&amp;小圆机汇总表!$J$13&amp;"/"&amp;小圆机汇总表!AN$14))</f>
        <v>0</v>
      </c>
      <c r="AO37" s="18">
        <f>IF($K$13="件数",SUMIFS(yj!$I:$I,yj!$B:$B,小圆机汇总表!$A37,yj!$G:$G,小圆机汇总表!$I$13&amp;"/"&amp;小圆机汇总表!$J$13&amp;"/"&amp;小圆机汇总表!AO$14),SUMIFS(yj!$H:$H,yj!$B:$B,小圆机汇总表!$A37,yj!$G:$G,小圆机汇总表!$I$13&amp;"/"&amp;小圆机汇总表!$J$13&amp;"/"&amp;小圆机汇总表!AO$14))</f>
        <v>0</v>
      </c>
      <c r="AP37" s="18">
        <f>IF($K$13="件数",SUMIFS(yj!$I:$I,yj!$B:$B,小圆机汇总表!$A37,yj!$G:$G,小圆机汇总表!$I$13&amp;"/"&amp;小圆机汇总表!$J$13&amp;"/"&amp;小圆机汇总表!AP$14),SUMIFS(yj!$H:$H,yj!$B:$B,小圆机汇总表!$A37,yj!$G:$G,小圆机汇总表!$I$13&amp;"/"&amp;小圆机汇总表!$J$13&amp;"/"&amp;小圆机汇总表!AP$14))</f>
        <v>0</v>
      </c>
      <c r="AQ37" s="18">
        <f>IF($K$13="件数",SUMIFS(yj!$I:$I,yj!$B:$B,小圆机汇总表!$A37,yj!$G:$G,小圆机汇总表!$I$13&amp;"/"&amp;小圆机汇总表!$J$13&amp;"/"&amp;小圆机汇总表!AQ$14),SUMIFS(yj!$H:$H,yj!$B:$B,小圆机汇总表!$A37,yj!$G:$G,小圆机汇总表!$I$13&amp;"/"&amp;小圆机汇总表!$J$13&amp;"/"&amp;小圆机汇总表!AQ$14))</f>
        <v>0</v>
      </c>
    </row>
    <row r="38" spans="1:43" ht="18" hidden="1" customHeight="1">
      <c r="A38" s="13" t="s">
        <v>78</v>
      </c>
      <c r="B38" s="14" t="s">
        <v>78</v>
      </c>
      <c r="C38" s="17">
        <v>50</v>
      </c>
      <c r="D38" s="17" t="s">
        <v>38</v>
      </c>
      <c r="E38" s="13" t="s">
        <v>2</v>
      </c>
      <c r="F38" s="13">
        <v>160</v>
      </c>
      <c r="G38" s="13">
        <v>40</v>
      </c>
      <c r="H38" s="14" t="s">
        <v>39</v>
      </c>
      <c r="I38" s="13"/>
      <c r="J38" s="182">
        <f ca="1">IF(SUMIFS(yj!$I:$I,yj!$B:$B,小圆机汇总表!A38,yj!$G:$G,小圆机汇总表!$L$13)&gt;0,SUMIFS(yj!$H:$H,yj!$B:$B,小圆机汇总表!A38,yj!$G:$G,小圆机汇总表!$L$13),0)</f>
        <v>0</v>
      </c>
      <c r="K38" s="15">
        <f>SUMIFS(yj!$H:$H,yj!$B:$B,小圆机汇总表!A38,yj!$M:$M,小圆机汇总表!$J$13)</f>
        <v>0</v>
      </c>
      <c r="L38" s="15">
        <f>SUMIFS(yj!$I:$I,yj!$B:$B,小圆机汇总表!A38,yj!$M:$M,小圆机汇总表!$J$13)</f>
        <v>0</v>
      </c>
      <c r="M38" s="18">
        <f>IF($K$13="件数",SUMIFS(yj!$I:$I,yj!$B:$B,小圆机汇总表!$A38,yj!$G:$G,小圆机汇总表!$I$13&amp;"/"&amp;小圆机汇总表!$J$13&amp;"/"&amp;小圆机汇总表!M$14),SUMIFS(yj!$H:$H,yj!$B:$B,小圆机汇总表!$A38,yj!$G:$G,小圆机汇总表!$I$13&amp;"/"&amp;小圆机汇总表!$J$13&amp;"/"&amp;小圆机汇总表!M$14))</f>
        <v>0</v>
      </c>
      <c r="N38" s="18">
        <f>IF($K$13="件数",SUMIFS(yj!$I:$I,yj!$B:$B,小圆机汇总表!$A38,yj!$G:$G,小圆机汇总表!$I$13&amp;"/"&amp;小圆机汇总表!$J$13&amp;"/"&amp;小圆机汇总表!N$14),SUMIFS(yj!$H:$H,yj!$B:$B,小圆机汇总表!$A38,yj!$G:$G,小圆机汇总表!$I$13&amp;"/"&amp;小圆机汇总表!$J$13&amp;"/"&amp;小圆机汇总表!N$14))</f>
        <v>0</v>
      </c>
      <c r="O38" s="18">
        <f>IF($K$13="件数",SUMIFS(yj!$I:$I,yj!$B:$B,小圆机汇总表!$A38,yj!$G:$G,小圆机汇总表!$I$13&amp;"/"&amp;小圆机汇总表!$J$13&amp;"/"&amp;小圆机汇总表!O$14),SUMIFS(yj!$H:$H,yj!$B:$B,小圆机汇总表!$A38,yj!$G:$G,小圆机汇总表!$I$13&amp;"/"&amp;小圆机汇总表!$J$13&amp;"/"&amp;小圆机汇总表!O$14))</f>
        <v>0</v>
      </c>
      <c r="P38" s="18">
        <f>IF($K$13="件数",SUMIFS(yj!$I:$I,yj!$B:$B,小圆机汇总表!$A38,yj!$G:$G,小圆机汇总表!$I$13&amp;"/"&amp;小圆机汇总表!$J$13&amp;"/"&amp;小圆机汇总表!P$14),SUMIFS(yj!$H:$H,yj!$B:$B,小圆机汇总表!$A38,yj!$G:$G,小圆机汇总表!$I$13&amp;"/"&amp;小圆机汇总表!$J$13&amp;"/"&amp;小圆机汇总表!P$14))</f>
        <v>0</v>
      </c>
      <c r="Q38" s="18">
        <f>IF($K$13="件数",SUMIFS(yj!$I:$I,yj!$B:$B,小圆机汇总表!$A38,yj!$G:$G,小圆机汇总表!$I$13&amp;"/"&amp;小圆机汇总表!$J$13&amp;"/"&amp;小圆机汇总表!Q$14),SUMIFS(yj!$H:$H,yj!$B:$B,小圆机汇总表!$A38,yj!$G:$G,小圆机汇总表!$I$13&amp;"/"&amp;小圆机汇总表!$J$13&amp;"/"&amp;小圆机汇总表!Q$14))</f>
        <v>0</v>
      </c>
      <c r="R38" s="18">
        <f>IF($K$13="件数",SUMIFS(yj!$I:$I,yj!$B:$B,小圆机汇总表!$A38,yj!$G:$G,小圆机汇总表!$I$13&amp;"/"&amp;小圆机汇总表!$J$13&amp;"/"&amp;小圆机汇总表!R$14),SUMIFS(yj!$H:$H,yj!$B:$B,小圆机汇总表!$A38,yj!$G:$G,小圆机汇总表!$I$13&amp;"/"&amp;小圆机汇总表!$J$13&amp;"/"&amp;小圆机汇总表!R$14))</f>
        <v>0</v>
      </c>
      <c r="S38" s="18">
        <f>IF($K$13="件数",SUMIFS(yj!$I:$I,yj!$B:$B,小圆机汇总表!$A38,yj!$G:$G,小圆机汇总表!$I$13&amp;"/"&amp;小圆机汇总表!$J$13&amp;"/"&amp;小圆机汇总表!S$14),SUMIFS(yj!$H:$H,yj!$B:$B,小圆机汇总表!$A38,yj!$G:$G,小圆机汇总表!$I$13&amp;"/"&amp;小圆机汇总表!$J$13&amp;"/"&amp;小圆机汇总表!S$14))</f>
        <v>0</v>
      </c>
      <c r="T38" s="18">
        <f>IF($K$13="件数",SUMIFS(yj!$I:$I,yj!$B:$B,小圆机汇总表!$A38,yj!$G:$G,小圆机汇总表!$I$13&amp;"/"&amp;小圆机汇总表!$J$13&amp;"/"&amp;小圆机汇总表!T$14),SUMIFS(yj!$H:$H,yj!$B:$B,小圆机汇总表!$A38,yj!$G:$G,小圆机汇总表!$I$13&amp;"/"&amp;小圆机汇总表!$J$13&amp;"/"&amp;小圆机汇总表!T$14))</f>
        <v>0</v>
      </c>
      <c r="U38" s="18">
        <f>IF($K$13="件数",SUMIFS(yj!$I:$I,yj!$B:$B,小圆机汇总表!$A38,yj!$G:$G,小圆机汇总表!$I$13&amp;"/"&amp;小圆机汇总表!$J$13&amp;"/"&amp;小圆机汇总表!U$14),SUMIFS(yj!$H:$H,yj!$B:$B,小圆机汇总表!$A38,yj!$G:$G,小圆机汇总表!$I$13&amp;"/"&amp;小圆机汇总表!$J$13&amp;"/"&amp;小圆机汇总表!U$14))</f>
        <v>0</v>
      </c>
      <c r="V38" s="18">
        <f>IF($K$13="件数",SUMIFS(yj!$I:$I,yj!$B:$B,小圆机汇总表!$A38,yj!$G:$G,小圆机汇总表!$I$13&amp;"/"&amp;小圆机汇总表!$J$13&amp;"/"&amp;小圆机汇总表!V$14),SUMIFS(yj!$H:$H,yj!$B:$B,小圆机汇总表!$A38,yj!$G:$G,小圆机汇总表!$I$13&amp;"/"&amp;小圆机汇总表!$J$13&amp;"/"&amp;小圆机汇总表!V$14))</f>
        <v>0</v>
      </c>
      <c r="W38" s="18">
        <f>IF($K$13="件数",SUMIFS(yj!$I:$I,yj!$B:$B,小圆机汇总表!$A38,yj!$G:$G,小圆机汇总表!$I$13&amp;"/"&amp;小圆机汇总表!$J$13&amp;"/"&amp;小圆机汇总表!W$14),SUMIFS(yj!$H:$H,yj!$B:$B,小圆机汇总表!$A38,yj!$G:$G,小圆机汇总表!$I$13&amp;"/"&amp;小圆机汇总表!$J$13&amp;"/"&amp;小圆机汇总表!W$14))</f>
        <v>0</v>
      </c>
      <c r="X38" s="18">
        <f>IF($K$13="件数",SUMIFS(yj!$I:$I,yj!$B:$B,小圆机汇总表!$A38,yj!$G:$G,小圆机汇总表!$I$13&amp;"/"&amp;小圆机汇总表!$J$13&amp;"/"&amp;小圆机汇总表!X$14),SUMIFS(yj!$H:$H,yj!$B:$B,小圆机汇总表!$A38,yj!$G:$G,小圆机汇总表!$I$13&amp;"/"&amp;小圆机汇总表!$J$13&amp;"/"&amp;小圆机汇总表!X$14))</f>
        <v>0</v>
      </c>
      <c r="Y38" s="18">
        <f>IF($K$13="件数",SUMIFS(yj!$I:$I,yj!$B:$B,小圆机汇总表!$A38,yj!$G:$G,小圆机汇总表!$I$13&amp;"/"&amp;小圆机汇总表!$J$13&amp;"/"&amp;小圆机汇总表!Y$14),SUMIFS(yj!$H:$H,yj!$B:$B,小圆机汇总表!$A38,yj!$G:$G,小圆机汇总表!$I$13&amp;"/"&amp;小圆机汇总表!$J$13&amp;"/"&amp;小圆机汇总表!Y$14))</f>
        <v>0</v>
      </c>
      <c r="Z38" s="18">
        <f>IF($K$13="件数",SUMIFS(yj!$I:$I,yj!$B:$B,小圆机汇总表!$A38,yj!$G:$G,小圆机汇总表!$I$13&amp;"/"&amp;小圆机汇总表!$J$13&amp;"/"&amp;小圆机汇总表!Z$14),SUMIFS(yj!$H:$H,yj!$B:$B,小圆机汇总表!$A38,yj!$G:$G,小圆机汇总表!$I$13&amp;"/"&amp;小圆机汇总表!$J$13&amp;"/"&amp;小圆机汇总表!Z$14))</f>
        <v>0</v>
      </c>
      <c r="AA38" s="18">
        <f>IF($K$13="件数",SUMIFS(yj!$I:$I,yj!$B:$B,小圆机汇总表!$A38,yj!$G:$G,小圆机汇总表!$I$13&amp;"/"&amp;小圆机汇总表!$J$13&amp;"/"&amp;小圆机汇总表!AA$14),SUMIFS(yj!$H:$H,yj!$B:$B,小圆机汇总表!$A38,yj!$G:$G,小圆机汇总表!$I$13&amp;"/"&amp;小圆机汇总表!$J$13&amp;"/"&amp;小圆机汇总表!AA$14))</f>
        <v>0</v>
      </c>
      <c r="AB38" s="18">
        <f>IF($K$13="件数",SUMIFS(yj!$I:$I,yj!$B:$B,小圆机汇总表!$A38,yj!$G:$G,小圆机汇总表!$I$13&amp;"/"&amp;小圆机汇总表!$J$13&amp;"/"&amp;小圆机汇总表!AB$14),SUMIFS(yj!$H:$H,yj!$B:$B,小圆机汇总表!$A38,yj!$G:$G,小圆机汇总表!$I$13&amp;"/"&amp;小圆机汇总表!$J$13&amp;"/"&amp;小圆机汇总表!AB$14))</f>
        <v>0</v>
      </c>
      <c r="AC38" s="18">
        <f>IF($K$13="件数",SUMIFS(yj!$I:$I,yj!$B:$B,小圆机汇总表!$A38,yj!$G:$G,小圆机汇总表!$I$13&amp;"/"&amp;小圆机汇总表!$J$13&amp;"/"&amp;小圆机汇总表!AC$14),SUMIFS(yj!$H:$H,yj!$B:$B,小圆机汇总表!$A38,yj!$G:$G,小圆机汇总表!$I$13&amp;"/"&amp;小圆机汇总表!$J$13&amp;"/"&amp;小圆机汇总表!AC$14))</f>
        <v>0</v>
      </c>
      <c r="AD38" s="18">
        <f>IF($K$13="件数",SUMIFS(yj!$I:$I,yj!$B:$B,小圆机汇总表!$A38,yj!$G:$G,小圆机汇总表!$I$13&amp;"/"&amp;小圆机汇总表!$J$13&amp;"/"&amp;小圆机汇总表!AD$14),SUMIFS(yj!$H:$H,yj!$B:$B,小圆机汇总表!$A38,yj!$G:$G,小圆机汇总表!$I$13&amp;"/"&amp;小圆机汇总表!$J$13&amp;"/"&amp;小圆机汇总表!AD$14))</f>
        <v>0</v>
      </c>
      <c r="AE38" s="18">
        <f>IF($K$13="件数",SUMIFS(yj!$I:$I,yj!$B:$B,小圆机汇总表!$A38,yj!$G:$G,小圆机汇总表!$I$13&amp;"/"&amp;小圆机汇总表!$J$13&amp;"/"&amp;小圆机汇总表!AE$14),SUMIFS(yj!$H:$H,yj!$B:$B,小圆机汇总表!$A38,yj!$G:$G,小圆机汇总表!$I$13&amp;"/"&amp;小圆机汇总表!$J$13&amp;"/"&amp;小圆机汇总表!AE$14))</f>
        <v>0</v>
      </c>
      <c r="AF38" s="18">
        <f>IF($K$13="件数",SUMIFS(yj!$I:$I,yj!$B:$B,小圆机汇总表!$A38,yj!$G:$G,小圆机汇总表!$I$13&amp;"/"&amp;小圆机汇总表!$J$13&amp;"/"&amp;小圆机汇总表!AF$14),SUMIFS(yj!$H:$H,yj!$B:$B,小圆机汇总表!$A38,yj!$G:$G,小圆机汇总表!$I$13&amp;"/"&amp;小圆机汇总表!$J$13&amp;"/"&amp;小圆机汇总表!AF$14))</f>
        <v>0</v>
      </c>
      <c r="AG38" s="18">
        <f>IF($K$13="件数",SUMIFS(yj!$I:$I,yj!$B:$B,小圆机汇总表!$A38,yj!$G:$G,小圆机汇总表!$I$13&amp;"/"&amp;小圆机汇总表!$J$13&amp;"/"&amp;小圆机汇总表!AG$14),SUMIFS(yj!$H:$H,yj!$B:$B,小圆机汇总表!$A38,yj!$G:$G,小圆机汇总表!$I$13&amp;"/"&amp;小圆机汇总表!$J$13&amp;"/"&amp;小圆机汇总表!AG$14))</f>
        <v>0</v>
      </c>
      <c r="AH38" s="18">
        <f>IF($K$13="件数",SUMIFS(yj!$I:$I,yj!$B:$B,小圆机汇总表!$A38,yj!$G:$G,小圆机汇总表!$I$13&amp;"/"&amp;小圆机汇总表!$J$13&amp;"/"&amp;小圆机汇总表!AH$14),SUMIFS(yj!$H:$H,yj!$B:$B,小圆机汇总表!$A38,yj!$G:$G,小圆机汇总表!$I$13&amp;"/"&amp;小圆机汇总表!$J$13&amp;"/"&amp;小圆机汇总表!AH$14))</f>
        <v>0</v>
      </c>
      <c r="AI38" s="18">
        <f>IF($K$13="件数",SUMIFS(yj!$I:$I,yj!$B:$B,小圆机汇总表!$A38,yj!$G:$G,小圆机汇总表!$I$13&amp;"/"&amp;小圆机汇总表!$J$13&amp;"/"&amp;小圆机汇总表!AI$14),SUMIFS(yj!$H:$H,yj!$B:$B,小圆机汇总表!$A38,yj!$G:$G,小圆机汇总表!$I$13&amp;"/"&amp;小圆机汇总表!$J$13&amp;"/"&amp;小圆机汇总表!AI$14))</f>
        <v>0</v>
      </c>
      <c r="AJ38" s="18">
        <f>IF($K$13="件数",SUMIFS(yj!$I:$I,yj!$B:$B,小圆机汇总表!$A38,yj!$G:$G,小圆机汇总表!$I$13&amp;"/"&amp;小圆机汇总表!$J$13&amp;"/"&amp;小圆机汇总表!AJ$14),SUMIFS(yj!$H:$H,yj!$B:$B,小圆机汇总表!$A38,yj!$G:$G,小圆机汇总表!$I$13&amp;"/"&amp;小圆机汇总表!$J$13&amp;"/"&amp;小圆机汇总表!AJ$14))</f>
        <v>0</v>
      </c>
      <c r="AK38" s="18">
        <f>IF($K$13="件数",SUMIFS(yj!$I:$I,yj!$B:$B,小圆机汇总表!$A38,yj!$G:$G,小圆机汇总表!$I$13&amp;"/"&amp;小圆机汇总表!$J$13&amp;"/"&amp;小圆机汇总表!AK$14),SUMIFS(yj!$H:$H,yj!$B:$B,小圆机汇总表!$A38,yj!$G:$G,小圆机汇总表!$I$13&amp;"/"&amp;小圆机汇总表!$J$13&amp;"/"&amp;小圆机汇总表!AK$14))</f>
        <v>0</v>
      </c>
      <c r="AL38" s="18">
        <f>IF($K$13="件数",SUMIFS(yj!$I:$I,yj!$B:$B,小圆机汇总表!$A38,yj!$G:$G,小圆机汇总表!$I$13&amp;"/"&amp;小圆机汇总表!$J$13&amp;"/"&amp;小圆机汇总表!AL$14),SUMIFS(yj!$H:$H,yj!$B:$B,小圆机汇总表!$A38,yj!$G:$G,小圆机汇总表!$I$13&amp;"/"&amp;小圆机汇总表!$J$13&amp;"/"&amp;小圆机汇总表!AL$14))</f>
        <v>0</v>
      </c>
      <c r="AM38" s="18">
        <f>IF($K$13="件数",SUMIFS(yj!$I:$I,yj!$B:$B,小圆机汇总表!$A38,yj!$G:$G,小圆机汇总表!$I$13&amp;"/"&amp;小圆机汇总表!$J$13&amp;"/"&amp;小圆机汇总表!AM$14),SUMIFS(yj!$H:$H,yj!$B:$B,小圆机汇总表!$A38,yj!$G:$G,小圆机汇总表!$I$13&amp;"/"&amp;小圆机汇总表!$J$13&amp;"/"&amp;小圆机汇总表!AM$14))</f>
        <v>0</v>
      </c>
      <c r="AN38" s="18">
        <f>IF($K$13="件数",SUMIFS(yj!$I:$I,yj!$B:$B,小圆机汇总表!$A38,yj!$G:$G,小圆机汇总表!$I$13&amp;"/"&amp;小圆机汇总表!$J$13&amp;"/"&amp;小圆机汇总表!AN$14),SUMIFS(yj!$H:$H,yj!$B:$B,小圆机汇总表!$A38,yj!$G:$G,小圆机汇总表!$I$13&amp;"/"&amp;小圆机汇总表!$J$13&amp;"/"&amp;小圆机汇总表!AN$14))</f>
        <v>0</v>
      </c>
      <c r="AO38" s="18">
        <f>IF($K$13="件数",SUMIFS(yj!$I:$I,yj!$B:$B,小圆机汇总表!$A38,yj!$G:$G,小圆机汇总表!$I$13&amp;"/"&amp;小圆机汇总表!$J$13&amp;"/"&amp;小圆机汇总表!AO$14),SUMIFS(yj!$H:$H,yj!$B:$B,小圆机汇总表!$A38,yj!$G:$G,小圆机汇总表!$I$13&amp;"/"&amp;小圆机汇总表!$J$13&amp;"/"&amp;小圆机汇总表!AO$14))</f>
        <v>0</v>
      </c>
      <c r="AP38" s="18">
        <f>IF($K$13="件数",SUMIFS(yj!$I:$I,yj!$B:$B,小圆机汇总表!$A38,yj!$G:$G,小圆机汇总表!$I$13&amp;"/"&amp;小圆机汇总表!$J$13&amp;"/"&amp;小圆机汇总表!AP$14),SUMIFS(yj!$H:$H,yj!$B:$B,小圆机汇总表!$A38,yj!$G:$G,小圆机汇总表!$I$13&amp;"/"&amp;小圆机汇总表!$J$13&amp;"/"&amp;小圆机汇总表!AP$14))</f>
        <v>0</v>
      </c>
      <c r="AQ38" s="18">
        <f>IF($K$13="件数",SUMIFS(yj!$I:$I,yj!$B:$B,小圆机汇总表!$A38,yj!$G:$G,小圆机汇总表!$I$13&amp;"/"&amp;小圆机汇总表!$J$13&amp;"/"&amp;小圆机汇总表!AQ$14),SUMIFS(yj!$H:$H,yj!$B:$B,小圆机汇总表!$A38,yj!$G:$G,小圆机汇总表!$I$13&amp;"/"&amp;小圆机汇总表!$J$13&amp;"/"&amp;小圆机汇总表!AQ$14))</f>
        <v>0</v>
      </c>
    </row>
    <row r="39" spans="1:43" ht="18" hidden="1" customHeight="1">
      <c r="A39" s="13" t="s">
        <v>79</v>
      </c>
      <c r="B39" s="14" t="s">
        <v>79</v>
      </c>
      <c r="C39" s="17">
        <v>50</v>
      </c>
      <c r="D39" s="17" t="s">
        <v>38</v>
      </c>
      <c r="E39" s="13" t="s">
        <v>2</v>
      </c>
      <c r="F39" s="13">
        <v>160</v>
      </c>
      <c r="G39" s="13">
        <v>42</v>
      </c>
      <c r="H39" s="14" t="s">
        <v>39</v>
      </c>
      <c r="I39" s="13"/>
      <c r="J39" s="182">
        <f ca="1">IF(SUMIFS(yj!$I:$I,yj!$B:$B,小圆机汇总表!A39,yj!$G:$G,小圆机汇总表!$L$13)&gt;0,SUMIFS(yj!$H:$H,yj!$B:$B,小圆机汇总表!A39,yj!$G:$G,小圆机汇总表!$L$13),0)</f>
        <v>0</v>
      </c>
      <c r="K39" s="15">
        <f>SUMIFS(yj!$H:$H,yj!$B:$B,小圆机汇总表!A39,yj!$M:$M,小圆机汇总表!$J$13)</f>
        <v>0</v>
      </c>
      <c r="L39" s="15">
        <f>SUMIFS(yj!$I:$I,yj!$B:$B,小圆机汇总表!A39,yj!$M:$M,小圆机汇总表!$J$13)</f>
        <v>0</v>
      </c>
      <c r="M39" s="18">
        <f>IF($K$13="件数",SUMIFS(yj!$I:$I,yj!$B:$B,小圆机汇总表!$A39,yj!$G:$G,小圆机汇总表!$I$13&amp;"/"&amp;小圆机汇总表!$J$13&amp;"/"&amp;小圆机汇总表!M$14),SUMIFS(yj!$H:$H,yj!$B:$B,小圆机汇总表!$A39,yj!$G:$G,小圆机汇总表!$I$13&amp;"/"&amp;小圆机汇总表!$J$13&amp;"/"&amp;小圆机汇总表!M$14))</f>
        <v>0</v>
      </c>
      <c r="N39" s="18">
        <f>IF($K$13="件数",SUMIFS(yj!$I:$I,yj!$B:$B,小圆机汇总表!$A39,yj!$G:$G,小圆机汇总表!$I$13&amp;"/"&amp;小圆机汇总表!$J$13&amp;"/"&amp;小圆机汇总表!N$14),SUMIFS(yj!$H:$H,yj!$B:$B,小圆机汇总表!$A39,yj!$G:$G,小圆机汇总表!$I$13&amp;"/"&amp;小圆机汇总表!$J$13&amp;"/"&amp;小圆机汇总表!N$14))</f>
        <v>0</v>
      </c>
      <c r="O39" s="18">
        <f>IF($K$13="件数",SUMIFS(yj!$I:$I,yj!$B:$B,小圆机汇总表!$A39,yj!$G:$G,小圆机汇总表!$I$13&amp;"/"&amp;小圆机汇总表!$J$13&amp;"/"&amp;小圆机汇总表!O$14),SUMIFS(yj!$H:$H,yj!$B:$B,小圆机汇总表!$A39,yj!$G:$G,小圆机汇总表!$I$13&amp;"/"&amp;小圆机汇总表!$J$13&amp;"/"&amp;小圆机汇总表!O$14))</f>
        <v>0</v>
      </c>
      <c r="P39" s="18">
        <f>IF($K$13="件数",SUMIFS(yj!$I:$I,yj!$B:$B,小圆机汇总表!$A39,yj!$G:$G,小圆机汇总表!$I$13&amp;"/"&amp;小圆机汇总表!$J$13&amp;"/"&amp;小圆机汇总表!P$14),SUMIFS(yj!$H:$H,yj!$B:$B,小圆机汇总表!$A39,yj!$G:$G,小圆机汇总表!$I$13&amp;"/"&amp;小圆机汇总表!$J$13&amp;"/"&amp;小圆机汇总表!P$14))</f>
        <v>0</v>
      </c>
      <c r="Q39" s="18">
        <f>IF($K$13="件数",SUMIFS(yj!$I:$I,yj!$B:$B,小圆机汇总表!$A39,yj!$G:$G,小圆机汇总表!$I$13&amp;"/"&amp;小圆机汇总表!$J$13&amp;"/"&amp;小圆机汇总表!Q$14),SUMIFS(yj!$H:$H,yj!$B:$B,小圆机汇总表!$A39,yj!$G:$G,小圆机汇总表!$I$13&amp;"/"&amp;小圆机汇总表!$J$13&amp;"/"&amp;小圆机汇总表!Q$14))</f>
        <v>0</v>
      </c>
      <c r="R39" s="18">
        <f>IF($K$13="件数",SUMIFS(yj!$I:$I,yj!$B:$B,小圆机汇总表!$A39,yj!$G:$G,小圆机汇总表!$I$13&amp;"/"&amp;小圆机汇总表!$J$13&amp;"/"&amp;小圆机汇总表!R$14),SUMIFS(yj!$H:$H,yj!$B:$B,小圆机汇总表!$A39,yj!$G:$G,小圆机汇总表!$I$13&amp;"/"&amp;小圆机汇总表!$J$13&amp;"/"&amp;小圆机汇总表!R$14))</f>
        <v>0</v>
      </c>
      <c r="S39" s="18">
        <f>IF($K$13="件数",SUMIFS(yj!$I:$I,yj!$B:$B,小圆机汇总表!$A39,yj!$G:$G,小圆机汇总表!$I$13&amp;"/"&amp;小圆机汇总表!$J$13&amp;"/"&amp;小圆机汇总表!S$14),SUMIFS(yj!$H:$H,yj!$B:$B,小圆机汇总表!$A39,yj!$G:$G,小圆机汇总表!$I$13&amp;"/"&amp;小圆机汇总表!$J$13&amp;"/"&amp;小圆机汇总表!S$14))</f>
        <v>0</v>
      </c>
      <c r="T39" s="18">
        <f>IF($K$13="件数",SUMIFS(yj!$I:$I,yj!$B:$B,小圆机汇总表!$A39,yj!$G:$G,小圆机汇总表!$I$13&amp;"/"&amp;小圆机汇总表!$J$13&amp;"/"&amp;小圆机汇总表!T$14),SUMIFS(yj!$H:$H,yj!$B:$B,小圆机汇总表!$A39,yj!$G:$G,小圆机汇总表!$I$13&amp;"/"&amp;小圆机汇总表!$J$13&amp;"/"&amp;小圆机汇总表!T$14))</f>
        <v>0</v>
      </c>
      <c r="U39" s="18">
        <f>IF($K$13="件数",SUMIFS(yj!$I:$I,yj!$B:$B,小圆机汇总表!$A39,yj!$G:$G,小圆机汇总表!$I$13&amp;"/"&amp;小圆机汇总表!$J$13&amp;"/"&amp;小圆机汇总表!U$14),SUMIFS(yj!$H:$H,yj!$B:$B,小圆机汇总表!$A39,yj!$G:$G,小圆机汇总表!$I$13&amp;"/"&amp;小圆机汇总表!$J$13&amp;"/"&amp;小圆机汇总表!U$14))</f>
        <v>0</v>
      </c>
      <c r="V39" s="18">
        <f>IF($K$13="件数",SUMIFS(yj!$I:$I,yj!$B:$B,小圆机汇总表!$A39,yj!$G:$G,小圆机汇总表!$I$13&amp;"/"&amp;小圆机汇总表!$J$13&amp;"/"&amp;小圆机汇总表!V$14),SUMIFS(yj!$H:$H,yj!$B:$B,小圆机汇总表!$A39,yj!$G:$G,小圆机汇总表!$I$13&amp;"/"&amp;小圆机汇总表!$J$13&amp;"/"&amp;小圆机汇总表!V$14))</f>
        <v>0</v>
      </c>
      <c r="W39" s="18">
        <f>IF($K$13="件数",SUMIFS(yj!$I:$I,yj!$B:$B,小圆机汇总表!$A39,yj!$G:$G,小圆机汇总表!$I$13&amp;"/"&amp;小圆机汇总表!$J$13&amp;"/"&amp;小圆机汇总表!W$14),SUMIFS(yj!$H:$H,yj!$B:$B,小圆机汇总表!$A39,yj!$G:$G,小圆机汇总表!$I$13&amp;"/"&amp;小圆机汇总表!$J$13&amp;"/"&amp;小圆机汇总表!W$14))</f>
        <v>0</v>
      </c>
      <c r="X39" s="18">
        <f>IF($K$13="件数",SUMIFS(yj!$I:$I,yj!$B:$B,小圆机汇总表!$A39,yj!$G:$G,小圆机汇总表!$I$13&amp;"/"&amp;小圆机汇总表!$J$13&amp;"/"&amp;小圆机汇总表!X$14),SUMIFS(yj!$H:$H,yj!$B:$B,小圆机汇总表!$A39,yj!$G:$G,小圆机汇总表!$I$13&amp;"/"&amp;小圆机汇总表!$J$13&amp;"/"&amp;小圆机汇总表!X$14))</f>
        <v>0</v>
      </c>
      <c r="Y39" s="18">
        <f>IF($K$13="件数",SUMIFS(yj!$I:$I,yj!$B:$B,小圆机汇总表!$A39,yj!$G:$G,小圆机汇总表!$I$13&amp;"/"&amp;小圆机汇总表!$J$13&amp;"/"&amp;小圆机汇总表!Y$14),SUMIFS(yj!$H:$H,yj!$B:$B,小圆机汇总表!$A39,yj!$G:$G,小圆机汇总表!$I$13&amp;"/"&amp;小圆机汇总表!$J$13&amp;"/"&amp;小圆机汇总表!Y$14))</f>
        <v>0</v>
      </c>
      <c r="Z39" s="18">
        <f>IF($K$13="件数",SUMIFS(yj!$I:$I,yj!$B:$B,小圆机汇总表!$A39,yj!$G:$G,小圆机汇总表!$I$13&amp;"/"&amp;小圆机汇总表!$J$13&amp;"/"&amp;小圆机汇总表!Z$14),SUMIFS(yj!$H:$H,yj!$B:$B,小圆机汇总表!$A39,yj!$G:$G,小圆机汇总表!$I$13&amp;"/"&amp;小圆机汇总表!$J$13&amp;"/"&amp;小圆机汇总表!Z$14))</f>
        <v>0</v>
      </c>
      <c r="AA39" s="18">
        <f>IF($K$13="件数",SUMIFS(yj!$I:$I,yj!$B:$B,小圆机汇总表!$A39,yj!$G:$G,小圆机汇总表!$I$13&amp;"/"&amp;小圆机汇总表!$J$13&amp;"/"&amp;小圆机汇总表!AA$14),SUMIFS(yj!$H:$H,yj!$B:$B,小圆机汇总表!$A39,yj!$G:$G,小圆机汇总表!$I$13&amp;"/"&amp;小圆机汇总表!$J$13&amp;"/"&amp;小圆机汇总表!AA$14))</f>
        <v>0</v>
      </c>
      <c r="AB39" s="18">
        <f>IF($K$13="件数",SUMIFS(yj!$I:$I,yj!$B:$B,小圆机汇总表!$A39,yj!$G:$G,小圆机汇总表!$I$13&amp;"/"&amp;小圆机汇总表!$J$13&amp;"/"&amp;小圆机汇总表!AB$14),SUMIFS(yj!$H:$H,yj!$B:$B,小圆机汇总表!$A39,yj!$G:$G,小圆机汇总表!$I$13&amp;"/"&amp;小圆机汇总表!$J$13&amp;"/"&amp;小圆机汇总表!AB$14))</f>
        <v>0</v>
      </c>
      <c r="AC39" s="18">
        <f>IF($K$13="件数",SUMIFS(yj!$I:$I,yj!$B:$B,小圆机汇总表!$A39,yj!$G:$G,小圆机汇总表!$I$13&amp;"/"&amp;小圆机汇总表!$J$13&amp;"/"&amp;小圆机汇总表!AC$14),SUMIFS(yj!$H:$H,yj!$B:$B,小圆机汇总表!$A39,yj!$G:$G,小圆机汇总表!$I$13&amp;"/"&amp;小圆机汇总表!$J$13&amp;"/"&amp;小圆机汇总表!AC$14))</f>
        <v>0</v>
      </c>
      <c r="AD39" s="18">
        <f>IF($K$13="件数",SUMIFS(yj!$I:$I,yj!$B:$B,小圆机汇总表!$A39,yj!$G:$G,小圆机汇总表!$I$13&amp;"/"&amp;小圆机汇总表!$J$13&amp;"/"&amp;小圆机汇总表!AD$14),SUMIFS(yj!$H:$H,yj!$B:$B,小圆机汇总表!$A39,yj!$G:$G,小圆机汇总表!$I$13&amp;"/"&amp;小圆机汇总表!$J$13&amp;"/"&amp;小圆机汇总表!AD$14))</f>
        <v>0</v>
      </c>
      <c r="AE39" s="18">
        <f>IF($K$13="件数",SUMIFS(yj!$I:$I,yj!$B:$B,小圆机汇总表!$A39,yj!$G:$G,小圆机汇总表!$I$13&amp;"/"&amp;小圆机汇总表!$J$13&amp;"/"&amp;小圆机汇总表!AE$14),SUMIFS(yj!$H:$H,yj!$B:$B,小圆机汇总表!$A39,yj!$G:$G,小圆机汇总表!$I$13&amp;"/"&amp;小圆机汇总表!$J$13&amp;"/"&amp;小圆机汇总表!AE$14))</f>
        <v>0</v>
      </c>
      <c r="AF39" s="18">
        <f>IF($K$13="件数",SUMIFS(yj!$I:$I,yj!$B:$B,小圆机汇总表!$A39,yj!$G:$G,小圆机汇总表!$I$13&amp;"/"&amp;小圆机汇总表!$J$13&amp;"/"&amp;小圆机汇总表!AF$14),SUMIFS(yj!$H:$H,yj!$B:$B,小圆机汇总表!$A39,yj!$G:$G,小圆机汇总表!$I$13&amp;"/"&amp;小圆机汇总表!$J$13&amp;"/"&amp;小圆机汇总表!AF$14))</f>
        <v>0</v>
      </c>
      <c r="AG39" s="18">
        <f>IF($K$13="件数",SUMIFS(yj!$I:$I,yj!$B:$B,小圆机汇总表!$A39,yj!$G:$G,小圆机汇总表!$I$13&amp;"/"&amp;小圆机汇总表!$J$13&amp;"/"&amp;小圆机汇总表!AG$14),SUMIFS(yj!$H:$H,yj!$B:$B,小圆机汇总表!$A39,yj!$G:$G,小圆机汇总表!$I$13&amp;"/"&amp;小圆机汇总表!$J$13&amp;"/"&amp;小圆机汇总表!AG$14))</f>
        <v>0</v>
      </c>
      <c r="AH39" s="18">
        <f>IF($K$13="件数",SUMIFS(yj!$I:$I,yj!$B:$B,小圆机汇总表!$A39,yj!$G:$G,小圆机汇总表!$I$13&amp;"/"&amp;小圆机汇总表!$J$13&amp;"/"&amp;小圆机汇总表!AH$14),SUMIFS(yj!$H:$H,yj!$B:$B,小圆机汇总表!$A39,yj!$G:$G,小圆机汇总表!$I$13&amp;"/"&amp;小圆机汇总表!$J$13&amp;"/"&amp;小圆机汇总表!AH$14))</f>
        <v>0</v>
      </c>
      <c r="AI39" s="18">
        <f>IF($K$13="件数",SUMIFS(yj!$I:$I,yj!$B:$B,小圆机汇总表!$A39,yj!$G:$G,小圆机汇总表!$I$13&amp;"/"&amp;小圆机汇总表!$J$13&amp;"/"&amp;小圆机汇总表!AI$14),SUMIFS(yj!$H:$H,yj!$B:$B,小圆机汇总表!$A39,yj!$G:$G,小圆机汇总表!$I$13&amp;"/"&amp;小圆机汇总表!$J$13&amp;"/"&amp;小圆机汇总表!AI$14))</f>
        <v>0</v>
      </c>
      <c r="AJ39" s="18">
        <f>IF($K$13="件数",SUMIFS(yj!$I:$I,yj!$B:$B,小圆机汇总表!$A39,yj!$G:$G,小圆机汇总表!$I$13&amp;"/"&amp;小圆机汇总表!$J$13&amp;"/"&amp;小圆机汇总表!AJ$14),SUMIFS(yj!$H:$H,yj!$B:$B,小圆机汇总表!$A39,yj!$G:$G,小圆机汇总表!$I$13&amp;"/"&amp;小圆机汇总表!$J$13&amp;"/"&amp;小圆机汇总表!AJ$14))</f>
        <v>0</v>
      </c>
      <c r="AK39" s="18">
        <f>IF($K$13="件数",SUMIFS(yj!$I:$I,yj!$B:$B,小圆机汇总表!$A39,yj!$G:$G,小圆机汇总表!$I$13&amp;"/"&amp;小圆机汇总表!$J$13&amp;"/"&amp;小圆机汇总表!AK$14),SUMIFS(yj!$H:$H,yj!$B:$B,小圆机汇总表!$A39,yj!$G:$G,小圆机汇总表!$I$13&amp;"/"&amp;小圆机汇总表!$J$13&amp;"/"&amp;小圆机汇总表!AK$14))</f>
        <v>0</v>
      </c>
      <c r="AL39" s="18">
        <f>IF($K$13="件数",SUMIFS(yj!$I:$I,yj!$B:$B,小圆机汇总表!$A39,yj!$G:$G,小圆机汇总表!$I$13&amp;"/"&amp;小圆机汇总表!$J$13&amp;"/"&amp;小圆机汇总表!AL$14),SUMIFS(yj!$H:$H,yj!$B:$B,小圆机汇总表!$A39,yj!$G:$G,小圆机汇总表!$I$13&amp;"/"&amp;小圆机汇总表!$J$13&amp;"/"&amp;小圆机汇总表!AL$14))</f>
        <v>0</v>
      </c>
      <c r="AM39" s="18">
        <f>IF($K$13="件数",SUMIFS(yj!$I:$I,yj!$B:$B,小圆机汇总表!$A39,yj!$G:$G,小圆机汇总表!$I$13&amp;"/"&amp;小圆机汇总表!$J$13&amp;"/"&amp;小圆机汇总表!AM$14),SUMIFS(yj!$H:$H,yj!$B:$B,小圆机汇总表!$A39,yj!$G:$G,小圆机汇总表!$I$13&amp;"/"&amp;小圆机汇总表!$J$13&amp;"/"&amp;小圆机汇总表!AM$14))</f>
        <v>0</v>
      </c>
      <c r="AN39" s="18">
        <f>IF($K$13="件数",SUMIFS(yj!$I:$I,yj!$B:$B,小圆机汇总表!$A39,yj!$G:$G,小圆机汇总表!$I$13&amp;"/"&amp;小圆机汇总表!$J$13&amp;"/"&amp;小圆机汇总表!AN$14),SUMIFS(yj!$H:$H,yj!$B:$B,小圆机汇总表!$A39,yj!$G:$G,小圆机汇总表!$I$13&amp;"/"&amp;小圆机汇总表!$J$13&amp;"/"&amp;小圆机汇总表!AN$14))</f>
        <v>0</v>
      </c>
      <c r="AO39" s="18">
        <f>IF($K$13="件数",SUMIFS(yj!$I:$I,yj!$B:$B,小圆机汇总表!$A39,yj!$G:$G,小圆机汇总表!$I$13&amp;"/"&amp;小圆机汇总表!$J$13&amp;"/"&amp;小圆机汇总表!AO$14),SUMIFS(yj!$H:$H,yj!$B:$B,小圆机汇总表!$A39,yj!$G:$G,小圆机汇总表!$I$13&amp;"/"&amp;小圆机汇总表!$J$13&amp;"/"&amp;小圆机汇总表!AO$14))</f>
        <v>0</v>
      </c>
      <c r="AP39" s="18">
        <f>IF($K$13="件数",SUMIFS(yj!$I:$I,yj!$B:$B,小圆机汇总表!$A39,yj!$G:$G,小圆机汇总表!$I$13&amp;"/"&amp;小圆机汇总表!$J$13&amp;"/"&amp;小圆机汇总表!AP$14),SUMIFS(yj!$H:$H,yj!$B:$B,小圆机汇总表!$A39,yj!$G:$G,小圆机汇总表!$I$13&amp;"/"&amp;小圆机汇总表!$J$13&amp;"/"&amp;小圆机汇总表!AP$14))</f>
        <v>0</v>
      </c>
      <c r="AQ39" s="18">
        <f>IF($K$13="件数",SUMIFS(yj!$I:$I,yj!$B:$B,小圆机汇总表!$A39,yj!$G:$G,小圆机汇总表!$I$13&amp;"/"&amp;小圆机汇总表!$J$13&amp;"/"&amp;小圆机汇总表!AQ$14),SUMIFS(yj!$H:$H,yj!$B:$B,小圆机汇总表!$A39,yj!$G:$G,小圆机汇总表!$I$13&amp;"/"&amp;小圆机汇总表!$J$13&amp;"/"&amp;小圆机汇总表!AQ$14))</f>
        <v>0</v>
      </c>
    </row>
    <row r="40" spans="1:43" ht="18" hidden="1" customHeight="1">
      <c r="A40" s="13" t="s">
        <v>82</v>
      </c>
      <c r="B40" s="14" t="s">
        <v>80</v>
      </c>
      <c r="C40" s="17">
        <v>50</v>
      </c>
      <c r="D40" s="17" t="s">
        <v>38</v>
      </c>
      <c r="E40" s="13" t="s">
        <v>2</v>
      </c>
      <c r="F40" s="13">
        <v>160</v>
      </c>
      <c r="G40" s="13">
        <v>34</v>
      </c>
      <c r="H40" s="14" t="s">
        <v>39</v>
      </c>
      <c r="I40" s="13"/>
      <c r="J40" s="182">
        <f ca="1">IF(SUMIFS(yj!$I:$I,yj!$B:$B,小圆机汇总表!A40,yj!$G:$G,小圆机汇总表!$L$13)&gt;0,SUMIFS(yj!$H:$H,yj!$B:$B,小圆机汇总表!A40,yj!$G:$G,小圆机汇总表!$L$13),0)</f>
        <v>0</v>
      </c>
      <c r="K40" s="15">
        <f>SUMIFS(yj!$H:$H,yj!$B:$B,小圆机汇总表!A40,yj!$M:$M,小圆机汇总表!$J$13)</f>
        <v>0</v>
      </c>
      <c r="L40" s="15">
        <f>SUMIFS(yj!$I:$I,yj!$B:$B,小圆机汇总表!A40,yj!$M:$M,小圆机汇总表!$J$13)</f>
        <v>0</v>
      </c>
      <c r="M40" s="18">
        <f>IF($K$13="件数",SUMIFS(yj!$I:$I,yj!$B:$B,小圆机汇总表!$A40,yj!$G:$G,小圆机汇总表!$I$13&amp;"/"&amp;小圆机汇总表!$J$13&amp;"/"&amp;小圆机汇总表!M$14),SUMIFS(yj!$H:$H,yj!$B:$B,小圆机汇总表!$A40,yj!$G:$G,小圆机汇总表!$I$13&amp;"/"&amp;小圆机汇总表!$J$13&amp;"/"&amp;小圆机汇总表!M$14))</f>
        <v>0</v>
      </c>
      <c r="N40" s="18">
        <f>IF($K$13="件数",SUMIFS(yj!$I:$I,yj!$B:$B,小圆机汇总表!$A40,yj!$G:$G,小圆机汇总表!$I$13&amp;"/"&amp;小圆机汇总表!$J$13&amp;"/"&amp;小圆机汇总表!N$14),SUMIFS(yj!$H:$H,yj!$B:$B,小圆机汇总表!$A40,yj!$G:$G,小圆机汇总表!$I$13&amp;"/"&amp;小圆机汇总表!$J$13&amp;"/"&amp;小圆机汇总表!N$14))</f>
        <v>0</v>
      </c>
      <c r="O40" s="18">
        <f>IF($K$13="件数",SUMIFS(yj!$I:$I,yj!$B:$B,小圆机汇总表!$A40,yj!$G:$G,小圆机汇总表!$I$13&amp;"/"&amp;小圆机汇总表!$J$13&amp;"/"&amp;小圆机汇总表!O$14),SUMIFS(yj!$H:$H,yj!$B:$B,小圆机汇总表!$A40,yj!$G:$G,小圆机汇总表!$I$13&amp;"/"&amp;小圆机汇总表!$J$13&amp;"/"&amp;小圆机汇总表!O$14))</f>
        <v>0</v>
      </c>
      <c r="P40" s="18">
        <f>IF($K$13="件数",SUMIFS(yj!$I:$I,yj!$B:$B,小圆机汇总表!$A40,yj!$G:$G,小圆机汇总表!$I$13&amp;"/"&amp;小圆机汇总表!$J$13&amp;"/"&amp;小圆机汇总表!P$14),SUMIFS(yj!$H:$H,yj!$B:$B,小圆机汇总表!$A40,yj!$G:$G,小圆机汇总表!$I$13&amp;"/"&amp;小圆机汇总表!$J$13&amp;"/"&amp;小圆机汇总表!P$14))</f>
        <v>0</v>
      </c>
      <c r="Q40" s="18">
        <f>IF($K$13="件数",SUMIFS(yj!$I:$I,yj!$B:$B,小圆机汇总表!$A40,yj!$G:$G,小圆机汇总表!$I$13&amp;"/"&amp;小圆机汇总表!$J$13&amp;"/"&amp;小圆机汇总表!Q$14),SUMIFS(yj!$H:$H,yj!$B:$B,小圆机汇总表!$A40,yj!$G:$G,小圆机汇总表!$I$13&amp;"/"&amp;小圆机汇总表!$J$13&amp;"/"&amp;小圆机汇总表!Q$14))</f>
        <v>0</v>
      </c>
      <c r="R40" s="18">
        <f>IF($K$13="件数",SUMIFS(yj!$I:$I,yj!$B:$B,小圆机汇总表!$A40,yj!$G:$G,小圆机汇总表!$I$13&amp;"/"&amp;小圆机汇总表!$J$13&amp;"/"&amp;小圆机汇总表!R$14),SUMIFS(yj!$H:$H,yj!$B:$B,小圆机汇总表!$A40,yj!$G:$G,小圆机汇总表!$I$13&amp;"/"&amp;小圆机汇总表!$J$13&amp;"/"&amp;小圆机汇总表!R$14))</f>
        <v>0</v>
      </c>
      <c r="S40" s="18">
        <f>IF($K$13="件数",SUMIFS(yj!$I:$I,yj!$B:$B,小圆机汇总表!$A40,yj!$G:$G,小圆机汇总表!$I$13&amp;"/"&amp;小圆机汇总表!$J$13&amp;"/"&amp;小圆机汇总表!S$14),SUMIFS(yj!$H:$H,yj!$B:$B,小圆机汇总表!$A40,yj!$G:$G,小圆机汇总表!$I$13&amp;"/"&amp;小圆机汇总表!$J$13&amp;"/"&amp;小圆机汇总表!S$14))</f>
        <v>0</v>
      </c>
      <c r="T40" s="18">
        <f>IF($K$13="件数",SUMIFS(yj!$I:$I,yj!$B:$B,小圆机汇总表!$A40,yj!$G:$G,小圆机汇总表!$I$13&amp;"/"&amp;小圆机汇总表!$J$13&amp;"/"&amp;小圆机汇总表!T$14),SUMIFS(yj!$H:$H,yj!$B:$B,小圆机汇总表!$A40,yj!$G:$G,小圆机汇总表!$I$13&amp;"/"&amp;小圆机汇总表!$J$13&amp;"/"&amp;小圆机汇总表!T$14))</f>
        <v>0</v>
      </c>
      <c r="U40" s="18">
        <f>IF($K$13="件数",SUMIFS(yj!$I:$I,yj!$B:$B,小圆机汇总表!$A40,yj!$G:$G,小圆机汇总表!$I$13&amp;"/"&amp;小圆机汇总表!$J$13&amp;"/"&amp;小圆机汇总表!U$14),SUMIFS(yj!$H:$H,yj!$B:$B,小圆机汇总表!$A40,yj!$G:$G,小圆机汇总表!$I$13&amp;"/"&amp;小圆机汇总表!$J$13&amp;"/"&amp;小圆机汇总表!U$14))</f>
        <v>0</v>
      </c>
      <c r="V40" s="18">
        <f>IF($K$13="件数",SUMIFS(yj!$I:$I,yj!$B:$B,小圆机汇总表!$A40,yj!$G:$G,小圆机汇总表!$I$13&amp;"/"&amp;小圆机汇总表!$J$13&amp;"/"&amp;小圆机汇总表!V$14),SUMIFS(yj!$H:$H,yj!$B:$B,小圆机汇总表!$A40,yj!$G:$G,小圆机汇总表!$I$13&amp;"/"&amp;小圆机汇总表!$J$13&amp;"/"&amp;小圆机汇总表!V$14))</f>
        <v>0</v>
      </c>
      <c r="W40" s="18">
        <f>IF($K$13="件数",SUMIFS(yj!$I:$I,yj!$B:$B,小圆机汇总表!$A40,yj!$G:$G,小圆机汇总表!$I$13&amp;"/"&amp;小圆机汇总表!$J$13&amp;"/"&amp;小圆机汇总表!W$14),SUMIFS(yj!$H:$H,yj!$B:$B,小圆机汇总表!$A40,yj!$G:$G,小圆机汇总表!$I$13&amp;"/"&amp;小圆机汇总表!$J$13&amp;"/"&amp;小圆机汇总表!W$14))</f>
        <v>0</v>
      </c>
      <c r="X40" s="18">
        <f>IF($K$13="件数",SUMIFS(yj!$I:$I,yj!$B:$B,小圆机汇总表!$A40,yj!$G:$G,小圆机汇总表!$I$13&amp;"/"&amp;小圆机汇总表!$J$13&amp;"/"&amp;小圆机汇总表!X$14),SUMIFS(yj!$H:$H,yj!$B:$B,小圆机汇总表!$A40,yj!$G:$G,小圆机汇总表!$I$13&amp;"/"&amp;小圆机汇总表!$J$13&amp;"/"&amp;小圆机汇总表!X$14))</f>
        <v>0</v>
      </c>
      <c r="Y40" s="18">
        <f>IF($K$13="件数",SUMIFS(yj!$I:$I,yj!$B:$B,小圆机汇总表!$A40,yj!$G:$G,小圆机汇总表!$I$13&amp;"/"&amp;小圆机汇总表!$J$13&amp;"/"&amp;小圆机汇总表!Y$14),SUMIFS(yj!$H:$H,yj!$B:$B,小圆机汇总表!$A40,yj!$G:$G,小圆机汇总表!$I$13&amp;"/"&amp;小圆机汇总表!$J$13&amp;"/"&amp;小圆机汇总表!Y$14))</f>
        <v>0</v>
      </c>
      <c r="Z40" s="18">
        <f>IF($K$13="件数",SUMIFS(yj!$I:$I,yj!$B:$B,小圆机汇总表!$A40,yj!$G:$G,小圆机汇总表!$I$13&amp;"/"&amp;小圆机汇总表!$J$13&amp;"/"&amp;小圆机汇总表!Z$14),SUMIFS(yj!$H:$H,yj!$B:$B,小圆机汇总表!$A40,yj!$G:$G,小圆机汇总表!$I$13&amp;"/"&amp;小圆机汇总表!$J$13&amp;"/"&amp;小圆机汇总表!Z$14))</f>
        <v>0</v>
      </c>
      <c r="AA40" s="18">
        <f>IF($K$13="件数",SUMIFS(yj!$I:$I,yj!$B:$B,小圆机汇总表!$A40,yj!$G:$G,小圆机汇总表!$I$13&amp;"/"&amp;小圆机汇总表!$J$13&amp;"/"&amp;小圆机汇总表!AA$14),SUMIFS(yj!$H:$H,yj!$B:$B,小圆机汇总表!$A40,yj!$G:$G,小圆机汇总表!$I$13&amp;"/"&amp;小圆机汇总表!$J$13&amp;"/"&amp;小圆机汇总表!AA$14))</f>
        <v>0</v>
      </c>
      <c r="AB40" s="18">
        <f>IF($K$13="件数",SUMIFS(yj!$I:$I,yj!$B:$B,小圆机汇总表!$A40,yj!$G:$G,小圆机汇总表!$I$13&amp;"/"&amp;小圆机汇总表!$J$13&amp;"/"&amp;小圆机汇总表!AB$14),SUMIFS(yj!$H:$H,yj!$B:$B,小圆机汇总表!$A40,yj!$G:$G,小圆机汇总表!$I$13&amp;"/"&amp;小圆机汇总表!$J$13&amp;"/"&amp;小圆机汇总表!AB$14))</f>
        <v>0</v>
      </c>
      <c r="AC40" s="18">
        <f>IF($K$13="件数",SUMIFS(yj!$I:$I,yj!$B:$B,小圆机汇总表!$A40,yj!$G:$G,小圆机汇总表!$I$13&amp;"/"&amp;小圆机汇总表!$J$13&amp;"/"&amp;小圆机汇总表!AC$14),SUMIFS(yj!$H:$H,yj!$B:$B,小圆机汇总表!$A40,yj!$G:$G,小圆机汇总表!$I$13&amp;"/"&amp;小圆机汇总表!$J$13&amp;"/"&amp;小圆机汇总表!AC$14))</f>
        <v>0</v>
      </c>
      <c r="AD40" s="18">
        <f>IF($K$13="件数",SUMIFS(yj!$I:$I,yj!$B:$B,小圆机汇总表!$A40,yj!$G:$G,小圆机汇总表!$I$13&amp;"/"&amp;小圆机汇总表!$J$13&amp;"/"&amp;小圆机汇总表!AD$14),SUMIFS(yj!$H:$H,yj!$B:$B,小圆机汇总表!$A40,yj!$G:$G,小圆机汇总表!$I$13&amp;"/"&amp;小圆机汇总表!$J$13&amp;"/"&amp;小圆机汇总表!AD$14))</f>
        <v>0</v>
      </c>
      <c r="AE40" s="18">
        <f>IF($K$13="件数",SUMIFS(yj!$I:$I,yj!$B:$B,小圆机汇总表!$A40,yj!$G:$G,小圆机汇总表!$I$13&amp;"/"&amp;小圆机汇总表!$J$13&amp;"/"&amp;小圆机汇总表!AE$14),SUMIFS(yj!$H:$H,yj!$B:$B,小圆机汇总表!$A40,yj!$G:$G,小圆机汇总表!$I$13&amp;"/"&amp;小圆机汇总表!$J$13&amp;"/"&amp;小圆机汇总表!AE$14))</f>
        <v>0</v>
      </c>
      <c r="AF40" s="18">
        <f>IF($K$13="件数",SUMIFS(yj!$I:$I,yj!$B:$B,小圆机汇总表!$A40,yj!$G:$G,小圆机汇总表!$I$13&amp;"/"&amp;小圆机汇总表!$J$13&amp;"/"&amp;小圆机汇总表!AF$14),SUMIFS(yj!$H:$H,yj!$B:$B,小圆机汇总表!$A40,yj!$G:$G,小圆机汇总表!$I$13&amp;"/"&amp;小圆机汇总表!$J$13&amp;"/"&amp;小圆机汇总表!AF$14))</f>
        <v>0</v>
      </c>
      <c r="AG40" s="18">
        <f>IF($K$13="件数",SUMIFS(yj!$I:$I,yj!$B:$B,小圆机汇总表!$A40,yj!$G:$G,小圆机汇总表!$I$13&amp;"/"&amp;小圆机汇总表!$J$13&amp;"/"&amp;小圆机汇总表!AG$14),SUMIFS(yj!$H:$H,yj!$B:$B,小圆机汇总表!$A40,yj!$G:$G,小圆机汇总表!$I$13&amp;"/"&amp;小圆机汇总表!$J$13&amp;"/"&amp;小圆机汇总表!AG$14))</f>
        <v>0</v>
      </c>
      <c r="AH40" s="18">
        <f>IF($K$13="件数",SUMIFS(yj!$I:$I,yj!$B:$B,小圆机汇总表!$A40,yj!$G:$G,小圆机汇总表!$I$13&amp;"/"&amp;小圆机汇总表!$J$13&amp;"/"&amp;小圆机汇总表!AH$14),SUMIFS(yj!$H:$H,yj!$B:$B,小圆机汇总表!$A40,yj!$G:$G,小圆机汇总表!$I$13&amp;"/"&amp;小圆机汇总表!$J$13&amp;"/"&amp;小圆机汇总表!AH$14))</f>
        <v>0</v>
      </c>
      <c r="AI40" s="18">
        <f>IF($K$13="件数",SUMIFS(yj!$I:$I,yj!$B:$B,小圆机汇总表!$A40,yj!$G:$G,小圆机汇总表!$I$13&amp;"/"&amp;小圆机汇总表!$J$13&amp;"/"&amp;小圆机汇总表!AI$14),SUMIFS(yj!$H:$H,yj!$B:$B,小圆机汇总表!$A40,yj!$G:$G,小圆机汇总表!$I$13&amp;"/"&amp;小圆机汇总表!$J$13&amp;"/"&amp;小圆机汇总表!AI$14))</f>
        <v>0</v>
      </c>
      <c r="AJ40" s="18">
        <f>IF($K$13="件数",SUMIFS(yj!$I:$I,yj!$B:$B,小圆机汇总表!$A40,yj!$G:$G,小圆机汇总表!$I$13&amp;"/"&amp;小圆机汇总表!$J$13&amp;"/"&amp;小圆机汇总表!AJ$14),SUMIFS(yj!$H:$H,yj!$B:$B,小圆机汇总表!$A40,yj!$G:$G,小圆机汇总表!$I$13&amp;"/"&amp;小圆机汇总表!$J$13&amp;"/"&amp;小圆机汇总表!AJ$14))</f>
        <v>0</v>
      </c>
      <c r="AK40" s="18">
        <f>IF($K$13="件数",SUMIFS(yj!$I:$I,yj!$B:$B,小圆机汇总表!$A40,yj!$G:$G,小圆机汇总表!$I$13&amp;"/"&amp;小圆机汇总表!$J$13&amp;"/"&amp;小圆机汇总表!AK$14),SUMIFS(yj!$H:$H,yj!$B:$B,小圆机汇总表!$A40,yj!$G:$G,小圆机汇总表!$I$13&amp;"/"&amp;小圆机汇总表!$J$13&amp;"/"&amp;小圆机汇总表!AK$14))</f>
        <v>0</v>
      </c>
      <c r="AL40" s="18">
        <f>IF($K$13="件数",SUMIFS(yj!$I:$I,yj!$B:$B,小圆机汇总表!$A40,yj!$G:$G,小圆机汇总表!$I$13&amp;"/"&amp;小圆机汇总表!$J$13&amp;"/"&amp;小圆机汇总表!AL$14),SUMIFS(yj!$H:$H,yj!$B:$B,小圆机汇总表!$A40,yj!$G:$G,小圆机汇总表!$I$13&amp;"/"&amp;小圆机汇总表!$J$13&amp;"/"&amp;小圆机汇总表!AL$14))</f>
        <v>0</v>
      </c>
      <c r="AM40" s="18">
        <f>IF($K$13="件数",SUMIFS(yj!$I:$I,yj!$B:$B,小圆机汇总表!$A40,yj!$G:$G,小圆机汇总表!$I$13&amp;"/"&amp;小圆机汇总表!$J$13&amp;"/"&amp;小圆机汇总表!AM$14),SUMIFS(yj!$H:$H,yj!$B:$B,小圆机汇总表!$A40,yj!$G:$G,小圆机汇总表!$I$13&amp;"/"&amp;小圆机汇总表!$J$13&amp;"/"&amp;小圆机汇总表!AM$14))</f>
        <v>0</v>
      </c>
      <c r="AN40" s="18">
        <f>IF($K$13="件数",SUMIFS(yj!$I:$I,yj!$B:$B,小圆机汇总表!$A40,yj!$G:$G,小圆机汇总表!$I$13&amp;"/"&amp;小圆机汇总表!$J$13&amp;"/"&amp;小圆机汇总表!AN$14),SUMIFS(yj!$H:$H,yj!$B:$B,小圆机汇总表!$A40,yj!$G:$G,小圆机汇总表!$I$13&amp;"/"&amp;小圆机汇总表!$J$13&amp;"/"&amp;小圆机汇总表!AN$14))</f>
        <v>0</v>
      </c>
      <c r="AO40" s="18">
        <f>IF($K$13="件数",SUMIFS(yj!$I:$I,yj!$B:$B,小圆机汇总表!$A40,yj!$G:$G,小圆机汇总表!$I$13&amp;"/"&amp;小圆机汇总表!$J$13&amp;"/"&amp;小圆机汇总表!AO$14),SUMIFS(yj!$H:$H,yj!$B:$B,小圆机汇总表!$A40,yj!$G:$G,小圆机汇总表!$I$13&amp;"/"&amp;小圆机汇总表!$J$13&amp;"/"&amp;小圆机汇总表!AO$14))</f>
        <v>0</v>
      </c>
      <c r="AP40" s="18">
        <f>IF($K$13="件数",SUMIFS(yj!$I:$I,yj!$B:$B,小圆机汇总表!$A40,yj!$G:$G,小圆机汇总表!$I$13&amp;"/"&amp;小圆机汇总表!$J$13&amp;"/"&amp;小圆机汇总表!AP$14),SUMIFS(yj!$H:$H,yj!$B:$B,小圆机汇总表!$A40,yj!$G:$G,小圆机汇总表!$I$13&amp;"/"&amp;小圆机汇总表!$J$13&amp;"/"&amp;小圆机汇总表!AP$14))</f>
        <v>0</v>
      </c>
      <c r="AQ40" s="18">
        <f>IF($K$13="件数",SUMIFS(yj!$I:$I,yj!$B:$B,小圆机汇总表!$A40,yj!$G:$G,小圆机汇总表!$I$13&amp;"/"&amp;小圆机汇总表!$J$13&amp;"/"&amp;小圆机汇总表!AQ$14),SUMIFS(yj!$H:$H,yj!$B:$B,小圆机汇总表!$A40,yj!$G:$G,小圆机汇总表!$I$13&amp;"/"&amp;小圆机汇总表!$J$13&amp;"/"&amp;小圆机汇总表!AQ$14))</f>
        <v>0</v>
      </c>
    </row>
    <row r="41" spans="1:43" ht="18" hidden="1" customHeight="1">
      <c r="A41" s="54" t="s">
        <v>975</v>
      </c>
      <c r="B41" s="14" t="s">
        <v>976</v>
      </c>
      <c r="C41" s="17">
        <v>50</v>
      </c>
      <c r="D41" s="17" t="s">
        <v>38</v>
      </c>
      <c r="E41" s="54" t="s">
        <v>977</v>
      </c>
      <c r="F41" s="54">
        <v>160</v>
      </c>
      <c r="G41" s="54">
        <v>34</v>
      </c>
      <c r="H41" s="14" t="s">
        <v>978</v>
      </c>
      <c r="I41" s="54"/>
      <c r="J41" s="182">
        <f ca="1">IF(SUMIFS(yj!$I:$I,yj!$B:$B,小圆机汇总表!A41,yj!$G:$G,小圆机汇总表!$L$13)&gt;0,SUMIFS(yj!$H:$H,yj!$B:$B,小圆机汇总表!A41,yj!$G:$G,小圆机汇总表!$L$13),0)</f>
        <v>0</v>
      </c>
      <c r="K41" s="15">
        <f>SUMIFS(yj!$H:$H,yj!$B:$B,小圆机汇总表!A41,yj!$M:$M,小圆机汇总表!$J$13)</f>
        <v>0</v>
      </c>
      <c r="L41" s="15">
        <f>SUMIFS(yj!$I:$I,yj!$B:$B,小圆机汇总表!A41,yj!$M:$M,小圆机汇总表!$J$13)</f>
        <v>0</v>
      </c>
      <c r="M41" s="18">
        <f>IF($K$13="件数",SUMIFS(yj!$I:$I,yj!$B:$B,小圆机汇总表!$A41,yj!$G:$G,小圆机汇总表!$I$13&amp;"/"&amp;小圆机汇总表!$J$13&amp;"/"&amp;小圆机汇总表!M$14),SUMIFS(yj!$H:$H,yj!$B:$B,小圆机汇总表!$A41,yj!$G:$G,小圆机汇总表!$I$13&amp;"/"&amp;小圆机汇总表!$J$13&amp;"/"&amp;小圆机汇总表!M$14))</f>
        <v>0</v>
      </c>
      <c r="N41" s="18">
        <f>IF($K$13="件数",SUMIFS(yj!$I:$I,yj!$B:$B,小圆机汇总表!$A41,yj!$G:$G,小圆机汇总表!$I$13&amp;"/"&amp;小圆机汇总表!$J$13&amp;"/"&amp;小圆机汇总表!N$14),SUMIFS(yj!$H:$H,yj!$B:$B,小圆机汇总表!$A41,yj!$G:$G,小圆机汇总表!$I$13&amp;"/"&amp;小圆机汇总表!$J$13&amp;"/"&amp;小圆机汇总表!N$14))</f>
        <v>0</v>
      </c>
      <c r="O41" s="18">
        <f>IF($K$13="件数",SUMIFS(yj!$I:$I,yj!$B:$B,小圆机汇总表!$A41,yj!$G:$G,小圆机汇总表!$I$13&amp;"/"&amp;小圆机汇总表!$J$13&amp;"/"&amp;小圆机汇总表!O$14),SUMIFS(yj!$H:$H,yj!$B:$B,小圆机汇总表!$A41,yj!$G:$G,小圆机汇总表!$I$13&amp;"/"&amp;小圆机汇总表!$J$13&amp;"/"&amp;小圆机汇总表!O$14))</f>
        <v>0</v>
      </c>
      <c r="P41" s="18">
        <f>IF($K$13="件数",SUMIFS(yj!$I:$I,yj!$B:$B,小圆机汇总表!$A41,yj!$G:$G,小圆机汇总表!$I$13&amp;"/"&amp;小圆机汇总表!$J$13&amp;"/"&amp;小圆机汇总表!P$14),SUMIFS(yj!$H:$H,yj!$B:$B,小圆机汇总表!$A41,yj!$G:$G,小圆机汇总表!$I$13&amp;"/"&amp;小圆机汇总表!$J$13&amp;"/"&amp;小圆机汇总表!P$14))</f>
        <v>0</v>
      </c>
      <c r="Q41" s="18">
        <f>IF($K$13="件数",SUMIFS(yj!$I:$I,yj!$B:$B,小圆机汇总表!$A41,yj!$G:$G,小圆机汇总表!$I$13&amp;"/"&amp;小圆机汇总表!$J$13&amp;"/"&amp;小圆机汇总表!Q$14),SUMIFS(yj!$H:$H,yj!$B:$B,小圆机汇总表!$A41,yj!$G:$G,小圆机汇总表!$I$13&amp;"/"&amp;小圆机汇总表!$J$13&amp;"/"&amp;小圆机汇总表!Q$14))</f>
        <v>0</v>
      </c>
      <c r="R41" s="18">
        <f>IF($K$13="件数",SUMIFS(yj!$I:$I,yj!$B:$B,小圆机汇总表!$A41,yj!$G:$G,小圆机汇总表!$I$13&amp;"/"&amp;小圆机汇总表!$J$13&amp;"/"&amp;小圆机汇总表!R$14),SUMIFS(yj!$H:$H,yj!$B:$B,小圆机汇总表!$A41,yj!$G:$G,小圆机汇总表!$I$13&amp;"/"&amp;小圆机汇总表!$J$13&amp;"/"&amp;小圆机汇总表!R$14))</f>
        <v>0</v>
      </c>
      <c r="S41" s="18">
        <f>IF($K$13="件数",SUMIFS(yj!$I:$I,yj!$B:$B,小圆机汇总表!$A41,yj!$G:$G,小圆机汇总表!$I$13&amp;"/"&amp;小圆机汇总表!$J$13&amp;"/"&amp;小圆机汇总表!S$14),SUMIFS(yj!$H:$H,yj!$B:$B,小圆机汇总表!$A41,yj!$G:$G,小圆机汇总表!$I$13&amp;"/"&amp;小圆机汇总表!$J$13&amp;"/"&amp;小圆机汇总表!S$14))</f>
        <v>0</v>
      </c>
      <c r="T41" s="18">
        <f>IF($K$13="件数",SUMIFS(yj!$I:$I,yj!$B:$B,小圆机汇总表!$A41,yj!$G:$G,小圆机汇总表!$I$13&amp;"/"&amp;小圆机汇总表!$J$13&amp;"/"&amp;小圆机汇总表!T$14),SUMIFS(yj!$H:$H,yj!$B:$B,小圆机汇总表!$A41,yj!$G:$G,小圆机汇总表!$I$13&amp;"/"&amp;小圆机汇总表!$J$13&amp;"/"&amp;小圆机汇总表!T$14))</f>
        <v>0</v>
      </c>
      <c r="U41" s="18">
        <f>IF($K$13="件数",SUMIFS(yj!$I:$I,yj!$B:$B,小圆机汇总表!$A41,yj!$G:$G,小圆机汇总表!$I$13&amp;"/"&amp;小圆机汇总表!$J$13&amp;"/"&amp;小圆机汇总表!U$14),SUMIFS(yj!$H:$H,yj!$B:$B,小圆机汇总表!$A41,yj!$G:$G,小圆机汇总表!$I$13&amp;"/"&amp;小圆机汇总表!$J$13&amp;"/"&amp;小圆机汇总表!U$14))</f>
        <v>0</v>
      </c>
      <c r="V41" s="18">
        <f>IF($K$13="件数",SUMIFS(yj!$I:$I,yj!$B:$B,小圆机汇总表!$A41,yj!$G:$G,小圆机汇总表!$I$13&amp;"/"&amp;小圆机汇总表!$J$13&amp;"/"&amp;小圆机汇总表!V$14),SUMIFS(yj!$H:$H,yj!$B:$B,小圆机汇总表!$A41,yj!$G:$G,小圆机汇总表!$I$13&amp;"/"&amp;小圆机汇总表!$J$13&amp;"/"&amp;小圆机汇总表!V$14))</f>
        <v>0</v>
      </c>
      <c r="W41" s="18">
        <f>IF($K$13="件数",SUMIFS(yj!$I:$I,yj!$B:$B,小圆机汇总表!$A41,yj!$G:$G,小圆机汇总表!$I$13&amp;"/"&amp;小圆机汇总表!$J$13&amp;"/"&amp;小圆机汇总表!W$14),SUMIFS(yj!$H:$H,yj!$B:$B,小圆机汇总表!$A41,yj!$G:$G,小圆机汇总表!$I$13&amp;"/"&amp;小圆机汇总表!$J$13&amp;"/"&amp;小圆机汇总表!W$14))</f>
        <v>0</v>
      </c>
      <c r="X41" s="18">
        <f>IF($K$13="件数",SUMIFS(yj!$I:$I,yj!$B:$B,小圆机汇总表!$A41,yj!$G:$G,小圆机汇总表!$I$13&amp;"/"&amp;小圆机汇总表!$J$13&amp;"/"&amp;小圆机汇总表!X$14),SUMIFS(yj!$H:$H,yj!$B:$B,小圆机汇总表!$A41,yj!$G:$G,小圆机汇总表!$I$13&amp;"/"&amp;小圆机汇总表!$J$13&amp;"/"&amp;小圆机汇总表!X$14))</f>
        <v>0</v>
      </c>
      <c r="Y41" s="18">
        <f>IF($K$13="件数",SUMIFS(yj!$I:$I,yj!$B:$B,小圆机汇总表!$A41,yj!$G:$G,小圆机汇总表!$I$13&amp;"/"&amp;小圆机汇总表!$J$13&amp;"/"&amp;小圆机汇总表!Y$14),SUMIFS(yj!$H:$H,yj!$B:$B,小圆机汇总表!$A41,yj!$G:$G,小圆机汇总表!$I$13&amp;"/"&amp;小圆机汇总表!$J$13&amp;"/"&amp;小圆机汇总表!Y$14))</f>
        <v>0</v>
      </c>
      <c r="Z41" s="18">
        <f>IF($K$13="件数",SUMIFS(yj!$I:$I,yj!$B:$B,小圆机汇总表!$A41,yj!$G:$G,小圆机汇总表!$I$13&amp;"/"&amp;小圆机汇总表!$J$13&amp;"/"&amp;小圆机汇总表!Z$14),SUMIFS(yj!$H:$H,yj!$B:$B,小圆机汇总表!$A41,yj!$G:$G,小圆机汇总表!$I$13&amp;"/"&amp;小圆机汇总表!$J$13&amp;"/"&amp;小圆机汇总表!Z$14))</f>
        <v>0</v>
      </c>
      <c r="AA41" s="18">
        <f>IF($K$13="件数",SUMIFS(yj!$I:$I,yj!$B:$B,小圆机汇总表!$A41,yj!$G:$G,小圆机汇总表!$I$13&amp;"/"&amp;小圆机汇总表!$J$13&amp;"/"&amp;小圆机汇总表!AA$14),SUMIFS(yj!$H:$H,yj!$B:$B,小圆机汇总表!$A41,yj!$G:$G,小圆机汇总表!$I$13&amp;"/"&amp;小圆机汇总表!$J$13&amp;"/"&amp;小圆机汇总表!AA$14))</f>
        <v>0</v>
      </c>
      <c r="AB41" s="18">
        <f>IF($K$13="件数",SUMIFS(yj!$I:$I,yj!$B:$B,小圆机汇总表!$A41,yj!$G:$G,小圆机汇总表!$I$13&amp;"/"&amp;小圆机汇总表!$J$13&amp;"/"&amp;小圆机汇总表!AB$14),SUMIFS(yj!$H:$H,yj!$B:$B,小圆机汇总表!$A41,yj!$G:$G,小圆机汇总表!$I$13&amp;"/"&amp;小圆机汇总表!$J$13&amp;"/"&amp;小圆机汇总表!AB$14))</f>
        <v>0</v>
      </c>
      <c r="AC41" s="18">
        <f>IF($K$13="件数",SUMIFS(yj!$I:$I,yj!$B:$B,小圆机汇总表!$A41,yj!$G:$G,小圆机汇总表!$I$13&amp;"/"&amp;小圆机汇总表!$J$13&amp;"/"&amp;小圆机汇总表!AC$14),SUMIFS(yj!$H:$H,yj!$B:$B,小圆机汇总表!$A41,yj!$G:$G,小圆机汇总表!$I$13&amp;"/"&amp;小圆机汇总表!$J$13&amp;"/"&amp;小圆机汇总表!AC$14))</f>
        <v>0</v>
      </c>
      <c r="AD41" s="18">
        <f>IF($K$13="件数",SUMIFS(yj!$I:$I,yj!$B:$B,小圆机汇总表!$A41,yj!$G:$G,小圆机汇总表!$I$13&amp;"/"&amp;小圆机汇总表!$J$13&amp;"/"&amp;小圆机汇总表!AD$14),SUMIFS(yj!$H:$H,yj!$B:$B,小圆机汇总表!$A41,yj!$G:$G,小圆机汇总表!$I$13&amp;"/"&amp;小圆机汇总表!$J$13&amp;"/"&amp;小圆机汇总表!AD$14))</f>
        <v>0</v>
      </c>
      <c r="AE41" s="18">
        <f>IF($K$13="件数",SUMIFS(yj!$I:$I,yj!$B:$B,小圆机汇总表!$A41,yj!$G:$G,小圆机汇总表!$I$13&amp;"/"&amp;小圆机汇总表!$J$13&amp;"/"&amp;小圆机汇总表!AE$14),SUMIFS(yj!$H:$H,yj!$B:$B,小圆机汇总表!$A41,yj!$G:$G,小圆机汇总表!$I$13&amp;"/"&amp;小圆机汇总表!$J$13&amp;"/"&amp;小圆机汇总表!AE$14))</f>
        <v>0</v>
      </c>
      <c r="AF41" s="18">
        <f>IF($K$13="件数",SUMIFS(yj!$I:$I,yj!$B:$B,小圆机汇总表!$A41,yj!$G:$G,小圆机汇总表!$I$13&amp;"/"&amp;小圆机汇总表!$J$13&amp;"/"&amp;小圆机汇总表!AF$14),SUMIFS(yj!$H:$H,yj!$B:$B,小圆机汇总表!$A41,yj!$G:$G,小圆机汇总表!$I$13&amp;"/"&amp;小圆机汇总表!$J$13&amp;"/"&amp;小圆机汇总表!AF$14))</f>
        <v>0</v>
      </c>
      <c r="AG41" s="18">
        <f>IF($K$13="件数",SUMIFS(yj!$I:$I,yj!$B:$B,小圆机汇总表!$A41,yj!$G:$G,小圆机汇总表!$I$13&amp;"/"&amp;小圆机汇总表!$J$13&amp;"/"&amp;小圆机汇总表!AG$14),SUMIFS(yj!$H:$H,yj!$B:$B,小圆机汇总表!$A41,yj!$G:$G,小圆机汇总表!$I$13&amp;"/"&amp;小圆机汇总表!$J$13&amp;"/"&amp;小圆机汇总表!AG$14))</f>
        <v>0</v>
      </c>
      <c r="AH41" s="18">
        <f>IF($K$13="件数",SUMIFS(yj!$I:$I,yj!$B:$B,小圆机汇总表!$A41,yj!$G:$G,小圆机汇总表!$I$13&amp;"/"&amp;小圆机汇总表!$J$13&amp;"/"&amp;小圆机汇总表!AH$14),SUMIFS(yj!$H:$H,yj!$B:$B,小圆机汇总表!$A41,yj!$G:$G,小圆机汇总表!$I$13&amp;"/"&amp;小圆机汇总表!$J$13&amp;"/"&amp;小圆机汇总表!AH$14))</f>
        <v>0</v>
      </c>
      <c r="AI41" s="18">
        <f>IF($K$13="件数",SUMIFS(yj!$I:$I,yj!$B:$B,小圆机汇总表!$A41,yj!$G:$G,小圆机汇总表!$I$13&amp;"/"&amp;小圆机汇总表!$J$13&amp;"/"&amp;小圆机汇总表!AI$14),SUMIFS(yj!$H:$H,yj!$B:$B,小圆机汇总表!$A41,yj!$G:$G,小圆机汇总表!$I$13&amp;"/"&amp;小圆机汇总表!$J$13&amp;"/"&amp;小圆机汇总表!AI$14))</f>
        <v>0</v>
      </c>
      <c r="AJ41" s="18">
        <f>IF($K$13="件数",SUMIFS(yj!$I:$I,yj!$B:$B,小圆机汇总表!$A41,yj!$G:$G,小圆机汇总表!$I$13&amp;"/"&amp;小圆机汇总表!$J$13&amp;"/"&amp;小圆机汇总表!AJ$14),SUMIFS(yj!$H:$H,yj!$B:$B,小圆机汇总表!$A41,yj!$G:$G,小圆机汇总表!$I$13&amp;"/"&amp;小圆机汇总表!$J$13&amp;"/"&amp;小圆机汇总表!AJ$14))</f>
        <v>0</v>
      </c>
      <c r="AK41" s="18">
        <f>IF($K$13="件数",SUMIFS(yj!$I:$I,yj!$B:$B,小圆机汇总表!$A41,yj!$G:$G,小圆机汇总表!$I$13&amp;"/"&amp;小圆机汇总表!$J$13&amp;"/"&amp;小圆机汇总表!AK$14),SUMIFS(yj!$H:$H,yj!$B:$B,小圆机汇总表!$A41,yj!$G:$G,小圆机汇总表!$I$13&amp;"/"&amp;小圆机汇总表!$J$13&amp;"/"&amp;小圆机汇总表!AK$14))</f>
        <v>0</v>
      </c>
      <c r="AL41" s="18">
        <f>IF($K$13="件数",SUMIFS(yj!$I:$I,yj!$B:$B,小圆机汇总表!$A41,yj!$G:$G,小圆机汇总表!$I$13&amp;"/"&amp;小圆机汇总表!$J$13&amp;"/"&amp;小圆机汇总表!AL$14),SUMIFS(yj!$H:$H,yj!$B:$B,小圆机汇总表!$A41,yj!$G:$G,小圆机汇总表!$I$13&amp;"/"&amp;小圆机汇总表!$J$13&amp;"/"&amp;小圆机汇总表!AL$14))</f>
        <v>0</v>
      </c>
      <c r="AM41" s="18">
        <f>IF($K$13="件数",SUMIFS(yj!$I:$I,yj!$B:$B,小圆机汇总表!$A41,yj!$G:$G,小圆机汇总表!$I$13&amp;"/"&amp;小圆机汇总表!$J$13&amp;"/"&amp;小圆机汇总表!AM$14),SUMIFS(yj!$H:$H,yj!$B:$B,小圆机汇总表!$A41,yj!$G:$G,小圆机汇总表!$I$13&amp;"/"&amp;小圆机汇总表!$J$13&amp;"/"&amp;小圆机汇总表!AM$14))</f>
        <v>0</v>
      </c>
      <c r="AN41" s="18">
        <f>IF($K$13="件数",SUMIFS(yj!$I:$I,yj!$B:$B,小圆机汇总表!$A41,yj!$G:$G,小圆机汇总表!$I$13&amp;"/"&amp;小圆机汇总表!$J$13&amp;"/"&amp;小圆机汇总表!AN$14),SUMIFS(yj!$H:$H,yj!$B:$B,小圆机汇总表!$A41,yj!$G:$G,小圆机汇总表!$I$13&amp;"/"&amp;小圆机汇总表!$J$13&amp;"/"&amp;小圆机汇总表!AN$14))</f>
        <v>0</v>
      </c>
      <c r="AO41" s="18">
        <f>IF($K$13="件数",SUMIFS(yj!$I:$I,yj!$B:$B,小圆机汇总表!$A41,yj!$G:$G,小圆机汇总表!$I$13&amp;"/"&amp;小圆机汇总表!$J$13&amp;"/"&amp;小圆机汇总表!AO$14),SUMIFS(yj!$H:$H,yj!$B:$B,小圆机汇总表!$A41,yj!$G:$G,小圆机汇总表!$I$13&amp;"/"&amp;小圆机汇总表!$J$13&amp;"/"&amp;小圆机汇总表!AO$14))</f>
        <v>0</v>
      </c>
      <c r="AP41" s="18">
        <f>IF($K$13="件数",SUMIFS(yj!$I:$I,yj!$B:$B,小圆机汇总表!$A41,yj!$G:$G,小圆机汇总表!$I$13&amp;"/"&amp;小圆机汇总表!$J$13&amp;"/"&amp;小圆机汇总表!AP$14),SUMIFS(yj!$H:$H,yj!$B:$B,小圆机汇总表!$A41,yj!$G:$G,小圆机汇总表!$I$13&amp;"/"&amp;小圆机汇总表!$J$13&amp;"/"&amp;小圆机汇总表!AP$14))</f>
        <v>0</v>
      </c>
      <c r="AQ41" s="18">
        <f>IF($K$13="件数",SUMIFS(yj!$I:$I,yj!$B:$B,小圆机汇总表!$A41,yj!$G:$G,小圆机汇总表!$I$13&amp;"/"&amp;小圆机汇总表!$J$13&amp;"/"&amp;小圆机汇总表!AQ$14),SUMIFS(yj!$H:$H,yj!$B:$B,小圆机汇总表!$A41,yj!$G:$G,小圆机汇总表!$I$13&amp;"/"&amp;小圆机汇总表!$J$13&amp;"/"&amp;小圆机汇总表!AQ$14))</f>
        <v>0</v>
      </c>
    </row>
    <row r="42" spans="1:43" ht="18" hidden="1" customHeight="1">
      <c r="A42" s="194" t="s">
        <v>2248</v>
      </c>
      <c r="B42" s="176" t="s">
        <v>1626</v>
      </c>
      <c r="C42" s="17">
        <v>50</v>
      </c>
      <c r="D42" s="17" t="s">
        <v>968</v>
      </c>
      <c r="E42" s="194" t="s">
        <v>2344</v>
      </c>
      <c r="F42" s="13">
        <v>160</v>
      </c>
      <c r="G42" s="13">
        <v>40</v>
      </c>
      <c r="H42" s="205" t="s">
        <v>1022</v>
      </c>
      <c r="I42" s="13"/>
      <c r="J42" s="182">
        <f ca="1">IF(SUMIFS(yj!$I:$I,yj!$B:$B,小圆机汇总表!A42,yj!$G:$G,小圆机汇总表!$L$13)&gt;0,SUMIFS(yj!$H:$H,yj!$B:$B,小圆机汇总表!A42,yj!$G:$G,小圆机汇总表!$L$13),0)</f>
        <v>504.4</v>
      </c>
      <c r="K42" s="15">
        <f>SUMIFS(yj!$H:$H,yj!$B:$B,小圆机汇总表!A42,yj!$M:$M,小圆机汇总表!$J$13)</f>
        <v>3178.2000000000003</v>
      </c>
      <c r="L42" s="15">
        <f>SUMIFS(yj!$I:$I,yj!$B:$B,小圆机汇总表!A42,yj!$M:$M,小圆机汇总表!$J$13)</f>
        <v>163</v>
      </c>
      <c r="M42" s="18">
        <f>IF($K$13="件数",SUMIFS(yj!$I:$I,yj!$B:$B,小圆机汇总表!$A42,yj!$G:$G,小圆机汇总表!$I$13&amp;"/"&amp;小圆机汇总表!$J$13&amp;"/"&amp;小圆机汇总表!M$14),SUMIFS(yj!$H:$H,yj!$B:$B,小圆机汇总表!$A42,yj!$G:$G,小圆机汇总表!$I$13&amp;"/"&amp;小圆机汇总表!$J$13&amp;"/"&amp;小圆机汇总表!M$14))</f>
        <v>526.6</v>
      </c>
      <c r="N42" s="18">
        <f>IF($K$13="件数",SUMIFS(yj!$I:$I,yj!$B:$B,小圆机汇总表!$A42,yj!$G:$G,小圆机汇总表!$I$13&amp;"/"&amp;小圆机汇总表!$J$13&amp;"/"&amp;小圆机汇总表!N$14),SUMIFS(yj!$H:$H,yj!$B:$B,小圆机汇总表!$A42,yj!$G:$G,小圆机汇总表!$I$13&amp;"/"&amp;小圆机汇总表!$J$13&amp;"/"&amp;小圆机汇总表!N$14))</f>
        <v>526.79999999999995</v>
      </c>
      <c r="O42" s="18">
        <f>IF($K$13="件数",SUMIFS(yj!$I:$I,yj!$B:$B,小圆机汇总表!$A42,yj!$G:$G,小圆机汇总表!$I$13&amp;"/"&amp;小圆机汇总表!$J$13&amp;"/"&amp;小圆机汇总表!O$14),SUMIFS(yj!$H:$H,yj!$B:$B,小圆机汇总表!$A42,yj!$G:$G,小圆机汇总表!$I$13&amp;"/"&amp;小圆机汇总表!$J$13&amp;"/"&amp;小圆机汇总表!O$14))</f>
        <v>546.70000000000005</v>
      </c>
      <c r="P42" s="18">
        <f>IF($K$13="件数",SUMIFS(yj!$I:$I,yj!$B:$B,小圆机汇总表!$A42,yj!$G:$G,小圆机汇总表!$I$13&amp;"/"&amp;小圆机汇总表!$J$13&amp;"/"&amp;小圆机汇总表!P$14),SUMIFS(yj!$H:$H,yj!$B:$B,小圆机汇总表!$A42,yj!$G:$G,小圆机汇总表!$I$13&amp;"/"&amp;小圆机汇总表!$J$13&amp;"/"&amp;小圆机汇总表!P$14))</f>
        <v>526.79999999999995</v>
      </c>
      <c r="Q42" s="18">
        <f>IF($K$13="件数",SUMIFS(yj!$I:$I,yj!$B:$B,小圆机汇总表!$A42,yj!$G:$G,小圆机汇总表!$I$13&amp;"/"&amp;小圆机汇总表!$J$13&amp;"/"&amp;小圆机汇总表!Q$14),SUMIFS(yj!$H:$H,yj!$B:$B,小圆机汇总表!$A42,yj!$G:$G,小圆机汇总表!$I$13&amp;"/"&amp;小圆机汇总表!$J$13&amp;"/"&amp;小圆机汇总表!Q$14))</f>
        <v>546.9</v>
      </c>
      <c r="R42" s="18">
        <f>IF($K$13="件数",SUMIFS(yj!$I:$I,yj!$B:$B,小圆机汇总表!$A42,yj!$G:$G,小圆机汇总表!$I$13&amp;"/"&amp;小圆机汇总表!$J$13&amp;"/"&amp;小圆机汇总表!R$14),SUMIFS(yj!$H:$H,yj!$B:$B,小圆机汇总表!$A42,yj!$G:$G,小圆机汇总表!$I$13&amp;"/"&amp;小圆机汇总表!$J$13&amp;"/"&amp;小圆机汇总表!R$14))</f>
        <v>504.4</v>
      </c>
      <c r="S42" s="18">
        <f>IF($K$13="件数",SUMIFS(yj!$I:$I,yj!$B:$B,小圆机汇总表!$A42,yj!$G:$G,小圆机汇总表!$I$13&amp;"/"&amp;小圆机汇总表!$J$13&amp;"/"&amp;小圆机汇总表!S$14),SUMIFS(yj!$H:$H,yj!$B:$B,小圆机汇总表!$A42,yj!$G:$G,小圆机汇总表!$I$13&amp;"/"&amp;小圆机汇总表!$J$13&amp;"/"&amp;小圆机汇总表!S$14))</f>
        <v>0</v>
      </c>
      <c r="T42" s="18">
        <f>IF($K$13="件数",SUMIFS(yj!$I:$I,yj!$B:$B,小圆机汇总表!$A42,yj!$G:$G,小圆机汇总表!$I$13&amp;"/"&amp;小圆机汇总表!$J$13&amp;"/"&amp;小圆机汇总表!T$14),SUMIFS(yj!$H:$H,yj!$B:$B,小圆机汇总表!$A42,yj!$G:$G,小圆机汇总表!$I$13&amp;"/"&amp;小圆机汇总表!$J$13&amp;"/"&amp;小圆机汇总表!T$14))</f>
        <v>0</v>
      </c>
      <c r="U42" s="18">
        <f>IF($K$13="件数",SUMIFS(yj!$I:$I,yj!$B:$B,小圆机汇总表!$A42,yj!$G:$G,小圆机汇总表!$I$13&amp;"/"&amp;小圆机汇总表!$J$13&amp;"/"&amp;小圆机汇总表!U$14),SUMIFS(yj!$H:$H,yj!$B:$B,小圆机汇总表!$A42,yj!$G:$G,小圆机汇总表!$I$13&amp;"/"&amp;小圆机汇总表!$J$13&amp;"/"&amp;小圆机汇总表!U$14))</f>
        <v>0</v>
      </c>
      <c r="V42" s="18">
        <f>IF($K$13="件数",SUMIFS(yj!$I:$I,yj!$B:$B,小圆机汇总表!$A42,yj!$G:$G,小圆机汇总表!$I$13&amp;"/"&amp;小圆机汇总表!$J$13&amp;"/"&amp;小圆机汇总表!V$14),SUMIFS(yj!$H:$H,yj!$B:$B,小圆机汇总表!$A42,yj!$G:$G,小圆机汇总表!$I$13&amp;"/"&amp;小圆机汇总表!$J$13&amp;"/"&amp;小圆机汇总表!V$14))</f>
        <v>0</v>
      </c>
      <c r="W42" s="18">
        <f>IF($K$13="件数",SUMIFS(yj!$I:$I,yj!$B:$B,小圆机汇总表!$A42,yj!$G:$G,小圆机汇总表!$I$13&amp;"/"&amp;小圆机汇总表!$J$13&amp;"/"&amp;小圆机汇总表!W$14),SUMIFS(yj!$H:$H,yj!$B:$B,小圆机汇总表!$A42,yj!$G:$G,小圆机汇总表!$I$13&amp;"/"&amp;小圆机汇总表!$J$13&amp;"/"&amp;小圆机汇总表!W$14))</f>
        <v>0</v>
      </c>
      <c r="X42" s="18">
        <f>IF($K$13="件数",SUMIFS(yj!$I:$I,yj!$B:$B,小圆机汇总表!$A42,yj!$G:$G,小圆机汇总表!$I$13&amp;"/"&amp;小圆机汇总表!$J$13&amp;"/"&amp;小圆机汇总表!X$14),SUMIFS(yj!$H:$H,yj!$B:$B,小圆机汇总表!$A42,yj!$G:$G,小圆机汇总表!$I$13&amp;"/"&amp;小圆机汇总表!$J$13&amp;"/"&amp;小圆机汇总表!X$14))</f>
        <v>0</v>
      </c>
      <c r="Y42" s="18">
        <f>IF($K$13="件数",SUMIFS(yj!$I:$I,yj!$B:$B,小圆机汇总表!$A42,yj!$G:$G,小圆机汇总表!$I$13&amp;"/"&amp;小圆机汇总表!$J$13&amp;"/"&amp;小圆机汇总表!Y$14),SUMIFS(yj!$H:$H,yj!$B:$B,小圆机汇总表!$A42,yj!$G:$G,小圆机汇总表!$I$13&amp;"/"&amp;小圆机汇总表!$J$13&amp;"/"&amp;小圆机汇总表!Y$14))</f>
        <v>0</v>
      </c>
      <c r="Z42" s="18">
        <f>IF($K$13="件数",SUMIFS(yj!$I:$I,yj!$B:$B,小圆机汇总表!$A42,yj!$G:$G,小圆机汇总表!$I$13&amp;"/"&amp;小圆机汇总表!$J$13&amp;"/"&amp;小圆机汇总表!Z$14),SUMIFS(yj!$H:$H,yj!$B:$B,小圆机汇总表!$A42,yj!$G:$G,小圆机汇总表!$I$13&amp;"/"&amp;小圆机汇总表!$J$13&amp;"/"&amp;小圆机汇总表!Z$14))</f>
        <v>0</v>
      </c>
      <c r="AA42" s="18">
        <f>IF($K$13="件数",SUMIFS(yj!$I:$I,yj!$B:$B,小圆机汇总表!$A42,yj!$G:$G,小圆机汇总表!$I$13&amp;"/"&amp;小圆机汇总表!$J$13&amp;"/"&amp;小圆机汇总表!AA$14),SUMIFS(yj!$H:$H,yj!$B:$B,小圆机汇总表!$A42,yj!$G:$G,小圆机汇总表!$I$13&amp;"/"&amp;小圆机汇总表!$J$13&amp;"/"&amp;小圆机汇总表!AA$14))</f>
        <v>0</v>
      </c>
      <c r="AB42" s="18">
        <f>IF($K$13="件数",SUMIFS(yj!$I:$I,yj!$B:$B,小圆机汇总表!$A42,yj!$G:$G,小圆机汇总表!$I$13&amp;"/"&amp;小圆机汇总表!$J$13&amp;"/"&amp;小圆机汇总表!AB$14),SUMIFS(yj!$H:$H,yj!$B:$B,小圆机汇总表!$A42,yj!$G:$G,小圆机汇总表!$I$13&amp;"/"&amp;小圆机汇总表!$J$13&amp;"/"&amp;小圆机汇总表!AB$14))</f>
        <v>0</v>
      </c>
      <c r="AC42" s="18">
        <f>IF($K$13="件数",SUMIFS(yj!$I:$I,yj!$B:$B,小圆机汇总表!$A42,yj!$G:$G,小圆机汇总表!$I$13&amp;"/"&amp;小圆机汇总表!$J$13&amp;"/"&amp;小圆机汇总表!AC$14),SUMIFS(yj!$H:$H,yj!$B:$B,小圆机汇总表!$A42,yj!$G:$G,小圆机汇总表!$I$13&amp;"/"&amp;小圆机汇总表!$J$13&amp;"/"&amp;小圆机汇总表!AC$14))</f>
        <v>0</v>
      </c>
      <c r="AD42" s="18">
        <f>IF($K$13="件数",SUMIFS(yj!$I:$I,yj!$B:$B,小圆机汇总表!$A42,yj!$G:$G,小圆机汇总表!$I$13&amp;"/"&amp;小圆机汇总表!$J$13&amp;"/"&amp;小圆机汇总表!AD$14),SUMIFS(yj!$H:$H,yj!$B:$B,小圆机汇总表!$A42,yj!$G:$G,小圆机汇总表!$I$13&amp;"/"&amp;小圆机汇总表!$J$13&amp;"/"&amp;小圆机汇总表!AD$14))</f>
        <v>0</v>
      </c>
      <c r="AE42" s="18">
        <f>IF($K$13="件数",SUMIFS(yj!$I:$I,yj!$B:$B,小圆机汇总表!$A42,yj!$G:$G,小圆机汇总表!$I$13&amp;"/"&amp;小圆机汇总表!$J$13&amp;"/"&amp;小圆机汇总表!AE$14),SUMIFS(yj!$H:$H,yj!$B:$B,小圆机汇总表!$A42,yj!$G:$G,小圆机汇总表!$I$13&amp;"/"&amp;小圆机汇总表!$J$13&amp;"/"&amp;小圆机汇总表!AE$14))</f>
        <v>0</v>
      </c>
      <c r="AF42" s="18">
        <f>IF($K$13="件数",SUMIFS(yj!$I:$I,yj!$B:$B,小圆机汇总表!$A42,yj!$G:$G,小圆机汇总表!$I$13&amp;"/"&amp;小圆机汇总表!$J$13&amp;"/"&amp;小圆机汇总表!AF$14),SUMIFS(yj!$H:$H,yj!$B:$B,小圆机汇总表!$A42,yj!$G:$G,小圆机汇总表!$I$13&amp;"/"&amp;小圆机汇总表!$J$13&amp;"/"&amp;小圆机汇总表!AF$14))</f>
        <v>0</v>
      </c>
      <c r="AG42" s="18">
        <f>IF($K$13="件数",SUMIFS(yj!$I:$I,yj!$B:$B,小圆机汇总表!$A42,yj!$G:$G,小圆机汇总表!$I$13&amp;"/"&amp;小圆机汇总表!$J$13&amp;"/"&amp;小圆机汇总表!AG$14),SUMIFS(yj!$H:$H,yj!$B:$B,小圆机汇总表!$A42,yj!$G:$G,小圆机汇总表!$I$13&amp;"/"&amp;小圆机汇总表!$J$13&amp;"/"&amp;小圆机汇总表!AG$14))</f>
        <v>0</v>
      </c>
      <c r="AH42" s="18">
        <f>IF($K$13="件数",SUMIFS(yj!$I:$I,yj!$B:$B,小圆机汇总表!$A42,yj!$G:$G,小圆机汇总表!$I$13&amp;"/"&amp;小圆机汇总表!$J$13&amp;"/"&amp;小圆机汇总表!AH$14),SUMIFS(yj!$H:$H,yj!$B:$B,小圆机汇总表!$A42,yj!$G:$G,小圆机汇总表!$I$13&amp;"/"&amp;小圆机汇总表!$J$13&amp;"/"&amp;小圆机汇总表!AH$14))</f>
        <v>0</v>
      </c>
      <c r="AI42" s="18">
        <f>IF($K$13="件数",SUMIFS(yj!$I:$I,yj!$B:$B,小圆机汇总表!$A42,yj!$G:$G,小圆机汇总表!$I$13&amp;"/"&amp;小圆机汇总表!$J$13&amp;"/"&amp;小圆机汇总表!AI$14),SUMIFS(yj!$H:$H,yj!$B:$B,小圆机汇总表!$A42,yj!$G:$G,小圆机汇总表!$I$13&amp;"/"&amp;小圆机汇总表!$J$13&amp;"/"&amp;小圆机汇总表!AI$14))</f>
        <v>0</v>
      </c>
      <c r="AJ42" s="18">
        <f>IF($K$13="件数",SUMIFS(yj!$I:$I,yj!$B:$B,小圆机汇总表!$A42,yj!$G:$G,小圆机汇总表!$I$13&amp;"/"&amp;小圆机汇总表!$J$13&amp;"/"&amp;小圆机汇总表!AJ$14),SUMIFS(yj!$H:$H,yj!$B:$B,小圆机汇总表!$A42,yj!$G:$G,小圆机汇总表!$I$13&amp;"/"&amp;小圆机汇总表!$J$13&amp;"/"&amp;小圆机汇总表!AJ$14))</f>
        <v>0</v>
      </c>
      <c r="AK42" s="18">
        <f>IF($K$13="件数",SUMIFS(yj!$I:$I,yj!$B:$B,小圆机汇总表!$A42,yj!$G:$G,小圆机汇总表!$I$13&amp;"/"&amp;小圆机汇总表!$J$13&amp;"/"&amp;小圆机汇总表!AK$14),SUMIFS(yj!$H:$H,yj!$B:$B,小圆机汇总表!$A42,yj!$G:$G,小圆机汇总表!$I$13&amp;"/"&amp;小圆机汇总表!$J$13&amp;"/"&amp;小圆机汇总表!AK$14))</f>
        <v>0</v>
      </c>
      <c r="AL42" s="18">
        <f>IF($K$13="件数",SUMIFS(yj!$I:$I,yj!$B:$B,小圆机汇总表!$A42,yj!$G:$G,小圆机汇总表!$I$13&amp;"/"&amp;小圆机汇总表!$J$13&amp;"/"&amp;小圆机汇总表!AL$14),SUMIFS(yj!$H:$H,yj!$B:$B,小圆机汇总表!$A42,yj!$G:$G,小圆机汇总表!$I$13&amp;"/"&amp;小圆机汇总表!$J$13&amp;"/"&amp;小圆机汇总表!AL$14))</f>
        <v>0</v>
      </c>
      <c r="AM42" s="18">
        <f>IF($K$13="件数",SUMIFS(yj!$I:$I,yj!$B:$B,小圆机汇总表!$A42,yj!$G:$G,小圆机汇总表!$I$13&amp;"/"&amp;小圆机汇总表!$J$13&amp;"/"&amp;小圆机汇总表!AM$14),SUMIFS(yj!$H:$H,yj!$B:$B,小圆机汇总表!$A42,yj!$G:$G,小圆机汇总表!$I$13&amp;"/"&amp;小圆机汇总表!$J$13&amp;"/"&amp;小圆机汇总表!AM$14))</f>
        <v>0</v>
      </c>
      <c r="AN42" s="18">
        <f>IF($K$13="件数",SUMIFS(yj!$I:$I,yj!$B:$B,小圆机汇总表!$A42,yj!$G:$G,小圆机汇总表!$I$13&amp;"/"&amp;小圆机汇总表!$J$13&amp;"/"&amp;小圆机汇总表!AN$14),SUMIFS(yj!$H:$H,yj!$B:$B,小圆机汇总表!$A42,yj!$G:$G,小圆机汇总表!$I$13&amp;"/"&amp;小圆机汇总表!$J$13&amp;"/"&amp;小圆机汇总表!AN$14))</f>
        <v>0</v>
      </c>
      <c r="AO42" s="18">
        <f>IF($K$13="件数",SUMIFS(yj!$I:$I,yj!$B:$B,小圆机汇总表!$A42,yj!$G:$G,小圆机汇总表!$I$13&amp;"/"&amp;小圆机汇总表!$J$13&amp;"/"&amp;小圆机汇总表!AO$14),SUMIFS(yj!$H:$H,yj!$B:$B,小圆机汇总表!$A42,yj!$G:$G,小圆机汇总表!$I$13&amp;"/"&amp;小圆机汇总表!$J$13&amp;"/"&amp;小圆机汇总表!AO$14))</f>
        <v>0</v>
      </c>
      <c r="AP42" s="18">
        <f>IF($K$13="件数",SUMIFS(yj!$I:$I,yj!$B:$B,小圆机汇总表!$A42,yj!$G:$G,小圆机汇总表!$I$13&amp;"/"&amp;小圆机汇总表!$J$13&amp;"/"&amp;小圆机汇总表!AP$14),SUMIFS(yj!$H:$H,yj!$B:$B,小圆机汇总表!$A42,yj!$G:$G,小圆机汇总表!$I$13&amp;"/"&amp;小圆机汇总表!$J$13&amp;"/"&amp;小圆机汇总表!AP$14))</f>
        <v>0</v>
      </c>
      <c r="AQ42" s="18">
        <f>IF($K$13="件数",SUMIFS(yj!$I:$I,yj!$B:$B,小圆机汇总表!$A42,yj!$G:$G,小圆机汇总表!$I$13&amp;"/"&amp;小圆机汇总表!$J$13&amp;"/"&amp;小圆机汇总表!AQ$14),SUMIFS(yj!$H:$H,yj!$B:$B,小圆机汇总表!$A42,yj!$G:$G,小圆机汇总表!$I$13&amp;"/"&amp;小圆机汇总表!$J$13&amp;"/"&amp;小圆机汇总表!AQ$14))</f>
        <v>0</v>
      </c>
    </row>
    <row r="43" spans="1:43" ht="18" customHeight="1">
      <c r="A43" s="13" t="s">
        <v>995</v>
      </c>
      <c r="B43" s="14" t="s">
        <v>996</v>
      </c>
      <c r="C43" s="17">
        <v>50</v>
      </c>
      <c r="D43" s="17" t="s">
        <v>993</v>
      </c>
      <c r="E43" s="13" t="s">
        <v>997</v>
      </c>
      <c r="F43" s="13">
        <v>160</v>
      </c>
      <c r="G43" s="13">
        <v>32</v>
      </c>
      <c r="H43" s="14" t="s">
        <v>992</v>
      </c>
      <c r="I43" s="13"/>
      <c r="J43" s="182">
        <f ca="1">IF(SUMIFS(yj!$I:$I,yj!$B:$B,小圆机汇总表!A43,yj!$G:$G,小圆机汇总表!$L$13)&gt;0,SUMIFS(yj!$H:$H,yj!$B:$B,小圆机汇总表!A43,yj!$G:$G,小圆机汇总表!$L$13),0)</f>
        <v>88.8</v>
      </c>
      <c r="K43" s="15">
        <f>SUMIFS(yj!$H:$H,yj!$B:$B,小圆机汇总表!A43,yj!$M:$M,小圆机汇总表!$J$13)</f>
        <v>600.5</v>
      </c>
      <c r="L43" s="15">
        <f>SUMIFS(yj!$I:$I,yj!$B:$B,小圆机汇总表!A43,yj!$M:$M,小圆机汇总表!$J$13)</f>
        <v>31</v>
      </c>
      <c r="M43" s="18">
        <f>IF($K$13="件数",SUMIFS(yj!$I:$I,yj!$B:$B,小圆机汇总表!$A43,yj!$G:$G,小圆机汇总表!$I$13&amp;"/"&amp;小圆机汇总表!$J$13&amp;"/"&amp;小圆机汇总表!M$14),SUMIFS(yj!$H:$H,yj!$B:$B,小圆机汇总表!$A43,yj!$G:$G,小圆机汇总表!$I$13&amp;"/"&amp;小圆机汇总表!$J$13&amp;"/"&amp;小圆机汇总表!M$14))</f>
        <v>0</v>
      </c>
      <c r="N43" s="18">
        <f>IF($K$13="件数",SUMIFS(yj!$I:$I,yj!$B:$B,小圆机汇总表!$A43,yj!$G:$G,小圆机汇总表!$I$13&amp;"/"&amp;小圆机汇总表!$J$13&amp;"/"&amp;小圆机汇总表!N$14),SUMIFS(yj!$H:$H,yj!$B:$B,小圆机汇总表!$A43,yj!$G:$G,小圆机汇总表!$I$13&amp;"/"&amp;小圆机汇总表!$J$13&amp;"/"&amp;小圆机汇总表!N$14))</f>
        <v>0</v>
      </c>
      <c r="O43" s="18">
        <f>IF($K$13="件数",SUMIFS(yj!$I:$I,yj!$B:$B,小圆机汇总表!$A43,yj!$G:$G,小圆机汇总表!$I$13&amp;"/"&amp;小圆机汇总表!$J$13&amp;"/"&amp;小圆机汇总表!O$14),SUMIFS(yj!$H:$H,yj!$B:$B,小圆机汇总表!$A43,yj!$G:$G,小圆机汇总表!$I$13&amp;"/"&amp;小圆机汇总表!$J$13&amp;"/"&amp;小圆机汇总表!O$14))</f>
        <v>120</v>
      </c>
      <c r="P43" s="18">
        <f>IF($K$13="件数",SUMIFS(yj!$I:$I,yj!$B:$B,小圆机汇总表!$A43,yj!$G:$G,小圆机汇总表!$I$13&amp;"/"&amp;小圆机汇总表!$J$13&amp;"/"&amp;小圆机汇总表!P$14),SUMIFS(yj!$H:$H,yj!$B:$B,小圆机汇总表!$A43,yj!$G:$G,小圆机汇总表!$I$13&amp;"/"&amp;小圆机汇总表!$J$13&amp;"/"&amp;小圆机汇总表!P$14))</f>
        <v>200</v>
      </c>
      <c r="Q43" s="18">
        <f>IF($K$13="件数",SUMIFS(yj!$I:$I,yj!$B:$B,小圆机汇总表!$A43,yj!$G:$G,小圆机汇总表!$I$13&amp;"/"&amp;小圆机汇总表!$J$13&amp;"/"&amp;小圆机汇总表!Q$14),SUMIFS(yj!$H:$H,yj!$B:$B,小圆机汇总表!$A43,yj!$G:$G,小圆机汇总表!$I$13&amp;"/"&amp;小圆机汇总表!$J$13&amp;"/"&amp;小圆机汇总表!Q$14))</f>
        <v>191.7</v>
      </c>
      <c r="R43" s="18">
        <f>IF($K$13="件数",SUMIFS(yj!$I:$I,yj!$B:$B,小圆机汇总表!$A43,yj!$G:$G,小圆机汇总表!$I$13&amp;"/"&amp;小圆机汇总表!$J$13&amp;"/"&amp;小圆机汇总表!R$14),SUMIFS(yj!$H:$H,yj!$B:$B,小圆机汇总表!$A43,yj!$G:$G,小圆机汇总表!$I$13&amp;"/"&amp;小圆机汇总表!$J$13&amp;"/"&amp;小圆机汇总表!R$14))</f>
        <v>88.8</v>
      </c>
      <c r="S43" s="18">
        <f>IF($K$13="件数",SUMIFS(yj!$I:$I,yj!$B:$B,小圆机汇总表!$A43,yj!$G:$G,小圆机汇总表!$I$13&amp;"/"&amp;小圆机汇总表!$J$13&amp;"/"&amp;小圆机汇总表!S$14),SUMIFS(yj!$H:$H,yj!$B:$B,小圆机汇总表!$A43,yj!$G:$G,小圆机汇总表!$I$13&amp;"/"&amp;小圆机汇总表!$J$13&amp;"/"&amp;小圆机汇总表!S$14))</f>
        <v>0</v>
      </c>
      <c r="T43" s="18">
        <f>IF($K$13="件数",SUMIFS(yj!$I:$I,yj!$B:$B,小圆机汇总表!$A43,yj!$G:$G,小圆机汇总表!$I$13&amp;"/"&amp;小圆机汇总表!$J$13&amp;"/"&amp;小圆机汇总表!T$14),SUMIFS(yj!$H:$H,yj!$B:$B,小圆机汇总表!$A43,yj!$G:$G,小圆机汇总表!$I$13&amp;"/"&amp;小圆机汇总表!$J$13&amp;"/"&amp;小圆机汇总表!T$14))</f>
        <v>0</v>
      </c>
      <c r="U43" s="18">
        <f>IF($K$13="件数",SUMIFS(yj!$I:$I,yj!$B:$B,小圆机汇总表!$A43,yj!$G:$G,小圆机汇总表!$I$13&amp;"/"&amp;小圆机汇总表!$J$13&amp;"/"&amp;小圆机汇总表!U$14),SUMIFS(yj!$H:$H,yj!$B:$B,小圆机汇总表!$A43,yj!$G:$G,小圆机汇总表!$I$13&amp;"/"&amp;小圆机汇总表!$J$13&amp;"/"&amp;小圆机汇总表!U$14))</f>
        <v>0</v>
      </c>
      <c r="V43" s="18">
        <f>IF($K$13="件数",SUMIFS(yj!$I:$I,yj!$B:$B,小圆机汇总表!$A43,yj!$G:$G,小圆机汇总表!$I$13&amp;"/"&amp;小圆机汇总表!$J$13&amp;"/"&amp;小圆机汇总表!V$14),SUMIFS(yj!$H:$H,yj!$B:$B,小圆机汇总表!$A43,yj!$G:$G,小圆机汇总表!$I$13&amp;"/"&amp;小圆机汇总表!$J$13&amp;"/"&amp;小圆机汇总表!V$14))</f>
        <v>0</v>
      </c>
      <c r="W43" s="18">
        <f>IF($K$13="件数",SUMIFS(yj!$I:$I,yj!$B:$B,小圆机汇总表!$A43,yj!$G:$G,小圆机汇总表!$I$13&amp;"/"&amp;小圆机汇总表!$J$13&amp;"/"&amp;小圆机汇总表!W$14),SUMIFS(yj!$H:$H,yj!$B:$B,小圆机汇总表!$A43,yj!$G:$G,小圆机汇总表!$I$13&amp;"/"&amp;小圆机汇总表!$J$13&amp;"/"&amp;小圆机汇总表!W$14))</f>
        <v>0</v>
      </c>
      <c r="X43" s="18">
        <f>IF($K$13="件数",SUMIFS(yj!$I:$I,yj!$B:$B,小圆机汇总表!$A43,yj!$G:$G,小圆机汇总表!$I$13&amp;"/"&amp;小圆机汇总表!$J$13&amp;"/"&amp;小圆机汇总表!X$14),SUMIFS(yj!$H:$H,yj!$B:$B,小圆机汇总表!$A43,yj!$G:$G,小圆机汇总表!$I$13&amp;"/"&amp;小圆机汇总表!$J$13&amp;"/"&amp;小圆机汇总表!X$14))</f>
        <v>0</v>
      </c>
      <c r="Y43" s="18">
        <f>IF($K$13="件数",SUMIFS(yj!$I:$I,yj!$B:$B,小圆机汇总表!$A43,yj!$G:$G,小圆机汇总表!$I$13&amp;"/"&amp;小圆机汇总表!$J$13&amp;"/"&amp;小圆机汇总表!Y$14),SUMIFS(yj!$H:$H,yj!$B:$B,小圆机汇总表!$A43,yj!$G:$G,小圆机汇总表!$I$13&amp;"/"&amp;小圆机汇总表!$J$13&amp;"/"&amp;小圆机汇总表!Y$14))</f>
        <v>0</v>
      </c>
      <c r="Z43" s="18">
        <f>IF($K$13="件数",SUMIFS(yj!$I:$I,yj!$B:$B,小圆机汇总表!$A43,yj!$G:$G,小圆机汇总表!$I$13&amp;"/"&amp;小圆机汇总表!$J$13&amp;"/"&amp;小圆机汇总表!Z$14),SUMIFS(yj!$H:$H,yj!$B:$B,小圆机汇总表!$A43,yj!$G:$G,小圆机汇总表!$I$13&amp;"/"&amp;小圆机汇总表!$J$13&amp;"/"&amp;小圆机汇总表!Z$14))</f>
        <v>0</v>
      </c>
      <c r="AA43" s="18">
        <f>IF($K$13="件数",SUMIFS(yj!$I:$I,yj!$B:$B,小圆机汇总表!$A43,yj!$G:$G,小圆机汇总表!$I$13&amp;"/"&amp;小圆机汇总表!$J$13&amp;"/"&amp;小圆机汇总表!AA$14),SUMIFS(yj!$H:$H,yj!$B:$B,小圆机汇总表!$A43,yj!$G:$G,小圆机汇总表!$I$13&amp;"/"&amp;小圆机汇总表!$J$13&amp;"/"&amp;小圆机汇总表!AA$14))</f>
        <v>0</v>
      </c>
      <c r="AB43" s="18">
        <f>IF($K$13="件数",SUMIFS(yj!$I:$I,yj!$B:$B,小圆机汇总表!$A43,yj!$G:$G,小圆机汇总表!$I$13&amp;"/"&amp;小圆机汇总表!$J$13&amp;"/"&amp;小圆机汇总表!AB$14),SUMIFS(yj!$H:$H,yj!$B:$B,小圆机汇总表!$A43,yj!$G:$G,小圆机汇总表!$I$13&amp;"/"&amp;小圆机汇总表!$J$13&amp;"/"&amp;小圆机汇总表!AB$14))</f>
        <v>0</v>
      </c>
      <c r="AC43" s="18">
        <f>IF($K$13="件数",SUMIFS(yj!$I:$I,yj!$B:$B,小圆机汇总表!$A43,yj!$G:$G,小圆机汇总表!$I$13&amp;"/"&amp;小圆机汇总表!$J$13&amp;"/"&amp;小圆机汇总表!AC$14),SUMIFS(yj!$H:$H,yj!$B:$B,小圆机汇总表!$A43,yj!$G:$G,小圆机汇总表!$I$13&amp;"/"&amp;小圆机汇总表!$J$13&amp;"/"&amp;小圆机汇总表!AC$14))</f>
        <v>0</v>
      </c>
      <c r="AD43" s="18">
        <f>IF($K$13="件数",SUMIFS(yj!$I:$I,yj!$B:$B,小圆机汇总表!$A43,yj!$G:$G,小圆机汇总表!$I$13&amp;"/"&amp;小圆机汇总表!$J$13&amp;"/"&amp;小圆机汇总表!AD$14),SUMIFS(yj!$H:$H,yj!$B:$B,小圆机汇总表!$A43,yj!$G:$G,小圆机汇总表!$I$13&amp;"/"&amp;小圆机汇总表!$J$13&amp;"/"&amp;小圆机汇总表!AD$14))</f>
        <v>0</v>
      </c>
      <c r="AE43" s="18">
        <f>IF($K$13="件数",SUMIFS(yj!$I:$I,yj!$B:$B,小圆机汇总表!$A43,yj!$G:$G,小圆机汇总表!$I$13&amp;"/"&amp;小圆机汇总表!$J$13&amp;"/"&amp;小圆机汇总表!AE$14),SUMIFS(yj!$H:$H,yj!$B:$B,小圆机汇总表!$A43,yj!$G:$G,小圆机汇总表!$I$13&amp;"/"&amp;小圆机汇总表!$J$13&amp;"/"&amp;小圆机汇总表!AE$14))</f>
        <v>0</v>
      </c>
      <c r="AF43" s="18">
        <f>IF($K$13="件数",SUMIFS(yj!$I:$I,yj!$B:$B,小圆机汇总表!$A43,yj!$G:$G,小圆机汇总表!$I$13&amp;"/"&amp;小圆机汇总表!$J$13&amp;"/"&amp;小圆机汇总表!AF$14),SUMIFS(yj!$H:$H,yj!$B:$B,小圆机汇总表!$A43,yj!$G:$G,小圆机汇总表!$I$13&amp;"/"&amp;小圆机汇总表!$J$13&amp;"/"&amp;小圆机汇总表!AF$14))</f>
        <v>0</v>
      </c>
      <c r="AG43" s="18">
        <f>IF($K$13="件数",SUMIFS(yj!$I:$I,yj!$B:$B,小圆机汇总表!$A43,yj!$G:$G,小圆机汇总表!$I$13&amp;"/"&amp;小圆机汇总表!$J$13&amp;"/"&amp;小圆机汇总表!AG$14),SUMIFS(yj!$H:$H,yj!$B:$B,小圆机汇总表!$A43,yj!$G:$G,小圆机汇总表!$I$13&amp;"/"&amp;小圆机汇总表!$J$13&amp;"/"&amp;小圆机汇总表!AG$14))</f>
        <v>0</v>
      </c>
      <c r="AH43" s="18">
        <f>IF($K$13="件数",SUMIFS(yj!$I:$I,yj!$B:$B,小圆机汇总表!$A43,yj!$G:$G,小圆机汇总表!$I$13&amp;"/"&amp;小圆机汇总表!$J$13&amp;"/"&amp;小圆机汇总表!AH$14),SUMIFS(yj!$H:$H,yj!$B:$B,小圆机汇总表!$A43,yj!$G:$G,小圆机汇总表!$I$13&amp;"/"&amp;小圆机汇总表!$J$13&amp;"/"&amp;小圆机汇总表!AH$14))</f>
        <v>0</v>
      </c>
      <c r="AI43" s="18">
        <f>IF($K$13="件数",SUMIFS(yj!$I:$I,yj!$B:$B,小圆机汇总表!$A43,yj!$G:$G,小圆机汇总表!$I$13&amp;"/"&amp;小圆机汇总表!$J$13&amp;"/"&amp;小圆机汇总表!AI$14),SUMIFS(yj!$H:$H,yj!$B:$B,小圆机汇总表!$A43,yj!$G:$G,小圆机汇总表!$I$13&amp;"/"&amp;小圆机汇总表!$J$13&amp;"/"&amp;小圆机汇总表!AI$14))</f>
        <v>0</v>
      </c>
      <c r="AJ43" s="18">
        <f>IF($K$13="件数",SUMIFS(yj!$I:$I,yj!$B:$B,小圆机汇总表!$A43,yj!$G:$G,小圆机汇总表!$I$13&amp;"/"&amp;小圆机汇总表!$J$13&amp;"/"&amp;小圆机汇总表!AJ$14),SUMIFS(yj!$H:$H,yj!$B:$B,小圆机汇总表!$A43,yj!$G:$G,小圆机汇总表!$I$13&amp;"/"&amp;小圆机汇总表!$J$13&amp;"/"&amp;小圆机汇总表!AJ$14))</f>
        <v>0</v>
      </c>
      <c r="AK43" s="18">
        <f>IF($K$13="件数",SUMIFS(yj!$I:$I,yj!$B:$B,小圆机汇总表!$A43,yj!$G:$G,小圆机汇总表!$I$13&amp;"/"&amp;小圆机汇总表!$J$13&amp;"/"&amp;小圆机汇总表!AK$14),SUMIFS(yj!$H:$H,yj!$B:$B,小圆机汇总表!$A43,yj!$G:$G,小圆机汇总表!$I$13&amp;"/"&amp;小圆机汇总表!$J$13&amp;"/"&amp;小圆机汇总表!AK$14))</f>
        <v>0</v>
      </c>
      <c r="AL43" s="18">
        <f>IF($K$13="件数",SUMIFS(yj!$I:$I,yj!$B:$B,小圆机汇总表!$A43,yj!$G:$G,小圆机汇总表!$I$13&amp;"/"&amp;小圆机汇总表!$J$13&amp;"/"&amp;小圆机汇总表!AL$14),SUMIFS(yj!$H:$H,yj!$B:$B,小圆机汇总表!$A43,yj!$G:$G,小圆机汇总表!$I$13&amp;"/"&amp;小圆机汇总表!$J$13&amp;"/"&amp;小圆机汇总表!AL$14))</f>
        <v>0</v>
      </c>
      <c r="AM43" s="18">
        <f>IF($K$13="件数",SUMIFS(yj!$I:$I,yj!$B:$B,小圆机汇总表!$A43,yj!$G:$G,小圆机汇总表!$I$13&amp;"/"&amp;小圆机汇总表!$J$13&amp;"/"&amp;小圆机汇总表!AM$14),SUMIFS(yj!$H:$H,yj!$B:$B,小圆机汇总表!$A43,yj!$G:$G,小圆机汇总表!$I$13&amp;"/"&amp;小圆机汇总表!$J$13&amp;"/"&amp;小圆机汇总表!AM$14))</f>
        <v>0</v>
      </c>
      <c r="AN43" s="18">
        <f>IF($K$13="件数",SUMIFS(yj!$I:$I,yj!$B:$B,小圆机汇总表!$A43,yj!$G:$G,小圆机汇总表!$I$13&amp;"/"&amp;小圆机汇总表!$J$13&amp;"/"&amp;小圆机汇总表!AN$14),SUMIFS(yj!$H:$H,yj!$B:$B,小圆机汇总表!$A43,yj!$G:$G,小圆机汇总表!$I$13&amp;"/"&amp;小圆机汇总表!$J$13&amp;"/"&amp;小圆机汇总表!AN$14))</f>
        <v>0</v>
      </c>
      <c r="AO43" s="18">
        <f>IF($K$13="件数",SUMIFS(yj!$I:$I,yj!$B:$B,小圆机汇总表!$A43,yj!$G:$G,小圆机汇总表!$I$13&amp;"/"&amp;小圆机汇总表!$J$13&amp;"/"&amp;小圆机汇总表!AO$14),SUMIFS(yj!$H:$H,yj!$B:$B,小圆机汇总表!$A43,yj!$G:$G,小圆机汇总表!$I$13&amp;"/"&amp;小圆机汇总表!$J$13&amp;"/"&amp;小圆机汇总表!AO$14))</f>
        <v>0</v>
      </c>
      <c r="AP43" s="18">
        <f>IF($K$13="件数",SUMIFS(yj!$I:$I,yj!$B:$B,小圆机汇总表!$A43,yj!$G:$G,小圆机汇总表!$I$13&amp;"/"&amp;小圆机汇总表!$J$13&amp;"/"&amp;小圆机汇总表!AP$14),SUMIFS(yj!$H:$H,yj!$B:$B,小圆机汇总表!$A43,yj!$G:$G,小圆机汇总表!$I$13&amp;"/"&amp;小圆机汇总表!$J$13&amp;"/"&amp;小圆机汇总表!AP$14))</f>
        <v>0</v>
      </c>
      <c r="AQ43" s="18">
        <f>IF($K$13="件数",SUMIFS(yj!$I:$I,yj!$B:$B,小圆机汇总表!$A43,yj!$G:$G,小圆机汇总表!$I$13&amp;"/"&amp;小圆机汇总表!$J$13&amp;"/"&amp;小圆机汇总表!AQ$14),SUMIFS(yj!$H:$H,yj!$B:$B,小圆机汇总表!$A43,yj!$G:$G,小圆机汇总表!$I$13&amp;"/"&amp;小圆机汇总表!$J$13&amp;"/"&amp;小圆机汇总表!AQ$14))</f>
        <v>0</v>
      </c>
    </row>
    <row r="44" spans="1:43" ht="18" hidden="1" customHeight="1">
      <c r="A44" s="246" t="s">
        <v>2575</v>
      </c>
      <c r="B44" s="14" t="s">
        <v>2576</v>
      </c>
      <c r="C44" s="17">
        <v>50</v>
      </c>
      <c r="D44" s="17" t="s">
        <v>2577</v>
      </c>
      <c r="E44" s="246" t="s">
        <v>2551</v>
      </c>
      <c r="F44" s="13">
        <v>160</v>
      </c>
      <c r="G44" s="13">
        <v>27</v>
      </c>
      <c r="H44" s="248" t="s">
        <v>2555</v>
      </c>
      <c r="I44" s="13"/>
      <c r="J44" s="182">
        <f ca="1">IF(SUMIFS(yj!$I:$I,yj!$B:$B,小圆机汇总表!A44,yj!$G:$G,小圆机汇总表!$L$13)&gt;0,SUMIFS(yj!$H:$H,yj!$B:$B,小圆机汇总表!A44,yj!$G:$G,小圆机汇总表!$L$13),0)</f>
        <v>388.5</v>
      </c>
      <c r="K44" s="15">
        <f>SUMIFS(yj!$H:$H,yj!$B:$B,小圆机汇总表!A44,yj!$M:$M,小圆机汇总表!$J$13)</f>
        <v>1849.2</v>
      </c>
      <c r="L44" s="15">
        <f>SUMIFS(yj!$I:$I,yj!$B:$B,小圆机汇总表!A44,yj!$M:$M,小圆机汇总表!$J$13)</f>
        <v>90</v>
      </c>
      <c r="M44" s="18">
        <f>IF($K$13="件数",SUMIFS(yj!$I:$I,yj!$B:$B,小圆机汇总表!$A44,yj!$G:$G,小圆机汇总表!$I$13&amp;"/"&amp;小圆机汇总表!$J$13&amp;"/"&amp;小圆机汇总表!M$14),SUMIFS(yj!$H:$H,yj!$B:$B,小圆机汇总表!$A44,yj!$G:$G,小圆机汇总表!$I$13&amp;"/"&amp;小圆机汇总表!$J$13&amp;"/"&amp;小圆机汇总表!M$14))</f>
        <v>61.2</v>
      </c>
      <c r="N44" s="18">
        <f>IF($K$13="件数",SUMIFS(yj!$I:$I,yj!$B:$B,小圆机汇总表!$A44,yj!$G:$G,小圆机汇总表!$I$13&amp;"/"&amp;小圆机汇总表!$J$13&amp;"/"&amp;小圆机汇总表!N$14),SUMIFS(yj!$H:$H,yj!$B:$B,小圆机汇总表!$A44,yj!$G:$G,小圆机汇总表!$I$13&amp;"/"&amp;小圆机汇总表!$J$13&amp;"/"&amp;小圆机汇总表!N$14))</f>
        <v>206.5</v>
      </c>
      <c r="O44" s="18">
        <f>IF($K$13="件数",SUMIFS(yj!$I:$I,yj!$B:$B,小圆机汇总表!$A44,yj!$G:$G,小圆机汇总表!$I$13&amp;"/"&amp;小圆机汇总表!$J$13&amp;"/"&amp;小圆机汇总表!O$14),SUMIFS(yj!$H:$H,yj!$B:$B,小圆机汇总表!$A44,yj!$G:$G,小圆机汇总表!$I$13&amp;"/"&amp;小圆机汇总表!$J$13&amp;"/"&amp;小圆机汇总表!O$14))</f>
        <v>375</v>
      </c>
      <c r="P44" s="18">
        <f>IF($K$13="件数",SUMIFS(yj!$I:$I,yj!$B:$B,小圆机汇总表!$A44,yj!$G:$G,小圆机汇总表!$I$13&amp;"/"&amp;小圆机汇总表!$J$13&amp;"/"&amp;小圆机汇总表!P$14),SUMIFS(yj!$H:$H,yj!$B:$B,小圆机汇总表!$A44,yj!$G:$G,小圆机汇总表!$I$13&amp;"/"&amp;小圆机汇总表!$J$13&amp;"/"&amp;小圆机汇总表!P$14))</f>
        <v>409</v>
      </c>
      <c r="Q44" s="18">
        <f>IF($K$13="件数",SUMIFS(yj!$I:$I,yj!$B:$B,小圆机汇总表!$A44,yj!$G:$G,小圆机汇总表!$I$13&amp;"/"&amp;小圆机汇总表!$J$13&amp;"/"&amp;小圆机汇总表!Q$14),SUMIFS(yj!$H:$H,yj!$B:$B,小圆机汇总表!$A44,yj!$G:$G,小圆机汇总表!$I$13&amp;"/"&amp;小圆机汇总表!$J$13&amp;"/"&amp;小圆机汇总表!Q$14))</f>
        <v>409</v>
      </c>
      <c r="R44" s="18">
        <f>IF($K$13="件数",SUMIFS(yj!$I:$I,yj!$B:$B,小圆机汇总表!$A44,yj!$G:$G,小圆机汇总表!$I$13&amp;"/"&amp;小圆机汇总表!$J$13&amp;"/"&amp;小圆机汇总表!R$14),SUMIFS(yj!$H:$H,yj!$B:$B,小圆机汇总表!$A44,yj!$G:$G,小圆机汇总表!$I$13&amp;"/"&amp;小圆机汇总表!$J$13&amp;"/"&amp;小圆机汇总表!R$14))</f>
        <v>388.5</v>
      </c>
      <c r="S44" s="18">
        <f>IF($K$13="件数",SUMIFS(yj!$I:$I,yj!$B:$B,小圆机汇总表!$A44,yj!$G:$G,小圆机汇总表!$I$13&amp;"/"&amp;小圆机汇总表!$J$13&amp;"/"&amp;小圆机汇总表!S$14),SUMIFS(yj!$H:$H,yj!$B:$B,小圆机汇总表!$A44,yj!$G:$G,小圆机汇总表!$I$13&amp;"/"&amp;小圆机汇总表!$J$13&amp;"/"&amp;小圆机汇总表!S$14))</f>
        <v>0</v>
      </c>
      <c r="T44" s="18">
        <f>IF($K$13="件数",SUMIFS(yj!$I:$I,yj!$B:$B,小圆机汇总表!$A44,yj!$G:$G,小圆机汇总表!$I$13&amp;"/"&amp;小圆机汇总表!$J$13&amp;"/"&amp;小圆机汇总表!T$14),SUMIFS(yj!$H:$H,yj!$B:$B,小圆机汇总表!$A44,yj!$G:$G,小圆机汇总表!$I$13&amp;"/"&amp;小圆机汇总表!$J$13&amp;"/"&amp;小圆机汇总表!T$14))</f>
        <v>0</v>
      </c>
      <c r="U44" s="18">
        <f>IF($K$13="件数",SUMIFS(yj!$I:$I,yj!$B:$B,小圆机汇总表!$A44,yj!$G:$G,小圆机汇总表!$I$13&amp;"/"&amp;小圆机汇总表!$J$13&amp;"/"&amp;小圆机汇总表!U$14),SUMIFS(yj!$H:$H,yj!$B:$B,小圆机汇总表!$A44,yj!$G:$G,小圆机汇总表!$I$13&amp;"/"&amp;小圆机汇总表!$J$13&amp;"/"&amp;小圆机汇总表!U$14))</f>
        <v>0</v>
      </c>
      <c r="V44" s="18">
        <f>IF($K$13="件数",SUMIFS(yj!$I:$I,yj!$B:$B,小圆机汇总表!$A44,yj!$G:$G,小圆机汇总表!$I$13&amp;"/"&amp;小圆机汇总表!$J$13&amp;"/"&amp;小圆机汇总表!V$14),SUMIFS(yj!$H:$H,yj!$B:$B,小圆机汇总表!$A44,yj!$G:$G,小圆机汇总表!$I$13&amp;"/"&amp;小圆机汇总表!$J$13&amp;"/"&amp;小圆机汇总表!V$14))</f>
        <v>0</v>
      </c>
      <c r="W44" s="18">
        <f>IF($K$13="件数",SUMIFS(yj!$I:$I,yj!$B:$B,小圆机汇总表!$A44,yj!$G:$G,小圆机汇总表!$I$13&amp;"/"&amp;小圆机汇总表!$J$13&amp;"/"&amp;小圆机汇总表!W$14),SUMIFS(yj!$H:$H,yj!$B:$B,小圆机汇总表!$A44,yj!$G:$G,小圆机汇总表!$I$13&amp;"/"&amp;小圆机汇总表!$J$13&amp;"/"&amp;小圆机汇总表!W$14))</f>
        <v>0</v>
      </c>
      <c r="X44" s="18">
        <f>IF($K$13="件数",SUMIFS(yj!$I:$I,yj!$B:$B,小圆机汇总表!$A44,yj!$G:$G,小圆机汇总表!$I$13&amp;"/"&amp;小圆机汇总表!$J$13&amp;"/"&amp;小圆机汇总表!X$14),SUMIFS(yj!$H:$H,yj!$B:$B,小圆机汇总表!$A44,yj!$G:$G,小圆机汇总表!$I$13&amp;"/"&amp;小圆机汇总表!$J$13&amp;"/"&amp;小圆机汇总表!X$14))</f>
        <v>0</v>
      </c>
      <c r="Y44" s="18">
        <f>IF($K$13="件数",SUMIFS(yj!$I:$I,yj!$B:$B,小圆机汇总表!$A44,yj!$G:$G,小圆机汇总表!$I$13&amp;"/"&amp;小圆机汇总表!$J$13&amp;"/"&amp;小圆机汇总表!Y$14),SUMIFS(yj!$H:$H,yj!$B:$B,小圆机汇总表!$A44,yj!$G:$G,小圆机汇总表!$I$13&amp;"/"&amp;小圆机汇总表!$J$13&amp;"/"&amp;小圆机汇总表!Y$14))</f>
        <v>0</v>
      </c>
      <c r="Z44" s="18">
        <f>IF($K$13="件数",SUMIFS(yj!$I:$I,yj!$B:$B,小圆机汇总表!$A44,yj!$G:$G,小圆机汇总表!$I$13&amp;"/"&amp;小圆机汇总表!$J$13&amp;"/"&amp;小圆机汇总表!Z$14),SUMIFS(yj!$H:$H,yj!$B:$B,小圆机汇总表!$A44,yj!$G:$G,小圆机汇总表!$I$13&amp;"/"&amp;小圆机汇总表!$J$13&amp;"/"&amp;小圆机汇总表!Z$14))</f>
        <v>0</v>
      </c>
      <c r="AA44" s="18">
        <f>IF($K$13="件数",SUMIFS(yj!$I:$I,yj!$B:$B,小圆机汇总表!$A44,yj!$G:$G,小圆机汇总表!$I$13&amp;"/"&amp;小圆机汇总表!$J$13&amp;"/"&amp;小圆机汇总表!AA$14),SUMIFS(yj!$H:$H,yj!$B:$B,小圆机汇总表!$A44,yj!$G:$G,小圆机汇总表!$I$13&amp;"/"&amp;小圆机汇总表!$J$13&amp;"/"&amp;小圆机汇总表!AA$14))</f>
        <v>0</v>
      </c>
      <c r="AB44" s="18">
        <f>IF($K$13="件数",SUMIFS(yj!$I:$I,yj!$B:$B,小圆机汇总表!$A44,yj!$G:$G,小圆机汇总表!$I$13&amp;"/"&amp;小圆机汇总表!$J$13&amp;"/"&amp;小圆机汇总表!AB$14),SUMIFS(yj!$H:$H,yj!$B:$B,小圆机汇总表!$A44,yj!$G:$G,小圆机汇总表!$I$13&amp;"/"&amp;小圆机汇总表!$J$13&amp;"/"&amp;小圆机汇总表!AB$14))</f>
        <v>0</v>
      </c>
      <c r="AC44" s="18">
        <f>IF($K$13="件数",SUMIFS(yj!$I:$I,yj!$B:$B,小圆机汇总表!$A44,yj!$G:$G,小圆机汇总表!$I$13&amp;"/"&amp;小圆机汇总表!$J$13&amp;"/"&amp;小圆机汇总表!AC$14),SUMIFS(yj!$H:$H,yj!$B:$B,小圆机汇总表!$A44,yj!$G:$G,小圆机汇总表!$I$13&amp;"/"&amp;小圆机汇总表!$J$13&amp;"/"&amp;小圆机汇总表!AC$14))</f>
        <v>0</v>
      </c>
      <c r="AD44" s="18">
        <f>IF($K$13="件数",SUMIFS(yj!$I:$I,yj!$B:$B,小圆机汇总表!$A44,yj!$G:$G,小圆机汇总表!$I$13&amp;"/"&amp;小圆机汇总表!$J$13&amp;"/"&amp;小圆机汇总表!AD$14),SUMIFS(yj!$H:$H,yj!$B:$B,小圆机汇总表!$A44,yj!$G:$G,小圆机汇总表!$I$13&amp;"/"&amp;小圆机汇总表!$J$13&amp;"/"&amp;小圆机汇总表!AD$14))</f>
        <v>0</v>
      </c>
      <c r="AE44" s="18">
        <f>IF($K$13="件数",SUMIFS(yj!$I:$I,yj!$B:$B,小圆机汇总表!$A44,yj!$G:$G,小圆机汇总表!$I$13&amp;"/"&amp;小圆机汇总表!$J$13&amp;"/"&amp;小圆机汇总表!AE$14),SUMIFS(yj!$H:$H,yj!$B:$B,小圆机汇总表!$A44,yj!$G:$G,小圆机汇总表!$I$13&amp;"/"&amp;小圆机汇总表!$J$13&amp;"/"&amp;小圆机汇总表!AE$14))</f>
        <v>0</v>
      </c>
      <c r="AF44" s="18">
        <f>IF($K$13="件数",SUMIFS(yj!$I:$I,yj!$B:$B,小圆机汇总表!$A44,yj!$G:$G,小圆机汇总表!$I$13&amp;"/"&amp;小圆机汇总表!$J$13&amp;"/"&amp;小圆机汇总表!AF$14),SUMIFS(yj!$H:$H,yj!$B:$B,小圆机汇总表!$A44,yj!$G:$G,小圆机汇总表!$I$13&amp;"/"&amp;小圆机汇总表!$J$13&amp;"/"&amp;小圆机汇总表!AF$14))</f>
        <v>0</v>
      </c>
      <c r="AG44" s="18">
        <f>IF($K$13="件数",SUMIFS(yj!$I:$I,yj!$B:$B,小圆机汇总表!$A44,yj!$G:$G,小圆机汇总表!$I$13&amp;"/"&amp;小圆机汇总表!$J$13&amp;"/"&amp;小圆机汇总表!AG$14),SUMIFS(yj!$H:$H,yj!$B:$B,小圆机汇总表!$A44,yj!$G:$G,小圆机汇总表!$I$13&amp;"/"&amp;小圆机汇总表!$J$13&amp;"/"&amp;小圆机汇总表!AG$14))</f>
        <v>0</v>
      </c>
      <c r="AH44" s="18">
        <f>IF($K$13="件数",SUMIFS(yj!$I:$I,yj!$B:$B,小圆机汇总表!$A44,yj!$G:$G,小圆机汇总表!$I$13&amp;"/"&amp;小圆机汇总表!$J$13&amp;"/"&amp;小圆机汇总表!AH$14),SUMIFS(yj!$H:$H,yj!$B:$B,小圆机汇总表!$A44,yj!$G:$G,小圆机汇总表!$I$13&amp;"/"&amp;小圆机汇总表!$J$13&amp;"/"&amp;小圆机汇总表!AH$14))</f>
        <v>0</v>
      </c>
      <c r="AI44" s="18">
        <f>IF($K$13="件数",SUMIFS(yj!$I:$I,yj!$B:$B,小圆机汇总表!$A44,yj!$G:$G,小圆机汇总表!$I$13&amp;"/"&amp;小圆机汇总表!$J$13&amp;"/"&amp;小圆机汇总表!AI$14),SUMIFS(yj!$H:$H,yj!$B:$B,小圆机汇总表!$A44,yj!$G:$G,小圆机汇总表!$I$13&amp;"/"&amp;小圆机汇总表!$J$13&amp;"/"&amp;小圆机汇总表!AI$14))</f>
        <v>0</v>
      </c>
      <c r="AJ44" s="18">
        <f>IF($K$13="件数",SUMIFS(yj!$I:$I,yj!$B:$B,小圆机汇总表!$A44,yj!$G:$G,小圆机汇总表!$I$13&amp;"/"&amp;小圆机汇总表!$J$13&amp;"/"&amp;小圆机汇总表!AJ$14),SUMIFS(yj!$H:$H,yj!$B:$B,小圆机汇总表!$A44,yj!$G:$G,小圆机汇总表!$I$13&amp;"/"&amp;小圆机汇总表!$J$13&amp;"/"&amp;小圆机汇总表!AJ$14))</f>
        <v>0</v>
      </c>
      <c r="AK44" s="18">
        <f>IF($K$13="件数",SUMIFS(yj!$I:$I,yj!$B:$B,小圆机汇总表!$A44,yj!$G:$G,小圆机汇总表!$I$13&amp;"/"&amp;小圆机汇总表!$J$13&amp;"/"&amp;小圆机汇总表!AK$14),SUMIFS(yj!$H:$H,yj!$B:$B,小圆机汇总表!$A44,yj!$G:$G,小圆机汇总表!$I$13&amp;"/"&amp;小圆机汇总表!$J$13&amp;"/"&amp;小圆机汇总表!AK$14))</f>
        <v>0</v>
      </c>
      <c r="AL44" s="18">
        <f>IF($K$13="件数",SUMIFS(yj!$I:$I,yj!$B:$B,小圆机汇总表!$A44,yj!$G:$G,小圆机汇总表!$I$13&amp;"/"&amp;小圆机汇总表!$J$13&amp;"/"&amp;小圆机汇总表!AL$14),SUMIFS(yj!$H:$H,yj!$B:$B,小圆机汇总表!$A44,yj!$G:$G,小圆机汇总表!$I$13&amp;"/"&amp;小圆机汇总表!$J$13&amp;"/"&amp;小圆机汇总表!AL$14))</f>
        <v>0</v>
      </c>
      <c r="AM44" s="18">
        <f>IF($K$13="件数",SUMIFS(yj!$I:$I,yj!$B:$B,小圆机汇总表!$A44,yj!$G:$G,小圆机汇总表!$I$13&amp;"/"&amp;小圆机汇总表!$J$13&amp;"/"&amp;小圆机汇总表!AM$14),SUMIFS(yj!$H:$H,yj!$B:$B,小圆机汇总表!$A44,yj!$G:$G,小圆机汇总表!$I$13&amp;"/"&amp;小圆机汇总表!$J$13&amp;"/"&amp;小圆机汇总表!AM$14))</f>
        <v>0</v>
      </c>
      <c r="AN44" s="18">
        <f>IF($K$13="件数",SUMIFS(yj!$I:$I,yj!$B:$B,小圆机汇总表!$A44,yj!$G:$G,小圆机汇总表!$I$13&amp;"/"&amp;小圆机汇总表!$J$13&amp;"/"&amp;小圆机汇总表!AN$14),SUMIFS(yj!$H:$H,yj!$B:$B,小圆机汇总表!$A44,yj!$G:$G,小圆机汇总表!$I$13&amp;"/"&amp;小圆机汇总表!$J$13&amp;"/"&amp;小圆机汇总表!AN$14))</f>
        <v>0</v>
      </c>
      <c r="AO44" s="18">
        <f>IF($K$13="件数",SUMIFS(yj!$I:$I,yj!$B:$B,小圆机汇总表!$A44,yj!$G:$G,小圆机汇总表!$I$13&amp;"/"&amp;小圆机汇总表!$J$13&amp;"/"&amp;小圆机汇总表!AO$14),SUMIFS(yj!$H:$H,yj!$B:$B,小圆机汇总表!$A44,yj!$G:$G,小圆机汇总表!$I$13&amp;"/"&amp;小圆机汇总表!$J$13&amp;"/"&amp;小圆机汇总表!AO$14))</f>
        <v>0</v>
      </c>
      <c r="AP44" s="18">
        <f>IF($K$13="件数",SUMIFS(yj!$I:$I,yj!$B:$B,小圆机汇总表!$A44,yj!$G:$G,小圆机汇总表!$I$13&amp;"/"&amp;小圆机汇总表!$J$13&amp;"/"&amp;小圆机汇总表!AP$14),SUMIFS(yj!$H:$H,yj!$B:$B,小圆机汇总表!$A44,yj!$G:$G,小圆机汇总表!$I$13&amp;"/"&amp;小圆机汇总表!$J$13&amp;"/"&amp;小圆机汇总表!AP$14))</f>
        <v>0</v>
      </c>
      <c r="AQ44" s="18">
        <f>IF($K$13="件数",SUMIFS(yj!$I:$I,yj!$B:$B,小圆机汇总表!$A44,yj!$G:$G,小圆机汇总表!$I$13&amp;"/"&amp;小圆机汇总表!$J$13&amp;"/"&amp;小圆机汇总表!AQ$14),SUMIFS(yj!$H:$H,yj!$B:$B,小圆机汇总表!$A44,yj!$G:$G,小圆机汇总表!$I$13&amp;"/"&amp;小圆机汇总表!$J$13&amp;"/"&amp;小圆机汇总表!AQ$14))</f>
        <v>0</v>
      </c>
    </row>
    <row r="45" spans="1:43" ht="18" hidden="1" customHeight="1">
      <c r="A45" s="246" t="s">
        <v>83</v>
      </c>
      <c r="B45" s="248" t="s">
        <v>83</v>
      </c>
      <c r="C45" s="17">
        <v>75</v>
      </c>
      <c r="D45" s="17" t="s">
        <v>38</v>
      </c>
      <c r="E45" s="246" t="s">
        <v>85</v>
      </c>
      <c r="F45" s="246">
        <v>160</v>
      </c>
      <c r="G45" s="246">
        <v>45</v>
      </c>
      <c r="H45" s="248" t="s">
        <v>39</v>
      </c>
      <c r="I45" s="246"/>
      <c r="J45" s="246">
        <f ca="1">IF(SUMIFS(yj!$I:$I,yj!$B:$B,小圆机汇总表!A45,yj!$G:$G,小圆机汇总表!$L$13)&gt;0,SUMIFS(yj!$H:$H,yj!$B:$B,小圆机汇总表!A45,yj!$G:$G,小圆机汇总表!$L$13),0)</f>
        <v>556.20000000000005</v>
      </c>
      <c r="K45" s="15">
        <f>SUMIFS(yj!$H:$H,yj!$B:$B,小圆机汇总表!A45,yj!$M:$M,小圆机汇总表!$J$13)</f>
        <v>3094.5999999999995</v>
      </c>
      <c r="L45" s="15">
        <f>SUMIFS(yj!$I:$I,yj!$B:$B,小圆机汇总表!A45,yj!$M:$M,小圆机汇总表!$J$13)</f>
        <v>148</v>
      </c>
      <c r="M45" s="18">
        <f>IF($K$13="件数",SUMIFS(yj!$I:$I,yj!$B:$B,小圆机汇总表!$A45,yj!$G:$G,小圆机汇总表!$I$13&amp;"/"&amp;小圆机汇总表!$J$13&amp;"/"&amp;小圆机汇总表!M$14),SUMIFS(yj!$H:$H,yj!$B:$B,小圆机汇总表!$A45,yj!$G:$G,小圆机汇总表!$I$13&amp;"/"&amp;小圆机汇总表!$J$13&amp;"/"&amp;小圆机汇总表!M$14))</f>
        <v>123.6</v>
      </c>
      <c r="N45" s="18">
        <f>IF($K$13="件数",SUMIFS(yj!$I:$I,yj!$B:$B,小圆机汇总表!$A45,yj!$G:$G,小圆机汇总表!$I$13&amp;"/"&amp;小圆机汇总表!$J$13&amp;"/"&amp;小圆机汇总表!N$14),SUMIFS(yj!$H:$H,yj!$B:$B,小圆机汇总表!$A45,yj!$G:$G,小圆机汇总表!$I$13&amp;"/"&amp;小圆机汇总表!$J$13&amp;"/"&amp;小圆机汇总表!N$14))</f>
        <v>558.29999999999995</v>
      </c>
      <c r="O45" s="18">
        <f>IF($K$13="件数",SUMIFS(yj!$I:$I,yj!$B:$B,小圆机汇总表!$A45,yj!$G:$G,小圆机汇总表!$I$13&amp;"/"&amp;小圆机汇总表!$J$13&amp;"/"&amp;小圆机汇总表!O$14),SUMIFS(yj!$H:$H,yj!$B:$B,小圆机汇总表!$A45,yj!$G:$G,小圆机汇总表!$I$13&amp;"/"&amp;小圆机汇总表!$J$13&amp;"/"&amp;小圆机汇总表!O$14))</f>
        <v>623.4</v>
      </c>
      <c r="P45" s="18">
        <f>IF($K$13="件数",SUMIFS(yj!$I:$I,yj!$B:$B,小圆机汇总表!$A45,yj!$G:$G,小圆机汇总表!$I$13&amp;"/"&amp;小圆机汇总表!$J$13&amp;"/"&amp;小圆机汇总表!P$14),SUMIFS(yj!$H:$H,yj!$B:$B,小圆机汇总表!$A45,yj!$G:$G,小圆机汇总表!$I$13&amp;"/"&amp;小圆机汇总表!$J$13&amp;"/"&amp;小圆机汇总表!P$14))</f>
        <v>613.9</v>
      </c>
      <c r="Q45" s="18">
        <f>IF($K$13="件数",SUMIFS(yj!$I:$I,yj!$B:$B,小圆机汇总表!$A45,yj!$G:$G,小圆机汇总表!$I$13&amp;"/"&amp;小圆机汇总表!$J$13&amp;"/"&amp;小圆机汇总表!Q$14),SUMIFS(yj!$H:$H,yj!$B:$B,小圆机汇总表!$A45,yj!$G:$G,小圆机汇总表!$I$13&amp;"/"&amp;小圆机汇总表!$J$13&amp;"/"&amp;小圆机汇总表!Q$14))</f>
        <v>619.20000000000005</v>
      </c>
      <c r="R45" s="18">
        <f>IF($K$13="件数",SUMIFS(yj!$I:$I,yj!$B:$B,小圆机汇总表!$A45,yj!$G:$G,小圆机汇总表!$I$13&amp;"/"&amp;小圆机汇总表!$J$13&amp;"/"&amp;小圆机汇总表!R$14),SUMIFS(yj!$H:$H,yj!$B:$B,小圆机汇总表!$A45,yj!$G:$G,小圆机汇总表!$I$13&amp;"/"&amp;小圆机汇总表!$J$13&amp;"/"&amp;小圆机汇总表!R$14))</f>
        <v>556.20000000000005</v>
      </c>
      <c r="S45" s="18">
        <f>IF($K$13="件数",SUMIFS(yj!$I:$I,yj!$B:$B,小圆机汇总表!$A45,yj!$G:$G,小圆机汇总表!$I$13&amp;"/"&amp;小圆机汇总表!$J$13&amp;"/"&amp;小圆机汇总表!S$14),SUMIFS(yj!$H:$H,yj!$B:$B,小圆机汇总表!$A45,yj!$G:$G,小圆机汇总表!$I$13&amp;"/"&amp;小圆机汇总表!$J$13&amp;"/"&amp;小圆机汇总表!S$14))</f>
        <v>0</v>
      </c>
      <c r="T45" s="18">
        <f>IF($K$13="件数",SUMIFS(yj!$I:$I,yj!$B:$B,小圆机汇总表!$A45,yj!$G:$G,小圆机汇总表!$I$13&amp;"/"&amp;小圆机汇总表!$J$13&amp;"/"&amp;小圆机汇总表!T$14),SUMIFS(yj!$H:$H,yj!$B:$B,小圆机汇总表!$A45,yj!$G:$G,小圆机汇总表!$I$13&amp;"/"&amp;小圆机汇总表!$J$13&amp;"/"&amp;小圆机汇总表!T$14))</f>
        <v>0</v>
      </c>
      <c r="U45" s="18">
        <f>IF($K$13="件数",SUMIFS(yj!$I:$I,yj!$B:$B,小圆机汇总表!$A45,yj!$G:$G,小圆机汇总表!$I$13&amp;"/"&amp;小圆机汇总表!$J$13&amp;"/"&amp;小圆机汇总表!U$14),SUMIFS(yj!$H:$H,yj!$B:$B,小圆机汇总表!$A45,yj!$G:$G,小圆机汇总表!$I$13&amp;"/"&amp;小圆机汇总表!$J$13&amp;"/"&amp;小圆机汇总表!U$14))</f>
        <v>0</v>
      </c>
      <c r="V45" s="18">
        <f>IF($K$13="件数",SUMIFS(yj!$I:$I,yj!$B:$B,小圆机汇总表!$A45,yj!$G:$G,小圆机汇总表!$I$13&amp;"/"&amp;小圆机汇总表!$J$13&amp;"/"&amp;小圆机汇总表!V$14),SUMIFS(yj!$H:$H,yj!$B:$B,小圆机汇总表!$A45,yj!$G:$G,小圆机汇总表!$I$13&amp;"/"&amp;小圆机汇总表!$J$13&amp;"/"&amp;小圆机汇总表!V$14))</f>
        <v>0</v>
      </c>
      <c r="W45" s="18">
        <f>IF($K$13="件数",SUMIFS(yj!$I:$I,yj!$B:$B,小圆机汇总表!$A45,yj!$G:$G,小圆机汇总表!$I$13&amp;"/"&amp;小圆机汇总表!$J$13&amp;"/"&amp;小圆机汇总表!W$14),SUMIFS(yj!$H:$H,yj!$B:$B,小圆机汇总表!$A45,yj!$G:$G,小圆机汇总表!$I$13&amp;"/"&amp;小圆机汇总表!$J$13&amp;"/"&amp;小圆机汇总表!W$14))</f>
        <v>0</v>
      </c>
      <c r="X45" s="18">
        <f>IF($K$13="件数",SUMIFS(yj!$I:$I,yj!$B:$B,小圆机汇总表!$A45,yj!$G:$G,小圆机汇总表!$I$13&amp;"/"&amp;小圆机汇总表!$J$13&amp;"/"&amp;小圆机汇总表!X$14),SUMIFS(yj!$H:$H,yj!$B:$B,小圆机汇总表!$A45,yj!$G:$G,小圆机汇总表!$I$13&amp;"/"&amp;小圆机汇总表!$J$13&amp;"/"&amp;小圆机汇总表!X$14))</f>
        <v>0</v>
      </c>
      <c r="Y45" s="18">
        <f>IF($K$13="件数",SUMIFS(yj!$I:$I,yj!$B:$B,小圆机汇总表!$A45,yj!$G:$G,小圆机汇总表!$I$13&amp;"/"&amp;小圆机汇总表!$J$13&amp;"/"&amp;小圆机汇总表!Y$14),SUMIFS(yj!$H:$H,yj!$B:$B,小圆机汇总表!$A45,yj!$G:$G,小圆机汇总表!$I$13&amp;"/"&amp;小圆机汇总表!$J$13&amp;"/"&amp;小圆机汇总表!Y$14))</f>
        <v>0</v>
      </c>
      <c r="Z45" s="18">
        <f>IF($K$13="件数",SUMIFS(yj!$I:$I,yj!$B:$B,小圆机汇总表!$A45,yj!$G:$G,小圆机汇总表!$I$13&amp;"/"&amp;小圆机汇总表!$J$13&amp;"/"&amp;小圆机汇总表!Z$14),SUMIFS(yj!$H:$H,yj!$B:$B,小圆机汇总表!$A45,yj!$G:$G,小圆机汇总表!$I$13&amp;"/"&amp;小圆机汇总表!$J$13&amp;"/"&amp;小圆机汇总表!Z$14))</f>
        <v>0</v>
      </c>
      <c r="AA45" s="18">
        <f>IF($K$13="件数",SUMIFS(yj!$I:$I,yj!$B:$B,小圆机汇总表!$A45,yj!$G:$G,小圆机汇总表!$I$13&amp;"/"&amp;小圆机汇总表!$J$13&amp;"/"&amp;小圆机汇总表!AA$14),SUMIFS(yj!$H:$H,yj!$B:$B,小圆机汇总表!$A45,yj!$G:$G,小圆机汇总表!$I$13&amp;"/"&amp;小圆机汇总表!$J$13&amp;"/"&amp;小圆机汇总表!AA$14))</f>
        <v>0</v>
      </c>
      <c r="AB45" s="18">
        <f>IF($K$13="件数",SUMIFS(yj!$I:$I,yj!$B:$B,小圆机汇总表!$A45,yj!$G:$G,小圆机汇总表!$I$13&amp;"/"&amp;小圆机汇总表!$J$13&amp;"/"&amp;小圆机汇总表!AB$14),SUMIFS(yj!$H:$H,yj!$B:$B,小圆机汇总表!$A45,yj!$G:$G,小圆机汇总表!$I$13&amp;"/"&amp;小圆机汇总表!$J$13&amp;"/"&amp;小圆机汇总表!AB$14))</f>
        <v>0</v>
      </c>
      <c r="AC45" s="18">
        <f>IF($K$13="件数",SUMIFS(yj!$I:$I,yj!$B:$B,小圆机汇总表!$A45,yj!$G:$G,小圆机汇总表!$I$13&amp;"/"&amp;小圆机汇总表!$J$13&amp;"/"&amp;小圆机汇总表!AC$14),SUMIFS(yj!$H:$H,yj!$B:$B,小圆机汇总表!$A45,yj!$G:$G,小圆机汇总表!$I$13&amp;"/"&amp;小圆机汇总表!$J$13&amp;"/"&amp;小圆机汇总表!AC$14))</f>
        <v>0</v>
      </c>
      <c r="AD45" s="18">
        <f>IF($K$13="件数",SUMIFS(yj!$I:$I,yj!$B:$B,小圆机汇总表!$A45,yj!$G:$G,小圆机汇总表!$I$13&amp;"/"&amp;小圆机汇总表!$J$13&amp;"/"&amp;小圆机汇总表!AD$14),SUMIFS(yj!$H:$H,yj!$B:$B,小圆机汇总表!$A45,yj!$G:$G,小圆机汇总表!$I$13&amp;"/"&amp;小圆机汇总表!$J$13&amp;"/"&amp;小圆机汇总表!AD$14))</f>
        <v>0</v>
      </c>
      <c r="AE45" s="18">
        <f>IF($K$13="件数",SUMIFS(yj!$I:$I,yj!$B:$B,小圆机汇总表!$A45,yj!$G:$G,小圆机汇总表!$I$13&amp;"/"&amp;小圆机汇总表!$J$13&amp;"/"&amp;小圆机汇总表!AE$14),SUMIFS(yj!$H:$H,yj!$B:$B,小圆机汇总表!$A45,yj!$G:$G,小圆机汇总表!$I$13&amp;"/"&amp;小圆机汇总表!$J$13&amp;"/"&amp;小圆机汇总表!AE$14))</f>
        <v>0</v>
      </c>
      <c r="AF45" s="18">
        <f>IF($K$13="件数",SUMIFS(yj!$I:$I,yj!$B:$B,小圆机汇总表!$A45,yj!$G:$G,小圆机汇总表!$I$13&amp;"/"&amp;小圆机汇总表!$J$13&amp;"/"&amp;小圆机汇总表!AF$14),SUMIFS(yj!$H:$H,yj!$B:$B,小圆机汇总表!$A45,yj!$G:$G,小圆机汇总表!$I$13&amp;"/"&amp;小圆机汇总表!$J$13&amp;"/"&amp;小圆机汇总表!AF$14))</f>
        <v>0</v>
      </c>
      <c r="AG45" s="18">
        <f>IF($K$13="件数",SUMIFS(yj!$I:$I,yj!$B:$B,小圆机汇总表!$A45,yj!$G:$G,小圆机汇总表!$I$13&amp;"/"&amp;小圆机汇总表!$J$13&amp;"/"&amp;小圆机汇总表!AG$14),SUMIFS(yj!$H:$H,yj!$B:$B,小圆机汇总表!$A45,yj!$G:$G,小圆机汇总表!$I$13&amp;"/"&amp;小圆机汇总表!$J$13&amp;"/"&amp;小圆机汇总表!AG$14))</f>
        <v>0</v>
      </c>
      <c r="AH45" s="18">
        <f>IF($K$13="件数",SUMIFS(yj!$I:$I,yj!$B:$B,小圆机汇总表!$A45,yj!$G:$G,小圆机汇总表!$I$13&amp;"/"&amp;小圆机汇总表!$J$13&amp;"/"&amp;小圆机汇总表!AH$14),SUMIFS(yj!$H:$H,yj!$B:$B,小圆机汇总表!$A45,yj!$G:$G,小圆机汇总表!$I$13&amp;"/"&amp;小圆机汇总表!$J$13&amp;"/"&amp;小圆机汇总表!AH$14))</f>
        <v>0</v>
      </c>
      <c r="AI45" s="18">
        <f>IF($K$13="件数",SUMIFS(yj!$I:$I,yj!$B:$B,小圆机汇总表!$A45,yj!$G:$G,小圆机汇总表!$I$13&amp;"/"&amp;小圆机汇总表!$J$13&amp;"/"&amp;小圆机汇总表!AI$14),SUMIFS(yj!$H:$H,yj!$B:$B,小圆机汇总表!$A45,yj!$G:$G,小圆机汇总表!$I$13&amp;"/"&amp;小圆机汇总表!$J$13&amp;"/"&amp;小圆机汇总表!AI$14))</f>
        <v>0</v>
      </c>
      <c r="AJ45" s="18">
        <f>IF($K$13="件数",SUMIFS(yj!$I:$I,yj!$B:$B,小圆机汇总表!$A45,yj!$G:$G,小圆机汇总表!$I$13&amp;"/"&amp;小圆机汇总表!$J$13&amp;"/"&amp;小圆机汇总表!AJ$14),SUMIFS(yj!$H:$H,yj!$B:$B,小圆机汇总表!$A45,yj!$G:$G,小圆机汇总表!$I$13&amp;"/"&amp;小圆机汇总表!$J$13&amp;"/"&amp;小圆机汇总表!AJ$14))</f>
        <v>0</v>
      </c>
      <c r="AK45" s="18">
        <f>IF($K$13="件数",SUMIFS(yj!$I:$I,yj!$B:$B,小圆机汇总表!$A45,yj!$G:$G,小圆机汇总表!$I$13&amp;"/"&amp;小圆机汇总表!$J$13&amp;"/"&amp;小圆机汇总表!AK$14),SUMIFS(yj!$H:$H,yj!$B:$B,小圆机汇总表!$A45,yj!$G:$G,小圆机汇总表!$I$13&amp;"/"&amp;小圆机汇总表!$J$13&amp;"/"&amp;小圆机汇总表!AK$14))</f>
        <v>0</v>
      </c>
      <c r="AL45" s="18">
        <f>IF($K$13="件数",SUMIFS(yj!$I:$I,yj!$B:$B,小圆机汇总表!$A45,yj!$G:$G,小圆机汇总表!$I$13&amp;"/"&amp;小圆机汇总表!$J$13&amp;"/"&amp;小圆机汇总表!AL$14),SUMIFS(yj!$H:$H,yj!$B:$B,小圆机汇总表!$A45,yj!$G:$G,小圆机汇总表!$I$13&amp;"/"&amp;小圆机汇总表!$J$13&amp;"/"&amp;小圆机汇总表!AL$14))</f>
        <v>0</v>
      </c>
      <c r="AM45" s="18">
        <f>IF($K$13="件数",SUMIFS(yj!$I:$I,yj!$B:$B,小圆机汇总表!$A45,yj!$G:$G,小圆机汇总表!$I$13&amp;"/"&amp;小圆机汇总表!$J$13&amp;"/"&amp;小圆机汇总表!AM$14),SUMIFS(yj!$H:$H,yj!$B:$B,小圆机汇总表!$A45,yj!$G:$G,小圆机汇总表!$I$13&amp;"/"&amp;小圆机汇总表!$J$13&amp;"/"&amp;小圆机汇总表!AM$14))</f>
        <v>0</v>
      </c>
      <c r="AN45" s="18">
        <f>IF($K$13="件数",SUMIFS(yj!$I:$I,yj!$B:$B,小圆机汇总表!$A45,yj!$G:$G,小圆机汇总表!$I$13&amp;"/"&amp;小圆机汇总表!$J$13&amp;"/"&amp;小圆机汇总表!AN$14),SUMIFS(yj!$H:$H,yj!$B:$B,小圆机汇总表!$A45,yj!$G:$G,小圆机汇总表!$I$13&amp;"/"&amp;小圆机汇总表!$J$13&amp;"/"&amp;小圆机汇总表!AN$14))</f>
        <v>0</v>
      </c>
      <c r="AO45" s="18">
        <f>IF($K$13="件数",SUMIFS(yj!$I:$I,yj!$B:$B,小圆机汇总表!$A45,yj!$G:$G,小圆机汇总表!$I$13&amp;"/"&amp;小圆机汇总表!$J$13&amp;"/"&amp;小圆机汇总表!AO$14),SUMIFS(yj!$H:$H,yj!$B:$B,小圆机汇总表!$A45,yj!$G:$G,小圆机汇总表!$I$13&amp;"/"&amp;小圆机汇总表!$J$13&amp;"/"&amp;小圆机汇总表!AO$14))</f>
        <v>0</v>
      </c>
      <c r="AP45" s="18">
        <f>IF($K$13="件数",SUMIFS(yj!$I:$I,yj!$B:$B,小圆机汇总表!$A45,yj!$G:$G,小圆机汇总表!$I$13&amp;"/"&amp;小圆机汇总表!$J$13&amp;"/"&amp;小圆机汇总表!AP$14),SUMIFS(yj!$H:$H,yj!$B:$B,小圆机汇总表!$A45,yj!$G:$G,小圆机汇总表!$I$13&amp;"/"&amp;小圆机汇总表!$J$13&amp;"/"&amp;小圆机汇总表!AP$14))</f>
        <v>0</v>
      </c>
      <c r="AQ45" s="18">
        <f>IF($K$13="件数",SUMIFS(yj!$I:$I,yj!$B:$B,小圆机汇总表!$A45,yj!$G:$G,小圆机汇总表!$I$13&amp;"/"&amp;小圆机汇总表!$J$13&amp;"/"&amp;小圆机汇总表!AQ$14),SUMIFS(yj!$H:$H,yj!$B:$B,小圆机汇总表!$A45,yj!$G:$G,小圆机汇总表!$I$13&amp;"/"&amp;小圆机汇总表!$J$13&amp;"/"&amp;小圆机汇总表!AQ$14))</f>
        <v>0</v>
      </c>
    </row>
    <row r="46" spans="1:43" ht="18" hidden="1" customHeight="1">
      <c r="A46" s="13" t="s">
        <v>2554</v>
      </c>
      <c r="B46" s="14" t="s">
        <v>86</v>
      </c>
      <c r="C46" s="17">
        <v>75</v>
      </c>
      <c r="D46" s="17" t="s">
        <v>44</v>
      </c>
      <c r="E46" s="13" t="s">
        <v>2527</v>
      </c>
      <c r="F46" s="13">
        <v>160</v>
      </c>
      <c r="G46" s="13">
        <v>51</v>
      </c>
      <c r="H46" s="14" t="s">
        <v>2528</v>
      </c>
      <c r="I46" s="13"/>
      <c r="J46" s="182">
        <f ca="1">IF(SUMIFS(yj!$I:$I,yj!$B:$B,小圆机汇总表!A46,yj!$G:$G,小圆机汇总表!$L$13)&gt;0,SUMIFS(yj!$H:$H,yj!$B:$B,小圆机汇总表!A46,yj!$G:$G,小圆机汇总表!$L$13),0)</f>
        <v>0</v>
      </c>
      <c r="K46" s="15">
        <f>SUMIFS(yj!$H:$H,yj!$B:$B,小圆机汇总表!A46,yj!$M:$M,小圆机汇总表!$J$13)</f>
        <v>0</v>
      </c>
      <c r="L46" s="15">
        <f>SUMIFS(yj!$I:$I,yj!$B:$B,小圆机汇总表!A46,yj!$M:$M,小圆机汇总表!$J$13)</f>
        <v>0</v>
      </c>
      <c r="M46" s="18">
        <f>IF($K$13="件数",SUMIFS(yj!$I:$I,yj!$B:$B,小圆机汇总表!$A46,yj!$G:$G,小圆机汇总表!$I$13&amp;"/"&amp;小圆机汇总表!$J$13&amp;"/"&amp;小圆机汇总表!M$14),SUMIFS(yj!$H:$H,yj!$B:$B,小圆机汇总表!$A46,yj!$G:$G,小圆机汇总表!$I$13&amp;"/"&amp;小圆机汇总表!$J$13&amp;"/"&amp;小圆机汇总表!M$14))</f>
        <v>0</v>
      </c>
      <c r="N46" s="18">
        <f>IF($K$13="件数",SUMIFS(yj!$I:$I,yj!$B:$B,小圆机汇总表!$A46,yj!$G:$G,小圆机汇总表!$I$13&amp;"/"&amp;小圆机汇总表!$J$13&amp;"/"&amp;小圆机汇总表!N$14),SUMIFS(yj!$H:$H,yj!$B:$B,小圆机汇总表!$A46,yj!$G:$G,小圆机汇总表!$I$13&amp;"/"&amp;小圆机汇总表!$J$13&amp;"/"&amp;小圆机汇总表!N$14))</f>
        <v>0</v>
      </c>
      <c r="O46" s="18">
        <f>IF($K$13="件数",SUMIFS(yj!$I:$I,yj!$B:$B,小圆机汇总表!$A46,yj!$G:$G,小圆机汇总表!$I$13&amp;"/"&amp;小圆机汇总表!$J$13&amp;"/"&amp;小圆机汇总表!O$14),SUMIFS(yj!$H:$H,yj!$B:$B,小圆机汇总表!$A46,yj!$G:$G,小圆机汇总表!$I$13&amp;"/"&amp;小圆机汇总表!$J$13&amp;"/"&amp;小圆机汇总表!O$14))</f>
        <v>0</v>
      </c>
      <c r="P46" s="18">
        <f>IF($K$13="件数",SUMIFS(yj!$I:$I,yj!$B:$B,小圆机汇总表!$A46,yj!$G:$G,小圆机汇总表!$I$13&amp;"/"&amp;小圆机汇总表!$J$13&amp;"/"&amp;小圆机汇总表!P$14),SUMIFS(yj!$H:$H,yj!$B:$B,小圆机汇总表!$A46,yj!$G:$G,小圆机汇总表!$I$13&amp;"/"&amp;小圆机汇总表!$J$13&amp;"/"&amp;小圆机汇总表!P$14))</f>
        <v>0</v>
      </c>
      <c r="Q46" s="18">
        <f>IF($K$13="件数",SUMIFS(yj!$I:$I,yj!$B:$B,小圆机汇总表!$A46,yj!$G:$G,小圆机汇总表!$I$13&amp;"/"&amp;小圆机汇总表!$J$13&amp;"/"&amp;小圆机汇总表!Q$14),SUMIFS(yj!$H:$H,yj!$B:$B,小圆机汇总表!$A46,yj!$G:$G,小圆机汇总表!$I$13&amp;"/"&amp;小圆机汇总表!$J$13&amp;"/"&amp;小圆机汇总表!Q$14))</f>
        <v>0</v>
      </c>
      <c r="R46" s="18">
        <f>IF($K$13="件数",SUMIFS(yj!$I:$I,yj!$B:$B,小圆机汇总表!$A46,yj!$G:$G,小圆机汇总表!$I$13&amp;"/"&amp;小圆机汇总表!$J$13&amp;"/"&amp;小圆机汇总表!R$14),SUMIFS(yj!$H:$H,yj!$B:$B,小圆机汇总表!$A46,yj!$G:$G,小圆机汇总表!$I$13&amp;"/"&amp;小圆机汇总表!$J$13&amp;"/"&amp;小圆机汇总表!R$14))</f>
        <v>0</v>
      </c>
      <c r="S46" s="18">
        <f>IF($K$13="件数",SUMIFS(yj!$I:$I,yj!$B:$B,小圆机汇总表!$A46,yj!$G:$G,小圆机汇总表!$I$13&amp;"/"&amp;小圆机汇总表!$J$13&amp;"/"&amp;小圆机汇总表!S$14),SUMIFS(yj!$H:$H,yj!$B:$B,小圆机汇总表!$A46,yj!$G:$G,小圆机汇总表!$I$13&amp;"/"&amp;小圆机汇总表!$J$13&amp;"/"&amp;小圆机汇总表!S$14))</f>
        <v>0</v>
      </c>
      <c r="T46" s="18">
        <f>IF($K$13="件数",SUMIFS(yj!$I:$I,yj!$B:$B,小圆机汇总表!$A46,yj!$G:$G,小圆机汇总表!$I$13&amp;"/"&amp;小圆机汇总表!$J$13&amp;"/"&amp;小圆机汇总表!T$14),SUMIFS(yj!$H:$H,yj!$B:$B,小圆机汇总表!$A46,yj!$G:$G,小圆机汇总表!$I$13&amp;"/"&amp;小圆机汇总表!$J$13&amp;"/"&amp;小圆机汇总表!T$14))</f>
        <v>0</v>
      </c>
      <c r="U46" s="18">
        <f>IF($K$13="件数",SUMIFS(yj!$I:$I,yj!$B:$B,小圆机汇总表!$A46,yj!$G:$G,小圆机汇总表!$I$13&amp;"/"&amp;小圆机汇总表!$J$13&amp;"/"&amp;小圆机汇总表!U$14),SUMIFS(yj!$H:$H,yj!$B:$B,小圆机汇总表!$A46,yj!$G:$G,小圆机汇总表!$I$13&amp;"/"&amp;小圆机汇总表!$J$13&amp;"/"&amp;小圆机汇总表!U$14))</f>
        <v>0</v>
      </c>
      <c r="V46" s="18">
        <f>IF($K$13="件数",SUMIFS(yj!$I:$I,yj!$B:$B,小圆机汇总表!$A46,yj!$G:$G,小圆机汇总表!$I$13&amp;"/"&amp;小圆机汇总表!$J$13&amp;"/"&amp;小圆机汇总表!V$14),SUMIFS(yj!$H:$H,yj!$B:$B,小圆机汇总表!$A46,yj!$G:$G,小圆机汇总表!$I$13&amp;"/"&amp;小圆机汇总表!$J$13&amp;"/"&amp;小圆机汇总表!V$14))</f>
        <v>0</v>
      </c>
      <c r="W46" s="18">
        <f>IF($K$13="件数",SUMIFS(yj!$I:$I,yj!$B:$B,小圆机汇总表!$A46,yj!$G:$G,小圆机汇总表!$I$13&amp;"/"&amp;小圆机汇总表!$J$13&amp;"/"&amp;小圆机汇总表!W$14),SUMIFS(yj!$H:$H,yj!$B:$B,小圆机汇总表!$A46,yj!$G:$G,小圆机汇总表!$I$13&amp;"/"&amp;小圆机汇总表!$J$13&amp;"/"&amp;小圆机汇总表!W$14))</f>
        <v>0</v>
      </c>
      <c r="X46" s="18">
        <f>IF($K$13="件数",SUMIFS(yj!$I:$I,yj!$B:$B,小圆机汇总表!$A46,yj!$G:$G,小圆机汇总表!$I$13&amp;"/"&amp;小圆机汇总表!$J$13&amp;"/"&amp;小圆机汇总表!X$14),SUMIFS(yj!$H:$H,yj!$B:$B,小圆机汇总表!$A46,yj!$G:$G,小圆机汇总表!$I$13&amp;"/"&amp;小圆机汇总表!$J$13&amp;"/"&amp;小圆机汇总表!X$14))</f>
        <v>0</v>
      </c>
      <c r="Y46" s="18">
        <f>IF($K$13="件数",SUMIFS(yj!$I:$I,yj!$B:$B,小圆机汇总表!$A46,yj!$G:$G,小圆机汇总表!$I$13&amp;"/"&amp;小圆机汇总表!$J$13&amp;"/"&amp;小圆机汇总表!Y$14),SUMIFS(yj!$H:$H,yj!$B:$B,小圆机汇总表!$A46,yj!$G:$G,小圆机汇总表!$I$13&amp;"/"&amp;小圆机汇总表!$J$13&amp;"/"&amp;小圆机汇总表!Y$14))</f>
        <v>0</v>
      </c>
      <c r="Z46" s="18">
        <f>IF($K$13="件数",SUMIFS(yj!$I:$I,yj!$B:$B,小圆机汇总表!$A46,yj!$G:$G,小圆机汇总表!$I$13&amp;"/"&amp;小圆机汇总表!$J$13&amp;"/"&amp;小圆机汇总表!Z$14),SUMIFS(yj!$H:$H,yj!$B:$B,小圆机汇总表!$A46,yj!$G:$G,小圆机汇总表!$I$13&amp;"/"&amp;小圆机汇总表!$J$13&amp;"/"&amp;小圆机汇总表!Z$14))</f>
        <v>0</v>
      </c>
      <c r="AA46" s="18">
        <f>IF($K$13="件数",SUMIFS(yj!$I:$I,yj!$B:$B,小圆机汇总表!$A46,yj!$G:$G,小圆机汇总表!$I$13&amp;"/"&amp;小圆机汇总表!$J$13&amp;"/"&amp;小圆机汇总表!AA$14),SUMIFS(yj!$H:$H,yj!$B:$B,小圆机汇总表!$A46,yj!$G:$G,小圆机汇总表!$I$13&amp;"/"&amp;小圆机汇总表!$J$13&amp;"/"&amp;小圆机汇总表!AA$14))</f>
        <v>0</v>
      </c>
      <c r="AB46" s="18">
        <f>IF($K$13="件数",SUMIFS(yj!$I:$I,yj!$B:$B,小圆机汇总表!$A46,yj!$G:$G,小圆机汇总表!$I$13&amp;"/"&amp;小圆机汇总表!$J$13&amp;"/"&amp;小圆机汇总表!AB$14),SUMIFS(yj!$H:$H,yj!$B:$B,小圆机汇总表!$A46,yj!$G:$G,小圆机汇总表!$I$13&amp;"/"&amp;小圆机汇总表!$J$13&amp;"/"&amp;小圆机汇总表!AB$14))</f>
        <v>0</v>
      </c>
      <c r="AC46" s="18">
        <f>IF($K$13="件数",SUMIFS(yj!$I:$I,yj!$B:$B,小圆机汇总表!$A46,yj!$G:$G,小圆机汇总表!$I$13&amp;"/"&amp;小圆机汇总表!$J$13&amp;"/"&amp;小圆机汇总表!AC$14),SUMIFS(yj!$H:$H,yj!$B:$B,小圆机汇总表!$A46,yj!$G:$G,小圆机汇总表!$I$13&amp;"/"&amp;小圆机汇总表!$J$13&amp;"/"&amp;小圆机汇总表!AC$14))</f>
        <v>0</v>
      </c>
      <c r="AD46" s="18">
        <f>IF($K$13="件数",SUMIFS(yj!$I:$I,yj!$B:$B,小圆机汇总表!$A46,yj!$G:$G,小圆机汇总表!$I$13&amp;"/"&amp;小圆机汇总表!$J$13&amp;"/"&amp;小圆机汇总表!AD$14),SUMIFS(yj!$H:$H,yj!$B:$B,小圆机汇总表!$A46,yj!$G:$G,小圆机汇总表!$I$13&amp;"/"&amp;小圆机汇总表!$J$13&amp;"/"&amp;小圆机汇总表!AD$14))</f>
        <v>0</v>
      </c>
      <c r="AE46" s="18">
        <f>IF($K$13="件数",SUMIFS(yj!$I:$I,yj!$B:$B,小圆机汇总表!$A46,yj!$G:$G,小圆机汇总表!$I$13&amp;"/"&amp;小圆机汇总表!$J$13&amp;"/"&amp;小圆机汇总表!AE$14),SUMIFS(yj!$H:$H,yj!$B:$B,小圆机汇总表!$A46,yj!$G:$G,小圆机汇总表!$I$13&amp;"/"&amp;小圆机汇总表!$J$13&amp;"/"&amp;小圆机汇总表!AE$14))</f>
        <v>0</v>
      </c>
      <c r="AF46" s="18">
        <f>IF($K$13="件数",SUMIFS(yj!$I:$I,yj!$B:$B,小圆机汇总表!$A46,yj!$G:$G,小圆机汇总表!$I$13&amp;"/"&amp;小圆机汇总表!$J$13&amp;"/"&amp;小圆机汇总表!AF$14),SUMIFS(yj!$H:$H,yj!$B:$B,小圆机汇总表!$A46,yj!$G:$G,小圆机汇总表!$I$13&amp;"/"&amp;小圆机汇总表!$J$13&amp;"/"&amp;小圆机汇总表!AF$14))</f>
        <v>0</v>
      </c>
      <c r="AG46" s="18">
        <f>IF($K$13="件数",SUMIFS(yj!$I:$I,yj!$B:$B,小圆机汇总表!$A46,yj!$G:$G,小圆机汇总表!$I$13&amp;"/"&amp;小圆机汇总表!$J$13&amp;"/"&amp;小圆机汇总表!AG$14),SUMIFS(yj!$H:$H,yj!$B:$B,小圆机汇总表!$A46,yj!$G:$G,小圆机汇总表!$I$13&amp;"/"&amp;小圆机汇总表!$J$13&amp;"/"&amp;小圆机汇总表!AG$14))</f>
        <v>0</v>
      </c>
      <c r="AH46" s="18">
        <f>IF($K$13="件数",SUMIFS(yj!$I:$I,yj!$B:$B,小圆机汇总表!$A46,yj!$G:$G,小圆机汇总表!$I$13&amp;"/"&amp;小圆机汇总表!$J$13&amp;"/"&amp;小圆机汇总表!AH$14),SUMIFS(yj!$H:$H,yj!$B:$B,小圆机汇总表!$A46,yj!$G:$G,小圆机汇总表!$I$13&amp;"/"&amp;小圆机汇总表!$J$13&amp;"/"&amp;小圆机汇总表!AH$14))</f>
        <v>0</v>
      </c>
      <c r="AI46" s="18">
        <f>IF($K$13="件数",SUMIFS(yj!$I:$I,yj!$B:$B,小圆机汇总表!$A46,yj!$G:$G,小圆机汇总表!$I$13&amp;"/"&amp;小圆机汇总表!$J$13&amp;"/"&amp;小圆机汇总表!AI$14),SUMIFS(yj!$H:$H,yj!$B:$B,小圆机汇总表!$A46,yj!$G:$G,小圆机汇总表!$I$13&amp;"/"&amp;小圆机汇总表!$J$13&amp;"/"&amp;小圆机汇总表!AI$14))</f>
        <v>0</v>
      </c>
      <c r="AJ46" s="18">
        <f>IF($K$13="件数",SUMIFS(yj!$I:$I,yj!$B:$B,小圆机汇总表!$A46,yj!$G:$G,小圆机汇总表!$I$13&amp;"/"&amp;小圆机汇总表!$J$13&amp;"/"&amp;小圆机汇总表!AJ$14),SUMIFS(yj!$H:$H,yj!$B:$B,小圆机汇总表!$A46,yj!$G:$G,小圆机汇总表!$I$13&amp;"/"&amp;小圆机汇总表!$J$13&amp;"/"&amp;小圆机汇总表!AJ$14))</f>
        <v>0</v>
      </c>
      <c r="AK46" s="18">
        <f>IF($K$13="件数",SUMIFS(yj!$I:$I,yj!$B:$B,小圆机汇总表!$A46,yj!$G:$G,小圆机汇总表!$I$13&amp;"/"&amp;小圆机汇总表!$J$13&amp;"/"&amp;小圆机汇总表!AK$14),SUMIFS(yj!$H:$H,yj!$B:$B,小圆机汇总表!$A46,yj!$G:$G,小圆机汇总表!$I$13&amp;"/"&amp;小圆机汇总表!$J$13&amp;"/"&amp;小圆机汇总表!AK$14))</f>
        <v>0</v>
      </c>
      <c r="AL46" s="18">
        <f>IF($K$13="件数",SUMIFS(yj!$I:$I,yj!$B:$B,小圆机汇总表!$A46,yj!$G:$G,小圆机汇总表!$I$13&amp;"/"&amp;小圆机汇总表!$J$13&amp;"/"&amp;小圆机汇总表!AL$14),SUMIFS(yj!$H:$H,yj!$B:$B,小圆机汇总表!$A46,yj!$G:$G,小圆机汇总表!$I$13&amp;"/"&amp;小圆机汇总表!$J$13&amp;"/"&amp;小圆机汇总表!AL$14))</f>
        <v>0</v>
      </c>
      <c r="AM46" s="18">
        <f>IF($K$13="件数",SUMIFS(yj!$I:$I,yj!$B:$B,小圆机汇总表!$A46,yj!$G:$G,小圆机汇总表!$I$13&amp;"/"&amp;小圆机汇总表!$J$13&amp;"/"&amp;小圆机汇总表!AM$14),SUMIFS(yj!$H:$H,yj!$B:$B,小圆机汇总表!$A46,yj!$G:$G,小圆机汇总表!$I$13&amp;"/"&amp;小圆机汇总表!$J$13&amp;"/"&amp;小圆机汇总表!AM$14))</f>
        <v>0</v>
      </c>
      <c r="AN46" s="18">
        <f>IF($K$13="件数",SUMIFS(yj!$I:$I,yj!$B:$B,小圆机汇总表!$A46,yj!$G:$G,小圆机汇总表!$I$13&amp;"/"&amp;小圆机汇总表!$J$13&amp;"/"&amp;小圆机汇总表!AN$14),SUMIFS(yj!$H:$H,yj!$B:$B,小圆机汇总表!$A46,yj!$G:$G,小圆机汇总表!$I$13&amp;"/"&amp;小圆机汇总表!$J$13&amp;"/"&amp;小圆机汇总表!AN$14))</f>
        <v>0</v>
      </c>
      <c r="AO46" s="18">
        <f>IF($K$13="件数",SUMIFS(yj!$I:$I,yj!$B:$B,小圆机汇总表!$A46,yj!$G:$G,小圆机汇总表!$I$13&amp;"/"&amp;小圆机汇总表!$J$13&amp;"/"&amp;小圆机汇总表!AO$14),SUMIFS(yj!$H:$H,yj!$B:$B,小圆机汇总表!$A46,yj!$G:$G,小圆机汇总表!$I$13&amp;"/"&amp;小圆机汇总表!$J$13&amp;"/"&amp;小圆机汇总表!AO$14))</f>
        <v>0</v>
      </c>
      <c r="AP46" s="18">
        <f>IF($K$13="件数",SUMIFS(yj!$I:$I,yj!$B:$B,小圆机汇总表!$A46,yj!$G:$G,小圆机汇总表!$I$13&amp;"/"&amp;小圆机汇总表!$J$13&amp;"/"&amp;小圆机汇总表!AP$14),SUMIFS(yj!$H:$H,yj!$B:$B,小圆机汇总表!$A46,yj!$G:$G,小圆机汇总表!$I$13&amp;"/"&amp;小圆机汇总表!$J$13&amp;"/"&amp;小圆机汇总表!AP$14))</f>
        <v>0</v>
      </c>
      <c r="AQ46" s="18">
        <f>IF($K$13="件数",SUMIFS(yj!$I:$I,yj!$B:$B,小圆机汇总表!$A46,yj!$G:$G,小圆机汇总表!$I$13&amp;"/"&amp;小圆机汇总表!$J$13&amp;"/"&amp;小圆机汇总表!AQ$14),SUMIFS(yj!$H:$H,yj!$B:$B,小圆机汇总表!$A46,yj!$G:$G,小圆机汇总表!$I$13&amp;"/"&amp;小圆机汇总表!$J$13&amp;"/"&amp;小圆机汇总表!AQ$14))</f>
        <v>0</v>
      </c>
    </row>
    <row r="47" spans="1:43" ht="18" hidden="1" customHeight="1">
      <c r="A47" s="246" t="s">
        <v>2526</v>
      </c>
      <c r="B47" s="14" t="s">
        <v>86</v>
      </c>
      <c r="C47" s="17">
        <v>75</v>
      </c>
      <c r="D47" s="17" t="s">
        <v>44</v>
      </c>
      <c r="E47" s="13" t="s">
        <v>2551</v>
      </c>
      <c r="F47" s="13">
        <v>160</v>
      </c>
      <c r="G47" s="13">
        <v>51</v>
      </c>
      <c r="H47" s="14" t="s">
        <v>2555</v>
      </c>
      <c r="I47" s="13"/>
      <c r="J47" s="182">
        <f ca="1">IF(SUMIFS(yj!$I:$I,yj!$B:$B,小圆机汇总表!A47,yj!$G:$G,小圆机汇总表!$L$13)&gt;0,SUMIFS(yj!$H:$H,yj!$B:$B,小圆机汇总表!A47,yj!$G:$G,小圆机汇总表!$L$13),0)</f>
        <v>0</v>
      </c>
      <c r="K47" s="15">
        <f>SUMIFS(yj!$H:$H,yj!$B:$B,小圆机汇总表!A47,yj!$M:$M,小圆机汇总表!$J$13)</f>
        <v>0</v>
      </c>
      <c r="L47" s="15">
        <f>SUMIFS(yj!$I:$I,yj!$B:$B,小圆机汇总表!A47,yj!$M:$M,小圆机汇总表!$J$13)</f>
        <v>0</v>
      </c>
      <c r="M47" s="18">
        <f>IF($K$13="件数",SUMIFS(yj!$I:$I,yj!$B:$B,小圆机汇总表!$A47,yj!$G:$G,小圆机汇总表!$I$13&amp;"/"&amp;小圆机汇总表!$J$13&amp;"/"&amp;小圆机汇总表!M$14),SUMIFS(yj!$H:$H,yj!$B:$B,小圆机汇总表!$A47,yj!$G:$G,小圆机汇总表!$I$13&amp;"/"&amp;小圆机汇总表!$J$13&amp;"/"&amp;小圆机汇总表!M$14))</f>
        <v>0</v>
      </c>
      <c r="N47" s="18">
        <f>IF($K$13="件数",SUMIFS(yj!$I:$I,yj!$B:$B,小圆机汇总表!$A47,yj!$G:$G,小圆机汇总表!$I$13&amp;"/"&amp;小圆机汇总表!$J$13&amp;"/"&amp;小圆机汇总表!N$14),SUMIFS(yj!$H:$H,yj!$B:$B,小圆机汇总表!$A47,yj!$G:$G,小圆机汇总表!$I$13&amp;"/"&amp;小圆机汇总表!$J$13&amp;"/"&amp;小圆机汇总表!N$14))</f>
        <v>0</v>
      </c>
      <c r="O47" s="18">
        <f>IF($K$13="件数",SUMIFS(yj!$I:$I,yj!$B:$B,小圆机汇总表!$A47,yj!$G:$G,小圆机汇总表!$I$13&amp;"/"&amp;小圆机汇总表!$J$13&amp;"/"&amp;小圆机汇总表!O$14),SUMIFS(yj!$H:$H,yj!$B:$B,小圆机汇总表!$A47,yj!$G:$G,小圆机汇总表!$I$13&amp;"/"&amp;小圆机汇总表!$J$13&amp;"/"&amp;小圆机汇总表!O$14))</f>
        <v>0</v>
      </c>
      <c r="P47" s="18">
        <f>IF($K$13="件数",SUMIFS(yj!$I:$I,yj!$B:$B,小圆机汇总表!$A47,yj!$G:$G,小圆机汇总表!$I$13&amp;"/"&amp;小圆机汇总表!$J$13&amp;"/"&amp;小圆机汇总表!P$14),SUMIFS(yj!$H:$H,yj!$B:$B,小圆机汇总表!$A47,yj!$G:$G,小圆机汇总表!$I$13&amp;"/"&amp;小圆机汇总表!$J$13&amp;"/"&amp;小圆机汇总表!P$14))</f>
        <v>0</v>
      </c>
      <c r="Q47" s="18">
        <f>IF($K$13="件数",SUMIFS(yj!$I:$I,yj!$B:$B,小圆机汇总表!$A47,yj!$G:$G,小圆机汇总表!$I$13&amp;"/"&amp;小圆机汇总表!$J$13&amp;"/"&amp;小圆机汇总表!Q$14),SUMIFS(yj!$H:$H,yj!$B:$B,小圆机汇总表!$A47,yj!$G:$G,小圆机汇总表!$I$13&amp;"/"&amp;小圆机汇总表!$J$13&amp;"/"&amp;小圆机汇总表!Q$14))</f>
        <v>0</v>
      </c>
      <c r="R47" s="18">
        <f>IF($K$13="件数",SUMIFS(yj!$I:$I,yj!$B:$B,小圆机汇总表!$A47,yj!$G:$G,小圆机汇总表!$I$13&amp;"/"&amp;小圆机汇总表!$J$13&amp;"/"&amp;小圆机汇总表!R$14),SUMIFS(yj!$H:$H,yj!$B:$B,小圆机汇总表!$A47,yj!$G:$G,小圆机汇总表!$I$13&amp;"/"&amp;小圆机汇总表!$J$13&amp;"/"&amp;小圆机汇总表!R$14))</f>
        <v>0</v>
      </c>
      <c r="S47" s="18">
        <f>IF($K$13="件数",SUMIFS(yj!$I:$I,yj!$B:$B,小圆机汇总表!$A47,yj!$G:$G,小圆机汇总表!$I$13&amp;"/"&amp;小圆机汇总表!$J$13&amp;"/"&amp;小圆机汇总表!S$14),SUMIFS(yj!$H:$H,yj!$B:$B,小圆机汇总表!$A47,yj!$G:$G,小圆机汇总表!$I$13&amp;"/"&amp;小圆机汇总表!$J$13&amp;"/"&amp;小圆机汇总表!S$14))</f>
        <v>0</v>
      </c>
      <c r="T47" s="18">
        <f>IF($K$13="件数",SUMIFS(yj!$I:$I,yj!$B:$B,小圆机汇总表!$A47,yj!$G:$G,小圆机汇总表!$I$13&amp;"/"&amp;小圆机汇总表!$J$13&amp;"/"&amp;小圆机汇总表!T$14),SUMIFS(yj!$H:$H,yj!$B:$B,小圆机汇总表!$A47,yj!$G:$G,小圆机汇总表!$I$13&amp;"/"&amp;小圆机汇总表!$J$13&amp;"/"&amp;小圆机汇总表!T$14))</f>
        <v>0</v>
      </c>
      <c r="U47" s="18">
        <f>IF($K$13="件数",SUMIFS(yj!$I:$I,yj!$B:$B,小圆机汇总表!$A47,yj!$G:$G,小圆机汇总表!$I$13&amp;"/"&amp;小圆机汇总表!$J$13&amp;"/"&amp;小圆机汇总表!U$14),SUMIFS(yj!$H:$H,yj!$B:$B,小圆机汇总表!$A47,yj!$G:$G,小圆机汇总表!$I$13&amp;"/"&amp;小圆机汇总表!$J$13&amp;"/"&amp;小圆机汇总表!U$14))</f>
        <v>0</v>
      </c>
      <c r="V47" s="18">
        <f>IF($K$13="件数",SUMIFS(yj!$I:$I,yj!$B:$B,小圆机汇总表!$A47,yj!$G:$G,小圆机汇总表!$I$13&amp;"/"&amp;小圆机汇总表!$J$13&amp;"/"&amp;小圆机汇总表!V$14),SUMIFS(yj!$H:$H,yj!$B:$B,小圆机汇总表!$A47,yj!$G:$G,小圆机汇总表!$I$13&amp;"/"&amp;小圆机汇总表!$J$13&amp;"/"&amp;小圆机汇总表!V$14))</f>
        <v>0</v>
      </c>
      <c r="W47" s="18">
        <f>IF($K$13="件数",SUMIFS(yj!$I:$I,yj!$B:$B,小圆机汇总表!$A47,yj!$G:$G,小圆机汇总表!$I$13&amp;"/"&amp;小圆机汇总表!$J$13&amp;"/"&amp;小圆机汇总表!W$14),SUMIFS(yj!$H:$H,yj!$B:$B,小圆机汇总表!$A47,yj!$G:$G,小圆机汇总表!$I$13&amp;"/"&amp;小圆机汇总表!$J$13&amp;"/"&amp;小圆机汇总表!W$14))</f>
        <v>0</v>
      </c>
      <c r="X47" s="18">
        <f>IF($K$13="件数",SUMIFS(yj!$I:$I,yj!$B:$B,小圆机汇总表!$A47,yj!$G:$G,小圆机汇总表!$I$13&amp;"/"&amp;小圆机汇总表!$J$13&amp;"/"&amp;小圆机汇总表!X$14),SUMIFS(yj!$H:$H,yj!$B:$B,小圆机汇总表!$A47,yj!$G:$G,小圆机汇总表!$I$13&amp;"/"&amp;小圆机汇总表!$J$13&amp;"/"&amp;小圆机汇总表!X$14))</f>
        <v>0</v>
      </c>
      <c r="Y47" s="18">
        <f>IF($K$13="件数",SUMIFS(yj!$I:$I,yj!$B:$B,小圆机汇总表!$A47,yj!$G:$G,小圆机汇总表!$I$13&amp;"/"&amp;小圆机汇总表!$J$13&amp;"/"&amp;小圆机汇总表!Y$14),SUMIFS(yj!$H:$H,yj!$B:$B,小圆机汇总表!$A47,yj!$G:$G,小圆机汇总表!$I$13&amp;"/"&amp;小圆机汇总表!$J$13&amp;"/"&amp;小圆机汇总表!Y$14))</f>
        <v>0</v>
      </c>
      <c r="Z47" s="18">
        <f>IF($K$13="件数",SUMIFS(yj!$I:$I,yj!$B:$B,小圆机汇总表!$A47,yj!$G:$G,小圆机汇总表!$I$13&amp;"/"&amp;小圆机汇总表!$J$13&amp;"/"&amp;小圆机汇总表!Z$14),SUMIFS(yj!$H:$H,yj!$B:$B,小圆机汇总表!$A47,yj!$G:$G,小圆机汇总表!$I$13&amp;"/"&amp;小圆机汇总表!$J$13&amp;"/"&amp;小圆机汇总表!Z$14))</f>
        <v>0</v>
      </c>
      <c r="AA47" s="18">
        <f>IF($K$13="件数",SUMIFS(yj!$I:$I,yj!$B:$B,小圆机汇总表!$A47,yj!$G:$G,小圆机汇总表!$I$13&amp;"/"&amp;小圆机汇总表!$J$13&amp;"/"&amp;小圆机汇总表!AA$14),SUMIFS(yj!$H:$H,yj!$B:$B,小圆机汇总表!$A47,yj!$G:$G,小圆机汇总表!$I$13&amp;"/"&amp;小圆机汇总表!$J$13&amp;"/"&amp;小圆机汇总表!AA$14))</f>
        <v>0</v>
      </c>
      <c r="AB47" s="18">
        <f>IF($K$13="件数",SUMIFS(yj!$I:$I,yj!$B:$B,小圆机汇总表!$A47,yj!$G:$G,小圆机汇总表!$I$13&amp;"/"&amp;小圆机汇总表!$J$13&amp;"/"&amp;小圆机汇总表!AB$14),SUMIFS(yj!$H:$H,yj!$B:$B,小圆机汇总表!$A47,yj!$G:$G,小圆机汇总表!$I$13&amp;"/"&amp;小圆机汇总表!$J$13&amp;"/"&amp;小圆机汇总表!AB$14))</f>
        <v>0</v>
      </c>
      <c r="AC47" s="18">
        <f>IF($K$13="件数",SUMIFS(yj!$I:$I,yj!$B:$B,小圆机汇总表!$A47,yj!$G:$G,小圆机汇总表!$I$13&amp;"/"&amp;小圆机汇总表!$J$13&amp;"/"&amp;小圆机汇总表!AC$14),SUMIFS(yj!$H:$H,yj!$B:$B,小圆机汇总表!$A47,yj!$G:$G,小圆机汇总表!$I$13&amp;"/"&amp;小圆机汇总表!$J$13&amp;"/"&amp;小圆机汇总表!AC$14))</f>
        <v>0</v>
      </c>
      <c r="AD47" s="18">
        <f>IF($K$13="件数",SUMIFS(yj!$I:$I,yj!$B:$B,小圆机汇总表!$A47,yj!$G:$G,小圆机汇总表!$I$13&amp;"/"&amp;小圆机汇总表!$J$13&amp;"/"&amp;小圆机汇总表!AD$14),SUMIFS(yj!$H:$H,yj!$B:$B,小圆机汇总表!$A47,yj!$G:$G,小圆机汇总表!$I$13&amp;"/"&amp;小圆机汇总表!$J$13&amp;"/"&amp;小圆机汇总表!AD$14))</f>
        <v>0</v>
      </c>
      <c r="AE47" s="18">
        <f>IF($K$13="件数",SUMIFS(yj!$I:$I,yj!$B:$B,小圆机汇总表!$A47,yj!$G:$G,小圆机汇总表!$I$13&amp;"/"&amp;小圆机汇总表!$J$13&amp;"/"&amp;小圆机汇总表!AE$14),SUMIFS(yj!$H:$H,yj!$B:$B,小圆机汇总表!$A47,yj!$G:$G,小圆机汇总表!$I$13&amp;"/"&amp;小圆机汇总表!$J$13&amp;"/"&amp;小圆机汇总表!AE$14))</f>
        <v>0</v>
      </c>
      <c r="AF47" s="18">
        <f>IF($K$13="件数",SUMIFS(yj!$I:$I,yj!$B:$B,小圆机汇总表!$A47,yj!$G:$G,小圆机汇总表!$I$13&amp;"/"&amp;小圆机汇总表!$J$13&amp;"/"&amp;小圆机汇总表!AF$14),SUMIFS(yj!$H:$H,yj!$B:$B,小圆机汇总表!$A47,yj!$G:$G,小圆机汇总表!$I$13&amp;"/"&amp;小圆机汇总表!$J$13&amp;"/"&amp;小圆机汇总表!AF$14))</f>
        <v>0</v>
      </c>
      <c r="AG47" s="18">
        <f>IF($K$13="件数",SUMIFS(yj!$I:$I,yj!$B:$B,小圆机汇总表!$A47,yj!$G:$G,小圆机汇总表!$I$13&amp;"/"&amp;小圆机汇总表!$J$13&amp;"/"&amp;小圆机汇总表!AG$14),SUMIFS(yj!$H:$H,yj!$B:$B,小圆机汇总表!$A47,yj!$G:$G,小圆机汇总表!$I$13&amp;"/"&amp;小圆机汇总表!$J$13&amp;"/"&amp;小圆机汇总表!AG$14))</f>
        <v>0</v>
      </c>
      <c r="AH47" s="18">
        <f>IF($K$13="件数",SUMIFS(yj!$I:$I,yj!$B:$B,小圆机汇总表!$A47,yj!$G:$G,小圆机汇总表!$I$13&amp;"/"&amp;小圆机汇总表!$J$13&amp;"/"&amp;小圆机汇总表!AH$14),SUMIFS(yj!$H:$H,yj!$B:$B,小圆机汇总表!$A47,yj!$G:$G,小圆机汇总表!$I$13&amp;"/"&amp;小圆机汇总表!$J$13&amp;"/"&amp;小圆机汇总表!AH$14))</f>
        <v>0</v>
      </c>
      <c r="AI47" s="18">
        <f>IF($K$13="件数",SUMIFS(yj!$I:$I,yj!$B:$B,小圆机汇总表!$A47,yj!$G:$G,小圆机汇总表!$I$13&amp;"/"&amp;小圆机汇总表!$J$13&amp;"/"&amp;小圆机汇总表!AI$14),SUMIFS(yj!$H:$H,yj!$B:$B,小圆机汇总表!$A47,yj!$G:$G,小圆机汇总表!$I$13&amp;"/"&amp;小圆机汇总表!$J$13&amp;"/"&amp;小圆机汇总表!AI$14))</f>
        <v>0</v>
      </c>
      <c r="AJ47" s="18">
        <f>IF($K$13="件数",SUMIFS(yj!$I:$I,yj!$B:$B,小圆机汇总表!$A47,yj!$G:$G,小圆机汇总表!$I$13&amp;"/"&amp;小圆机汇总表!$J$13&amp;"/"&amp;小圆机汇总表!AJ$14),SUMIFS(yj!$H:$H,yj!$B:$B,小圆机汇总表!$A47,yj!$G:$G,小圆机汇总表!$I$13&amp;"/"&amp;小圆机汇总表!$J$13&amp;"/"&amp;小圆机汇总表!AJ$14))</f>
        <v>0</v>
      </c>
      <c r="AK47" s="18">
        <f>IF($K$13="件数",SUMIFS(yj!$I:$I,yj!$B:$B,小圆机汇总表!$A47,yj!$G:$G,小圆机汇总表!$I$13&amp;"/"&amp;小圆机汇总表!$J$13&amp;"/"&amp;小圆机汇总表!AK$14),SUMIFS(yj!$H:$H,yj!$B:$B,小圆机汇总表!$A47,yj!$G:$G,小圆机汇总表!$I$13&amp;"/"&amp;小圆机汇总表!$J$13&amp;"/"&amp;小圆机汇总表!AK$14))</f>
        <v>0</v>
      </c>
      <c r="AL47" s="18">
        <f>IF($K$13="件数",SUMIFS(yj!$I:$I,yj!$B:$B,小圆机汇总表!$A47,yj!$G:$G,小圆机汇总表!$I$13&amp;"/"&amp;小圆机汇总表!$J$13&amp;"/"&amp;小圆机汇总表!AL$14),SUMIFS(yj!$H:$H,yj!$B:$B,小圆机汇总表!$A47,yj!$G:$G,小圆机汇总表!$I$13&amp;"/"&amp;小圆机汇总表!$J$13&amp;"/"&amp;小圆机汇总表!AL$14))</f>
        <v>0</v>
      </c>
      <c r="AM47" s="18">
        <f>IF($K$13="件数",SUMIFS(yj!$I:$I,yj!$B:$B,小圆机汇总表!$A47,yj!$G:$G,小圆机汇总表!$I$13&amp;"/"&amp;小圆机汇总表!$J$13&amp;"/"&amp;小圆机汇总表!AM$14),SUMIFS(yj!$H:$H,yj!$B:$B,小圆机汇总表!$A47,yj!$G:$G,小圆机汇总表!$I$13&amp;"/"&amp;小圆机汇总表!$J$13&amp;"/"&amp;小圆机汇总表!AM$14))</f>
        <v>0</v>
      </c>
      <c r="AN47" s="18">
        <f>IF($K$13="件数",SUMIFS(yj!$I:$I,yj!$B:$B,小圆机汇总表!$A47,yj!$G:$G,小圆机汇总表!$I$13&amp;"/"&amp;小圆机汇总表!$J$13&amp;"/"&amp;小圆机汇总表!AN$14),SUMIFS(yj!$H:$H,yj!$B:$B,小圆机汇总表!$A47,yj!$G:$G,小圆机汇总表!$I$13&amp;"/"&amp;小圆机汇总表!$J$13&amp;"/"&amp;小圆机汇总表!AN$14))</f>
        <v>0</v>
      </c>
      <c r="AO47" s="18">
        <f>IF($K$13="件数",SUMIFS(yj!$I:$I,yj!$B:$B,小圆机汇总表!$A47,yj!$G:$G,小圆机汇总表!$I$13&amp;"/"&amp;小圆机汇总表!$J$13&amp;"/"&amp;小圆机汇总表!AO$14),SUMIFS(yj!$H:$H,yj!$B:$B,小圆机汇总表!$A47,yj!$G:$G,小圆机汇总表!$I$13&amp;"/"&amp;小圆机汇总表!$J$13&amp;"/"&amp;小圆机汇总表!AO$14))</f>
        <v>0</v>
      </c>
      <c r="AP47" s="18">
        <f>IF($K$13="件数",SUMIFS(yj!$I:$I,yj!$B:$B,小圆机汇总表!$A47,yj!$G:$G,小圆机汇总表!$I$13&amp;"/"&amp;小圆机汇总表!$J$13&amp;"/"&amp;小圆机汇总表!AP$14),SUMIFS(yj!$H:$H,yj!$B:$B,小圆机汇总表!$A47,yj!$G:$G,小圆机汇总表!$I$13&amp;"/"&amp;小圆机汇总表!$J$13&amp;"/"&amp;小圆机汇总表!AP$14))</f>
        <v>0</v>
      </c>
      <c r="AQ47" s="18">
        <f>IF($K$13="件数",SUMIFS(yj!$I:$I,yj!$B:$B,小圆机汇总表!$A47,yj!$G:$G,小圆机汇总表!$I$13&amp;"/"&amp;小圆机汇总表!$J$13&amp;"/"&amp;小圆机汇总表!AQ$14),SUMIFS(yj!$H:$H,yj!$B:$B,小圆机汇总表!$A47,yj!$G:$G,小圆机汇总表!$I$13&amp;"/"&amp;小圆机汇总表!$J$13&amp;"/"&amp;小圆机汇总表!AQ$14))</f>
        <v>0</v>
      </c>
    </row>
    <row r="48" spans="1:43" ht="18" hidden="1" customHeight="1">
      <c r="A48" s="246" t="s">
        <v>88</v>
      </c>
      <c r="B48" s="14" t="s">
        <v>89</v>
      </c>
      <c r="C48" s="17">
        <v>75</v>
      </c>
      <c r="D48" s="17" t="s">
        <v>44</v>
      </c>
      <c r="E48" s="111" t="s">
        <v>2</v>
      </c>
      <c r="F48" s="13">
        <v>160</v>
      </c>
      <c r="G48" s="13">
        <v>45</v>
      </c>
      <c r="H48" s="14" t="s">
        <v>39</v>
      </c>
      <c r="I48" s="13"/>
      <c r="J48" s="182">
        <f ca="1">IF(SUMIFS(yj!$I:$I,yj!$B:$B,小圆机汇总表!A48,yj!$G:$G,小圆机汇总表!$L$13)&gt;0,SUMIFS(yj!$H:$H,yj!$B:$B,小圆机汇总表!A48,yj!$G:$G,小圆机汇总表!$L$13),0)</f>
        <v>626</v>
      </c>
      <c r="K48" s="15">
        <f>SUMIFS(yj!$H:$H,yj!$B:$B,小圆机汇总表!A48,yj!$M:$M,小圆机汇总表!$J$13)</f>
        <v>3723.6</v>
      </c>
      <c r="L48" s="15">
        <f>SUMIFS(yj!$I:$I,yj!$B:$B,小圆机汇总表!A48,yj!$M:$M,小圆机汇总表!$J$13)</f>
        <v>185</v>
      </c>
      <c r="M48" s="18">
        <f>IF($K$13="件数",SUMIFS(yj!$I:$I,yj!$B:$B,小圆机汇总表!$A48,yj!$G:$G,小圆机汇总表!$I$13&amp;"/"&amp;小圆机汇总表!$J$13&amp;"/"&amp;小圆机汇总表!M$14),SUMIFS(yj!$H:$H,yj!$B:$B,小圆机汇总表!$A48,yj!$G:$G,小圆机汇总表!$I$13&amp;"/"&amp;小圆机汇总表!$J$13&amp;"/"&amp;小圆机汇总表!M$14))</f>
        <v>602.4</v>
      </c>
      <c r="N48" s="18">
        <f>IF($K$13="件数",SUMIFS(yj!$I:$I,yj!$B:$B,小圆机汇总表!$A48,yj!$G:$G,小圆机汇总表!$I$13&amp;"/"&amp;小圆机汇总表!$J$13&amp;"/"&amp;小圆机汇总表!N$14),SUMIFS(yj!$H:$H,yj!$B:$B,小圆机汇总表!$A48,yj!$G:$G,小圆机汇总表!$I$13&amp;"/"&amp;小圆机汇总表!$J$13&amp;"/"&amp;小圆机汇总表!N$14))</f>
        <v>603.20000000000005</v>
      </c>
      <c r="O48" s="18">
        <f>IF($K$13="件数",SUMIFS(yj!$I:$I,yj!$B:$B,小圆机汇总表!$A48,yj!$G:$G,小圆机汇总表!$I$13&amp;"/"&amp;小圆机汇总表!$J$13&amp;"/"&amp;小圆机汇总表!O$14),SUMIFS(yj!$H:$H,yj!$B:$B,小圆机汇总表!$A48,yj!$G:$G,小圆机汇总表!$I$13&amp;"/"&amp;小圆机汇总表!$J$13&amp;"/"&amp;小圆机汇总表!O$14))</f>
        <v>660</v>
      </c>
      <c r="P48" s="18">
        <f>IF($K$13="件数",SUMIFS(yj!$I:$I,yj!$B:$B,小圆机汇总表!$A48,yj!$G:$G,小圆机汇总表!$I$13&amp;"/"&amp;小圆机汇总表!$J$13&amp;"/"&amp;小圆机汇总表!P$14),SUMIFS(yj!$H:$H,yj!$B:$B,小圆机汇总表!$A48,yj!$G:$G,小圆机汇总表!$I$13&amp;"/"&amp;小圆机汇总表!$J$13&amp;"/"&amp;小圆机汇总表!P$14))</f>
        <v>646.4</v>
      </c>
      <c r="Q48" s="18">
        <f>IF($K$13="件数",SUMIFS(yj!$I:$I,yj!$B:$B,小圆机汇总表!$A48,yj!$G:$G,小圆机汇总表!$I$13&amp;"/"&amp;小圆机汇总表!$J$13&amp;"/"&amp;小圆机汇总表!Q$14),SUMIFS(yj!$H:$H,yj!$B:$B,小圆机汇总表!$A48,yj!$G:$G,小圆机汇总表!$I$13&amp;"/"&amp;小圆机汇总表!$J$13&amp;"/"&amp;小圆机汇总表!Q$14))</f>
        <v>585.6</v>
      </c>
      <c r="R48" s="18">
        <f>IF($K$13="件数",SUMIFS(yj!$I:$I,yj!$B:$B,小圆机汇总表!$A48,yj!$G:$G,小圆机汇总表!$I$13&amp;"/"&amp;小圆机汇总表!$J$13&amp;"/"&amp;小圆机汇总表!R$14),SUMIFS(yj!$H:$H,yj!$B:$B,小圆机汇总表!$A48,yj!$G:$G,小圆机汇总表!$I$13&amp;"/"&amp;小圆机汇总表!$J$13&amp;"/"&amp;小圆机汇总表!R$14))</f>
        <v>626</v>
      </c>
      <c r="S48" s="18">
        <f>IF($K$13="件数",SUMIFS(yj!$I:$I,yj!$B:$B,小圆机汇总表!$A48,yj!$G:$G,小圆机汇总表!$I$13&amp;"/"&amp;小圆机汇总表!$J$13&amp;"/"&amp;小圆机汇总表!S$14),SUMIFS(yj!$H:$H,yj!$B:$B,小圆机汇总表!$A48,yj!$G:$G,小圆机汇总表!$I$13&amp;"/"&amp;小圆机汇总表!$J$13&amp;"/"&amp;小圆机汇总表!S$14))</f>
        <v>0</v>
      </c>
      <c r="T48" s="18">
        <f>IF($K$13="件数",SUMIFS(yj!$I:$I,yj!$B:$B,小圆机汇总表!$A48,yj!$G:$G,小圆机汇总表!$I$13&amp;"/"&amp;小圆机汇总表!$J$13&amp;"/"&amp;小圆机汇总表!T$14),SUMIFS(yj!$H:$H,yj!$B:$B,小圆机汇总表!$A48,yj!$G:$G,小圆机汇总表!$I$13&amp;"/"&amp;小圆机汇总表!$J$13&amp;"/"&amp;小圆机汇总表!T$14))</f>
        <v>0</v>
      </c>
      <c r="U48" s="18">
        <f>IF($K$13="件数",SUMIFS(yj!$I:$I,yj!$B:$B,小圆机汇总表!$A48,yj!$G:$G,小圆机汇总表!$I$13&amp;"/"&amp;小圆机汇总表!$J$13&amp;"/"&amp;小圆机汇总表!U$14),SUMIFS(yj!$H:$H,yj!$B:$B,小圆机汇总表!$A48,yj!$G:$G,小圆机汇总表!$I$13&amp;"/"&amp;小圆机汇总表!$J$13&amp;"/"&amp;小圆机汇总表!U$14))</f>
        <v>0</v>
      </c>
      <c r="V48" s="18">
        <f>IF($K$13="件数",SUMIFS(yj!$I:$I,yj!$B:$B,小圆机汇总表!$A48,yj!$G:$G,小圆机汇总表!$I$13&amp;"/"&amp;小圆机汇总表!$J$13&amp;"/"&amp;小圆机汇总表!V$14),SUMIFS(yj!$H:$H,yj!$B:$B,小圆机汇总表!$A48,yj!$G:$G,小圆机汇总表!$I$13&amp;"/"&amp;小圆机汇总表!$J$13&amp;"/"&amp;小圆机汇总表!V$14))</f>
        <v>0</v>
      </c>
      <c r="W48" s="18">
        <f>IF($K$13="件数",SUMIFS(yj!$I:$I,yj!$B:$B,小圆机汇总表!$A48,yj!$G:$G,小圆机汇总表!$I$13&amp;"/"&amp;小圆机汇总表!$J$13&amp;"/"&amp;小圆机汇总表!W$14),SUMIFS(yj!$H:$H,yj!$B:$B,小圆机汇总表!$A48,yj!$G:$G,小圆机汇总表!$I$13&amp;"/"&amp;小圆机汇总表!$J$13&amp;"/"&amp;小圆机汇总表!W$14))</f>
        <v>0</v>
      </c>
      <c r="X48" s="18">
        <f>IF($K$13="件数",SUMIFS(yj!$I:$I,yj!$B:$B,小圆机汇总表!$A48,yj!$G:$G,小圆机汇总表!$I$13&amp;"/"&amp;小圆机汇总表!$J$13&amp;"/"&amp;小圆机汇总表!X$14),SUMIFS(yj!$H:$H,yj!$B:$B,小圆机汇总表!$A48,yj!$G:$G,小圆机汇总表!$I$13&amp;"/"&amp;小圆机汇总表!$J$13&amp;"/"&amp;小圆机汇总表!X$14))</f>
        <v>0</v>
      </c>
      <c r="Y48" s="18">
        <f>IF($K$13="件数",SUMIFS(yj!$I:$I,yj!$B:$B,小圆机汇总表!$A48,yj!$G:$G,小圆机汇总表!$I$13&amp;"/"&amp;小圆机汇总表!$J$13&amp;"/"&amp;小圆机汇总表!Y$14),SUMIFS(yj!$H:$H,yj!$B:$B,小圆机汇总表!$A48,yj!$G:$G,小圆机汇总表!$I$13&amp;"/"&amp;小圆机汇总表!$J$13&amp;"/"&amp;小圆机汇总表!Y$14))</f>
        <v>0</v>
      </c>
      <c r="Z48" s="18">
        <f>IF($K$13="件数",SUMIFS(yj!$I:$I,yj!$B:$B,小圆机汇总表!$A48,yj!$G:$G,小圆机汇总表!$I$13&amp;"/"&amp;小圆机汇总表!$J$13&amp;"/"&amp;小圆机汇总表!Z$14),SUMIFS(yj!$H:$H,yj!$B:$B,小圆机汇总表!$A48,yj!$G:$G,小圆机汇总表!$I$13&amp;"/"&amp;小圆机汇总表!$J$13&amp;"/"&amp;小圆机汇总表!Z$14))</f>
        <v>0</v>
      </c>
      <c r="AA48" s="18">
        <f>IF($K$13="件数",SUMIFS(yj!$I:$I,yj!$B:$B,小圆机汇总表!$A48,yj!$G:$G,小圆机汇总表!$I$13&amp;"/"&amp;小圆机汇总表!$J$13&amp;"/"&amp;小圆机汇总表!AA$14),SUMIFS(yj!$H:$H,yj!$B:$B,小圆机汇总表!$A48,yj!$G:$G,小圆机汇总表!$I$13&amp;"/"&amp;小圆机汇总表!$J$13&amp;"/"&amp;小圆机汇总表!AA$14))</f>
        <v>0</v>
      </c>
      <c r="AB48" s="18">
        <f>IF($K$13="件数",SUMIFS(yj!$I:$I,yj!$B:$B,小圆机汇总表!$A48,yj!$G:$G,小圆机汇总表!$I$13&amp;"/"&amp;小圆机汇总表!$J$13&amp;"/"&amp;小圆机汇总表!AB$14),SUMIFS(yj!$H:$H,yj!$B:$B,小圆机汇总表!$A48,yj!$G:$G,小圆机汇总表!$I$13&amp;"/"&amp;小圆机汇总表!$J$13&amp;"/"&amp;小圆机汇总表!AB$14))</f>
        <v>0</v>
      </c>
      <c r="AC48" s="18">
        <f>IF($K$13="件数",SUMIFS(yj!$I:$I,yj!$B:$B,小圆机汇总表!$A48,yj!$G:$G,小圆机汇总表!$I$13&amp;"/"&amp;小圆机汇总表!$J$13&amp;"/"&amp;小圆机汇总表!AC$14),SUMIFS(yj!$H:$H,yj!$B:$B,小圆机汇总表!$A48,yj!$G:$G,小圆机汇总表!$I$13&amp;"/"&amp;小圆机汇总表!$J$13&amp;"/"&amp;小圆机汇总表!AC$14))</f>
        <v>0</v>
      </c>
      <c r="AD48" s="18">
        <f>IF($K$13="件数",SUMIFS(yj!$I:$I,yj!$B:$B,小圆机汇总表!$A48,yj!$G:$G,小圆机汇总表!$I$13&amp;"/"&amp;小圆机汇总表!$J$13&amp;"/"&amp;小圆机汇总表!AD$14),SUMIFS(yj!$H:$H,yj!$B:$B,小圆机汇总表!$A48,yj!$G:$G,小圆机汇总表!$I$13&amp;"/"&amp;小圆机汇总表!$J$13&amp;"/"&amp;小圆机汇总表!AD$14))</f>
        <v>0</v>
      </c>
      <c r="AE48" s="18">
        <f>IF($K$13="件数",SUMIFS(yj!$I:$I,yj!$B:$B,小圆机汇总表!$A48,yj!$G:$G,小圆机汇总表!$I$13&amp;"/"&amp;小圆机汇总表!$J$13&amp;"/"&amp;小圆机汇总表!AE$14),SUMIFS(yj!$H:$H,yj!$B:$B,小圆机汇总表!$A48,yj!$G:$G,小圆机汇总表!$I$13&amp;"/"&amp;小圆机汇总表!$J$13&amp;"/"&amp;小圆机汇总表!AE$14))</f>
        <v>0</v>
      </c>
      <c r="AF48" s="18">
        <f>IF($K$13="件数",SUMIFS(yj!$I:$I,yj!$B:$B,小圆机汇总表!$A48,yj!$G:$G,小圆机汇总表!$I$13&amp;"/"&amp;小圆机汇总表!$J$13&amp;"/"&amp;小圆机汇总表!AF$14),SUMIFS(yj!$H:$H,yj!$B:$B,小圆机汇总表!$A48,yj!$G:$G,小圆机汇总表!$I$13&amp;"/"&amp;小圆机汇总表!$J$13&amp;"/"&amp;小圆机汇总表!AF$14))</f>
        <v>0</v>
      </c>
      <c r="AG48" s="18">
        <f>IF($K$13="件数",SUMIFS(yj!$I:$I,yj!$B:$B,小圆机汇总表!$A48,yj!$G:$G,小圆机汇总表!$I$13&amp;"/"&amp;小圆机汇总表!$J$13&amp;"/"&amp;小圆机汇总表!AG$14),SUMIFS(yj!$H:$H,yj!$B:$B,小圆机汇总表!$A48,yj!$G:$G,小圆机汇总表!$I$13&amp;"/"&amp;小圆机汇总表!$J$13&amp;"/"&amp;小圆机汇总表!AG$14))</f>
        <v>0</v>
      </c>
      <c r="AH48" s="18">
        <f>IF($K$13="件数",SUMIFS(yj!$I:$I,yj!$B:$B,小圆机汇总表!$A48,yj!$G:$G,小圆机汇总表!$I$13&amp;"/"&amp;小圆机汇总表!$J$13&amp;"/"&amp;小圆机汇总表!AH$14),SUMIFS(yj!$H:$H,yj!$B:$B,小圆机汇总表!$A48,yj!$G:$G,小圆机汇总表!$I$13&amp;"/"&amp;小圆机汇总表!$J$13&amp;"/"&amp;小圆机汇总表!AH$14))</f>
        <v>0</v>
      </c>
      <c r="AI48" s="18">
        <f>IF($K$13="件数",SUMIFS(yj!$I:$I,yj!$B:$B,小圆机汇总表!$A48,yj!$G:$G,小圆机汇总表!$I$13&amp;"/"&amp;小圆机汇总表!$J$13&amp;"/"&amp;小圆机汇总表!AI$14),SUMIFS(yj!$H:$H,yj!$B:$B,小圆机汇总表!$A48,yj!$G:$G,小圆机汇总表!$I$13&amp;"/"&amp;小圆机汇总表!$J$13&amp;"/"&amp;小圆机汇总表!AI$14))</f>
        <v>0</v>
      </c>
      <c r="AJ48" s="18">
        <f>IF($K$13="件数",SUMIFS(yj!$I:$I,yj!$B:$B,小圆机汇总表!$A48,yj!$G:$G,小圆机汇总表!$I$13&amp;"/"&amp;小圆机汇总表!$J$13&amp;"/"&amp;小圆机汇总表!AJ$14),SUMIFS(yj!$H:$H,yj!$B:$B,小圆机汇总表!$A48,yj!$G:$G,小圆机汇总表!$I$13&amp;"/"&amp;小圆机汇总表!$J$13&amp;"/"&amp;小圆机汇总表!AJ$14))</f>
        <v>0</v>
      </c>
      <c r="AK48" s="18">
        <f>IF($K$13="件数",SUMIFS(yj!$I:$I,yj!$B:$B,小圆机汇总表!$A48,yj!$G:$G,小圆机汇总表!$I$13&amp;"/"&amp;小圆机汇总表!$J$13&amp;"/"&amp;小圆机汇总表!AK$14),SUMIFS(yj!$H:$H,yj!$B:$B,小圆机汇总表!$A48,yj!$G:$G,小圆机汇总表!$I$13&amp;"/"&amp;小圆机汇总表!$J$13&amp;"/"&amp;小圆机汇总表!AK$14))</f>
        <v>0</v>
      </c>
      <c r="AL48" s="18">
        <f>IF($K$13="件数",SUMIFS(yj!$I:$I,yj!$B:$B,小圆机汇总表!$A48,yj!$G:$G,小圆机汇总表!$I$13&amp;"/"&amp;小圆机汇总表!$J$13&amp;"/"&amp;小圆机汇总表!AL$14),SUMIFS(yj!$H:$H,yj!$B:$B,小圆机汇总表!$A48,yj!$G:$G,小圆机汇总表!$I$13&amp;"/"&amp;小圆机汇总表!$J$13&amp;"/"&amp;小圆机汇总表!AL$14))</f>
        <v>0</v>
      </c>
      <c r="AM48" s="18">
        <f>IF($K$13="件数",SUMIFS(yj!$I:$I,yj!$B:$B,小圆机汇总表!$A48,yj!$G:$G,小圆机汇总表!$I$13&amp;"/"&amp;小圆机汇总表!$J$13&amp;"/"&amp;小圆机汇总表!AM$14),SUMIFS(yj!$H:$H,yj!$B:$B,小圆机汇总表!$A48,yj!$G:$G,小圆机汇总表!$I$13&amp;"/"&amp;小圆机汇总表!$J$13&amp;"/"&amp;小圆机汇总表!AM$14))</f>
        <v>0</v>
      </c>
      <c r="AN48" s="18">
        <f>IF($K$13="件数",SUMIFS(yj!$I:$I,yj!$B:$B,小圆机汇总表!$A48,yj!$G:$G,小圆机汇总表!$I$13&amp;"/"&amp;小圆机汇总表!$J$13&amp;"/"&amp;小圆机汇总表!AN$14),SUMIFS(yj!$H:$H,yj!$B:$B,小圆机汇总表!$A48,yj!$G:$G,小圆机汇总表!$I$13&amp;"/"&amp;小圆机汇总表!$J$13&amp;"/"&amp;小圆机汇总表!AN$14))</f>
        <v>0</v>
      </c>
      <c r="AO48" s="18">
        <f>IF($K$13="件数",SUMIFS(yj!$I:$I,yj!$B:$B,小圆机汇总表!$A48,yj!$G:$G,小圆机汇总表!$I$13&amp;"/"&amp;小圆机汇总表!$J$13&amp;"/"&amp;小圆机汇总表!AO$14),SUMIFS(yj!$H:$H,yj!$B:$B,小圆机汇总表!$A48,yj!$G:$G,小圆机汇总表!$I$13&amp;"/"&amp;小圆机汇总表!$J$13&amp;"/"&amp;小圆机汇总表!AO$14))</f>
        <v>0</v>
      </c>
      <c r="AP48" s="18">
        <f>IF($K$13="件数",SUMIFS(yj!$I:$I,yj!$B:$B,小圆机汇总表!$A48,yj!$G:$G,小圆机汇总表!$I$13&amp;"/"&amp;小圆机汇总表!$J$13&amp;"/"&amp;小圆机汇总表!AP$14),SUMIFS(yj!$H:$H,yj!$B:$B,小圆机汇总表!$A48,yj!$G:$G,小圆机汇总表!$I$13&amp;"/"&amp;小圆机汇总表!$J$13&amp;"/"&amp;小圆机汇总表!AP$14))</f>
        <v>0</v>
      </c>
      <c r="AQ48" s="18">
        <f>IF($K$13="件数",SUMIFS(yj!$I:$I,yj!$B:$B,小圆机汇总表!$A48,yj!$G:$G,小圆机汇总表!$I$13&amp;"/"&amp;小圆机汇总表!$J$13&amp;"/"&amp;小圆机汇总表!AQ$14),SUMIFS(yj!$H:$H,yj!$B:$B,小圆机汇总表!$A48,yj!$G:$G,小圆机汇总表!$I$13&amp;"/"&amp;小圆机汇总表!$J$13&amp;"/"&amp;小圆机汇总表!AQ$14))</f>
        <v>0</v>
      </c>
    </row>
    <row r="49" spans="1:43" ht="18" hidden="1" customHeight="1">
      <c r="A49" s="19" t="s">
        <v>91</v>
      </c>
      <c r="B49" s="14" t="s">
        <v>90</v>
      </c>
      <c r="C49" s="17">
        <v>75</v>
      </c>
      <c r="D49" s="17" t="s">
        <v>44</v>
      </c>
      <c r="E49" s="13" t="s">
        <v>2</v>
      </c>
      <c r="F49" s="13">
        <v>160</v>
      </c>
      <c r="G49" s="13">
        <v>39</v>
      </c>
      <c r="H49" s="14" t="s">
        <v>55</v>
      </c>
      <c r="I49" s="13"/>
      <c r="J49" s="182">
        <f ca="1">IF(SUMIFS(yj!$I:$I,yj!$B:$B,小圆机汇总表!A49,yj!$G:$G,小圆机汇总表!$L$13)&gt;0,SUMIFS(yj!$H:$H,yj!$B:$B,小圆机汇总表!A49,yj!$G:$G,小圆机汇总表!$L$13),0)</f>
        <v>0</v>
      </c>
      <c r="K49" s="15">
        <f>SUMIFS(yj!$H:$H,yj!$B:$B,小圆机汇总表!A49,yj!$M:$M,小圆机汇总表!$J$13)</f>
        <v>102.5</v>
      </c>
      <c r="L49" s="15">
        <f>SUMIFS(yj!$I:$I,yj!$B:$B,小圆机汇总表!A49,yj!$M:$M,小圆机汇总表!$J$13)</f>
        <v>5</v>
      </c>
      <c r="M49" s="18">
        <f>IF($K$13="件数",SUMIFS(yj!$I:$I,yj!$B:$B,小圆机汇总表!$A49,yj!$G:$G,小圆机汇总表!$I$13&amp;"/"&amp;小圆机汇总表!$J$13&amp;"/"&amp;小圆机汇总表!M$14),SUMIFS(yj!$H:$H,yj!$B:$B,小圆机汇总表!$A49,yj!$G:$G,小圆机汇总表!$I$13&amp;"/"&amp;小圆机汇总表!$J$13&amp;"/"&amp;小圆机汇总表!M$14))</f>
        <v>102.5</v>
      </c>
      <c r="N49" s="18">
        <f>IF($K$13="件数",SUMIFS(yj!$I:$I,yj!$B:$B,小圆机汇总表!$A49,yj!$G:$G,小圆机汇总表!$I$13&amp;"/"&amp;小圆机汇总表!$J$13&amp;"/"&amp;小圆机汇总表!N$14),SUMIFS(yj!$H:$H,yj!$B:$B,小圆机汇总表!$A49,yj!$G:$G,小圆机汇总表!$I$13&amp;"/"&amp;小圆机汇总表!$J$13&amp;"/"&amp;小圆机汇总表!N$14))</f>
        <v>0</v>
      </c>
      <c r="O49" s="18">
        <f>IF($K$13="件数",SUMIFS(yj!$I:$I,yj!$B:$B,小圆机汇总表!$A49,yj!$G:$G,小圆机汇总表!$I$13&amp;"/"&amp;小圆机汇总表!$J$13&amp;"/"&amp;小圆机汇总表!O$14),SUMIFS(yj!$H:$H,yj!$B:$B,小圆机汇总表!$A49,yj!$G:$G,小圆机汇总表!$I$13&amp;"/"&amp;小圆机汇总表!$J$13&amp;"/"&amp;小圆机汇总表!O$14))</f>
        <v>0</v>
      </c>
      <c r="P49" s="18">
        <f>IF($K$13="件数",SUMIFS(yj!$I:$I,yj!$B:$B,小圆机汇总表!$A49,yj!$G:$G,小圆机汇总表!$I$13&amp;"/"&amp;小圆机汇总表!$J$13&amp;"/"&amp;小圆机汇总表!P$14),SUMIFS(yj!$H:$H,yj!$B:$B,小圆机汇总表!$A49,yj!$G:$G,小圆机汇总表!$I$13&amp;"/"&amp;小圆机汇总表!$J$13&amp;"/"&amp;小圆机汇总表!P$14))</f>
        <v>0</v>
      </c>
      <c r="Q49" s="18">
        <f>IF($K$13="件数",SUMIFS(yj!$I:$I,yj!$B:$B,小圆机汇总表!$A49,yj!$G:$G,小圆机汇总表!$I$13&amp;"/"&amp;小圆机汇总表!$J$13&amp;"/"&amp;小圆机汇总表!Q$14),SUMIFS(yj!$H:$H,yj!$B:$B,小圆机汇总表!$A49,yj!$G:$G,小圆机汇总表!$I$13&amp;"/"&amp;小圆机汇总表!$J$13&amp;"/"&amp;小圆机汇总表!Q$14))</f>
        <v>0</v>
      </c>
      <c r="R49" s="18">
        <f>IF($K$13="件数",SUMIFS(yj!$I:$I,yj!$B:$B,小圆机汇总表!$A49,yj!$G:$G,小圆机汇总表!$I$13&amp;"/"&amp;小圆机汇总表!$J$13&amp;"/"&amp;小圆机汇总表!R$14),SUMIFS(yj!$H:$H,yj!$B:$B,小圆机汇总表!$A49,yj!$G:$G,小圆机汇总表!$I$13&amp;"/"&amp;小圆机汇总表!$J$13&amp;"/"&amp;小圆机汇总表!R$14))</f>
        <v>0</v>
      </c>
      <c r="S49" s="18">
        <f>IF($K$13="件数",SUMIFS(yj!$I:$I,yj!$B:$B,小圆机汇总表!$A49,yj!$G:$G,小圆机汇总表!$I$13&amp;"/"&amp;小圆机汇总表!$J$13&amp;"/"&amp;小圆机汇总表!S$14),SUMIFS(yj!$H:$H,yj!$B:$B,小圆机汇总表!$A49,yj!$G:$G,小圆机汇总表!$I$13&amp;"/"&amp;小圆机汇总表!$J$13&amp;"/"&amp;小圆机汇总表!S$14))</f>
        <v>0</v>
      </c>
      <c r="T49" s="18">
        <f>IF($K$13="件数",SUMIFS(yj!$I:$I,yj!$B:$B,小圆机汇总表!$A49,yj!$G:$G,小圆机汇总表!$I$13&amp;"/"&amp;小圆机汇总表!$J$13&amp;"/"&amp;小圆机汇总表!T$14),SUMIFS(yj!$H:$H,yj!$B:$B,小圆机汇总表!$A49,yj!$G:$G,小圆机汇总表!$I$13&amp;"/"&amp;小圆机汇总表!$J$13&amp;"/"&amp;小圆机汇总表!T$14))</f>
        <v>0</v>
      </c>
      <c r="U49" s="18">
        <f>IF($K$13="件数",SUMIFS(yj!$I:$I,yj!$B:$B,小圆机汇总表!$A49,yj!$G:$G,小圆机汇总表!$I$13&amp;"/"&amp;小圆机汇总表!$J$13&amp;"/"&amp;小圆机汇总表!U$14),SUMIFS(yj!$H:$H,yj!$B:$B,小圆机汇总表!$A49,yj!$G:$G,小圆机汇总表!$I$13&amp;"/"&amp;小圆机汇总表!$J$13&amp;"/"&amp;小圆机汇总表!U$14))</f>
        <v>0</v>
      </c>
      <c r="V49" s="18">
        <f>IF($K$13="件数",SUMIFS(yj!$I:$I,yj!$B:$B,小圆机汇总表!$A49,yj!$G:$G,小圆机汇总表!$I$13&amp;"/"&amp;小圆机汇总表!$J$13&amp;"/"&amp;小圆机汇总表!V$14),SUMIFS(yj!$H:$H,yj!$B:$B,小圆机汇总表!$A49,yj!$G:$G,小圆机汇总表!$I$13&amp;"/"&amp;小圆机汇总表!$J$13&amp;"/"&amp;小圆机汇总表!V$14))</f>
        <v>0</v>
      </c>
      <c r="W49" s="18">
        <f>IF($K$13="件数",SUMIFS(yj!$I:$I,yj!$B:$B,小圆机汇总表!$A49,yj!$G:$G,小圆机汇总表!$I$13&amp;"/"&amp;小圆机汇总表!$J$13&amp;"/"&amp;小圆机汇总表!W$14),SUMIFS(yj!$H:$H,yj!$B:$B,小圆机汇总表!$A49,yj!$G:$G,小圆机汇总表!$I$13&amp;"/"&amp;小圆机汇总表!$J$13&amp;"/"&amp;小圆机汇总表!W$14))</f>
        <v>0</v>
      </c>
      <c r="X49" s="18">
        <f>IF($K$13="件数",SUMIFS(yj!$I:$I,yj!$B:$B,小圆机汇总表!$A49,yj!$G:$G,小圆机汇总表!$I$13&amp;"/"&amp;小圆机汇总表!$J$13&amp;"/"&amp;小圆机汇总表!X$14),SUMIFS(yj!$H:$H,yj!$B:$B,小圆机汇总表!$A49,yj!$G:$G,小圆机汇总表!$I$13&amp;"/"&amp;小圆机汇总表!$J$13&amp;"/"&amp;小圆机汇总表!X$14))</f>
        <v>0</v>
      </c>
      <c r="Y49" s="18">
        <f>IF($K$13="件数",SUMIFS(yj!$I:$I,yj!$B:$B,小圆机汇总表!$A49,yj!$G:$G,小圆机汇总表!$I$13&amp;"/"&amp;小圆机汇总表!$J$13&amp;"/"&amp;小圆机汇总表!Y$14),SUMIFS(yj!$H:$H,yj!$B:$B,小圆机汇总表!$A49,yj!$G:$G,小圆机汇总表!$I$13&amp;"/"&amp;小圆机汇总表!$J$13&amp;"/"&amp;小圆机汇总表!Y$14))</f>
        <v>0</v>
      </c>
      <c r="Z49" s="18">
        <f>IF($K$13="件数",SUMIFS(yj!$I:$I,yj!$B:$B,小圆机汇总表!$A49,yj!$G:$G,小圆机汇总表!$I$13&amp;"/"&amp;小圆机汇总表!$J$13&amp;"/"&amp;小圆机汇总表!Z$14),SUMIFS(yj!$H:$H,yj!$B:$B,小圆机汇总表!$A49,yj!$G:$G,小圆机汇总表!$I$13&amp;"/"&amp;小圆机汇总表!$J$13&amp;"/"&amp;小圆机汇总表!Z$14))</f>
        <v>0</v>
      </c>
      <c r="AA49" s="18">
        <f>IF($K$13="件数",SUMIFS(yj!$I:$I,yj!$B:$B,小圆机汇总表!$A49,yj!$G:$G,小圆机汇总表!$I$13&amp;"/"&amp;小圆机汇总表!$J$13&amp;"/"&amp;小圆机汇总表!AA$14),SUMIFS(yj!$H:$H,yj!$B:$B,小圆机汇总表!$A49,yj!$G:$G,小圆机汇总表!$I$13&amp;"/"&amp;小圆机汇总表!$J$13&amp;"/"&amp;小圆机汇总表!AA$14))</f>
        <v>0</v>
      </c>
      <c r="AB49" s="18">
        <f>IF($K$13="件数",SUMIFS(yj!$I:$I,yj!$B:$B,小圆机汇总表!$A49,yj!$G:$G,小圆机汇总表!$I$13&amp;"/"&amp;小圆机汇总表!$J$13&amp;"/"&amp;小圆机汇总表!AB$14),SUMIFS(yj!$H:$H,yj!$B:$B,小圆机汇总表!$A49,yj!$G:$G,小圆机汇总表!$I$13&amp;"/"&amp;小圆机汇总表!$J$13&amp;"/"&amp;小圆机汇总表!AB$14))</f>
        <v>0</v>
      </c>
      <c r="AC49" s="18">
        <f>IF($K$13="件数",SUMIFS(yj!$I:$I,yj!$B:$B,小圆机汇总表!$A49,yj!$G:$G,小圆机汇总表!$I$13&amp;"/"&amp;小圆机汇总表!$J$13&amp;"/"&amp;小圆机汇总表!AC$14),SUMIFS(yj!$H:$H,yj!$B:$B,小圆机汇总表!$A49,yj!$G:$G,小圆机汇总表!$I$13&amp;"/"&amp;小圆机汇总表!$J$13&amp;"/"&amp;小圆机汇总表!AC$14))</f>
        <v>0</v>
      </c>
      <c r="AD49" s="18">
        <f>IF($K$13="件数",SUMIFS(yj!$I:$I,yj!$B:$B,小圆机汇总表!$A49,yj!$G:$G,小圆机汇总表!$I$13&amp;"/"&amp;小圆机汇总表!$J$13&amp;"/"&amp;小圆机汇总表!AD$14),SUMIFS(yj!$H:$H,yj!$B:$B,小圆机汇总表!$A49,yj!$G:$G,小圆机汇总表!$I$13&amp;"/"&amp;小圆机汇总表!$J$13&amp;"/"&amp;小圆机汇总表!AD$14))</f>
        <v>0</v>
      </c>
      <c r="AE49" s="18">
        <f>IF($K$13="件数",SUMIFS(yj!$I:$I,yj!$B:$B,小圆机汇总表!$A49,yj!$G:$G,小圆机汇总表!$I$13&amp;"/"&amp;小圆机汇总表!$J$13&amp;"/"&amp;小圆机汇总表!AE$14),SUMIFS(yj!$H:$H,yj!$B:$B,小圆机汇总表!$A49,yj!$G:$G,小圆机汇总表!$I$13&amp;"/"&amp;小圆机汇总表!$J$13&amp;"/"&amp;小圆机汇总表!AE$14))</f>
        <v>0</v>
      </c>
      <c r="AF49" s="18">
        <f>IF($K$13="件数",SUMIFS(yj!$I:$I,yj!$B:$B,小圆机汇总表!$A49,yj!$G:$G,小圆机汇总表!$I$13&amp;"/"&amp;小圆机汇总表!$J$13&amp;"/"&amp;小圆机汇总表!AF$14),SUMIFS(yj!$H:$H,yj!$B:$B,小圆机汇总表!$A49,yj!$G:$G,小圆机汇总表!$I$13&amp;"/"&amp;小圆机汇总表!$J$13&amp;"/"&amp;小圆机汇总表!AF$14))</f>
        <v>0</v>
      </c>
      <c r="AG49" s="18">
        <f>IF($K$13="件数",SUMIFS(yj!$I:$I,yj!$B:$B,小圆机汇总表!$A49,yj!$G:$G,小圆机汇总表!$I$13&amp;"/"&amp;小圆机汇总表!$J$13&amp;"/"&amp;小圆机汇总表!AG$14),SUMIFS(yj!$H:$H,yj!$B:$B,小圆机汇总表!$A49,yj!$G:$G,小圆机汇总表!$I$13&amp;"/"&amp;小圆机汇总表!$J$13&amp;"/"&amp;小圆机汇总表!AG$14))</f>
        <v>0</v>
      </c>
      <c r="AH49" s="18">
        <f>IF($K$13="件数",SUMIFS(yj!$I:$I,yj!$B:$B,小圆机汇总表!$A49,yj!$G:$G,小圆机汇总表!$I$13&amp;"/"&amp;小圆机汇总表!$J$13&amp;"/"&amp;小圆机汇总表!AH$14),SUMIFS(yj!$H:$H,yj!$B:$B,小圆机汇总表!$A49,yj!$G:$G,小圆机汇总表!$I$13&amp;"/"&amp;小圆机汇总表!$J$13&amp;"/"&amp;小圆机汇总表!AH$14))</f>
        <v>0</v>
      </c>
      <c r="AI49" s="18">
        <f>IF($K$13="件数",SUMIFS(yj!$I:$I,yj!$B:$B,小圆机汇总表!$A49,yj!$G:$G,小圆机汇总表!$I$13&amp;"/"&amp;小圆机汇总表!$J$13&amp;"/"&amp;小圆机汇总表!AI$14),SUMIFS(yj!$H:$H,yj!$B:$B,小圆机汇总表!$A49,yj!$G:$G,小圆机汇总表!$I$13&amp;"/"&amp;小圆机汇总表!$J$13&amp;"/"&amp;小圆机汇总表!AI$14))</f>
        <v>0</v>
      </c>
      <c r="AJ49" s="18">
        <f>IF($K$13="件数",SUMIFS(yj!$I:$I,yj!$B:$B,小圆机汇总表!$A49,yj!$G:$G,小圆机汇总表!$I$13&amp;"/"&amp;小圆机汇总表!$J$13&amp;"/"&amp;小圆机汇总表!AJ$14),SUMIFS(yj!$H:$H,yj!$B:$B,小圆机汇总表!$A49,yj!$G:$G,小圆机汇总表!$I$13&amp;"/"&amp;小圆机汇总表!$J$13&amp;"/"&amp;小圆机汇总表!AJ$14))</f>
        <v>0</v>
      </c>
      <c r="AK49" s="18">
        <f>IF($K$13="件数",SUMIFS(yj!$I:$I,yj!$B:$B,小圆机汇总表!$A49,yj!$G:$G,小圆机汇总表!$I$13&amp;"/"&amp;小圆机汇总表!$J$13&amp;"/"&amp;小圆机汇总表!AK$14),SUMIFS(yj!$H:$H,yj!$B:$B,小圆机汇总表!$A49,yj!$G:$G,小圆机汇总表!$I$13&amp;"/"&amp;小圆机汇总表!$J$13&amp;"/"&amp;小圆机汇总表!AK$14))</f>
        <v>0</v>
      </c>
      <c r="AL49" s="18">
        <f>IF($K$13="件数",SUMIFS(yj!$I:$I,yj!$B:$B,小圆机汇总表!$A49,yj!$G:$G,小圆机汇总表!$I$13&amp;"/"&amp;小圆机汇总表!$J$13&amp;"/"&amp;小圆机汇总表!AL$14),SUMIFS(yj!$H:$H,yj!$B:$B,小圆机汇总表!$A49,yj!$G:$G,小圆机汇总表!$I$13&amp;"/"&amp;小圆机汇总表!$J$13&amp;"/"&amp;小圆机汇总表!AL$14))</f>
        <v>0</v>
      </c>
      <c r="AM49" s="18">
        <f>IF($K$13="件数",SUMIFS(yj!$I:$I,yj!$B:$B,小圆机汇总表!$A49,yj!$G:$G,小圆机汇总表!$I$13&amp;"/"&amp;小圆机汇总表!$J$13&amp;"/"&amp;小圆机汇总表!AM$14),SUMIFS(yj!$H:$H,yj!$B:$B,小圆机汇总表!$A49,yj!$G:$G,小圆机汇总表!$I$13&amp;"/"&amp;小圆机汇总表!$J$13&amp;"/"&amp;小圆机汇总表!AM$14))</f>
        <v>0</v>
      </c>
      <c r="AN49" s="18">
        <f>IF($K$13="件数",SUMIFS(yj!$I:$I,yj!$B:$B,小圆机汇总表!$A49,yj!$G:$G,小圆机汇总表!$I$13&amp;"/"&amp;小圆机汇总表!$J$13&amp;"/"&amp;小圆机汇总表!AN$14),SUMIFS(yj!$H:$H,yj!$B:$B,小圆机汇总表!$A49,yj!$G:$G,小圆机汇总表!$I$13&amp;"/"&amp;小圆机汇总表!$J$13&amp;"/"&amp;小圆机汇总表!AN$14))</f>
        <v>0</v>
      </c>
      <c r="AO49" s="18">
        <f>IF($K$13="件数",SUMIFS(yj!$I:$I,yj!$B:$B,小圆机汇总表!$A49,yj!$G:$G,小圆机汇总表!$I$13&amp;"/"&amp;小圆机汇总表!$J$13&amp;"/"&amp;小圆机汇总表!AO$14),SUMIFS(yj!$H:$H,yj!$B:$B,小圆机汇总表!$A49,yj!$G:$G,小圆机汇总表!$I$13&amp;"/"&amp;小圆机汇总表!$J$13&amp;"/"&amp;小圆机汇总表!AO$14))</f>
        <v>0</v>
      </c>
      <c r="AP49" s="18">
        <f>IF($K$13="件数",SUMIFS(yj!$I:$I,yj!$B:$B,小圆机汇总表!$A49,yj!$G:$G,小圆机汇总表!$I$13&amp;"/"&amp;小圆机汇总表!$J$13&amp;"/"&amp;小圆机汇总表!AP$14),SUMIFS(yj!$H:$H,yj!$B:$B,小圆机汇总表!$A49,yj!$G:$G,小圆机汇总表!$I$13&amp;"/"&amp;小圆机汇总表!$J$13&amp;"/"&amp;小圆机汇总表!AP$14))</f>
        <v>0</v>
      </c>
      <c r="AQ49" s="18">
        <f>IF($K$13="件数",SUMIFS(yj!$I:$I,yj!$B:$B,小圆机汇总表!$A49,yj!$G:$G,小圆机汇总表!$I$13&amp;"/"&amp;小圆机汇总表!$J$13&amp;"/"&amp;小圆机汇总表!AQ$14),SUMIFS(yj!$H:$H,yj!$B:$B,小圆机汇总表!$A49,yj!$G:$G,小圆机汇总表!$I$13&amp;"/"&amp;小圆机汇总表!$J$13&amp;"/"&amp;小圆机汇总表!AQ$14))</f>
        <v>0</v>
      </c>
    </row>
    <row r="50" spans="1:43" ht="18" hidden="1" customHeight="1">
      <c r="A50" s="19" t="s">
        <v>92</v>
      </c>
      <c r="B50" s="205" t="s">
        <v>93</v>
      </c>
      <c r="C50" s="17">
        <v>75</v>
      </c>
      <c r="D50" s="17" t="s">
        <v>44</v>
      </c>
      <c r="E50" s="194" t="s">
        <v>1495</v>
      </c>
      <c r="F50" s="13">
        <v>160</v>
      </c>
      <c r="G50" s="13">
        <v>39</v>
      </c>
      <c r="H50" s="205" t="s">
        <v>39</v>
      </c>
      <c r="I50" s="13"/>
      <c r="J50" s="182">
        <f ca="1">IF(SUMIFS(yj!$I:$I,yj!$B:$B,小圆机汇总表!A50,yj!$G:$G,小圆机汇总表!$L$13)&gt;0,SUMIFS(yj!$H:$H,yj!$B:$B,小圆机汇总表!A50,yj!$G:$G,小圆机汇总表!$L$13),0)</f>
        <v>0</v>
      </c>
      <c r="K50" s="15">
        <f>SUMIFS(yj!$H:$H,yj!$B:$B,小圆机汇总表!A50,yj!$M:$M,小圆机汇总表!$J$13)</f>
        <v>0</v>
      </c>
      <c r="L50" s="15">
        <f>SUMIFS(yj!$I:$I,yj!$B:$B,小圆机汇总表!A50,yj!$M:$M,小圆机汇总表!$J$13)</f>
        <v>0</v>
      </c>
      <c r="M50" s="18">
        <f>IF($K$13="件数",SUMIFS(yj!$I:$I,yj!$B:$B,小圆机汇总表!$A50,yj!$G:$G,小圆机汇总表!$I$13&amp;"/"&amp;小圆机汇总表!$J$13&amp;"/"&amp;小圆机汇总表!M$14),SUMIFS(yj!$H:$H,yj!$B:$B,小圆机汇总表!$A50,yj!$G:$G,小圆机汇总表!$I$13&amp;"/"&amp;小圆机汇总表!$J$13&amp;"/"&amp;小圆机汇总表!M$14))</f>
        <v>0</v>
      </c>
      <c r="N50" s="18">
        <f>IF($K$13="件数",SUMIFS(yj!$I:$I,yj!$B:$B,小圆机汇总表!$A50,yj!$G:$G,小圆机汇总表!$I$13&amp;"/"&amp;小圆机汇总表!$J$13&amp;"/"&amp;小圆机汇总表!N$14),SUMIFS(yj!$H:$H,yj!$B:$B,小圆机汇总表!$A50,yj!$G:$G,小圆机汇总表!$I$13&amp;"/"&amp;小圆机汇总表!$J$13&amp;"/"&amp;小圆机汇总表!N$14))</f>
        <v>0</v>
      </c>
      <c r="O50" s="18">
        <f>IF($K$13="件数",SUMIFS(yj!$I:$I,yj!$B:$B,小圆机汇总表!$A50,yj!$G:$G,小圆机汇总表!$I$13&amp;"/"&amp;小圆机汇总表!$J$13&amp;"/"&amp;小圆机汇总表!O$14),SUMIFS(yj!$H:$H,yj!$B:$B,小圆机汇总表!$A50,yj!$G:$G,小圆机汇总表!$I$13&amp;"/"&amp;小圆机汇总表!$J$13&amp;"/"&amp;小圆机汇总表!O$14))</f>
        <v>0</v>
      </c>
      <c r="P50" s="18">
        <f>IF($K$13="件数",SUMIFS(yj!$I:$I,yj!$B:$B,小圆机汇总表!$A50,yj!$G:$G,小圆机汇总表!$I$13&amp;"/"&amp;小圆机汇总表!$J$13&amp;"/"&amp;小圆机汇总表!P$14),SUMIFS(yj!$H:$H,yj!$B:$B,小圆机汇总表!$A50,yj!$G:$G,小圆机汇总表!$I$13&amp;"/"&amp;小圆机汇总表!$J$13&amp;"/"&amp;小圆机汇总表!P$14))</f>
        <v>0</v>
      </c>
      <c r="Q50" s="18">
        <f>IF($K$13="件数",SUMIFS(yj!$I:$I,yj!$B:$B,小圆机汇总表!$A50,yj!$G:$G,小圆机汇总表!$I$13&amp;"/"&amp;小圆机汇总表!$J$13&amp;"/"&amp;小圆机汇总表!Q$14),SUMIFS(yj!$H:$H,yj!$B:$B,小圆机汇总表!$A50,yj!$G:$G,小圆机汇总表!$I$13&amp;"/"&amp;小圆机汇总表!$J$13&amp;"/"&amp;小圆机汇总表!Q$14))</f>
        <v>0</v>
      </c>
      <c r="R50" s="18">
        <f>IF($K$13="件数",SUMIFS(yj!$I:$I,yj!$B:$B,小圆机汇总表!$A50,yj!$G:$G,小圆机汇总表!$I$13&amp;"/"&amp;小圆机汇总表!$J$13&amp;"/"&amp;小圆机汇总表!R$14),SUMIFS(yj!$H:$H,yj!$B:$B,小圆机汇总表!$A50,yj!$G:$G,小圆机汇总表!$I$13&amp;"/"&amp;小圆机汇总表!$J$13&amp;"/"&amp;小圆机汇总表!R$14))</f>
        <v>0</v>
      </c>
      <c r="S50" s="18">
        <f>IF($K$13="件数",SUMIFS(yj!$I:$I,yj!$B:$B,小圆机汇总表!$A50,yj!$G:$G,小圆机汇总表!$I$13&amp;"/"&amp;小圆机汇总表!$J$13&amp;"/"&amp;小圆机汇总表!S$14),SUMIFS(yj!$H:$H,yj!$B:$B,小圆机汇总表!$A50,yj!$G:$G,小圆机汇总表!$I$13&amp;"/"&amp;小圆机汇总表!$J$13&amp;"/"&amp;小圆机汇总表!S$14))</f>
        <v>0</v>
      </c>
      <c r="T50" s="18">
        <f>IF($K$13="件数",SUMIFS(yj!$I:$I,yj!$B:$B,小圆机汇总表!$A50,yj!$G:$G,小圆机汇总表!$I$13&amp;"/"&amp;小圆机汇总表!$J$13&amp;"/"&amp;小圆机汇总表!T$14),SUMIFS(yj!$H:$H,yj!$B:$B,小圆机汇总表!$A50,yj!$G:$G,小圆机汇总表!$I$13&amp;"/"&amp;小圆机汇总表!$J$13&amp;"/"&amp;小圆机汇总表!T$14))</f>
        <v>0</v>
      </c>
      <c r="U50" s="18">
        <f>IF($K$13="件数",SUMIFS(yj!$I:$I,yj!$B:$B,小圆机汇总表!$A50,yj!$G:$G,小圆机汇总表!$I$13&amp;"/"&amp;小圆机汇总表!$J$13&amp;"/"&amp;小圆机汇总表!U$14),SUMIFS(yj!$H:$H,yj!$B:$B,小圆机汇总表!$A50,yj!$G:$G,小圆机汇总表!$I$13&amp;"/"&amp;小圆机汇总表!$J$13&amp;"/"&amp;小圆机汇总表!U$14))</f>
        <v>0</v>
      </c>
      <c r="V50" s="18">
        <f>IF($K$13="件数",SUMIFS(yj!$I:$I,yj!$B:$B,小圆机汇总表!$A50,yj!$G:$G,小圆机汇总表!$I$13&amp;"/"&amp;小圆机汇总表!$J$13&amp;"/"&amp;小圆机汇总表!V$14),SUMIFS(yj!$H:$H,yj!$B:$B,小圆机汇总表!$A50,yj!$G:$G,小圆机汇总表!$I$13&amp;"/"&amp;小圆机汇总表!$J$13&amp;"/"&amp;小圆机汇总表!V$14))</f>
        <v>0</v>
      </c>
      <c r="W50" s="18">
        <f>IF($K$13="件数",SUMIFS(yj!$I:$I,yj!$B:$B,小圆机汇总表!$A50,yj!$G:$G,小圆机汇总表!$I$13&amp;"/"&amp;小圆机汇总表!$J$13&amp;"/"&amp;小圆机汇总表!W$14),SUMIFS(yj!$H:$H,yj!$B:$B,小圆机汇总表!$A50,yj!$G:$G,小圆机汇总表!$I$13&amp;"/"&amp;小圆机汇总表!$J$13&amp;"/"&amp;小圆机汇总表!W$14))</f>
        <v>0</v>
      </c>
      <c r="X50" s="18">
        <f>IF($K$13="件数",SUMIFS(yj!$I:$I,yj!$B:$B,小圆机汇总表!$A50,yj!$G:$G,小圆机汇总表!$I$13&amp;"/"&amp;小圆机汇总表!$J$13&amp;"/"&amp;小圆机汇总表!X$14),SUMIFS(yj!$H:$H,yj!$B:$B,小圆机汇总表!$A50,yj!$G:$G,小圆机汇总表!$I$13&amp;"/"&amp;小圆机汇总表!$J$13&amp;"/"&amp;小圆机汇总表!X$14))</f>
        <v>0</v>
      </c>
      <c r="Y50" s="18">
        <f>IF($K$13="件数",SUMIFS(yj!$I:$I,yj!$B:$B,小圆机汇总表!$A50,yj!$G:$G,小圆机汇总表!$I$13&amp;"/"&amp;小圆机汇总表!$J$13&amp;"/"&amp;小圆机汇总表!Y$14),SUMIFS(yj!$H:$H,yj!$B:$B,小圆机汇总表!$A50,yj!$G:$G,小圆机汇总表!$I$13&amp;"/"&amp;小圆机汇总表!$J$13&amp;"/"&amp;小圆机汇总表!Y$14))</f>
        <v>0</v>
      </c>
      <c r="Z50" s="18">
        <f>IF($K$13="件数",SUMIFS(yj!$I:$I,yj!$B:$B,小圆机汇总表!$A50,yj!$G:$G,小圆机汇总表!$I$13&amp;"/"&amp;小圆机汇总表!$J$13&amp;"/"&amp;小圆机汇总表!Z$14),SUMIFS(yj!$H:$H,yj!$B:$B,小圆机汇总表!$A50,yj!$G:$G,小圆机汇总表!$I$13&amp;"/"&amp;小圆机汇总表!$J$13&amp;"/"&amp;小圆机汇总表!Z$14))</f>
        <v>0</v>
      </c>
      <c r="AA50" s="18">
        <f>IF($K$13="件数",SUMIFS(yj!$I:$I,yj!$B:$B,小圆机汇总表!$A50,yj!$G:$G,小圆机汇总表!$I$13&amp;"/"&amp;小圆机汇总表!$J$13&amp;"/"&amp;小圆机汇总表!AA$14),SUMIFS(yj!$H:$H,yj!$B:$B,小圆机汇总表!$A50,yj!$G:$G,小圆机汇总表!$I$13&amp;"/"&amp;小圆机汇总表!$J$13&amp;"/"&amp;小圆机汇总表!AA$14))</f>
        <v>0</v>
      </c>
      <c r="AB50" s="18">
        <f>IF($K$13="件数",SUMIFS(yj!$I:$I,yj!$B:$B,小圆机汇总表!$A50,yj!$G:$G,小圆机汇总表!$I$13&amp;"/"&amp;小圆机汇总表!$J$13&amp;"/"&amp;小圆机汇总表!AB$14),SUMIFS(yj!$H:$H,yj!$B:$B,小圆机汇总表!$A50,yj!$G:$G,小圆机汇总表!$I$13&amp;"/"&amp;小圆机汇总表!$J$13&amp;"/"&amp;小圆机汇总表!AB$14))</f>
        <v>0</v>
      </c>
      <c r="AC50" s="18">
        <f>IF($K$13="件数",SUMIFS(yj!$I:$I,yj!$B:$B,小圆机汇总表!$A50,yj!$G:$G,小圆机汇总表!$I$13&amp;"/"&amp;小圆机汇总表!$J$13&amp;"/"&amp;小圆机汇总表!AC$14),SUMIFS(yj!$H:$H,yj!$B:$B,小圆机汇总表!$A50,yj!$G:$G,小圆机汇总表!$I$13&amp;"/"&amp;小圆机汇总表!$J$13&amp;"/"&amp;小圆机汇总表!AC$14))</f>
        <v>0</v>
      </c>
      <c r="AD50" s="18">
        <f>IF($K$13="件数",SUMIFS(yj!$I:$I,yj!$B:$B,小圆机汇总表!$A50,yj!$G:$G,小圆机汇总表!$I$13&amp;"/"&amp;小圆机汇总表!$J$13&amp;"/"&amp;小圆机汇总表!AD$14),SUMIFS(yj!$H:$H,yj!$B:$B,小圆机汇总表!$A50,yj!$G:$G,小圆机汇总表!$I$13&amp;"/"&amp;小圆机汇总表!$J$13&amp;"/"&amp;小圆机汇总表!AD$14))</f>
        <v>0</v>
      </c>
      <c r="AE50" s="18">
        <f>IF($K$13="件数",SUMIFS(yj!$I:$I,yj!$B:$B,小圆机汇总表!$A50,yj!$G:$G,小圆机汇总表!$I$13&amp;"/"&amp;小圆机汇总表!$J$13&amp;"/"&amp;小圆机汇总表!AE$14),SUMIFS(yj!$H:$H,yj!$B:$B,小圆机汇总表!$A50,yj!$G:$G,小圆机汇总表!$I$13&amp;"/"&amp;小圆机汇总表!$J$13&amp;"/"&amp;小圆机汇总表!AE$14))</f>
        <v>0</v>
      </c>
      <c r="AF50" s="18">
        <f>IF($K$13="件数",SUMIFS(yj!$I:$I,yj!$B:$B,小圆机汇总表!$A50,yj!$G:$G,小圆机汇总表!$I$13&amp;"/"&amp;小圆机汇总表!$J$13&amp;"/"&amp;小圆机汇总表!AF$14),SUMIFS(yj!$H:$H,yj!$B:$B,小圆机汇总表!$A50,yj!$G:$G,小圆机汇总表!$I$13&amp;"/"&amp;小圆机汇总表!$J$13&amp;"/"&amp;小圆机汇总表!AF$14))</f>
        <v>0</v>
      </c>
      <c r="AG50" s="18">
        <f>IF($K$13="件数",SUMIFS(yj!$I:$I,yj!$B:$B,小圆机汇总表!$A50,yj!$G:$G,小圆机汇总表!$I$13&amp;"/"&amp;小圆机汇总表!$J$13&amp;"/"&amp;小圆机汇总表!AG$14),SUMIFS(yj!$H:$H,yj!$B:$B,小圆机汇总表!$A50,yj!$G:$G,小圆机汇总表!$I$13&amp;"/"&amp;小圆机汇总表!$J$13&amp;"/"&amp;小圆机汇总表!AG$14))</f>
        <v>0</v>
      </c>
      <c r="AH50" s="18">
        <f>IF($K$13="件数",SUMIFS(yj!$I:$I,yj!$B:$B,小圆机汇总表!$A50,yj!$G:$G,小圆机汇总表!$I$13&amp;"/"&amp;小圆机汇总表!$J$13&amp;"/"&amp;小圆机汇总表!AH$14),SUMIFS(yj!$H:$H,yj!$B:$B,小圆机汇总表!$A50,yj!$G:$G,小圆机汇总表!$I$13&amp;"/"&amp;小圆机汇总表!$J$13&amp;"/"&amp;小圆机汇总表!AH$14))</f>
        <v>0</v>
      </c>
      <c r="AI50" s="18">
        <f>IF($K$13="件数",SUMIFS(yj!$I:$I,yj!$B:$B,小圆机汇总表!$A50,yj!$G:$G,小圆机汇总表!$I$13&amp;"/"&amp;小圆机汇总表!$J$13&amp;"/"&amp;小圆机汇总表!AI$14),SUMIFS(yj!$H:$H,yj!$B:$B,小圆机汇总表!$A50,yj!$G:$G,小圆机汇总表!$I$13&amp;"/"&amp;小圆机汇总表!$J$13&amp;"/"&amp;小圆机汇总表!AI$14))</f>
        <v>0</v>
      </c>
      <c r="AJ50" s="18">
        <f>IF($K$13="件数",SUMIFS(yj!$I:$I,yj!$B:$B,小圆机汇总表!$A50,yj!$G:$G,小圆机汇总表!$I$13&amp;"/"&amp;小圆机汇总表!$J$13&amp;"/"&amp;小圆机汇总表!AJ$14),SUMIFS(yj!$H:$H,yj!$B:$B,小圆机汇总表!$A50,yj!$G:$G,小圆机汇总表!$I$13&amp;"/"&amp;小圆机汇总表!$J$13&amp;"/"&amp;小圆机汇总表!AJ$14))</f>
        <v>0</v>
      </c>
      <c r="AK50" s="18">
        <f>IF($K$13="件数",SUMIFS(yj!$I:$I,yj!$B:$B,小圆机汇总表!$A50,yj!$G:$G,小圆机汇总表!$I$13&amp;"/"&amp;小圆机汇总表!$J$13&amp;"/"&amp;小圆机汇总表!AK$14),SUMIFS(yj!$H:$H,yj!$B:$B,小圆机汇总表!$A50,yj!$G:$G,小圆机汇总表!$I$13&amp;"/"&amp;小圆机汇总表!$J$13&amp;"/"&amp;小圆机汇总表!AK$14))</f>
        <v>0</v>
      </c>
      <c r="AL50" s="18">
        <f>IF($K$13="件数",SUMIFS(yj!$I:$I,yj!$B:$B,小圆机汇总表!$A50,yj!$G:$G,小圆机汇总表!$I$13&amp;"/"&amp;小圆机汇总表!$J$13&amp;"/"&amp;小圆机汇总表!AL$14),SUMIFS(yj!$H:$H,yj!$B:$B,小圆机汇总表!$A50,yj!$G:$G,小圆机汇总表!$I$13&amp;"/"&amp;小圆机汇总表!$J$13&amp;"/"&amp;小圆机汇总表!AL$14))</f>
        <v>0</v>
      </c>
      <c r="AM50" s="18">
        <f>IF($K$13="件数",SUMIFS(yj!$I:$I,yj!$B:$B,小圆机汇总表!$A50,yj!$G:$G,小圆机汇总表!$I$13&amp;"/"&amp;小圆机汇总表!$J$13&amp;"/"&amp;小圆机汇总表!AM$14),SUMIFS(yj!$H:$H,yj!$B:$B,小圆机汇总表!$A50,yj!$G:$G,小圆机汇总表!$I$13&amp;"/"&amp;小圆机汇总表!$J$13&amp;"/"&amp;小圆机汇总表!AM$14))</f>
        <v>0</v>
      </c>
      <c r="AN50" s="18">
        <f>IF($K$13="件数",SUMIFS(yj!$I:$I,yj!$B:$B,小圆机汇总表!$A50,yj!$G:$G,小圆机汇总表!$I$13&amp;"/"&amp;小圆机汇总表!$J$13&amp;"/"&amp;小圆机汇总表!AN$14),SUMIFS(yj!$H:$H,yj!$B:$B,小圆机汇总表!$A50,yj!$G:$G,小圆机汇总表!$I$13&amp;"/"&amp;小圆机汇总表!$J$13&amp;"/"&amp;小圆机汇总表!AN$14))</f>
        <v>0</v>
      </c>
      <c r="AO50" s="18">
        <f>IF($K$13="件数",SUMIFS(yj!$I:$I,yj!$B:$B,小圆机汇总表!$A50,yj!$G:$G,小圆机汇总表!$I$13&amp;"/"&amp;小圆机汇总表!$J$13&amp;"/"&amp;小圆机汇总表!AO$14),SUMIFS(yj!$H:$H,yj!$B:$B,小圆机汇总表!$A50,yj!$G:$G,小圆机汇总表!$I$13&amp;"/"&amp;小圆机汇总表!$J$13&amp;"/"&amp;小圆机汇总表!AO$14))</f>
        <v>0</v>
      </c>
      <c r="AP50" s="18">
        <f>IF($K$13="件数",SUMIFS(yj!$I:$I,yj!$B:$B,小圆机汇总表!$A50,yj!$G:$G,小圆机汇总表!$I$13&amp;"/"&amp;小圆机汇总表!$J$13&amp;"/"&amp;小圆机汇总表!AP$14),SUMIFS(yj!$H:$H,yj!$B:$B,小圆机汇总表!$A50,yj!$G:$G,小圆机汇总表!$I$13&amp;"/"&amp;小圆机汇总表!$J$13&amp;"/"&amp;小圆机汇总表!AP$14))</f>
        <v>0</v>
      </c>
      <c r="AQ50" s="18">
        <f>IF($K$13="件数",SUMIFS(yj!$I:$I,yj!$B:$B,小圆机汇总表!$A50,yj!$G:$G,小圆机汇总表!$I$13&amp;"/"&amp;小圆机汇总表!$J$13&amp;"/"&amp;小圆机汇总表!AQ$14),SUMIFS(yj!$H:$H,yj!$B:$B,小圆机汇总表!$A50,yj!$G:$G,小圆机汇总表!$I$13&amp;"/"&amp;小圆机汇总表!$J$13&amp;"/"&amp;小圆机汇总表!AQ$14))</f>
        <v>0</v>
      </c>
    </row>
    <row r="51" spans="1:43" ht="18" hidden="1" customHeight="1">
      <c r="A51" s="19" t="s">
        <v>94</v>
      </c>
      <c r="B51" s="14" t="s">
        <v>95</v>
      </c>
      <c r="C51" s="17">
        <v>75</v>
      </c>
      <c r="D51" s="17" t="s">
        <v>44</v>
      </c>
      <c r="E51" s="13" t="s">
        <v>2</v>
      </c>
      <c r="F51" s="13">
        <v>160</v>
      </c>
      <c r="G51" s="13">
        <v>39</v>
      </c>
      <c r="H51" s="14" t="s">
        <v>96</v>
      </c>
      <c r="I51" s="13"/>
      <c r="J51" s="182">
        <f ca="1">IF(SUMIFS(yj!$I:$I,yj!$B:$B,小圆机汇总表!A51,yj!$G:$G,小圆机汇总表!$L$13)&gt;0,SUMIFS(yj!$H:$H,yj!$B:$B,小圆机汇总表!A51,yj!$G:$G,小圆机汇总表!$L$13),0)</f>
        <v>0</v>
      </c>
      <c r="K51" s="15">
        <f>SUMIFS(yj!$H:$H,yj!$B:$B,小圆机汇总表!A51,yj!$M:$M,小圆机汇总表!$J$13)</f>
        <v>0</v>
      </c>
      <c r="L51" s="15">
        <f>SUMIFS(yj!$I:$I,yj!$B:$B,小圆机汇总表!A51,yj!$M:$M,小圆机汇总表!$J$13)</f>
        <v>0</v>
      </c>
      <c r="M51" s="18">
        <f>IF($K$13="件数",SUMIFS(yj!$I:$I,yj!$B:$B,小圆机汇总表!$A51,yj!$G:$G,小圆机汇总表!$I$13&amp;"/"&amp;小圆机汇总表!$J$13&amp;"/"&amp;小圆机汇总表!M$14),SUMIFS(yj!$H:$H,yj!$B:$B,小圆机汇总表!$A51,yj!$G:$G,小圆机汇总表!$I$13&amp;"/"&amp;小圆机汇总表!$J$13&amp;"/"&amp;小圆机汇总表!M$14))</f>
        <v>0</v>
      </c>
      <c r="N51" s="18">
        <f>IF($K$13="件数",SUMIFS(yj!$I:$I,yj!$B:$B,小圆机汇总表!$A51,yj!$G:$G,小圆机汇总表!$I$13&amp;"/"&amp;小圆机汇总表!$J$13&amp;"/"&amp;小圆机汇总表!N$14),SUMIFS(yj!$H:$H,yj!$B:$B,小圆机汇总表!$A51,yj!$G:$G,小圆机汇总表!$I$13&amp;"/"&amp;小圆机汇总表!$J$13&amp;"/"&amp;小圆机汇总表!N$14))</f>
        <v>0</v>
      </c>
      <c r="O51" s="18">
        <f>IF($K$13="件数",SUMIFS(yj!$I:$I,yj!$B:$B,小圆机汇总表!$A51,yj!$G:$G,小圆机汇总表!$I$13&amp;"/"&amp;小圆机汇总表!$J$13&amp;"/"&amp;小圆机汇总表!O$14),SUMIFS(yj!$H:$H,yj!$B:$B,小圆机汇总表!$A51,yj!$G:$G,小圆机汇总表!$I$13&amp;"/"&amp;小圆机汇总表!$J$13&amp;"/"&amp;小圆机汇总表!O$14))</f>
        <v>0</v>
      </c>
      <c r="P51" s="18">
        <f>IF($K$13="件数",SUMIFS(yj!$I:$I,yj!$B:$B,小圆机汇总表!$A51,yj!$G:$G,小圆机汇总表!$I$13&amp;"/"&amp;小圆机汇总表!$J$13&amp;"/"&amp;小圆机汇总表!P$14),SUMIFS(yj!$H:$H,yj!$B:$B,小圆机汇总表!$A51,yj!$G:$G,小圆机汇总表!$I$13&amp;"/"&amp;小圆机汇总表!$J$13&amp;"/"&amp;小圆机汇总表!P$14))</f>
        <v>0</v>
      </c>
      <c r="Q51" s="18">
        <f>IF($K$13="件数",SUMIFS(yj!$I:$I,yj!$B:$B,小圆机汇总表!$A51,yj!$G:$G,小圆机汇总表!$I$13&amp;"/"&amp;小圆机汇总表!$J$13&amp;"/"&amp;小圆机汇总表!Q$14),SUMIFS(yj!$H:$H,yj!$B:$B,小圆机汇总表!$A51,yj!$G:$G,小圆机汇总表!$I$13&amp;"/"&amp;小圆机汇总表!$J$13&amp;"/"&amp;小圆机汇总表!Q$14))</f>
        <v>0</v>
      </c>
      <c r="R51" s="18">
        <f>IF($K$13="件数",SUMIFS(yj!$I:$I,yj!$B:$B,小圆机汇总表!$A51,yj!$G:$G,小圆机汇总表!$I$13&amp;"/"&amp;小圆机汇总表!$J$13&amp;"/"&amp;小圆机汇总表!R$14),SUMIFS(yj!$H:$H,yj!$B:$B,小圆机汇总表!$A51,yj!$G:$G,小圆机汇总表!$I$13&amp;"/"&amp;小圆机汇总表!$J$13&amp;"/"&amp;小圆机汇总表!R$14))</f>
        <v>0</v>
      </c>
      <c r="S51" s="18">
        <f>IF($K$13="件数",SUMIFS(yj!$I:$I,yj!$B:$B,小圆机汇总表!$A51,yj!$G:$G,小圆机汇总表!$I$13&amp;"/"&amp;小圆机汇总表!$J$13&amp;"/"&amp;小圆机汇总表!S$14),SUMIFS(yj!$H:$H,yj!$B:$B,小圆机汇总表!$A51,yj!$G:$G,小圆机汇总表!$I$13&amp;"/"&amp;小圆机汇总表!$J$13&amp;"/"&amp;小圆机汇总表!S$14))</f>
        <v>0</v>
      </c>
      <c r="T51" s="18">
        <f>IF($K$13="件数",SUMIFS(yj!$I:$I,yj!$B:$B,小圆机汇总表!$A51,yj!$G:$G,小圆机汇总表!$I$13&amp;"/"&amp;小圆机汇总表!$J$13&amp;"/"&amp;小圆机汇总表!T$14),SUMIFS(yj!$H:$H,yj!$B:$B,小圆机汇总表!$A51,yj!$G:$G,小圆机汇总表!$I$13&amp;"/"&amp;小圆机汇总表!$J$13&amp;"/"&amp;小圆机汇总表!T$14))</f>
        <v>0</v>
      </c>
      <c r="U51" s="18">
        <f>IF($K$13="件数",SUMIFS(yj!$I:$I,yj!$B:$B,小圆机汇总表!$A51,yj!$G:$G,小圆机汇总表!$I$13&amp;"/"&amp;小圆机汇总表!$J$13&amp;"/"&amp;小圆机汇总表!U$14),SUMIFS(yj!$H:$H,yj!$B:$B,小圆机汇总表!$A51,yj!$G:$G,小圆机汇总表!$I$13&amp;"/"&amp;小圆机汇总表!$J$13&amp;"/"&amp;小圆机汇总表!U$14))</f>
        <v>0</v>
      </c>
      <c r="V51" s="18">
        <f>IF($K$13="件数",SUMIFS(yj!$I:$I,yj!$B:$B,小圆机汇总表!$A51,yj!$G:$G,小圆机汇总表!$I$13&amp;"/"&amp;小圆机汇总表!$J$13&amp;"/"&amp;小圆机汇总表!V$14),SUMIFS(yj!$H:$H,yj!$B:$B,小圆机汇总表!$A51,yj!$G:$G,小圆机汇总表!$I$13&amp;"/"&amp;小圆机汇总表!$J$13&amp;"/"&amp;小圆机汇总表!V$14))</f>
        <v>0</v>
      </c>
      <c r="W51" s="18">
        <f>IF($K$13="件数",SUMIFS(yj!$I:$I,yj!$B:$B,小圆机汇总表!$A51,yj!$G:$G,小圆机汇总表!$I$13&amp;"/"&amp;小圆机汇总表!$J$13&amp;"/"&amp;小圆机汇总表!W$14),SUMIFS(yj!$H:$H,yj!$B:$B,小圆机汇总表!$A51,yj!$G:$G,小圆机汇总表!$I$13&amp;"/"&amp;小圆机汇总表!$J$13&amp;"/"&amp;小圆机汇总表!W$14))</f>
        <v>0</v>
      </c>
      <c r="X51" s="18">
        <f>IF($K$13="件数",SUMIFS(yj!$I:$I,yj!$B:$B,小圆机汇总表!$A51,yj!$G:$G,小圆机汇总表!$I$13&amp;"/"&amp;小圆机汇总表!$J$13&amp;"/"&amp;小圆机汇总表!X$14),SUMIFS(yj!$H:$H,yj!$B:$B,小圆机汇总表!$A51,yj!$G:$G,小圆机汇总表!$I$13&amp;"/"&amp;小圆机汇总表!$J$13&amp;"/"&amp;小圆机汇总表!X$14))</f>
        <v>0</v>
      </c>
      <c r="Y51" s="18">
        <f>IF($K$13="件数",SUMIFS(yj!$I:$I,yj!$B:$B,小圆机汇总表!$A51,yj!$G:$G,小圆机汇总表!$I$13&amp;"/"&amp;小圆机汇总表!$J$13&amp;"/"&amp;小圆机汇总表!Y$14),SUMIFS(yj!$H:$H,yj!$B:$B,小圆机汇总表!$A51,yj!$G:$G,小圆机汇总表!$I$13&amp;"/"&amp;小圆机汇总表!$J$13&amp;"/"&amp;小圆机汇总表!Y$14))</f>
        <v>0</v>
      </c>
      <c r="Z51" s="18">
        <f>IF($K$13="件数",SUMIFS(yj!$I:$I,yj!$B:$B,小圆机汇总表!$A51,yj!$G:$G,小圆机汇总表!$I$13&amp;"/"&amp;小圆机汇总表!$J$13&amp;"/"&amp;小圆机汇总表!Z$14),SUMIFS(yj!$H:$H,yj!$B:$B,小圆机汇总表!$A51,yj!$G:$G,小圆机汇总表!$I$13&amp;"/"&amp;小圆机汇总表!$J$13&amp;"/"&amp;小圆机汇总表!Z$14))</f>
        <v>0</v>
      </c>
      <c r="AA51" s="18">
        <f>IF($K$13="件数",SUMIFS(yj!$I:$I,yj!$B:$B,小圆机汇总表!$A51,yj!$G:$G,小圆机汇总表!$I$13&amp;"/"&amp;小圆机汇总表!$J$13&amp;"/"&amp;小圆机汇总表!AA$14),SUMIFS(yj!$H:$H,yj!$B:$B,小圆机汇总表!$A51,yj!$G:$G,小圆机汇总表!$I$13&amp;"/"&amp;小圆机汇总表!$J$13&amp;"/"&amp;小圆机汇总表!AA$14))</f>
        <v>0</v>
      </c>
      <c r="AB51" s="18">
        <f>IF($K$13="件数",SUMIFS(yj!$I:$I,yj!$B:$B,小圆机汇总表!$A51,yj!$G:$G,小圆机汇总表!$I$13&amp;"/"&amp;小圆机汇总表!$J$13&amp;"/"&amp;小圆机汇总表!AB$14),SUMIFS(yj!$H:$H,yj!$B:$B,小圆机汇总表!$A51,yj!$G:$G,小圆机汇总表!$I$13&amp;"/"&amp;小圆机汇总表!$J$13&amp;"/"&amp;小圆机汇总表!AB$14))</f>
        <v>0</v>
      </c>
      <c r="AC51" s="18">
        <f>IF($K$13="件数",SUMIFS(yj!$I:$I,yj!$B:$B,小圆机汇总表!$A51,yj!$G:$G,小圆机汇总表!$I$13&amp;"/"&amp;小圆机汇总表!$J$13&amp;"/"&amp;小圆机汇总表!AC$14),SUMIFS(yj!$H:$H,yj!$B:$B,小圆机汇总表!$A51,yj!$G:$G,小圆机汇总表!$I$13&amp;"/"&amp;小圆机汇总表!$J$13&amp;"/"&amp;小圆机汇总表!AC$14))</f>
        <v>0</v>
      </c>
      <c r="AD51" s="18">
        <f>IF($K$13="件数",SUMIFS(yj!$I:$I,yj!$B:$B,小圆机汇总表!$A51,yj!$G:$G,小圆机汇总表!$I$13&amp;"/"&amp;小圆机汇总表!$J$13&amp;"/"&amp;小圆机汇总表!AD$14),SUMIFS(yj!$H:$H,yj!$B:$B,小圆机汇总表!$A51,yj!$G:$G,小圆机汇总表!$I$13&amp;"/"&amp;小圆机汇总表!$J$13&amp;"/"&amp;小圆机汇总表!AD$14))</f>
        <v>0</v>
      </c>
      <c r="AE51" s="18">
        <f>IF($K$13="件数",SUMIFS(yj!$I:$I,yj!$B:$B,小圆机汇总表!$A51,yj!$G:$G,小圆机汇总表!$I$13&amp;"/"&amp;小圆机汇总表!$J$13&amp;"/"&amp;小圆机汇总表!AE$14),SUMIFS(yj!$H:$H,yj!$B:$B,小圆机汇总表!$A51,yj!$G:$G,小圆机汇总表!$I$13&amp;"/"&amp;小圆机汇总表!$J$13&amp;"/"&amp;小圆机汇总表!AE$14))</f>
        <v>0</v>
      </c>
      <c r="AF51" s="18">
        <f>IF($K$13="件数",SUMIFS(yj!$I:$I,yj!$B:$B,小圆机汇总表!$A51,yj!$G:$G,小圆机汇总表!$I$13&amp;"/"&amp;小圆机汇总表!$J$13&amp;"/"&amp;小圆机汇总表!AF$14),SUMIFS(yj!$H:$H,yj!$B:$B,小圆机汇总表!$A51,yj!$G:$G,小圆机汇总表!$I$13&amp;"/"&amp;小圆机汇总表!$J$13&amp;"/"&amp;小圆机汇总表!AF$14))</f>
        <v>0</v>
      </c>
      <c r="AG51" s="18">
        <f>IF($K$13="件数",SUMIFS(yj!$I:$I,yj!$B:$B,小圆机汇总表!$A51,yj!$G:$G,小圆机汇总表!$I$13&amp;"/"&amp;小圆机汇总表!$J$13&amp;"/"&amp;小圆机汇总表!AG$14),SUMIFS(yj!$H:$H,yj!$B:$B,小圆机汇总表!$A51,yj!$G:$G,小圆机汇总表!$I$13&amp;"/"&amp;小圆机汇总表!$J$13&amp;"/"&amp;小圆机汇总表!AG$14))</f>
        <v>0</v>
      </c>
      <c r="AH51" s="18">
        <f>IF($K$13="件数",SUMIFS(yj!$I:$I,yj!$B:$B,小圆机汇总表!$A51,yj!$G:$G,小圆机汇总表!$I$13&amp;"/"&amp;小圆机汇总表!$J$13&amp;"/"&amp;小圆机汇总表!AH$14),SUMIFS(yj!$H:$H,yj!$B:$B,小圆机汇总表!$A51,yj!$G:$G,小圆机汇总表!$I$13&amp;"/"&amp;小圆机汇总表!$J$13&amp;"/"&amp;小圆机汇总表!AH$14))</f>
        <v>0</v>
      </c>
      <c r="AI51" s="18">
        <f>IF($K$13="件数",SUMIFS(yj!$I:$I,yj!$B:$B,小圆机汇总表!$A51,yj!$G:$G,小圆机汇总表!$I$13&amp;"/"&amp;小圆机汇总表!$J$13&amp;"/"&amp;小圆机汇总表!AI$14),SUMIFS(yj!$H:$H,yj!$B:$B,小圆机汇总表!$A51,yj!$G:$G,小圆机汇总表!$I$13&amp;"/"&amp;小圆机汇总表!$J$13&amp;"/"&amp;小圆机汇总表!AI$14))</f>
        <v>0</v>
      </c>
      <c r="AJ51" s="18">
        <f>IF($K$13="件数",SUMIFS(yj!$I:$I,yj!$B:$B,小圆机汇总表!$A51,yj!$G:$G,小圆机汇总表!$I$13&amp;"/"&amp;小圆机汇总表!$J$13&amp;"/"&amp;小圆机汇总表!AJ$14),SUMIFS(yj!$H:$H,yj!$B:$B,小圆机汇总表!$A51,yj!$G:$G,小圆机汇总表!$I$13&amp;"/"&amp;小圆机汇总表!$J$13&amp;"/"&amp;小圆机汇总表!AJ$14))</f>
        <v>0</v>
      </c>
      <c r="AK51" s="18">
        <f>IF($K$13="件数",SUMIFS(yj!$I:$I,yj!$B:$B,小圆机汇总表!$A51,yj!$G:$G,小圆机汇总表!$I$13&amp;"/"&amp;小圆机汇总表!$J$13&amp;"/"&amp;小圆机汇总表!AK$14),SUMIFS(yj!$H:$H,yj!$B:$B,小圆机汇总表!$A51,yj!$G:$G,小圆机汇总表!$I$13&amp;"/"&amp;小圆机汇总表!$J$13&amp;"/"&amp;小圆机汇总表!AK$14))</f>
        <v>0</v>
      </c>
      <c r="AL51" s="18">
        <f>IF($K$13="件数",SUMIFS(yj!$I:$I,yj!$B:$B,小圆机汇总表!$A51,yj!$G:$G,小圆机汇总表!$I$13&amp;"/"&amp;小圆机汇总表!$J$13&amp;"/"&amp;小圆机汇总表!AL$14),SUMIFS(yj!$H:$H,yj!$B:$B,小圆机汇总表!$A51,yj!$G:$G,小圆机汇总表!$I$13&amp;"/"&amp;小圆机汇总表!$J$13&amp;"/"&amp;小圆机汇总表!AL$14))</f>
        <v>0</v>
      </c>
      <c r="AM51" s="18">
        <f>IF($K$13="件数",SUMIFS(yj!$I:$I,yj!$B:$B,小圆机汇总表!$A51,yj!$G:$G,小圆机汇总表!$I$13&amp;"/"&amp;小圆机汇总表!$J$13&amp;"/"&amp;小圆机汇总表!AM$14),SUMIFS(yj!$H:$H,yj!$B:$B,小圆机汇总表!$A51,yj!$G:$G,小圆机汇总表!$I$13&amp;"/"&amp;小圆机汇总表!$J$13&amp;"/"&amp;小圆机汇总表!AM$14))</f>
        <v>0</v>
      </c>
      <c r="AN51" s="18">
        <f>IF($K$13="件数",SUMIFS(yj!$I:$I,yj!$B:$B,小圆机汇总表!$A51,yj!$G:$G,小圆机汇总表!$I$13&amp;"/"&amp;小圆机汇总表!$J$13&amp;"/"&amp;小圆机汇总表!AN$14),SUMIFS(yj!$H:$H,yj!$B:$B,小圆机汇总表!$A51,yj!$G:$G,小圆机汇总表!$I$13&amp;"/"&amp;小圆机汇总表!$J$13&amp;"/"&amp;小圆机汇总表!AN$14))</f>
        <v>0</v>
      </c>
      <c r="AO51" s="18">
        <f>IF($K$13="件数",SUMIFS(yj!$I:$I,yj!$B:$B,小圆机汇总表!$A51,yj!$G:$G,小圆机汇总表!$I$13&amp;"/"&amp;小圆机汇总表!$J$13&amp;"/"&amp;小圆机汇总表!AO$14),SUMIFS(yj!$H:$H,yj!$B:$B,小圆机汇总表!$A51,yj!$G:$G,小圆机汇总表!$I$13&amp;"/"&amp;小圆机汇总表!$J$13&amp;"/"&amp;小圆机汇总表!AO$14))</f>
        <v>0</v>
      </c>
      <c r="AP51" s="18">
        <f>IF($K$13="件数",SUMIFS(yj!$I:$I,yj!$B:$B,小圆机汇总表!$A51,yj!$G:$G,小圆机汇总表!$I$13&amp;"/"&amp;小圆机汇总表!$J$13&amp;"/"&amp;小圆机汇总表!AP$14),SUMIFS(yj!$H:$H,yj!$B:$B,小圆机汇总表!$A51,yj!$G:$G,小圆机汇总表!$I$13&amp;"/"&amp;小圆机汇总表!$J$13&amp;"/"&amp;小圆机汇总表!AP$14))</f>
        <v>0</v>
      </c>
      <c r="AQ51" s="18">
        <f>IF($K$13="件数",SUMIFS(yj!$I:$I,yj!$B:$B,小圆机汇总表!$A51,yj!$G:$G,小圆机汇总表!$I$13&amp;"/"&amp;小圆机汇总表!$J$13&amp;"/"&amp;小圆机汇总表!AQ$14),SUMIFS(yj!$H:$H,yj!$B:$B,小圆机汇总表!$A51,yj!$G:$G,小圆机汇总表!$I$13&amp;"/"&amp;小圆机汇总表!$J$13&amp;"/"&amp;小圆机汇总表!AQ$14))</f>
        <v>0</v>
      </c>
    </row>
    <row r="52" spans="1:43" ht="18" hidden="1" customHeight="1">
      <c r="A52" s="13" t="s">
        <v>97</v>
      </c>
      <c r="B52" s="14" t="s">
        <v>2485</v>
      </c>
      <c r="C52" s="17">
        <v>75</v>
      </c>
      <c r="D52" s="17" t="s">
        <v>44</v>
      </c>
      <c r="E52" s="13" t="s">
        <v>2486</v>
      </c>
      <c r="F52" s="13">
        <v>160</v>
      </c>
      <c r="G52" s="13">
        <v>48</v>
      </c>
      <c r="H52" s="14" t="s">
        <v>22</v>
      </c>
      <c r="I52" s="13"/>
      <c r="J52" s="182">
        <f ca="1">IF(SUMIFS(yj!$I:$I,yj!$B:$B,小圆机汇总表!A52,yj!$G:$G,小圆机汇总表!$L$13)&gt;0,SUMIFS(yj!$H:$H,yj!$B:$B,小圆机汇总表!A52,yj!$G:$G,小圆机汇总表!$L$13),0)</f>
        <v>282.8</v>
      </c>
      <c r="K52" s="15">
        <f>SUMIFS(yj!$H:$H,yj!$B:$B,小圆机汇总表!A52,yj!$M:$M,小圆机汇总表!$J$13)</f>
        <v>1656.4</v>
      </c>
      <c r="L52" s="15">
        <f>SUMIFS(yj!$I:$I,yj!$B:$B,小圆机汇总表!A52,yj!$M:$M,小圆机汇总表!$J$13)</f>
        <v>82</v>
      </c>
      <c r="M52" s="18">
        <f>IF($K$13="件数",SUMIFS(yj!$I:$I,yj!$B:$B,小圆机汇总表!$A52,yj!$G:$G,小圆机汇总表!$I$13&amp;"/"&amp;小圆机汇总表!$J$13&amp;"/"&amp;小圆机汇总表!M$14),SUMIFS(yj!$H:$H,yj!$B:$B,小圆机汇总表!$A52,yj!$G:$G,小圆机汇总表!$I$13&amp;"/"&amp;小圆机汇总表!$J$13&amp;"/"&amp;小圆机汇总表!M$14))</f>
        <v>262.7</v>
      </c>
      <c r="N52" s="18">
        <f>IF($K$13="件数",SUMIFS(yj!$I:$I,yj!$B:$B,小圆机汇总表!$A52,yj!$G:$G,小圆机汇总表!$I$13&amp;"/"&amp;小圆机汇总表!$J$13&amp;"/"&amp;小圆机汇总表!N$14),SUMIFS(yj!$H:$H,yj!$B:$B,小圆机汇总表!$A52,yj!$G:$G,小圆机汇总表!$I$13&amp;"/"&amp;小圆机汇总表!$J$13&amp;"/"&amp;小圆机汇总表!N$14))</f>
        <v>262.5</v>
      </c>
      <c r="O52" s="18">
        <f>IF($K$13="件数",SUMIFS(yj!$I:$I,yj!$B:$B,小圆机汇总表!$A52,yj!$G:$G,小圆机汇总表!$I$13&amp;"/"&amp;小圆机汇总表!$J$13&amp;"/"&amp;小圆机汇总表!O$14),SUMIFS(yj!$H:$H,yj!$B:$B,小圆机汇总表!$A52,yj!$G:$G,小圆机汇总表!$I$13&amp;"/"&amp;小圆机汇总表!$J$13&amp;"/"&amp;小圆机汇总表!O$14))</f>
        <v>323.2</v>
      </c>
      <c r="P52" s="18">
        <f>IF($K$13="件数",SUMIFS(yj!$I:$I,yj!$B:$B,小圆机汇总表!$A52,yj!$G:$G,小圆机汇总表!$I$13&amp;"/"&amp;小圆机汇总表!$J$13&amp;"/"&amp;小圆机汇总表!P$14),SUMIFS(yj!$H:$H,yj!$B:$B,小圆机汇总表!$A52,yj!$G:$G,小圆机汇总表!$I$13&amp;"/"&amp;小圆机汇总表!$J$13&amp;"/"&amp;小圆机汇总表!P$14))</f>
        <v>282.8</v>
      </c>
      <c r="Q52" s="18">
        <f>IF($K$13="件数",SUMIFS(yj!$I:$I,yj!$B:$B,小圆机汇总表!$A52,yj!$G:$G,小圆机汇总表!$I$13&amp;"/"&amp;小圆机汇总表!$J$13&amp;"/"&amp;小圆机汇总表!Q$14),SUMIFS(yj!$H:$H,yj!$B:$B,小圆机汇总表!$A52,yj!$G:$G,小圆机汇总表!$I$13&amp;"/"&amp;小圆机汇总表!$J$13&amp;"/"&amp;小圆机汇总表!Q$14))</f>
        <v>242.4</v>
      </c>
      <c r="R52" s="18">
        <f>IF($K$13="件数",SUMIFS(yj!$I:$I,yj!$B:$B,小圆机汇总表!$A52,yj!$G:$G,小圆机汇总表!$I$13&amp;"/"&amp;小圆机汇总表!$J$13&amp;"/"&amp;小圆机汇总表!R$14),SUMIFS(yj!$H:$H,yj!$B:$B,小圆机汇总表!$A52,yj!$G:$G,小圆机汇总表!$I$13&amp;"/"&amp;小圆机汇总表!$J$13&amp;"/"&amp;小圆机汇总表!R$14))</f>
        <v>282.8</v>
      </c>
      <c r="S52" s="18">
        <f>IF($K$13="件数",SUMIFS(yj!$I:$I,yj!$B:$B,小圆机汇总表!$A52,yj!$G:$G,小圆机汇总表!$I$13&amp;"/"&amp;小圆机汇总表!$J$13&amp;"/"&amp;小圆机汇总表!S$14),SUMIFS(yj!$H:$H,yj!$B:$B,小圆机汇总表!$A52,yj!$G:$G,小圆机汇总表!$I$13&amp;"/"&amp;小圆机汇总表!$J$13&amp;"/"&amp;小圆机汇总表!S$14))</f>
        <v>0</v>
      </c>
      <c r="T52" s="18">
        <f>IF($K$13="件数",SUMIFS(yj!$I:$I,yj!$B:$B,小圆机汇总表!$A52,yj!$G:$G,小圆机汇总表!$I$13&amp;"/"&amp;小圆机汇总表!$J$13&amp;"/"&amp;小圆机汇总表!T$14),SUMIFS(yj!$H:$H,yj!$B:$B,小圆机汇总表!$A52,yj!$G:$G,小圆机汇总表!$I$13&amp;"/"&amp;小圆机汇总表!$J$13&amp;"/"&amp;小圆机汇总表!T$14))</f>
        <v>0</v>
      </c>
      <c r="U52" s="18">
        <f>IF($K$13="件数",SUMIFS(yj!$I:$I,yj!$B:$B,小圆机汇总表!$A52,yj!$G:$G,小圆机汇总表!$I$13&amp;"/"&amp;小圆机汇总表!$J$13&amp;"/"&amp;小圆机汇总表!U$14),SUMIFS(yj!$H:$H,yj!$B:$B,小圆机汇总表!$A52,yj!$G:$G,小圆机汇总表!$I$13&amp;"/"&amp;小圆机汇总表!$J$13&amp;"/"&amp;小圆机汇总表!U$14))</f>
        <v>0</v>
      </c>
      <c r="V52" s="18">
        <f>IF($K$13="件数",SUMIFS(yj!$I:$I,yj!$B:$B,小圆机汇总表!$A52,yj!$G:$G,小圆机汇总表!$I$13&amp;"/"&amp;小圆机汇总表!$J$13&amp;"/"&amp;小圆机汇总表!V$14),SUMIFS(yj!$H:$H,yj!$B:$B,小圆机汇总表!$A52,yj!$G:$G,小圆机汇总表!$I$13&amp;"/"&amp;小圆机汇总表!$J$13&amp;"/"&amp;小圆机汇总表!V$14))</f>
        <v>0</v>
      </c>
      <c r="W52" s="18">
        <f>IF($K$13="件数",SUMIFS(yj!$I:$I,yj!$B:$B,小圆机汇总表!$A52,yj!$G:$G,小圆机汇总表!$I$13&amp;"/"&amp;小圆机汇总表!$J$13&amp;"/"&amp;小圆机汇总表!W$14),SUMIFS(yj!$H:$H,yj!$B:$B,小圆机汇总表!$A52,yj!$G:$G,小圆机汇总表!$I$13&amp;"/"&amp;小圆机汇总表!$J$13&amp;"/"&amp;小圆机汇总表!W$14))</f>
        <v>0</v>
      </c>
      <c r="X52" s="18">
        <f>IF($K$13="件数",SUMIFS(yj!$I:$I,yj!$B:$B,小圆机汇总表!$A52,yj!$G:$G,小圆机汇总表!$I$13&amp;"/"&amp;小圆机汇总表!$J$13&amp;"/"&amp;小圆机汇总表!X$14),SUMIFS(yj!$H:$H,yj!$B:$B,小圆机汇总表!$A52,yj!$G:$G,小圆机汇总表!$I$13&amp;"/"&amp;小圆机汇总表!$J$13&amp;"/"&amp;小圆机汇总表!X$14))</f>
        <v>0</v>
      </c>
      <c r="Y52" s="18">
        <f>IF($K$13="件数",SUMIFS(yj!$I:$I,yj!$B:$B,小圆机汇总表!$A52,yj!$G:$G,小圆机汇总表!$I$13&amp;"/"&amp;小圆机汇总表!$J$13&amp;"/"&amp;小圆机汇总表!Y$14),SUMIFS(yj!$H:$H,yj!$B:$B,小圆机汇总表!$A52,yj!$G:$G,小圆机汇总表!$I$13&amp;"/"&amp;小圆机汇总表!$J$13&amp;"/"&amp;小圆机汇总表!Y$14))</f>
        <v>0</v>
      </c>
      <c r="Z52" s="18">
        <f>IF($K$13="件数",SUMIFS(yj!$I:$I,yj!$B:$B,小圆机汇总表!$A52,yj!$G:$G,小圆机汇总表!$I$13&amp;"/"&amp;小圆机汇总表!$J$13&amp;"/"&amp;小圆机汇总表!Z$14),SUMIFS(yj!$H:$H,yj!$B:$B,小圆机汇总表!$A52,yj!$G:$G,小圆机汇总表!$I$13&amp;"/"&amp;小圆机汇总表!$J$13&amp;"/"&amp;小圆机汇总表!Z$14))</f>
        <v>0</v>
      </c>
      <c r="AA52" s="18">
        <f>IF($K$13="件数",SUMIFS(yj!$I:$I,yj!$B:$B,小圆机汇总表!$A52,yj!$G:$G,小圆机汇总表!$I$13&amp;"/"&amp;小圆机汇总表!$J$13&amp;"/"&amp;小圆机汇总表!AA$14),SUMIFS(yj!$H:$H,yj!$B:$B,小圆机汇总表!$A52,yj!$G:$G,小圆机汇总表!$I$13&amp;"/"&amp;小圆机汇总表!$J$13&amp;"/"&amp;小圆机汇总表!AA$14))</f>
        <v>0</v>
      </c>
      <c r="AB52" s="18">
        <f>IF($K$13="件数",SUMIFS(yj!$I:$I,yj!$B:$B,小圆机汇总表!$A52,yj!$G:$G,小圆机汇总表!$I$13&amp;"/"&amp;小圆机汇总表!$J$13&amp;"/"&amp;小圆机汇总表!AB$14),SUMIFS(yj!$H:$H,yj!$B:$B,小圆机汇总表!$A52,yj!$G:$G,小圆机汇总表!$I$13&amp;"/"&amp;小圆机汇总表!$J$13&amp;"/"&amp;小圆机汇总表!AB$14))</f>
        <v>0</v>
      </c>
      <c r="AC52" s="18">
        <f>IF($K$13="件数",SUMIFS(yj!$I:$I,yj!$B:$B,小圆机汇总表!$A52,yj!$G:$G,小圆机汇总表!$I$13&amp;"/"&amp;小圆机汇总表!$J$13&amp;"/"&amp;小圆机汇总表!AC$14),SUMIFS(yj!$H:$H,yj!$B:$B,小圆机汇总表!$A52,yj!$G:$G,小圆机汇总表!$I$13&amp;"/"&amp;小圆机汇总表!$J$13&amp;"/"&amp;小圆机汇总表!AC$14))</f>
        <v>0</v>
      </c>
      <c r="AD52" s="18">
        <f>IF($K$13="件数",SUMIFS(yj!$I:$I,yj!$B:$B,小圆机汇总表!$A52,yj!$G:$G,小圆机汇总表!$I$13&amp;"/"&amp;小圆机汇总表!$J$13&amp;"/"&amp;小圆机汇总表!AD$14),SUMIFS(yj!$H:$H,yj!$B:$B,小圆机汇总表!$A52,yj!$G:$G,小圆机汇总表!$I$13&amp;"/"&amp;小圆机汇总表!$J$13&amp;"/"&amp;小圆机汇总表!AD$14))</f>
        <v>0</v>
      </c>
      <c r="AE52" s="18">
        <f>IF($K$13="件数",SUMIFS(yj!$I:$I,yj!$B:$B,小圆机汇总表!$A52,yj!$G:$G,小圆机汇总表!$I$13&amp;"/"&amp;小圆机汇总表!$J$13&amp;"/"&amp;小圆机汇总表!AE$14),SUMIFS(yj!$H:$H,yj!$B:$B,小圆机汇总表!$A52,yj!$G:$G,小圆机汇总表!$I$13&amp;"/"&amp;小圆机汇总表!$J$13&amp;"/"&amp;小圆机汇总表!AE$14))</f>
        <v>0</v>
      </c>
      <c r="AF52" s="18">
        <f>IF($K$13="件数",SUMIFS(yj!$I:$I,yj!$B:$B,小圆机汇总表!$A52,yj!$G:$G,小圆机汇总表!$I$13&amp;"/"&amp;小圆机汇总表!$J$13&amp;"/"&amp;小圆机汇总表!AF$14),SUMIFS(yj!$H:$H,yj!$B:$B,小圆机汇总表!$A52,yj!$G:$G,小圆机汇总表!$I$13&amp;"/"&amp;小圆机汇总表!$J$13&amp;"/"&amp;小圆机汇总表!AF$14))</f>
        <v>0</v>
      </c>
      <c r="AG52" s="18">
        <f>IF($K$13="件数",SUMIFS(yj!$I:$I,yj!$B:$B,小圆机汇总表!$A52,yj!$G:$G,小圆机汇总表!$I$13&amp;"/"&amp;小圆机汇总表!$J$13&amp;"/"&amp;小圆机汇总表!AG$14),SUMIFS(yj!$H:$H,yj!$B:$B,小圆机汇总表!$A52,yj!$G:$G,小圆机汇总表!$I$13&amp;"/"&amp;小圆机汇总表!$J$13&amp;"/"&amp;小圆机汇总表!AG$14))</f>
        <v>0</v>
      </c>
      <c r="AH52" s="18">
        <f>IF($K$13="件数",SUMIFS(yj!$I:$I,yj!$B:$B,小圆机汇总表!$A52,yj!$G:$G,小圆机汇总表!$I$13&amp;"/"&amp;小圆机汇总表!$J$13&amp;"/"&amp;小圆机汇总表!AH$14),SUMIFS(yj!$H:$H,yj!$B:$B,小圆机汇总表!$A52,yj!$G:$G,小圆机汇总表!$I$13&amp;"/"&amp;小圆机汇总表!$J$13&amp;"/"&amp;小圆机汇总表!AH$14))</f>
        <v>0</v>
      </c>
      <c r="AI52" s="18">
        <f>IF($K$13="件数",SUMIFS(yj!$I:$I,yj!$B:$B,小圆机汇总表!$A52,yj!$G:$G,小圆机汇总表!$I$13&amp;"/"&amp;小圆机汇总表!$J$13&amp;"/"&amp;小圆机汇总表!AI$14),SUMIFS(yj!$H:$H,yj!$B:$B,小圆机汇总表!$A52,yj!$G:$G,小圆机汇总表!$I$13&amp;"/"&amp;小圆机汇总表!$J$13&amp;"/"&amp;小圆机汇总表!AI$14))</f>
        <v>0</v>
      </c>
      <c r="AJ52" s="18">
        <f>IF($K$13="件数",SUMIFS(yj!$I:$I,yj!$B:$B,小圆机汇总表!$A52,yj!$G:$G,小圆机汇总表!$I$13&amp;"/"&amp;小圆机汇总表!$J$13&amp;"/"&amp;小圆机汇总表!AJ$14),SUMIFS(yj!$H:$H,yj!$B:$B,小圆机汇总表!$A52,yj!$G:$G,小圆机汇总表!$I$13&amp;"/"&amp;小圆机汇总表!$J$13&amp;"/"&amp;小圆机汇总表!AJ$14))</f>
        <v>0</v>
      </c>
      <c r="AK52" s="18">
        <f>IF($K$13="件数",SUMIFS(yj!$I:$I,yj!$B:$B,小圆机汇总表!$A52,yj!$G:$G,小圆机汇总表!$I$13&amp;"/"&amp;小圆机汇总表!$J$13&amp;"/"&amp;小圆机汇总表!AK$14),SUMIFS(yj!$H:$H,yj!$B:$B,小圆机汇总表!$A52,yj!$G:$G,小圆机汇总表!$I$13&amp;"/"&amp;小圆机汇总表!$J$13&amp;"/"&amp;小圆机汇总表!AK$14))</f>
        <v>0</v>
      </c>
      <c r="AL52" s="18">
        <f>IF($K$13="件数",SUMIFS(yj!$I:$I,yj!$B:$B,小圆机汇总表!$A52,yj!$G:$G,小圆机汇总表!$I$13&amp;"/"&amp;小圆机汇总表!$J$13&amp;"/"&amp;小圆机汇总表!AL$14),SUMIFS(yj!$H:$H,yj!$B:$B,小圆机汇总表!$A52,yj!$G:$G,小圆机汇总表!$I$13&amp;"/"&amp;小圆机汇总表!$J$13&amp;"/"&amp;小圆机汇总表!AL$14))</f>
        <v>0</v>
      </c>
      <c r="AM52" s="18">
        <f>IF($K$13="件数",SUMIFS(yj!$I:$I,yj!$B:$B,小圆机汇总表!$A52,yj!$G:$G,小圆机汇总表!$I$13&amp;"/"&amp;小圆机汇总表!$J$13&amp;"/"&amp;小圆机汇总表!AM$14),SUMIFS(yj!$H:$H,yj!$B:$B,小圆机汇总表!$A52,yj!$G:$G,小圆机汇总表!$I$13&amp;"/"&amp;小圆机汇总表!$J$13&amp;"/"&amp;小圆机汇总表!AM$14))</f>
        <v>0</v>
      </c>
      <c r="AN52" s="18">
        <f>IF($K$13="件数",SUMIFS(yj!$I:$I,yj!$B:$B,小圆机汇总表!$A52,yj!$G:$G,小圆机汇总表!$I$13&amp;"/"&amp;小圆机汇总表!$J$13&amp;"/"&amp;小圆机汇总表!AN$14),SUMIFS(yj!$H:$H,yj!$B:$B,小圆机汇总表!$A52,yj!$G:$G,小圆机汇总表!$I$13&amp;"/"&amp;小圆机汇总表!$J$13&amp;"/"&amp;小圆机汇总表!AN$14))</f>
        <v>0</v>
      </c>
      <c r="AO52" s="18">
        <f>IF($K$13="件数",SUMIFS(yj!$I:$I,yj!$B:$B,小圆机汇总表!$A52,yj!$G:$G,小圆机汇总表!$I$13&amp;"/"&amp;小圆机汇总表!$J$13&amp;"/"&amp;小圆机汇总表!AO$14),SUMIFS(yj!$H:$H,yj!$B:$B,小圆机汇总表!$A52,yj!$G:$G,小圆机汇总表!$I$13&amp;"/"&amp;小圆机汇总表!$J$13&amp;"/"&amp;小圆机汇总表!AO$14))</f>
        <v>0</v>
      </c>
      <c r="AP52" s="18">
        <f>IF($K$13="件数",SUMIFS(yj!$I:$I,yj!$B:$B,小圆机汇总表!$A52,yj!$G:$G,小圆机汇总表!$I$13&amp;"/"&amp;小圆机汇总表!$J$13&amp;"/"&amp;小圆机汇总表!AP$14),SUMIFS(yj!$H:$H,yj!$B:$B,小圆机汇总表!$A52,yj!$G:$G,小圆机汇总表!$I$13&amp;"/"&amp;小圆机汇总表!$J$13&amp;"/"&amp;小圆机汇总表!AP$14))</f>
        <v>0</v>
      </c>
      <c r="AQ52" s="18">
        <f>IF($K$13="件数",SUMIFS(yj!$I:$I,yj!$B:$B,小圆机汇总表!$A52,yj!$G:$G,小圆机汇总表!$I$13&amp;"/"&amp;小圆机汇总表!$J$13&amp;"/"&amp;小圆机汇总表!AQ$14),SUMIFS(yj!$H:$H,yj!$B:$B,小圆机汇总表!$A52,yj!$G:$G,小圆机汇总表!$I$13&amp;"/"&amp;小圆机汇总表!$J$13&amp;"/"&amp;小圆机汇总表!AQ$14))</f>
        <v>0</v>
      </c>
    </row>
    <row r="53" spans="1:43" ht="18" hidden="1" customHeight="1">
      <c r="A53" s="13" t="s">
        <v>99</v>
      </c>
      <c r="B53" s="14" t="s">
        <v>1002</v>
      </c>
      <c r="C53" s="17">
        <v>75</v>
      </c>
      <c r="D53" s="17" t="s">
        <v>44</v>
      </c>
      <c r="E53" s="13" t="s">
        <v>2</v>
      </c>
      <c r="F53" s="13">
        <v>160</v>
      </c>
      <c r="G53" s="13">
        <v>49</v>
      </c>
      <c r="H53" s="14" t="s">
        <v>39</v>
      </c>
      <c r="I53" s="13"/>
      <c r="J53" s="182">
        <f ca="1">IF(SUMIFS(yj!$I:$I,yj!$B:$B,小圆机汇总表!A53,yj!$G:$G,小圆机汇总表!$L$13)&gt;0,SUMIFS(yj!$H:$H,yj!$B:$B,小圆机汇总表!A53,yj!$G:$G,小圆机汇总表!$L$13),0)</f>
        <v>0</v>
      </c>
      <c r="K53" s="15">
        <f>SUMIFS(yj!$H:$H,yj!$B:$B,小圆机汇总表!A53,yj!$M:$M,小圆机汇总表!$J$13)</f>
        <v>0</v>
      </c>
      <c r="L53" s="15">
        <f>SUMIFS(yj!$I:$I,yj!$B:$B,小圆机汇总表!A53,yj!$M:$M,小圆机汇总表!$J$13)</f>
        <v>0</v>
      </c>
      <c r="M53" s="18">
        <f>IF($K$13="件数",SUMIFS(yj!$I:$I,yj!$B:$B,小圆机汇总表!$A53,yj!$G:$G,小圆机汇总表!$I$13&amp;"/"&amp;小圆机汇总表!$J$13&amp;"/"&amp;小圆机汇总表!M$14),SUMIFS(yj!$H:$H,yj!$B:$B,小圆机汇总表!$A53,yj!$G:$G,小圆机汇总表!$I$13&amp;"/"&amp;小圆机汇总表!$J$13&amp;"/"&amp;小圆机汇总表!M$14))</f>
        <v>0</v>
      </c>
      <c r="N53" s="18">
        <f>IF($K$13="件数",SUMIFS(yj!$I:$I,yj!$B:$B,小圆机汇总表!$A53,yj!$G:$G,小圆机汇总表!$I$13&amp;"/"&amp;小圆机汇总表!$J$13&amp;"/"&amp;小圆机汇总表!N$14),SUMIFS(yj!$H:$H,yj!$B:$B,小圆机汇总表!$A53,yj!$G:$G,小圆机汇总表!$I$13&amp;"/"&amp;小圆机汇总表!$J$13&amp;"/"&amp;小圆机汇总表!N$14))</f>
        <v>0</v>
      </c>
      <c r="O53" s="18">
        <f>IF($K$13="件数",SUMIFS(yj!$I:$I,yj!$B:$B,小圆机汇总表!$A53,yj!$G:$G,小圆机汇总表!$I$13&amp;"/"&amp;小圆机汇总表!$J$13&amp;"/"&amp;小圆机汇总表!O$14),SUMIFS(yj!$H:$H,yj!$B:$B,小圆机汇总表!$A53,yj!$G:$G,小圆机汇总表!$I$13&amp;"/"&amp;小圆机汇总表!$J$13&amp;"/"&amp;小圆机汇总表!O$14))</f>
        <v>0</v>
      </c>
      <c r="P53" s="18">
        <f>IF($K$13="件数",SUMIFS(yj!$I:$I,yj!$B:$B,小圆机汇总表!$A53,yj!$G:$G,小圆机汇总表!$I$13&amp;"/"&amp;小圆机汇总表!$J$13&amp;"/"&amp;小圆机汇总表!P$14),SUMIFS(yj!$H:$H,yj!$B:$B,小圆机汇总表!$A53,yj!$G:$G,小圆机汇总表!$I$13&amp;"/"&amp;小圆机汇总表!$J$13&amp;"/"&amp;小圆机汇总表!P$14))</f>
        <v>0</v>
      </c>
      <c r="Q53" s="18">
        <f>IF($K$13="件数",SUMIFS(yj!$I:$I,yj!$B:$B,小圆机汇总表!$A53,yj!$G:$G,小圆机汇总表!$I$13&amp;"/"&amp;小圆机汇总表!$J$13&amp;"/"&amp;小圆机汇总表!Q$14),SUMIFS(yj!$H:$H,yj!$B:$B,小圆机汇总表!$A53,yj!$G:$G,小圆机汇总表!$I$13&amp;"/"&amp;小圆机汇总表!$J$13&amp;"/"&amp;小圆机汇总表!Q$14))</f>
        <v>0</v>
      </c>
      <c r="R53" s="18">
        <f>IF($K$13="件数",SUMIFS(yj!$I:$I,yj!$B:$B,小圆机汇总表!$A53,yj!$G:$G,小圆机汇总表!$I$13&amp;"/"&amp;小圆机汇总表!$J$13&amp;"/"&amp;小圆机汇总表!R$14),SUMIFS(yj!$H:$H,yj!$B:$B,小圆机汇总表!$A53,yj!$G:$G,小圆机汇总表!$I$13&amp;"/"&amp;小圆机汇总表!$J$13&amp;"/"&amp;小圆机汇总表!R$14))</f>
        <v>0</v>
      </c>
      <c r="S53" s="18">
        <f>IF($K$13="件数",SUMIFS(yj!$I:$I,yj!$B:$B,小圆机汇总表!$A53,yj!$G:$G,小圆机汇总表!$I$13&amp;"/"&amp;小圆机汇总表!$J$13&amp;"/"&amp;小圆机汇总表!S$14),SUMIFS(yj!$H:$H,yj!$B:$B,小圆机汇总表!$A53,yj!$G:$G,小圆机汇总表!$I$13&amp;"/"&amp;小圆机汇总表!$J$13&amp;"/"&amp;小圆机汇总表!S$14))</f>
        <v>0</v>
      </c>
      <c r="T53" s="18">
        <f>IF($K$13="件数",SUMIFS(yj!$I:$I,yj!$B:$B,小圆机汇总表!$A53,yj!$G:$G,小圆机汇总表!$I$13&amp;"/"&amp;小圆机汇总表!$J$13&amp;"/"&amp;小圆机汇总表!T$14),SUMIFS(yj!$H:$H,yj!$B:$B,小圆机汇总表!$A53,yj!$G:$G,小圆机汇总表!$I$13&amp;"/"&amp;小圆机汇总表!$J$13&amp;"/"&amp;小圆机汇总表!T$14))</f>
        <v>0</v>
      </c>
      <c r="U53" s="18">
        <f>IF($K$13="件数",SUMIFS(yj!$I:$I,yj!$B:$B,小圆机汇总表!$A53,yj!$G:$G,小圆机汇总表!$I$13&amp;"/"&amp;小圆机汇总表!$J$13&amp;"/"&amp;小圆机汇总表!U$14),SUMIFS(yj!$H:$H,yj!$B:$B,小圆机汇总表!$A53,yj!$G:$G,小圆机汇总表!$I$13&amp;"/"&amp;小圆机汇总表!$J$13&amp;"/"&amp;小圆机汇总表!U$14))</f>
        <v>0</v>
      </c>
      <c r="V53" s="18">
        <f>IF($K$13="件数",SUMIFS(yj!$I:$I,yj!$B:$B,小圆机汇总表!$A53,yj!$G:$G,小圆机汇总表!$I$13&amp;"/"&amp;小圆机汇总表!$J$13&amp;"/"&amp;小圆机汇总表!V$14),SUMIFS(yj!$H:$H,yj!$B:$B,小圆机汇总表!$A53,yj!$G:$G,小圆机汇总表!$I$13&amp;"/"&amp;小圆机汇总表!$J$13&amp;"/"&amp;小圆机汇总表!V$14))</f>
        <v>0</v>
      </c>
      <c r="W53" s="18">
        <f>IF($K$13="件数",SUMIFS(yj!$I:$I,yj!$B:$B,小圆机汇总表!$A53,yj!$G:$G,小圆机汇总表!$I$13&amp;"/"&amp;小圆机汇总表!$J$13&amp;"/"&amp;小圆机汇总表!W$14),SUMIFS(yj!$H:$H,yj!$B:$B,小圆机汇总表!$A53,yj!$G:$G,小圆机汇总表!$I$13&amp;"/"&amp;小圆机汇总表!$J$13&amp;"/"&amp;小圆机汇总表!W$14))</f>
        <v>0</v>
      </c>
      <c r="X53" s="18">
        <f>IF($K$13="件数",SUMIFS(yj!$I:$I,yj!$B:$B,小圆机汇总表!$A53,yj!$G:$G,小圆机汇总表!$I$13&amp;"/"&amp;小圆机汇总表!$J$13&amp;"/"&amp;小圆机汇总表!X$14),SUMIFS(yj!$H:$H,yj!$B:$B,小圆机汇总表!$A53,yj!$G:$G,小圆机汇总表!$I$13&amp;"/"&amp;小圆机汇总表!$J$13&amp;"/"&amp;小圆机汇总表!X$14))</f>
        <v>0</v>
      </c>
      <c r="Y53" s="18">
        <f>IF($K$13="件数",SUMIFS(yj!$I:$I,yj!$B:$B,小圆机汇总表!$A53,yj!$G:$G,小圆机汇总表!$I$13&amp;"/"&amp;小圆机汇总表!$J$13&amp;"/"&amp;小圆机汇总表!Y$14),SUMIFS(yj!$H:$H,yj!$B:$B,小圆机汇总表!$A53,yj!$G:$G,小圆机汇总表!$I$13&amp;"/"&amp;小圆机汇总表!$J$13&amp;"/"&amp;小圆机汇总表!Y$14))</f>
        <v>0</v>
      </c>
      <c r="Z53" s="18">
        <f>IF($K$13="件数",SUMIFS(yj!$I:$I,yj!$B:$B,小圆机汇总表!$A53,yj!$G:$G,小圆机汇总表!$I$13&amp;"/"&amp;小圆机汇总表!$J$13&amp;"/"&amp;小圆机汇总表!Z$14),SUMIFS(yj!$H:$H,yj!$B:$B,小圆机汇总表!$A53,yj!$G:$G,小圆机汇总表!$I$13&amp;"/"&amp;小圆机汇总表!$J$13&amp;"/"&amp;小圆机汇总表!Z$14))</f>
        <v>0</v>
      </c>
      <c r="AA53" s="18">
        <f>IF($K$13="件数",SUMIFS(yj!$I:$I,yj!$B:$B,小圆机汇总表!$A53,yj!$G:$G,小圆机汇总表!$I$13&amp;"/"&amp;小圆机汇总表!$J$13&amp;"/"&amp;小圆机汇总表!AA$14),SUMIFS(yj!$H:$H,yj!$B:$B,小圆机汇总表!$A53,yj!$G:$G,小圆机汇总表!$I$13&amp;"/"&amp;小圆机汇总表!$J$13&amp;"/"&amp;小圆机汇总表!AA$14))</f>
        <v>0</v>
      </c>
      <c r="AB53" s="18">
        <f>IF($K$13="件数",SUMIFS(yj!$I:$I,yj!$B:$B,小圆机汇总表!$A53,yj!$G:$G,小圆机汇总表!$I$13&amp;"/"&amp;小圆机汇总表!$J$13&amp;"/"&amp;小圆机汇总表!AB$14),SUMIFS(yj!$H:$H,yj!$B:$B,小圆机汇总表!$A53,yj!$G:$G,小圆机汇总表!$I$13&amp;"/"&amp;小圆机汇总表!$J$13&amp;"/"&amp;小圆机汇总表!AB$14))</f>
        <v>0</v>
      </c>
      <c r="AC53" s="18">
        <f>IF($K$13="件数",SUMIFS(yj!$I:$I,yj!$B:$B,小圆机汇总表!$A53,yj!$G:$G,小圆机汇总表!$I$13&amp;"/"&amp;小圆机汇总表!$J$13&amp;"/"&amp;小圆机汇总表!AC$14),SUMIFS(yj!$H:$H,yj!$B:$B,小圆机汇总表!$A53,yj!$G:$G,小圆机汇总表!$I$13&amp;"/"&amp;小圆机汇总表!$J$13&amp;"/"&amp;小圆机汇总表!AC$14))</f>
        <v>0</v>
      </c>
      <c r="AD53" s="18">
        <f>IF($K$13="件数",SUMIFS(yj!$I:$I,yj!$B:$B,小圆机汇总表!$A53,yj!$G:$G,小圆机汇总表!$I$13&amp;"/"&amp;小圆机汇总表!$J$13&amp;"/"&amp;小圆机汇总表!AD$14),SUMIFS(yj!$H:$H,yj!$B:$B,小圆机汇总表!$A53,yj!$G:$G,小圆机汇总表!$I$13&amp;"/"&amp;小圆机汇总表!$J$13&amp;"/"&amp;小圆机汇总表!AD$14))</f>
        <v>0</v>
      </c>
      <c r="AE53" s="18">
        <f>IF($K$13="件数",SUMIFS(yj!$I:$I,yj!$B:$B,小圆机汇总表!$A53,yj!$G:$G,小圆机汇总表!$I$13&amp;"/"&amp;小圆机汇总表!$J$13&amp;"/"&amp;小圆机汇总表!AE$14),SUMIFS(yj!$H:$H,yj!$B:$B,小圆机汇总表!$A53,yj!$G:$G,小圆机汇总表!$I$13&amp;"/"&amp;小圆机汇总表!$J$13&amp;"/"&amp;小圆机汇总表!AE$14))</f>
        <v>0</v>
      </c>
      <c r="AF53" s="18">
        <f>IF($K$13="件数",SUMIFS(yj!$I:$I,yj!$B:$B,小圆机汇总表!$A53,yj!$G:$G,小圆机汇总表!$I$13&amp;"/"&amp;小圆机汇总表!$J$13&amp;"/"&amp;小圆机汇总表!AF$14),SUMIFS(yj!$H:$H,yj!$B:$B,小圆机汇总表!$A53,yj!$G:$G,小圆机汇总表!$I$13&amp;"/"&amp;小圆机汇总表!$J$13&amp;"/"&amp;小圆机汇总表!AF$14))</f>
        <v>0</v>
      </c>
      <c r="AG53" s="18">
        <f>IF($K$13="件数",SUMIFS(yj!$I:$I,yj!$B:$B,小圆机汇总表!$A53,yj!$G:$G,小圆机汇总表!$I$13&amp;"/"&amp;小圆机汇总表!$J$13&amp;"/"&amp;小圆机汇总表!AG$14),SUMIFS(yj!$H:$H,yj!$B:$B,小圆机汇总表!$A53,yj!$G:$G,小圆机汇总表!$I$13&amp;"/"&amp;小圆机汇总表!$J$13&amp;"/"&amp;小圆机汇总表!AG$14))</f>
        <v>0</v>
      </c>
      <c r="AH53" s="18">
        <f>IF($K$13="件数",SUMIFS(yj!$I:$I,yj!$B:$B,小圆机汇总表!$A53,yj!$G:$G,小圆机汇总表!$I$13&amp;"/"&amp;小圆机汇总表!$J$13&amp;"/"&amp;小圆机汇总表!AH$14),SUMIFS(yj!$H:$H,yj!$B:$B,小圆机汇总表!$A53,yj!$G:$G,小圆机汇总表!$I$13&amp;"/"&amp;小圆机汇总表!$J$13&amp;"/"&amp;小圆机汇总表!AH$14))</f>
        <v>0</v>
      </c>
      <c r="AI53" s="18">
        <f>IF($K$13="件数",SUMIFS(yj!$I:$I,yj!$B:$B,小圆机汇总表!$A53,yj!$G:$G,小圆机汇总表!$I$13&amp;"/"&amp;小圆机汇总表!$J$13&amp;"/"&amp;小圆机汇总表!AI$14),SUMIFS(yj!$H:$H,yj!$B:$B,小圆机汇总表!$A53,yj!$G:$G,小圆机汇总表!$I$13&amp;"/"&amp;小圆机汇总表!$J$13&amp;"/"&amp;小圆机汇总表!AI$14))</f>
        <v>0</v>
      </c>
      <c r="AJ53" s="18">
        <f>IF($K$13="件数",SUMIFS(yj!$I:$I,yj!$B:$B,小圆机汇总表!$A53,yj!$G:$G,小圆机汇总表!$I$13&amp;"/"&amp;小圆机汇总表!$J$13&amp;"/"&amp;小圆机汇总表!AJ$14),SUMIFS(yj!$H:$H,yj!$B:$B,小圆机汇总表!$A53,yj!$G:$G,小圆机汇总表!$I$13&amp;"/"&amp;小圆机汇总表!$J$13&amp;"/"&amp;小圆机汇总表!AJ$14))</f>
        <v>0</v>
      </c>
      <c r="AK53" s="18">
        <f>IF($K$13="件数",SUMIFS(yj!$I:$I,yj!$B:$B,小圆机汇总表!$A53,yj!$G:$G,小圆机汇总表!$I$13&amp;"/"&amp;小圆机汇总表!$J$13&amp;"/"&amp;小圆机汇总表!AK$14),SUMIFS(yj!$H:$H,yj!$B:$B,小圆机汇总表!$A53,yj!$G:$G,小圆机汇总表!$I$13&amp;"/"&amp;小圆机汇总表!$J$13&amp;"/"&amp;小圆机汇总表!AK$14))</f>
        <v>0</v>
      </c>
      <c r="AL53" s="18">
        <f>IF($K$13="件数",SUMIFS(yj!$I:$I,yj!$B:$B,小圆机汇总表!$A53,yj!$G:$G,小圆机汇总表!$I$13&amp;"/"&amp;小圆机汇总表!$J$13&amp;"/"&amp;小圆机汇总表!AL$14),SUMIFS(yj!$H:$H,yj!$B:$B,小圆机汇总表!$A53,yj!$G:$G,小圆机汇总表!$I$13&amp;"/"&amp;小圆机汇总表!$J$13&amp;"/"&amp;小圆机汇总表!AL$14))</f>
        <v>0</v>
      </c>
      <c r="AM53" s="18">
        <f>IF($K$13="件数",SUMIFS(yj!$I:$I,yj!$B:$B,小圆机汇总表!$A53,yj!$G:$G,小圆机汇总表!$I$13&amp;"/"&amp;小圆机汇总表!$J$13&amp;"/"&amp;小圆机汇总表!AM$14),SUMIFS(yj!$H:$H,yj!$B:$B,小圆机汇总表!$A53,yj!$G:$G,小圆机汇总表!$I$13&amp;"/"&amp;小圆机汇总表!$J$13&amp;"/"&amp;小圆机汇总表!AM$14))</f>
        <v>0</v>
      </c>
      <c r="AN53" s="18">
        <f>IF($K$13="件数",SUMIFS(yj!$I:$I,yj!$B:$B,小圆机汇总表!$A53,yj!$G:$G,小圆机汇总表!$I$13&amp;"/"&amp;小圆机汇总表!$J$13&amp;"/"&amp;小圆机汇总表!AN$14),SUMIFS(yj!$H:$H,yj!$B:$B,小圆机汇总表!$A53,yj!$G:$G,小圆机汇总表!$I$13&amp;"/"&amp;小圆机汇总表!$J$13&amp;"/"&amp;小圆机汇总表!AN$14))</f>
        <v>0</v>
      </c>
      <c r="AO53" s="18">
        <f>IF($K$13="件数",SUMIFS(yj!$I:$I,yj!$B:$B,小圆机汇总表!$A53,yj!$G:$G,小圆机汇总表!$I$13&amp;"/"&amp;小圆机汇总表!$J$13&amp;"/"&amp;小圆机汇总表!AO$14),SUMIFS(yj!$H:$H,yj!$B:$B,小圆机汇总表!$A53,yj!$G:$G,小圆机汇总表!$I$13&amp;"/"&amp;小圆机汇总表!$J$13&amp;"/"&amp;小圆机汇总表!AO$14))</f>
        <v>0</v>
      </c>
      <c r="AP53" s="18">
        <f>IF($K$13="件数",SUMIFS(yj!$I:$I,yj!$B:$B,小圆机汇总表!$A53,yj!$G:$G,小圆机汇总表!$I$13&amp;"/"&amp;小圆机汇总表!$J$13&amp;"/"&amp;小圆机汇总表!AP$14),SUMIFS(yj!$H:$H,yj!$B:$B,小圆机汇总表!$A53,yj!$G:$G,小圆机汇总表!$I$13&amp;"/"&amp;小圆机汇总表!$J$13&amp;"/"&amp;小圆机汇总表!AP$14))</f>
        <v>0</v>
      </c>
      <c r="AQ53" s="18">
        <f>IF($K$13="件数",SUMIFS(yj!$I:$I,yj!$B:$B,小圆机汇总表!$A53,yj!$G:$G,小圆机汇总表!$I$13&amp;"/"&amp;小圆机汇总表!$J$13&amp;"/"&amp;小圆机汇总表!AQ$14),SUMIFS(yj!$H:$H,yj!$B:$B,小圆机汇总表!$A53,yj!$G:$G,小圆机汇总表!$I$13&amp;"/"&amp;小圆机汇总表!$J$13&amp;"/"&amp;小圆机汇总表!AQ$14))</f>
        <v>0</v>
      </c>
    </row>
    <row r="54" spans="1:43" ht="18" hidden="1" customHeight="1">
      <c r="A54" s="54" t="s">
        <v>101</v>
      </c>
      <c r="B54" s="14" t="s">
        <v>100</v>
      </c>
      <c r="C54" s="17">
        <v>75</v>
      </c>
      <c r="D54" s="17"/>
      <c r="E54" s="54"/>
      <c r="F54" s="54"/>
      <c r="G54" s="54"/>
      <c r="H54" s="14"/>
      <c r="I54" s="54"/>
      <c r="J54" s="182">
        <f ca="1">IF(SUMIFS(yj!$I:$I,yj!$B:$B,小圆机汇总表!A54,yj!$G:$G,小圆机汇总表!$L$13)&gt;0,SUMIFS(yj!$H:$H,yj!$B:$B,小圆机汇总表!A54,yj!$G:$G,小圆机汇总表!$L$13),0)</f>
        <v>0</v>
      </c>
      <c r="K54" s="15">
        <f>SUMIFS(yj!$H:$H,yj!$B:$B,小圆机汇总表!A54,yj!$M:$M,小圆机汇总表!$J$13)</f>
        <v>0</v>
      </c>
      <c r="L54" s="15">
        <f>SUMIFS(yj!$I:$I,yj!$B:$B,小圆机汇总表!A54,yj!$M:$M,小圆机汇总表!$J$13)</f>
        <v>0</v>
      </c>
      <c r="M54" s="18">
        <f>IF($K$13="件数",SUMIFS(yj!$I:$I,yj!$B:$B,小圆机汇总表!$A54,yj!$G:$G,小圆机汇总表!$I$13&amp;"/"&amp;小圆机汇总表!$J$13&amp;"/"&amp;小圆机汇总表!M$14),SUMIFS(yj!$H:$H,yj!$B:$B,小圆机汇总表!$A54,yj!$G:$G,小圆机汇总表!$I$13&amp;"/"&amp;小圆机汇总表!$J$13&amp;"/"&amp;小圆机汇总表!M$14))</f>
        <v>0</v>
      </c>
      <c r="N54" s="18">
        <f>IF($K$13="件数",SUMIFS(yj!$I:$I,yj!$B:$B,小圆机汇总表!$A54,yj!$G:$G,小圆机汇总表!$I$13&amp;"/"&amp;小圆机汇总表!$J$13&amp;"/"&amp;小圆机汇总表!N$14),SUMIFS(yj!$H:$H,yj!$B:$B,小圆机汇总表!$A54,yj!$G:$G,小圆机汇总表!$I$13&amp;"/"&amp;小圆机汇总表!$J$13&amp;"/"&amp;小圆机汇总表!N$14))</f>
        <v>0</v>
      </c>
      <c r="O54" s="18">
        <f>IF($K$13="件数",SUMIFS(yj!$I:$I,yj!$B:$B,小圆机汇总表!$A54,yj!$G:$G,小圆机汇总表!$I$13&amp;"/"&amp;小圆机汇总表!$J$13&amp;"/"&amp;小圆机汇总表!O$14),SUMIFS(yj!$H:$H,yj!$B:$B,小圆机汇总表!$A54,yj!$G:$G,小圆机汇总表!$I$13&amp;"/"&amp;小圆机汇总表!$J$13&amp;"/"&amp;小圆机汇总表!O$14))</f>
        <v>0</v>
      </c>
      <c r="P54" s="18">
        <f>IF($K$13="件数",SUMIFS(yj!$I:$I,yj!$B:$B,小圆机汇总表!$A54,yj!$G:$G,小圆机汇总表!$I$13&amp;"/"&amp;小圆机汇总表!$J$13&amp;"/"&amp;小圆机汇总表!P$14),SUMIFS(yj!$H:$H,yj!$B:$B,小圆机汇总表!$A54,yj!$G:$G,小圆机汇总表!$I$13&amp;"/"&amp;小圆机汇总表!$J$13&amp;"/"&amp;小圆机汇总表!P$14))</f>
        <v>0</v>
      </c>
      <c r="Q54" s="18">
        <f>IF($K$13="件数",SUMIFS(yj!$I:$I,yj!$B:$B,小圆机汇总表!$A54,yj!$G:$G,小圆机汇总表!$I$13&amp;"/"&amp;小圆机汇总表!$J$13&amp;"/"&amp;小圆机汇总表!Q$14),SUMIFS(yj!$H:$H,yj!$B:$B,小圆机汇总表!$A54,yj!$G:$G,小圆机汇总表!$I$13&amp;"/"&amp;小圆机汇总表!$J$13&amp;"/"&amp;小圆机汇总表!Q$14))</f>
        <v>0</v>
      </c>
      <c r="R54" s="18">
        <f>IF($K$13="件数",SUMIFS(yj!$I:$I,yj!$B:$B,小圆机汇总表!$A54,yj!$G:$G,小圆机汇总表!$I$13&amp;"/"&amp;小圆机汇总表!$J$13&amp;"/"&amp;小圆机汇总表!R$14),SUMIFS(yj!$H:$H,yj!$B:$B,小圆机汇总表!$A54,yj!$G:$G,小圆机汇总表!$I$13&amp;"/"&amp;小圆机汇总表!$J$13&amp;"/"&amp;小圆机汇总表!R$14))</f>
        <v>0</v>
      </c>
      <c r="S54" s="18">
        <f>IF($K$13="件数",SUMIFS(yj!$I:$I,yj!$B:$B,小圆机汇总表!$A54,yj!$G:$G,小圆机汇总表!$I$13&amp;"/"&amp;小圆机汇总表!$J$13&amp;"/"&amp;小圆机汇总表!S$14),SUMIFS(yj!$H:$H,yj!$B:$B,小圆机汇总表!$A54,yj!$G:$G,小圆机汇总表!$I$13&amp;"/"&amp;小圆机汇总表!$J$13&amp;"/"&amp;小圆机汇总表!S$14))</f>
        <v>0</v>
      </c>
      <c r="T54" s="18">
        <f>IF($K$13="件数",SUMIFS(yj!$I:$I,yj!$B:$B,小圆机汇总表!$A54,yj!$G:$G,小圆机汇总表!$I$13&amp;"/"&amp;小圆机汇总表!$J$13&amp;"/"&amp;小圆机汇总表!T$14),SUMIFS(yj!$H:$H,yj!$B:$B,小圆机汇总表!$A54,yj!$G:$G,小圆机汇总表!$I$13&amp;"/"&amp;小圆机汇总表!$J$13&amp;"/"&amp;小圆机汇总表!T$14))</f>
        <v>0</v>
      </c>
      <c r="U54" s="18">
        <f>IF($K$13="件数",SUMIFS(yj!$I:$I,yj!$B:$B,小圆机汇总表!$A54,yj!$G:$G,小圆机汇总表!$I$13&amp;"/"&amp;小圆机汇总表!$J$13&amp;"/"&amp;小圆机汇总表!U$14),SUMIFS(yj!$H:$H,yj!$B:$B,小圆机汇总表!$A54,yj!$G:$G,小圆机汇总表!$I$13&amp;"/"&amp;小圆机汇总表!$J$13&amp;"/"&amp;小圆机汇总表!U$14))</f>
        <v>0</v>
      </c>
      <c r="V54" s="18">
        <f>IF($K$13="件数",SUMIFS(yj!$I:$I,yj!$B:$B,小圆机汇总表!$A54,yj!$G:$G,小圆机汇总表!$I$13&amp;"/"&amp;小圆机汇总表!$J$13&amp;"/"&amp;小圆机汇总表!V$14),SUMIFS(yj!$H:$H,yj!$B:$B,小圆机汇总表!$A54,yj!$G:$G,小圆机汇总表!$I$13&amp;"/"&amp;小圆机汇总表!$J$13&amp;"/"&amp;小圆机汇总表!V$14))</f>
        <v>0</v>
      </c>
      <c r="W54" s="18">
        <f>IF($K$13="件数",SUMIFS(yj!$I:$I,yj!$B:$B,小圆机汇总表!$A54,yj!$G:$G,小圆机汇总表!$I$13&amp;"/"&amp;小圆机汇总表!$J$13&amp;"/"&amp;小圆机汇总表!W$14),SUMIFS(yj!$H:$H,yj!$B:$B,小圆机汇总表!$A54,yj!$G:$G,小圆机汇总表!$I$13&amp;"/"&amp;小圆机汇总表!$J$13&amp;"/"&amp;小圆机汇总表!W$14))</f>
        <v>0</v>
      </c>
      <c r="X54" s="18">
        <f>IF($K$13="件数",SUMIFS(yj!$I:$I,yj!$B:$B,小圆机汇总表!$A54,yj!$G:$G,小圆机汇总表!$I$13&amp;"/"&amp;小圆机汇总表!$J$13&amp;"/"&amp;小圆机汇总表!X$14),SUMIFS(yj!$H:$H,yj!$B:$B,小圆机汇总表!$A54,yj!$G:$G,小圆机汇总表!$I$13&amp;"/"&amp;小圆机汇总表!$J$13&amp;"/"&amp;小圆机汇总表!X$14))</f>
        <v>0</v>
      </c>
      <c r="Y54" s="18">
        <f>IF($K$13="件数",SUMIFS(yj!$I:$I,yj!$B:$B,小圆机汇总表!$A54,yj!$G:$G,小圆机汇总表!$I$13&amp;"/"&amp;小圆机汇总表!$J$13&amp;"/"&amp;小圆机汇总表!Y$14),SUMIFS(yj!$H:$H,yj!$B:$B,小圆机汇总表!$A54,yj!$G:$G,小圆机汇总表!$I$13&amp;"/"&amp;小圆机汇总表!$J$13&amp;"/"&amp;小圆机汇总表!Y$14))</f>
        <v>0</v>
      </c>
      <c r="Z54" s="18">
        <f>IF($K$13="件数",SUMIFS(yj!$I:$I,yj!$B:$B,小圆机汇总表!$A54,yj!$G:$G,小圆机汇总表!$I$13&amp;"/"&amp;小圆机汇总表!$J$13&amp;"/"&amp;小圆机汇总表!Z$14),SUMIFS(yj!$H:$H,yj!$B:$B,小圆机汇总表!$A54,yj!$G:$G,小圆机汇总表!$I$13&amp;"/"&amp;小圆机汇总表!$J$13&amp;"/"&amp;小圆机汇总表!Z$14))</f>
        <v>0</v>
      </c>
      <c r="AA54" s="18">
        <f>IF($K$13="件数",SUMIFS(yj!$I:$I,yj!$B:$B,小圆机汇总表!$A54,yj!$G:$G,小圆机汇总表!$I$13&amp;"/"&amp;小圆机汇总表!$J$13&amp;"/"&amp;小圆机汇总表!AA$14),SUMIFS(yj!$H:$H,yj!$B:$B,小圆机汇总表!$A54,yj!$G:$G,小圆机汇总表!$I$13&amp;"/"&amp;小圆机汇总表!$J$13&amp;"/"&amp;小圆机汇总表!AA$14))</f>
        <v>0</v>
      </c>
      <c r="AB54" s="18">
        <f>IF($K$13="件数",SUMIFS(yj!$I:$I,yj!$B:$B,小圆机汇总表!$A54,yj!$G:$G,小圆机汇总表!$I$13&amp;"/"&amp;小圆机汇总表!$J$13&amp;"/"&amp;小圆机汇总表!AB$14),SUMIFS(yj!$H:$H,yj!$B:$B,小圆机汇总表!$A54,yj!$G:$G,小圆机汇总表!$I$13&amp;"/"&amp;小圆机汇总表!$J$13&amp;"/"&amp;小圆机汇总表!AB$14))</f>
        <v>0</v>
      </c>
      <c r="AC54" s="18">
        <f>IF($K$13="件数",SUMIFS(yj!$I:$I,yj!$B:$B,小圆机汇总表!$A54,yj!$G:$G,小圆机汇总表!$I$13&amp;"/"&amp;小圆机汇总表!$J$13&amp;"/"&amp;小圆机汇总表!AC$14),SUMIFS(yj!$H:$H,yj!$B:$B,小圆机汇总表!$A54,yj!$G:$G,小圆机汇总表!$I$13&amp;"/"&amp;小圆机汇总表!$J$13&amp;"/"&amp;小圆机汇总表!AC$14))</f>
        <v>0</v>
      </c>
      <c r="AD54" s="18">
        <f>IF($K$13="件数",SUMIFS(yj!$I:$I,yj!$B:$B,小圆机汇总表!$A54,yj!$G:$G,小圆机汇总表!$I$13&amp;"/"&amp;小圆机汇总表!$J$13&amp;"/"&amp;小圆机汇总表!AD$14),SUMIFS(yj!$H:$H,yj!$B:$B,小圆机汇总表!$A54,yj!$G:$G,小圆机汇总表!$I$13&amp;"/"&amp;小圆机汇总表!$J$13&amp;"/"&amp;小圆机汇总表!AD$14))</f>
        <v>0</v>
      </c>
      <c r="AE54" s="18">
        <f>IF($K$13="件数",SUMIFS(yj!$I:$I,yj!$B:$B,小圆机汇总表!$A54,yj!$G:$G,小圆机汇总表!$I$13&amp;"/"&amp;小圆机汇总表!$J$13&amp;"/"&amp;小圆机汇总表!AE$14),SUMIFS(yj!$H:$H,yj!$B:$B,小圆机汇总表!$A54,yj!$G:$G,小圆机汇总表!$I$13&amp;"/"&amp;小圆机汇总表!$J$13&amp;"/"&amp;小圆机汇总表!AE$14))</f>
        <v>0</v>
      </c>
      <c r="AF54" s="18">
        <f>IF($K$13="件数",SUMIFS(yj!$I:$I,yj!$B:$B,小圆机汇总表!$A54,yj!$G:$G,小圆机汇总表!$I$13&amp;"/"&amp;小圆机汇总表!$J$13&amp;"/"&amp;小圆机汇总表!AF$14),SUMIFS(yj!$H:$H,yj!$B:$B,小圆机汇总表!$A54,yj!$G:$G,小圆机汇总表!$I$13&amp;"/"&amp;小圆机汇总表!$J$13&amp;"/"&amp;小圆机汇总表!AF$14))</f>
        <v>0</v>
      </c>
      <c r="AG54" s="18">
        <f>IF($K$13="件数",SUMIFS(yj!$I:$I,yj!$B:$B,小圆机汇总表!$A54,yj!$G:$G,小圆机汇总表!$I$13&amp;"/"&amp;小圆机汇总表!$J$13&amp;"/"&amp;小圆机汇总表!AG$14),SUMIFS(yj!$H:$H,yj!$B:$B,小圆机汇总表!$A54,yj!$G:$G,小圆机汇总表!$I$13&amp;"/"&amp;小圆机汇总表!$J$13&amp;"/"&amp;小圆机汇总表!AG$14))</f>
        <v>0</v>
      </c>
      <c r="AH54" s="18">
        <f>IF($K$13="件数",SUMIFS(yj!$I:$I,yj!$B:$B,小圆机汇总表!$A54,yj!$G:$G,小圆机汇总表!$I$13&amp;"/"&amp;小圆机汇总表!$J$13&amp;"/"&amp;小圆机汇总表!AH$14),SUMIFS(yj!$H:$H,yj!$B:$B,小圆机汇总表!$A54,yj!$G:$G,小圆机汇总表!$I$13&amp;"/"&amp;小圆机汇总表!$J$13&amp;"/"&amp;小圆机汇总表!AH$14))</f>
        <v>0</v>
      </c>
      <c r="AI54" s="18">
        <f>IF($K$13="件数",SUMIFS(yj!$I:$I,yj!$B:$B,小圆机汇总表!$A54,yj!$G:$G,小圆机汇总表!$I$13&amp;"/"&amp;小圆机汇总表!$J$13&amp;"/"&amp;小圆机汇总表!AI$14),SUMIFS(yj!$H:$H,yj!$B:$B,小圆机汇总表!$A54,yj!$G:$G,小圆机汇总表!$I$13&amp;"/"&amp;小圆机汇总表!$J$13&amp;"/"&amp;小圆机汇总表!AI$14))</f>
        <v>0</v>
      </c>
      <c r="AJ54" s="18">
        <f>IF($K$13="件数",SUMIFS(yj!$I:$I,yj!$B:$B,小圆机汇总表!$A54,yj!$G:$G,小圆机汇总表!$I$13&amp;"/"&amp;小圆机汇总表!$J$13&amp;"/"&amp;小圆机汇总表!AJ$14),SUMIFS(yj!$H:$H,yj!$B:$B,小圆机汇总表!$A54,yj!$G:$G,小圆机汇总表!$I$13&amp;"/"&amp;小圆机汇总表!$J$13&amp;"/"&amp;小圆机汇总表!AJ$14))</f>
        <v>0</v>
      </c>
      <c r="AK54" s="18">
        <f>IF($K$13="件数",SUMIFS(yj!$I:$I,yj!$B:$B,小圆机汇总表!$A54,yj!$G:$G,小圆机汇总表!$I$13&amp;"/"&amp;小圆机汇总表!$J$13&amp;"/"&amp;小圆机汇总表!AK$14),SUMIFS(yj!$H:$H,yj!$B:$B,小圆机汇总表!$A54,yj!$G:$G,小圆机汇总表!$I$13&amp;"/"&amp;小圆机汇总表!$J$13&amp;"/"&amp;小圆机汇总表!AK$14))</f>
        <v>0</v>
      </c>
      <c r="AL54" s="18">
        <f>IF($K$13="件数",SUMIFS(yj!$I:$I,yj!$B:$B,小圆机汇总表!$A54,yj!$G:$G,小圆机汇总表!$I$13&amp;"/"&amp;小圆机汇总表!$J$13&amp;"/"&amp;小圆机汇总表!AL$14),SUMIFS(yj!$H:$H,yj!$B:$B,小圆机汇总表!$A54,yj!$G:$G,小圆机汇总表!$I$13&amp;"/"&amp;小圆机汇总表!$J$13&amp;"/"&amp;小圆机汇总表!AL$14))</f>
        <v>0</v>
      </c>
      <c r="AM54" s="18">
        <f>IF($K$13="件数",SUMIFS(yj!$I:$I,yj!$B:$B,小圆机汇总表!$A54,yj!$G:$G,小圆机汇总表!$I$13&amp;"/"&amp;小圆机汇总表!$J$13&amp;"/"&amp;小圆机汇总表!AM$14),SUMIFS(yj!$H:$H,yj!$B:$B,小圆机汇总表!$A54,yj!$G:$G,小圆机汇总表!$I$13&amp;"/"&amp;小圆机汇总表!$J$13&amp;"/"&amp;小圆机汇总表!AM$14))</f>
        <v>0</v>
      </c>
      <c r="AN54" s="18">
        <f>IF($K$13="件数",SUMIFS(yj!$I:$I,yj!$B:$B,小圆机汇总表!$A54,yj!$G:$G,小圆机汇总表!$I$13&amp;"/"&amp;小圆机汇总表!$J$13&amp;"/"&amp;小圆机汇总表!AN$14),SUMIFS(yj!$H:$H,yj!$B:$B,小圆机汇总表!$A54,yj!$G:$G,小圆机汇总表!$I$13&amp;"/"&amp;小圆机汇总表!$J$13&amp;"/"&amp;小圆机汇总表!AN$14))</f>
        <v>0</v>
      </c>
      <c r="AO54" s="18">
        <f>IF($K$13="件数",SUMIFS(yj!$I:$I,yj!$B:$B,小圆机汇总表!$A54,yj!$G:$G,小圆机汇总表!$I$13&amp;"/"&amp;小圆机汇总表!$J$13&amp;"/"&amp;小圆机汇总表!AO$14),SUMIFS(yj!$H:$H,yj!$B:$B,小圆机汇总表!$A54,yj!$G:$G,小圆机汇总表!$I$13&amp;"/"&amp;小圆机汇总表!$J$13&amp;"/"&amp;小圆机汇总表!AO$14))</f>
        <v>0</v>
      </c>
      <c r="AP54" s="18">
        <f>IF($K$13="件数",SUMIFS(yj!$I:$I,yj!$B:$B,小圆机汇总表!$A54,yj!$G:$G,小圆机汇总表!$I$13&amp;"/"&amp;小圆机汇总表!$J$13&amp;"/"&amp;小圆机汇总表!AP$14),SUMIFS(yj!$H:$H,yj!$B:$B,小圆机汇总表!$A54,yj!$G:$G,小圆机汇总表!$I$13&amp;"/"&amp;小圆机汇总表!$J$13&amp;"/"&amp;小圆机汇总表!AP$14))</f>
        <v>0</v>
      </c>
      <c r="AQ54" s="18">
        <f>IF($K$13="件数",SUMIFS(yj!$I:$I,yj!$B:$B,小圆机汇总表!$A54,yj!$G:$G,小圆机汇总表!$I$13&amp;"/"&amp;小圆机汇总表!$J$13&amp;"/"&amp;小圆机汇总表!AQ$14),SUMIFS(yj!$H:$H,yj!$B:$B,小圆机汇总表!$A54,yj!$G:$G,小圆机汇总表!$I$13&amp;"/"&amp;小圆机汇总表!$J$13&amp;"/"&amp;小圆机汇总表!AQ$14))</f>
        <v>0</v>
      </c>
    </row>
    <row r="55" spans="1:43" ht="18" hidden="1" customHeight="1">
      <c r="A55" s="182" t="s">
        <v>103</v>
      </c>
      <c r="B55" s="176" t="s">
        <v>102</v>
      </c>
      <c r="C55" s="17">
        <v>75</v>
      </c>
      <c r="D55" s="17"/>
      <c r="E55" s="182"/>
      <c r="F55" s="13"/>
      <c r="G55" s="13"/>
      <c r="H55" s="176"/>
      <c r="I55" s="13"/>
      <c r="J55" s="182">
        <f ca="1">IF(SUMIFS(yj!$I:$I,yj!$B:$B,小圆机汇总表!A55,yj!$G:$G,小圆机汇总表!$L$13)&gt;0,SUMIFS(yj!$H:$H,yj!$B:$B,小圆机汇总表!A55,yj!$G:$G,小圆机汇总表!$L$13),0)</f>
        <v>0</v>
      </c>
      <c r="K55" s="15">
        <f>SUMIFS(yj!$H:$H,yj!$B:$B,小圆机汇总表!A55,yj!$M:$M,小圆机汇总表!$J$13)</f>
        <v>0</v>
      </c>
      <c r="L55" s="15">
        <f>SUMIFS(yj!$I:$I,yj!$B:$B,小圆机汇总表!A55,yj!$M:$M,小圆机汇总表!$J$13)</f>
        <v>0</v>
      </c>
      <c r="M55" s="18">
        <f>IF($K$13="件数",SUMIFS(yj!$I:$I,yj!$B:$B,小圆机汇总表!$A55,yj!$G:$G,小圆机汇总表!$I$13&amp;"/"&amp;小圆机汇总表!$J$13&amp;"/"&amp;小圆机汇总表!M$14),SUMIFS(yj!$H:$H,yj!$B:$B,小圆机汇总表!$A55,yj!$G:$G,小圆机汇总表!$I$13&amp;"/"&amp;小圆机汇总表!$J$13&amp;"/"&amp;小圆机汇总表!M$14))</f>
        <v>0</v>
      </c>
      <c r="N55" s="18">
        <f>IF($K$13="件数",SUMIFS(yj!$I:$I,yj!$B:$B,小圆机汇总表!$A55,yj!$G:$G,小圆机汇总表!$I$13&amp;"/"&amp;小圆机汇总表!$J$13&amp;"/"&amp;小圆机汇总表!N$14),SUMIFS(yj!$H:$H,yj!$B:$B,小圆机汇总表!$A55,yj!$G:$G,小圆机汇总表!$I$13&amp;"/"&amp;小圆机汇总表!$J$13&amp;"/"&amp;小圆机汇总表!N$14))</f>
        <v>0</v>
      </c>
      <c r="O55" s="18">
        <f>IF($K$13="件数",SUMIFS(yj!$I:$I,yj!$B:$B,小圆机汇总表!$A55,yj!$G:$G,小圆机汇总表!$I$13&amp;"/"&amp;小圆机汇总表!$J$13&amp;"/"&amp;小圆机汇总表!O$14),SUMIFS(yj!$H:$H,yj!$B:$B,小圆机汇总表!$A55,yj!$G:$G,小圆机汇总表!$I$13&amp;"/"&amp;小圆机汇总表!$J$13&amp;"/"&amp;小圆机汇总表!O$14))</f>
        <v>0</v>
      </c>
      <c r="P55" s="18">
        <f>IF($K$13="件数",SUMIFS(yj!$I:$I,yj!$B:$B,小圆机汇总表!$A55,yj!$G:$G,小圆机汇总表!$I$13&amp;"/"&amp;小圆机汇总表!$J$13&amp;"/"&amp;小圆机汇总表!P$14),SUMIFS(yj!$H:$H,yj!$B:$B,小圆机汇总表!$A55,yj!$G:$G,小圆机汇总表!$I$13&amp;"/"&amp;小圆机汇总表!$J$13&amp;"/"&amp;小圆机汇总表!P$14))</f>
        <v>0</v>
      </c>
      <c r="Q55" s="18">
        <f>IF($K$13="件数",SUMIFS(yj!$I:$I,yj!$B:$B,小圆机汇总表!$A55,yj!$G:$G,小圆机汇总表!$I$13&amp;"/"&amp;小圆机汇总表!$J$13&amp;"/"&amp;小圆机汇总表!Q$14),SUMIFS(yj!$H:$H,yj!$B:$B,小圆机汇总表!$A55,yj!$G:$G,小圆机汇总表!$I$13&amp;"/"&amp;小圆机汇总表!$J$13&amp;"/"&amp;小圆机汇总表!Q$14))</f>
        <v>0</v>
      </c>
      <c r="R55" s="18">
        <f>IF($K$13="件数",SUMIFS(yj!$I:$I,yj!$B:$B,小圆机汇总表!$A55,yj!$G:$G,小圆机汇总表!$I$13&amp;"/"&amp;小圆机汇总表!$J$13&amp;"/"&amp;小圆机汇总表!R$14),SUMIFS(yj!$H:$H,yj!$B:$B,小圆机汇总表!$A55,yj!$G:$G,小圆机汇总表!$I$13&amp;"/"&amp;小圆机汇总表!$J$13&amp;"/"&amp;小圆机汇总表!R$14))</f>
        <v>0</v>
      </c>
      <c r="S55" s="18">
        <f>IF($K$13="件数",SUMIFS(yj!$I:$I,yj!$B:$B,小圆机汇总表!$A55,yj!$G:$G,小圆机汇总表!$I$13&amp;"/"&amp;小圆机汇总表!$J$13&amp;"/"&amp;小圆机汇总表!S$14),SUMIFS(yj!$H:$H,yj!$B:$B,小圆机汇总表!$A55,yj!$G:$G,小圆机汇总表!$I$13&amp;"/"&amp;小圆机汇总表!$J$13&amp;"/"&amp;小圆机汇总表!S$14))</f>
        <v>0</v>
      </c>
      <c r="T55" s="18">
        <f>IF($K$13="件数",SUMIFS(yj!$I:$I,yj!$B:$B,小圆机汇总表!$A55,yj!$G:$G,小圆机汇总表!$I$13&amp;"/"&amp;小圆机汇总表!$J$13&amp;"/"&amp;小圆机汇总表!T$14),SUMIFS(yj!$H:$H,yj!$B:$B,小圆机汇总表!$A55,yj!$G:$G,小圆机汇总表!$I$13&amp;"/"&amp;小圆机汇总表!$J$13&amp;"/"&amp;小圆机汇总表!T$14))</f>
        <v>0</v>
      </c>
      <c r="U55" s="18">
        <f>IF($K$13="件数",SUMIFS(yj!$I:$I,yj!$B:$B,小圆机汇总表!$A55,yj!$G:$G,小圆机汇总表!$I$13&amp;"/"&amp;小圆机汇总表!$J$13&amp;"/"&amp;小圆机汇总表!U$14),SUMIFS(yj!$H:$H,yj!$B:$B,小圆机汇总表!$A55,yj!$G:$G,小圆机汇总表!$I$13&amp;"/"&amp;小圆机汇总表!$J$13&amp;"/"&amp;小圆机汇总表!U$14))</f>
        <v>0</v>
      </c>
      <c r="V55" s="18">
        <f>IF($K$13="件数",SUMIFS(yj!$I:$I,yj!$B:$B,小圆机汇总表!$A55,yj!$G:$G,小圆机汇总表!$I$13&amp;"/"&amp;小圆机汇总表!$J$13&amp;"/"&amp;小圆机汇总表!V$14),SUMIFS(yj!$H:$H,yj!$B:$B,小圆机汇总表!$A55,yj!$G:$G,小圆机汇总表!$I$13&amp;"/"&amp;小圆机汇总表!$J$13&amp;"/"&amp;小圆机汇总表!V$14))</f>
        <v>0</v>
      </c>
      <c r="W55" s="18">
        <f>IF($K$13="件数",SUMIFS(yj!$I:$I,yj!$B:$B,小圆机汇总表!$A55,yj!$G:$G,小圆机汇总表!$I$13&amp;"/"&amp;小圆机汇总表!$J$13&amp;"/"&amp;小圆机汇总表!W$14),SUMIFS(yj!$H:$H,yj!$B:$B,小圆机汇总表!$A55,yj!$G:$G,小圆机汇总表!$I$13&amp;"/"&amp;小圆机汇总表!$J$13&amp;"/"&amp;小圆机汇总表!W$14))</f>
        <v>0</v>
      </c>
      <c r="X55" s="18">
        <f>IF($K$13="件数",SUMIFS(yj!$I:$I,yj!$B:$B,小圆机汇总表!$A55,yj!$G:$G,小圆机汇总表!$I$13&amp;"/"&amp;小圆机汇总表!$J$13&amp;"/"&amp;小圆机汇总表!X$14),SUMIFS(yj!$H:$H,yj!$B:$B,小圆机汇总表!$A55,yj!$G:$G,小圆机汇总表!$I$13&amp;"/"&amp;小圆机汇总表!$J$13&amp;"/"&amp;小圆机汇总表!X$14))</f>
        <v>0</v>
      </c>
      <c r="Y55" s="18">
        <f>IF($K$13="件数",SUMIFS(yj!$I:$I,yj!$B:$B,小圆机汇总表!$A55,yj!$G:$G,小圆机汇总表!$I$13&amp;"/"&amp;小圆机汇总表!$J$13&amp;"/"&amp;小圆机汇总表!Y$14),SUMIFS(yj!$H:$H,yj!$B:$B,小圆机汇总表!$A55,yj!$G:$G,小圆机汇总表!$I$13&amp;"/"&amp;小圆机汇总表!$J$13&amp;"/"&amp;小圆机汇总表!Y$14))</f>
        <v>0</v>
      </c>
      <c r="Z55" s="18">
        <f>IF($K$13="件数",SUMIFS(yj!$I:$I,yj!$B:$B,小圆机汇总表!$A55,yj!$G:$G,小圆机汇总表!$I$13&amp;"/"&amp;小圆机汇总表!$J$13&amp;"/"&amp;小圆机汇总表!Z$14),SUMIFS(yj!$H:$H,yj!$B:$B,小圆机汇总表!$A55,yj!$G:$G,小圆机汇总表!$I$13&amp;"/"&amp;小圆机汇总表!$J$13&amp;"/"&amp;小圆机汇总表!Z$14))</f>
        <v>0</v>
      </c>
      <c r="AA55" s="18">
        <f>IF($K$13="件数",SUMIFS(yj!$I:$I,yj!$B:$B,小圆机汇总表!$A55,yj!$G:$G,小圆机汇总表!$I$13&amp;"/"&amp;小圆机汇总表!$J$13&amp;"/"&amp;小圆机汇总表!AA$14),SUMIFS(yj!$H:$H,yj!$B:$B,小圆机汇总表!$A55,yj!$G:$G,小圆机汇总表!$I$13&amp;"/"&amp;小圆机汇总表!$J$13&amp;"/"&amp;小圆机汇总表!AA$14))</f>
        <v>0</v>
      </c>
      <c r="AB55" s="18">
        <f>IF($K$13="件数",SUMIFS(yj!$I:$I,yj!$B:$B,小圆机汇总表!$A55,yj!$G:$G,小圆机汇总表!$I$13&amp;"/"&amp;小圆机汇总表!$J$13&amp;"/"&amp;小圆机汇总表!AB$14),SUMIFS(yj!$H:$H,yj!$B:$B,小圆机汇总表!$A55,yj!$G:$G,小圆机汇总表!$I$13&amp;"/"&amp;小圆机汇总表!$J$13&amp;"/"&amp;小圆机汇总表!AB$14))</f>
        <v>0</v>
      </c>
      <c r="AC55" s="18">
        <f>IF($K$13="件数",SUMIFS(yj!$I:$I,yj!$B:$B,小圆机汇总表!$A55,yj!$G:$G,小圆机汇总表!$I$13&amp;"/"&amp;小圆机汇总表!$J$13&amp;"/"&amp;小圆机汇总表!AC$14),SUMIFS(yj!$H:$H,yj!$B:$B,小圆机汇总表!$A55,yj!$G:$G,小圆机汇总表!$I$13&amp;"/"&amp;小圆机汇总表!$J$13&amp;"/"&amp;小圆机汇总表!AC$14))</f>
        <v>0</v>
      </c>
      <c r="AD55" s="18">
        <f>IF($K$13="件数",SUMIFS(yj!$I:$I,yj!$B:$B,小圆机汇总表!$A55,yj!$G:$G,小圆机汇总表!$I$13&amp;"/"&amp;小圆机汇总表!$J$13&amp;"/"&amp;小圆机汇总表!AD$14),SUMIFS(yj!$H:$H,yj!$B:$B,小圆机汇总表!$A55,yj!$G:$G,小圆机汇总表!$I$13&amp;"/"&amp;小圆机汇总表!$J$13&amp;"/"&amp;小圆机汇总表!AD$14))</f>
        <v>0</v>
      </c>
      <c r="AE55" s="18">
        <f>IF($K$13="件数",SUMIFS(yj!$I:$I,yj!$B:$B,小圆机汇总表!$A55,yj!$G:$G,小圆机汇总表!$I$13&amp;"/"&amp;小圆机汇总表!$J$13&amp;"/"&amp;小圆机汇总表!AE$14),SUMIFS(yj!$H:$H,yj!$B:$B,小圆机汇总表!$A55,yj!$G:$G,小圆机汇总表!$I$13&amp;"/"&amp;小圆机汇总表!$J$13&amp;"/"&amp;小圆机汇总表!AE$14))</f>
        <v>0</v>
      </c>
      <c r="AF55" s="18">
        <f>IF($K$13="件数",SUMIFS(yj!$I:$I,yj!$B:$B,小圆机汇总表!$A55,yj!$G:$G,小圆机汇总表!$I$13&amp;"/"&amp;小圆机汇总表!$J$13&amp;"/"&amp;小圆机汇总表!AF$14),SUMIFS(yj!$H:$H,yj!$B:$B,小圆机汇总表!$A55,yj!$G:$G,小圆机汇总表!$I$13&amp;"/"&amp;小圆机汇总表!$J$13&amp;"/"&amp;小圆机汇总表!AF$14))</f>
        <v>0</v>
      </c>
      <c r="AG55" s="18">
        <f>IF($K$13="件数",SUMIFS(yj!$I:$I,yj!$B:$B,小圆机汇总表!$A55,yj!$G:$G,小圆机汇总表!$I$13&amp;"/"&amp;小圆机汇总表!$J$13&amp;"/"&amp;小圆机汇总表!AG$14),SUMIFS(yj!$H:$H,yj!$B:$B,小圆机汇总表!$A55,yj!$G:$G,小圆机汇总表!$I$13&amp;"/"&amp;小圆机汇总表!$J$13&amp;"/"&amp;小圆机汇总表!AG$14))</f>
        <v>0</v>
      </c>
      <c r="AH55" s="18">
        <f>IF($K$13="件数",SUMIFS(yj!$I:$I,yj!$B:$B,小圆机汇总表!$A55,yj!$G:$G,小圆机汇总表!$I$13&amp;"/"&amp;小圆机汇总表!$J$13&amp;"/"&amp;小圆机汇总表!AH$14),SUMIFS(yj!$H:$H,yj!$B:$B,小圆机汇总表!$A55,yj!$G:$G,小圆机汇总表!$I$13&amp;"/"&amp;小圆机汇总表!$J$13&amp;"/"&amp;小圆机汇总表!AH$14))</f>
        <v>0</v>
      </c>
      <c r="AI55" s="18">
        <f>IF($K$13="件数",SUMIFS(yj!$I:$I,yj!$B:$B,小圆机汇总表!$A55,yj!$G:$G,小圆机汇总表!$I$13&amp;"/"&amp;小圆机汇总表!$J$13&amp;"/"&amp;小圆机汇总表!AI$14),SUMIFS(yj!$H:$H,yj!$B:$B,小圆机汇总表!$A55,yj!$G:$G,小圆机汇总表!$I$13&amp;"/"&amp;小圆机汇总表!$J$13&amp;"/"&amp;小圆机汇总表!AI$14))</f>
        <v>0</v>
      </c>
      <c r="AJ55" s="18">
        <f>IF($K$13="件数",SUMIFS(yj!$I:$I,yj!$B:$B,小圆机汇总表!$A55,yj!$G:$G,小圆机汇总表!$I$13&amp;"/"&amp;小圆机汇总表!$J$13&amp;"/"&amp;小圆机汇总表!AJ$14),SUMIFS(yj!$H:$H,yj!$B:$B,小圆机汇总表!$A55,yj!$G:$G,小圆机汇总表!$I$13&amp;"/"&amp;小圆机汇总表!$J$13&amp;"/"&amp;小圆机汇总表!AJ$14))</f>
        <v>0</v>
      </c>
      <c r="AK55" s="18">
        <f>IF($K$13="件数",SUMIFS(yj!$I:$I,yj!$B:$B,小圆机汇总表!$A55,yj!$G:$G,小圆机汇总表!$I$13&amp;"/"&amp;小圆机汇总表!$J$13&amp;"/"&amp;小圆机汇总表!AK$14),SUMIFS(yj!$H:$H,yj!$B:$B,小圆机汇总表!$A55,yj!$G:$G,小圆机汇总表!$I$13&amp;"/"&amp;小圆机汇总表!$J$13&amp;"/"&amp;小圆机汇总表!AK$14))</f>
        <v>0</v>
      </c>
      <c r="AL55" s="18">
        <f>IF($K$13="件数",SUMIFS(yj!$I:$I,yj!$B:$B,小圆机汇总表!$A55,yj!$G:$G,小圆机汇总表!$I$13&amp;"/"&amp;小圆机汇总表!$J$13&amp;"/"&amp;小圆机汇总表!AL$14),SUMIFS(yj!$H:$H,yj!$B:$B,小圆机汇总表!$A55,yj!$G:$G,小圆机汇总表!$I$13&amp;"/"&amp;小圆机汇总表!$J$13&amp;"/"&amp;小圆机汇总表!AL$14))</f>
        <v>0</v>
      </c>
      <c r="AM55" s="18">
        <f>IF($K$13="件数",SUMIFS(yj!$I:$I,yj!$B:$B,小圆机汇总表!$A55,yj!$G:$G,小圆机汇总表!$I$13&amp;"/"&amp;小圆机汇总表!$J$13&amp;"/"&amp;小圆机汇总表!AM$14),SUMIFS(yj!$H:$H,yj!$B:$B,小圆机汇总表!$A55,yj!$G:$G,小圆机汇总表!$I$13&amp;"/"&amp;小圆机汇总表!$J$13&amp;"/"&amp;小圆机汇总表!AM$14))</f>
        <v>0</v>
      </c>
      <c r="AN55" s="18">
        <f>IF($K$13="件数",SUMIFS(yj!$I:$I,yj!$B:$B,小圆机汇总表!$A55,yj!$G:$G,小圆机汇总表!$I$13&amp;"/"&amp;小圆机汇总表!$J$13&amp;"/"&amp;小圆机汇总表!AN$14),SUMIFS(yj!$H:$H,yj!$B:$B,小圆机汇总表!$A55,yj!$G:$G,小圆机汇总表!$I$13&amp;"/"&amp;小圆机汇总表!$J$13&amp;"/"&amp;小圆机汇总表!AN$14))</f>
        <v>0</v>
      </c>
      <c r="AO55" s="18">
        <f>IF($K$13="件数",SUMIFS(yj!$I:$I,yj!$B:$B,小圆机汇总表!$A55,yj!$G:$G,小圆机汇总表!$I$13&amp;"/"&amp;小圆机汇总表!$J$13&amp;"/"&amp;小圆机汇总表!AO$14),SUMIFS(yj!$H:$H,yj!$B:$B,小圆机汇总表!$A55,yj!$G:$G,小圆机汇总表!$I$13&amp;"/"&amp;小圆机汇总表!$J$13&amp;"/"&amp;小圆机汇总表!AO$14))</f>
        <v>0</v>
      </c>
      <c r="AP55" s="18">
        <f>IF($K$13="件数",SUMIFS(yj!$I:$I,yj!$B:$B,小圆机汇总表!$A55,yj!$G:$G,小圆机汇总表!$I$13&amp;"/"&amp;小圆机汇总表!$J$13&amp;"/"&amp;小圆机汇总表!AP$14),SUMIFS(yj!$H:$H,yj!$B:$B,小圆机汇总表!$A55,yj!$G:$G,小圆机汇总表!$I$13&amp;"/"&amp;小圆机汇总表!$J$13&amp;"/"&amp;小圆机汇总表!AP$14))</f>
        <v>0</v>
      </c>
      <c r="AQ55" s="18">
        <f>IF($K$13="件数",SUMIFS(yj!$I:$I,yj!$B:$B,小圆机汇总表!$A55,yj!$G:$G,小圆机汇总表!$I$13&amp;"/"&amp;小圆机汇总表!$J$13&amp;"/"&amp;小圆机汇总表!AQ$14),SUMIFS(yj!$H:$H,yj!$B:$B,小圆机汇总表!$A55,yj!$G:$G,小圆机汇总表!$I$13&amp;"/"&amp;小圆机汇总表!$J$13&amp;"/"&amp;小圆机汇总表!AQ$14))</f>
        <v>0</v>
      </c>
    </row>
    <row r="56" spans="1:43" ht="18" hidden="1" customHeight="1">
      <c r="A56" s="13" t="s">
        <v>990</v>
      </c>
      <c r="B56" s="14" t="s">
        <v>991</v>
      </c>
      <c r="C56" s="17">
        <v>75</v>
      </c>
      <c r="D56" s="17" t="s">
        <v>993</v>
      </c>
      <c r="E56" s="13" t="s">
        <v>2</v>
      </c>
      <c r="F56" s="13">
        <v>160</v>
      </c>
      <c r="G56" s="13">
        <v>43</v>
      </c>
      <c r="H56" s="14" t="s">
        <v>992</v>
      </c>
      <c r="I56" s="13"/>
      <c r="J56" s="182">
        <f ca="1">IF(SUMIFS(yj!$I:$I,yj!$B:$B,小圆机汇总表!A56,yj!$G:$G,小圆机汇总表!$L$13)&gt;0,SUMIFS(yj!$H:$H,yj!$B:$B,小圆机汇总表!A56,yj!$G:$G,小圆机汇总表!$L$13),0)</f>
        <v>0</v>
      </c>
      <c r="K56" s="15">
        <f>SUMIFS(yj!$H:$H,yj!$B:$B,小圆机汇总表!A56,yj!$M:$M,小圆机汇总表!$J$13)</f>
        <v>0</v>
      </c>
      <c r="L56" s="15">
        <f>SUMIFS(yj!$I:$I,yj!$B:$B,小圆机汇总表!A56,yj!$M:$M,小圆机汇总表!$J$13)</f>
        <v>0</v>
      </c>
      <c r="M56" s="18">
        <f>IF($K$13="件数",SUMIFS(yj!$I:$I,yj!$B:$B,小圆机汇总表!$A56,yj!$G:$G,小圆机汇总表!$I$13&amp;"/"&amp;小圆机汇总表!$J$13&amp;"/"&amp;小圆机汇总表!M$14),SUMIFS(yj!$H:$H,yj!$B:$B,小圆机汇总表!$A56,yj!$G:$G,小圆机汇总表!$I$13&amp;"/"&amp;小圆机汇总表!$J$13&amp;"/"&amp;小圆机汇总表!M$14))</f>
        <v>0</v>
      </c>
      <c r="N56" s="18">
        <f>IF($K$13="件数",SUMIFS(yj!$I:$I,yj!$B:$B,小圆机汇总表!$A56,yj!$G:$G,小圆机汇总表!$I$13&amp;"/"&amp;小圆机汇总表!$J$13&amp;"/"&amp;小圆机汇总表!N$14),SUMIFS(yj!$H:$H,yj!$B:$B,小圆机汇总表!$A56,yj!$G:$G,小圆机汇总表!$I$13&amp;"/"&amp;小圆机汇总表!$J$13&amp;"/"&amp;小圆机汇总表!N$14))</f>
        <v>0</v>
      </c>
      <c r="O56" s="18">
        <f>IF($K$13="件数",SUMIFS(yj!$I:$I,yj!$B:$B,小圆机汇总表!$A56,yj!$G:$G,小圆机汇总表!$I$13&amp;"/"&amp;小圆机汇总表!$J$13&amp;"/"&amp;小圆机汇总表!O$14),SUMIFS(yj!$H:$H,yj!$B:$B,小圆机汇总表!$A56,yj!$G:$G,小圆机汇总表!$I$13&amp;"/"&amp;小圆机汇总表!$J$13&amp;"/"&amp;小圆机汇总表!O$14))</f>
        <v>0</v>
      </c>
      <c r="P56" s="18">
        <f>IF($K$13="件数",SUMIFS(yj!$I:$I,yj!$B:$B,小圆机汇总表!$A56,yj!$G:$G,小圆机汇总表!$I$13&amp;"/"&amp;小圆机汇总表!$J$13&amp;"/"&amp;小圆机汇总表!P$14),SUMIFS(yj!$H:$H,yj!$B:$B,小圆机汇总表!$A56,yj!$G:$G,小圆机汇总表!$I$13&amp;"/"&amp;小圆机汇总表!$J$13&amp;"/"&amp;小圆机汇总表!P$14))</f>
        <v>0</v>
      </c>
      <c r="Q56" s="18">
        <f>IF($K$13="件数",SUMIFS(yj!$I:$I,yj!$B:$B,小圆机汇总表!$A56,yj!$G:$G,小圆机汇总表!$I$13&amp;"/"&amp;小圆机汇总表!$J$13&amp;"/"&amp;小圆机汇总表!Q$14),SUMIFS(yj!$H:$H,yj!$B:$B,小圆机汇总表!$A56,yj!$G:$G,小圆机汇总表!$I$13&amp;"/"&amp;小圆机汇总表!$J$13&amp;"/"&amp;小圆机汇总表!Q$14))</f>
        <v>0</v>
      </c>
      <c r="R56" s="18">
        <f>IF($K$13="件数",SUMIFS(yj!$I:$I,yj!$B:$B,小圆机汇总表!$A56,yj!$G:$G,小圆机汇总表!$I$13&amp;"/"&amp;小圆机汇总表!$J$13&amp;"/"&amp;小圆机汇总表!R$14),SUMIFS(yj!$H:$H,yj!$B:$B,小圆机汇总表!$A56,yj!$G:$G,小圆机汇总表!$I$13&amp;"/"&amp;小圆机汇总表!$J$13&amp;"/"&amp;小圆机汇总表!R$14))</f>
        <v>0</v>
      </c>
      <c r="S56" s="18">
        <f>IF($K$13="件数",SUMIFS(yj!$I:$I,yj!$B:$B,小圆机汇总表!$A56,yj!$G:$G,小圆机汇总表!$I$13&amp;"/"&amp;小圆机汇总表!$J$13&amp;"/"&amp;小圆机汇总表!S$14),SUMIFS(yj!$H:$H,yj!$B:$B,小圆机汇总表!$A56,yj!$G:$G,小圆机汇总表!$I$13&amp;"/"&amp;小圆机汇总表!$J$13&amp;"/"&amp;小圆机汇总表!S$14))</f>
        <v>0</v>
      </c>
      <c r="T56" s="18">
        <f>IF($K$13="件数",SUMIFS(yj!$I:$I,yj!$B:$B,小圆机汇总表!$A56,yj!$G:$G,小圆机汇总表!$I$13&amp;"/"&amp;小圆机汇总表!$J$13&amp;"/"&amp;小圆机汇总表!T$14),SUMIFS(yj!$H:$H,yj!$B:$B,小圆机汇总表!$A56,yj!$G:$G,小圆机汇总表!$I$13&amp;"/"&amp;小圆机汇总表!$J$13&amp;"/"&amp;小圆机汇总表!T$14))</f>
        <v>0</v>
      </c>
      <c r="U56" s="18">
        <f>IF($K$13="件数",SUMIFS(yj!$I:$I,yj!$B:$B,小圆机汇总表!$A56,yj!$G:$G,小圆机汇总表!$I$13&amp;"/"&amp;小圆机汇总表!$J$13&amp;"/"&amp;小圆机汇总表!U$14),SUMIFS(yj!$H:$H,yj!$B:$B,小圆机汇总表!$A56,yj!$G:$G,小圆机汇总表!$I$13&amp;"/"&amp;小圆机汇总表!$J$13&amp;"/"&amp;小圆机汇总表!U$14))</f>
        <v>0</v>
      </c>
      <c r="V56" s="18">
        <f>IF($K$13="件数",SUMIFS(yj!$I:$I,yj!$B:$B,小圆机汇总表!$A56,yj!$G:$G,小圆机汇总表!$I$13&amp;"/"&amp;小圆机汇总表!$J$13&amp;"/"&amp;小圆机汇总表!V$14),SUMIFS(yj!$H:$H,yj!$B:$B,小圆机汇总表!$A56,yj!$G:$G,小圆机汇总表!$I$13&amp;"/"&amp;小圆机汇总表!$J$13&amp;"/"&amp;小圆机汇总表!V$14))</f>
        <v>0</v>
      </c>
      <c r="W56" s="18">
        <f>IF($K$13="件数",SUMIFS(yj!$I:$I,yj!$B:$B,小圆机汇总表!$A56,yj!$G:$G,小圆机汇总表!$I$13&amp;"/"&amp;小圆机汇总表!$J$13&amp;"/"&amp;小圆机汇总表!W$14),SUMIFS(yj!$H:$H,yj!$B:$B,小圆机汇总表!$A56,yj!$G:$G,小圆机汇总表!$I$13&amp;"/"&amp;小圆机汇总表!$J$13&amp;"/"&amp;小圆机汇总表!W$14))</f>
        <v>0</v>
      </c>
      <c r="X56" s="18">
        <f>IF($K$13="件数",SUMIFS(yj!$I:$I,yj!$B:$B,小圆机汇总表!$A56,yj!$G:$G,小圆机汇总表!$I$13&amp;"/"&amp;小圆机汇总表!$J$13&amp;"/"&amp;小圆机汇总表!X$14),SUMIFS(yj!$H:$H,yj!$B:$B,小圆机汇总表!$A56,yj!$G:$G,小圆机汇总表!$I$13&amp;"/"&amp;小圆机汇总表!$J$13&amp;"/"&amp;小圆机汇总表!X$14))</f>
        <v>0</v>
      </c>
      <c r="Y56" s="18">
        <f>IF($K$13="件数",SUMIFS(yj!$I:$I,yj!$B:$B,小圆机汇总表!$A56,yj!$G:$G,小圆机汇总表!$I$13&amp;"/"&amp;小圆机汇总表!$J$13&amp;"/"&amp;小圆机汇总表!Y$14),SUMIFS(yj!$H:$H,yj!$B:$B,小圆机汇总表!$A56,yj!$G:$G,小圆机汇总表!$I$13&amp;"/"&amp;小圆机汇总表!$J$13&amp;"/"&amp;小圆机汇总表!Y$14))</f>
        <v>0</v>
      </c>
      <c r="Z56" s="18">
        <f>IF($K$13="件数",SUMIFS(yj!$I:$I,yj!$B:$B,小圆机汇总表!$A56,yj!$G:$G,小圆机汇总表!$I$13&amp;"/"&amp;小圆机汇总表!$J$13&amp;"/"&amp;小圆机汇总表!Z$14),SUMIFS(yj!$H:$H,yj!$B:$B,小圆机汇总表!$A56,yj!$G:$G,小圆机汇总表!$I$13&amp;"/"&amp;小圆机汇总表!$J$13&amp;"/"&amp;小圆机汇总表!Z$14))</f>
        <v>0</v>
      </c>
      <c r="AA56" s="18">
        <f>IF($K$13="件数",SUMIFS(yj!$I:$I,yj!$B:$B,小圆机汇总表!$A56,yj!$G:$G,小圆机汇总表!$I$13&amp;"/"&amp;小圆机汇总表!$J$13&amp;"/"&amp;小圆机汇总表!AA$14),SUMIFS(yj!$H:$H,yj!$B:$B,小圆机汇总表!$A56,yj!$G:$G,小圆机汇总表!$I$13&amp;"/"&amp;小圆机汇总表!$J$13&amp;"/"&amp;小圆机汇总表!AA$14))</f>
        <v>0</v>
      </c>
      <c r="AB56" s="18">
        <f>IF($K$13="件数",SUMIFS(yj!$I:$I,yj!$B:$B,小圆机汇总表!$A56,yj!$G:$G,小圆机汇总表!$I$13&amp;"/"&amp;小圆机汇总表!$J$13&amp;"/"&amp;小圆机汇总表!AB$14),SUMIFS(yj!$H:$H,yj!$B:$B,小圆机汇总表!$A56,yj!$G:$G,小圆机汇总表!$I$13&amp;"/"&amp;小圆机汇总表!$J$13&amp;"/"&amp;小圆机汇总表!AB$14))</f>
        <v>0</v>
      </c>
      <c r="AC56" s="18">
        <f>IF($K$13="件数",SUMIFS(yj!$I:$I,yj!$B:$B,小圆机汇总表!$A56,yj!$G:$G,小圆机汇总表!$I$13&amp;"/"&amp;小圆机汇总表!$J$13&amp;"/"&amp;小圆机汇总表!AC$14),SUMIFS(yj!$H:$H,yj!$B:$B,小圆机汇总表!$A56,yj!$G:$G,小圆机汇总表!$I$13&amp;"/"&amp;小圆机汇总表!$J$13&amp;"/"&amp;小圆机汇总表!AC$14))</f>
        <v>0</v>
      </c>
      <c r="AD56" s="18">
        <f>IF($K$13="件数",SUMIFS(yj!$I:$I,yj!$B:$B,小圆机汇总表!$A56,yj!$G:$G,小圆机汇总表!$I$13&amp;"/"&amp;小圆机汇总表!$J$13&amp;"/"&amp;小圆机汇总表!AD$14),SUMIFS(yj!$H:$H,yj!$B:$B,小圆机汇总表!$A56,yj!$G:$G,小圆机汇总表!$I$13&amp;"/"&amp;小圆机汇总表!$J$13&amp;"/"&amp;小圆机汇总表!AD$14))</f>
        <v>0</v>
      </c>
      <c r="AE56" s="18">
        <f>IF($K$13="件数",SUMIFS(yj!$I:$I,yj!$B:$B,小圆机汇总表!$A56,yj!$G:$G,小圆机汇总表!$I$13&amp;"/"&amp;小圆机汇总表!$J$13&amp;"/"&amp;小圆机汇总表!AE$14),SUMIFS(yj!$H:$H,yj!$B:$B,小圆机汇总表!$A56,yj!$G:$G,小圆机汇总表!$I$13&amp;"/"&amp;小圆机汇总表!$J$13&amp;"/"&amp;小圆机汇总表!AE$14))</f>
        <v>0</v>
      </c>
      <c r="AF56" s="18">
        <f>IF($K$13="件数",SUMIFS(yj!$I:$I,yj!$B:$B,小圆机汇总表!$A56,yj!$G:$G,小圆机汇总表!$I$13&amp;"/"&amp;小圆机汇总表!$J$13&amp;"/"&amp;小圆机汇总表!AF$14),SUMIFS(yj!$H:$H,yj!$B:$B,小圆机汇总表!$A56,yj!$G:$G,小圆机汇总表!$I$13&amp;"/"&amp;小圆机汇总表!$J$13&amp;"/"&amp;小圆机汇总表!AF$14))</f>
        <v>0</v>
      </c>
      <c r="AG56" s="18">
        <f>IF($K$13="件数",SUMIFS(yj!$I:$I,yj!$B:$B,小圆机汇总表!$A56,yj!$G:$G,小圆机汇总表!$I$13&amp;"/"&amp;小圆机汇总表!$J$13&amp;"/"&amp;小圆机汇总表!AG$14),SUMIFS(yj!$H:$H,yj!$B:$B,小圆机汇总表!$A56,yj!$G:$G,小圆机汇总表!$I$13&amp;"/"&amp;小圆机汇总表!$J$13&amp;"/"&amp;小圆机汇总表!AG$14))</f>
        <v>0</v>
      </c>
      <c r="AH56" s="18">
        <f>IF($K$13="件数",SUMIFS(yj!$I:$I,yj!$B:$B,小圆机汇总表!$A56,yj!$G:$G,小圆机汇总表!$I$13&amp;"/"&amp;小圆机汇总表!$J$13&amp;"/"&amp;小圆机汇总表!AH$14),SUMIFS(yj!$H:$H,yj!$B:$B,小圆机汇总表!$A56,yj!$G:$G,小圆机汇总表!$I$13&amp;"/"&amp;小圆机汇总表!$J$13&amp;"/"&amp;小圆机汇总表!AH$14))</f>
        <v>0</v>
      </c>
      <c r="AI56" s="18">
        <f>IF($K$13="件数",SUMIFS(yj!$I:$I,yj!$B:$B,小圆机汇总表!$A56,yj!$G:$G,小圆机汇总表!$I$13&amp;"/"&amp;小圆机汇总表!$J$13&amp;"/"&amp;小圆机汇总表!AI$14),SUMIFS(yj!$H:$H,yj!$B:$B,小圆机汇总表!$A56,yj!$G:$G,小圆机汇总表!$I$13&amp;"/"&amp;小圆机汇总表!$J$13&amp;"/"&amp;小圆机汇总表!AI$14))</f>
        <v>0</v>
      </c>
      <c r="AJ56" s="18">
        <f>IF($K$13="件数",SUMIFS(yj!$I:$I,yj!$B:$B,小圆机汇总表!$A56,yj!$G:$G,小圆机汇总表!$I$13&amp;"/"&amp;小圆机汇总表!$J$13&amp;"/"&amp;小圆机汇总表!AJ$14),SUMIFS(yj!$H:$H,yj!$B:$B,小圆机汇总表!$A56,yj!$G:$G,小圆机汇总表!$I$13&amp;"/"&amp;小圆机汇总表!$J$13&amp;"/"&amp;小圆机汇总表!AJ$14))</f>
        <v>0</v>
      </c>
      <c r="AK56" s="18">
        <f>IF($K$13="件数",SUMIFS(yj!$I:$I,yj!$B:$B,小圆机汇总表!$A56,yj!$G:$G,小圆机汇总表!$I$13&amp;"/"&amp;小圆机汇总表!$J$13&amp;"/"&amp;小圆机汇总表!AK$14),SUMIFS(yj!$H:$H,yj!$B:$B,小圆机汇总表!$A56,yj!$G:$G,小圆机汇总表!$I$13&amp;"/"&amp;小圆机汇总表!$J$13&amp;"/"&amp;小圆机汇总表!AK$14))</f>
        <v>0</v>
      </c>
      <c r="AL56" s="18">
        <f>IF($K$13="件数",SUMIFS(yj!$I:$I,yj!$B:$B,小圆机汇总表!$A56,yj!$G:$G,小圆机汇总表!$I$13&amp;"/"&amp;小圆机汇总表!$J$13&amp;"/"&amp;小圆机汇总表!AL$14),SUMIFS(yj!$H:$H,yj!$B:$B,小圆机汇总表!$A56,yj!$G:$G,小圆机汇总表!$I$13&amp;"/"&amp;小圆机汇总表!$J$13&amp;"/"&amp;小圆机汇总表!AL$14))</f>
        <v>0</v>
      </c>
      <c r="AM56" s="18">
        <f>IF($K$13="件数",SUMIFS(yj!$I:$I,yj!$B:$B,小圆机汇总表!$A56,yj!$G:$G,小圆机汇总表!$I$13&amp;"/"&amp;小圆机汇总表!$J$13&amp;"/"&amp;小圆机汇总表!AM$14),SUMIFS(yj!$H:$H,yj!$B:$B,小圆机汇总表!$A56,yj!$G:$G,小圆机汇总表!$I$13&amp;"/"&amp;小圆机汇总表!$J$13&amp;"/"&amp;小圆机汇总表!AM$14))</f>
        <v>0</v>
      </c>
      <c r="AN56" s="18">
        <f>IF($K$13="件数",SUMIFS(yj!$I:$I,yj!$B:$B,小圆机汇总表!$A56,yj!$G:$G,小圆机汇总表!$I$13&amp;"/"&amp;小圆机汇总表!$J$13&amp;"/"&amp;小圆机汇总表!AN$14),SUMIFS(yj!$H:$H,yj!$B:$B,小圆机汇总表!$A56,yj!$G:$G,小圆机汇总表!$I$13&amp;"/"&amp;小圆机汇总表!$J$13&amp;"/"&amp;小圆机汇总表!AN$14))</f>
        <v>0</v>
      </c>
      <c r="AO56" s="18">
        <f>IF($K$13="件数",SUMIFS(yj!$I:$I,yj!$B:$B,小圆机汇总表!$A56,yj!$G:$G,小圆机汇总表!$I$13&amp;"/"&amp;小圆机汇总表!$J$13&amp;"/"&amp;小圆机汇总表!AO$14),SUMIFS(yj!$H:$H,yj!$B:$B,小圆机汇总表!$A56,yj!$G:$G,小圆机汇总表!$I$13&amp;"/"&amp;小圆机汇总表!$J$13&amp;"/"&amp;小圆机汇总表!AO$14))</f>
        <v>0</v>
      </c>
      <c r="AP56" s="18">
        <f>IF($K$13="件数",SUMIFS(yj!$I:$I,yj!$B:$B,小圆机汇总表!$A56,yj!$G:$G,小圆机汇总表!$I$13&amp;"/"&amp;小圆机汇总表!$J$13&amp;"/"&amp;小圆机汇总表!AP$14),SUMIFS(yj!$H:$H,yj!$B:$B,小圆机汇总表!$A56,yj!$G:$G,小圆机汇总表!$I$13&amp;"/"&amp;小圆机汇总表!$J$13&amp;"/"&amp;小圆机汇总表!AP$14))</f>
        <v>0</v>
      </c>
      <c r="AQ56" s="18">
        <f>IF($K$13="件数",SUMIFS(yj!$I:$I,yj!$B:$B,小圆机汇总表!$A56,yj!$G:$G,小圆机汇总表!$I$13&amp;"/"&amp;小圆机汇总表!$J$13&amp;"/"&amp;小圆机汇总表!AQ$14),SUMIFS(yj!$H:$H,yj!$B:$B,小圆机汇总表!$A56,yj!$G:$G,小圆机汇总表!$I$13&amp;"/"&amp;小圆机汇总表!$J$13&amp;"/"&amp;小圆机汇总表!AQ$14))</f>
        <v>0</v>
      </c>
    </row>
    <row r="57" spans="1:43" ht="18" hidden="1" customHeight="1">
      <c r="A57" s="13" t="s">
        <v>1645</v>
      </c>
      <c r="B57" s="176" t="s">
        <v>1646</v>
      </c>
      <c r="C57" s="17">
        <v>75</v>
      </c>
      <c r="D57" s="17" t="s">
        <v>993</v>
      </c>
      <c r="E57" s="182" t="s">
        <v>2</v>
      </c>
      <c r="F57" s="13">
        <v>160</v>
      </c>
      <c r="G57" s="13">
        <v>50</v>
      </c>
      <c r="H57" s="14" t="s">
        <v>1621</v>
      </c>
      <c r="I57" s="13"/>
      <c r="J57" s="182">
        <f ca="1">IF(SUMIFS(yj!$I:$I,yj!$B:$B,小圆机汇总表!A57,yj!$G:$G,小圆机汇总表!$L$13)&gt;0,SUMIFS(yj!$H:$H,yj!$B:$B,小圆机汇总表!A57,yj!$G:$G,小圆机汇总表!$L$13),0)</f>
        <v>0</v>
      </c>
      <c r="K57" s="15">
        <f>SUMIFS(yj!$H:$H,yj!$B:$B,小圆机汇总表!A57,yj!$M:$M,小圆机汇总表!$J$13)</f>
        <v>0</v>
      </c>
      <c r="L57" s="15">
        <f>SUMIFS(yj!$I:$I,yj!$B:$B,小圆机汇总表!A57,yj!$M:$M,小圆机汇总表!$J$13)</f>
        <v>0</v>
      </c>
      <c r="M57" s="18">
        <f>IF($K$13="件数",SUMIFS(yj!$I:$I,yj!$B:$B,小圆机汇总表!$A57,yj!$G:$G,小圆机汇总表!$I$13&amp;"/"&amp;小圆机汇总表!$J$13&amp;"/"&amp;小圆机汇总表!M$14),SUMIFS(yj!$H:$H,yj!$B:$B,小圆机汇总表!$A57,yj!$G:$G,小圆机汇总表!$I$13&amp;"/"&amp;小圆机汇总表!$J$13&amp;"/"&amp;小圆机汇总表!M$14))</f>
        <v>0</v>
      </c>
      <c r="N57" s="18">
        <f>IF($K$13="件数",SUMIFS(yj!$I:$I,yj!$B:$B,小圆机汇总表!$A57,yj!$G:$G,小圆机汇总表!$I$13&amp;"/"&amp;小圆机汇总表!$J$13&amp;"/"&amp;小圆机汇总表!N$14),SUMIFS(yj!$H:$H,yj!$B:$B,小圆机汇总表!$A57,yj!$G:$G,小圆机汇总表!$I$13&amp;"/"&amp;小圆机汇总表!$J$13&amp;"/"&amp;小圆机汇总表!N$14))</f>
        <v>0</v>
      </c>
      <c r="O57" s="18">
        <f>IF($K$13="件数",SUMIFS(yj!$I:$I,yj!$B:$B,小圆机汇总表!$A57,yj!$G:$G,小圆机汇总表!$I$13&amp;"/"&amp;小圆机汇总表!$J$13&amp;"/"&amp;小圆机汇总表!O$14),SUMIFS(yj!$H:$H,yj!$B:$B,小圆机汇总表!$A57,yj!$G:$G,小圆机汇总表!$I$13&amp;"/"&amp;小圆机汇总表!$J$13&amp;"/"&amp;小圆机汇总表!O$14))</f>
        <v>0</v>
      </c>
      <c r="P57" s="18">
        <f>IF($K$13="件数",SUMIFS(yj!$I:$I,yj!$B:$B,小圆机汇总表!$A57,yj!$G:$G,小圆机汇总表!$I$13&amp;"/"&amp;小圆机汇总表!$J$13&amp;"/"&amp;小圆机汇总表!P$14),SUMIFS(yj!$H:$H,yj!$B:$B,小圆机汇总表!$A57,yj!$G:$G,小圆机汇总表!$I$13&amp;"/"&amp;小圆机汇总表!$J$13&amp;"/"&amp;小圆机汇总表!P$14))</f>
        <v>0</v>
      </c>
      <c r="Q57" s="18">
        <f>IF($K$13="件数",SUMIFS(yj!$I:$I,yj!$B:$B,小圆机汇总表!$A57,yj!$G:$G,小圆机汇总表!$I$13&amp;"/"&amp;小圆机汇总表!$J$13&amp;"/"&amp;小圆机汇总表!Q$14),SUMIFS(yj!$H:$H,yj!$B:$B,小圆机汇总表!$A57,yj!$G:$G,小圆机汇总表!$I$13&amp;"/"&amp;小圆机汇总表!$J$13&amp;"/"&amp;小圆机汇总表!Q$14))</f>
        <v>0</v>
      </c>
      <c r="R57" s="18">
        <f>IF($K$13="件数",SUMIFS(yj!$I:$I,yj!$B:$B,小圆机汇总表!$A57,yj!$G:$G,小圆机汇总表!$I$13&amp;"/"&amp;小圆机汇总表!$J$13&amp;"/"&amp;小圆机汇总表!R$14),SUMIFS(yj!$H:$H,yj!$B:$B,小圆机汇总表!$A57,yj!$G:$G,小圆机汇总表!$I$13&amp;"/"&amp;小圆机汇总表!$J$13&amp;"/"&amp;小圆机汇总表!R$14))</f>
        <v>0</v>
      </c>
      <c r="S57" s="18">
        <f>IF($K$13="件数",SUMIFS(yj!$I:$I,yj!$B:$B,小圆机汇总表!$A57,yj!$G:$G,小圆机汇总表!$I$13&amp;"/"&amp;小圆机汇总表!$J$13&amp;"/"&amp;小圆机汇总表!S$14),SUMIFS(yj!$H:$H,yj!$B:$B,小圆机汇总表!$A57,yj!$G:$G,小圆机汇总表!$I$13&amp;"/"&amp;小圆机汇总表!$J$13&amp;"/"&amp;小圆机汇总表!S$14))</f>
        <v>0</v>
      </c>
      <c r="T57" s="18">
        <f>IF($K$13="件数",SUMIFS(yj!$I:$I,yj!$B:$B,小圆机汇总表!$A57,yj!$G:$G,小圆机汇总表!$I$13&amp;"/"&amp;小圆机汇总表!$J$13&amp;"/"&amp;小圆机汇总表!T$14),SUMIFS(yj!$H:$H,yj!$B:$B,小圆机汇总表!$A57,yj!$G:$G,小圆机汇总表!$I$13&amp;"/"&amp;小圆机汇总表!$J$13&amp;"/"&amp;小圆机汇总表!T$14))</f>
        <v>0</v>
      </c>
      <c r="U57" s="18">
        <f>IF($K$13="件数",SUMIFS(yj!$I:$I,yj!$B:$B,小圆机汇总表!$A57,yj!$G:$G,小圆机汇总表!$I$13&amp;"/"&amp;小圆机汇总表!$J$13&amp;"/"&amp;小圆机汇总表!U$14),SUMIFS(yj!$H:$H,yj!$B:$B,小圆机汇总表!$A57,yj!$G:$G,小圆机汇总表!$I$13&amp;"/"&amp;小圆机汇总表!$J$13&amp;"/"&amp;小圆机汇总表!U$14))</f>
        <v>0</v>
      </c>
      <c r="V57" s="18">
        <f>IF($K$13="件数",SUMIFS(yj!$I:$I,yj!$B:$B,小圆机汇总表!$A57,yj!$G:$G,小圆机汇总表!$I$13&amp;"/"&amp;小圆机汇总表!$J$13&amp;"/"&amp;小圆机汇总表!V$14),SUMIFS(yj!$H:$H,yj!$B:$B,小圆机汇总表!$A57,yj!$G:$G,小圆机汇总表!$I$13&amp;"/"&amp;小圆机汇总表!$J$13&amp;"/"&amp;小圆机汇总表!V$14))</f>
        <v>0</v>
      </c>
      <c r="W57" s="18">
        <f>IF($K$13="件数",SUMIFS(yj!$I:$I,yj!$B:$B,小圆机汇总表!$A57,yj!$G:$G,小圆机汇总表!$I$13&amp;"/"&amp;小圆机汇总表!$J$13&amp;"/"&amp;小圆机汇总表!W$14),SUMIFS(yj!$H:$H,yj!$B:$B,小圆机汇总表!$A57,yj!$G:$G,小圆机汇总表!$I$13&amp;"/"&amp;小圆机汇总表!$J$13&amp;"/"&amp;小圆机汇总表!W$14))</f>
        <v>0</v>
      </c>
      <c r="X57" s="18">
        <f>IF($K$13="件数",SUMIFS(yj!$I:$I,yj!$B:$B,小圆机汇总表!$A57,yj!$G:$G,小圆机汇总表!$I$13&amp;"/"&amp;小圆机汇总表!$J$13&amp;"/"&amp;小圆机汇总表!X$14),SUMIFS(yj!$H:$H,yj!$B:$B,小圆机汇总表!$A57,yj!$G:$G,小圆机汇总表!$I$13&amp;"/"&amp;小圆机汇总表!$J$13&amp;"/"&amp;小圆机汇总表!X$14))</f>
        <v>0</v>
      </c>
      <c r="Y57" s="18">
        <f>IF($K$13="件数",SUMIFS(yj!$I:$I,yj!$B:$B,小圆机汇总表!$A57,yj!$G:$G,小圆机汇总表!$I$13&amp;"/"&amp;小圆机汇总表!$J$13&amp;"/"&amp;小圆机汇总表!Y$14),SUMIFS(yj!$H:$H,yj!$B:$B,小圆机汇总表!$A57,yj!$G:$G,小圆机汇总表!$I$13&amp;"/"&amp;小圆机汇总表!$J$13&amp;"/"&amp;小圆机汇总表!Y$14))</f>
        <v>0</v>
      </c>
      <c r="Z57" s="18">
        <f>IF($K$13="件数",SUMIFS(yj!$I:$I,yj!$B:$B,小圆机汇总表!$A57,yj!$G:$G,小圆机汇总表!$I$13&amp;"/"&amp;小圆机汇总表!$J$13&amp;"/"&amp;小圆机汇总表!Z$14),SUMIFS(yj!$H:$H,yj!$B:$B,小圆机汇总表!$A57,yj!$G:$G,小圆机汇总表!$I$13&amp;"/"&amp;小圆机汇总表!$J$13&amp;"/"&amp;小圆机汇总表!Z$14))</f>
        <v>0</v>
      </c>
      <c r="AA57" s="18">
        <f>IF($K$13="件数",SUMIFS(yj!$I:$I,yj!$B:$B,小圆机汇总表!$A57,yj!$G:$G,小圆机汇总表!$I$13&amp;"/"&amp;小圆机汇总表!$J$13&amp;"/"&amp;小圆机汇总表!AA$14),SUMIFS(yj!$H:$H,yj!$B:$B,小圆机汇总表!$A57,yj!$G:$G,小圆机汇总表!$I$13&amp;"/"&amp;小圆机汇总表!$J$13&amp;"/"&amp;小圆机汇总表!AA$14))</f>
        <v>0</v>
      </c>
      <c r="AB57" s="18">
        <f>IF($K$13="件数",SUMIFS(yj!$I:$I,yj!$B:$B,小圆机汇总表!$A57,yj!$G:$G,小圆机汇总表!$I$13&amp;"/"&amp;小圆机汇总表!$J$13&amp;"/"&amp;小圆机汇总表!AB$14),SUMIFS(yj!$H:$H,yj!$B:$B,小圆机汇总表!$A57,yj!$G:$G,小圆机汇总表!$I$13&amp;"/"&amp;小圆机汇总表!$J$13&amp;"/"&amp;小圆机汇总表!AB$14))</f>
        <v>0</v>
      </c>
      <c r="AC57" s="18">
        <f>IF($K$13="件数",SUMIFS(yj!$I:$I,yj!$B:$B,小圆机汇总表!$A57,yj!$G:$G,小圆机汇总表!$I$13&amp;"/"&amp;小圆机汇总表!$J$13&amp;"/"&amp;小圆机汇总表!AC$14),SUMIFS(yj!$H:$H,yj!$B:$B,小圆机汇总表!$A57,yj!$G:$G,小圆机汇总表!$I$13&amp;"/"&amp;小圆机汇总表!$J$13&amp;"/"&amp;小圆机汇总表!AC$14))</f>
        <v>0</v>
      </c>
      <c r="AD57" s="18">
        <f>IF($K$13="件数",SUMIFS(yj!$I:$I,yj!$B:$B,小圆机汇总表!$A57,yj!$G:$G,小圆机汇总表!$I$13&amp;"/"&amp;小圆机汇总表!$J$13&amp;"/"&amp;小圆机汇总表!AD$14),SUMIFS(yj!$H:$H,yj!$B:$B,小圆机汇总表!$A57,yj!$G:$G,小圆机汇总表!$I$13&amp;"/"&amp;小圆机汇总表!$J$13&amp;"/"&amp;小圆机汇总表!AD$14))</f>
        <v>0</v>
      </c>
      <c r="AE57" s="18">
        <f>IF($K$13="件数",SUMIFS(yj!$I:$I,yj!$B:$B,小圆机汇总表!$A57,yj!$G:$G,小圆机汇总表!$I$13&amp;"/"&amp;小圆机汇总表!$J$13&amp;"/"&amp;小圆机汇总表!AE$14),SUMIFS(yj!$H:$H,yj!$B:$B,小圆机汇总表!$A57,yj!$G:$G,小圆机汇总表!$I$13&amp;"/"&amp;小圆机汇总表!$J$13&amp;"/"&amp;小圆机汇总表!AE$14))</f>
        <v>0</v>
      </c>
      <c r="AF57" s="18">
        <f>IF($K$13="件数",SUMIFS(yj!$I:$I,yj!$B:$B,小圆机汇总表!$A57,yj!$G:$G,小圆机汇总表!$I$13&amp;"/"&amp;小圆机汇总表!$J$13&amp;"/"&amp;小圆机汇总表!AF$14),SUMIFS(yj!$H:$H,yj!$B:$B,小圆机汇总表!$A57,yj!$G:$G,小圆机汇总表!$I$13&amp;"/"&amp;小圆机汇总表!$J$13&amp;"/"&amp;小圆机汇总表!AF$14))</f>
        <v>0</v>
      </c>
      <c r="AG57" s="18">
        <f>IF($K$13="件数",SUMIFS(yj!$I:$I,yj!$B:$B,小圆机汇总表!$A57,yj!$G:$G,小圆机汇总表!$I$13&amp;"/"&amp;小圆机汇总表!$J$13&amp;"/"&amp;小圆机汇总表!AG$14),SUMIFS(yj!$H:$H,yj!$B:$B,小圆机汇总表!$A57,yj!$G:$G,小圆机汇总表!$I$13&amp;"/"&amp;小圆机汇总表!$J$13&amp;"/"&amp;小圆机汇总表!AG$14))</f>
        <v>0</v>
      </c>
      <c r="AH57" s="18">
        <f>IF($K$13="件数",SUMIFS(yj!$I:$I,yj!$B:$B,小圆机汇总表!$A57,yj!$G:$G,小圆机汇总表!$I$13&amp;"/"&amp;小圆机汇总表!$J$13&amp;"/"&amp;小圆机汇总表!AH$14),SUMIFS(yj!$H:$H,yj!$B:$B,小圆机汇总表!$A57,yj!$G:$G,小圆机汇总表!$I$13&amp;"/"&amp;小圆机汇总表!$J$13&amp;"/"&amp;小圆机汇总表!AH$14))</f>
        <v>0</v>
      </c>
      <c r="AI57" s="18">
        <f>IF($K$13="件数",SUMIFS(yj!$I:$I,yj!$B:$B,小圆机汇总表!$A57,yj!$G:$G,小圆机汇总表!$I$13&amp;"/"&amp;小圆机汇总表!$J$13&amp;"/"&amp;小圆机汇总表!AI$14),SUMIFS(yj!$H:$H,yj!$B:$B,小圆机汇总表!$A57,yj!$G:$G,小圆机汇总表!$I$13&amp;"/"&amp;小圆机汇总表!$J$13&amp;"/"&amp;小圆机汇总表!AI$14))</f>
        <v>0</v>
      </c>
      <c r="AJ57" s="18">
        <f>IF($K$13="件数",SUMIFS(yj!$I:$I,yj!$B:$B,小圆机汇总表!$A57,yj!$G:$G,小圆机汇总表!$I$13&amp;"/"&amp;小圆机汇总表!$J$13&amp;"/"&amp;小圆机汇总表!AJ$14),SUMIFS(yj!$H:$H,yj!$B:$B,小圆机汇总表!$A57,yj!$G:$G,小圆机汇总表!$I$13&amp;"/"&amp;小圆机汇总表!$J$13&amp;"/"&amp;小圆机汇总表!AJ$14))</f>
        <v>0</v>
      </c>
      <c r="AK57" s="18">
        <f>IF($K$13="件数",SUMIFS(yj!$I:$I,yj!$B:$B,小圆机汇总表!$A57,yj!$G:$G,小圆机汇总表!$I$13&amp;"/"&amp;小圆机汇总表!$J$13&amp;"/"&amp;小圆机汇总表!AK$14),SUMIFS(yj!$H:$H,yj!$B:$B,小圆机汇总表!$A57,yj!$G:$G,小圆机汇总表!$I$13&amp;"/"&amp;小圆机汇总表!$J$13&amp;"/"&amp;小圆机汇总表!AK$14))</f>
        <v>0</v>
      </c>
      <c r="AL57" s="18">
        <f>IF($K$13="件数",SUMIFS(yj!$I:$I,yj!$B:$B,小圆机汇总表!$A57,yj!$G:$G,小圆机汇总表!$I$13&amp;"/"&amp;小圆机汇总表!$J$13&amp;"/"&amp;小圆机汇总表!AL$14),SUMIFS(yj!$H:$H,yj!$B:$B,小圆机汇总表!$A57,yj!$G:$G,小圆机汇总表!$I$13&amp;"/"&amp;小圆机汇总表!$J$13&amp;"/"&amp;小圆机汇总表!AL$14))</f>
        <v>0</v>
      </c>
      <c r="AM57" s="18">
        <f>IF($K$13="件数",SUMIFS(yj!$I:$I,yj!$B:$B,小圆机汇总表!$A57,yj!$G:$G,小圆机汇总表!$I$13&amp;"/"&amp;小圆机汇总表!$J$13&amp;"/"&amp;小圆机汇总表!AM$14),SUMIFS(yj!$H:$H,yj!$B:$B,小圆机汇总表!$A57,yj!$G:$G,小圆机汇总表!$I$13&amp;"/"&amp;小圆机汇总表!$J$13&amp;"/"&amp;小圆机汇总表!AM$14))</f>
        <v>0</v>
      </c>
      <c r="AN57" s="18">
        <f>IF($K$13="件数",SUMIFS(yj!$I:$I,yj!$B:$B,小圆机汇总表!$A57,yj!$G:$G,小圆机汇总表!$I$13&amp;"/"&amp;小圆机汇总表!$J$13&amp;"/"&amp;小圆机汇总表!AN$14),SUMIFS(yj!$H:$H,yj!$B:$B,小圆机汇总表!$A57,yj!$G:$G,小圆机汇总表!$I$13&amp;"/"&amp;小圆机汇总表!$J$13&amp;"/"&amp;小圆机汇总表!AN$14))</f>
        <v>0</v>
      </c>
      <c r="AO57" s="18">
        <f>IF($K$13="件数",SUMIFS(yj!$I:$I,yj!$B:$B,小圆机汇总表!$A57,yj!$G:$G,小圆机汇总表!$I$13&amp;"/"&amp;小圆机汇总表!$J$13&amp;"/"&amp;小圆机汇总表!AO$14),SUMIFS(yj!$H:$H,yj!$B:$B,小圆机汇总表!$A57,yj!$G:$G,小圆机汇总表!$I$13&amp;"/"&amp;小圆机汇总表!$J$13&amp;"/"&amp;小圆机汇总表!AO$14))</f>
        <v>0</v>
      </c>
      <c r="AP57" s="18">
        <f>IF($K$13="件数",SUMIFS(yj!$I:$I,yj!$B:$B,小圆机汇总表!$A57,yj!$G:$G,小圆机汇总表!$I$13&amp;"/"&amp;小圆机汇总表!$J$13&amp;"/"&amp;小圆机汇总表!AP$14),SUMIFS(yj!$H:$H,yj!$B:$B,小圆机汇总表!$A57,yj!$G:$G,小圆机汇总表!$I$13&amp;"/"&amp;小圆机汇总表!$J$13&amp;"/"&amp;小圆机汇总表!AP$14))</f>
        <v>0</v>
      </c>
      <c r="AQ57" s="18">
        <f>IF($K$13="件数",SUMIFS(yj!$I:$I,yj!$B:$B,小圆机汇总表!$A57,yj!$G:$G,小圆机汇总表!$I$13&amp;"/"&amp;小圆机汇总表!$J$13&amp;"/"&amp;小圆机汇总表!AQ$14),SUMIFS(yj!$H:$H,yj!$B:$B,小圆机汇总表!$A57,yj!$G:$G,小圆机汇总表!$I$13&amp;"/"&amp;小圆机汇总表!$J$13&amp;"/"&amp;小圆机汇总表!AQ$14))</f>
        <v>0</v>
      </c>
    </row>
    <row r="58" spans="1:43" ht="18" hidden="1" customHeight="1">
      <c r="A58" s="54" t="s">
        <v>105</v>
      </c>
      <c r="B58" s="14" t="s">
        <v>104</v>
      </c>
      <c r="C58" s="17">
        <v>75</v>
      </c>
      <c r="D58" s="17" t="s">
        <v>38</v>
      </c>
      <c r="E58" s="54" t="s">
        <v>2</v>
      </c>
      <c r="F58" s="54">
        <v>160</v>
      </c>
      <c r="G58" s="54">
        <v>49</v>
      </c>
      <c r="H58" s="14" t="s">
        <v>39</v>
      </c>
      <c r="I58" s="54"/>
      <c r="J58" s="182">
        <f ca="1">IF(SUMIFS(yj!$I:$I,yj!$B:$B,小圆机汇总表!A58,yj!$G:$G,小圆机汇总表!$L$13)&gt;0,SUMIFS(yj!$H:$H,yj!$B:$B,小圆机汇总表!A58,yj!$G:$G,小圆机汇总表!$L$13),0)</f>
        <v>0</v>
      </c>
      <c r="K58" s="15">
        <f>SUMIFS(yj!$H:$H,yj!$B:$B,小圆机汇总表!A58,yj!$M:$M,小圆机汇总表!$J$13)</f>
        <v>444.4</v>
      </c>
      <c r="L58" s="15">
        <f>SUMIFS(yj!$I:$I,yj!$B:$B,小圆机汇总表!A58,yj!$M:$M,小圆机汇总表!$J$13)</f>
        <v>22</v>
      </c>
      <c r="M58" s="18">
        <f>IF($K$13="件数",SUMIFS(yj!$I:$I,yj!$B:$B,小圆机汇总表!$A58,yj!$G:$G,小圆机汇总表!$I$13&amp;"/"&amp;小圆机汇总表!$J$13&amp;"/"&amp;小圆机汇总表!M$14),SUMIFS(yj!$H:$H,yj!$B:$B,小圆机汇总表!$A58,yj!$G:$G,小圆机汇总表!$I$13&amp;"/"&amp;小圆机汇总表!$J$13&amp;"/"&amp;小圆机汇总表!M$14))</f>
        <v>362.4</v>
      </c>
      <c r="N58" s="18">
        <f>IF($K$13="件数",SUMIFS(yj!$I:$I,yj!$B:$B,小圆机汇总表!$A58,yj!$G:$G,小圆机汇总表!$I$13&amp;"/"&amp;小圆机汇总表!$J$13&amp;"/"&amp;小圆机汇总表!N$14),SUMIFS(yj!$H:$H,yj!$B:$B,小圆机汇总表!$A58,yj!$G:$G,小圆机汇总表!$I$13&amp;"/"&amp;小圆机汇总表!$J$13&amp;"/"&amp;小圆机汇总表!N$14))</f>
        <v>82</v>
      </c>
      <c r="O58" s="18">
        <f>IF($K$13="件数",SUMIFS(yj!$I:$I,yj!$B:$B,小圆机汇总表!$A58,yj!$G:$G,小圆机汇总表!$I$13&amp;"/"&amp;小圆机汇总表!$J$13&amp;"/"&amp;小圆机汇总表!O$14),SUMIFS(yj!$H:$H,yj!$B:$B,小圆机汇总表!$A58,yj!$G:$G,小圆机汇总表!$I$13&amp;"/"&amp;小圆机汇总表!$J$13&amp;"/"&amp;小圆机汇总表!O$14))</f>
        <v>0</v>
      </c>
      <c r="P58" s="18">
        <f>IF($K$13="件数",SUMIFS(yj!$I:$I,yj!$B:$B,小圆机汇总表!$A58,yj!$G:$G,小圆机汇总表!$I$13&amp;"/"&amp;小圆机汇总表!$J$13&amp;"/"&amp;小圆机汇总表!P$14),SUMIFS(yj!$H:$H,yj!$B:$B,小圆机汇总表!$A58,yj!$G:$G,小圆机汇总表!$I$13&amp;"/"&amp;小圆机汇总表!$J$13&amp;"/"&amp;小圆机汇总表!P$14))</f>
        <v>0</v>
      </c>
      <c r="Q58" s="18">
        <f>IF($K$13="件数",SUMIFS(yj!$I:$I,yj!$B:$B,小圆机汇总表!$A58,yj!$G:$G,小圆机汇总表!$I$13&amp;"/"&amp;小圆机汇总表!$J$13&amp;"/"&amp;小圆机汇总表!Q$14),SUMIFS(yj!$H:$H,yj!$B:$B,小圆机汇总表!$A58,yj!$G:$G,小圆机汇总表!$I$13&amp;"/"&amp;小圆机汇总表!$J$13&amp;"/"&amp;小圆机汇总表!Q$14))</f>
        <v>0</v>
      </c>
      <c r="R58" s="18">
        <f>IF($K$13="件数",SUMIFS(yj!$I:$I,yj!$B:$B,小圆机汇总表!$A58,yj!$G:$G,小圆机汇总表!$I$13&amp;"/"&amp;小圆机汇总表!$J$13&amp;"/"&amp;小圆机汇总表!R$14),SUMIFS(yj!$H:$H,yj!$B:$B,小圆机汇总表!$A58,yj!$G:$G,小圆机汇总表!$I$13&amp;"/"&amp;小圆机汇总表!$J$13&amp;"/"&amp;小圆机汇总表!R$14))</f>
        <v>0</v>
      </c>
      <c r="S58" s="18">
        <f>IF($K$13="件数",SUMIFS(yj!$I:$I,yj!$B:$B,小圆机汇总表!$A58,yj!$G:$G,小圆机汇总表!$I$13&amp;"/"&amp;小圆机汇总表!$J$13&amp;"/"&amp;小圆机汇总表!S$14),SUMIFS(yj!$H:$H,yj!$B:$B,小圆机汇总表!$A58,yj!$G:$G,小圆机汇总表!$I$13&amp;"/"&amp;小圆机汇总表!$J$13&amp;"/"&amp;小圆机汇总表!S$14))</f>
        <v>0</v>
      </c>
      <c r="T58" s="18">
        <f>IF($K$13="件数",SUMIFS(yj!$I:$I,yj!$B:$B,小圆机汇总表!$A58,yj!$G:$G,小圆机汇总表!$I$13&amp;"/"&amp;小圆机汇总表!$J$13&amp;"/"&amp;小圆机汇总表!T$14),SUMIFS(yj!$H:$H,yj!$B:$B,小圆机汇总表!$A58,yj!$G:$G,小圆机汇总表!$I$13&amp;"/"&amp;小圆机汇总表!$J$13&amp;"/"&amp;小圆机汇总表!T$14))</f>
        <v>0</v>
      </c>
      <c r="U58" s="18">
        <f>IF($K$13="件数",SUMIFS(yj!$I:$I,yj!$B:$B,小圆机汇总表!$A58,yj!$G:$G,小圆机汇总表!$I$13&amp;"/"&amp;小圆机汇总表!$J$13&amp;"/"&amp;小圆机汇总表!U$14),SUMIFS(yj!$H:$H,yj!$B:$B,小圆机汇总表!$A58,yj!$G:$G,小圆机汇总表!$I$13&amp;"/"&amp;小圆机汇总表!$J$13&amp;"/"&amp;小圆机汇总表!U$14))</f>
        <v>0</v>
      </c>
      <c r="V58" s="18">
        <f>IF($K$13="件数",SUMIFS(yj!$I:$I,yj!$B:$B,小圆机汇总表!$A58,yj!$G:$G,小圆机汇总表!$I$13&amp;"/"&amp;小圆机汇总表!$J$13&amp;"/"&amp;小圆机汇总表!V$14),SUMIFS(yj!$H:$H,yj!$B:$B,小圆机汇总表!$A58,yj!$G:$G,小圆机汇总表!$I$13&amp;"/"&amp;小圆机汇总表!$J$13&amp;"/"&amp;小圆机汇总表!V$14))</f>
        <v>0</v>
      </c>
      <c r="W58" s="18">
        <f>IF($K$13="件数",SUMIFS(yj!$I:$I,yj!$B:$B,小圆机汇总表!$A58,yj!$G:$G,小圆机汇总表!$I$13&amp;"/"&amp;小圆机汇总表!$J$13&amp;"/"&amp;小圆机汇总表!W$14),SUMIFS(yj!$H:$H,yj!$B:$B,小圆机汇总表!$A58,yj!$G:$G,小圆机汇总表!$I$13&amp;"/"&amp;小圆机汇总表!$J$13&amp;"/"&amp;小圆机汇总表!W$14))</f>
        <v>0</v>
      </c>
      <c r="X58" s="18">
        <f>IF($K$13="件数",SUMIFS(yj!$I:$I,yj!$B:$B,小圆机汇总表!$A58,yj!$G:$G,小圆机汇总表!$I$13&amp;"/"&amp;小圆机汇总表!$J$13&amp;"/"&amp;小圆机汇总表!X$14),SUMIFS(yj!$H:$H,yj!$B:$B,小圆机汇总表!$A58,yj!$G:$G,小圆机汇总表!$I$13&amp;"/"&amp;小圆机汇总表!$J$13&amp;"/"&amp;小圆机汇总表!X$14))</f>
        <v>0</v>
      </c>
      <c r="Y58" s="18">
        <f>IF($K$13="件数",SUMIFS(yj!$I:$I,yj!$B:$B,小圆机汇总表!$A58,yj!$G:$G,小圆机汇总表!$I$13&amp;"/"&amp;小圆机汇总表!$J$13&amp;"/"&amp;小圆机汇总表!Y$14),SUMIFS(yj!$H:$H,yj!$B:$B,小圆机汇总表!$A58,yj!$G:$G,小圆机汇总表!$I$13&amp;"/"&amp;小圆机汇总表!$J$13&amp;"/"&amp;小圆机汇总表!Y$14))</f>
        <v>0</v>
      </c>
      <c r="Z58" s="18">
        <f>IF($K$13="件数",SUMIFS(yj!$I:$I,yj!$B:$B,小圆机汇总表!$A58,yj!$G:$G,小圆机汇总表!$I$13&amp;"/"&amp;小圆机汇总表!$J$13&amp;"/"&amp;小圆机汇总表!Z$14),SUMIFS(yj!$H:$H,yj!$B:$B,小圆机汇总表!$A58,yj!$G:$G,小圆机汇总表!$I$13&amp;"/"&amp;小圆机汇总表!$J$13&amp;"/"&amp;小圆机汇总表!Z$14))</f>
        <v>0</v>
      </c>
      <c r="AA58" s="18">
        <f>IF($K$13="件数",SUMIFS(yj!$I:$I,yj!$B:$B,小圆机汇总表!$A58,yj!$G:$G,小圆机汇总表!$I$13&amp;"/"&amp;小圆机汇总表!$J$13&amp;"/"&amp;小圆机汇总表!AA$14),SUMIFS(yj!$H:$H,yj!$B:$B,小圆机汇总表!$A58,yj!$G:$G,小圆机汇总表!$I$13&amp;"/"&amp;小圆机汇总表!$J$13&amp;"/"&amp;小圆机汇总表!AA$14))</f>
        <v>0</v>
      </c>
      <c r="AB58" s="18">
        <f>IF($K$13="件数",SUMIFS(yj!$I:$I,yj!$B:$B,小圆机汇总表!$A58,yj!$G:$G,小圆机汇总表!$I$13&amp;"/"&amp;小圆机汇总表!$J$13&amp;"/"&amp;小圆机汇总表!AB$14),SUMIFS(yj!$H:$H,yj!$B:$B,小圆机汇总表!$A58,yj!$G:$G,小圆机汇总表!$I$13&amp;"/"&amp;小圆机汇总表!$J$13&amp;"/"&amp;小圆机汇总表!AB$14))</f>
        <v>0</v>
      </c>
      <c r="AC58" s="18">
        <f>IF($K$13="件数",SUMIFS(yj!$I:$I,yj!$B:$B,小圆机汇总表!$A58,yj!$G:$G,小圆机汇总表!$I$13&amp;"/"&amp;小圆机汇总表!$J$13&amp;"/"&amp;小圆机汇总表!AC$14),SUMIFS(yj!$H:$H,yj!$B:$B,小圆机汇总表!$A58,yj!$G:$G,小圆机汇总表!$I$13&amp;"/"&amp;小圆机汇总表!$J$13&amp;"/"&amp;小圆机汇总表!AC$14))</f>
        <v>0</v>
      </c>
      <c r="AD58" s="18">
        <f>IF($K$13="件数",SUMIFS(yj!$I:$I,yj!$B:$B,小圆机汇总表!$A58,yj!$G:$G,小圆机汇总表!$I$13&amp;"/"&amp;小圆机汇总表!$J$13&amp;"/"&amp;小圆机汇总表!AD$14),SUMIFS(yj!$H:$H,yj!$B:$B,小圆机汇总表!$A58,yj!$G:$G,小圆机汇总表!$I$13&amp;"/"&amp;小圆机汇总表!$J$13&amp;"/"&amp;小圆机汇总表!AD$14))</f>
        <v>0</v>
      </c>
      <c r="AE58" s="18">
        <f>IF($K$13="件数",SUMIFS(yj!$I:$I,yj!$B:$B,小圆机汇总表!$A58,yj!$G:$G,小圆机汇总表!$I$13&amp;"/"&amp;小圆机汇总表!$J$13&amp;"/"&amp;小圆机汇总表!AE$14),SUMIFS(yj!$H:$H,yj!$B:$B,小圆机汇总表!$A58,yj!$G:$G,小圆机汇总表!$I$13&amp;"/"&amp;小圆机汇总表!$J$13&amp;"/"&amp;小圆机汇总表!AE$14))</f>
        <v>0</v>
      </c>
      <c r="AF58" s="18">
        <f>IF($K$13="件数",SUMIFS(yj!$I:$I,yj!$B:$B,小圆机汇总表!$A58,yj!$G:$G,小圆机汇总表!$I$13&amp;"/"&amp;小圆机汇总表!$J$13&amp;"/"&amp;小圆机汇总表!AF$14),SUMIFS(yj!$H:$H,yj!$B:$B,小圆机汇总表!$A58,yj!$G:$G,小圆机汇总表!$I$13&amp;"/"&amp;小圆机汇总表!$J$13&amp;"/"&amp;小圆机汇总表!AF$14))</f>
        <v>0</v>
      </c>
      <c r="AG58" s="18">
        <f>IF($K$13="件数",SUMIFS(yj!$I:$I,yj!$B:$B,小圆机汇总表!$A58,yj!$G:$G,小圆机汇总表!$I$13&amp;"/"&amp;小圆机汇总表!$J$13&amp;"/"&amp;小圆机汇总表!AG$14),SUMIFS(yj!$H:$H,yj!$B:$B,小圆机汇总表!$A58,yj!$G:$G,小圆机汇总表!$I$13&amp;"/"&amp;小圆机汇总表!$J$13&amp;"/"&amp;小圆机汇总表!AG$14))</f>
        <v>0</v>
      </c>
      <c r="AH58" s="18">
        <f>IF($K$13="件数",SUMIFS(yj!$I:$I,yj!$B:$B,小圆机汇总表!$A58,yj!$G:$G,小圆机汇总表!$I$13&amp;"/"&amp;小圆机汇总表!$J$13&amp;"/"&amp;小圆机汇总表!AH$14),SUMIFS(yj!$H:$H,yj!$B:$B,小圆机汇总表!$A58,yj!$G:$G,小圆机汇总表!$I$13&amp;"/"&amp;小圆机汇总表!$J$13&amp;"/"&amp;小圆机汇总表!AH$14))</f>
        <v>0</v>
      </c>
      <c r="AI58" s="18">
        <f>IF($K$13="件数",SUMIFS(yj!$I:$I,yj!$B:$B,小圆机汇总表!$A58,yj!$G:$G,小圆机汇总表!$I$13&amp;"/"&amp;小圆机汇总表!$J$13&amp;"/"&amp;小圆机汇总表!AI$14),SUMIFS(yj!$H:$H,yj!$B:$B,小圆机汇总表!$A58,yj!$G:$G,小圆机汇总表!$I$13&amp;"/"&amp;小圆机汇总表!$J$13&amp;"/"&amp;小圆机汇总表!AI$14))</f>
        <v>0</v>
      </c>
      <c r="AJ58" s="18">
        <f>IF($K$13="件数",SUMIFS(yj!$I:$I,yj!$B:$B,小圆机汇总表!$A58,yj!$G:$G,小圆机汇总表!$I$13&amp;"/"&amp;小圆机汇总表!$J$13&amp;"/"&amp;小圆机汇总表!AJ$14),SUMIFS(yj!$H:$H,yj!$B:$B,小圆机汇总表!$A58,yj!$G:$G,小圆机汇总表!$I$13&amp;"/"&amp;小圆机汇总表!$J$13&amp;"/"&amp;小圆机汇总表!AJ$14))</f>
        <v>0</v>
      </c>
      <c r="AK58" s="18">
        <f>IF($K$13="件数",SUMIFS(yj!$I:$I,yj!$B:$B,小圆机汇总表!$A58,yj!$G:$G,小圆机汇总表!$I$13&amp;"/"&amp;小圆机汇总表!$J$13&amp;"/"&amp;小圆机汇总表!AK$14),SUMIFS(yj!$H:$H,yj!$B:$B,小圆机汇总表!$A58,yj!$G:$G,小圆机汇总表!$I$13&amp;"/"&amp;小圆机汇总表!$J$13&amp;"/"&amp;小圆机汇总表!AK$14))</f>
        <v>0</v>
      </c>
      <c r="AL58" s="18">
        <f>IF($K$13="件数",SUMIFS(yj!$I:$I,yj!$B:$B,小圆机汇总表!$A58,yj!$G:$G,小圆机汇总表!$I$13&amp;"/"&amp;小圆机汇总表!$J$13&amp;"/"&amp;小圆机汇总表!AL$14),SUMIFS(yj!$H:$H,yj!$B:$B,小圆机汇总表!$A58,yj!$G:$G,小圆机汇总表!$I$13&amp;"/"&amp;小圆机汇总表!$J$13&amp;"/"&amp;小圆机汇总表!AL$14))</f>
        <v>0</v>
      </c>
      <c r="AM58" s="18">
        <f>IF($K$13="件数",SUMIFS(yj!$I:$I,yj!$B:$B,小圆机汇总表!$A58,yj!$G:$G,小圆机汇总表!$I$13&amp;"/"&amp;小圆机汇总表!$J$13&amp;"/"&amp;小圆机汇总表!AM$14),SUMIFS(yj!$H:$H,yj!$B:$B,小圆机汇总表!$A58,yj!$G:$G,小圆机汇总表!$I$13&amp;"/"&amp;小圆机汇总表!$J$13&amp;"/"&amp;小圆机汇总表!AM$14))</f>
        <v>0</v>
      </c>
      <c r="AN58" s="18">
        <f>IF($K$13="件数",SUMIFS(yj!$I:$I,yj!$B:$B,小圆机汇总表!$A58,yj!$G:$G,小圆机汇总表!$I$13&amp;"/"&amp;小圆机汇总表!$J$13&amp;"/"&amp;小圆机汇总表!AN$14),SUMIFS(yj!$H:$H,yj!$B:$B,小圆机汇总表!$A58,yj!$G:$G,小圆机汇总表!$I$13&amp;"/"&amp;小圆机汇总表!$J$13&amp;"/"&amp;小圆机汇总表!AN$14))</f>
        <v>0</v>
      </c>
      <c r="AO58" s="18">
        <f>IF($K$13="件数",SUMIFS(yj!$I:$I,yj!$B:$B,小圆机汇总表!$A58,yj!$G:$G,小圆机汇总表!$I$13&amp;"/"&amp;小圆机汇总表!$J$13&amp;"/"&amp;小圆机汇总表!AO$14),SUMIFS(yj!$H:$H,yj!$B:$B,小圆机汇总表!$A58,yj!$G:$G,小圆机汇总表!$I$13&amp;"/"&amp;小圆机汇总表!$J$13&amp;"/"&amp;小圆机汇总表!AO$14))</f>
        <v>0</v>
      </c>
      <c r="AP58" s="18">
        <f>IF($K$13="件数",SUMIFS(yj!$I:$I,yj!$B:$B,小圆机汇总表!$A58,yj!$G:$G,小圆机汇总表!$I$13&amp;"/"&amp;小圆机汇总表!$J$13&amp;"/"&amp;小圆机汇总表!AP$14),SUMIFS(yj!$H:$H,yj!$B:$B,小圆机汇总表!$A58,yj!$G:$G,小圆机汇总表!$I$13&amp;"/"&amp;小圆机汇总表!$J$13&amp;"/"&amp;小圆机汇总表!AP$14))</f>
        <v>0</v>
      </c>
      <c r="AQ58" s="18">
        <f>IF($K$13="件数",SUMIFS(yj!$I:$I,yj!$B:$B,小圆机汇总表!$A58,yj!$G:$G,小圆机汇总表!$I$13&amp;"/"&amp;小圆机汇总表!$J$13&amp;"/"&amp;小圆机汇总表!AQ$14),SUMIFS(yj!$H:$H,yj!$B:$B,小圆机汇总表!$A58,yj!$G:$G,小圆机汇总表!$I$13&amp;"/"&amp;小圆机汇总表!$J$13&amp;"/"&amp;小圆机汇总表!AQ$14))</f>
        <v>0</v>
      </c>
    </row>
    <row r="59" spans="1:43" ht="18" hidden="1" customHeight="1">
      <c r="A59" s="110" t="s">
        <v>106</v>
      </c>
      <c r="B59" s="108" t="s">
        <v>1602</v>
      </c>
      <c r="C59" s="17">
        <v>75</v>
      </c>
      <c r="D59" s="17" t="s">
        <v>1143</v>
      </c>
      <c r="E59" s="110" t="s">
        <v>1082</v>
      </c>
      <c r="F59" s="13">
        <v>160</v>
      </c>
      <c r="G59" s="13">
        <v>42</v>
      </c>
      <c r="H59" s="108" t="s">
        <v>1022</v>
      </c>
      <c r="I59" s="13"/>
      <c r="J59" s="182">
        <f ca="1">IF(SUMIFS(yj!$I:$I,yj!$B:$B,小圆机汇总表!A59,yj!$G:$G,小圆机汇总表!$L$13)&gt;0,SUMIFS(yj!$H:$H,yj!$B:$B,小圆机汇总表!A59,yj!$G:$G,小圆机汇总表!$L$13),0)</f>
        <v>423.7</v>
      </c>
      <c r="K59" s="15">
        <f>SUMIFS(yj!$H:$H,yj!$B:$B,小圆机汇总表!A59,yj!$M:$M,小圆机汇总表!$J$13)</f>
        <v>2499.6</v>
      </c>
      <c r="L59" s="15">
        <f>SUMIFS(yj!$I:$I,yj!$B:$B,小圆机汇总表!A59,yj!$M:$M,小圆机汇总表!$J$13)</f>
        <v>124</v>
      </c>
      <c r="M59" s="18">
        <f>IF($K$13="件数",SUMIFS(yj!$I:$I,yj!$B:$B,小圆机汇总表!$A59,yj!$G:$G,小圆机汇总表!$I$13&amp;"/"&amp;小圆机汇总表!$J$13&amp;"/"&amp;小圆机汇总表!M$14),SUMIFS(yj!$H:$H,yj!$B:$B,小圆机汇总表!$A59,yj!$G:$G,小圆机汇总表!$I$13&amp;"/"&amp;小圆机汇总表!$J$13&amp;"/"&amp;小圆机汇总表!M$14))</f>
        <v>423.7</v>
      </c>
      <c r="N59" s="18">
        <f>IF($K$13="件数",SUMIFS(yj!$I:$I,yj!$B:$B,小圆机汇总表!$A59,yj!$G:$G,小圆机汇总表!$I$13&amp;"/"&amp;小圆机汇总表!$J$13&amp;"/"&amp;小圆机汇总表!N$14),SUMIFS(yj!$H:$H,yj!$B:$B,小圆机汇总表!$A59,yj!$G:$G,小圆机汇总表!$I$13&amp;"/"&amp;小圆机汇总表!$J$13&amp;"/"&amp;小圆机汇总表!N$14))</f>
        <v>401.5</v>
      </c>
      <c r="O59" s="18">
        <f>IF($K$13="件数",SUMIFS(yj!$I:$I,yj!$B:$B,小圆机汇总表!$A59,yj!$G:$G,小圆机汇总表!$I$13&amp;"/"&amp;小圆机汇总表!$J$13&amp;"/"&amp;小圆机汇总表!O$14),SUMIFS(yj!$H:$H,yj!$B:$B,小圆机汇总表!$A59,yj!$G:$G,小圆机汇总表!$I$13&amp;"/"&amp;小圆机汇总表!$J$13&amp;"/"&amp;小圆机汇总表!O$14))</f>
        <v>403.5</v>
      </c>
      <c r="P59" s="18">
        <f>IF($K$13="件数",SUMIFS(yj!$I:$I,yj!$B:$B,小圆机汇总表!$A59,yj!$G:$G,小圆机汇总表!$I$13&amp;"/"&amp;小圆机汇总表!$J$13&amp;"/"&amp;小圆机汇总表!P$14),SUMIFS(yj!$H:$H,yj!$B:$B,小圆机汇总表!$A59,yj!$G:$G,小圆机汇总表!$I$13&amp;"/"&amp;小圆机汇总表!$J$13&amp;"/"&amp;小圆机汇总表!P$14))</f>
        <v>464</v>
      </c>
      <c r="Q59" s="18">
        <f>IF($K$13="件数",SUMIFS(yj!$I:$I,yj!$B:$B,小圆机汇总表!$A59,yj!$G:$G,小圆机汇总表!$I$13&amp;"/"&amp;小圆机汇总表!$J$13&amp;"/"&amp;小圆机汇总表!Q$14),SUMIFS(yj!$H:$H,yj!$B:$B,小圆机汇总表!$A59,yj!$G:$G,小圆机汇总表!$I$13&amp;"/"&amp;小圆机汇总表!$J$13&amp;"/"&amp;小圆机汇总表!Q$14))</f>
        <v>383.2</v>
      </c>
      <c r="R59" s="18">
        <f>IF($K$13="件数",SUMIFS(yj!$I:$I,yj!$B:$B,小圆机汇总表!$A59,yj!$G:$G,小圆机汇总表!$I$13&amp;"/"&amp;小圆机汇总表!$J$13&amp;"/"&amp;小圆机汇总表!R$14),SUMIFS(yj!$H:$H,yj!$B:$B,小圆机汇总表!$A59,yj!$G:$G,小圆机汇总表!$I$13&amp;"/"&amp;小圆机汇总表!$J$13&amp;"/"&amp;小圆机汇总表!R$14))</f>
        <v>423.7</v>
      </c>
      <c r="S59" s="18">
        <f>IF($K$13="件数",SUMIFS(yj!$I:$I,yj!$B:$B,小圆机汇总表!$A59,yj!$G:$G,小圆机汇总表!$I$13&amp;"/"&amp;小圆机汇总表!$J$13&amp;"/"&amp;小圆机汇总表!S$14),SUMIFS(yj!$H:$H,yj!$B:$B,小圆机汇总表!$A59,yj!$G:$G,小圆机汇总表!$I$13&amp;"/"&amp;小圆机汇总表!$J$13&amp;"/"&amp;小圆机汇总表!S$14))</f>
        <v>0</v>
      </c>
      <c r="T59" s="18">
        <f>IF($K$13="件数",SUMIFS(yj!$I:$I,yj!$B:$B,小圆机汇总表!$A59,yj!$G:$G,小圆机汇总表!$I$13&amp;"/"&amp;小圆机汇总表!$J$13&amp;"/"&amp;小圆机汇总表!T$14),SUMIFS(yj!$H:$H,yj!$B:$B,小圆机汇总表!$A59,yj!$G:$G,小圆机汇总表!$I$13&amp;"/"&amp;小圆机汇总表!$J$13&amp;"/"&amp;小圆机汇总表!T$14))</f>
        <v>0</v>
      </c>
      <c r="U59" s="18">
        <f>IF($K$13="件数",SUMIFS(yj!$I:$I,yj!$B:$B,小圆机汇总表!$A59,yj!$G:$G,小圆机汇总表!$I$13&amp;"/"&amp;小圆机汇总表!$J$13&amp;"/"&amp;小圆机汇总表!U$14),SUMIFS(yj!$H:$H,yj!$B:$B,小圆机汇总表!$A59,yj!$G:$G,小圆机汇总表!$I$13&amp;"/"&amp;小圆机汇总表!$J$13&amp;"/"&amp;小圆机汇总表!U$14))</f>
        <v>0</v>
      </c>
      <c r="V59" s="18">
        <f>IF($K$13="件数",SUMIFS(yj!$I:$I,yj!$B:$B,小圆机汇总表!$A59,yj!$G:$G,小圆机汇总表!$I$13&amp;"/"&amp;小圆机汇总表!$J$13&amp;"/"&amp;小圆机汇总表!V$14),SUMIFS(yj!$H:$H,yj!$B:$B,小圆机汇总表!$A59,yj!$G:$G,小圆机汇总表!$I$13&amp;"/"&amp;小圆机汇总表!$J$13&amp;"/"&amp;小圆机汇总表!V$14))</f>
        <v>0</v>
      </c>
      <c r="W59" s="18">
        <f>IF($K$13="件数",SUMIFS(yj!$I:$I,yj!$B:$B,小圆机汇总表!$A59,yj!$G:$G,小圆机汇总表!$I$13&amp;"/"&amp;小圆机汇总表!$J$13&amp;"/"&amp;小圆机汇总表!W$14),SUMIFS(yj!$H:$H,yj!$B:$B,小圆机汇总表!$A59,yj!$G:$G,小圆机汇总表!$I$13&amp;"/"&amp;小圆机汇总表!$J$13&amp;"/"&amp;小圆机汇总表!W$14))</f>
        <v>0</v>
      </c>
      <c r="X59" s="18">
        <f>IF($K$13="件数",SUMIFS(yj!$I:$I,yj!$B:$B,小圆机汇总表!$A59,yj!$G:$G,小圆机汇总表!$I$13&amp;"/"&amp;小圆机汇总表!$J$13&amp;"/"&amp;小圆机汇总表!X$14),SUMIFS(yj!$H:$H,yj!$B:$B,小圆机汇总表!$A59,yj!$G:$G,小圆机汇总表!$I$13&amp;"/"&amp;小圆机汇总表!$J$13&amp;"/"&amp;小圆机汇总表!X$14))</f>
        <v>0</v>
      </c>
      <c r="Y59" s="18">
        <f>IF($K$13="件数",SUMIFS(yj!$I:$I,yj!$B:$B,小圆机汇总表!$A59,yj!$G:$G,小圆机汇总表!$I$13&amp;"/"&amp;小圆机汇总表!$J$13&amp;"/"&amp;小圆机汇总表!Y$14),SUMIFS(yj!$H:$H,yj!$B:$B,小圆机汇总表!$A59,yj!$G:$G,小圆机汇总表!$I$13&amp;"/"&amp;小圆机汇总表!$J$13&amp;"/"&amp;小圆机汇总表!Y$14))</f>
        <v>0</v>
      </c>
      <c r="Z59" s="18">
        <f>IF($K$13="件数",SUMIFS(yj!$I:$I,yj!$B:$B,小圆机汇总表!$A59,yj!$G:$G,小圆机汇总表!$I$13&amp;"/"&amp;小圆机汇总表!$J$13&amp;"/"&amp;小圆机汇总表!Z$14),SUMIFS(yj!$H:$H,yj!$B:$B,小圆机汇总表!$A59,yj!$G:$G,小圆机汇总表!$I$13&amp;"/"&amp;小圆机汇总表!$J$13&amp;"/"&amp;小圆机汇总表!Z$14))</f>
        <v>0</v>
      </c>
      <c r="AA59" s="18">
        <f>IF($K$13="件数",SUMIFS(yj!$I:$I,yj!$B:$B,小圆机汇总表!$A59,yj!$G:$G,小圆机汇总表!$I$13&amp;"/"&amp;小圆机汇总表!$J$13&amp;"/"&amp;小圆机汇总表!AA$14),SUMIFS(yj!$H:$H,yj!$B:$B,小圆机汇总表!$A59,yj!$G:$G,小圆机汇总表!$I$13&amp;"/"&amp;小圆机汇总表!$J$13&amp;"/"&amp;小圆机汇总表!AA$14))</f>
        <v>0</v>
      </c>
      <c r="AB59" s="18">
        <f>IF($K$13="件数",SUMIFS(yj!$I:$I,yj!$B:$B,小圆机汇总表!$A59,yj!$G:$G,小圆机汇总表!$I$13&amp;"/"&amp;小圆机汇总表!$J$13&amp;"/"&amp;小圆机汇总表!AB$14),SUMIFS(yj!$H:$H,yj!$B:$B,小圆机汇总表!$A59,yj!$G:$G,小圆机汇总表!$I$13&amp;"/"&amp;小圆机汇总表!$J$13&amp;"/"&amp;小圆机汇总表!AB$14))</f>
        <v>0</v>
      </c>
      <c r="AC59" s="18">
        <f>IF($K$13="件数",SUMIFS(yj!$I:$I,yj!$B:$B,小圆机汇总表!$A59,yj!$G:$G,小圆机汇总表!$I$13&amp;"/"&amp;小圆机汇总表!$J$13&amp;"/"&amp;小圆机汇总表!AC$14),SUMIFS(yj!$H:$H,yj!$B:$B,小圆机汇总表!$A59,yj!$G:$G,小圆机汇总表!$I$13&amp;"/"&amp;小圆机汇总表!$J$13&amp;"/"&amp;小圆机汇总表!AC$14))</f>
        <v>0</v>
      </c>
      <c r="AD59" s="18">
        <f>IF($K$13="件数",SUMIFS(yj!$I:$I,yj!$B:$B,小圆机汇总表!$A59,yj!$G:$G,小圆机汇总表!$I$13&amp;"/"&amp;小圆机汇总表!$J$13&amp;"/"&amp;小圆机汇总表!AD$14),SUMIFS(yj!$H:$H,yj!$B:$B,小圆机汇总表!$A59,yj!$G:$G,小圆机汇总表!$I$13&amp;"/"&amp;小圆机汇总表!$J$13&amp;"/"&amp;小圆机汇总表!AD$14))</f>
        <v>0</v>
      </c>
      <c r="AE59" s="18">
        <f>IF($K$13="件数",SUMIFS(yj!$I:$I,yj!$B:$B,小圆机汇总表!$A59,yj!$G:$G,小圆机汇总表!$I$13&amp;"/"&amp;小圆机汇总表!$J$13&amp;"/"&amp;小圆机汇总表!AE$14),SUMIFS(yj!$H:$H,yj!$B:$B,小圆机汇总表!$A59,yj!$G:$G,小圆机汇总表!$I$13&amp;"/"&amp;小圆机汇总表!$J$13&amp;"/"&amp;小圆机汇总表!AE$14))</f>
        <v>0</v>
      </c>
      <c r="AF59" s="18">
        <f>IF($K$13="件数",SUMIFS(yj!$I:$I,yj!$B:$B,小圆机汇总表!$A59,yj!$G:$G,小圆机汇总表!$I$13&amp;"/"&amp;小圆机汇总表!$J$13&amp;"/"&amp;小圆机汇总表!AF$14),SUMIFS(yj!$H:$H,yj!$B:$B,小圆机汇总表!$A59,yj!$G:$G,小圆机汇总表!$I$13&amp;"/"&amp;小圆机汇总表!$J$13&amp;"/"&amp;小圆机汇总表!AF$14))</f>
        <v>0</v>
      </c>
      <c r="AG59" s="18">
        <f>IF($K$13="件数",SUMIFS(yj!$I:$I,yj!$B:$B,小圆机汇总表!$A59,yj!$G:$G,小圆机汇总表!$I$13&amp;"/"&amp;小圆机汇总表!$J$13&amp;"/"&amp;小圆机汇总表!AG$14),SUMIFS(yj!$H:$H,yj!$B:$B,小圆机汇总表!$A59,yj!$G:$G,小圆机汇总表!$I$13&amp;"/"&amp;小圆机汇总表!$J$13&amp;"/"&amp;小圆机汇总表!AG$14))</f>
        <v>0</v>
      </c>
      <c r="AH59" s="18">
        <f>IF($K$13="件数",SUMIFS(yj!$I:$I,yj!$B:$B,小圆机汇总表!$A59,yj!$G:$G,小圆机汇总表!$I$13&amp;"/"&amp;小圆机汇总表!$J$13&amp;"/"&amp;小圆机汇总表!AH$14),SUMIFS(yj!$H:$H,yj!$B:$B,小圆机汇总表!$A59,yj!$G:$G,小圆机汇总表!$I$13&amp;"/"&amp;小圆机汇总表!$J$13&amp;"/"&amp;小圆机汇总表!AH$14))</f>
        <v>0</v>
      </c>
      <c r="AI59" s="18">
        <f>IF($K$13="件数",SUMIFS(yj!$I:$I,yj!$B:$B,小圆机汇总表!$A59,yj!$G:$G,小圆机汇总表!$I$13&amp;"/"&amp;小圆机汇总表!$J$13&amp;"/"&amp;小圆机汇总表!AI$14),SUMIFS(yj!$H:$H,yj!$B:$B,小圆机汇总表!$A59,yj!$G:$G,小圆机汇总表!$I$13&amp;"/"&amp;小圆机汇总表!$J$13&amp;"/"&amp;小圆机汇总表!AI$14))</f>
        <v>0</v>
      </c>
      <c r="AJ59" s="18">
        <f>IF($K$13="件数",SUMIFS(yj!$I:$I,yj!$B:$B,小圆机汇总表!$A59,yj!$G:$G,小圆机汇总表!$I$13&amp;"/"&amp;小圆机汇总表!$J$13&amp;"/"&amp;小圆机汇总表!AJ$14),SUMIFS(yj!$H:$H,yj!$B:$B,小圆机汇总表!$A59,yj!$G:$G,小圆机汇总表!$I$13&amp;"/"&amp;小圆机汇总表!$J$13&amp;"/"&amp;小圆机汇总表!AJ$14))</f>
        <v>0</v>
      </c>
      <c r="AK59" s="18">
        <f>IF($K$13="件数",SUMIFS(yj!$I:$I,yj!$B:$B,小圆机汇总表!$A59,yj!$G:$G,小圆机汇总表!$I$13&amp;"/"&amp;小圆机汇总表!$J$13&amp;"/"&amp;小圆机汇总表!AK$14),SUMIFS(yj!$H:$H,yj!$B:$B,小圆机汇总表!$A59,yj!$G:$G,小圆机汇总表!$I$13&amp;"/"&amp;小圆机汇总表!$J$13&amp;"/"&amp;小圆机汇总表!AK$14))</f>
        <v>0</v>
      </c>
      <c r="AL59" s="18">
        <f>IF($K$13="件数",SUMIFS(yj!$I:$I,yj!$B:$B,小圆机汇总表!$A59,yj!$G:$G,小圆机汇总表!$I$13&amp;"/"&amp;小圆机汇总表!$J$13&amp;"/"&amp;小圆机汇总表!AL$14),SUMIFS(yj!$H:$H,yj!$B:$B,小圆机汇总表!$A59,yj!$G:$G,小圆机汇总表!$I$13&amp;"/"&amp;小圆机汇总表!$J$13&amp;"/"&amp;小圆机汇总表!AL$14))</f>
        <v>0</v>
      </c>
      <c r="AM59" s="18">
        <f>IF($K$13="件数",SUMIFS(yj!$I:$I,yj!$B:$B,小圆机汇总表!$A59,yj!$G:$G,小圆机汇总表!$I$13&amp;"/"&amp;小圆机汇总表!$J$13&amp;"/"&amp;小圆机汇总表!AM$14),SUMIFS(yj!$H:$H,yj!$B:$B,小圆机汇总表!$A59,yj!$G:$G,小圆机汇总表!$I$13&amp;"/"&amp;小圆机汇总表!$J$13&amp;"/"&amp;小圆机汇总表!AM$14))</f>
        <v>0</v>
      </c>
      <c r="AN59" s="18">
        <f>IF($K$13="件数",SUMIFS(yj!$I:$I,yj!$B:$B,小圆机汇总表!$A59,yj!$G:$G,小圆机汇总表!$I$13&amp;"/"&amp;小圆机汇总表!$J$13&amp;"/"&amp;小圆机汇总表!AN$14),SUMIFS(yj!$H:$H,yj!$B:$B,小圆机汇总表!$A59,yj!$G:$G,小圆机汇总表!$I$13&amp;"/"&amp;小圆机汇总表!$J$13&amp;"/"&amp;小圆机汇总表!AN$14))</f>
        <v>0</v>
      </c>
      <c r="AO59" s="18">
        <f>IF($K$13="件数",SUMIFS(yj!$I:$I,yj!$B:$B,小圆机汇总表!$A59,yj!$G:$G,小圆机汇总表!$I$13&amp;"/"&amp;小圆机汇总表!$J$13&amp;"/"&amp;小圆机汇总表!AO$14),SUMIFS(yj!$H:$H,yj!$B:$B,小圆机汇总表!$A59,yj!$G:$G,小圆机汇总表!$I$13&amp;"/"&amp;小圆机汇总表!$J$13&amp;"/"&amp;小圆机汇总表!AO$14))</f>
        <v>0</v>
      </c>
      <c r="AP59" s="18">
        <f>IF($K$13="件数",SUMIFS(yj!$I:$I,yj!$B:$B,小圆机汇总表!$A59,yj!$G:$G,小圆机汇总表!$I$13&amp;"/"&amp;小圆机汇总表!$J$13&amp;"/"&amp;小圆机汇总表!AP$14),SUMIFS(yj!$H:$H,yj!$B:$B,小圆机汇总表!$A59,yj!$G:$G,小圆机汇总表!$I$13&amp;"/"&amp;小圆机汇总表!$J$13&amp;"/"&amp;小圆机汇总表!AP$14))</f>
        <v>0</v>
      </c>
      <c r="AQ59" s="18">
        <f>IF($K$13="件数",SUMIFS(yj!$I:$I,yj!$B:$B,小圆机汇总表!$A59,yj!$G:$G,小圆机汇总表!$I$13&amp;"/"&amp;小圆机汇总表!$J$13&amp;"/"&amp;小圆机汇总表!AQ$14),SUMIFS(yj!$H:$H,yj!$B:$B,小圆机汇总表!$A59,yj!$G:$G,小圆机汇总表!$I$13&amp;"/"&amp;小圆机汇总表!$J$13&amp;"/"&amp;小圆机汇总表!AQ$14))</f>
        <v>0</v>
      </c>
    </row>
    <row r="60" spans="1:43" ht="18" hidden="1" customHeight="1">
      <c r="A60" s="246" t="s">
        <v>1235</v>
      </c>
      <c r="B60" s="248" t="s">
        <v>1237</v>
      </c>
      <c r="C60" s="17">
        <v>100</v>
      </c>
      <c r="D60" s="17" t="s">
        <v>27</v>
      </c>
      <c r="E60" s="246" t="s">
        <v>783</v>
      </c>
      <c r="F60" s="13">
        <v>160</v>
      </c>
      <c r="G60" s="13">
        <v>63</v>
      </c>
      <c r="H60" s="248" t="s">
        <v>1238</v>
      </c>
      <c r="I60" s="13"/>
      <c r="J60" s="182">
        <f ca="1">IF(SUMIFS(yj!$I:$I,yj!$B:$B,小圆机汇总表!A60,yj!$G:$G,小圆机汇总表!$L$13)&gt;0,SUMIFS(yj!$H:$H,yj!$B:$B,小圆机汇总表!A60,yj!$G:$G,小圆机汇总表!$L$13),0)</f>
        <v>0</v>
      </c>
      <c r="K60" s="15">
        <f>SUMIFS(yj!$H:$H,yj!$B:$B,小圆机汇总表!A60,yj!$M:$M,小圆机汇总表!$J$13)</f>
        <v>0</v>
      </c>
      <c r="L60" s="15">
        <f>SUMIFS(yj!$I:$I,yj!$B:$B,小圆机汇总表!A60,yj!$M:$M,小圆机汇总表!$J$13)</f>
        <v>0</v>
      </c>
      <c r="M60" s="18">
        <f>IF($K$13="件数",SUMIFS(yj!$I:$I,yj!$B:$B,小圆机汇总表!$A60,yj!$G:$G,小圆机汇总表!$I$13&amp;"/"&amp;小圆机汇总表!$J$13&amp;"/"&amp;小圆机汇总表!M$14),SUMIFS(yj!$H:$H,yj!$B:$B,小圆机汇总表!$A60,yj!$G:$G,小圆机汇总表!$I$13&amp;"/"&amp;小圆机汇总表!$J$13&amp;"/"&amp;小圆机汇总表!M$14))</f>
        <v>0</v>
      </c>
      <c r="N60" s="18">
        <f>IF($K$13="件数",SUMIFS(yj!$I:$I,yj!$B:$B,小圆机汇总表!$A60,yj!$G:$G,小圆机汇总表!$I$13&amp;"/"&amp;小圆机汇总表!$J$13&amp;"/"&amp;小圆机汇总表!N$14),SUMIFS(yj!$H:$H,yj!$B:$B,小圆机汇总表!$A60,yj!$G:$G,小圆机汇总表!$I$13&amp;"/"&amp;小圆机汇总表!$J$13&amp;"/"&amp;小圆机汇总表!N$14))</f>
        <v>0</v>
      </c>
      <c r="O60" s="18">
        <f>IF($K$13="件数",SUMIFS(yj!$I:$I,yj!$B:$B,小圆机汇总表!$A60,yj!$G:$G,小圆机汇总表!$I$13&amp;"/"&amp;小圆机汇总表!$J$13&amp;"/"&amp;小圆机汇总表!O$14),SUMIFS(yj!$H:$H,yj!$B:$B,小圆机汇总表!$A60,yj!$G:$G,小圆机汇总表!$I$13&amp;"/"&amp;小圆机汇总表!$J$13&amp;"/"&amp;小圆机汇总表!O$14))</f>
        <v>0</v>
      </c>
      <c r="P60" s="18">
        <f>IF($K$13="件数",SUMIFS(yj!$I:$I,yj!$B:$B,小圆机汇总表!$A60,yj!$G:$G,小圆机汇总表!$I$13&amp;"/"&amp;小圆机汇总表!$J$13&amp;"/"&amp;小圆机汇总表!P$14),SUMIFS(yj!$H:$H,yj!$B:$B,小圆机汇总表!$A60,yj!$G:$G,小圆机汇总表!$I$13&amp;"/"&amp;小圆机汇总表!$J$13&amp;"/"&amp;小圆机汇总表!P$14))</f>
        <v>0</v>
      </c>
      <c r="Q60" s="18">
        <f>IF($K$13="件数",SUMIFS(yj!$I:$I,yj!$B:$B,小圆机汇总表!$A60,yj!$G:$G,小圆机汇总表!$I$13&amp;"/"&amp;小圆机汇总表!$J$13&amp;"/"&amp;小圆机汇总表!Q$14),SUMIFS(yj!$H:$H,yj!$B:$B,小圆机汇总表!$A60,yj!$G:$G,小圆机汇总表!$I$13&amp;"/"&amp;小圆机汇总表!$J$13&amp;"/"&amp;小圆机汇总表!Q$14))</f>
        <v>0</v>
      </c>
      <c r="R60" s="18">
        <f>IF($K$13="件数",SUMIFS(yj!$I:$I,yj!$B:$B,小圆机汇总表!$A60,yj!$G:$G,小圆机汇总表!$I$13&amp;"/"&amp;小圆机汇总表!$J$13&amp;"/"&amp;小圆机汇总表!R$14),SUMIFS(yj!$H:$H,yj!$B:$B,小圆机汇总表!$A60,yj!$G:$G,小圆机汇总表!$I$13&amp;"/"&amp;小圆机汇总表!$J$13&amp;"/"&amp;小圆机汇总表!R$14))</f>
        <v>0</v>
      </c>
      <c r="S60" s="18">
        <f>IF($K$13="件数",SUMIFS(yj!$I:$I,yj!$B:$B,小圆机汇总表!$A60,yj!$G:$G,小圆机汇总表!$I$13&amp;"/"&amp;小圆机汇总表!$J$13&amp;"/"&amp;小圆机汇总表!S$14),SUMIFS(yj!$H:$H,yj!$B:$B,小圆机汇总表!$A60,yj!$G:$G,小圆机汇总表!$I$13&amp;"/"&amp;小圆机汇总表!$J$13&amp;"/"&amp;小圆机汇总表!S$14))</f>
        <v>0</v>
      </c>
      <c r="T60" s="18">
        <f>IF($K$13="件数",SUMIFS(yj!$I:$I,yj!$B:$B,小圆机汇总表!$A60,yj!$G:$G,小圆机汇总表!$I$13&amp;"/"&amp;小圆机汇总表!$J$13&amp;"/"&amp;小圆机汇总表!T$14),SUMIFS(yj!$H:$H,yj!$B:$B,小圆机汇总表!$A60,yj!$G:$G,小圆机汇总表!$I$13&amp;"/"&amp;小圆机汇总表!$J$13&amp;"/"&amp;小圆机汇总表!T$14))</f>
        <v>0</v>
      </c>
      <c r="U60" s="18">
        <f>IF($K$13="件数",SUMIFS(yj!$I:$I,yj!$B:$B,小圆机汇总表!$A60,yj!$G:$G,小圆机汇总表!$I$13&amp;"/"&amp;小圆机汇总表!$J$13&amp;"/"&amp;小圆机汇总表!U$14),SUMIFS(yj!$H:$H,yj!$B:$B,小圆机汇总表!$A60,yj!$G:$G,小圆机汇总表!$I$13&amp;"/"&amp;小圆机汇总表!$J$13&amp;"/"&amp;小圆机汇总表!U$14))</f>
        <v>0</v>
      </c>
      <c r="V60" s="18">
        <f>IF($K$13="件数",SUMIFS(yj!$I:$I,yj!$B:$B,小圆机汇总表!$A60,yj!$G:$G,小圆机汇总表!$I$13&amp;"/"&amp;小圆机汇总表!$J$13&amp;"/"&amp;小圆机汇总表!V$14),SUMIFS(yj!$H:$H,yj!$B:$B,小圆机汇总表!$A60,yj!$G:$G,小圆机汇总表!$I$13&amp;"/"&amp;小圆机汇总表!$J$13&amp;"/"&amp;小圆机汇总表!V$14))</f>
        <v>0</v>
      </c>
      <c r="W60" s="18">
        <f>IF($K$13="件数",SUMIFS(yj!$I:$I,yj!$B:$B,小圆机汇总表!$A60,yj!$G:$G,小圆机汇总表!$I$13&amp;"/"&amp;小圆机汇总表!$J$13&amp;"/"&amp;小圆机汇总表!W$14),SUMIFS(yj!$H:$H,yj!$B:$B,小圆机汇总表!$A60,yj!$G:$G,小圆机汇总表!$I$13&amp;"/"&amp;小圆机汇总表!$J$13&amp;"/"&amp;小圆机汇总表!W$14))</f>
        <v>0</v>
      </c>
      <c r="X60" s="18">
        <f>IF($K$13="件数",SUMIFS(yj!$I:$I,yj!$B:$B,小圆机汇总表!$A60,yj!$G:$G,小圆机汇总表!$I$13&amp;"/"&amp;小圆机汇总表!$J$13&amp;"/"&amp;小圆机汇总表!X$14),SUMIFS(yj!$H:$H,yj!$B:$B,小圆机汇总表!$A60,yj!$G:$G,小圆机汇总表!$I$13&amp;"/"&amp;小圆机汇总表!$J$13&amp;"/"&amp;小圆机汇总表!X$14))</f>
        <v>0</v>
      </c>
      <c r="Y60" s="18">
        <f>IF($K$13="件数",SUMIFS(yj!$I:$I,yj!$B:$B,小圆机汇总表!$A60,yj!$G:$G,小圆机汇总表!$I$13&amp;"/"&amp;小圆机汇总表!$J$13&amp;"/"&amp;小圆机汇总表!Y$14),SUMIFS(yj!$H:$H,yj!$B:$B,小圆机汇总表!$A60,yj!$G:$G,小圆机汇总表!$I$13&amp;"/"&amp;小圆机汇总表!$J$13&amp;"/"&amp;小圆机汇总表!Y$14))</f>
        <v>0</v>
      </c>
      <c r="Z60" s="18">
        <f>IF($K$13="件数",SUMIFS(yj!$I:$I,yj!$B:$B,小圆机汇总表!$A60,yj!$G:$G,小圆机汇总表!$I$13&amp;"/"&amp;小圆机汇总表!$J$13&amp;"/"&amp;小圆机汇总表!Z$14),SUMIFS(yj!$H:$H,yj!$B:$B,小圆机汇总表!$A60,yj!$G:$G,小圆机汇总表!$I$13&amp;"/"&amp;小圆机汇总表!$J$13&amp;"/"&amp;小圆机汇总表!Z$14))</f>
        <v>0</v>
      </c>
      <c r="AA60" s="18">
        <f>IF($K$13="件数",SUMIFS(yj!$I:$I,yj!$B:$B,小圆机汇总表!$A60,yj!$G:$G,小圆机汇总表!$I$13&amp;"/"&amp;小圆机汇总表!$J$13&amp;"/"&amp;小圆机汇总表!AA$14),SUMIFS(yj!$H:$H,yj!$B:$B,小圆机汇总表!$A60,yj!$G:$G,小圆机汇总表!$I$13&amp;"/"&amp;小圆机汇总表!$J$13&amp;"/"&amp;小圆机汇总表!AA$14))</f>
        <v>0</v>
      </c>
      <c r="AB60" s="18">
        <f>IF($K$13="件数",SUMIFS(yj!$I:$I,yj!$B:$B,小圆机汇总表!$A60,yj!$G:$G,小圆机汇总表!$I$13&amp;"/"&amp;小圆机汇总表!$J$13&amp;"/"&amp;小圆机汇总表!AB$14),SUMIFS(yj!$H:$H,yj!$B:$B,小圆机汇总表!$A60,yj!$G:$G,小圆机汇总表!$I$13&amp;"/"&amp;小圆机汇总表!$J$13&amp;"/"&amp;小圆机汇总表!AB$14))</f>
        <v>0</v>
      </c>
      <c r="AC60" s="18">
        <f>IF($K$13="件数",SUMIFS(yj!$I:$I,yj!$B:$B,小圆机汇总表!$A60,yj!$G:$G,小圆机汇总表!$I$13&amp;"/"&amp;小圆机汇总表!$J$13&amp;"/"&amp;小圆机汇总表!AC$14),SUMIFS(yj!$H:$H,yj!$B:$B,小圆机汇总表!$A60,yj!$G:$G,小圆机汇总表!$I$13&amp;"/"&amp;小圆机汇总表!$J$13&amp;"/"&amp;小圆机汇总表!AC$14))</f>
        <v>0</v>
      </c>
      <c r="AD60" s="18">
        <f>IF($K$13="件数",SUMIFS(yj!$I:$I,yj!$B:$B,小圆机汇总表!$A60,yj!$G:$G,小圆机汇总表!$I$13&amp;"/"&amp;小圆机汇总表!$J$13&amp;"/"&amp;小圆机汇总表!AD$14),SUMIFS(yj!$H:$H,yj!$B:$B,小圆机汇总表!$A60,yj!$G:$G,小圆机汇总表!$I$13&amp;"/"&amp;小圆机汇总表!$J$13&amp;"/"&amp;小圆机汇总表!AD$14))</f>
        <v>0</v>
      </c>
      <c r="AE60" s="18">
        <f>IF($K$13="件数",SUMIFS(yj!$I:$I,yj!$B:$B,小圆机汇总表!$A60,yj!$G:$G,小圆机汇总表!$I$13&amp;"/"&amp;小圆机汇总表!$J$13&amp;"/"&amp;小圆机汇总表!AE$14),SUMIFS(yj!$H:$H,yj!$B:$B,小圆机汇总表!$A60,yj!$G:$G,小圆机汇总表!$I$13&amp;"/"&amp;小圆机汇总表!$J$13&amp;"/"&amp;小圆机汇总表!AE$14))</f>
        <v>0</v>
      </c>
      <c r="AF60" s="18">
        <f>IF($K$13="件数",SUMIFS(yj!$I:$I,yj!$B:$B,小圆机汇总表!$A60,yj!$G:$G,小圆机汇总表!$I$13&amp;"/"&amp;小圆机汇总表!$J$13&amp;"/"&amp;小圆机汇总表!AF$14),SUMIFS(yj!$H:$H,yj!$B:$B,小圆机汇总表!$A60,yj!$G:$G,小圆机汇总表!$I$13&amp;"/"&amp;小圆机汇总表!$J$13&amp;"/"&amp;小圆机汇总表!AF$14))</f>
        <v>0</v>
      </c>
      <c r="AG60" s="18">
        <f>IF($K$13="件数",SUMIFS(yj!$I:$I,yj!$B:$B,小圆机汇总表!$A60,yj!$G:$G,小圆机汇总表!$I$13&amp;"/"&amp;小圆机汇总表!$J$13&amp;"/"&amp;小圆机汇总表!AG$14),SUMIFS(yj!$H:$H,yj!$B:$B,小圆机汇总表!$A60,yj!$G:$G,小圆机汇总表!$I$13&amp;"/"&amp;小圆机汇总表!$J$13&amp;"/"&amp;小圆机汇总表!AG$14))</f>
        <v>0</v>
      </c>
      <c r="AH60" s="18">
        <f>IF($K$13="件数",SUMIFS(yj!$I:$I,yj!$B:$B,小圆机汇总表!$A60,yj!$G:$G,小圆机汇总表!$I$13&amp;"/"&amp;小圆机汇总表!$J$13&amp;"/"&amp;小圆机汇总表!AH$14),SUMIFS(yj!$H:$H,yj!$B:$B,小圆机汇总表!$A60,yj!$G:$G,小圆机汇总表!$I$13&amp;"/"&amp;小圆机汇总表!$J$13&amp;"/"&amp;小圆机汇总表!AH$14))</f>
        <v>0</v>
      </c>
      <c r="AI60" s="18">
        <f>IF($K$13="件数",SUMIFS(yj!$I:$I,yj!$B:$B,小圆机汇总表!$A60,yj!$G:$G,小圆机汇总表!$I$13&amp;"/"&amp;小圆机汇总表!$J$13&amp;"/"&amp;小圆机汇总表!AI$14),SUMIFS(yj!$H:$H,yj!$B:$B,小圆机汇总表!$A60,yj!$G:$G,小圆机汇总表!$I$13&amp;"/"&amp;小圆机汇总表!$J$13&amp;"/"&amp;小圆机汇总表!AI$14))</f>
        <v>0</v>
      </c>
      <c r="AJ60" s="18">
        <f>IF($K$13="件数",SUMIFS(yj!$I:$I,yj!$B:$B,小圆机汇总表!$A60,yj!$G:$G,小圆机汇总表!$I$13&amp;"/"&amp;小圆机汇总表!$J$13&amp;"/"&amp;小圆机汇总表!AJ$14),SUMIFS(yj!$H:$H,yj!$B:$B,小圆机汇总表!$A60,yj!$G:$G,小圆机汇总表!$I$13&amp;"/"&amp;小圆机汇总表!$J$13&amp;"/"&amp;小圆机汇总表!AJ$14))</f>
        <v>0</v>
      </c>
      <c r="AK60" s="18">
        <f>IF($K$13="件数",SUMIFS(yj!$I:$I,yj!$B:$B,小圆机汇总表!$A60,yj!$G:$G,小圆机汇总表!$I$13&amp;"/"&amp;小圆机汇总表!$J$13&amp;"/"&amp;小圆机汇总表!AK$14),SUMIFS(yj!$H:$H,yj!$B:$B,小圆机汇总表!$A60,yj!$G:$G,小圆机汇总表!$I$13&amp;"/"&amp;小圆机汇总表!$J$13&amp;"/"&amp;小圆机汇总表!AK$14))</f>
        <v>0</v>
      </c>
      <c r="AL60" s="18">
        <f>IF($K$13="件数",SUMIFS(yj!$I:$I,yj!$B:$B,小圆机汇总表!$A60,yj!$G:$G,小圆机汇总表!$I$13&amp;"/"&amp;小圆机汇总表!$J$13&amp;"/"&amp;小圆机汇总表!AL$14),SUMIFS(yj!$H:$H,yj!$B:$B,小圆机汇总表!$A60,yj!$G:$G,小圆机汇总表!$I$13&amp;"/"&amp;小圆机汇总表!$J$13&amp;"/"&amp;小圆机汇总表!AL$14))</f>
        <v>0</v>
      </c>
      <c r="AM60" s="18">
        <f>IF($K$13="件数",SUMIFS(yj!$I:$I,yj!$B:$B,小圆机汇总表!$A60,yj!$G:$G,小圆机汇总表!$I$13&amp;"/"&amp;小圆机汇总表!$J$13&amp;"/"&amp;小圆机汇总表!AM$14),SUMIFS(yj!$H:$H,yj!$B:$B,小圆机汇总表!$A60,yj!$G:$G,小圆机汇总表!$I$13&amp;"/"&amp;小圆机汇总表!$J$13&amp;"/"&amp;小圆机汇总表!AM$14))</f>
        <v>0</v>
      </c>
      <c r="AN60" s="18">
        <f>IF($K$13="件数",SUMIFS(yj!$I:$I,yj!$B:$B,小圆机汇总表!$A60,yj!$G:$G,小圆机汇总表!$I$13&amp;"/"&amp;小圆机汇总表!$J$13&amp;"/"&amp;小圆机汇总表!AN$14),SUMIFS(yj!$H:$H,yj!$B:$B,小圆机汇总表!$A60,yj!$G:$G,小圆机汇总表!$I$13&amp;"/"&amp;小圆机汇总表!$J$13&amp;"/"&amp;小圆机汇总表!AN$14))</f>
        <v>0</v>
      </c>
      <c r="AO60" s="18">
        <f>IF($K$13="件数",SUMIFS(yj!$I:$I,yj!$B:$B,小圆机汇总表!$A60,yj!$G:$G,小圆机汇总表!$I$13&amp;"/"&amp;小圆机汇总表!$J$13&amp;"/"&amp;小圆机汇总表!AO$14),SUMIFS(yj!$H:$H,yj!$B:$B,小圆机汇总表!$A60,yj!$G:$G,小圆机汇总表!$I$13&amp;"/"&amp;小圆机汇总表!$J$13&amp;"/"&amp;小圆机汇总表!AO$14))</f>
        <v>0</v>
      </c>
      <c r="AP60" s="18">
        <f>IF($K$13="件数",SUMIFS(yj!$I:$I,yj!$B:$B,小圆机汇总表!$A60,yj!$G:$G,小圆机汇总表!$I$13&amp;"/"&amp;小圆机汇总表!$J$13&amp;"/"&amp;小圆机汇总表!AP$14),SUMIFS(yj!$H:$H,yj!$B:$B,小圆机汇总表!$A60,yj!$G:$G,小圆机汇总表!$I$13&amp;"/"&amp;小圆机汇总表!$J$13&amp;"/"&amp;小圆机汇总表!AP$14))</f>
        <v>0</v>
      </c>
      <c r="AQ60" s="18">
        <f>IF($K$13="件数",SUMIFS(yj!$I:$I,yj!$B:$B,小圆机汇总表!$A60,yj!$G:$G,小圆机汇总表!$I$13&amp;"/"&amp;小圆机汇总表!$J$13&amp;"/"&amp;小圆机汇总表!AQ$14),SUMIFS(yj!$H:$H,yj!$B:$B,小圆机汇总表!$A60,yj!$G:$G,小圆机汇总表!$I$13&amp;"/"&amp;小圆机汇总表!$J$13&amp;"/"&amp;小圆机汇总表!AQ$14))</f>
        <v>0</v>
      </c>
    </row>
    <row r="61" spans="1:43" hidden="1">
      <c r="J61" s="222">
        <f ca="1">SUM(J15:J60)</f>
        <v>6172.0999999999995</v>
      </c>
      <c r="K61" s="32">
        <f>SUM(K15:K60)</f>
        <v>37239.9</v>
      </c>
      <c r="L61" s="32">
        <f t="shared" ref="L61:AQ61" si="2">SUM(L15:L60)</f>
        <v>1832</v>
      </c>
      <c r="M61" s="32">
        <f t="shared" si="2"/>
        <v>6005.5</v>
      </c>
      <c r="N61" s="32">
        <f t="shared" si="2"/>
        <v>6179.1</v>
      </c>
      <c r="O61" s="32">
        <f t="shared" si="2"/>
        <v>6268.5999999999995</v>
      </c>
      <c r="P61" s="32">
        <f t="shared" si="2"/>
        <v>6436.9999999999991</v>
      </c>
      <c r="Q61" s="32">
        <f t="shared" si="2"/>
        <v>6177.6</v>
      </c>
      <c r="R61" s="32">
        <f t="shared" si="2"/>
        <v>6172.0999999999995</v>
      </c>
      <c r="S61" s="32">
        <f t="shared" si="2"/>
        <v>0</v>
      </c>
      <c r="T61" s="32">
        <f t="shared" si="2"/>
        <v>0</v>
      </c>
      <c r="U61" s="32">
        <f t="shared" si="2"/>
        <v>0</v>
      </c>
      <c r="V61" s="32">
        <f t="shared" si="2"/>
        <v>0</v>
      </c>
      <c r="W61" s="32">
        <f t="shared" si="2"/>
        <v>0</v>
      </c>
      <c r="X61" s="32">
        <f t="shared" si="2"/>
        <v>0</v>
      </c>
      <c r="Y61" s="32">
        <f t="shared" si="2"/>
        <v>0</v>
      </c>
      <c r="Z61" s="32">
        <f t="shared" si="2"/>
        <v>0</v>
      </c>
      <c r="AA61" s="32">
        <f t="shared" si="2"/>
        <v>0</v>
      </c>
      <c r="AB61" s="32">
        <f t="shared" si="2"/>
        <v>0</v>
      </c>
      <c r="AC61" s="32">
        <f t="shared" si="2"/>
        <v>0</v>
      </c>
      <c r="AD61" s="32">
        <f t="shared" si="2"/>
        <v>0</v>
      </c>
      <c r="AE61" s="32">
        <f t="shared" si="2"/>
        <v>0</v>
      </c>
      <c r="AF61" s="32">
        <f t="shared" si="2"/>
        <v>0</v>
      </c>
      <c r="AG61" s="32">
        <f t="shared" si="2"/>
        <v>0</v>
      </c>
      <c r="AH61" s="32">
        <f t="shared" si="2"/>
        <v>0</v>
      </c>
      <c r="AI61" s="32">
        <f t="shared" si="2"/>
        <v>0</v>
      </c>
      <c r="AJ61" s="32">
        <f t="shared" si="2"/>
        <v>0</v>
      </c>
      <c r="AK61" s="32">
        <f t="shared" si="2"/>
        <v>0</v>
      </c>
      <c r="AL61" s="32">
        <f t="shared" si="2"/>
        <v>0</v>
      </c>
      <c r="AM61" s="32">
        <f t="shared" si="2"/>
        <v>0</v>
      </c>
      <c r="AN61" s="32">
        <f t="shared" si="2"/>
        <v>0</v>
      </c>
      <c r="AO61" s="32">
        <f t="shared" si="2"/>
        <v>0</v>
      </c>
      <c r="AP61" s="32">
        <f t="shared" si="2"/>
        <v>0</v>
      </c>
      <c r="AQ61" s="32">
        <f t="shared" si="2"/>
        <v>0</v>
      </c>
    </row>
  </sheetData>
  <autoFilter ref="A14:AQ61">
    <filterColumn colId="6">
      <filters>
        <filter val="32"/>
        <filter val="35"/>
      </filters>
    </filterColumn>
  </autoFilter>
  <sortState ref="A15:H59">
    <sortCondition ref="C15:C59"/>
  </sortState>
  <mergeCells count="2">
    <mergeCell ref="A1:M1"/>
    <mergeCell ref="M13:AQ13"/>
  </mergeCells>
  <phoneticPr fontId="1" type="noConversion"/>
  <dataValidations count="3">
    <dataValidation type="list" allowBlank="1" showInputMessage="1" showErrorMessage="1" sqref="K13">
      <formula1>显示</formula1>
    </dataValidation>
    <dataValidation type="list" allowBlank="1" showInputMessage="1" showErrorMessage="1" sqref="I13">
      <formula1>年</formula1>
    </dataValidation>
    <dataValidation type="list" allowBlank="1" showInputMessage="1" showErrorMessage="1" sqref="J13">
      <formula1>月</formula1>
    </dataValidation>
  </dataValidations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4:BF52"/>
  <sheetViews>
    <sheetView workbookViewId="0">
      <selection activeCell="V10" sqref="V10"/>
    </sheetView>
  </sheetViews>
  <sheetFormatPr defaultRowHeight="13.5"/>
  <cols>
    <col min="1" max="1" width="11.5" style="201" customWidth="1"/>
    <col min="2" max="2" width="7.375" customWidth="1"/>
    <col min="3" max="3" width="6.875" customWidth="1"/>
    <col min="4" max="4" width="5.5" bestFit="1" customWidth="1"/>
    <col min="5" max="5" width="5.625" customWidth="1"/>
    <col min="6" max="6" width="6.125" customWidth="1"/>
    <col min="7" max="7" width="4.5" bestFit="1" customWidth="1"/>
    <col min="8" max="8" width="6.5" bestFit="1" customWidth="1"/>
    <col min="9" max="9" width="7.5" bestFit="1" customWidth="1"/>
    <col min="10" max="10" width="5.5" bestFit="1" customWidth="1"/>
    <col min="11" max="11" width="6.5" bestFit="1" customWidth="1"/>
    <col min="12" max="12" width="5.5" bestFit="1" customWidth="1"/>
    <col min="13" max="14" width="5.375" customWidth="1"/>
    <col min="15" max="15" width="7.5" customWidth="1"/>
    <col min="16" max="16" width="10" customWidth="1"/>
    <col min="17" max="17" width="10.625" customWidth="1"/>
    <col min="18" max="18" width="9.75" customWidth="1"/>
    <col min="19" max="19" width="10.375" customWidth="1"/>
    <col min="20" max="20" width="9.125" customWidth="1"/>
    <col min="21" max="23" width="7.5" customWidth="1"/>
    <col min="24" max="24" width="8.5" bestFit="1" customWidth="1"/>
  </cols>
  <sheetData>
    <row r="4" spans="1:55" ht="18.75">
      <c r="A4" s="176"/>
      <c r="B4" s="14"/>
      <c r="C4" s="101"/>
      <c r="D4" s="101"/>
      <c r="E4" s="176" t="s">
        <v>963</v>
      </c>
      <c r="F4" s="176"/>
      <c r="G4" s="176"/>
      <c r="H4" s="176" t="s">
        <v>1079</v>
      </c>
      <c r="I4" s="176"/>
      <c r="J4" s="176"/>
      <c r="K4" s="176"/>
      <c r="L4" s="176"/>
      <c r="M4" s="176"/>
      <c r="N4" s="176"/>
      <c r="P4" s="171"/>
      <c r="Q4" s="171"/>
      <c r="R4" s="172"/>
      <c r="S4" s="2"/>
      <c r="T4" s="271">
        <v>43774</v>
      </c>
      <c r="V4" s="65" t="s">
        <v>1191</v>
      </c>
      <c r="W4" s="65" t="s">
        <v>1</v>
      </c>
      <c r="X4" s="11">
        <v>2019</v>
      </c>
      <c r="Y4" s="12">
        <v>11</v>
      </c>
      <c r="Z4" s="31" t="s">
        <v>1003</v>
      </c>
      <c r="AA4" s="102"/>
      <c r="AB4" s="102"/>
      <c r="AC4" s="102"/>
      <c r="AD4" s="102"/>
      <c r="AE4" s="102"/>
      <c r="AF4" s="102"/>
      <c r="AG4" s="102"/>
      <c r="AH4" s="102"/>
      <c r="AI4" s="102"/>
      <c r="AJ4" s="102"/>
      <c r="AK4" s="102"/>
      <c r="AL4" s="102"/>
      <c r="AM4" s="102"/>
      <c r="AN4" s="102"/>
      <c r="AO4" s="102"/>
      <c r="AP4" s="102"/>
      <c r="AQ4" s="102"/>
      <c r="AR4" s="102"/>
      <c r="AS4" s="102"/>
      <c r="AT4" s="102"/>
      <c r="AU4" s="102"/>
      <c r="AV4" s="102"/>
    </row>
    <row r="5" spans="1:55" ht="19.5" customHeight="1">
      <c r="A5" s="176" t="s">
        <v>3</v>
      </c>
      <c r="B5" s="14" t="s">
        <v>4</v>
      </c>
      <c r="C5" s="97" t="s">
        <v>1150</v>
      </c>
      <c r="D5" s="45" t="s">
        <v>11</v>
      </c>
      <c r="E5" s="96" t="s">
        <v>1112</v>
      </c>
      <c r="F5" s="96" t="s">
        <v>1113</v>
      </c>
      <c r="G5" s="96" t="s">
        <v>1114</v>
      </c>
      <c r="H5" s="14" t="s">
        <v>1100</v>
      </c>
      <c r="I5" s="14" t="s">
        <v>1101</v>
      </c>
      <c r="J5" s="14" t="s">
        <v>1102</v>
      </c>
      <c r="K5" s="14" t="s">
        <v>1103</v>
      </c>
      <c r="L5" s="14" t="s">
        <v>1104</v>
      </c>
      <c r="M5" s="248" t="s">
        <v>1106</v>
      </c>
      <c r="N5" s="14" t="s">
        <v>1105</v>
      </c>
      <c r="O5" s="17">
        <v>15</v>
      </c>
      <c r="P5" s="17">
        <v>20</v>
      </c>
      <c r="Q5" s="17">
        <v>30</v>
      </c>
      <c r="R5" s="17">
        <v>50</v>
      </c>
      <c r="S5" s="17">
        <v>75</v>
      </c>
      <c r="T5" s="17">
        <v>100</v>
      </c>
      <c r="U5" s="17">
        <v>150</v>
      </c>
      <c r="V5" s="17">
        <v>200</v>
      </c>
      <c r="W5" s="17">
        <v>300</v>
      </c>
      <c r="X5" s="15" t="s">
        <v>1190</v>
      </c>
      <c r="Y5" s="16">
        <v>1</v>
      </c>
      <c r="Z5" s="16">
        <v>2</v>
      </c>
      <c r="AA5" s="16">
        <v>3</v>
      </c>
      <c r="AB5" s="16">
        <v>4</v>
      </c>
      <c r="AC5" s="16">
        <v>5</v>
      </c>
      <c r="AD5" s="16">
        <v>6</v>
      </c>
      <c r="AE5" s="16">
        <v>7</v>
      </c>
      <c r="AF5" s="16">
        <v>8</v>
      </c>
      <c r="AG5" s="16">
        <v>9</v>
      </c>
      <c r="AH5" s="16">
        <v>10</v>
      </c>
      <c r="AI5" s="16">
        <v>11</v>
      </c>
      <c r="AJ5" s="16">
        <v>12</v>
      </c>
      <c r="AK5" s="16">
        <v>13</v>
      </c>
      <c r="AL5" s="16">
        <v>14</v>
      </c>
      <c r="AM5" s="16">
        <v>15</v>
      </c>
      <c r="AN5" s="16">
        <v>16</v>
      </c>
      <c r="AO5" s="16">
        <v>17</v>
      </c>
      <c r="AP5" s="16">
        <v>18</v>
      </c>
      <c r="AQ5" s="16">
        <v>19</v>
      </c>
      <c r="AR5" s="16">
        <v>20</v>
      </c>
      <c r="AS5" s="16">
        <v>21</v>
      </c>
      <c r="AT5" s="16">
        <v>22</v>
      </c>
      <c r="AU5" s="16">
        <v>23</v>
      </c>
      <c r="AV5" s="16">
        <v>24</v>
      </c>
      <c r="AW5" s="16">
        <v>25</v>
      </c>
      <c r="AX5" s="16">
        <v>26</v>
      </c>
      <c r="AY5" s="16">
        <v>27</v>
      </c>
      <c r="AZ5" s="16">
        <v>28</v>
      </c>
      <c r="BA5" s="16">
        <v>29</v>
      </c>
      <c r="BB5" s="16">
        <v>30</v>
      </c>
      <c r="BC5" s="16">
        <v>31</v>
      </c>
    </row>
    <row r="6" spans="1:55" ht="18" customHeight="1">
      <c r="A6" s="96" t="s">
        <v>1116</v>
      </c>
      <c r="B6" s="14" t="str">
        <f>IF(A6="","",VLOOKUP(A6,经纬!B:C,2,FALSE))</f>
        <v>100*100</v>
      </c>
      <c r="C6" s="97" t="str">
        <f>IF(A6="","",MID(A6,LEN(B6),LEN(A6)-LEN(B6)-LEN(D6)+1))</f>
        <v>188</v>
      </c>
      <c r="D6" s="97">
        <f>IF(A6="","",VLOOKUP(A6,经纬!B:G,6,FALSE))</f>
        <v>54</v>
      </c>
      <c r="E6" s="44">
        <f>IF($T$4="",SUMIFS(ps!$N:$N,ps!$B:$B,喷水汇总表!$A6,ps!$H:$H,喷水汇总表!E$5,ps!$R:$R,喷水汇总表!$Y$4),SUMIFS(ps!$N:$N,ps!$B:$B,喷水汇总表!$A6,ps!$H:$H,喷水汇总表!E$5,ps!$I:$I,喷水汇总表!$T$4))</f>
        <v>0</v>
      </c>
      <c r="F6" s="44">
        <f>IF($T$4="",SUMIFS(ps!$N:$N,ps!$B:$B,喷水汇总表!$A6,ps!$H:$H,喷水汇总表!F$5,ps!$R:$R,喷水汇总表!$Y$4),SUMIFS(ps!$N:$N,ps!$B:$B,喷水汇总表!$A6,ps!$H:$H,喷水汇总表!F$5,ps!$I:$I,喷水汇总表!$T$4))</f>
        <v>0</v>
      </c>
      <c r="G6" s="44">
        <f>IF($T$4="",SUMIFS(ps!$N:$N,ps!$B:$B,喷水汇总表!$A6,ps!$H:$H,喷水汇总表!G$5,ps!$R:$R,喷水汇总表!$Y$4),SUMIFS(ps!$N:$N,ps!$B:$B,喷水汇总表!$A6,ps!$H:$H,喷水汇总表!G$5,ps!$I:$I,喷水汇总表!$T$4))</f>
        <v>0</v>
      </c>
      <c r="H6" s="14">
        <f>IF($T$4="",SUMIFS(ps!$N:$N,ps!$B:$B,喷水汇总表!$A6,ps!$G:$G,喷水汇总表!H$5,ps!$R:$R,喷水汇总表!$Y$4),SUMIFS(ps!$N:$N,ps!$B:$B,喷水汇总表!$A6,ps!$G:$G,喷水汇总表!H$5,ps!$I:$I,喷水汇总表!$T$4))</f>
        <v>0</v>
      </c>
      <c r="I6" s="248">
        <f>IF($T$4="",SUMIFS(ps!$N:$N,ps!$B:$B,喷水汇总表!$A6,ps!$G:$G,喷水汇总表!I$5,ps!$R:$R,喷水汇总表!$Y$4),SUMIFS(ps!$N:$N,ps!$B:$B,喷水汇总表!$A6,ps!$G:$G,喷水汇总表!I$5,ps!$I:$I,喷水汇总表!$T$4))</f>
        <v>0</v>
      </c>
      <c r="J6" s="248">
        <f>IF($T$4="",SUMIFS(ps!$N:$N,ps!$B:$B,喷水汇总表!$A6,ps!$G:$G,喷水汇总表!J$5,ps!$R:$R,喷水汇总表!$Y$4),SUMIFS(ps!$N:$N,ps!$B:$B,喷水汇总表!$A6,ps!$G:$G,喷水汇总表!J$5,ps!$I:$I,喷水汇总表!$T$4))</f>
        <v>0</v>
      </c>
      <c r="K6" s="248">
        <f>IF($T$4="",SUMIFS(ps!$N:$N,ps!$B:$B,喷水汇总表!$A6,ps!$G:$G,喷水汇总表!K$5,ps!$R:$R,喷水汇总表!$Y$4),SUMIFS(ps!$N:$N,ps!$B:$B,喷水汇总表!$A6,ps!$G:$G,喷水汇总表!K$5,ps!$I:$I,喷水汇总表!$T$4))</f>
        <v>0</v>
      </c>
      <c r="L6" s="248">
        <f>IF($T$4="",SUMIFS(ps!$N:$N,ps!$B:$B,喷水汇总表!$A6,ps!$G:$G,喷水汇总表!L$5,ps!$R:$R,喷水汇总表!$Y$4),SUMIFS(ps!$N:$N,ps!$B:$B,喷水汇总表!$A6,ps!$G:$G,喷水汇总表!L$5,ps!$I:$I,喷水汇总表!$T$4))</f>
        <v>0</v>
      </c>
      <c r="M6" s="248">
        <f>IF($T$4="",SUMIFS(ps!$N:$N,ps!$B:$B,喷水汇总表!$A6,ps!$G:$G,喷水汇总表!M$5,ps!$R:$R,喷水汇总表!$Y$4),SUMIFS(ps!$N:$N,ps!$B:$B,喷水汇总表!$A6,ps!$G:$G,喷水汇总表!M$5,ps!$I:$I,喷水汇总表!$T$4))</f>
        <v>0</v>
      </c>
      <c r="N6" s="248">
        <f>IF($T$4="",SUMIFS(ps!$N:$N,ps!$B:$B,喷水汇总表!$A6,ps!$G:$G,喷水汇总表!N$5,ps!$R:$R,喷水汇总表!$Y$4),SUMIFS(ps!$N:$N,ps!$B:$B,喷水汇总表!$A6,ps!$G:$G,喷水汇总表!N$5,ps!$I:$I,喷水汇总表!$T$4))</f>
        <v>0</v>
      </c>
      <c r="O6" s="108">
        <f>IF($T$4="",SUMIFS(ps!$L:$L,ps!$B:$B,喷水汇总表!$A6,ps!$J:$J,喷水汇总表!O$5,ps!$F:$F,喷水汇总表!$W$4,ps!$R:$R,喷水汇总表!$Y$4)+SUMIFS(ps!$M:$M,ps!$B:$B,喷水汇总表!$A6,ps!$K:$K,喷水汇总表!O$5,ps!$F:$F,喷水汇总表!$W$4,ps!$R:$R,喷水汇总表!$Y$4),SUMIFS(ps!$L:$L,ps!$B:$B,喷水汇总表!$A6,ps!$J:$J,喷水汇总表!O$5,ps!$F:$F,喷水汇总表!$W$4,ps!$I:$I,喷水汇总表!$T$4)+SUMIFS(ps!$M:$M,ps!$B:$B,喷水汇总表!$A6,ps!$K:$K,喷水汇总表!O$5,ps!$F:$F,喷水汇总表!$W$4,ps!$I:$I,喷水汇总表!$T$4))</f>
        <v>0</v>
      </c>
      <c r="P6" s="248">
        <f>IF($T$4="",SUMIFS(ps!$L:$L,ps!$B:$B,喷水汇总表!$A6,ps!$J:$J,喷水汇总表!P$5,ps!$F:$F,喷水汇总表!$W$4,ps!$R:$R,喷水汇总表!$Y$4)+SUMIFS(ps!$M:$M,ps!$B:$B,喷水汇总表!$A6,ps!$K:$K,喷水汇总表!P$5,ps!$F:$F,喷水汇总表!$W$4,ps!$R:$R,喷水汇总表!$Y$4),SUMIFS(ps!$L:$L,ps!$B:$B,喷水汇总表!$A6,ps!$J:$J,喷水汇总表!P$5,ps!$F:$F,喷水汇总表!$W$4,ps!$I:$I,喷水汇总表!$T$4)+SUMIFS(ps!$M:$M,ps!$B:$B,喷水汇总表!$A6,ps!$K:$K,喷水汇总表!P$5,ps!$F:$F,喷水汇总表!$W$4,ps!$I:$I,喷水汇总表!$T$4))</f>
        <v>0</v>
      </c>
      <c r="Q6" s="248">
        <f>IF($T$4="",SUMIFS(ps!$L:$L,ps!$B:$B,喷水汇总表!$A6,ps!$J:$J,喷水汇总表!Q$5,ps!$F:$F,喷水汇总表!$W$4,ps!$R:$R,喷水汇总表!$Y$4)+SUMIFS(ps!$M:$M,ps!$B:$B,喷水汇总表!$A6,ps!$K:$K,喷水汇总表!Q$5,ps!$F:$F,喷水汇总表!$W$4,ps!$R:$R,喷水汇总表!$Y$4),SUMIFS(ps!$L:$L,ps!$B:$B,喷水汇总表!$A6,ps!$J:$J,喷水汇总表!Q$5,ps!$F:$F,喷水汇总表!$W$4,ps!$I:$I,喷水汇总表!$T$4)+SUMIFS(ps!$M:$M,ps!$B:$B,喷水汇总表!$A6,ps!$K:$K,喷水汇总表!Q$5,ps!$F:$F,喷水汇总表!$W$4,ps!$I:$I,喷水汇总表!$T$4))</f>
        <v>0</v>
      </c>
      <c r="R6" s="248">
        <f>IF($T$4="",SUMIFS(ps!$L:$L,ps!$B:$B,喷水汇总表!$A6,ps!$J:$J,喷水汇总表!R$5,ps!$F:$F,喷水汇总表!$W$4,ps!$R:$R,喷水汇总表!$Y$4)+SUMIFS(ps!$M:$M,ps!$B:$B,喷水汇总表!$A6,ps!$K:$K,喷水汇总表!R$5,ps!$F:$F,喷水汇总表!$W$4,ps!$R:$R,喷水汇总表!$Y$4),SUMIFS(ps!$L:$L,ps!$B:$B,喷水汇总表!$A6,ps!$J:$J,喷水汇总表!R$5,ps!$F:$F,喷水汇总表!$W$4,ps!$I:$I,喷水汇总表!$T$4)+SUMIFS(ps!$M:$M,ps!$B:$B,喷水汇总表!$A6,ps!$K:$K,喷水汇总表!R$5,ps!$F:$F,喷水汇总表!$W$4,ps!$I:$I,喷水汇总表!$T$4))</f>
        <v>0</v>
      </c>
      <c r="S6" s="248">
        <f>IF($T$4="",SUMIFS(ps!$L:$L,ps!$B:$B,喷水汇总表!$A6,ps!$J:$J,喷水汇总表!S$5,ps!$F:$F,喷水汇总表!$W$4,ps!$R:$R,喷水汇总表!$Y$4)+SUMIFS(ps!$M:$M,ps!$B:$B,喷水汇总表!$A6,ps!$K:$K,喷水汇总表!S$5,ps!$F:$F,喷水汇总表!$W$4,ps!$R:$R,喷水汇总表!$Y$4),SUMIFS(ps!$L:$L,ps!$B:$B,喷水汇总表!$A6,ps!$J:$J,喷水汇总表!S$5,ps!$F:$F,喷水汇总表!$W$4,ps!$I:$I,喷水汇总表!$T$4)+SUMIFS(ps!$M:$M,ps!$B:$B,喷水汇总表!$A6,ps!$K:$K,喷水汇总表!S$5,ps!$F:$F,喷水汇总表!$W$4,ps!$I:$I,喷水汇总表!$T$4))</f>
        <v>0</v>
      </c>
      <c r="T6" s="248">
        <f>IF($T$4="",SUMIFS(ps!$L:$L,ps!$B:$B,喷水汇总表!$A6,ps!$J:$J,喷水汇总表!T$5,ps!$F:$F,喷水汇总表!$W$4,ps!$R:$R,喷水汇总表!$Y$4)+SUMIFS(ps!$M:$M,ps!$B:$B,喷水汇总表!$A6,ps!$K:$K,喷水汇总表!T$5,ps!$F:$F,喷水汇总表!$W$4,ps!$R:$R,喷水汇总表!$Y$4),SUMIFS(ps!$L:$L,ps!$B:$B,喷水汇总表!$A6,ps!$J:$J,喷水汇总表!T$5,ps!$F:$F,喷水汇总表!$W$4,ps!$I:$I,喷水汇总表!$T$4)+SUMIFS(ps!$M:$M,ps!$B:$B,喷水汇总表!$A6,ps!$K:$K,喷水汇总表!T$5,ps!$F:$F,喷水汇总表!$W$4,ps!$I:$I,喷水汇总表!$T$4))</f>
        <v>0</v>
      </c>
      <c r="U6" s="248">
        <f>IF($T$4="",SUMIFS(ps!$L:$L,ps!$B:$B,喷水汇总表!$A6,ps!$J:$J,喷水汇总表!U$5,ps!$F:$F,喷水汇总表!$W$4,ps!$R:$R,喷水汇总表!$Y$4)+SUMIFS(ps!$M:$M,ps!$B:$B,喷水汇总表!$A6,ps!$K:$K,喷水汇总表!U$5,ps!$F:$F,喷水汇总表!$W$4,ps!$R:$R,喷水汇总表!$Y$4),SUMIFS(ps!$L:$L,ps!$B:$B,喷水汇总表!$A6,ps!$J:$J,喷水汇总表!U$5,ps!$F:$F,喷水汇总表!$W$4,ps!$I:$I,喷水汇总表!$T$4)+SUMIFS(ps!$M:$M,ps!$B:$B,喷水汇总表!$A6,ps!$K:$K,喷水汇总表!U$5,ps!$F:$F,喷水汇总表!$W$4,ps!$I:$I,喷水汇总表!$T$4))</f>
        <v>0</v>
      </c>
      <c r="V6" s="248">
        <f>IF($T$4="",SUMIFS(ps!$L:$L,ps!$B:$B,喷水汇总表!$A6,ps!$J:$J,喷水汇总表!V$5,ps!$F:$F,喷水汇总表!$W$4,ps!$R:$R,喷水汇总表!$Y$4)+SUMIFS(ps!$M:$M,ps!$B:$B,喷水汇总表!$A6,ps!$K:$K,喷水汇总表!V$5,ps!$F:$F,喷水汇总表!$W$4,ps!$R:$R,喷水汇总表!$Y$4),SUMIFS(ps!$L:$L,ps!$B:$B,喷水汇总表!$A6,ps!$J:$J,喷水汇总表!V$5,ps!$F:$F,喷水汇总表!$W$4,ps!$I:$I,喷水汇总表!$T$4)+SUMIFS(ps!$M:$M,ps!$B:$B,喷水汇总表!$A6,ps!$K:$K,喷水汇总表!V$5,ps!$F:$F,喷水汇总表!$W$4,ps!$I:$I,喷水汇总表!$T$4))</f>
        <v>0</v>
      </c>
      <c r="W6" s="248">
        <f>IF($T$4="",SUMIFS(ps!$L:$L,ps!$B:$B,喷水汇总表!$A6,ps!$J:$J,喷水汇总表!W$5,ps!$F:$F,喷水汇总表!$W$4,ps!$R:$R,喷水汇总表!$Y$4)+SUMIFS(ps!$M:$M,ps!$B:$B,喷水汇总表!$A6,ps!$K:$K,喷水汇总表!W$5,ps!$F:$F,喷水汇总表!$W$4,ps!$R:$R,喷水汇总表!$Y$4),SUMIFS(ps!$L:$L,ps!$B:$B,喷水汇总表!$A6,ps!$J:$J,喷水汇总表!W$5,ps!$F:$F,喷水汇总表!$W$4,ps!$I:$I,喷水汇总表!$T$4)+SUMIFS(ps!$M:$M,ps!$B:$B,喷水汇总表!$A6,ps!$K:$K,喷水汇总表!W$5,ps!$F:$F,喷水汇总表!$W$4,ps!$I:$I,喷水汇总表!$T$4))</f>
        <v>0</v>
      </c>
      <c r="X6" s="15">
        <f>SUM(Y6:BC6)</f>
        <v>0</v>
      </c>
      <c r="Y6" s="18">
        <f>SUMIFS(ps!$N:$N,ps!$B:$B,喷水汇总表!$A6,ps!$I:$I,喷水汇总表!$X$4&amp;"/"&amp;喷水汇总表!$Y$4&amp;"/"&amp;喷水汇总表!Y$5)</f>
        <v>0</v>
      </c>
      <c r="Z6" s="18">
        <f>SUMIFS(ps!$N:$N,ps!$B:$B,喷水汇总表!$A6,ps!$I:$I,喷水汇总表!$X$4&amp;"/"&amp;喷水汇总表!$Y$4&amp;"/"&amp;喷水汇总表!Z$5)</f>
        <v>0</v>
      </c>
      <c r="AA6" s="18">
        <f>SUMIFS(ps!$N:$N,ps!$B:$B,喷水汇总表!$A6,ps!$I:$I,喷水汇总表!$X$4&amp;"/"&amp;喷水汇总表!$Y$4&amp;"/"&amp;喷水汇总表!AA$5)</f>
        <v>0</v>
      </c>
      <c r="AB6" s="18">
        <f>SUMIFS(ps!$N:$N,ps!$B:$B,喷水汇总表!$A6,ps!$I:$I,喷水汇总表!$X$4&amp;"/"&amp;喷水汇总表!$Y$4&amp;"/"&amp;喷水汇总表!AB$5)</f>
        <v>0</v>
      </c>
      <c r="AC6" s="18">
        <f>SUMIFS(ps!$N:$N,ps!$B:$B,喷水汇总表!$A6,ps!$I:$I,喷水汇总表!$X$4&amp;"/"&amp;喷水汇总表!$Y$4&amp;"/"&amp;喷水汇总表!AC$5)</f>
        <v>0</v>
      </c>
      <c r="AD6" s="18">
        <f>SUMIFS(ps!$N:$N,ps!$B:$B,喷水汇总表!$A6,ps!$I:$I,喷水汇总表!$X$4&amp;"/"&amp;喷水汇总表!$Y$4&amp;"/"&amp;喷水汇总表!AD$5)</f>
        <v>0</v>
      </c>
      <c r="AE6" s="18">
        <f>SUMIFS(ps!$N:$N,ps!$B:$B,喷水汇总表!$A6,ps!$I:$I,喷水汇总表!$X$4&amp;"/"&amp;喷水汇总表!$Y$4&amp;"/"&amp;喷水汇总表!AE$5)</f>
        <v>0</v>
      </c>
      <c r="AF6" s="18">
        <f>SUMIFS(ps!$N:$N,ps!$B:$B,喷水汇总表!$A6,ps!$I:$I,喷水汇总表!$X$4&amp;"/"&amp;喷水汇总表!$Y$4&amp;"/"&amp;喷水汇总表!AF$5)</f>
        <v>0</v>
      </c>
      <c r="AG6" s="18">
        <f>SUMIFS(ps!$N:$N,ps!$B:$B,喷水汇总表!$A6,ps!$I:$I,喷水汇总表!$X$4&amp;"/"&amp;喷水汇总表!$Y$4&amp;"/"&amp;喷水汇总表!AG$5)</f>
        <v>0</v>
      </c>
      <c r="AH6" s="18">
        <f>SUMIFS(ps!$N:$N,ps!$B:$B,喷水汇总表!$A6,ps!$I:$I,喷水汇总表!$X$4&amp;"/"&amp;喷水汇总表!$Y$4&amp;"/"&amp;喷水汇总表!AH$5)</f>
        <v>0</v>
      </c>
      <c r="AI6" s="18">
        <f>SUMIFS(ps!$N:$N,ps!$B:$B,喷水汇总表!$A6,ps!$I:$I,喷水汇总表!$X$4&amp;"/"&amp;喷水汇总表!$Y$4&amp;"/"&amp;喷水汇总表!AI$5)</f>
        <v>0</v>
      </c>
      <c r="AJ6" s="18">
        <f>SUMIFS(ps!$N:$N,ps!$B:$B,喷水汇总表!$A6,ps!$I:$I,喷水汇总表!$X$4&amp;"/"&amp;喷水汇总表!$Y$4&amp;"/"&amp;喷水汇总表!AJ$5)</f>
        <v>0</v>
      </c>
      <c r="AK6" s="18">
        <f>SUMIFS(ps!$N:$N,ps!$B:$B,喷水汇总表!$A6,ps!$I:$I,喷水汇总表!$X$4&amp;"/"&amp;喷水汇总表!$Y$4&amp;"/"&amp;喷水汇总表!AK$5)</f>
        <v>0</v>
      </c>
      <c r="AL6" s="18">
        <f>SUMIFS(ps!$N:$N,ps!$B:$B,喷水汇总表!$A6,ps!$I:$I,喷水汇总表!$X$4&amp;"/"&amp;喷水汇总表!$Y$4&amp;"/"&amp;喷水汇总表!AL$5)</f>
        <v>0</v>
      </c>
      <c r="AM6" s="18">
        <f>SUMIFS(ps!$N:$N,ps!$B:$B,喷水汇总表!$A6,ps!$I:$I,喷水汇总表!$X$4&amp;"/"&amp;喷水汇总表!$Y$4&amp;"/"&amp;喷水汇总表!AM$5)</f>
        <v>0</v>
      </c>
      <c r="AN6" s="18">
        <f>SUMIFS(ps!$N:$N,ps!$B:$B,喷水汇总表!$A6,ps!$I:$I,喷水汇总表!$X$4&amp;"/"&amp;喷水汇总表!$Y$4&amp;"/"&amp;喷水汇总表!AN$5)</f>
        <v>0</v>
      </c>
      <c r="AO6" s="18">
        <f>SUMIFS(ps!$N:$N,ps!$B:$B,喷水汇总表!$A6,ps!$I:$I,喷水汇总表!$X$4&amp;"/"&amp;喷水汇总表!$Y$4&amp;"/"&amp;喷水汇总表!AO$5)</f>
        <v>0</v>
      </c>
      <c r="AP6" s="18">
        <f>SUMIFS(ps!$N:$N,ps!$B:$B,喷水汇总表!$A6,ps!$I:$I,喷水汇总表!$X$4&amp;"/"&amp;喷水汇总表!$Y$4&amp;"/"&amp;喷水汇总表!AP$5)</f>
        <v>0</v>
      </c>
      <c r="AQ6" s="18">
        <f>SUMIFS(ps!$N:$N,ps!$B:$B,喷水汇总表!$A6,ps!$I:$I,喷水汇总表!$X$4&amp;"/"&amp;喷水汇总表!$Y$4&amp;"/"&amp;喷水汇总表!AQ$5)</f>
        <v>0</v>
      </c>
      <c r="AR6" s="18">
        <f>SUMIFS(ps!$N:$N,ps!$B:$B,喷水汇总表!$A6,ps!$I:$I,喷水汇总表!$X$4&amp;"/"&amp;喷水汇总表!$Y$4&amp;"/"&amp;喷水汇总表!AR$5)</f>
        <v>0</v>
      </c>
      <c r="AS6" s="18">
        <f>SUMIFS(ps!$N:$N,ps!$B:$B,喷水汇总表!$A6,ps!$I:$I,喷水汇总表!$X$4&amp;"/"&amp;喷水汇总表!$Y$4&amp;"/"&amp;喷水汇总表!AS$5)</f>
        <v>0</v>
      </c>
      <c r="AT6" s="18">
        <f>SUMIFS(ps!$N:$N,ps!$B:$B,喷水汇总表!$A6,ps!$I:$I,喷水汇总表!$X$4&amp;"/"&amp;喷水汇总表!$Y$4&amp;"/"&amp;喷水汇总表!AT$5)</f>
        <v>0</v>
      </c>
      <c r="AU6" s="18">
        <f>SUMIFS(ps!$N:$N,ps!$B:$B,喷水汇总表!$A6,ps!$I:$I,喷水汇总表!$X$4&amp;"/"&amp;喷水汇总表!$Y$4&amp;"/"&amp;喷水汇总表!AU$5)</f>
        <v>0</v>
      </c>
      <c r="AV6" s="18">
        <f>SUMIFS(ps!$N:$N,ps!$B:$B,喷水汇总表!$A6,ps!$I:$I,喷水汇总表!$X$4&amp;"/"&amp;喷水汇总表!$Y$4&amp;"/"&amp;喷水汇总表!AV$5)</f>
        <v>0</v>
      </c>
      <c r="AW6" s="18">
        <f>SUMIFS(ps!$N:$N,ps!$B:$B,喷水汇总表!$A6,ps!$I:$I,喷水汇总表!$X$4&amp;"/"&amp;喷水汇总表!$Y$4&amp;"/"&amp;喷水汇总表!AW$5)</f>
        <v>0</v>
      </c>
      <c r="AX6" s="18">
        <f>SUMIFS(ps!$N:$N,ps!$B:$B,喷水汇总表!$A6,ps!$I:$I,喷水汇总表!$X$4&amp;"/"&amp;喷水汇总表!$Y$4&amp;"/"&amp;喷水汇总表!AX$5)</f>
        <v>0</v>
      </c>
      <c r="AY6" s="18">
        <f>SUMIFS(ps!$N:$N,ps!$B:$B,喷水汇总表!$A6,ps!$I:$I,喷水汇总表!$X$4&amp;"/"&amp;喷水汇总表!$Y$4&amp;"/"&amp;喷水汇总表!AY$5)</f>
        <v>0</v>
      </c>
      <c r="AZ6" s="18">
        <f>SUMIFS(ps!$N:$N,ps!$B:$B,喷水汇总表!$A6,ps!$I:$I,喷水汇总表!$X$4&amp;"/"&amp;喷水汇总表!$Y$4&amp;"/"&amp;喷水汇总表!AZ$5)</f>
        <v>0</v>
      </c>
      <c r="BA6" s="18">
        <f>SUMIFS(ps!$N:$N,ps!$B:$B,喷水汇总表!$A6,ps!$I:$I,喷水汇总表!$X$4&amp;"/"&amp;喷水汇总表!$Y$4&amp;"/"&amp;喷水汇总表!BA$5)</f>
        <v>0</v>
      </c>
      <c r="BB6" s="18">
        <f>SUMIFS(ps!$N:$N,ps!$B:$B,喷水汇总表!$A6,ps!$I:$I,喷水汇总表!$X$4&amp;"/"&amp;喷水汇总表!$Y$4&amp;"/"&amp;喷水汇总表!BB$5)</f>
        <v>0</v>
      </c>
      <c r="BC6" s="18">
        <f>SUMIFS(ps!$N:$N,ps!$B:$B,喷水汇总表!$A6,ps!$I:$I,喷水汇总表!$X$4&amp;"/"&amp;喷水汇总表!$Y$4&amp;"/"&amp;喷水汇总表!BC$5)</f>
        <v>0</v>
      </c>
    </row>
    <row r="7" spans="1:55" ht="18" customHeight="1">
      <c r="A7" s="96" t="s">
        <v>1099</v>
      </c>
      <c r="B7" s="176" t="str">
        <f>IF(A7="","",VLOOKUP(A7,经纬!B:C,2,FALSE))</f>
        <v>100*300</v>
      </c>
      <c r="C7" s="176" t="str">
        <f t="shared" ref="C7:C30" si="0">IF(A7="","",MID(A7,LEN(B7),LEN(A7)-LEN(B7)-LEN(D7)+1))</f>
        <v>188</v>
      </c>
      <c r="D7" s="176">
        <f>IF(A7="","",VLOOKUP(A7,经纬!B:G,6,FALSE))</f>
        <v>96</v>
      </c>
      <c r="E7" s="44">
        <f>IF($T$4="",SUMIFS(ps!$N:$N,ps!$B:$B,喷水汇总表!$A7,ps!$H:$H,喷水汇总表!E$5,ps!$R:$R,喷水汇总表!$Y$4),SUMIFS(ps!$N:$N,ps!$B:$B,喷水汇总表!$A7,ps!$H:$H,喷水汇总表!E$5,ps!$I:$I,喷水汇总表!$T$4))</f>
        <v>0</v>
      </c>
      <c r="F7" s="44">
        <f>IF($T$4="",SUMIFS(ps!$N:$N,ps!$B:$B,喷水汇总表!$A7,ps!$H:$H,喷水汇总表!F$5,ps!$R:$R,喷水汇总表!$Y$4),SUMIFS(ps!$N:$N,ps!$B:$B,喷水汇总表!$A7,ps!$H:$H,喷水汇总表!F$5,ps!$I:$I,喷水汇总表!$T$4))</f>
        <v>0</v>
      </c>
      <c r="G7" s="44">
        <f>IF($T$4="",SUMIFS(ps!$N:$N,ps!$B:$B,喷水汇总表!$A7,ps!$H:$H,喷水汇总表!G$5,ps!$R:$R,喷水汇总表!$Y$4),SUMIFS(ps!$N:$N,ps!$B:$B,喷水汇总表!$A7,ps!$H:$H,喷水汇总表!G$5,ps!$I:$I,喷水汇总表!$T$4))</f>
        <v>8370</v>
      </c>
      <c r="H7" s="248">
        <f>IF($T$4="",SUMIFS(ps!$N:$N,ps!$B:$B,喷水汇总表!$A7,ps!$G:$G,喷水汇总表!H$5,ps!$R:$R,喷水汇总表!$Y$4),SUMIFS(ps!$N:$N,ps!$B:$B,喷水汇总表!$A7,ps!$G:$G,喷水汇总表!H$5,ps!$I:$I,喷水汇总表!$T$4))</f>
        <v>0</v>
      </c>
      <c r="I7" s="248">
        <f>IF($T$4="",SUMIFS(ps!$N:$N,ps!$B:$B,喷水汇总表!$A7,ps!$G:$G,喷水汇总表!I$5,ps!$R:$R,喷水汇总表!$Y$4),SUMIFS(ps!$N:$N,ps!$B:$B,喷水汇总表!$A7,ps!$G:$G,喷水汇总表!I$5,ps!$I:$I,喷水汇总表!$T$4))</f>
        <v>8370</v>
      </c>
      <c r="J7" s="248">
        <f>IF($T$4="",SUMIFS(ps!$N:$N,ps!$B:$B,喷水汇总表!$A7,ps!$G:$G,喷水汇总表!J$5,ps!$R:$R,喷水汇总表!$Y$4),SUMIFS(ps!$N:$N,ps!$B:$B,喷水汇总表!$A7,ps!$G:$G,喷水汇总表!J$5,ps!$I:$I,喷水汇总表!$T$4))</f>
        <v>0</v>
      </c>
      <c r="K7" s="248">
        <f>IF($T$4="",SUMIFS(ps!$N:$N,ps!$B:$B,喷水汇总表!$A7,ps!$G:$G,喷水汇总表!K$5,ps!$R:$R,喷水汇总表!$Y$4),SUMIFS(ps!$N:$N,ps!$B:$B,喷水汇总表!$A7,ps!$G:$G,喷水汇总表!K$5,ps!$I:$I,喷水汇总表!$T$4))</f>
        <v>0</v>
      </c>
      <c r="L7" s="248">
        <f>IF($T$4="",SUMIFS(ps!$N:$N,ps!$B:$B,喷水汇总表!$A7,ps!$G:$G,喷水汇总表!L$5,ps!$R:$R,喷水汇总表!$Y$4),SUMIFS(ps!$N:$N,ps!$B:$B,喷水汇总表!$A7,ps!$G:$G,喷水汇总表!L$5,ps!$I:$I,喷水汇总表!$T$4))</f>
        <v>0</v>
      </c>
      <c r="M7" s="248">
        <f>IF($T$4="",SUMIFS(ps!$N:$N,ps!$B:$B,喷水汇总表!$A7,ps!$G:$G,喷水汇总表!M$5,ps!$R:$R,喷水汇总表!$Y$4),SUMIFS(ps!$N:$N,ps!$B:$B,喷水汇总表!$A7,ps!$G:$G,喷水汇总表!M$5,ps!$I:$I,喷水汇总表!$T$4))</f>
        <v>0</v>
      </c>
      <c r="N7" s="248">
        <f>IF($T$4="",SUMIFS(ps!$N:$N,ps!$B:$B,喷水汇总表!$A7,ps!$G:$G,喷水汇总表!N$5,ps!$R:$R,喷水汇总表!$Y$4),SUMIFS(ps!$N:$N,ps!$B:$B,喷水汇总表!$A7,ps!$G:$G,喷水汇总表!N$5,ps!$I:$I,喷水汇总表!$T$4))</f>
        <v>0</v>
      </c>
      <c r="O7" s="248">
        <f>IF($T$4="",SUMIFS(ps!$L:$L,ps!$B:$B,喷水汇总表!$A7,ps!$J:$J,喷水汇总表!O$5,ps!$F:$F,喷水汇总表!$W$4,ps!$R:$R,喷水汇总表!$Y$4)+SUMIFS(ps!$M:$M,ps!$B:$B,喷水汇总表!$A7,ps!$K:$K,喷水汇总表!O$5,ps!$F:$F,喷水汇总表!$W$4,ps!$R:$R,喷水汇总表!$Y$4),SUMIFS(ps!$L:$L,ps!$B:$B,喷水汇总表!$A7,ps!$J:$J,喷水汇总表!O$5,ps!$F:$F,喷水汇总表!$W$4,ps!$I:$I,喷水汇总表!$T$4)+SUMIFS(ps!$M:$M,ps!$B:$B,喷水汇总表!$A7,ps!$K:$K,喷水汇总表!O$5,ps!$F:$F,喷水汇总表!$W$4,ps!$I:$I,喷水汇总表!$T$4))</f>
        <v>0</v>
      </c>
      <c r="P7" s="248">
        <f>IF($T$4="",SUMIFS(ps!$L:$L,ps!$B:$B,喷水汇总表!$A7,ps!$J:$J,喷水汇总表!P$5,ps!$F:$F,喷水汇总表!$W$4,ps!$R:$R,喷水汇总表!$Y$4)+SUMIFS(ps!$M:$M,ps!$B:$B,喷水汇总表!$A7,ps!$K:$K,喷水汇总表!P$5,ps!$F:$F,喷水汇总表!$W$4,ps!$R:$R,喷水汇总表!$Y$4),SUMIFS(ps!$L:$L,ps!$B:$B,喷水汇总表!$A7,ps!$J:$J,喷水汇总表!P$5,ps!$F:$F,喷水汇总表!$W$4,ps!$I:$I,喷水汇总表!$T$4)+SUMIFS(ps!$M:$M,ps!$B:$B,喷水汇总表!$A7,ps!$K:$K,喷水汇总表!P$5,ps!$F:$F,喷水汇总表!$W$4,ps!$I:$I,喷水汇总表!$T$4))</f>
        <v>0</v>
      </c>
      <c r="Q7" s="248">
        <f>IF($T$4="",SUMIFS(ps!$L:$L,ps!$B:$B,喷水汇总表!$A7,ps!$J:$J,喷水汇总表!Q$5,ps!$F:$F,喷水汇总表!$W$4,ps!$R:$R,喷水汇总表!$Y$4)+SUMIFS(ps!$M:$M,ps!$B:$B,喷水汇总表!$A7,ps!$K:$K,喷水汇总表!Q$5,ps!$F:$F,喷水汇总表!$W$4,ps!$R:$R,喷水汇总表!$Y$4),SUMIFS(ps!$L:$L,ps!$B:$B,喷水汇总表!$A7,ps!$J:$J,喷水汇总表!Q$5,ps!$F:$F,喷水汇总表!$W$4,ps!$I:$I,喷水汇总表!$T$4)+SUMIFS(ps!$M:$M,ps!$B:$B,喷水汇总表!$A7,ps!$K:$K,喷水汇总表!Q$5,ps!$F:$F,喷水汇总表!$W$4,ps!$I:$I,喷水汇总表!$T$4))</f>
        <v>0</v>
      </c>
      <c r="R7" s="248">
        <f>IF($T$4="",SUMIFS(ps!$L:$L,ps!$B:$B,喷水汇总表!$A7,ps!$J:$J,喷水汇总表!R$5,ps!$F:$F,喷水汇总表!$W$4,ps!$R:$R,喷水汇总表!$Y$4)+SUMIFS(ps!$M:$M,ps!$B:$B,喷水汇总表!$A7,ps!$K:$K,喷水汇总表!R$5,ps!$F:$F,喷水汇总表!$W$4,ps!$R:$R,喷水汇总表!$Y$4),SUMIFS(ps!$L:$L,ps!$B:$B,喷水汇总表!$A7,ps!$J:$J,喷水汇总表!R$5,ps!$F:$F,喷水汇总表!$W$4,ps!$I:$I,喷水汇总表!$T$4)+SUMIFS(ps!$M:$M,ps!$B:$B,喷水汇总表!$A7,ps!$K:$K,喷水汇总表!R$5,ps!$F:$F,喷水汇总表!$W$4,ps!$I:$I,喷水汇总表!$T$4))</f>
        <v>0</v>
      </c>
      <c r="S7" s="248">
        <f>IF($T$4="",SUMIFS(ps!$L:$L,ps!$B:$B,喷水汇总表!$A7,ps!$J:$J,喷水汇总表!S$5,ps!$F:$F,喷水汇总表!$W$4,ps!$R:$R,喷水汇总表!$Y$4)+SUMIFS(ps!$M:$M,ps!$B:$B,喷水汇总表!$A7,ps!$K:$K,喷水汇总表!S$5,ps!$F:$F,喷水汇总表!$W$4,ps!$R:$R,喷水汇总表!$Y$4),SUMIFS(ps!$L:$L,ps!$B:$B,喷水汇总表!$A7,ps!$J:$J,喷水汇总表!S$5,ps!$F:$F,喷水汇总表!$W$4,ps!$I:$I,喷水汇总表!$T$4)+SUMIFS(ps!$M:$M,ps!$B:$B,喷水汇总表!$A7,ps!$K:$K,喷水汇总表!S$5,ps!$F:$F,喷水汇总表!$W$4,ps!$I:$I,喷水汇总表!$T$4))</f>
        <v>0</v>
      </c>
      <c r="T7" s="248">
        <f>IF($T$4="",SUMIFS(ps!$L:$L,ps!$B:$B,喷水汇总表!$A7,ps!$J:$J,喷水汇总表!T$5,ps!$F:$F,喷水汇总表!$W$4,ps!$R:$R,喷水汇总表!$Y$4)+SUMIFS(ps!$M:$M,ps!$B:$B,喷水汇总表!$A7,ps!$K:$K,喷水汇总表!T$5,ps!$F:$F,喷水汇总表!$W$4,ps!$R:$R,喷水汇总表!$Y$4),SUMIFS(ps!$L:$L,ps!$B:$B,喷水汇总表!$A7,ps!$J:$J,喷水汇总表!T$5,ps!$F:$F,喷水汇总表!$W$4,ps!$I:$I,喷水汇总表!$T$4)+SUMIFS(ps!$M:$M,ps!$B:$B,喷水汇总表!$A7,ps!$K:$K,喷水汇总表!T$5,ps!$F:$F,喷水汇总表!$W$4,ps!$I:$I,喷水汇总表!$T$4))</f>
        <v>355.72500000000002</v>
      </c>
      <c r="U7" s="248">
        <f>IF($T$4="",SUMIFS(ps!$L:$L,ps!$B:$B,喷水汇总表!$A7,ps!$J:$J,喷水汇总表!U$5,ps!$F:$F,喷水汇总表!$W$4,ps!$R:$R,喷水汇总表!$Y$4)+SUMIFS(ps!$M:$M,ps!$B:$B,喷水汇总表!$A7,ps!$K:$K,喷水汇总表!U$5,ps!$F:$F,喷水汇总表!$W$4,ps!$R:$R,喷水汇总表!$Y$4),SUMIFS(ps!$L:$L,ps!$B:$B,喷水汇总表!$A7,ps!$J:$J,喷水汇总表!U$5,ps!$F:$F,喷水汇总表!$W$4,ps!$I:$I,喷水汇总表!$T$4)+SUMIFS(ps!$M:$M,ps!$B:$B,喷水汇总表!$A7,ps!$K:$K,喷水汇总表!U$5,ps!$F:$F,喷水汇总表!$W$4,ps!$I:$I,喷水汇总表!$T$4))</f>
        <v>0</v>
      </c>
      <c r="V7" s="248">
        <f>IF($T$4="",SUMIFS(ps!$L:$L,ps!$B:$B,喷水汇总表!$A7,ps!$J:$J,喷水汇总表!V$5,ps!$F:$F,喷水汇总表!$W$4,ps!$R:$R,喷水汇总表!$Y$4)+SUMIFS(ps!$M:$M,ps!$B:$B,喷水汇总表!$A7,ps!$K:$K,喷水汇总表!V$5,ps!$F:$F,喷水汇总表!$W$4,ps!$R:$R,喷水汇总表!$Y$4),SUMIFS(ps!$L:$L,ps!$B:$B,喷水汇总表!$A7,ps!$J:$J,喷水汇总表!V$5,ps!$F:$F,喷水汇总表!$W$4,ps!$I:$I,喷水汇总表!$T$4)+SUMIFS(ps!$M:$M,ps!$B:$B,喷水汇总表!$A7,ps!$K:$K,喷水汇总表!V$5,ps!$F:$F,喷水汇总表!$W$4,ps!$I:$I,喷水汇总表!$T$4))</f>
        <v>0</v>
      </c>
      <c r="W7" s="248">
        <f>IF($T$4="",SUMIFS(ps!$L:$L,ps!$B:$B,喷水汇总表!$A7,ps!$J:$J,喷水汇总表!W$5,ps!$F:$F,喷水汇总表!$W$4,ps!$R:$R,喷水汇总表!$Y$4)+SUMIFS(ps!$M:$M,ps!$B:$B,喷水汇总表!$A7,ps!$K:$K,喷水汇总表!W$5,ps!$F:$F,喷水汇总表!$W$4,ps!$R:$R,喷水汇总表!$Y$4),SUMIFS(ps!$L:$L,ps!$B:$B,喷水汇总表!$A7,ps!$J:$J,喷水汇总表!W$5,ps!$F:$F,喷水汇总表!$W$4,ps!$I:$I,喷水汇总表!$T$4)+SUMIFS(ps!$M:$M,ps!$B:$B,喷水汇总表!$A7,ps!$K:$K,喷水汇总表!W$5,ps!$F:$F,喷水汇总表!$W$4,ps!$I:$I,喷水汇总表!$T$4))</f>
        <v>758.13307086614179</v>
      </c>
      <c r="X7" s="15">
        <f t="shared" ref="X7:X29" si="1">SUM(Y7:BC7)</f>
        <v>18530</v>
      </c>
      <c r="Y7" s="18">
        <f>SUMIFS(ps!$N:$N,ps!$B:$B,喷水汇总表!$A7,ps!$I:$I,喷水汇总表!$X$4&amp;"/"&amp;喷水汇总表!$Y$4&amp;"/"&amp;喷水汇总表!Y$5)</f>
        <v>0</v>
      </c>
      <c r="Z7" s="18">
        <f>SUMIFS(ps!$N:$N,ps!$B:$B,喷水汇总表!$A7,ps!$I:$I,喷水汇总表!$X$4&amp;"/"&amp;喷水汇总表!$Y$4&amp;"/"&amp;喷水汇总表!Z$5)</f>
        <v>1060</v>
      </c>
      <c r="AA7" s="18">
        <f>SUMIFS(ps!$N:$N,ps!$B:$B,喷水汇总表!$A7,ps!$I:$I,喷水汇总表!$X$4&amp;"/"&amp;喷水汇总表!$Y$4&amp;"/"&amp;喷水汇总表!AA$5)</f>
        <v>9100</v>
      </c>
      <c r="AB7" s="18">
        <f>SUMIFS(ps!$N:$N,ps!$B:$B,喷水汇总表!$A7,ps!$I:$I,喷水汇总表!$X$4&amp;"/"&amp;喷水汇总表!$Y$4&amp;"/"&amp;喷水汇总表!AB$5)</f>
        <v>0</v>
      </c>
      <c r="AC7" s="18">
        <f>SUMIFS(ps!$N:$N,ps!$B:$B,喷水汇总表!$A7,ps!$I:$I,喷水汇总表!$X$4&amp;"/"&amp;喷水汇总表!$Y$4&amp;"/"&amp;喷水汇总表!AC$5)</f>
        <v>8370</v>
      </c>
      <c r="AD7" s="18">
        <f>SUMIFS(ps!$N:$N,ps!$B:$B,喷水汇总表!$A7,ps!$I:$I,喷水汇总表!$X$4&amp;"/"&amp;喷水汇总表!$Y$4&amp;"/"&amp;喷水汇总表!AD$5)</f>
        <v>0</v>
      </c>
      <c r="AE7" s="18">
        <f>SUMIFS(ps!$N:$N,ps!$B:$B,喷水汇总表!$A7,ps!$I:$I,喷水汇总表!$X$4&amp;"/"&amp;喷水汇总表!$Y$4&amp;"/"&amp;喷水汇总表!AE$5)</f>
        <v>0</v>
      </c>
      <c r="AF7" s="18">
        <f>SUMIFS(ps!$N:$N,ps!$B:$B,喷水汇总表!$A7,ps!$I:$I,喷水汇总表!$X$4&amp;"/"&amp;喷水汇总表!$Y$4&amp;"/"&amp;喷水汇总表!AF$5)</f>
        <v>0</v>
      </c>
      <c r="AG7" s="18">
        <f>SUMIFS(ps!$N:$N,ps!$B:$B,喷水汇总表!$A7,ps!$I:$I,喷水汇总表!$X$4&amp;"/"&amp;喷水汇总表!$Y$4&amp;"/"&amp;喷水汇总表!AG$5)</f>
        <v>0</v>
      </c>
      <c r="AH7" s="18">
        <f>SUMIFS(ps!$N:$N,ps!$B:$B,喷水汇总表!$A7,ps!$I:$I,喷水汇总表!$X$4&amp;"/"&amp;喷水汇总表!$Y$4&amp;"/"&amp;喷水汇总表!AH$5)</f>
        <v>0</v>
      </c>
      <c r="AI7" s="18">
        <f>SUMIFS(ps!$N:$N,ps!$B:$B,喷水汇总表!$A7,ps!$I:$I,喷水汇总表!$X$4&amp;"/"&amp;喷水汇总表!$Y$4&amp;"/"&amp;喷水汇总表!AI$5)</f>
        <v>0</v>
      </c>
      <c r="AJ7" s="18">
        <f>SUMIFS(ps!$N:$N,ps!$B:$B,喷水汇总表!$A7,ps!$I:$I,喷水汇总表!$X$4&amp;"/"&amp;喷水汇总表!$Y$4&amp;"/"&amp;喷水汇总表!AJ$5)</f>
        <v>0</v>
      </c>
      <c r="AK7" s="18">
        <f>SUMIFS(ps!$N:$N,ps!$B:$B,喷水汇总表!$A7,ps!$I:$I,喷水汇总表!$X$4&amp;"/"&amp;喷水汇总表!$Y$4&amp;"/"&amp;喷水汇总表!AK$5)</f>
        <v>0</v>
      </c>
      <c r="AL7" s="18">
        <f>SUMIFS(ps!$N:$N,ps!$B:$B,喷水汇总表!$A7,ps!$I:$I,喷水汇总表!$X$4&amp;"/"&amp;喷水汇总表!$Y$4&amp;"/"&amp;喷水汇总表!AL$5)</f>
        <v>0</v>
      </c>
      <c r="AM7" s="18">
        <f>SUMIFS(ps!$N:$N,ps!$B:$B,喷水汇总表!$A7,ps!$I:$I,喷水汇总表!$X$4&amp;"/"&amp;喷水汇总表!$Y$4&amp;"/"&amp;喷水汇总表!AM$5)</f>
        <v>0</v>
      </c>
      <c r="AN7" s="18">
        <f>SUMIFS(ps!$N:$N,ps!$B:$B,喷水汇总表!$A7,ps!$I:$I,喷水汇总表!$X$4&amp;"/"&amp;喷水汇总表!$Y$4&amp;"/"&amp;喷水汇总表!AN$5)</f>
        <v>0</v>
      </c>
      <c r="AO7" s="18">
        <f>SUMIFS(ps!$N:$N,ps!$B:$B,喷水汇总表!$A7,ps!$I:$I,喷水汇总表!$X$4&amp;"/"&amp;喷水汇总表!$Y$4&amp;"/"&amp;喷水汇总表!AO$5)</f>
        <v>0</v>
      </c>
      <c r="AP7" s="18">
        <f>SUMIFS(ps!$N:$N,ps!$B:$B,喷水汇总表!$A7,ps!$I:$I,喷水汇总表!$X$4&amp;"/"&amp;喷水汇总表!$Y$4&amp;"/"&amp;喷水汇总表!AP$5)</f>
        <v>0</v>
      </c>
      <c r="AQ7" s="18">
        <f>SUMIFS(ps!$N:$N,ps!$B:$B,喷水汇总表!$A7,ps!$I:$I,喷水汇总表!$X$4&amp;"/"&amp;喷水汇总表!$Y$4&amp;"/"&amp;喷水汇总表!AQ$5)</f>
        <v>0</v>
      </c>
      <c r="AR7" s="18">
        <f>SUMIFS(ps!$N:$N,ps!$B:$B,喷水汇总表!$A7,ps!$I:$I,喷水汇总表!$X$4&amp;"/"&amp;喷水汇总表!$Y$4&amp;"/"&amp;喷水汇总表!AR$5)</f>
        <v>0</v>
      </c>
      <c r="AS7" s="18">
        <f>SUMIFS(ps!$N:$N,ps!$B:$B,喷水汇总表!$A7,ps!$I:$I,喷水汇总表!$X$4&amp;"/"&amp;喷水汇总表!$Y$4&amp;"/"&amp;喷水汇总表!AS$5)</f>
        <v>0</v>
      </c>
      <c r="AT7" s="18">
        <f>SUMIFS(ps!$N:$N,ps!$B:$B,喷水汇总表!$A7,ps!$I:$I,喷水汇总表!$X$4&amp;"/"&amp;喷水汇总表!$Y$4&amp;"/"&amp;喷水汇总表!AT$5)</f>
        <v>0</v>
      </c>
      <c r="AU7" s="18">
        <f>SUMIFS(ps!$N:$N,ps!$B:$B,喷水汇总表!$A7,ps!$I:$I,喷水汇总表!$X$4&amp;"/"&amp;喷水汇总表!$Y$4&amp;"/"&amp;喷水汇总表!AU$5)</f>
        <v>0</v>
      </c>
      <c r="AV7" s="18">
        <f>SUMIFS(ps!$N:$N,ps!$B:$B,喷水汇总表!$A7,ps!$I:$I,喷水汇总表!$X$4&amp;"/"&amp;喷水汇总表!$Y$4&amp;"/"&amp;喷水汇总表!AV$5)</f>
        <v>0</v>
      </c>
      <c r="AW7" s="18">
        <f>SUMIFS(ps!$N:$N,ps!$B:$B,喷水汇总表!$A7,ps!$I:$I,喷水汇总表!$X$4&amp;"/"&amp;喷水汇总表!$Y$4&amp;"/"&amp;喷水汇总表!AW$5)</f>
        <v>0</v>
      </c>
      <c r="AX7" s="18">
        <f>SUMIFS(ps!$N:$N,ps!$B:$B,喷水汇总表!$A7,ps!$I:$I,喷水汇总表!$X$4&amp;"/"&amp;喷水汇总表!$Y$4&amp;"/"&amp;喷水汇总表!AX$5)</f>
        <v>0</v>
      </c>
      <c r="AY7" s="18">
        <f>SUMIFS(ps!$N:$N,ps!$B:$B,喷水汇总表!$A7,ps!$I:$I,喷水汇总表!$X$4&amp;"/"&amp;喷水汇总表!$Y$4&amp;"/"&amp;喷水汇总表!AY$5)</f>
        <v>0</v>
      </c>
      <c r="AZ7" s="18">
        <f>SUMIFS(ps!$N:$N,ps!$B:$B,喷水汇总表!$A7,ps!$I:$I,喷水汇总表!$X$4&amp;"/"&amp;喷水汇总表!$Y$4&amp;"/"&amp;喷水汇总表!AZ$5)</f>
        <v>0</v>
      </c>
      <c r="BA7" s="18">
        <f>SUMIFS(ps!$N:$N,ps!$B:$B,喷水汇总表!$A7,ps!$I:$I,喷水汇总表!$X$4&amp;"/"&amp;喷水汇总表!$Y$4&amp;"/"&amp;喷水汇总表!BA$5)</f>
        <v>0</v>
      </c>
      <c r="BB7" s="18">
        <f>SUMIFS(ps!$N:$N,ps!$B:$B,喷水汇总表!$A7,ps!$I:$I,喷水汇总表!$X$4&amp;"/"&amp;喷水汇总表!$Y$4&amp;"/"&amp;喷水汇总表!BB$5)</f>
        <v>0</v>
      </c>
      <c r="BC7" s="18">
        <f>SUMIFS(ps!$N:$N,ps!$B:$B,喷水汇总表!$A7,ps!$I:$I,喷水汇总表!$X$4&amp;"/"&amp;喷水汇总表!$Y$4&amp;"/"&amp;喷水汇总表!BC$5)</f>
        <v>0</v>
      </c>
    </row>
    <row r="8" spans="1:55" ht="18" customHeight="1">
      <c r="A8" s="96" t="s">
        <v>1184</v>
      </c>
      <c r="B8" s="176" t="str">
        <f>IF(A8="","",VLOOKUP(A8,经纬!B:C,2,FALSE))</f>
        <v>100*300</v>
      </c>
      <c r="C8" s="176" t="str">
        <f t="shared" si="0"/>
        <v>188</v>
      </c>
      <c r="D8" s="176">
        <f>IF(A8="","",VLOOKUP(A8,经纬!B:G,6,FALSE))</f>
        <v>86</v>
      </c>
      <c r="E8" s="44">
        <f>IF($T$4="",SUMIFS(ps!$N:$N,ps!$B:$B,喷水汇总表!$A8,ps!$H:$H,喷水汇总表!E$5,ps!$R:$R,喷水汇总表!$Y$4),SUMIFS(ps!$N:$N,ps!$B:$B,喷水汇总表!$A8,ps!$H:$H,喷水汇总表!E$5,ps!$I:$I,喷水汇总表!$T$4))</f>
        <v>0</v>
      </c>
      <c r="F8" s="44">
        <f>IF($T$4="",SUMIFS(ps!$N:$N,ps!$B:$B,喷水汇总表!$A8,ps!$H:$H,喷水汇总表!F$5,ps!$R:$R,喷水汇总表!$Y$4),SUMIFS(ps!$N:$N,ps!$B:$B,喷水汇总表!$A8,ps!$H:$H,喷水汇总表!F$5,ps!$I:$I,喷水汇总表!$T$4))</f>
        <v>0</v>
      </c>
      <c r="G8" s="44">
        <f>IF($T$4="",SUMIFS(ps!$N:$N,ps!$B:$B,喷水汇总表!$A8,ps!$H:$H,喷水汇总表!G$5,ps!$R:$R,喷水汇总表!$Y$4),SUMIFS(ps!$N:$N,ps!$B:$B,喷水汇总表!$A8,ps!$H:$H,喷水汇总表!G$5,ps!$I:$I,喷水汇总表!$T$4))</f>
        <v>9730</v>
      </c>
      <c r="H8" s="248">
        <f>IF($T$4="",SUMIFS(ps!$N:$N,ps!$B:$B,喷水汇总表!$A8,ps!$G:$G,喷水汇总表!H$5,ps!$R:$R,喷水汇总表!$Y$4),SUMIFS(ps!$N:$N,ps!$B:$B,喷水汇总表!$A8,ps!$G:$G,喷水汇总表!H$5,ps!$I:$I,喷水汇总表!$T$4))</f>
        <v>0</v>
      </c>
      <c r="I8" s="248">
        <f>IF($T$4="",SUMIFS(ps!$N:$N,ps!$B:$B,喷水汇总表!$A8,ps!$G:$G,喷水汇总表!I$5,ps!$R:$R,喷水汇总表!$Y$4),SUMIFS(ps!$N:$N,ps!$B:$B,喷水汇总表!$A8,ps!$G:$G,喷水汇总表!I$5,ps!$I:$I,喷水汇总表!$T$4))</f>
        <v>9730</v>
      </c>
      <c r="J8" s="248">
        <f>IF($T$4="",SUMIFS(ps!$N:$N,ps!$B:$B,喷水汇总表!$A8,ps!$G:$G,喷水汇总表!J$5,ps!$R:$R,喷水汇总表!$Y$4),SUMIFS(ps!$N:$N,ps!$B:$B,喷水汇总表!$A8,ps!$G:$G,喷水汇总表!J$5,ps!$I:$I,喷水汇总表!$T$4))</f>
        <v>0</v>
      </c>
      <c r="K8" s="248">
        <f>IF($T$4="",SUMIFS(ps!$N:$N,ps!$B:$B,喷水汇总表!$A8,ps!$G:$G,喷水汇总表!K$5,ps!$R:$R,喷水汇总表!$Y$4),SUMIFS(ps!$N:$N,ps!$B:$B,喷水汇总表!$A8,ps!$G:$G,喷水汇总表!K$5,ps!$I:$I,喷水汇总表!$T$4))</f>
        <v>0</v>
      </c>
      <c r="L8" s="248">
        <f>IF($T$4="",SUMIFS(ps!$N:$N,ps!$B:$B,喷水汇总表!$A8,ps!$G:$G,喷水汇总表!L$5,ps!$R:$R,喷水汇总表!$Y$4),SUMIFS(ps!$N:$N,ps!$B:$B,喷水汇总表!$A8,ps!$G:$G,喷水汇总表!L$5,ps!$I:$I,喷水汇总表!$T$4))</f>
        <v>0</v>
      </c>
      <c r="M8" s="248">
        <f>IF($T$4="",SUMIFS(ps!$N:$N,ps!$B:$B,喷水汇总表!$A8,ps!$G:$G,喷水汇总表!M$5,ps!$R:$R,喷水汇总表!$Y$4),SUMIFS(ps!$N:$N,ps!$B:$B,喷水汇总表!$A8,ps!$G:$G,喷水汇总表!M$5,ps!$I:$I,喷水汇总表!$T$4))</f>
        <v>0</v>
      </c>
      <c r="N8" s="248">
        <f>IF($T$4="",SUMIFS(ps!$N:$N,ps!$B:$B,喷水汇总表!$A8,ps!$G:$G,喷水汇总表!N$5,ps!$R:$R,喷水汇总表!$Y$4),SUMIFS(ps!$N:$N,ps!$B:$B,喷水汇总表!$A8,ps!$G:$G,喷水汇总表!N$5,ps!$I:$I,喷水汇总表!$T$4))</f>
        <v>0</v>
      </c>
      <c r="O8" s="248">
        <f>IF($T$4="",SUMIFS(ps!$L:$L,ps!$B:$B,喷水汇总表!$A8,ps!$J:$J,喷水汇总表!O$5,ps!$F:$F,喷水汇总表!$W$4,ps!$R:$R,喷水汇总表!$Y$4)+SUMIFS(ps!$M:$M,ps!$B:$B,喷水汇总表!$A8,ps!$K:$K,喷水汇总表!O$5,ps!$F:$F,喷水汇总表!$W$4,ps!$R:$R,喷水汇总表!$Y$4),SUMIFS(ps!$L:$L,ps!$B:$B,喷水汇总表!$A8,ps!$J:$J,喷水汇总表!O$5,ps!$F:$F,喷水汇总表!$W$4,ps!$I:$I,喷水汇总表!$T$4)+SUMIFS(ps!$M:$M,ps!$B:$B,喷水汇总表!$A8,ps!$K:$K,喷水汇总表!O$5,ps!$F:$F,喷水汇总表!$W$4,ps!$I:$I,喷水汇总表!$T$4))</f>
        <v>0</v>
      </c>
      <c r="P8" s="248">
        <f>IF($T$4="",SUMIFS(ps!$L:$L,ps!$B:$B,喷水汇总表!$A8,ps!$J:$J,喷水汇总表!P$5,ps!$F:$F,喷水汇总表!$W$4,ps!$R:$R,喷水汇总表!$Y$4)+SUMIFS(ps!$M:$M,ps!$B:$B,喷水汇总表!$A8,ps!$K:$K,喷水汇总表!P$5,ps!$F:$F,喷水汇总表!$W$4,ps!$R:$R,喷水汇总表!$Y$4),SUMIFS(ps!$L:$L,ps!$B:$B,喷水汇总表!$A8,ps!$J:$J,喷水汇总表!P$5,ps!$F:$F,喷水汇总表!$W$4,ps!$I:$I,喷水汇总表!$T$4)+SUMIFS(ps!$M:$M,ps!$B:$B,喷水汇总表!$A8,ps!$K:$K,喷水汇总表!P$5,ps!$F:$F,喷水汇总表!$W$4,ps!$I:$I,喷水汇总表!$T$4))</f>
        <v>0</v>
      </c>
      <c r="Q8" s="248">
        <f>IF($T$4="",SUMIFS(ps!$L:$L,ps!$B:$B,喷水汇总表!$A8,ps!$J:$J,喷水汇总表!Q$5,ps!$F:$F,喷水汇总表!$W$4,ps!$R:$R,喷水汇总表!$Y$4)+SUMIFS(ps!$M:$M,ps!$B:$B,喷水汇总表!$A8,ps!$K:$K,喷水汇总表!Q$5,ps!$F:$F,喷水汇总表!$W$4,ps!$R:$R,喷水汇总表!$Y$4),SUMIFS(ps!$L:$L,ps!$B:$B,喷水汇总表!$A8,ps!$J:$J,喷水汇总表!Q$5,ps!$F:$F,喷水汇总表!$W$4,ps!$I:$I,喷水汇总表!$T$4)+SUMIFS(ps!$M:$M,ps!$B:$B,喷水汇总表!$A8,ps!$K:$K,喷水汇总表!Q$5,ps!$F:$F,喷水汇总表!$W$4,ps!$I:$I,喷水汇总表!$T$4))</f>
        <v>0</v>
      </c>
      <c r="R8" s="248">
        <f>IF($T$4="",SUMIFS(ps!$L:$L,ps!$B:$B,喷水汇总表!$A8,ps!$J:$J,喷水汇总表!R$5,ps!$F:$F,喷水汇总表!$W$4,ps!$R:$R,喷水汇总表!$Y$4)+SUMIFS(ps!$M:$M,ps!$B:$B,喷水汇总表!$A8,ps!$K:$K,喷水汇总表!R$5,ps!$F:$F,喷水汇总表!$W$4,ps!$R:$R,喷水汇总表!$Y$4),SUMIFS(ps!$L:$L,ps!$B:$B,喷水汇总表!$A8,ps!$J:$J,喷水汇总表!R$5,ps!$F:$F,喷水汇总表!$W$4,ps!$I:$I,喷水汇总表!$T$4)+SUMIFS(ps!$M:$M,ps!$B:$B,喷水汇总表!$A8,ps!$K:$K,喷水汇总表!R$5,ps!$F:$F,喷水汇总表!$W$4,ps!$I:$I,喷水汇总表!$T$4))</f>
        <v>0</v>
      </c>
      <c r="S8" s="248">
        <f>IF($T$4="",SUMIFS(ps!$L:$L,ps!$B:$B,喷水汇总表!$A8,ps!$J:$J,喷水汇总表!S$5,ps!$F:$F,喷水汇总表!$W$4,ps!$R:$R,喷水汇总表!$Y$4)+SUMIFS(ps!$M:$M,ps!$B:$B,喷水汇总表!$A8,ps!$K:$K,喷水汇总表!S$5,ps!$F:$F,喷水汇总表!$W$4,ps!$R:$R,喷水汇总表!$Y$4),SUMIFS(ps!$L:$L,ps!$B:$B,喷水汇总表!$A8,ps!$J:$J,喷水汇总表!S$5,ps!$F:$F,喷水汇总表!$W$4,ps!$I:$I,喷水汇总表!$T$4)+SUMIFS(ps!$M:$M,ps!$B:$B,喷水汇总表!$A8,ps!$K:$K,喷水汇总表!S$5,ps!$F:$F,喷水汇总表!$W$4,ps!$I:$I,喷水汇总表!$T$4))</f>
        <v>0</v>
      </c>
      <c r="T8" s="248">
        <f>IF($T$4="",SUMIFS(ps!$L:$L,ps!$B:$B,喷水汇总表!$A8,ps!$J:$J,喷水汇总表!T$5,ps!$F:$F,喷水汇总表!$W$4,ps!$R:$R,喷水汇总表!$Y$4)+SUMIFS(ps!$M:$M,ps!$B:$B,喷水汇总表!$A8,ps!$K:$K,喷水汇总表!T$5,ps!$F:$F,喷水汇总表!$W$4,ps!$R:$R,喷水汇总表!$Y$4),SUMIFS(ps!$L:$L,ps!$B:$B,喷水汇总表!$A8,ps!$J:$J,喷水汇总表!T$5,ps!$F:$F,喷水汇总表!$W$4,ps!$I:$I,喷水汇总表!$T$4)+SUMIFS(ps!$M:$M,ps!$B:$B,喷水汇总表!$A8,ps!$K:$K,喷水汇总表!T$5,ps!$F:$F,喷水汇总表!$W$4,ps!$I:$I,喷水汇总表!$T$4))</f>
        <v>413.52500000000003</v>
      </c>
      <c r="U8" s="248">
        <f>IF($T$4="",SUMIFS(ps!$L:$L,ps!$B:$B,喷水汇总表!$A8,ps!$J:$J,喷水汇总表!U$5,ps!$F:$F,喷水汇总表!$W$4,ps!$R:$R,喷水汇总表!$Y$4)+SUMIFS(ps!$M:$M,ps!$B:$B,喷水汇总表!$A8,ps!$K:$K,喷水汇总表!U$5,ps!$F:$F,喷水汇总表!$W$4,ps!$R:$R,喷水汇总表!$Y$4),SUMIFS(ps!$L:$L,ps!$B:$B,喷水汇总表!$A8,ps!$J:$J,喷水汇总表!U$5,ps!$F:$F,喷水汇总表!$W$4,ps!$I:$I,喷水汇总表!$T$4)+SUMIFS(ps!$M:$M,ps!$B:$B,喷水汇总表!$A8,ps!$K:$K,喷水汇总表!U$5,ps!$F:$F,喷水汇总表!$W$4,ps!$I:$I,喷水汇总表!$T$4))</f>
        <v>0</v>
      </c>
      <c r="V8" s="248">
        <f>IF($T$4="",SUMIFS(ps!$L:$L,ps!$B:$B,喷水汇总表!$A8,ps!$J:$J,喷水汇总表!V$5,ps!$F:$F,喷水汇总表!$W$4,ps!$R:$R,喷水汇总表!$Y$4)+SUMIFS(ps!$M:$M,ps!$B:$B,喷水汇总表!$A8,ps!$K:$K,喷水汇总表!V$5,ps!$F:$F,喷水汇总表!$W$4,ps!$R:$R,喷水汇总表!$Y$4),SUMIFS(ps!$L:$L,ps!$B:$B,喷水汇总表!$A8,ps!$J:$J,喷水汇总表!V$5,ps!$F:$F,喷水汇总表!$W$4,ps!$I:$I,喷水汇总表!$T$4)+SUMIFS(ps!$M:$M,ps!$B:$B,喷水汇总表!$A8,ps!$K:$K,喷水汇总表!V$5,ps!$F:$F,喷水汇总表!$W$4,ps!$I:$I,喷水汇总表!$T$4))</f>
        <v>0</v>
      </c>
      <c r="W8" s="248">
        <f>IF($T$4="",SUMIFS(ps!$L:$L,ps!$B:$B,喷水汇总表!$A8,ps!$J:$J,喷水汇总表!W$5,ps!$F:$F,喷水汇总表!$W$4,ps!$R:$R,喷水汇总表!$Y$4)+SUMIFS(ps!$M:$M,ps!$B:$B,喷水汇总表!$A8,ps!$K:$K,喷水汇总表!W$5,ps!$F:$F,喷水汇总表!$W$4,ps!$R:$R,喷水汇总表!$Y$4),SUMIFS(ps!$L:$L,ps!$B:$B,喷水汇总表!$A8,ps!$J:$J,喷水汇总表!W$5,ps!$F:$F,喷水汇总表!$W$4,ps!$I:$I,喷水汇总表!$T$4)+SUMIFS(ps!$M:$M,ps!$B:$B,喷水汇总表!$A8,ps!$K:$K,喷水汇总表!W$5,ps!$F:$F,喷水汇总表!$W$4,ps!$I:$I,喷水汇总表!$T$4))</f>
        <v>712.83103674540678</v>
      </c>
      <c r="X8" s="15">
        <f t="shared" si="1"/>
        <v>44330</v>
      </c>
      <c r="Y8" s="18">
        <f>SUMIFS(ps!$N:$N,ps!$B:$B,喷水汇总表!$A8,ps!$I:$I,喷水汇总表!$X$4&amp;"/"&amp;喷水汇总表!$Y$4&amp;"/"&amp;喷水汇总表!Y$5)</f>
        <v>0</v>
      </c>
      <c r="Z8" s="18">
        <f>SUMIFS(ps!$N:$N,ps!$B:$B,喷水汇总表!$A8,ps!$I:$I,喷水汇总表!$X$4&amp;"/"&amp;喷水汇总表!$Y$4&amp;"/"&amp;喷水汇总表!Z$5)</f>
        <v>17000</v>
      </c>
      <c r="AA8" s="18">
        <f>SUMIFS(ps!$N:$N,ps!$B:$B,喷水汇总表!$A8,ps!$I:$I,喷水汇总表!$X$4&amp;"/"&amp;喷水汇总表!$Y$4&amp;"/"&amp;喷水汇总表!AA$5)</f>
        <v>0</v>
      </c>
      <c r="AB8" s="18">
        <f>SUMIFS(ps!$N:$N,ps!$B:$B,喷水汇总表!$A8,ps!$I:$I,喷水汇总表!$X$4&amp;"/"&amp;喷水汇总表!$Y$4&amp;"/"&amp;喷水汇总表!AB$5)</f>
        <v>8800</v>
      </c>
      <c r="AC8" s="18">
        <f>SUMIFS(ps!$N:$N,ps!$B:$B,喷水汇总表!$A8,ps!$I:$I,喷水汇总表!$X$4&amp;"/"&amp;喷水汇总表!$Y$4&amp;"/"&amp;喷水汇总表!AC$5)</f>
        <v>9730</v>
      </c>
      <c r="AD8" s="18">
        <f>SUMIFS(ps!$N:$N,ps!$B:$B,喷水汇总表!$A8,ps!$I:$I,喷水汇总表!$X$4&amp;"/"&amp;喷水汇总表!$Y$4&amp;"/"&amp;喷水汇总表!AD$5)</f>
        <v>8800</v>
      </c>
      <c r="AE8" s="18">
        <f>SUMIFS(ps!$N:$N,ps!$B:$B,喷水汇总表!$A8,ps!$I:$I,喷水汇总表!$X$4&amp;"/"&amp;喷水汇总表!$Y$4&amp;"/"&amp;喷水汇总表!AE$5)</f>
        <v>0</v>
      </c>
      <c r="AF8" s="18">
        <f>SUMIFS(ps!$N:$N,ps!$B:$B,喷水汇总表!$A8,ps!$I:$I,喷水汇总表!$X$4&amp;"/"&amp;喷水汇总表!$Y$4&amp;"/"&amp;喷水汇总表!AF$5)</f>
        <v>0</v>
      </c>
      <c r="AG8" s="18">
        <f>SUMIFS(ps!$N:$N,ps!$B:$B,喷水汇总表!$A8,ps!$I:$I,喷水汇总表!$X$4&amp;"/"&amp;喷水汇总表!$Y$4&amp;"/"&amp;喷水汇总表!AG$5)</f>
        <v>0</v>
      </c>
      <c r="AH8" s="18">
        <f>SUMIFS(ps!$N:$N,ps!$B:$B,喷水汇总表!$A8,ps!$I:$I,喷水汇总表!$X$4&amp;"/"&amp;喷水汇总表!$Y$4&amp;"/"&amp;喷水汇总表!AH$5)</f>
        <v>0</v>
      </c>
      <c r="AI8" s="18">
        <f>SUMIFS(ps!$N:$N,ps!$B:$B,喷水汇总表!$A8,ps!$I:$I,喷水汇总表!$X$4&amp;"/"&amp;喷水汇总表!$Y$4&amp;"/"&amp;喷水汇总表!AI$5)</f>
        <v>0</v>
      </c>
      <c r="AJ8" s="18">
        <f>SUMIFS(ps!$N:$N,ps!$B:$B,喷水汇总表!$A8,ps!$I:$I,喷水汇总表!$X$4&amp;"/"&amp;喷水汇总表!$Y$4&amp;"/"&amp;喷水汇总表!AJ$5)</f>
        <v>0</v>
      </c>
      <c r="AK8" s="18">
        <f>SUMIFS(ps!$N:$N,ps!$B:$B,喷水汇总表!$A8,ps!$I:$I,喷水汇总表!$X$4&amp;"/"&amp;喷水汇总表!$Y$4&amp;"/"&amp;喷水汇总表!AK$5)</f>
        <v>0</v>
      </c>
      <c r="AL8" s="18">
        <f>SUMIFS(ps!$N:$N,ps!$B:$B,喷水汇总表!$A8,ps!$I:$I,喷水汇总表!$X$4&amp;"/"&amp;喷水汇总表!$Y$4&amp;"/"&amp;喷水汇总表!AL$5)</f>
        <v>0</v>
      </c>
      <c r="AM8" s="18">
        <f>SUMIFS(ps!$N:$N,ps!$B:$B,喷水汇总表!$A8,ps!$I:$I,喷水汇总表!$X$4&amp;"/"&amp;喷水汇总表!$Y$4&amp;"/"&amp;喷水汇总表!AM$5)</f>
        <v>0</v>
      </c>
      <c r="AN8" s="18">
        <f>SUMIFS(ps!$N:$N,ps!$B:$B,喷水汇总表!$A8,ps!$I:$I,喷水汇总表!$X$4&amp;"/"&amp;喷水汇总表!$Y$4&amp;"/"&amp;喷水汇总表!AN$5)</f>
        <v>0</v>
      </c>
      <c r="AO8" s="18">
        <f>SUMIFS(ps!$N:$N,ps!$B:$B,喷水汇总表!$A8,ps!$I:$I,喷水汇总表!$X$4&amp;"/"&amp;喷水汇总表!$Y$4&amp;"/"&amp;喷水汇总表!AO$5)</f>
        <v>0</v>
      </c>
      <c r="AP8" s="18">
        <f>SUMIFS(ps!$N:$N,ps!$B:$B,喷水汇总表!$A8,ps!$I:$I,喷水汇总表!$X$4&amp;"/"&amp;喷水汇总表!$Y$4&amp;"/"&amp;喷水汇总表!AP$5)</f>
        <v>0</v>
      </c>
      <c r="AQ8" s="18">
        <f>SUMIFS(ps!$N:$N,ps!$B:$B,喷水汇总表!$A8,ps!$I:$I,喷水汇总表!$X$4&amp;"/"&amp;喷水汇总表!$Y$4&amp;"/"&amp;喷水汇总表!AQ$5)</f>
        <v>0</v>
      </c>
      <c r="AR8" s="18">
        <f>SUMIFS(ps!$N:$N,ps!$B:$B,喷水汇总表!$A8,ps!$I:$I,喷水汇总表!$X$4&amp;"/"&amp;喷水汇总表!$Y$4&amp;"/"&amp;喷水汇总表!AR$5)</f>
        <v>0</v>
      </c>
      <c r="AS8" s="18">
        <f>SUMIFS(ps!$N:$N,ps!$B:$B,喷水汇总表!$A8,ps!$I:$I,喷水汇总表!$X$4&amp;"/"&amp;喷水汇总表!$Y$4&amp;"/"&amp;喷水汇总表!AS$5)</f>
        <v>0</v>
      </c>
      <c r="AT8" s="18">
        <f>SUMIFS(ps!$N:$N,ps!$B:$B,喷水汇总表!$A8,ps!$I:$I,喷水汇总表!$X$4&amp;"/"&amp;喷水汇总表!$Y$4&amp;"/"&amp;喷水汇总表!AT$5)</f>
        <v>0</v>
      </c>
      <c r="AU8" s="18">
        <f>SUMIFS(ps!$N:$N,ps!$B:$B,喷水汇总表!$A8,ps!$I:$I,喷水汇总表!$X$4&amp;"/"&amp;喷水汇总表!$Y$4&amp;"/"&amp;喷水汇总表!AU$5)</f>
        <v>0</v>
      </c>
      <c r="AV8" s="18">
        <f>SUMIFS(ps!$N:$N,ps!$B:$B,喷水汇总表!$A8,ps!$I:$I,喷水汇总表!$X$4&amp;"/"&amp;喷水汇总表!$Y$4&amp;"/"&amp;喷水汇总表!AV$5)</f>
        <v>0</v>
      </c>
      <c r="AW8" s="18">
        <f>SUMIFS(ps!$N:$N,ps!$B:$B,喷水汇总表!$A8,ps!$I:$I,喷水汇总表!$X$4&amp;"/"&amp;喷水汇总表!$Y$4&amp;"/"&amp;喷水汇总表!AW$5)</f>
        <v>0</v>
      </c>
      <c r="AX8" s="18">
        <f>SUMIFS(ps!$N:$N,ps!$B:$B,喷水汇总表!$A8,ps!$I:$I,喷水汇总表!$X$4&amp;"/"&amp;喷水汇总表!$Y$4&amp;"/"&amp;喷水汇总表!AX$5)</f>
        <v>0</v>
      </c>
      <c r="AY8" s="18">
        <f>SUMIFS(ps!$N:$N,ps!$B:$B,喷水汇总表!$A8,ps!$I:$I,喷水汇总表!$X$4&amp;"/"&amp;喷水汇总表!$Y$4&amp;"/"&amp;喷水汇总表!AY$5)</f>
        <v>0</v>
      </c>
      <c r="AZ8" s="18">
        <f>SUMIFS(ps!$N:$N,ps!$B:$B,喷水汇总表!$A8,ps!$I:$I,喷水汇总表!$X$4&amp;"/"&amp;喷水汇总表!$Y$4&amp;"/"&amp;喷水汇总表!AZ$5)</f>
        <v>0</v>
      </c>
      <c r="BA8" s="18">
        <f>SUMIFS(ps!$N:$N,ps!$B:$B,喷水汇总表!$A8,ps!$I:$I,喷水汇总表!$X$4&amp;"/"&amp;喷水汇总表!$Y$4&amp;"/"&amp;喷水汇总表!BA$5)</f>
        <v>0</v>
      </c>
      <c r="BB8" s="18">
        <f>SUMIFS(ps!$N:$N,ps!$B:$B,喷水汇总表!$A8,ps!$I:$I,喷水汇总表!$X$4&amp;"/"&amp;喷水汇总表!$Y$4&amp;"/"&amp;喷水汇总表!BB$5)</f>
        <v>0</v>
      </c>
      <c r="BC8" s="18">
        <f>SUMIFS(ps!$N:$N,ps!$B:$B,喷水汇总表!$A8,ps!$I:$I,喷水汇总表!$X$4&amp;"/"&amp;喷水汇总表!$Y$4&amp;"/"&amp;喷水汇总表!BC$5)</f>
        <v>0</v>
      </c>
    </row>
    <row r="9" spans="1:55" ht="18" customHeight="1">
      <c r="A9" s="96" t="s">
        <v>1119</v>
      </c>
      <c r="B9" s="176" t="str">
        <f>IF(A9="","",VLOOKUP(A9,经纬!B:C,2,FALSE))</f>
        <v>15*15</v>
      </c>
      <c r="C9" s="176" t="str">
        <f t="shared" si="0"/>
        <v>197</v>
      </c>
      <c r="D9" s="176">
        <f>IF(A9="","",VLOOKUP(A9,经纬!B:G,6,FALSE))</f>
        <v>13</v>
      </c>
      <c r="E9" s="44">
        <f>IF($T$4="",SUMIFS(ps!$N:$N,ps!$B:$B,喷水汇总表!$A9,ps!$H:$H,喷水汇总表!E$5,ps!$R:$R,喷水汇总表!$Y$4),SUMIFS(ps!$N:$N,ps!$B:$B,喷水汇总表!$A9,ps!$H:$H,喷水汇总表!E$5,ps!$I:$I,喷水汇总表!$T$4))</f>
        <v>0</v>
      </c>
      <c r="F9" s="44">
        <f>IF($T$4="",SUMIFS(ps!$N:$N,ps!$B:$B,喷水汇总表!$A9,ps!$H:$H,喷水汇总表!F$5,ps!$R:$R,喷水汇总表!$Y$4),SUMIFS(ps!$N:$N,ps!$B:$B,喷水汇总表!$A9,ps!$H:$H,喷水汇总表!F$5,ps!$I:$I,喷水汇总表!$T$4))</f>
        <v>0</v>
      </c>
      <c r="G9" s="44">
        <f>IF($T$4="",SUMIFS(ps!$N:$N,ps!$B:$B,喷水汇总表!$A9,ps!$H:$H,喷水汇总表!G$5,ps!$R:$R,喷水汇总表!$Y$4),SUMIFS(ps!$N:$N,ps!$B:$B,喷水汇总表!$A9,ps!$H:$H,喷水汇总表!G$5,ps!$I:$I,喷水汇总表!$T$4))</f>
        <v>0</v>
      </c>
      <c r="H9" s="248">
        <f>IF($T$4="",SUMIFS(ps!$N:$N,ps!$B:$B,喷水汇总表!$A9,ps!$G:$G,喷水汇总表!H$5,ps!$R:$R,喷水汇总表!$Y$4),SUMIFS(ps!$N:$N,ps!$B:$B,喷水汇总表!$A9,ps!$G:$G,喷水汇总表!H$5,ps!$I:$I,喷水汇总表!$T$4))</f>
        <v>0</v>
      </c>
      <c r="I9" s="248">
        <f>IF($T$4="",SUMIFS(ps!$N:$N,ps!$B:$B,喷水汇总表!$A9,ps!$G:$G,喷水汇总表!I$5,ps!$R:$R,喷水汇总表!$Y$4),SUMIFS(ps!$N:$N,ps!$B:$B,喷水汇总表!$A9,ps!$G:$G,喷水汇总表!I$5,ps!$I:$I,喷水汇总表!$T$4))</f>
        <v>0</v>
      </c>
      <c r="J9" s="248">
        <f>IF($T$4="",SUMIFS(ps!$N:$N,ps!$B:$B,喷水汇总表!$A9,ps!$G:$G,喷水汇总表!J$5,ps!$R:$R,喷水汇总表!$Y$4),SUMIFS(ps!$N:$N,ps!$B:$B,喷水汇总表!$A9,ps!$G:$G,喷水汇总表!J$5,ps!$I:$I,喷水汇总表!$T$4))</f>
        <v>0</v>
      </c>
      <c r="K9" s="248">
        <f>IF($T$4="",SUMIFS(ps!$N:$N,ps!$B:$B,喷水汇总表!$A9,ps!$G:$G,喷水汇总表!K$5,ps!$R:$R,喷水汇总表!$Y$4),SUMIFS(ps!$N:$N,ps!$B:$B,喷水汇总表!$A9,ps!$G:$G,喷水汇总表!K$5,ps!$I:$I,喷水汇总表!$T$4))</f>
        <v>0</v>
      </c>
      <c r="L9" s="248">
        <f>IF($T$4="",SUMIFS(ps!$N:$N,ps!$B:$B,喷水汇总表!$A9,ps!$G:$G,喷水汇总表!L$5,ps!$R:$R,喷水汇总表!$Y$4),SUMIFS(ps!$N:$N,ps!$B:$B,喷水汇总表!$A9,ps!$G:$G,喷水汇总表!L$5,ps!$I:$I,喷水汇总表!$T$4))</f>
        <v>0</v>
      </c>
      <c r="M9" s="248">
        <f>IF($T$4="",SUMIFS(ps!$N:$N,ps!$B:$B,喷水汇总表!$A9,ps!$G:$G,喷水汇总表!M$5,ps!$R:$R,喷水汇总表!$Y$4),SUMIFS(ps!$N:$N,ps!$B:$B,喷水汇总表!$A9,ps!$G:$G,喷水汇总表!M$5,ps!$I:$I,喷水汇总表!$T$4))</f>
        <v>0</v>
      </c>
      <c r="N9" s="248">
        <f>IF($T$4="",SUMIFS(ps!$N:$N,ps!$B:$B,喷水汇总表!$A9,ps!$G:$G,喷水汇总表!N$5,ps!$R:$R,喷水汇总表!$Y$4),SUMIFS(ps!$N:$N,ps!$B:$B,喷水汇总表!$A9,ps!$G:$G,喷水汇总表!N$5,ps!$I:$I,喷水汇总表!$T$4))</f>
        <v>0</v>
      </c>
      <c r="O9" s="248">
        <f>IF($T$4="",SUMIFS(ps!$L:$L,ps!$B:$B,喷水汇总表!$A9,ps!$J:$J,喷水汇总表!O$5,ps!$F:$F,喷水汇总表!$W$4,ps!$R:$R,喷水汇总表!$Y$4)+SUMIFS(ps!$M:$M,ps!$B:$B,喷水汇总表!$A9,ps!$K:$K,喷水汇总表!O$5,ps!$F:$F,喷水汇总表!$W$4,ps!$R:$R,喷水汇总表!$Y$4),SUMIFS(ps!$L:$L,ps!$B:$B,喷水汇总表!$A9,ps!$J:$J,喷水汇总表!O$5,ps!$F:$F,喷水汇总表!$W$4,ps!$I:$I,喷水汇总表!$T$4)+SUMIFS(ps!$M:$M,ps!$B:$B,喷水汇总表!$A9,ps!$K:$K,喷水汇总表!O$5,ps!$F:$F,喷水汇总表!$W$4,ps!$I:$I,喷水汇总表!$T$4))</f>
        <v>0</v>
      </c>
      <c r="P9" s="248">
        <f>IF($T$4="",SUMIFS(ps!$L:$L,ps!$B:$B,喷水汇总表!$A9,ps!$J:$J,喷水汇总表!P$5,ps!$F:$F,喷水汇总表!$W$4,ps!$R:$R,喷水汇总表!$Y$4)+SUMIFS(ps!$M:$M,ps!$B:$B,喷水汇总表!$A9,ps!$K:$K,喷水汇总表!P$5,ps!$F:$F,喷水汇总表!$W$4,ps!$R:$R,喷水汇总表!$Y$4),SUMIFS(ps!$L:$L,ps!$B:$B,喷水汇总表!$A9,ps!$J:$J,喷水汇总表!P$5,ps!$F:$F,喷水汇总表!$W$4,ps!$I:$I,喷水汇总表!$T$4)+SUMIFS(ps!$M:$M,ps!$B:$B,喷水汇总表!$A9,ps!$K:$K,喷水汇总表!P$5,ps!$F:$F,喷水汇总表!$W$4,ps!$I:$I,喷水汇总表!$T$4))</f>
        <v>0</v>
      </c>
      <c r="Q9" s="248">
        <f>IF($T$4="",SUMIFS(ps!$L:$L,ps!$B:$B,喷水汇总表!$A9,ps!$J:$J,喷水汇总表!Q$5,ps!$F:$F,喷水汇总表!$W$4,ps!$R:$R,喷水汇总表!$Y$4)+SUMIFS(ps!$M:$M,ps!$B:$B,喷水汇总表!$A9,ps!$K:$K,喷水汇总表!Q$5,ps!$F:$F,喷水汇总表!$W$4,ps!$R:$R,喷水汇总表!$Y$4),SUMIFS(ps!$L:$L,ps!$B:$B,喷水汇总表!$A9,ps!$J:$J,喷水汇总表!Q$5,ps!$F:$F,喷水汇总表!$W$4,ps!$I:$I,喷水汇总表!$T$4)+SUMIFS(ps!$M:$M,ps!$B:$B,喷水汇总表!$A9,ps!$K:$K,喷水汇总表!Q$5,ps!$F:$F,喷水汇总表!$W$4,ps!$I:$I,喷水汇总表!$T$4))</f>
        <v>0</v>
      </c>
      <c r="R9" s="248">
        <f>IF($T$4="",SUMIFS(ps!$L:$L,ps!$B:$B,喷水汇总表!$A9,ps!$J:$J,喷水汇总表!R$5,ps!$F:$F,喷水汇总表!$W$4,ps!$R:$R,喷水汇总表!$Y$4)+SUMIFS(ps!$M:$M,ps!$B:$B,喷水汇总表!$A9,ps!$K:$K,喷水汇总表!R$5,ps!$F:$F,喷水汇总表!$W$4,ps!$R:$R,喷水汇总表!$Y$4),SUMIFS(ps!$L:$L,ps!$B:$B,喷水汇总表!$A9,ps!$J:$J,喷水汇总表!R$5,ps!$F:$F,喷水汇总表!$W$4,ps!$I:$I,喷水汇总表!$T$4)+SUMIFS(ps!$M:$M,ps!$B:$B,喷水汇总表!$A9,ps!$K:$K,喷水汇总表!R$5,ps!$F:$F,喷水汇总表!$W$4,ps!$I:$I,喷水汇总表!$T$4))</f>
        <v>0</v>
      </c>
      <c r="S9" s="248">
        <f>IF($T$4="",SUMIFS(ps!$L:$L,ps!$B:$B,喷水汇总表!$A9,ps!$J:$J,喷水汇总表!S$5,ps!$F:$F,喷水汇总表!$W$4,ps!$R:$R,喷水汇总表!$Y$4)+SUMIFS(ps!$M:$M,ps!$B:$B,喷水汇总表!$A9,ps!$K:$K,喷水汇总表!S$5,ps!$F:$F,喷水汇总表!$W$4,ps!$R:$R,喷水汇总表!$Y$4),SUMIFS(ps!$L:$L,ps!$B:$B,喷水汇总表!$A9,ps!$J:$J,喷水汇总表!S$5,ps!$F:$F,喷水汇总表!$W$4,ps!$I:$I,喷水汇总表!$T$4)+SUMIFS(ps!$M:$M,ps!$B:$B,喷水汇总表!$A9,ps!$K:$K,喷水汇总表!S$5,ps!$F:$F,喷水汇总表!$W$4,ps!$I:$I,喷水汇总表!$T$4))</f>
        <v>0</v>
      </c>
      <c r="T9" s="248">
        <f>IF($T$4="",SUMIFS(ps!$L:$L,ps!$B:$B,喷水汇总表!$A9,ps!$J:$J,喷水汇总表!T$5,ps!$F:$F,喷水汇总表!$W$4,ps!$R:$R,喷水汇总表!$Y$4)+SUMIFS(ps!$M:$M,ps!$B:$B,喷水汇总表!$A9,ps!$K:$K,喷水汇总表!T$5,ps!$F:$F,喷水汇总表!$W$4,ps!$R:$R,喷水汇总表!$Y$4),SUMIFS(ps!$L:$L,ps!$B:$B,喷水汇总表!$A9,ps!$J:$J,喷水汇总表!T$5,ps!$F:$F,喷水汇总表!$W$4,ps!$I:$I,喷水汇总表!$T$4)+SUMIFS(ps!$M:$M,ps!$B:$B,喷水汇总表!$A9,ps!$K:$K,喷水汇总表!T$5,ps!$F:$F,喷水汇总表!$W$4,ps!$I:$I,喷水汇总表!$T$4))</f>
        <v>0</v>
      </c>
      <c r="U9" s="248">
        <f>IF($T$4="",SUMIFS(ps!$L:$L,ps!$B:$B,喷水汇总表!$A9,ps!$J:$J,喷水汇总表!U$5,ps!$F:$F,喷水汇总表!$W$4,ps!$R:$R,喷水汇总表!$Y$4)+SUMIFS(ps!$M:$M,ps!$B:$B,喷水汇总表!$A9,ps!$K:$K,喷水汇总表!U$5,ps!$F:$F,喷水汇总表!$W$4,ps!$R:$R,喷水汇总表!$Y$4),SUMIFS(ps!$L:$L,ps!$B:$B,喷水汇总表!$A9,ps!$J:$J,喷水汇总表!U$5,ps!$F:$F,喷水汇总表!$W$4,ps!$I:$I,喷水汇总表!$T$4)+SUMIFS(ps!$M:$M,ps!$B:$B,喷水汇总表!$A9,ps!$K:$K,喷水汇总表!U$5,ps!$F:$F,喷水汇总表!$W$4,ps!$I:$I,喷水汇总表!$T$4))</f>
        <v>0</v>
      </c>
      <c r="V9" s="248">
        <f>IF($T$4="",SUMIFS(ps!$L:$L,ps!$B:$B,喷水汇总表!$A9,ps!$J:$J,喷水汇总表!V$5,ps!$F:$F,喷水汇总表!$W$4,ps!$R:$R,喷水汇总表!$Y$4)+SUMIFS(ps!$M:$M,ps!$B:$B,喷水汇总表!$A9,ps!$K:$K,喷水汇总表!V$5,ps!$F:$F,喷水汇总表!$W$4,ps!$R:$R,喷水汇总表!$Y$4),SUMIFS(ps!$L:$L,ps!$B:$B,喷水汇总表!$A9,ps!$J:$J,喷水汇总表!V$5,ps!$F:$F,喷水汇总表!$W$4,ps!$I:$I,喷水汇总表!$T$4)+SUMIFS(ps!$M:$M,ps!$B:$B,喷水汇总表!$A9,ps!$K:$K,喷水汇总表!V$5,ps!$F:$F,喷水汇总表!$W$4,ps!$I:$I,喷水汇总表!$T$4))</f>
        <v>0</v>
      </c>
      <c r="W9" s="248">
        <f>IF($T$4="",SUMIFS(ps!$L:$L,ps!$B:$B,喷水汇总表!$A9,ps!$J:$J,喷水汇总表!W$5,ps!$F:$F,喷水汇总表!$W$4,ps!$R:$R,喷水汇总表!$Y$4)+SUMIFS(ps!$M:$M,ps!$B:$B,喷水汇总表!$A9,ps!$K:$K,喷水汇总表!W$5,ps!$F:$F,喷水汇总表!$W$4,ps!$R:$R,喷水汇总表!$Y$4),SUMIFS(ps!$L:$L,ps!$B:$B,喷水汇总表!$A9,ps!$J:$J,喷水汇总表!W$5,ps!$F:$F,喷水汇总表!$W$4,ps!$I:$I,喷水汇总表!$T$4)+SUMIFS(ps!$M:$M,ps!$B:$B,喷水汇总表!$A9,ps!$K:$K,喷水汇总表!W$5,ps!$F:$F,喷水汇总表!$W$4,ps!$I:$I,喷水汇总表!$T$4))</f>
        <v>0</v>
      </c>
      <c r="X9" s="15">
        <f t="shared" si="1"/>
        <v>0</v>
      </c>
      <c r="Y9" s="18">
        <f>SUMIFS(ps!$N:$N,ps!$B:$B,喷水汇总表!$A9,ps!$I:$I,喷水汇总表!$X$4&amp;"/"&amp;喷水汇总表!$Y$4&amp;"/"&amp;喷水汇总表!Y$5)</f>
        <v>0</v>
      </c>
      <c r="Z9" s="18">
        <f>SUMIFS(ps!$N:$N,ps!$B:$B,喷水汇总表!$A9,ps!$I:$I,喷水汇总表!$X$4&amp;"/"&amp;喷水汇总表!$Y$4&amp;"/"&amp;喷水汇总表!Z$5)</f>
        <v>0</v>
      </c>
      <c r="AA9" s="18">
        <f>SUMIFS(ps!$N:$N,ps!$B:$B,喷水汇总表!$A9,ps!$I:$I,喷水汇总表!$X$4&amp;"/"&amp;喷水汇总表!$Y$4&amp;"/"&amp;喷水汇总表!AA$5)</f>
        <v>0</v>
      </c>
      <c r="AB9" s="18">
        <f>SUMIFS(ps!$N:$N,ps!$B:$B,喷水汇总表!$A9,ps!$I:$I,喷水汇总表!$X$4&amp;"/"&amp;喷水汇总表!$Y$4&amp;"/"&amp;喷水汇总表!AB$5)</f>
        <v>0</v>
      </c>
      <c r="AC9" s="18">
        <f>SUMIFS(ps!$N:$N,ps!$B:$B,喷水汇总表!$A9,ps!$I:$I,喷水汇总表!$X$4&amp;"/"&amp;喷水汇总表!$Y$4&amp;"/"&amp;喷水汇总表!AC$5)</f>
        <v>0</v>
      </c>
      <c r="AD9" s="18">
        <f>SUMIFS(ps!$N:$N,ps!$B:$B,喷水汇总表!$A9,ps!$I:$I,喷水汇总表!$X$4&amp;"/"&amp;喷水汇总表!$Y$4&amp;"/"&amp;喷水汇总表!AD$5)</f>
        <v>0</v>
      </c>
      <c r="AE9" s="18">
        <f>SUMIFS(ps!$N:$N,ps!$B:$B,喷水汇总表!$A9,ps!$I:$I,喷水汇总表!$X$4&amp;"/"&amp;喷水汇总表!$Y$4&amp;"/"&amp;喷水汇总表!AE$5)</f>
        <v>0</v>
      </c>
      <c r="AF9" s="18">
        <f>SUMIFS(ps!$N:$N,ps!$B:$B,喷水汇总表!$A9,ps!$I:$I,喷水汇总表!$X$4&amp;"/"&amp;喷水汇总表!$Y$4&amp;"/"&amp;喷水汇总表!AF$5)</f>
        <v>0</v>
      </c>
      <c r="AG9" s="18">
        <f>SUMIFS(ps!$N:$N,ps!$B:$B,喷水汇总表!$A9,ps!$I:$I,喷水汇总表!$X$4&amp;"/"&amp;喷水汇总表!$Y$4&amp;"/"&amp;喷水汇总表!AG$5)</f>
        <v>0</v>
      </c>
      <c r="AH9" s="18">
        <f>SUMIFS(ps!$N:$N,ps!$B:$B,喷水汇总表!$A9,ps!$I:$I,喷水汇总表!$X$4&amp;"/"&amp;喷水汇总表!$Y$4&amp;"/"&amp;喷水汇总表!AH$5)</f>
        <v>0</v>
      </c>
      <c r="AI9" s="18">
        <f>SUMIFS(ps!$N:$N,ps!$B:$B,喷水汇总表!$A9,ps!$I:$I,喷水汇总表!$X$4&amp;"/"&amp;喷水汇总表!$Y$4&amp;"/"&amp;喷水汇总表!AI$5)</f>
        <v>0</v>
      </c>
      <c r="AJ9" s="18">
        <f>SUMIFS(ps!$N:$N,ps!$B:$B,喷水汇总表!$A9,ps!$I:$I,喷水汇总表!$X$4&amp;"/"&amp;喷水汇总表!$Y$4&amp;"/"&amp;喷水汇总表!AJ$5)</f>
        <v>0</v>
      </c>
      <c r="AK9" s="18">
        <f>SUMIFS(ps!$N:$N,ps!$B:$B,喷水汇总表!$A9,ps!$I:$I,喷水汇总表!$X$4&amp;"/"&amp;喷水汇总表!$Y$4&amp;"/"&amp;喷水汇总表!AK$5)</f>
        <v>0</v>
      </c>
      <c r="AL9" s="18">
        <f>SUMIFS(ps!$N:$N,ps!$B:$B,喷水汇总表!$A9,ps!$I:$I,喷水汇总表!$X$4&amp;"/"&amp;喷水汇总表!$Y$4&amp;"/"&amp;喷水汇总表!AL$5)</f>
        <v>0</v>
      </c>
      <c r="AM9" s="18">
        <f>SUMIFS(ps!$N:$N,ps!$B:$B,喷水汇总表!$A9,ps!$I:$I,喷水汇总表!$X$4&amp;"/"&amp;喷水汇总表!$Y$4&amp;"/"&amp;喷水汇总表!AM$5)</f>
        <v>0</v>
      </c>
      <c r="AN9" s="18">
        <f>SUMIFS(ps!$N:$N,ps!$B:$B,喷水汇总表!$A9,ps!$I:$I,喷水汇总表!$X$4&amp;"/"&amp;喷水汇总表!$Y$4&amp;"/"&amp;喷水汇总表!AN$5)</f>
        <v>0</v>
      </c>
      <c r="AO9" s="18">
        <f>SUMIFS(ps!$N:$N,ps!$B:$B,喷水汇总表!$A9,ps!$I:$I,喷水汇总表!$X$4&amp;"/"&amp;喷水汇总表!$Y$4&amp;"/"&amp;喷水汇总表!AO$5)</f>
        <v>0</v>
      </c>
      <c r="AP9" s="18">
        <f>SUMIFS(ps!$N:$N,ps!$B:$B,喷水汇总表!$A9,ps!$I:$I,喷水汇总表!$X$4&amp;"/"&amp;喷水汇总表!$Y$4&amp;"/"&amp;喷水汇总表!AP$5)</f>
        <v>0</v>
      </c>
      <c r="AQ9" s="18">
        <f>SUMIFS(ps!$N:$N,ps!$B:$B,喷水汇总表!$A9,ps!$I:$I,喷水汇总表!$X$4&amp;"/"&amp;喷水汇总表!$Y$4&amp;"/"&amp;喷水汇总表!AQ$5)</f>
        <v>0</v>
      </c>
      <c r="AR9" s="18">
        <f>SUMIFS(ps!$N:$N,ps!$B:$B,喷水汇总表!$A9,ps!$I:$I,喷水汇总表!$X$4&amp;"/"&amp;喷水汇总表!$Y$4&amp;"/"&amp;喷水汇总表!AR$5)</f>
        <v>0</v>
      </c>
      <c r="AS9" s="18">
        <f>SUMIFS(ps!$N:$N,ps!$B:$B,喷水汇总表!$A9,ps!$I:$I,喷水汇总表!$X$4&amp;"/"&amp;喷水汇总表!$Y$4&amp;"/"&amp;喷水汇总表!AS$5)</f>
        <v>0</v>
      </c>
      <c r="AT9" s="18">
        <f>SUMIFS(ps!$N:$N,ps!$B:$B,喷水汇总表!$A9,ps!$I:$I,喷水汇总表!$X$4&amp;"/"&amp;喷水汇总表!$Y$4&amp;"/"&amp;喷水汇总表!AT$5)</f>
        <v>0</v>
      </c>
      <c r="AU9" s="18">
        <f>SUMIFS(ps!$N:$N,ps!$B:$B,喷水汇总表!$A9,ps!$I:$I,喷水汇总表!$X$4&amp;"/"&amp;喷水汇总表!$Y$4&amp;"/"&amp;喷水汇总表!AU$5)</f>
        <v>0</v>
      </c>
      <c r="AV9" s="18">
        <f>SUMIFS(ps!$N:$N,ps!$B:$B,喷水汇总表!$A9,ps!$I:$I,喷水汇总表!$X$4&amp;"/"&amp;喷水汇总表!$Y$4&amp;"/"&amp;喷水汇总表!AV$5)</f>
        <v>0</v>
      </c>
      <c r="AW9" s="18">
        <f>SUMIFS(ps!$N:$N,ps!$B:$B,喷水汇总表!$A9,ps!$I:$I,喷水汇总表!$X$4&amp;"/"&amp;喷水汇总表!$Y$4&amp;"/"&amp;喷水汇总表!AW$5)</f>
        <v>0</v>
      </c>
      <c r="AX9" s="18">
        <f>SUMIFS(ps!$N:$N,ps!$B:$B,喷水汇总表!$A9,ps!$I:$I,喷水汇总表!$X$4&amp;"/"&amp;喷水汇总表!$Y$4&amp;"/"&amp;喷水汇总表!AX$5)</f>
        <v>0</v>
      </c>
      <c r="AY9" s="18">
        <f>SUMIFS(ps!$N:$N,ps!$B:$B,喷水汇总表!$A9,ps!$I:$I,喷水汇总表!$X$4&amp;"/"&amp;喷水汇总表!$Y$4&amp;"/"&amp;喷水汇总表!AY$5)</f>
        <v>0</v>
      </c>
      <c r="AZ9" s="18">
        <f>SUMIFS(ps!$N:$N,ps!$B:$B,喷水汇总表!$A9,ps!$I:$I,喷水汇总表!$X$4&amp;"/"&amp;喷水汇总表!$Y$4&amp;"/"&amp;喷水汇总表!AZ$5)</f>
        <v>0</v>
      </c>
      <c r="BA9" s="18">
        <f>SUMIFS(ps!$N:$N,ps!$B:$B,喷水汇总表!$A9,ps!$I:$I,喷水汇总表!$X$4&amp;"/"&amp;喷水汇总表!$Y$4&amp;"/"&amp;喷水汇总表!BA$5)</f>
        <v>0</v>
      </c>
      <c r="BB9" s="18">
        <f>SUMIFS(ps!$N:$N,ps!$B:$B,喷水汇总表!$A9,ps!$I:$I,喷水汇总表!$X$4&amp;"/"&amp;喷水汇总表!$Y$4&amp;"/"&amp;喷水汇总表!BB$5)</f>
        <v>0</v>
      </c>
      <c r="BC9" s="18">
        <f>SUMIFS(ps!$N:$N,ps!$B:$B,喷水汇总表!$A9,ps!$I:$I,喷水汇总表!$X$4&amp;"/"&amp;喷水汇总表!$Y$4&amp;"/"&amp;喷水汇总表!BC$5)</f>
        <v>0</v>
      </c>
    </row>
    <row r="10" spans="1:55" ht="18" customHeight="1">
      <c r="A10" s="96" t="s">
        <v>1095</v>
      </c>
      <c r="B10" s="176" t="str">
        <f>IF(A10="","",VLOOKUP(A10,经纬!B:C,2,FALSE))</f>
        <v>20*20</v>
      </c>
      <c r="C10" s="176" t="str">
        <f t="shared" si="0"/>
        <v>197</v>
      </c>
      <c r="D10" s="176">
        <f>IF(A10="","",VLOOKUP(A10,经纬!B:G,6,FALSE))</f>
        <v>17</v>
      </c>
      <c r="E10" s="44">
        <f>IF($T$4="",SUMIFS(ps!$N:$N,ps!$B:$B,喷水汇总表!$A10,ps!$H:$H,喷水汇总表!E$5,ps!$R:$R,喷水汇总表!$Y$4),SUMIFS(ps!$N:$N,ps!$B:$B,喷水汇总表!$A10,ps!$H:$H,喷水汇总表!E$5,ps!$I:$I,喷水汇总表!$T$4))</f>
        <v>36212</v>
      </c>
      <c r="F10" s="44">
        <f>IF($T$4="",SUMIFS(ps!$N:$N,ps!$B:$B,喷水汇总表!$A10,ps!$H:$H,喷水汇总表!F$5,ps!$R:$R,喷水汇总表!$Y$4),SUMIFS(ps!$N:$N,ps!$B:$B,喷水汇总表!$A10,ps!$H:$H,喷水汇总表!F$5,ps!$I:$I,喷水汇总表!$T$4))</f>
        <v>0</v>
      </c>
      <c r="G10" s="44">
        <f>IF($T$4="",SUMIFS(ps!$N:$N,ps!$B:$B,喷水汇总表!$A10,ps!$H:$H,喷水汇总表!G$5,ps!$R:$R,喷水汇总表!$Y$4),SUMIFS(ps!$N:$N,ps!$B:$B,喷水汇总表!$A10,ps!$H:$H,喷水汇总表!G$5,ps!$I:$I,喷水汇总表!$T$4))</f>
        <v>0</v>
      </c>
      <c r="H10" s="248">
        <f>IF($T$4="",SUMIFS(ps!$N:$N,ps!$B:$B,喷水汇总表!$A10,ps!$G:$G,喷水汇总表!H$5,ps!$R:$R,喷水汇总表!$Y$4),SUMIFS(ps!$N:$N,ps!$B:$B,喷水汇总表!$A10,ps!$G:$G,喷水汇总表!H$5,ps!$I:$I,喷水汇总表!$T$4))</f>
        <v>28693</v>
      </c>
      <c r="I10" s="248">
        <f>IF($T$4="",SUMIFS(ps!$N:$N,ps!$B:$B,喷水汇总表!$A10,ps!$G:$G,喷水汇总表!I$5,ps!$R:$R,喷水汇总表!$Y$4),SUMIFS(ps!$N:$N,ps!$B:$B,喷水汇总表!$A10,ps!$G:$G,喷水汇总表!I$5,ps!$I:$I,喷水汇总表!$T$4))</f>
        <v>0</v>
      </c>
      <c r="J10" s="248">
        <f>IF($T$4="",SUMIFS(ps!$N:$N,ps!$B:$B,喷水汇总表!$A10,ps!$G:$G,喷水汇总表!J$5,ps!$R:$R,喷水汇总表!$Y$4),SUMIFS(ps!$N:$N,ps!$B:$B,喷水汇总表!$A10,ps!$G:$G,喷水汇总表!J$5,ps!$I:$I,喷水汇总表!$T$4))</f>
        <v>0</v>
      </c>
      <c r="K10" s="248">
        <f>IF($T$4="",SUMIFS(ps!$N:$N,ps!$B:$B,喷水汇总表!$A10,ps!$G:$G,喷水汇总表!K$5,ps!$R:$R,喷水汇总表!$Y$4),SUMIFS(ps!$N:$N,ps!$B:$B,喷水汇总表!$A10,ps!$G:$G,喷水汇总表!K$5,ps!$I:$I,喷水汇总表!$T$4))</f>
        <v>7519</v>
      </c>
      <c r="L10" s="248">
        <f>IF($T$4="",SUMIFS(ps!$N:$N,ps!$B:$B,喷水汇总表!$A10,ps!$G:$G,喷水汇总表!L$5,ps!$R:$R,喷水汇总表!$Y$4),SUMIFS(ps!$N:$N,ps!$B:$B,喷水汇总表!$A10,ps!$G:$G,喷水汇总表!L$5,ps!$I:$I,喷水汇总表!$T$4))</f>
        <v>0</v>
      </c>
      <c r="M10" s="248">
        <f>IF($T$4="",SUMIFS(ps!$N:$N,ps!$B:$B,喷水汇总表!$A10,ps!$G:$G,喷水汇总表!M$5,ps!$R:$R,喷水汇总表!$Y$4),SUMIFS(ps!$N:$N,ps!$B:$B,喷水汇总表!$A10,ps!$G:$G,喷水汇总表!M$5,ps!$I:$I,喷水汇总表!$T$4))</f>
        <v>0</v>
      </c>
      <c r="N10" s="248">
        <f>IF($T$4="",SUMIFS(ps!$N:$N,ps!$B:$B,喷水汇总表!$A10,ps!$G:$G,喷水汇总表!N$5,ps!$R:$R,喷水汇总表!$Y$4),SUMIFS(ps!$N:$N,ps!$B:$B,喷水汇总表!$A10,ps!$G:$G,喷水汇总表!N$5,ps!$I:$I,喷水汇总表!$T$4))</f>
        <v>0</v>
      </c>
      <c r="O10" s="248">
        <f>IF($T$4="",SUMIFS(ps!$L:$L,ps!$B:$B,喷水汇总表!$A10,ps!$J:$J,喷水汇总表!O$5,ps!$F:$F,喷水汇总表!$W$4,ps!$R:$R,喷水汇总表!$Y$4)+SUMIFS(ps!$M:$M,ps!$B:$B,喷水汇总表!$A10,ps!$K:$K,喷水汇总表!O$5,ps!$F:$F,喷水汇总表!$W$4,ps!$R:$R,喷水汇总表!$Y$4),SUMIFS(ps!$L:$L,ps!$B:$B,喷水汇总表!$A10,ps!$J:$J,喷水汇总表!O$5,ps!$F:$F,喷水汇总表!$W$4,ps!$I:$I,喷水汇总表!$T$4)+SUMIFS(ps!$M:$M,ps!$B:$B,喷水汇总表!$A10,ps!$K:$K,喷水汇总表!O$5,ps!$F:$F,喷水汇总表!$W$4,ps!$I:$I,喷水汇总表!$T$4))</f>
        <v>0</v>
      </c>
      <c r="P10" s="248">
        <f>IF($T$4="",SUMIFS(ps!$L:$L,ps!$B:$B,喷水汇总表!$A10,ps!$J:$J,喷水汇总表!P$5,ps!$F:$F,喷水汇总表!$W$4,ps!$R:$R,喷水汇总表!$Y$4)+SUMIFS(ps!$M:$M,ps!$B:$B,喷水汇总表!$A10,ps!$K:$K,喷水汇总表!P$5,ps!$F:$F,喷水汇总表!$W$4,ps!$R:$R,喷水汇总表!$Y$4),SUMIFS(ps!$L:$L,ps!$B:$B,喷水汇总表!$A10,ps!$J:$J,喷水汇总表!P$5,ps!$F:$F,喷水汇总表!$W$4,ps!$I:$I,喷水汇总表!$T$4)+SUMIFS(ps!$M:$M,ps!$B:$B,喷水汇总表!$A10,ps!$K:$K,喷水汇总表!P$5,ps!$F:$F,喷水汇总表!$W$4,ps!$I:$I,喷水汇总表!$T$4))</f>
        <v>318.76655660752402</v>
      </c>
      <c r="Q10" s="248">
        <f>IF($T$4="",SUMIFS(ps!$L:$L,ps!$B:$B,喷水汇总表!$A10,ps!$J:$J,喷水汇总表!Q$5,ps!$F:$F,喷水汇总表!$W$4,ps!$R:$R,喷水汇总表!$Y$4)+SUMIFS(ps!$M:$M,ps!$B:$B,喷水汇总表!$A10,ps!$K:$K,喷水汇总表!Q$5,ps!$F:$F,喷水汇总表!$W$4,ps!$R:$R,喷水汇总表!$Y$4),SUMIFS(ps!$L:$L,ps!$B:$B,喷水汇总表!$A10,ps!$J:$J,喷水汇总表!Q$5,ps!$F:$F,喷水汇总表!$W$4,ps!$I:$I,喷水汇总表!$T$4)+SUMIFS(ps!$M:$M,ps!$B:$B,喷水汇总表!$A10,ps!$K:$K,喷水汇总表!Q$5,ps!$F:$F,喷水汇总表!$W$4,ps!$I:$I,喷水汇总表!$T$4))</f>
        <v>0</v>
      </c>
      <c r="R10" s="248">
        <f>IF($T$4="",SUMIFS(ps!$L:$L,ps!$B:$B,喷水汇总表!$A10,ps!$J:$J,喷水汇总表!R$5,ps!$F:$F,喷水汇总表!$W$4,ps!$R:$R,喷水汇总表!$Y$4)+SUMIFS(ps!$M:$M,ps!$B:$B,喷水汇总表!$A10,ps!$K:$K,喷水汇总表!R$5,ps!$F:$F,喷水汇总表!$W$4,ps!$R:$R,喷水汇总表!$Y$4),SUMIFS(ps!$L:$L,ps!$B:$B,喷水汇总表!$A10,ps!$J:$J,喷水汇总表!R$5,ps!$F:$F,喷水汇总表!$W$4,ps!$I:$I,喷水汇总表!$T$4)+SUMIFS(ps!$M:$M,ps!$B:$B,喷水汇总表!$A10,ps!$K:$K,喷水汇总表!R$5,ps!$F:$F,喷水汇总表!$W$4,ps!$I:$I,喷水汇总表!$T$4))</f>
        <v>0</v>
      </c>
      <c r="S10" s="248">
        <f>IF($T$4="",SUMIFS(ps!$L:$L,ps!$B:$B,喷水汇总表!$A10,ps!$J:$J,喷水汇总表!S$5,ps!$F:$F,喷水汇总表!$W$4,ps!$R:$R,喷水汇总表!$Y$4)+SUMIFS(ps!$M:$M,ps!$B:$B,喷水汇总表!$A10,ps!$K:$K,喷水汇总表!S$5,ps!$F:$F,喷水汇总表!$W$4,ps!$R:$R,喷水汇总表!$Y$4),SUMIFS(ps!$L:$L,ps!$B:$B,喷水汇总表!$A10,ps!$J:$J,喷水汇总表!S$5,ps!$F:$F,喷水汇总表!$W$4,ps!$I:$I,喷水汇总表!$T$4)+SUMIFS(ps!$M:$M,ps!$B:$B,喷水汇总表!$A10,ps!$K:$K,喷水汇总表!S$5,ps!$F:$F,喷水汇总表!$W$4,ps!$I:$I,喷水汇总表!$T$4))</f>
        <v>0</v>
      </c>
      <c r="T10" s="248">
        <f>IF($T$4="",SUMIFS(ps!$L:$L,ps!$B:$B,喷水汇总表!$A10,ps!$J:$J,喷水汇总表!T$5,ps!$F:$F,喷水汇总表!$W$4,ps!$R:$R,喷水汇总表!$Y$4)+SUMIFS(ps!$M:$M,ps!$B:$B,喷水汇总表!$A10,ps!$K:$K,喷水汇总表!T$5,ps!$F:$F,喷水汇总表!$W$4,ps!$R:$R,喷水汇总表!$Y$4),SUMIFS(ps!$L:$L,ps!$B:$B,喷水汇总表!$A10,ps!$J:$J,喷水汇总表!T$5,ps!$F:$F,喷水汇总表!$W$4,ps!$I:$I,喷水汇总表!$T$4)+SUMIFS(ps!$M:$M,ps!$B:$B,喷水汇总表!$A10,ps!$K:$K,喷水汇总表!T$5,ps!$F:$F,喷水汇总表!$W$4,ps!$I:$I,喷水汇总表!$T$4))</f>
        <v>0</v>
      </c>
      <c r="U10" s="248">
        <f>IF($T$4="",SUMIFS(ps!$L:$L,ps!$B:$B,喷水汇总表!$A10,ps!$J:$J,喷水汇总表!U$5,ps!$F:$F,喷水汇总表!$W$4,ps!$R:$R,喷水汇总表!$Y$4)+SUMIFS(ps!$M:$M,ps!$B:$B,喷水汇总表!$A10,ps!$K:$K,喷水汇总表!U$5,ps!$F:$F,喷水汇总表!$W$4,ps!$R:$R,喷水汇总表!$Y$4),SUMIFS(ps!$L:$L,ps!$B:$B,喷水汇总表!$A10,ps!$J:$J,喷水汇总表!U$5,ps!$F:$F,喷水汇总表!$W$4,ps!$I:$I,喷水汇总表!$T$4)+SUMIFS(ps!$M:$M,ps!$B:$B,喷水汇总表!$A10,ps!$K:$K,喷水汇总表!U$5,ps!$F:$F,喷水汇总表!$W$4,ps!$I:$I,喷水汇总表!$T$4))</f>
        <v>0</v>
      </c>
      <c r="V10" s="248">
        <f>IF($T$4="",SUMIFS(ps!$L:$L,ps!$B:$B,喷水汇总表!$A10,ps!$J:$J,喷水汇总表!V$5,ps!$F:$F,喷水汇总表!$W$4,ps!$R:$R,喷水汇总表!$Y$4)+SUMIFS(ps!$M:$M,ps!$B:$B,喷水汇总表!$A10,ps!$K:$K,喷水汇总表!V$5,ps!$F:$F,喷水汇总表!$W$4,ps!$R:$R,喷水汇总表!$Y$4),SUMIFS(ps!$L:$L,ps!$B:$B,喷水汇总表!$A10,ps!$J:$J,喷水汇总表!V$5,ps!$F:$F,喷水汇总表!$W$4,ps!$I:$I,喷水汇总表!$T$4)+SUMIFS(ps!$M:$M,ps!$B:$B,喷水汇总表!$A10,ps!$K:$K,喷水汇总表!V$5,ps!$F:$F,喷水汇总表!$W$4,ps!$I:$I,喷水汇总表!$T$4))</f>
        <v>0</v>
      </c>
      <c r="W10" s="248">
        <f>IF($T$4="",SUMIFS(ps!$L:$L,ps!$B:$B,喷水汇总表!$A10,ps!$J:$J,喷水汇总表!W$5,ps!$F:$F,喷水汇总表!$W$4,ps!$R:$R,喷水汇总表!$Y$4)+SUMIFS(ps!$M:$M,ps!$B:$B,喷水汇总表!$A10,ps!$K:$K,喷水汇总表!W$5,ps!$F:$F,喷水汇总表!$W$4,ps!$R:$R,喷水汇总表!$Y$4),SUMIFS(ps!$L:$L,ps!$B:$B,喷水汇总表!$A10,ps!$J:$J,喷水汇总表!W$5,ps!$F:$F,喷水汇总表!$W$4,ps!$I:$I,喷水汇总表!$T$4)+SUMIFS(ps!$M:$M,ps!$B:$B,喷水汇总表!$A10,ps!$K:$K,喷水汇总表!W$5,ps!$F:$F,喷水汇总表!$W$4,ps!$I:$I,喷水汇总表!$T$4))</f>
        <v>0</v>
      </c>
      <c r="X10" s="15">
        <f t="shared" si="1"/>
        <v>147732</v>
      </c>
      <c r="Y10" s="18">
        <f>SUMIFS(ps!$N:$N,ps!$B:$B,喷水汇总表!$A10,ps!$I:$I,喷水汇总表!$X$4&amp;"/"&amp;喷水汇总表!$Y$4&amp;"/"&amp;喷水汇总表!Y$5)</f>
        <v>0</v>
      </c>
      <c r="Z10" s="18">
        <f>SUMIFS(ps!$N:$N,ps!$B:$B,喷水汇总表!$A10,ps!$I:$I,喷水汇总表!$X$4&amp;"/"&amp;喷水汇总表!$Y$4&amp;"/"&amp;喷水汇总表!Z$5)</f>
        <v>39570</v>
      </c>
      <c r="AA10" s="18">
        <f>SUMIFS(ps!$N:$N,ps!$B:$B,喷水汇总表!$A10,ps!$I:$I,喷水汇总表!$X$4&amp;"/"&amp;喷水汇总表!$Y$4&amp;"/"&amp;喷水汇总表!AA$5)</f>
        <v>24556</v>
      </c>
      <c r="AB10" s="18">
        <f>SUMIFS(ps!$N:$N,ps!$B:$B,喷水汇总表!$A10,ps!$I:$I,喷水汇总表!$X$4&amp;"/"&amp;喷水汇总表!$Y$4&amp;"/"&amp;喷水汇总表!AB$5)</f>
        <v>47394</v>
      </c>
      <c r="AC10" s="18">
        <f>SUMIFS(ps!$N:$N,ps!$B:$B,喷水汇总表!$A10,ps!$I:$I,喷水汇总表!$X$4&amp;"/"&amp;喷水汇总表!$Y$4&amp;"/"&amp;喷水汇总表!AC$5)</f>
        <v>36212</v>
      </c>
      <c r="AD10" s="18">
        <f>SUMIFS(ps!$N:$N,ps!$B:$B,喷水汇总表!$A10,ps!$I:$I,喷水汇总表!$X$4&amp;"/"&amp;喷水汇总表!$Y$4&amp;"/"&amp;喷水汇总表!AD$5)</f>
        <v>0</v>
      </c>
      <c r="AE10" s="18">
        <f>SUMIFS(ps!$N:$N,ps!$B:$B,喷水汇总表!$A10,ps!$I:$I,喷水汇总表!$X$4&amp;"/"&amp;喷水汇总表!$Y$4&amp;"/"&amp;喷水汇总表!AE$5)</f>
        <v>0</v>
      </c>
      <c r="AF10" s="18">
        <f>SUMIFS(ps!$N:$N,ps!$B:$B,喷水汇总表!$A10,ps!$I:$I,喷水汇总表!$X$4&amp;"/"&amp;喷水汇总表!$Y$4&amp;"/"&amp;喷水汇总表!AF$5)</f>
        <v>0</v>
      </c>
      <c r="AG10" s="18">
        <f>SUMIFS(ps!$N:$N,ps!$B:$B,喷水汇总表!$A10,ps!$I:$I,喷水汇总表!$X$4&amp;"/"&amp;喷水汇总表!$Y$4&amp;"/"&amp;喷水汇总表!AG$5)</f>
        <v>0</v>
      </c>
      <c r="AH10" s="18">
        <f>SUMIFS(ps!$N:$N,ps!$B:$B,喷水汇总表!$A10,ps!$I:$I,喷水汇总表!$X$4&amp;"/"&amp;喷水汇总表!$Y$4&amp;"/"&amp;喷水汇总表!AH$5)</f>
        <v>0</v>
      </c>
      <c r="AI10" s="18">
        <f>SUMIFS(ps!$N:$N,ps!$B:$B,喷水汇总表!$A10,ps!$I:$I,喷水汇总表!$X$4&amp;"/"&amp;喷水汇总表!$Y$4&amp;"/"&amp;喷水汇总表!AI$5)</f>
        <v>0</v>
      </c>
      <c r="AJ10" s="18">
        <f>SUMIFS(ps!$N:$N,ps!$B:$B,喷水汇总表!$A10,ps!$I:$I,喷水汇总表!$X$4&amp;"/"&amp;喷水汇总表!$Y$4&amp;"/"&amp;喷水汇总表!AJ$5)</f>
        <v>0</v>
      </c>
      <c r="AK10" s="18">
        <f>SUMIFS(ps!$N:$N,ps!$B:$B,喷水汇总表!$A10,ps!$I:$I,喷水汇总表!$X$4&amp;"/"&amp;喷水汇总表!$Y$4&amp;"/"&amp;喷水汇总表!AK$5)</f>
        <v>0</v>
      </c>
      <c r="AL10" s="18">
        <f>SUMIFS(ps!$N:$N,ps!$B:$B,喷水汇总表!$A10,ps!$I:$I,喷水汇总表!$X$4&amp;"/"&amp;喷水汇总表!$Y$4&amp;"/"&amp;喷水汇总表!AL$5)</f>
        <v>0</v>
      </c>
      <c r="AM10" s="18">
        <f>SUMIFS(ps!$N:$N,ps!$B:$B,喷水汇总表!$A10,ps!$I:$I,喷水汇总表!$X$4&amp;"/"&amp;喷水汇总表!$Y$4&amp;"/"&amp;喷水汇总表!AM$5)</f>
        <v>0</v>
      </c>
      <c r="AN10" s="18">
        <f>SUMIFS(ps!$N:$N,ps!$B:$B,喷水汇总表!$A10,ps!$I:$I,喷水汇总表!$X$4&amp;"/"&amp;喷水汇总表!$Y$4&amp;"/"&amp;喷水汇总表!AN$5)</f>
        <v>0</v>
      </c>
      <c r="AO10" s="18">
        <f>SUMIFS(ps!$N:$N,ps!$B:$B,喷水汇总表!$A10,ps!$I:$I,喷水汇总表!$X$4&amp;"/"&amp;喷水汇总表!$Y$4&amp;"/"&amp;喷水汇总表!AO$5)</f>
        <v>0</v>
      </c>
      <c r="AP10" s="18">
        <f>SUMIFS(ps!$N:$N,ps!$B:$B,喷水汇总表!$A10,ps!$I:$I,喷水汇总表!$X$4&amp;"/"&amp;喷水汇总表!$Y$4&amp;"/"&amp;喷水汇总表!AP$5)</f>
        <v>0</v>
      </c>
      <c r="AQ10" s="18">
        <f>SUMIFS(ps!$N:$N,ps!$B:$B,喷水汇总表!$A10,ps!$I:$I,喷水汇总表!$X$4&amp;"/"&amp;喷水汇总表!$Y$4&amp;"/"&amp;喷水汇总表!AQ$5)</f>
        <v>0</v>
      </c>
      <c r="AR10" s="18">
        <f>SUMIFS(ps!$N:$N,ps!$B:$B,喷水汇总表!$A10,ps!$I:$I,喷水汇总表!$X$4&amp;"/"&amp;喷水汇总表!$Y$4&amp;"/"&amp;喷水汇总表!AR$5)</f>
        <v>0</v>
      </c>
      <c r="AS10" s="18">
        <f>SUMIFS(ps!$N:$N,ps!$B:$B,喷水汇总表!$A10,ps!$I:$I,喷水汇总表!$X$4&amp;"/"&amp;喷水汇总表!$Y$4&amp;"/"&amp;喷水汇总表!AS$5)</f>
        <v>0</v>
      </c>
      <c r="AT10" s="18">
        <f>SUMIFS(ps!$N:$N,ps!$B:$B,喷水汇总表!$A10,ps!$I:$I,喷水汇总表!$X$4&amp;"/"&amp;喷水汇总表!$Y$4&amp;"/"&amp;喷水汇总表!AT$5)</f>
        <v>0</v>
      </c>
      <c r="AU10" s="18">
        <f>SUMIFS(ps!$N:$N,ps!$B:$B,喷水汇总表!$A10,ps!$I:$I,喷水汇总表!$X$4&amp;"/"&amp;喷水汇总表!$Y$4&amp;"/"&amp;喷水汇总表!AU$5)</f>
        <v>0</v>
      </c>
      <c r="AV10" s="18">
        <f>SUMIFS(ps!$N:$N,ps!$B:$B,喷水汇总表!$A10,ps!$I:$I,喷水汇总表!$X$4&amp;"/"&amp;喷水汇总表!$Y$4&amp;"/"&amp;喷水汇总表!AV$5)</f>
        <v>0</v>
      </c>
      <c r="AW10" s="18">
        <f>SUMIFS(ps!$N:$N,ps!$B:$B,喷水汇总表!$A10,ps!$I:$I,喷水汇总表!$X$4&amp;"/"&amp;喷水汇总表!$Y$4&amp;"/"&amp;喷水汇总表!AW$5)</f>
        <v>0</v>
      </c>
      <c r="AX10" s="18">
        <f>SUMIFS(ps!$N:$N,ps!$B:$B,喷水汇总表!$A10,ps!$I:$I,喷水汇总表!$X$4&amp;"/"&amp;喷水汇总表!$Y$4&amp;"/"&amp;喷水汇总表!AX$5)</f>
        <v>0</v>
      </c>
      <c r="AY10" s="18">
        <f>SUMIFS(ps!$N:$N,ps!$B:$B,喷水汇总表!$A10,ps!$I:$I,喷水汇总表!$X$4&amp;"/"&amp;喷水汇总表!$Y$4&amp;"/"&amp;喷水汇总表!AY$5)</f>
        <v>0</v>
      </c>
      <c r="AZ10" s="18">
        <f>SUMIFS(ps!$N:$N,ps!$B:$B,喷水汇总表!$A10,ps!$I:$I,喷水汇总表!$X$4&amp;"/"&amp;喷水汇总表!$Y$4&amp;"/"&amp;喷水汇总表!AZ$5)</f>
        <v>0</v>
      </c>
      <c r="BA10" s="18">
        <f>SUMIFS(ps!$N:$N,ps!$B:$B,喷水汇总表!$A10,ps!$I:$I,喷水汇总表!$X$4&amp;"/"&amp;喷水汇总表!$Y$4&amp;"/"&amp;喷水汇总表!BA$5)</f>
        <v>0</v>
      </c>
      <c r="BB10" s="18">
        <f>SUMIFS(ps!$N:$N,ps!$B:$B,喷水汇总表!$A10,ps!$I:$I,喷水汇总表!$X$4&amp;"/"&amp;喷水汇总表!$Y$4&amp;"/"&amp;喷水汇总表!BB$5)</f>
        <v>0</v>
      </c>
      <c r="BC10" s="18">
        <f>SUMIFS(ps!$N:$N,ps!$B:$B,喷水汇总表!$A10,ps!$I:$I,喷水汇总表!$X$4&amp;"/"&amp;喷水汇总表!$Y$4&amp;"/"&amp;喷水汇总表!BC$5)</f>
        <v>0</v>
      </c>
    </row>
    <row r="11" spans="1:55" ht="18" customHeight="1">
      <c r="A11" s="96" t="s">
        <v>1124</v>
      </c>
      <c r="B11" s="176" t="str">
        <f>IF(A11="","",VLOOKUP(A11,经纬!B:C,2,FALSE))</f>
        <v>20*20</v>
      </c>
      <c r="C11" s="176" t="str">
        <f t="shared" si="0"/>
        <v>146</v>
      </c>
      <c r="D11" s="176">
        <f>IF(A11="","",VLOOKUP(A11,经纬!B:G,6,FALSE))</f>
        <v>17</v>
      </c>
      <c r="E11" s="44">
        <f>IF($T$4="",SUMIFS(ps!$N:$N,ps!$B:$B,喷水汇总表!$A11,ps!$H:$H,喷水汇总表!E$5,ps!$R:$R,喷水汇总表!$Y$4),SUMIFS(ps!$N:$N,ps!$B:$B,喷水汇总表!$A11,ps!$H:$H,喷水汇总表!E$5,ps!$I:$I,喷水汇总表!$T$4))</f>
        <v>0</v>
      </c>
      <c r="F11" s="44">
        <f>IF($T$4="",SUMIFS(ps!$N:$N,ps!$B:$B,喷水汇总表!$A11,ps!$H:$H,喷水汇总表!F$5,ps!$R:$R,喷水汇总表!$Y$4),SUMIFS(ps!$N:$N,ps!$B:$B,喷水汇总表!$A11,ps!$H:$H,喷水汇总表!F$5,ps!$I:$I,喷水汇总表!$T$4))</f>
        <v>0</v>
      </c>
      <c r="G11" s="44">
        <f>IF($T$4="",SUMIFS(ps!$N:$N,ps!$B:$B,喷水汇总表!$A11,ps!$H:$H,喷水汇总表!G$5,ps!$R:$R,喷水汇总表!$Y$4),SUMIFS(ps!$N:$N,ps!$B:$B,喷水汇总表!$A11,ps!$H:$H,喷水汇总表!G$5,ps!$I:$I,喷水汇总表!$T$4))</f>
        <v>0</v>
      </c>
      <c r="H11" s="248">
        <f>IF($T$4="",SUMIFS(ps!$N:$N,ps!$B:$B,喷水汇总表!$A11,ps!$G:$G,喷水汇总表!H$5,ps!$R:$R,喷水汇总表!$Y$4),SUMIFS(ps!$N:$N,ps!$B:$B,喷水汇总表!$A11,ps!$G:$G,喷水汇总表!H$5,ps!$I:$I,喷水汇总表!$T$4))</f>
        <v>0</v>
      </c>
      <c r="I11" s="248">
        <f>IF($T$4="",SUMIFS(ps!$N:$N,ps!$B:$B,喷水汇总表!$A11,ps!$G:$G,喷水汇总表!I$5,ps!$R:$R,喷水汇总表!$Y$4),SUMIFS(ps!$N:$N,ps!$B:$B,喷水汇总表!$A11,ps!$G:$G,喷水汇总表!I$5,ps!$I:$I,喷水汇总表!$T$4))</f>
        <v>0</v>
      </c>
      <c r="J11" s="248">
        <f>IF($T$4="",SUMIFS(ps!$N:$N,ps!$B:$B,喷水汇总表!$A11,ps!$G:$G,喷水汇总表!J$5,ps!$R:$R,喷水汇总表!$Y$4),SUMIFS(ps!$N:$N,ps!$B:$B,喷水汇总表!$A11,ps!$G:$G,喷水汇总表!J$5,ps!$I:$I,喷水汇总表!$T$4))</f>
        <v>0</v>
      </c>
      <c r="K11" s="248">
        <f>IF($T$4="",SUMIFS(ps!$N:$N,ps!$B:$B,喷水汇总表!$A11,ps!$G:$G,喷水汇总表!K$5,ps!$R:$R,喷水汇总表!$Y$4),SUMIFS(ps!$N:$N,ps!$B:$B,喷水汇总表!$A11,ps!$G:$G,喷水汇总表!K$5,ps!$I:$I,喷水汇总表!$T$4))</f>
        <v>0</v>
      </c>
      <c r="L11" s="248">
        <f>IF($T$4="",SUMIFS(ps!$N:$N,ps!$B:$B,喷水汇总表!$A11,ps!$G:$G,喷水汇总表!L$5,ps!$R:$R,喷水汇总表!$Y$4),SUMIFS(ps!$N:$N,ps!$B:$B,喷水汇总表!$A11,ps!$G:$G,喷水汇总表!L$5,ps!$I:$I,喷水汇总表!$T$4))</f>
        <v>0</v>
      </c>
      <c r="M11" s="248">
        <f>IF($T$4="",SUMIFS(ps!$N:$N,ps!$B:$B,喷水汇总表!$A11,ps!$G:$G,喷水汇总表!M$5,ps!$R:$R,喷水汇总表!$Y$4),SUMIFS(ps!$N:$N,ps!$B:$B,喷水汇总表!$A11,ps!$G:$G,喷水汇总表!M$5,ps!$I:$I,喷水汇总表!$T$4))</f>
        <v>0</v>
      </c>
      <c r="N11" s="248">
        <f>IF($T$4="",SUMIFS(ps!$N:$N,ps!$B:$B,喷水汇总表!$A11,ps!$G:$G,喷水汇总表!N$5,ps!$R:$R,喷水汇总表!$Y$4),SUMIFS(ps!$N:$N,ps!$B:$B,喷水汇总表!$A11,ps!$G:$G,喷水汇总表!N$5,ps!$I:$I,喷水汇总表!$T$4))</f>
        <v>0</v>
      </c>
      <c r="O11" s="248">
        <f>IF($T$4="",SUMIFS(ps!$L:$L,ps!$B:$B,喷水汇总表!$A11,ps!$J:$J,喷水汇总表!O$5,ps!$F:$F,喷水汇总表!$W$4,ps!$R:$R,喷水汇总表!$Y$4)+SUMIFS(ps!$M:$M,ps!$B:$B,喷水汇总表!$A11,ps!$K:$K,喷水汇总表!O$5,ps!$F:$F,喷水汇总表!$W$4,ps!$R:$R,喷水汇总表!$Y$4),SUMIFS(ps!$L:$L,ps!$B:$B,喷水汇总表!$A11,ps!$J:$J,喷水汇总表!O$5,ps!$F:$F,喷水汇总表!$W$4,ps!$I:$I,喷水汇总表!$T$4)+SUMIFS(ps!$M:$M,ps!$B:$B,喷水汇总表!$A11,ps!$K:$K,喷水汇总表!O$5,ps!$F:$F,喷水汇总表!$W$4,ps!$I:$I,喷水汇总表!$T$4))</f>
        <v>0</v>
      </c>
      <c r="P11" s="248">
        <f>IF($T$4="",SUMIFS(ps!$L:$L,ps!$B:$B,喷水汇总表!$A11,ps!$J:$J,喷水汇总表!P$5,ps!$F:$F,喷水汇总表!$W$4,ps!$R:$R,喷水汇总表!$Y$4)+SUMIFS(ps!$M:$M,ps!$B:$B,喷水汇总表!$A11,ps!$K:$K,喷水汇总表!P$5,ps!$F:$F,喷水汇总表!$W$4,ps!$R:$R,喷水汇总表!$Y$4),SUMIFS(ps!$L:$L,ps!$B:$B,喷水汇总表!$A11,ps!$J:$J,喷水汇总表!P$5,ps!$F:$F,喷水汇总表!$W$4,ps!$I:$I,喷水汇总表!$T$4)+SUMIFS(ps!$M:$M,ps!$B:$B,喷水汇总表!$A11,ps!$K:$K,喷水汇总表!P$5,ps!$F:$F,喷水汇总表!$W$4,ps!$I:$I,喷水汇总表!$T$4))</f>
        <v>0</v>
      </c>
      <c r="Q11" s="248">
        <f>IF($T$4="",SUMIFS(ps!$L:$L,ps!$B:$B,喷水汇总表!$A11,ps!$J:$J,喷水汇总表!Q$5,ps!$F:$F,喷水汇总表!$W$4,ps!$R:$R,喷水汇总表!$Y$4)+SUMIFS(ps!$M:$M,ps!$B:$B,喷水汇总表!$A11,ps!$K:$K,喷水汇总表!Q$5,ps!$F:$F,喷水汇总表!$W$4,ps!$R:$R,喷水汇总表!$Y$4),SUMIFS(ps!$L:$L,ps!$B:$B,喷水汇总表!$A11,ps!$J:$J,喷水汇总表!Q$5,ps!$F:$F,喷水汇总表!$W$4,ps!$I:$I,喷水汇总表!$T$4)+SUMIFS(ps!$M:$M,ps!$B:$B,喷水汇总表!$A11,ps!$K:$K,喷水汇总表!Q$5,ps!$F:$F,喷水汇总表!$W$4,ps!$I:$I,喷水汇总表!$T$4))</f>
        <v>0</v>
      </c>
      <c r="R11" s="248">
        <f>IF($T$4="",SUMIFS(ps!$L:$L,ps!$B:$B,喷水汇总表!$A11,ps!$J:$J,喷水汇总表!R$5,ps!$F:$F,喷水汇总表!$W$4,ps!$R:$R,喷水汇总表!$Y$4)+SUMIFS(ps!$M:$M,ps!$B:$B,喷水汇总表!$A11,ps!$K:$K,喷水汇总表!R$5,ps!$F:$F,喷水汇总表!$W$4,ps!$R:$R,喷水汇总表!$Y$4),SUMIFS(ps!$L:$L,ps!$B:$B,喷水汇总表!$A11,ps!$J:$J,喷水汇总表!R$5,ps!$F:$F,喷水汇总表!$W$4,ps!$I:$I,喷水汇总表!$T$4)+SUMIFS(ps!$M:$M,ps!$B:$B,喷水汇总表!$A11,ps!$K:$K,喷水汇总表!R$5,ps!$F:$F,喷水汇总表!$W$4,ps!$I:$I,喷水汇总表!$T$4))</f>
        <v>0</v>
      </c>
      <c r="S11" s="248">
        <f>IF($T$4="",SUMIFS(ps!$L:$L,ps!$B:$B,喷水汇总表!$A11,ps!$J:$J,喷水汇总表!S$5,ps!$F:$F,喷水汇总表!$W$4,ps!$R:$R,喷水汇总表!$Y$4)+SUMIFS(ps!$M:$M,ps!$B:$B,喷水汇总表!$A11,ps!$K:$K,喷水汇总表!S$5,ps!$F:$F,喷水汇总表!$W$4,ps!$R:$R,喷水汇总表!$Y$4),SUMIFS(ps!$L:$L,ps!$B:$B,喷水汇总表!$A11,ps!$J:$J,喷水汇总表!S$5,ps!$F:$F,喷水汇总表!$W$4,ps!$I:$I,喷水汇总表!$T$4)+SUMIFS(ps!$M:$M,ps!$B:$B,喷水汇总表!$A11,ps!$K:$K,喷水汇总表!S$5,ps!$F:$F,喷水汇总表!$W$4,ps!$I:$I,喷水汇总表!$T$4))</f>
        <v>0</v>
      </c>
      <c r="T11" s="248">
        <f>IF($T$4="",SUMIFS(ps!$L:$L,ps!$B:$B,喷水汇总表!$A11,ps!$J:$J,喷水汇总表!T$5,ps!$F:$F,喷水汇总表!$W$4,ps!$R:$R,喷水汇总表!$Y$4)+SUMIFS(ps!$M:$M,ps!$B:$B,喷水汇总表!$A11,ps!$K:$K,喷水汇总表!T$5,ps!$F:$F,喷水汇总表!$W$4,ps!$R:$R,喷水汇总表!$Y$4),SUMIFS(ps!$L:$L,ps!$B:$B,喷水汇总表!$A11,ps!$J:$J,喷水汇总表!T$5,ps!$F:$F,喷水汇总表!$W$4,ps!$I:$I,喷水汇总表!$T$4)+SUMIFS(ps!$M:$M,ps!$B:$B,喷水汇总表!$A11,ps!$K:$K,喷水汇总表!T$5,ps!$F:$F,喷水汇总表!$W$4,ps!$I:$I,喷水汇总表!$T$4))</f>
        <v>0</v>
      </c>
      <c r="U11" s="248">
        <f>IF($T$4="",SUMIFS(ps!$L:$L,ps!$B:$B,喷水汇总表!$A11,ps!$J:$J,喷水汇总表!U$5,ps!$F:$F,喷水汇总表!$W$4,ps!$R:$R,喷水汇总表!$Y$4)+SUMIFS(ps!$M:$M,ps!$B:$B,喷水汇总表!$A11,ps!$K:$K,喷水汇总表!U$5,ps!$F:$F,喷水汇总表!$W$4,ps!$R:$R,喷水汇总表!$Y$4),SUMIFS(ps!$L:$L,ps!$B:$B,喷水汇总表!$A11,ps!$J:$J,喷水汇总表!U$5,ps!$F:$F,喷水汇总表!$W$4,ps!$I:$I,喷水汇总表!$T$4)+SUMIFS(ps!$M:$M,ps!$B:$B,喷水汇总表!$A11,ps!$K:$K,喷水汇总表!U$5,ps!$F:$F,喷水汇总表!$W$4,ps!$I:$I,喷水汇总表!$T$4))</f>
        <v>0</v>
      </c>
      <c r="V11" s="248">
        <f>IF($T$4="",SUMIFS(ps!$L:$L,ps!$B:$B,喷水汇总表!$A11,ps!$J:$J,喷水汇总表!V$5,ps!$F:$F,喷水汇总表!$W$4,ps!$R:$R,喷水汇总表!$Y$4)+SUMIFS(ps!$M:$M,ps!$B:$B,喷水汇总表!$A11,ps!$K:$K,喷水汇总表!V$5,ps!$F:$F,喷水汇总表!$W$4,ps!$R:$R,喷水汇总表!$Y$4),SUMIFS(ps!$L:$L,ps!$B:$B,喷水汇总表!$A11,ps!$J:$J,喷水汇总表!V$5,ps!$F:$F,喷水汇总表!$W$4,ps!$I:$I,喷水汇总表!$T$4)+SUMIFS(ps!$M:$M,ps!$B:$B,喷水汇总表!$A11,ps!$K:$K,喷水汇总表!V$5,ps!$F:$F,喷水汇总表!$W$4,ps!$I:$I,喷水汇总表!$T$4))</f>
        <v>0</v>
      </c>
      <c r="W11" s="248">
        <f>IF($T$4="",SUMIFS(ps!$L:$L,ps!$B:$B,喷水汇总表!$A11,ps!$J:$J,喷水汇总表!W$5,ps!$F:$F,喷水汇总表!$W$4,ps!$R:$R,喷水汇总表!$Y$4)+SUMIFS(ps!$M:$M,ps!$B:$B,喷水汇总表!$A11,ps!$K:$K,喷水汇总表!W$5,ps!$F:$F,喷水汇总表!$W$4,ps!$R:$R,喷水汇总表!$Y$4),SUMIFS(ps!$L:$L,ps!$B:$B,喷水汇总表!$A11,ps!$J:$J,喷水汇总表!W$5,ps!$F:$F,喷水汇总表!$W$4,ps!$I:$I,喷水汇总表!$T$4)+SUMIFS(ps!$M:$M,ps!$B:$B,喷水汇总表!$A11,ps!$K:$K,喷水汇总表!W$5,ps!$F:$F,喷水汇总表!$W$4,ps!$I:$I,喷水汇总表!$T$4))</f>
        <v>0</v>
      </c>
      <c r="X11" s="15">
        <f t="shared" si="1"/>
        <v>0</v>
      </c>
      <c r="Y11" s="18">
        <f>SUMIFS(ps!$N:$N,ps!$B:$B,喷水汇总表!$A11,ps!$I:$I,喷水汇总表!$X$4&amp;"/"&amp;喷水汇总表!$Y$4&amp;"/"&amp;喷水汇总表!Y$5)</f>
        <v>0</v>
      </c>
      <c r="Z11" s="18">
        <f>SUMIFS(ps!$N:$N,ps!$B:$B,喷水汇总表!$A11,ps!$I:$I,喷水汇总表!$X$4&amp;"/"&amp;喷水汇总表!$Y$4&amp;"/"&amp;喷水汇总表!Z$5)</f>
        <v>0</v>
      </c>
      <c r="AA11" s="18">
        <f>SUMIFS(ps!$N:$N,ps!$B:$B,喷水汇总表!$A11,ps!$I:$I,喷水汇总表!$X$4&amp;"/"&amp;喷水汇总表!$Y$4&amp;"/"&amp;喷水汇总表!AA$5)</f>
        <v>0</v>
      </c>
      <c r="AB11" s="18">
        <f>SUMIFS(ps!$N:$N,ps!$B:$B,喷水汇总表!$A11,ps!$I:$I,喷水汇总表!$X$4&amp;"/"&amp;喷水汇总表!$Y$4&amp;"/"&amp;喷水汇总表!AB$5)</f>
        <v>0</v>
      </c>
      <c r="AC11" s="18">
        <f>SUMIFS(ps!$N:$N,ps!$B:$B,喷水汇总表!$A11,ps!$I:$I,喷水汇总表!$X$4&amp;"/"&amp;喷水汇总表!$Y$4&amp;"/"&amp;喷水汇总表!AC$5)</f>
        <v>0</v>
      </c>
      <c r="AD11" s="18">
        <f>SUMIFS(ps!$N:$N,ps!$B:$B,喷水汇总表!$A11,ps!$I:$I,喷水汇总表!$X$4&amp;"/"&amp;喷水汇总表!$Y$4&amp;"/"&amp;喷水汇总表!AD$5)</f>
        <v>0</v>
      </c>
      <c r="AE11" s="18">
        <f>SUMIFS(ps!$N:$N,ps!$B:$B,喷水汇总表!$A11,ps!$I:$I,喷水汇总表!$X$4&amp;"/"&amp;喷水汇总表!$Y$4&amp;"/"&amp;喷水汇总表!AE$5)</f>
        <v>0</v>
      </c>
      <c r="AF11" s="18">
        <f>SUMIFS(ps!$N:$N,ps!$B:$B,喷水汇总表!$A11,ps!$I:$I,喷水汇总表!$X$4&amp;"/"&amp;喷水汇总表!$Y$4&amp;"/"&amp;喷水汇总表!AF$5)</f>
        <v>0</v>
      </c>
      <c r="AG11" s="18">
        <f>SUMIFS(ps!$N:$N,ps!$B:$B,喷水汇总表!$A11,ps!$I:$I,喷水汇总表!$X$4&amp;"/"&amp;喷水汇总表!$Y$4&amp;"/"&amp;喷水汇总表!AG$5)</f>
        <v>0</v>
      </c>
      <c r="AH11" s="18">
        <f>SUMIFS(ps!$N:$N,ps!$B:$B,喷水汇总表!$A11,ps!$I:$I,喷水汇总表!$X$4&amp;"/"&amp;喷水汇总表!$Y$4&amp;"/"&amp;喷水汇总表!AH$5)</f>
        <v>0</v>
      </c>
      <c r="AI11" s="18">
        <f>SUMIFS(ps!$N:$N,ps!$B:$B,喷水汇总表!$A11,ps!$I:$I,喷水汇总表!$X$4&amp;"/"&amp;喷水汇总表!$Y$4&amp;"/"&amp;喷水汇总表!AI$5)</f>
        <v>0</v>
      </c>
      <c r="AJ11" s="18">
        <f>SUMIFS(ps!$N:$N,ps!$B:$B,喷水汇总表!$A11,ps!$I:$I,喷水汇总表!$X$4&amp;"/"&amp;喷水汇总表!$Y$4&amp;"/"&amp;喷水汇总表!AJ$5)</f>
        <v>0</v>
      </c>
      <c r="AK11" s="18">
        <f>SUMIFS(ps!$N:$N,ps!$B:$B,喷水汇总表!$A11,ps!$I:$I,喷水汇总表!$X$4&amp;"/"&amp;喷水汇总表!$Y$4&amp;"/"&amp;喷水汇总表!AK$5)</f>
        <v>0</v>
      </c>
      <c r="AL11" s="18">
        <f>SUMIFS(ps!$N:$N,ps!$B:$B,喷水汇总表!$A11,ps!$I:$I,喷水汇总表!$X$4&amp;"/"&amp;喷水汇总表!$Y$4&amp;"/"&amp;喷水汇总表!AL$5)</f>
        <v>0</v>
      </c>
      <c r="AM11" s="18">
        <f>SUMIFS(ps!$N:$N,ps!$B:$B,喷水汇总表!$A11,ps!$I:$I,喷水汇总表!$X$4&amp;"/"&amp;喷水汇总表!$Y$4&amp;"/"&amp;喷水汇总表!AM$5)</f>
        <v>0</v>
      </c>
      <c r="AN11" s="18">
        <f>SUMIFS(ps!$N:$N,ps!$B:$B,喷水汇总表!$A11,ps!$I:$I,喷水汇总表!$X$4&amp;"/"&amp;喷水汇总表!$Y$4&amp;"/"&amp;喷水汇总表!AN$5)</f>
        <v>0</v>
      </c>
      <c r="AO11" s="18">
        <f>SUMIFS(ps!$N:$N,ps!$B:$B,喷水汇总表!$A11,ps!$I:$I,喷水汇总表!$X$4&amp;"/"&amp;喷水汇总表!$Y$4&amp;"/"&amp;喷水汇总表!AO$5)</f>
        <v>0</v>
      </c>
      <c r="AP11" s="18">
        <f>SUMIFS(ps!$N:$N,ps!$B:$B,喷水汇总表!$A11,ps!$I:$I,喷水汇总表!$X$4&amp;"/"&amp;喷水汇总表!$Y$4&amp;"/"&amp;喷水汇总表!AP$5)</f>
        <v>0</v>
      </c>
      <c r="AQ11" s="18">
        <f>SUMIFS(ps!$N:$N,ps!$B:$B,喷水汇总表!$A11,ps!$I:$I,喷水汇总表!$X$4&amp;"/"&amp;喷水汇总表!$Y$4&amp;"/"&amp;喷水汇总表!AQ$5)</f>
        <v>0</v>
      </c>
      <c r="AR11" s="18">
        <f>SUMIFS(ps!$N:$N,ps!$B:$B,喷水汇总表!$A11,ps!$I:$I,喷水汇总表!$X$4&amp;"/"&amp;喷水汇总表!$Y$4&amp;"/"&amp;喷水汇总表!AR$5)</f>
        <v>0</v>
      </c>
      <c r="AS11" s="18">
        <f>SUMIFS(ps!$N:$N,ps!$B:$B,喷水汇总表!$A11,ps!$I:$I,喷水汇总表!$X$4&amp;"/"&amp;喷水汇总表!$Y$4&amp;"/"&amp;喷水汇总表!AS$5)</f>
        <v>0</v>
      </c>
      <c r="AT11" s="18">
        <f>SUMIFS(ps!$N:$N,ps!$B:$B,喷水汇总表!$A11,ps!$I:$I,喷水汇总表!$X$4&amp;"/"&amp;喷水汇总表!$Y$4&amp;"/"&amp;喷水汇总表!AT$5)</f>
        <v>0</v>
      </c>
      <c r="AU11" s="18">
        <f>SUMIFS(ps!$N:$N,ps!$B:$B,喷水汇总表!$A11,ps!$I:$I,喷水汇总表!$X$4&amp;"/"&amp;喷水汇总表!$Y$4&amp;"/"&amp;喷水汇总表!AU$5)</f>
        <v>0</v>
      </c>
      <c r="AV11" s="18">
        <f>SUMIFS(ps!$N:$N,ps!$B:$B,喷水汇总表!$A11,ps!$I:$I,喷水汇总表!$X$4&amp;"/"&amp;喷水汇总表!$Y$4&amp;"/"&amp;喷水汇总表!AV$5)</f>
        <v>0</v>
      </c>
      <c r="AW11" s="18">
        <f>SUMIFS(ps!$N:$N,ps!$B:$B,喷水汇总表!$A11,ps!$I:$I,喷水汇总表!$X$4&amp;"/"&amp;喷水汇总表!$Y$4&amp;"/"&amp;喷水汇总表!AW$5)</f>
        <v>0</v>
      </c>
      <c r="AX11" s="18">
        <f>SUMIFS(ps!$N:$N,ps!$B:$B,喷水汇总表!$A11,ps!$I:$I,喷水汇总表!$X$4&amp;"/"&amp;喷水汇总表!$Y$4&amp;"/"&amp;喷水汇总表!AX$5)</f>
        <v>0</v>
      </c>
      <c r="AY11" s="18">
        <f>SUMIFS(ps!$N:$N,ps!$B:$B,喷水汇总表!$A11,ps!$I:$I,喷水汇总表!$X$4&amp;"/"&amp;喷水汇总表!$Y$4&amp;"/"&amp;喷水汇总表!AY$5)</f>
        <v>0</v>
      </c>
      <c r="AZ11" s="18">
        <f>SUMIFS(ps!$N:$N,ps!$B:$B,喷水汇总表!$A11,ps!$I:$I,喷水汇总表!$X$4&amp;"/"&amp;喷水汇总表!$Y$4&amp;"/"&amp;喷水汇总表!AZ$5)</f>
        <v>0</v>
      </c>
      <c r="BA11" s="18">
        <f>SUMIFS(ps!$N:$N,ps!$B:$B,喷水汇总表!$A11,ps!$I:$I,喷水汇总表!$X$4&amp;"/"&amp;喷水汇总表!$Y$4&amp;"/"&amp;喷水汇总表!BA$5)</f>
        <v>0</v>
      </c>
      <c r="BB11" s="18">
        <f>SUMIFS(ps!$N:$N,ps!$B:$B,喷水汇总表!$A11,ps!$I:$I,喷水汇总表!$X$4&amp;"/"&amp;喷水汇总表!$Y$4&amp;"/"&amp;喷水汇总表!BB$5)</f>
        <v>0</v>
      </c>
      <c r="BC11" s="18">
        <f>SUMIFS(ps!$N:$N,ps!$B:$B,喷水汇总表!$A11,ps!$I:$I,喷水汇总表!$X$4&amp;"/"&amp;喷水汇总表!$Y$4&amp;"/"&amp;喷水汇总表!BC$5)</f>
        <v>0</v>
      </c>
    </row>
    <row r="12" spans="1:55" ht="18" customHeight="1">
      <c r="A12" s="96" t="s">
        <v>1107</v>
      </c>
      <c r="B12" s="176" t="str">
        <f>IF(A12="","",VLOOKUP(A12,经纬!B:C,2,FALSE))</f>
        <v>200*300</v>
      </c>
      <c r="C12" s="176" t="str">
        <f t="shared" si="0"/>
        <v>180</v>
      </c>
      <c r="D12" s="176">
        <f>IF(A12="","",VLOOKUP(A12,经纬!B:G,6,FALSE))</f>
        <v>135</v>
      </c>
      <c r="E12" s="44">
        <f>IF($T$4="",SUMIFS(ps!$N:$N,ps!$B:$B,喷水汇总表!$A12,ps!$H:$H,喷水汇总表!E$5,ps!$R:$R,喷水汇总表!$Y$4),SUMIFS(ps!$N:$N,ps!$B:$B,喷水汇总表!$A12,ps!$H:$H,喷水汇总表!E$5,ps!$I:$I,喷水汇总表!$T$4))</f>
        <v>0</v>
      </c>
      <c r="F12" s="44">
        <f>IF($T$4="",SUMIFS(ps!$N:$N,ps!$B:$B,喷水汇总表!$A12,ps!$H:$H,喷水汇总表!F$5,ps!$R:$R,喷水汇总表!$Y$4),SUMIFS(ps!$N:$N,ps!$B:$B,喷水汇总表!$A12,ps!$H:$H,喷水汇总表!F$5,ps!$I:$I,喷水汇总表!$T$4))</f>
        <v>0</v>
      </c>
      <c r="G12" s="44">
        <f>IF($T$4="",SUMIFS(ps!$N:$N,ps!$B:$B,喷水汇总表!$A12,ps!$H:$H,喷水汇总表!G$5,ps!$R:$R,喷水汇总表!$Y$4),SUMIFS(ps!$N:$N,ps!$B:$B,喷水汇总表!$A12,ps!$H:$H,喷水汇总表!G$5,ps!$I:$I,喷水汇总表!$T$4))</f>
        <v>1200</v>
      </c>
      <c r="H12" s="248">
        <f>IF($T$4="",SUMIFS(ps!$N:$N,ps!$B:$B,喷水汇总表!$A12,ps!$G:$G,喷水汇总表!H$5,ps!$R:$R,喷水汇总表!$Y$4),SUMIFS(ps!$N:$N,ps!$B:$B,喷水汇总表!$A12,ps!$G:$G,喷水汇总表!H$5,ps!$I:$I,喷水汇总表!$T$4))</f>
        <v>0</v>
      </c>
      <c r="I12" s="248">
        <f>IF($T$4="",SUMIFS(ps!$N:$N,ps!$B:$B,喷水汇总表!$A12,ps!$G:$G,喷水汇总表!I$5,ps!$R:$R,喷水汇总表!$Y$4),SUMIFS(ps!$N:$N,ps!$B:$B,喷水汇总表!$A12,ps!$G:$G,喷水汇总表!I$5,ps!$I:$I,喷水汇总表!$T$4))</f>
        <v>1200</v>
      </c>
      <c r="J12" s="248">
        <f>IF($T$4="",SUMIFS(ps!$N:$N,ps!$B:$B,喷水汇总表!$A12,ps!$G:$G,喷水汇总表!J$5,ps!$R:$R,喷水汇总表!$Y$4),SUMIFS(ps!$N:$N,ps!$B:$B,喷水汇总表!$A12,ps!$G:$G,喷水汇总表!J$5,ps!$I:$I,喷水汇总表!$T$4))</f>
        <v>0</v>
      </c>
      <c r="K12" s="248">
        <f>IF($T$4="",SUMIFS(ps!$N:$N,ps!$B:$B,喷水汇总表!$A12,ps!$G:$G,喷水汇总表!K$5,ps!$R:$R,喷水汇总表!$Y$4),SUMIFS(ps!$N:$N,ps!$B:$B,喷水汇总表!$A12,ps!$G:$G,喷水汇总表!K$5,ps!$I:$I,喷水汇总表!$T$4))</f>
        <v>0</v>
      </c>
      <c r="L12" s="248">
        <f>IF($T$4="",SUMIFS(ps!$N:$N,ps!$B:$B,喷水汇总表!$A12,ps!$G:$G,喷水汇总表!L$5,ps!$R:$R,喷水汇总表!$Y$4),SUMIFS(ps!$N:$N,ps!$B:$B,喷水汇总表!$A12,ps!$G:$G,喷水汇总表!L$5,ps!$I:$I,喷水汇总表!$T$4))</f>
        <v>0</v>
      </c>
      <c r="M12" s="248">
        <f>IF($T$4="",SUMIFS(ps!$N:$N,ps!$B:$B,喷水汇总表!$A12,ps!$G:$G,喷水汇总表!M$5,ps!$R:$R,喷水汇总表!$Y$4),SUMIFS(ps!$N:$N,ps!$B:$B,喷水汇总表!$A12,ps!$G:$G,喷水汇总表!M$5,ps!$I:$I,喷水汇总表!$T$4))</f>
        <v>0</v>
      </c>
      <c r="N12" s="248">
        <f>IF($T$4="",SUMIFS(ps!$N:$N,ps!$B:$B,喷水汇总表!$A12,ps!$G:$G,喷水汇总表!N$5,ps!$R:$R,喷水汇总表!$Y$4),SUMIFS(ps!$N:$N,ps!$B:$B,喷水汇总表!$A12,ps!$G:$G,喷水汇总表!N$5,ps!$I:$I,喷水汇总表!$T$4))</f>
        <v>0</v>
      </c>
      <c r="O12" s="248">
        <f>IF($T$4="",SUMIFS(ps!$L:$L,ps!$B:$B,喷水汇总表!$A12,ps!$J:$J,喷水汇总表!O$5,ps!$F:$F,喷水汇总表!$W$4,ps!$R:$R,喷水汇总表!$Y$4)+SUMIFS(ps!$M:$M,ps!$B:$B,喷水汇总表!$A12,ps!$K:$K,喷水汇总表!O$5,ps!$F:$F,喷水汇总表!$W$4,ps!$R:$R,喷水汇总表!$Y$4),SUMIFS(ps!$L:$L,ps!$B:$B,喷水汇总表!$A12,ps!$J:$J,喷水汇总表!O$5,ps!$F:$F,喷水汇总表!$W$4,ps!$I:$I,喷水汇总表!$T$4)+SUMIFS(ps!$M:$M,ps!$B:$B,喷水汇总表!$A12,ps!$K:$K,喷水汇总表!O$5,ps!$F:$F,喷水汇总表!$W$4,ps!$I:$I,喷水汇总表!$T$4))</f>
        <v>0</v>
      </c>
      <c r="P12" s="248">
        <f>IF($T$4="",SUMIFS(ps!$L:$L,ps!$B:$B,喷水汇总表!$A12,ps!$J:$J,喷水汇总表!P$5,ps!$F:$F,喷水汇总表!$W$4,ps!$R:$R,喷水汇总表!$Y$4)+SUMIFS(ps!$M:$M,ps!$B:$B,喷水汇总表!$A12,ps!$K:$K,喷水汇总表!P$5,ps!$F:$F,喷水汇总表!$W$4,ps!$R:$R,喷水汇总表!$Y$4),SUMIFS(ps!$L:$L,ps!$B:$B,喷水汇总表!$A12,ps!$J:$J,喷水汇总表!P$5,ps!$F:$F,喷水汇总表!$W$4,ps!$I:$I,喷水汇总表!$T$4)+SUMIFS(ps!$M:$M,ps!$B:$B,喷水汇总表!$A12,ps!$K:$K,喷水汇总表!P$5,ps!$F:$F,喷水汇总表!$W$4,ps!$I:$I,喷水汇总表!$T$4))</f>
        <v>0</v>
      </c>
      <c r="Q12" s="248">
        <f>IF($T$4="",SUMIFS(ps!$L:$L,ps!$B:$B,喷水汇总表!$A12,ps!$J:$J,喷水汇总表!Q$5,ps!$F:$F,喷水汇总表!$W$4,ps!$R:$R,喷水汇总表!$Y$4)+SUMIFS(ps!$M:$M,ps!$B:$B,喷水汇总表!$A12,ps!$K:$K,喷水汇总表!Q$5,ps!$F:$F,喷水汇总表!$W$4,ps!$R:$R,喷水汇总表!$Y$4),SUMIFS(ps!$L:$L,ps!$B:$B,喷水汇总表!$A12,ps!$J:$J,喷水汇总表!Q$5,ps!$F:$F,喷水汇总表!$W$4,ps!$I:$I,喷水汇总表!$T$4)+SUMIFS(ps!$M:$M,ps!$B:$B,喷水汇总表!$A12,ps!$K:$K,喷水汇总表!Q$5,ps!$F:$F,喷水汇总表!$W$4,ps!$I:$I,喷水汇总表!$T$4))</f>
        <v>0</v>
      </c>
      <c r="R12" s="248">
        <f>IF($T$4="",SUMIFS(ps!$L:$L,ps!$B:$B,喷水汇总表!$A12,ps!$J:$J,喷水汇总表!R$5,ps!$F:$F,喷水汇总表!$W$4,ps!$R:$R,喷水汇总表!$Y$4)+SUMIFS(ps!$M:$M,ps!$B:$B,喷水汇总表!$A12,ps!$K:$K,喷水汇总表!R$5,ps!$F:$F,喷水汇总表!$W$4,ps!$R:$R,喷水汇总表!$Y$4),SUMIFS(ps!$L:$L,ps!$B:$B,喷水汇总表!$A12,ps!$J:$J,喷水汇总表!R$5,ps!$F:$F,喷水汇总表!$W$4,ps!$I:$I,喷水汇总表!$T$4)+SUMIFS(ps!$M:$M,ps!$B:$B,喷水汇总表!$A12,ps!$K:$K,喷水汇总表!R$5,ps!$F:$F,喷水汇总表!$W$4,ps!$I:$I,喷水汇总表!$T$4))</f>
        <v>0</v>
      </c>
      <c r="S12" s="248">
        <f>IF($T$4="",SUMIFS(ps!$L:$L,ps!$B:$B,喷水汇总表!$A12,ps!$J:$J,喷水汇总表!S$5,ps!$F:$F,喷水汇总表!$W$4,ps!$R:$R,喷水汇总表!$Y$4)+SUMIFS(ps!$M:$M,ps!$B:$B,喷水汇总表!$A12,ps!$K:$K,喷水汇总表!S$5,ps!$F:$F,喷水汇总表!$W$4,ps!$R:$R,喷水汇总表!$Y$4),SUMIFS(ps!$L:$L,ps!$B:$B,喷水汇总表!$A12,ps!$J:$J,喷水汇总表!S$5,ps!$F:$F,喷水汇总表!$W$4,ps!$I:$I,喷水汇总表!$T$4)+SUMIFS(ps!$M:$M,ps!$B:$B,喷水汇总表!$A12,ps!$K:$K,喷水汇总表!S$5,ps!$F:$F,喷水汇总表!$W$4,ps!$I:$I,喷水汇总表!$T$4))</f>
        <v>0</v>
      </c>
      <c r="T12" s="248">
        <f>IF($T$4="",SUMIFS(ps!$L:$L,ps!$B:$B,喷水汇总表!$A12,ps!$J:$J,喷水汇总表!T$5,ps!$F:$F,喷水汇总表!$W$4,ps!$R:$R,喷水汇总表!$Y$4)+SUMIFS(ps!$M:$M,ps!$B:$B,喷水汇总表!$A12,ps!$K:$K,喷水汇总表!T$5,ps!$F:$F,喷水汇总表!$W$4,ps!$R:$R,喷水汇总表!$Y$4),SUMIFS(ps!$L:$L,ps!$B:$B,喷水汇总表!$A12,ps!$J:$J,喷水汇总表!T$5,ps!$F:$F,喷水汇总表!$W$4,ps!$I:$I,喷水汇总表!$T$4)+SUMIFS(ps!$M:$M,ps!$B:$B,喷水汇总表!$A12,ps!$K:$K,喷水汇总表!T$5,ps!$F:$F,喷水汇总表!$W$4,ps!$I:$I,喷水汇总表!$T$4))</f>
        <v>0</v>
      </c>
      <c r="U12" s="248">
        <f>IF($T$4="",SUMIFS(ps!$L:$L,ps!$B:$B,喷水汇总表!$A12,ps!$J:$J,喷水汇总表!U$5,ps!$F:$F,喷水汇总表!$W$4,ps!$R:$R,喷水汇总表!$Y$4)+SUMIFS(ps!$M:$M,ps!$B:$B,喷水汇总表!$A12,ps!$K:$K,喷水汇总表!U$5,ps!$F:$F,喷水汇总表!$W$4,ps!$R:$R,喷水汇总表!$Y$4),SUMIFS(ps!$L:$L,ps!$B:$B,喷水汇总表!$A12,ps!$J:$J,喷水汇总表!U$5,ps!$F:$F,喷水汇总表!$W$4,ps!$I:$I,喷水汇总表!$T$4)+SUMIFS(ps!$M:$M,ps!$B:$B,喷水汇总表!$A12,ps!$K:$K,喷水汇总表!U$5,ps!$F:$F,喷水汇总表!$W$4,ps!$I:$I,喷水汇总表!$T$4))</f>
        <v>0</v>
      </c>
      <c r="V12" s="248">
        <f>IF($T$4="",SUMIFS(ps!$L:$L,ps!$B:$B,喷水汇总表!$A12,ps!$J:$J,喷水汇总表!V$5,ps!$F:$F,喷水汇总表!$W$4,ps!$R:$R,喷水汇总表!$Y$4)+SUMIFS(ps!$M:$M,ps!$B:$B,喷水汇总表!$A12,ps!$K:$K,喷水汇总表!V$5,ps!$F:$F,喷水汇总表!$W$4,ps!$R:$R,喷水汇总表!$Y$4),SUMIFS(ps!$L:$L,ps!$B:$B,喷水汇总表!$A12,ps!$J:$J,喷水汇总表!V$5,ps!$F:$F,喷水汇总表!$W$4,ps!$I:$I,喷水汇总表!$T$4)+SUMIFS(ps!$M:$M,ps!$B:$B,喷水汇总表!$A12,ps!$K:$K,喷水汇总表!V$5,ps!$F:$F,喷水汇总表!$W$4,ps!$I:$I,喷水汇总表!$T$4))</f>
        <v>97.484800000000007</v>
      </c>
      <c r="W12" s="248">
        <f>IF($T$4="",SUMIFS(ps!$L:$L,ps!$B:$B,喷水汇总表!$A12,ps!$J:$J,喷水汇总表!W$5,ps!$F:$F,喷水汇总表!$W$4,ps!$R:$R,喷水汇总表!$Y$4)+SUMIFS(ps!$M:$M,ps!$B:$B,喷水汇总表!$A12,ps!$K:$K,喷水汇总表!W$5,ps!$F:$F,喷水汇总表!$W$4,ps!$R:$R,喷水汇总表!$Y$4),SUMIFS(ps!$L:$L,ps!$B:$B,喷水汇总表!$A12,ps!$J:$J,喷水汇总表!W$5,ps!$F:$F,喷水汇总表!$W$4,ps!$I:$I,喷水汇总表!$T$4)+SUMIFS(ps!$M:$M,ps!$B:$B,喷水汇总表!$A12,ps!$K:$K,喷水汇总表!W$5,ps!$F:$F,喷水汇总表!$W$4,ps!$I:$I,喷水汇总表!$T$4))</f>
        <v>125.90551181102362</v>
      </c>
      <c r="X12" s="15">
        <f t="shared" si="1"/>
        <v>1200</v>
      </c>
      <c r="Y12" s="18">
        <f>SUMIFS(ps!$N:$N,ps!$B:$B,喷水汇总表!$A12,ps!$I:$I,喷水汇总表!$X$4&amp;"/"&amp;喷水汇总表!$Y$4&amp;"/"&amp;喷水汇总表!Y$5)</f>
        <v>0</v>
      </c>
      <c r="Z12" s="18">
        <f>SUMIFS(ps!$N:$N,ps!$B:$B,喷水汇总表!$A12,ps!$I:$I,喷水汇总表!$X$4&amp;"/"&amp;喷水汇总表!$Y$4&amp;"/"&amp;喷水汇总表!Z$5)</f>
        <v>0</v>
      </c>
      <c r="AA12" s="18">
        <f>SUMIFS(ps!$N:$N,ps!$B:$B,喷水汇总表!$A12,ps!$I:$I,喷水汇总表!$X$4&amp;"/"&amp;喷水汇总表!$Y$4&amp;"/"&amp;喷水汇总表!AA$5)</f>
        <v>0</v>
      </c>
      <c r="AB12" s="18">
        <f>SUMIFS(ps!$N:$N,ps!$B:$B,喷水汇总表!$A12,ps!$I:$I,喷水汇总表!$X$4&amp;"/"&amp;喷水汇总表!$Y$4&amp;"/"&amp;喷水汇总表!AB$5)</f>
        <v>0</v>
      </c>
      <c r="AC12" s="18">
        <f>SUMIFS(ps!$N:$N,ps!$B:$B,喷水汇总表!$A12,ps!$I:$I,喷水汇总表!$X$4&amp;"/"&amp;喷水汇总表!$Y$4&amp;"/"&amp;喷水汇总表!AC$5)</f>
        <v>1200</v>
      </c>
      <c r="AD12" s="18">
        <f>SUMIFS(ps!$N:$N,ps!$B:$B,喷水汇总表!$A12,ps!$I:$I,喷水汇总表!$X$4&amp;"/"&amp;喷水汇总表!$Y$4&amp;"/"&amp;喷水汇总表!AD$5)</f>
        <v>0</v>
      </c>
      <c r="AE12" s="18">
        <f>SUMIFS(ps!$N:$N,ps!$B:$B,喷水汇总表!$A12,ps!$I:$I,喷水汇总表!$X$4&amp;"/"&amp;喷水汇总表!$Y$4&amp;"/"&amp;喷水汇总表!AE$5)</f>
        <v>0</v>
      </c>
      <c r="AF12" s="18">
        <f>SUMIFS(ps!$N:$N,ps!$B:$B,喷水汇总表!$A12,ps!$I:$I,喷水汇总表!$X$4&amp;"/"&amp;喷水汇总表!$Y$4&amp;"/"&amp;喷水汇总表!AF$5)</f>
        <v>0</v>
      </c>
      <c r="AG12" s="18">
        <f>SUMIFS(ps!$N:$N,ps!$B:$B,喷水汇总表!$A12,ps!$I:$I,喷水汇总表!$X$4&amp;"/"&amp;喷水汇总表!$Y$4&amp;"/"&amp;喷水汇总表!AG$5)</f>
        <v>0</v>
      </c>
      <c r="AH12" s="18">
        <f>SUMIFS(ps!$N:$N,ps!$B:$B,喷水汇总表!$A12,ps!$I:$I,喷水汇总表!$X$4&amp;"/"&amp;喷水汇总表!$Y$4&amp;"/"&amp;喷水汇总表!AH$5)</f>
        <v>0</v>
      </c>
      <c r="AI12" s="18">
        <f>SUMIFS(ps!$N:$N,ps!$B:$B,喷水汇总表!$A12,ps!$I:$I,喷水汇总表!$X$4&amp;"/"&amp;喷水汇总表!$Y$4&amp;"/"&amp;喷水汇总表!AI$5)</f>
        <v>0</v>
      </c>
      <c r="AJ12" s="18">
        <f>SUMIFS(ps!$N:$N,ps!$B:$B,喷水汇总表!$A12,ps!$I:$I,喷水汇总表!$X$4&amp;"/"&amp;喷水汇总表!$Y$4&amp;"/"&amp;喷水汇总表!AJ$5)</f>
        <v>0</v>
      </c>
      <c r="AK12" s="18">
        <f>SUMIFS(ps!$N:$N,ps!$B:$B,喷水汇总表!$A12,ps!$I:$I,喷水汇总表!$X$4&amp;"/"&amp;喷水汇总表!$Y$4&amp;"/"&amp;喷水汇总表!AK$5)</f>
        <v>0</v>
      </c>
      <c r="AL12" s="18">
        <f>SUMIFS(ps!$N:$N,ps!$B:$B,喷水汇总表!$A12,ps!$I:$I,喷水汇总表!$X$4&amp;"/"&amp;喷水汇总表!$Y$4&amp;"/"&amp;喷水汇总表!AL$5)</f>
        <v>0</v>
      </c>
      <c r="AM12" s="18">
        <f>SUMIFS(ps!$N:$N,ps!$B:$B,喷水汇总表!$A12,ps!$I:$I,喷水汇总表!$X$4&amp;"/"&amp;喷水汇总表!$Y$4&amp;"/"&amp;喷水汇总表!AM$5)</f>
        <v>0</v>
      </c>
      <c r="AN12" s="18">
        <f>SUMIFS(ps!$N:$N,ps!$B:$B,喷水汇总表!$A12,ps!$I:$I,喷水汇总表!$X$4&amp;"/"&amp;喷水汇总表!$Y$4&amp;"/"&amp;喷水汇总表!AN$5)</f>
        <v>0</v>
      </c>
      <c r="AO12" s="18">
        <f>SUMIFS(ps!$N:$N,ps!$B:$B,喷水汇总表!$A12,ps!$I:$I,喷水汇总表!$X$4&amp;"/"&amp;喷水汇总表!$Y$4&amp;"/"&amp;喷水汇总表!AO$5)</f>
        <v>0</v>
      </c>
      <c r="AP12" s="18">
        <f>SUMIFS(ps!$N:$N,ps!$B:$B,喷水汇总表!$A12,ps!$I:$I,喷水汇总表!$X$4&amp;"/"&amp;喷水汇总表!$Y$4&amp;"/"&amp;喷水汇总表!AP$5)</f>
        <v>0</v>
      </c>
      <c r="AQ12" s="18">
        <f>SUMIFS(ps!$N:$N,ps!$B:$B,喷水汇总表!$A12,ps!$I:$I,喷水汇总表!$X$4&amp;"/"&amp;喷水汇总表!$Y$4&amp;"/"&amp;喷水汇总表!AQ$5)</f>
        <v>0</v>
      </c>
      <c r="AR12" s="18">
        <f>SUMIFS(ps!$N:$N,ps!$B:$B,喷水汇总表!$A12,ps!$I:$I,喷水汇总表!$X$4&amp;"/"&amp;喷水汇总表!$Y$4&amp;"/"&amp;喷水汇总表!AR$5)</f>
        <v>0</v>
      </c>
      <c r="AS12" s="18">
        <f>SUMIFS(ps!$N:$N,ps!$B:$B,喷水汇总表!$A12,ps!$I:$I,喷水汇总表!$X$4&amp;"/"&amp;喷水汇总表!$Y$4&amp;"/"&amp;喷水汇总表!AS$5)</f>
        <v>0</v>
      </c>
      <c r="AT12" s="18">
        <f>SUMIFS(ps!$N:$N,ps!$B:$B,喷水汇总表!$A12,ps!$I:$I,喷水汇总表!$X$4&amp;"/"&amp;喷水汇总表!$Y$4&amp;"/"&amp;喷水汇总表!AT$5)</f>
        <v>0</v>
      </c>
      <c r="AU12" s="18">
        <f>SUMIFS(ps!$N:$N,ps!$B:$B,喷水汇总表!$A12,ps!$I:$I,喷水汇总表!$X$4&amp;"/"&amp;喷水汇总表!$Y$4&amp;"/"&amp;喷水汇总表!AU$5)</f>
        <v>0</v>
      </c>
      <c r="AV12" s="18">
        <f>SUMIFS(ps!$N:$N,ps!$B:$B,喷水汇总表!$A12,ps!$I:$I,喷水汇总表!$X$4&amp;"/"&amp;喷水汇总表!$Y$4&amp;"/"&amp;喷水汇总表!AV$5)</f>
        <v>0</v>
      </c>
      <c r="AW12" s="18">
        <f>SUMIFS(ps!$N:$N,ps!$B:$B,喷水汇总表!$A12,ps!$I:$I,喷水汇总表!$X$4&amp;"/"&amp;喷水汇总表!$Y$4&amp;"/"&amp;喷水汇总表!AW$5)</f>
        <v>0</v>
      </c>
      <c r="AX12" s="18">
        <f>SUMIFS(ps!$N:$N,ps!$B:$B,喷水汇总表!$A12,ps!$I:$I,喷水汇总表!$X$4&amp;"/"&amp;喷水汇总表!$Y$4&amp;"/"&amp;喷水汇总表!AX$5)</f>
        <v>0</v>
      </c>
      <c r="AY12" s="18">
        <f>SUMIFS(ps!$N:$N,ps!$B:$B,喷水汇总表!$A12,ps!$I:$I,喷水汇总表!$X$4&amp;"/"&amp;喷水汇总表!$Y$4&amp;"/"&amp;喷水汇总表!AY$5)</f>
        <v>0</v>
      </c>
      <c r="AZ12" s="18">
        <f>SUMIFS(ps!$N:$N,ps!$B:$B,喷水汇总表!$A12,ps!$I:$I,喷水汇总表!$X$4&amp;"/"&amp;喷水汇总表!$Y$4&amp;"/"&amp;喷水汇总表!AZ$5)</f>
        <v>0</v>
      </c>
      <c r="BA12" s="18">
        <f>SUMIFS(ps!$N:$N,ps!$B:$B,喷水汇总表!$A12,ps!$I:$I,喷水汇总表!$X$4&amp;"/"&amp;喷水汇总表!$Y$4&amp;"/"&amp;喷水汇总表!BA$5)</f>
        <v>0</v>
      </c>
      <c r="BB12" s="18">
        <f>SUMIFS(ps!$N:$N,ps!$B:$B,喷水汇总表!$A12,ps!$I:$I,喷水汇总表!$X$4&amp;"/"&amp;喷水汇总表!$Y$4&amp;"/"&amp;喷水汇总表!BB$5)</f>
        <v>0</v>
      </c>
      <c r="BC12" s="18">
        <f>SUMIFS(ps!$N:$N,ps!$B:$B,喷水汇总表!$A12,ps!$I:$I,喷水汇总表!$X$4&amp;"/"&amp;喷水汇总表!$Y$4&amp;"/"&amp;喷水汇总表!BC$5)</f>
        <v>0</v>
      </c>
    </row>
    <row r="13" spans="1:55" ht="18" customHeight="1">
      <c r="A13" s="96" t="s">
        <v>1086</v>
      </c>
      <c r="B13" s="176" t="str">
        <f>IF(A13="","",VLOOKUP(A13,经纬!B:C,2,FALSE))</f>
        <v>200*300</v>
      </c>
      <c r="C13" s="176" t="str">
        <f t="shared" si="0"/>
        <v>180</v>
      </c>
      <c r="D13" s="176">
        <f>IF(A13="","",VLOOKUP(A13,经纬!B:G,6,FALSE))</f>
        <v>116</v>
      </c>
      <c r="E13" s="44">
        <f>IF($T$4="",SUMIFS(ps!$N:$N,ps!$B:$B,喷水汇总表!$A13,ps!$H:$H,喷水汇总表!E$5,ps!$R:$R,喷水汇总表!$Y$4),SUMIFS(ps!$N:$N,ps!$B:$B,喷水汇总表!$A13,ps!$H:$H,喷水汇总表!E$5,ps!$I:$I,喷水汇总表!$T$4))</f>
        <v>0</v>
      </c>
      <c r="F13" s="44">
        <f>IF($T$4="",SUMIFS(ps!$N:$N,ps!$B:$B,喷水汇总表!$A13,ps!$H:$H,喷水汇总表!F$5,ps!$R:$R,喷水汇总表!$Y$4),SUMIFS(ps!$N:$N,ps!$B:$B,喷水汇总表!$A13,ps!$H:$H,喷水汇总表!F$5,ps!$I:$I,喷水汇总表!$T$4))</f>
        <v>0</v>
      </c>
      <c r="G13" s="44">
        <f>IF($T$4="",SUMIFS(ps!$N:$N,ps!$B:$B,喷水汇总表!$A13,ps!$H:$H,喷水汇总表!G$5,ps!$R:$R,喷水汇总表!$Y$4),SUMIFS(ps!$N:$N,ps!$B:$B,喷水汇总表!$A13,ps!$H:$H,喷水汇总表!G$5,ps!$I:$I,喷水汇总表!$T$4))</f>
        <v>6400</v>
      </c>
      <c r="H13" s="248">
        <f>IF($T$4="",SUMIFS(ps!$N:$N,ps!$B:$B,喷水汇总表!$A13,ps!$G:$G,喷水汇总表!H$5,ps!$R:$R,喷水汇总表!$Y$4),SUMIFS(ps!$N:$N,ps!$B:$B,喷水汇总表!$A13,ps!$G:$G,喷水汇总表!H$5,ps!$I:$I,喷水汇总表!$T$4))</f>
        <v>0</v>
      </c>
      <c r="I13" s="248">
        <f>IF($T$4="",SUMIFS(ps!$N:$N,ps!$B:$B,喷水汇总表!$A13,ps!$G:$G,喷水汇总表!I$5,ps!$R:$R,喷水汇总表!$Y$4),SUMIFS(ps!$N:$N,ps!$B:$B,喷水汇总表!$A13,ps!$G:$G,喷水汇总表!I$5,ps!$I:$I,喷水汇总表!$T$4))</f>
        <v>6400</v>
      </c>
      <c r="J13" s="248">
        <f>IF($T$4="",SUMIFS(ps!$N:$N,ps!$B:$B,喷水汇总表!$A13,ps!$G:$G,喷水汇总表!J$5,ps!$R:$R,喷水汇总表!$Y$4),SUMIFS(ps!$N:$N,ps!$B:$B,喷水汇总表!$A13,ps!$G:$G,喷水汇总表!J$5,ps!$I:$I,喷水汇总表!$T$4))</f>
        <v>0</v>
      </c>
      <c r="K13" s="248">
        <f>IF($T$4="",SUMIFS(ps!$N:$N,ps!$B:$B,喷水汇总表!$A13,ps!$G:$G,喷水汇总表!K$5,ps!$R:$R,喷水汇总表!$Y$4),SUMIFS(ps!$N:$N,ps!$B:$B,喷水汇总表!$A13,ps!$G:$G,喷水汇总表!K$5,ps!$I:$I,喷水汇总表!$T$4))</f>
        <v>0</v>
      </c>
      <c r="L13" s="248">
        <f>IF($T$4="",SUMIFS(ps!$N:$N,ps!$B:$B,喷水汇总表!$A13,ps!$G:$G,喷水汇总表!L$5,ps!$R:$R,喷水汇总表!$Y$4),SUMIFS(ps!$N:$N,ps!$B:$B,喷水汇总表!$A13,ps!$G:$G,喷水汇总表!L$5,ps!$I:$I,喷水汇总表!$T$4))</f>
        <v>0</v>
      </c>
      <c r="M13" s="248">
        <f>IF($T$4="",SUMIFS(ps!$N:$N,ps!$B:$B,喷水汇总表!$A13,ps!$G:$G,喷水汇总表!M$5,ps!$R:$R,喷水汇总表!$Y$4),SUMIFS(ps!$N:$N,ps!$B:$B,喷水汇总表!$A13,ps!$G:$G,喷水汇总表!M$5,ps!$I:$I,喷水汇总表!$T$4))</f>
        <v>0</v>
      </c>
      <c r="N13" s="248">
        <f>IF($T$4="",SUMIFS(ps!$N:$N,ps!$B:$B,喷水汇总表!$A13,ps!$G:$G,喷水汇总表!N$5,ps!$R:$R,喷水汇总表!$Y$4),SUMIFS(ps!$N:$N,ps!$B:$B,喷水汇总表!$A13,ps!$G:$G,喷水汇总表!N$5,ps!$I:$I,喷水汇总表!$T$4))</f>
        <v>0</v>
      </c>
      <c r="O13" s="248">
        <f>IF($T$4="",SUMIFS(ps!$L:$L,ps!$B:$B,喷水汇总表!$A13,ps!$J:$J,喷水汇总表!O$5,ps!$F:$F,喷水汇总表!$W$4,ps!$R:$R,喷水汇总表!$Y$4)+SUMIFS(ps!$M:$M,ps!$B:$B,喷水汇总表!$A13,ps!$K:$K,喷水汇总表!O$5,ps!$F:$F,喷水汇总表!$W$4,ps!$R:$R,喷水汇总表!$Y$4),SUMIFS(ps!$L:$L,ps!$B:$B,喷水汇总表!$A13,ps!$J:$J,喷水汇总表!O$5,ps!$F:$F,喷水汇总表!$W$4,ps!$I:$I,喷水汇总表!$T$4)+SUMIFS(ps!$M:$M,ps!$B:$B,喷水汇总表!$A13,ps!$K:$K,喷水汇总表!O$5,ps!$F:$F,喷水汇总表!$W$4,ps!$I:$I,喷水汇总表!$T$4))</f>
        <v>0</v>
      </c>
      <c r="P13" s="248">
        <f>IF($T$4="",SUMIFS(ps!$L:$L,ps!$B:$B,喷水汇总表!$A13,ps!$J:$J,喷水汇总表!P$5,ps!$F:$F,喷水汇总表!$W$4,ps!$R:$R,喷水汇总表!$Y$4)+SUMIFS(ps!$M:$M,ps!$B:$B,喷水汇总表!$A13,ps!$K:$K,喷水汇总表!P$5,ps!$F:$F,喷水汇总表!$W$4,ps!$R:$R,喷水汇总表!$Y$4),SUMIFS(ps!$L:$L,ps!$B:$B,喷水汇总表!$A13,ps!$J:$J,喷水汇总表!P$5,ps!$F:$F,喷水汇总表!$W$4,ps!$I:$I,喷水汇总表!$T$4)+SUMIFS(ps!$M:$M,ps!$B:$B,喷水汇总表!$A13,ps!$K:$K,喷水汇总表!P$5,ps!$F:$F,喷水汇总表!$W$4,ps!$I:$I,喷水汇总表!$T$4))</f>
        <v>0</v>
      </c>
      <c r="Q13" s="248">
        <f>IF($T$4="",SUMIFS(ps!$L:$L,ps!$B:$B,喷水汇总表!$A13,ps!$J:$J,喷水汇总表!Q$5,ps!$F:$F,喷水汇总表!$W$4,ps!$R:$R,喷水汇总表!$Y$4)+SUMIFS(ps!$M:$M,ps!$B:$B,喷水汇总表!$A13,ps!$K:$K,喷水汇总表!Q$5,ps!$F:$F,喷水汇总表!$W$4,ps!$R:$R,喷水汇总表!$Y$4),SUMIFS(ps!$L:$L,ps!$B:$B,喷水汇总表!$A13,ps!$J:$J,喷水汇总表!Q$5,ps!$F:$F,喷水汇总表!$W$4,ps!$I:$I,喷水汇总表!$T$4)+SUMIFS(ps!$M:$M,ps!$B:$B,喷水汇总表!$A13,ps!$K:$K,喷水汇总表!Q$5,ps!$F:$F,喷水汇总表!$W$4,ps!$I:$I,喷水汇总表!$T$4))</f>
        <v>0</v>
      </c>
      <c r="R13" s="248">
        <f>IF($T$4="",SUMIFS(ps!$L:$L,ps!$B:$B,喷水汇总表!$A13,ps!$J:$J,喷水汇总表!R$5,ps!$F:$F,喷水汇总表!$W$4,ps!$R:$R,喷水汇总表!$Y$4)+SUMIFS(ps!$M:$M,ps!$B:$B,喷水汇总表!$A13,ps!$K:$K,喷水汇总表!R$5,ps!$F:$F,喷水汇总表!$W$4,ps!$R:$R,喷水汇总表!$Y$4),SUMIFS(ps!$L:$L,ps!$B:$B,喷水汇总表!$A13,ps!$J:$J,喷水汇总表!R$5,ps!$F:$F,喷水汇总表!$W$4,ps!$I:$I,喷水汇总表!$T$4)+SUMIFS(ps!$M:$M,ps!$B:$B,喷水汇总表!$A13,ps!$K:$K,喷水汇总表!R$5,ps!$F:$F,喷水汇总表!$W$4,ps!$I:$I,喷水汇总表!$T$4))</f>
        <v>0</v>
      </c>
      <c r="S13" s="248">
        <f>IF($T$4="",SUMIFS(ps!$L:$L,ps!$B:$B,喷水汇总表!$A13,ps!$J:$J,喷水汇总表!S$5,ps!$F:$F,喷水汇总表!$W$4,ps!$R:$R,喷水汇总表!$Y$4)+SUMIFS(ps!$M:$M,ps!$B:$B,喷水汇总表!$A13,ps!$K:$K,喷水汇总表!S$5,ps!$F:$F,喷水汇总表!$W$4,ps!$R:$R,喷水汇总表!$Y$4),SUMIFS(ps!$L:$L,ps!$B:$B,喷水汇总表!$A13,ps!$J:$J,喷水汇总表!S$5,ps!$F:$F,喷水汇总表!$W$4,ps!$I:$I,喷水汇总表!$T$4)+SUMIFS(ps!$M:$M,ps!$B:$B,喷水汇总表!$A13,ps!$K:$K,喷水汇总表!S$5,ps!$F:$F,喷水汇总表!$W$4,ps!$I:$I,喷水汇总表!$T$4))</f>
        <v>0</v>
      </c>
      <c r="T13" s="248">
        <f>IF($T$4="",SUMIFS(ps!$L:$L,ps!$B:$B,喷水汇总表!$A13,ps!$J:$J,喷水汇总表!T$5,ps!$F:$F,喷水汇总表!$W$4,ps!$R:$R,喷水汇总表!$Y$4)+SUMIFS(ps!$M:$M,ps!$B:$B,喷水汇总表!$A13,ps!$K:$K,喷水汇总表!T$5,ps!$F:$F,喷水汇总表!$W$4,ps!$R:$R,喷水汇总表!$Y$4),SUMIFS(ps!$L:$L,ps!$B:$B,喷水汇总表!$A13,ps!$J:$J,喷水汇总表!T$5,ps!$F:$F,喷水汇总表!$W$4,ps!$I:$I,喷水汇总表!$T$4)+SUMIFS(ps!$M:$M,ps!$B:$B,喷水汇总表!$A13,ps!$K:$K,喷水汇总表!T$5,ps!$F:$F,喷水汇总表!$W$4,ps!$I:$I,喷水汇总表!$T$4))</f>
        <v>0</v>
      </c>
      <c r="U13" s="248">
        <f>IF($T$4="",SUMIFS(ps!$L:$L,ps!$B:$B,喷水汇总表!$A13,ps!$J:$J,喷水汇总表!U$5,ps!$F:$F,喷水汇总表!$W$4,ps!$R:$R,喷水汇总表!$Y$4)+SUMIFS(ps!$M:$M,ps!$B:$B,喷水汇总表!$A13,ps!$K:$K,喷水汇总表!U$5,ps!$F:$F,喷水汇总表!$W$4,ps!$R:$R,喷水汇总表!$Y$4),SUMIFS(ps!$L:$L,ps!$B:$B,喷水汇总表!$A13,ps!$J:$J,喷水汇总表!U$5,ps!$F:$F,喷水汇总表!$W$4,ps!$I:$I,喷水汇总表!$T$4)+SUMIFS(ps!$M:$M,ps!$B:$B,喷水汇总表!$A13,ps!$K:$K,喷水汇总表!U$5,ps!$F:$F,喷水汇总表!$W$4,ps!$I:$I,喷水汇总表!$T$4))</f>
        <v>0</v>
      </c>
      <c r="V13" s="248">
        <f>IF($T$4="",SUMIFS(ps!$L:$L,ps!$B:$B,喷水汇总表!$A13,ps!$J:$J,喷水汇总表!V$5,ps!$F:$F,喷水汇总表!$W$4,ps!$R:$R,喷水汇总表!$Y$4)+SUMIFS(ps!$M:$M,ps!$B:$B,喷水汇总表!$A13,ps!$K:$K,喷水汇总表!V$5,ps!$F:$F,喷水汇总表!$W$4,ps!$R:$R,喷水汇总表!$Y$4),SUMIFS(ps!$L:$L,ps!$B:$B,喷水汇总表!$A13,ps!$J:$J,喷水汇总表!V$5,ps!$F:$F,喷水汇总表!$W$4,ps!$I:$I,喷水汇总表!$T$4)+SUMIFS(ps!$M:$M,ps!$B:$B,喷水汇总表!$A13,ps!$K:$K,喷水汇总表!V$5,ps!$F:$F,喷水汇总表!$W$4,ps!$I:$I,喷水汇总表!$T$4))</f>
        <v>536.74666666666667</v>
      </c>
      <c r="W13" s="248">
        <f>IF($T$4="",SUMIFS(ps!$L:$L,ps!$B:$B,喷水汇总表!$A13,ps!$J:$J,喷水汇总表!W$5,ps!$F:$F,喷水汇总表!$W$4,ps!$R:$R,喷水汇总表!$Y$4)+SUMIFS(ps!$M:$M,ps!$B:$B,喷水汇总表!$A13,ps!$K:$K,喷水汇总表!W$5,ps!$F:$F,喷水汇总表!$W$4,ps!$R:$R,喷水汇总表!$Y$4),SUMIFS(ps!$L:$L,ps!$B:$B,喷水汇总表!$A13,ps!$J:$J,喷水汇总表!W$5,ps!$F:$F,喷水汇总表!$W$4,ps!$I:$I,喷水汇总表!$T$4)+SUMIFS(ps!$M:$M,ps!$B:$B,喷水汇总表!$A13,ps!$K:$K,喷水汇总表!W$5,ps!$F:$F,喷水汇总表!$W$4,ps!$I:$I,喷水汇总表!$T$4))</f>
        <v>524.09448818897636</v>
      </c>
      <c r="X13" s="15">
        <f t="shared" si="1"/>
        <v>24990</v>
      </c>
      <c r="Y13" s="18">
        <f>SUMIFS(ps!$N:$N,ps!$B:$B,喷水汇总表!$A13,ps!$I:$I,喷水汇总表!$X$4&amp;"/"&amp;喷水汇总表!$Y$4&amp;"/"&amp;喷水汇总表!Y$5)</f>
        <v>0</v>
      </c>
      <c r="Z13" s="18">
        <f>SUMIFS(ps!$N:$N,ps!$B:$B,喷水汇总表!$A13,ps!$I:$I,喷水汇总表!$X$4&amp;"/"&amp;喷水汇总表!$Y$4&amp;"/"&amp;喷水汇总表!Z$5)</f>
        <v>6400</v>
      </c>
      <c r="AA13" s="18">
        <f>SUMIFS(ps!$N:$N,ps!$B:$B,喷水汇总表!$A13,ps!$I:$I,喷水汇总表!$X$4&amp;"/"&amp;喷水汇总表!$Y$4&amp;"/"&amp;喷水汇总表!AA$5)</f>
        <v>5790</v>
      </c>
      <c r="AB13" s="18">
        <f>SUMIFS(ps!$N:$N,ps!$B:$B,喷水汇总表!$A13,ps!$I:$I,喷水汇总表!$X$4&amp;"/"&amp;喷水汇总表!$Y$4&amp;"/"&amp;喷水汇总表!AB$5)</f>
        <v>6400</v>
      </c>
      <c r="AC13" s="18">
        <f>SUMIFS(ps!$N:$N,ps!$B:$B,喷水汇总表!$A13,ps!$I:$I,喷水汇总表!$X$4&amp;"/"&amp;喷水汇总表!$Y$4&amp;"/"&amp;喷水汇总表!AC$5)</f>
        <v>6400</v>
      </c>
      <c r="AD13" s="18">
        <f>SUMIFS(ps!$N:$N,ps!$B:$B,喷水汇总表!$A13,ps!$I:$I,喷水汇总表!$X$4&amp;"/"&amp;喷水汇总表!$Y$4&amp;"/"&amp;喷水汇总表!AD$5)</f>
        <v>0</v>
      </c>
      <c r="AE13" s="18">
        <f>SUMIFS(ps!$N:$N,ps!$B:$B,喷水汇总表!$A13,ps!$I:$I,喷水汇总表!$X$4&amp;"/"&amp;喷水汇总表!$Y$4&amp;"/"&amp;喷水汇总表!AE$5)</f>
        <v>0</v>
      </c>
      <c r="AF13" s="18">
        <f>SUMIFS(ps!$N:$N,ps!$B:$B,喷水汇总表!$A13,ps!$I:$I,喷水汇总表!$X$4&amp;"/"&amp;喷水汇总表!$Y$4&amp;"/"&amp;喷水汇总表!AF$5)</f>
        <v>0</v>
      </c>
      <c r="AG13" s="18">
        <f>SUMIFS(ps!$N:$N,ps!$B:$B,喷水汇总表!$A13,ps!$I:$I,喷水汇总表!$X$4&amp;"/"&amp;喷水汇总表!$Y$4&amp;"/"&amp;喷水汇总表!AG$5)</f>
        <v>0</v>
      </c>
      <c r="AH13" s="18">
        <f>SUMIFS(ps!$N:$N,ps!$B:$B,喷水汇总表!$A13,ps!$I:$I,喷水汇总表!$X$4&amp;"/"&amp;喷水汇总表!$Y$4&amp;"/"&amp;喷水汇总表!AH$5)</f>
        <v>0</v>
      </c>
      <c r="AI13" s="18">
        <f>SUMIFS(ps!$N:$N,ps!$B:$B,喷水汇总表!$A13,ps!$I:$I,喷水汇总表!$X$4&amp;"/"&amp;喷水汇总表!$Y$4&amp;"/"&amp;喷水汇总表!AI$5)</f>
        <v>0</v>
      </c>
      <c r="AJ13" s="18">
        <f>SUMIFS(ps!$N:$N,ps!$B:$B,喷水汇总表!$A13,ps!$I:$I,喷水汇总表!$X$4&amp;"/"&amp;喷水汇总表!$Y$4&amp;"/"&amp;喷水汇总表!AJ$5)</f>
        <v>0</v>
      </c>
      <c r="AK13" s="18">
        <f>SUMIFS(ps!$N:$N,ps!$B:$B,喷水汇总表!$A13,ps!$I:$I,喷水汇总表!$X$4&amp;"/"&amp;喷水汇总表!$Y$4&amp;"/"&amp;喷水汇总表!AK$5)</f>
        <v>0</v>
      </c>
      <c r="AL13" s="18">
        <f>SUMIFS(ps!$N:$N,ps!$B:$B,喷水汇总表!$A13,ps!$I:$I,喷水汇总表!$X$4&amp;"/"&amp;喷水汇总表!$Y$4&amp;"/"&amp;喷水汇总表!AL$5)</f>
        <v>0</v>
      </c>
      <c r="AM13" s="18">
        <f>SUMIFS(ps!$N:$N,ps!$B:$B,喷水汇总表!$A13,ps!$I:$I,喷水汇总表!$X$4&amp;"/"&amp;喷水汇总表!$Y$4&amp;"/"&amp;喷水汇总表!AM$5)</f>
        <v>0</v>
      </c>
      <c r="AN13" s="18">
        <f>SUMIFS(ps!$N:$N,ps!$B:$B,喷水汇总表!$A13,ps!$I:$I,喷水汇总表!$X$4&amp;"/"&amp;喷水汇总表!$Y$4&amp;"/"&amp;喷水汇总表!AN$5)</f>
        <v>0</v>
      </c>
      <c r="AO13" s="18">
        <f>SUMIFS(ps!$N:$N,ps!$B:$B,喷水汇总表!$A13,ps!$I:$I,喷水汇总表!$X$4&amp;"/"&amp;喷水汇总表!$Y$4&amp;"/"&amp;喷水汇总表!AO$5)</f>
        <v>0</v>
      </c>
      <c r="AP13" s="18">
        <f>SUMIFS(ps!$N:$N,ps!$B:$B,喷水汇总表!$A13,ps!$I:$I,喷水汇总表!$X$4&amp;"/"&amp;喷水汇总表!$Y$4&amp;"/"&amp;喷水汇总表!AP$5)</f>
        <v>0</v>
      </c>
      <c r="AQ13" s="18">
        <f>SUMIFS(ps!$N:$N,ps!$B:$B,喷水汇总表!$A13,ps!$I:$I,喷水汇总表!$X$4&amp;"/"&amp;喷水汇总表!$Y$4&amp;"/"&amp;喷水汇总表!AQ$5)</f>
        <v>0</v>
      </c>
      <c r="AR13" s="18">
        <f>SUMIFS(ps!$N:$N,ps!$B:$B,喷水汇总表!$A13,ps!$I:$I,喷水汇总表!$X$4&amp;"/"&amp;喷水汇总表!$Y$4&amp;"/"&amp;喷水汇总表!AR$5)</f>
        <v>0</v>
      </c>
      <c r="AS13" s="18">
        <f>SUMIFS(ps!$N:$N,ps!$B:$B,喷水汇总表!$A13,ps!$I:$I,喷水汇总表!$X$4&amp;"/"&amp;喷水汇总表!$Y$4&amp;"/"&amp;喷水汇总表!AS$5)</f>
        <v>0</v>
      </c>
      <c r="AT13" s="18">
        <f>SUMIFS(ps!$N:$N,ps!$B:$B,喷水汇总表!$A13,ps!$I:$I,喷水汇总表!$X$4&amp;"/"&amp;喷水汇总表!$Y$4&amp;"/"&amp;喷水汇总表!AT$5)</f>
        <v>0</v>
      </c>
      <c r="AU13" s="18">
        <f>SUMIFS(ps!$N:$N,ps!$B:$B,喷水汇总表!$A13,ps!$I:$I,喷水汇总表!$X$4&amp;"/"&amp;喷水汇总表!$Y$4&amp;"/"&amp;喷水汇总表!AU$5)</f>
        <v>0</v>
      </c>
      <c r="AV13" s="18">
        <f>SUMIFS(ps!$N:$N,ps!$B:$B,喷水汇总表!$A13,ps!$I:$I,喷水汇总表!$X$4&amp;"/"&amp;喷水汇总表!$Y$4&amp;"/"&amp;喷水汇总表!AV$5)</f>
        <v>0</v>
      </c>
      <c r="AW13" s="18">
        <f>SUMIFS(ps!$N:$N,ps!$B:$B,喷水汇总表!$A13,ps!$I:$I,喷水汇总表!$X$4&amp;"/"&amp;喷水汇总表!$Y$4&amp;"/"&amp;喷水汇总表!AW$5)</f>
        <v>0</v>
      </c>
      <c r="AX13" s="18">
        <f>SUMIFS(ps!$N:$N,ps!$B:$B,喷水汇总表!$A13,ps!$I:$I,喷水汇总表!$X$4&amp;"/"&amp;喷水汇总表!$Y$4&amp;"/"&amp;喷水汇总表!AX$5)</f>
        <v>0</v>
      </c>
      <c r="AY13" s="18">
        <f>SUMIFS(ps!$N:$N,ps!$B:$B,喷水汇总表!$A13,ps!$I:$I,喷水汇总表!$X$4&amp;"/"&amp;喷水汇总表!$Y$4&amp;"/"&amp;喷水汇总表!AY$5)</f>
        <v>0</v>
      </c>
      <c r="AZ13" s="18">
        <f>SUMIFS(ps!$N:$N,ps!$B:$B,喷水汇总表!$A13,ps!$I:$I,喷水汇总表!$X$4&amp;"/"&amp;喷水汇总表!$Y$4&amp;"/"&amp;喷水汇总表!AZ$5)</f>
        <v>0</v>
      </c>
      <c r="BA13" s="18">
        <f>SUMIFS(ps!$N:$N,ps!$B:$B,喷水汇总表!$A13,ps!$I:$I,喷水汇总表!$X$4&amp;"/"&amp;喷水汇总表!$Y$4&amp;"/"&amp;喷水汇总表!BA$5)</f>
        <v>0</v>
      </c>
      <c r="BB13" s="18">
        <f>SUMIFS(ps!$N:$N,ps!$B:$B,喷水汇总表!$A13,ps!$I:$I,喷水汇总表!$X$4&amp;"/"&amp;喷水汇总表!$Y$4&amp;"/"&amp;喷水汇总表!BB$5)</f>
        <v>0</v>
      </c>
      <c r="BC13" s="18">
        <f>SUMIFS(ps!$N:$N,ps!$B:$B,喷水汇总表!$A13,ps!$I:$I,喷水汇总表!$X$4&amp;"/"&amp;喷水汇总表!$Y$4&amp;"/"&amp;喷水汇总表!BC$5)</f>
        <v>0</v>
      </c>
    </row>
    <row r="14" spans="1:55" ht="18" customHeight="1">
      <c r="A14" s="96" t="s">
        <v>1085</v>
      </c>
      <c r="B14" s="176" t="str">
        <f>IF(A14="","",VLOOKUP(A14,经纬!B:C,2,FALSE))</f>
        <v>200*300</v>
      </c>
      <c r="C14" s="176" t="str">
        <f t="shared" si="0"/>
        <v>180</v>
      </c>
      <c r="D14" s="176">
        <f>IF(A14="","",VLOOKUP(A14,经纬!B:G,6,FALSE))</f>
        <v>106</v>
      </c>
      <c r="E14" s="44">
        <f>IF($T$4="",SUMIFS(ps!$N:$N,ps!$B:$B,喷水汇总表!$A14,ps!$H:$H,喷水汇总表!E$5,ps!$R:$R,喷水汇总表!$Y$4),SUMIFS(ps!$N:$N,ps!$B:$B,喷水汇总表!$A14,ps!$H:$H,喷水汇总表!E$5,ps!$I:$I,喷水汇总表!$T$4))</f>
        <v>0</v>
      </c>
      <c r="F14" s="44">
        <f>IF($T$4="",SUMIFS(ps!$N:$N,ps!$B:$B,喷水汇总表!$A14,ps!$H:$H,喷水汇总表!F$5,ps!$R:$R,喷水汇总表!$Y$4),SUMIFS(ps!$N:$N,ps!$B:$B,喷水汇总表!$A14,ps!$H:$H,喷水汇总表!F$5,ps!$I:$I,喷水汇总表!$T$4))</f>
        <v>0</v>
      </c>
      <c r="G14" s="44">
        <f>IF($T$4="",SUMIFS(ps!$N:$N,ps!$B:$B,喷水汇总表!$A14,ps!$H:$H,喷水汇总表!G$5,ps!$R:$R,喷水汇总表!$Y$4),SUMIFS(ps!$N:$N,ps!$B:$B,喷水汇总表!$A14,ps!$H:$H,喷水汇总表!G$5,ps!$I:$I,喷水汇总表!$T$4))</f>
        <v>6800</v>
      </c>
      <c r="H14" s="248">
        <f>IF($T$4="",SUMIFS(ps!$N:$N,ps!$B:$B,喷水汇总表!$A14,ps!$G:$G,喷水汇总表!H$5,ps!$R:$R,喷水汇总表!$Y$4),SUMIFS(ps!$N:$N,ps!$B:$B,喷水汇总表!$A14,ps!$G:$G,喷水汇总表!H$5,ps!$I:$I,喷水汇总表!$T$4))</f>
        <v>0</v>
      </c>
      <c r="I14" s="248">
        <f>IF($T$4="",SUMIFS(ps!$N:$N,ps!$B:$B,喷水汇总表!$A14,ps!$G:$G,喷水汇总表!I$5,ps!$R:$R,喷水汇总表!$Y$4),SUMIFS(ps!$N:$N,ps!$B:$B,喷水汇总表!$A14,ps!$G:$G,喷水汇总表!I$5,ps!$I:$I,喷水汇总表!$T$4))</f>
        <v>6800</v>
      </c>
      <c r="J14" s="248">
        <f>IF($T$4="",SUMIFS(ps!$N:$N,ps!$B:$B,喷水汇总表!$A14,ps!$G:$G,喷水汇总表!J$5,ps!$R:$R,喷水汇总表!$Y$4),SUMIFS(ps!$N:$N,ps!$B:$B,喷水汇总表!$A14,ps!$G:$G,喷水汇总表!J$5,ps!$I:$I,喷水汇总表!$T$4))</f>
        <v>0</v>
      </c>
      <c r="K14" s="248">
        <f>IF($T$4="",SUMIFS(ps!$N:$N,ps!$B:$B,喷水汇总表!$A14,ps!$G:$G,喷水汇总表!K$5,ps!$R:$R,喷水汇总表!$Y$4),SUMIFS(ps!$N:$N,ps!$B:$B,喷水汇总表!$A14,ps!$G:$G,喷水汇总表!K$5,ps!$I:$I,喷水汇总表!$T$4))</f>
        <v>0</v>
      </c>
      <c r="L14" s="248">
        <f>IF($T$4="",SUMIFS(ps!$N:$N,ps!$B:$B,喷水汇总表!$A14,ps!$G:$G,喷水汇总表!L$5,ps!$R:$R,喷水汇总表!$Y$4),SUMIFS(ps!$N:$N,ps!$B:$B,喷水汇总表!$A14,ps!$G:$G,喷水汇总表!L$5,ps!$I:$I,喷水汇总表!$T$4))</f>
        <v>0</v>
      </c>
      <c r="M14" s="248">
        <f>IF($T$4="",SUMIFS(ps!$N:$N,ps!$B:$B,喷水汇总表!$A14,ps!$G:$G,喷水汇总表!M$5,ps!$R:$R,喷水汇总表!$Y$4),SUMIFS(ps!$N:$N,ps!$B:$B,喷水汇总表!$A14,ps!$G:$G,喷水汇总表!M$5,ps!$I:$I,喷水汇总表!$T$4))</f>
        <v>0</v>
      </c>
      <c r="N14" s="248">
        <f>IF($T$4="",SUMIFS(ps!$N:$N,ps!$B:$B,喷水汇总表!$A14,ps!$G:$G,喷水汇总表!N$5,ps!$R:$R,喷水汇总表!$Y$4),SUMIFS(ps!$N:$N,ps!$B:$B,喷水汇总表!$A14,ps!$G:$G,喷水汇总表!N$5,ps!$I:$I,喷水汇总表!$T$4))</f>
        <v>0</v>
      </c>
      <c r="O14" s="248">
        <f>IF($T$4="",SUMIFS(ps!$L:$L,ps!$B:$B,喷水汇总表!$A14,ps!$J:$J,喷水汇总表!O$5,ps!$F:$F,喷水汇总表!$W$4,ps!$R:$R,喷水汇总表!$Y$4)+SUMIFS(ps!$M:$M,ps!$B:$B,喷水汇总表!$A14,ps!$K:$K,喷水汇总表!O$5,ps!$F:$F,喷水汇总表!$W$4,ps!$R:$R,喷水汇总表!$Y$4),SUMIFS(ps!$L:$L,ps!$B:$B,喷水汇总表!$A14,ps!$J:$J,喷水汇总表!O$5,ps!$F:$F,喷水汇总表!$W$4,ps!$I:$I,喷水汇总表!$T$4)+SUMIFS(ps!$M:$M,ps!$B:$B,喷水汇总表!$A14,ps!$K:$K,喷水汇总表!O$5,ps!$F:$F,喷水汇总表!$W$4,ps!$I:$I,喷水汇总表!$T$4))</f>
        <v>0</v>
      </c>
      <c r="P14" s="248">
        <f>IF($T$4="",SUMIFS(ps!$L:$L,ps!$B:$B,喷水汇总表!$A14,ps!$J:$J,喷水汇总表!P$5,ps!$F:$F,喷水汇总表!$W$4,ps!$R:$R,喷水汇总表!$Y$4)+SUMIFS(ps!$M:$M,ps!$B:$B,喷水汇总表!$A14,ps!$K:$K,喷水汇总表!P$5,ps!$F:$F,喷水汇总表!$W$4,ps!$R:$R,喷水汇总表!$Y$4),SUMIFS(ps!$L:$L,ps!$B:$B,喷水汇总表!$A14,ps!$J:$J,喷水汇总表!P$5,ps!$F:$F,喷水汇总表!$W$4,ps!$I:$I,喷水汇总表!$T$4)+SUMIFS(ps!$M:$M,ps!$B:$B,喷水汇总表!$A14,ps!$K:$K,喷水汇总表!P$5,ps!$F:$F,喷水汇总表!$W$4,ps!$I:$I,喷水汇总表!$T$4))</f>
        <v>0</v>
      </c>
      <c r="Q14" s="248">
        <f>IF($T$4="",SUMIFS(ps!$L:$L,ps!$B:$B,喷水汇总表!$A14,ps!$J:$J,喷水汇总表!Q$5,ps!$F:$F,喷水汇总表!$W$4,ps!$R:$R,喷水汇总表!$Y$4)+SUMIFS(ps!$M:$M,ps!$B:$B,喷水汇总表!$A14,ps!$K:$K,喷水汇总表!Q$5,ps!$F:$F,喷水汇总表!$W$4,ps!$R:$R,喷水汇总表!$Y$4),SUMIFS(ps!$L:$L,ps!$B:$B,喷水汇总表!$A14,ps!$J:$J,喷水汇总表!Q$5,ps!$F:$F,喷水汇总表!$W$4,ps!$I:$I,喷水汇总表!$T$4)+SUMIFS(ps!$M:$M,ps!$B:$B,喷水汇总表!$A14,ps!$K:$K,喷水汇总表!Q$5,ps!$F:$F,喷水汇总表!$W$4,ps!$I:$I,喷水汇总表!$T$4))</f>
        <v>0</v>
      </c>
      <c r="R14" s="248">
        <f>IF($T$4="",SUMIFS(ps!$L:$L,ps!$B:$B,喷水汇总表!$A14,ps!$J:$J,喷水汇总表!R$5,ps!$F:$F,喷水汇总表!$W$4,ps!$R:$R,喷水汇总表!$Y$4)+SUMIFS(ps!$M:$M,ps!$B:$B,喷水汇总表!$A14,ps!$K:$K,喷水汇总表!R$5,ps!$F:$F,喷水汇总表!$W$4,ps!$R:$R,喷水汇总表!$Y$4),SUMIFS(ps!$L:$L,ps!$B:$B,喷水汇总表!$A14,ps!$J:$J,喷水汇总表!R$5,ps!$F:$F,喷水汇总表!$W$4,ps!$I:$I,喷水汇总表!$T$4)+SUMIFS(ps!$M:$M,ps!$B:$B,喷水汇总表!$A14,ps!$K:$K,喷水汇总表!R$5,ps!$F:$F,喷水汇总表!$W$4,ps!$I:$I,喷水汇总表!$T$4))</f>
        <v>0</v>
      </c>
      <c r="S14" s="248">
        <f>IF($T$4="",SUMIFS(ps!$L:$L,ps!$B:$B,喷水汇总表!$A14,ps!$J:$J,喷水汇总表!S$5,ps!$F:$F,喷水汇总表!$W$4,ps!$R:$R,喷水汇总表!$Y$4)+SUMIFS(ps!$M:$M,ps!$B:$B,喷水汇总表!$A14,ps!$K:$K,喷水汇总表!S$5,ps!$F:$F,喷水汇总表!$W$4,ps!$R:$R,喷水汇总表!$Y$4),SUMIFS(ps!$L:$L,ps!$B:$B,喷水汇总表!$A14,ps!$J:$J,喷水汇总表!S$5,ps!$F:$F,喷水汇总表!$W$4,ps!$I:$I,喷水汇总表!$T$4)+SUMIFS(ps!$M:$M,ps!$B:$B,喷水汇总表!$A14,ps!$K:$K,喷水汇总表!S$5,ps!$F:$F,喷水汇总表!$W$4,ps!$I:$I,喷水汇总表!$T$4))</f>
        <v>0</v>
      </c>
      <c r="T14" s="248">
        <f>IF($T$4="",SUMIFS(ps!$L:$L,ps!$B:$B,喷水汇总表!$A14,ps!$J:$J,喷水汇总表!T$5,ps!$F:$F,喷水汇总表!$W$4,ps!$R:$R,喷水汇总表!$Y$4)+SUMIFS(ps!$M:$M,ps!$B:$B,喷水汇总表!$A14,ps!$K:$K,喷水汇总表!T$5,ps!$F:$F,喷水汇总表!$W$4,ps!$R:$R,喷水汇总表!$Y$4),SUMIFS(ps!$L:$L,ps!$B:$B,喷水汇总表!$A14,ps!$J:$J,喷水汇总表!T$5,ps!$F:$F,喷水汇总表!$W$4,ps!$I:$I,喷水汇总表!$T$4)+SUMIFS(ps!$M:$M,ps!$B:$B,喷水汇总表!$A14,ps!$K:$K,喷水汇总表!T$5,ps!$F:$F,喷水汇总表!$W$4,ps!$I:$I,喷水汇总表!$T$4))</f>
        <v>0</v>
      </c>
      <c r="U14" s="248">
        <f>IF($T$4="",SUMIFS(ps!$L:$L,ps!$B:$B,喷水汇总表!$A14,ps!$J:$J,喷水汇总表!U$5,ps!$F:$F,喷水汇总表!$W$4,ps!$R:$R,喷水汇总表!$Y$4)+SUMIFS(ps!$M:$M,ps!$B:$B,喷水汇总表!$A14,ps!$K:$K,喷水汇总表!U$5,ps!$F:$F,喷水汇总表!$W$4,ps!$R:$R,喷水汇总表!$Y$4),SUMIFS(ps!$L:$L,ps!$B:$B,喷水汇总表!$A14,ps!$J:$J,喷水汇总表!U$5,ps!$F:$F,喷水汇总表!$W$4,ps!$I:$I,喷水汇总表!$T$4)+SUMIFS(ps!$M:$M,ps!$B:$B,喷水汇总表!$A14,ps!$K:$K,喷水汇总表!U$5,ps!$F:$F,喷水汇总表!$W$4,ps!$I:$I,喷水汇总表!$T$4))</f>
        <v>0</v>
      </c>
      <c r="V14" s="248">
        <f>IF($T$4="",SUMIFS(ps!$L:$L,ps!$B:$B,喷水汇总表!$A14,ps!$J:$J,喷水汇总表!V$5,ps!$F:$F,喷水汇总表!$W$4,ps!$R:$R,喷水汇总表!$Y$4)+SUMIFS(ps!$M:$M,ps!$B:$B,喷水汇总表!$A14,ps!$K:$K,喷水汇总表!V$5,ps!$F:$F,喷水汇总表!$W$4,ps!$R:$R,喷水汇总表!$Y$4),SUMIFS(ps!$L:$L,ps!$B:$B,喷水汇总表!$A14,ps!$J:$J,喷水汇总表!V$5,ps!$F:$F,喷水汇总表!$W$4,ps!$I:$I,喷水汇总表!$T$4)+SUMIFS(ps!$M:$M,ps!$B:$B,喷水汇总表!$A14,ps!$K:$K,喷水汇总表!V$5,ps!$F:$F,喷水汇总表!$W$4,ps!$I:$I,喷水汇总表!$T$4))</f>
        <v>0</v>
      </c>
      <c r="W14" s="248">
        <f>IF($T$4="",SUMIFS(ps!$L:$L,ps!$B:$B,喷水汇总表!$A14,ps!$J:$J,喷水汇总表!W$5,ps!$F:$F,喷水汇总表!$W$4,ps!$R:$R,喷水汇总表!$Y$4)+SUMIFS(ps!$M:$M,ps!$B:$B,喷水汇总表!$A14,ps!$K:$K,喷水汇总表!W$5,ps!$F:$F,喷水汇总表!$W$4,ps!$R:$R,喷水汇总表!$Y$4),SUMIFS(ps!$L:$L,ps!$B:$B,喷水汇总表!$A14,ps!$J:$J,喷水汇总表!W$5,ps!$F:$F,喷水汇总表!$W$4,ps!$I:$I,喷水汇总表!$T$4)+SUMIFS(ps!$M:$M,ps!$B:$B,喷水汇总表!$A14,ps!$K:$K,喷水汇总表!W$5,ps!$F:$F,喷水汇总表!$W$4,ps!$I:$I,喷水汇总表!$T$4))</f>
        <v>0</v>
      </c>
      <c r="X14" s="15">
        <f t="shared" si="1"/>
        <v>8800</v>
      </c>
      <c r="Y14" s="18">
        <f>SUMIFS(ps!$N:$N,ps!$B:$B,喷水汇总表!$A14,ps!$I:$I,喷水汇总表!$X$4&amp;"/"&amp;喷水汇总表!$Y$4&amp;"/"&amp;喷水汇总表!Y$5)</f>
        <v>0</v>
      </c>
      <c r="Z14" s="18">
        <f>SUMIFS(ps!$N:$N,ps!$B:$B,喷水汇总表!$A14,ps!$I:$I,喷水汇总表!$X$4&amp;"/"&amp;喷水汇总表!$Y$4&amp;"/"&amp;喷水汇总表!Z$5)</f>
        <v>2000</v>
      </c>
      <c r="AA14" s="18">
        <f>SUMIFS(ps!$N:$N,ps!$B:$B,喷水汇总表!$A14,ps!$I:$I,喷水汇总表!$X$4&amp;"/"&amp;喷水汇总表!$Y$4&amp;"/"&amp;喷水汇总表!AA$5)</f>
        <v>0</v>
      </c>
      <c r="AB14" s="18">
        <f>SUMIFS(ps!$N:$N,ps!$B:$B,喷水汇总表!$A14,ps!$I:$I,喷水汇总表!$X$4&amp;"/"&amp;喷水汇总表!$Y$4&amp;"/"&amp;喷水汇总表!AB$5)</f>
        <v>0</v>
      </c>
      <c r="AC14" s="18">
        <f>SUMIFS(ps!$N:$N,ps!$B:$B,喷水汇总表!$A14,ps!$I:$I,喷水汇总表!$X$4&amp;"/"&amp;喷水汇总表!$Y$4&amp;"/"&amp;喷水汇总表!AC$5)</f>
        <v>6800</v>
      </c>
      <c r="AD14" s="18">
        <f>SUMIFS(ps!$N:$N,ps!$B:$B,喷水汇总表!$A14,ps!$I:$I,喷水汇总表!$X$4&amp;"/"&amp;喷水汇总表!$Y$4&amp;"/"&amp;喷水汇总表!AD$5)</f>
        <v>0</v>
      </c>
      <c r="AE14" s="18">
        <f>SUMIFS(ps!$N:$N,ps!$B:$B,喷水汇总表!$A14,ps!$I:$I,喷水汇总表!$X$4&amp;"/"&amp;喷水汇总表!$Y$4&amp;"/"&amp;喷水汇总表!AE$5)</f>
        <v>0</v>
      </c>
      <c r="AF14" s="18">
        <f>SUMIFS(ps!$N:$N,ps!$B:$B,喷水汇总表!$A14,ps!$I:$I,喷水汇总表!$X$4&amp;"/"&amp;喷水汇总表!$Y$4&amp;"/"&amp;喷水汇总表!AF$5)</f>
        <v>0</v>
      </c>
      <c r="AG14" s="18">
        <f>SUMIFS(ps!$N:$N,ps!$B:$B,喷水汇总表!$A14,ps!$I:$I,喷水汇总表!$X$4&amp;"/"&amp;喷水汇总表!$Y$4&amp;"/"&amp;喷水汇总表!AG$5)</f>
        <v>0</v>
      </c>
      <c r="AH14" s="18">
        <f>SUMIFS(ps!$N:$N,ps!$B:$B,喷水汇总表!$A14,ps!$I:$I,喷水汇总表!$X$4&amp;"/"&amp;喷水汇总表!$Y$4&amp;"/"&amp;喷水汇总表!AH$5)</f>
        <v>0</v>
      </c>
      <c r="AI14" s="18">
        <f>SUMIFS(ps!$N:$N,ps!$B:$B,喷水汇总表!$A14,ps!$I:$I,喷水汇总表!$X$4&amp;"/"&amp;喷水汇总表!$Y$4&amp;"/"&amp;喷水汇总表!AI$5)</f>
        <v>0</v>
      </c>
      <c r="AJ14" s="18">
        <f>SUMIFS(ps!$N:$N,ps!$B:$B,喷水汇总表!$A14,ps!$I:$I,喷水汇总表!$X$4&amp;"/"&amp;喷水汇总表!$Y$4&amp;"/"&amp;喷水汇总表!AJ$5)</f>
        <v>0</v>
      </c>
      <c r="AK14" s="18">
        <f>SUMIFS(ps!$N:$N,ps!$B:$B,喷水汇总表!$A14,ps!$I:$I,喷水汇总表!$X$4&amp;"/"&amp;喷水汇总表!$Y$4&amp;"/"&amp;喷水汇总表!AK$5)</f>
        <v>0</v>
      </c>
      <c r="AL14" s="18">
        <f>SUMIFS(ps!$N:$N,ps!$B:$B,喷水汇总表!$A14,ps!$I:$I,喷水汇总表!$X$4&amp;"/"&amp;喷水汇总表!$Y$4&amp;"/"&amp;喷水汇总表!AL$5)</f>
        <v>0</v>
      </c>
      <c r="AM14" s="18">
        <f>SUMIFS(ps!$N:$N,ps!$B:$B,喷水汇总表!$A14,ps!$I:$I,喷水汇总表!$X$4&amp;"/"&amp;喷水汇总表!$Y$4&amp;"/"&amp;喷水汇总表!AM$5)</f>
        <v>0</v>
      </c>
      <c r="AN14" s="18">
        <f>SUMIFS(ps!$N:$N,ps!$B:$B,喷水汇总表!$A14,ps!$I:$I,喷水汇总表!$X$4&amp;"/"&amp;喷水汇总表!$Y$4&amp;"/"&amp;喷水汇总表!AN$5)</f>
        <v>0</v>
      </c>
      <c r="AO14" s="18">
        <f>SUMIFS(ps!$N:$N,ps!$B:$B,喷水汇总表!$A14,ps!$I:$I,喷水汇总表!$X$4&amp;"/"&amp;喷水汇总表!$Y$4&amp;"/"&amp;喷水汇总表!AO$5)</f>
        <v>0</v>
      </c>
      <c r="AP14" s="18">
        <f>SUMIFS(ps!$N:$N,ps!$B:$B,喷水汇总表!$A14,ps!$I:$I,喷水汇总表!$X$4&amp;"/"&amp;喷水汇总表!$Y$4&amp;"/"&amp;喷水汇总表!AP$5)</f>
        <v>0</v>
      </c>
      <c r="AQ14" s="18">
        <f>SUMIFS(ps!$N:$N,ps!$B:$B,喷水汇总表!$A14,ps!$I:$I,喷水汇总表!$X$4&amp;"/"&amp;喷水汇总表!$Y$4&amp;"/"&amp;喷水汇总表!AQ$5)</f>
        <v>0</v>
      </c>
      <c r="AR14" s="18">
        <f>SUMIFS(ps!$N:$N,ps!$B:$B,喷水汇总表!$A14,ps!$I:$I,喷水汇总表!$X$4&amp;"/"&amp;喷水汇总表!$Y$4&amp;"/"&amp;喷水汇总表!AR$5)</f>
        <v>0</v>
      </c>
      <c r="AS14" s="18">
        <f>SUMIFS(ps!$N:$N,ps!$B:$B,喷水汇总表!$A14,ps!$I:$I,喷水汇总表!$X$4&amp;"/"&amp;喷水汇总表!$Y$4&amp;"/"&amp;喷水汇总表!AS$5)</f>
        <v>0</v>
      </c>
      <c r="AT14" s="18">
        <f>SUMIFS(ps!$N:$N,ps!$B:$B,喷水汇总表!$A14,ps!$I:$I,喷水汇总表!$X$4&amp;"/"&amp;喷水汇总表!$Y$4&amp;"/"&amp;喷水汇总表!AT$5)</f>
        <v>0</v>
      </c>
      <c r="AU14" s="18">
        <f>SUMIFS(ps!$N:$N,ps!$B:$B,喷水汇总表!$A14,ps!$I:$I,喷水汇总表!$X$4&amp;"/"&amp;喷水汇总表!$Y$4&amp;"/"&amp;喷水汇总表!AU$5)</f>
        <v>0</v>
      </c>
      <c r="AV14" s="18">
        <f>SUMIFS(ps!$N:$N,ps!$B:$B,喷水汇总表!$A14,ps!$I:$I,喷水汇总表!$X$4&amp;"/"&amp;喷水汇总表!$Y$4&amp;"/"&amp;喷水汇总表!AV$5)</f>
        <v>0</v>
      </c>
      <c r="AW14" s="18">
        <f>SUMIFS(ps!$N:$N,ps!$B:$B,喷水汇总表!$A14,ps!$I:$I,喷水汇总表!$X$4&amp;"/"&amp;喷水汇总表!$Y$4&amp;"/"&amp;喷水汇总表!AW$5)</f>
        <v>0</v>
      </c>
      <c r="AX14" s="18">
        <f>SUMIFS(ps!$N:$N,ps!$B:$B,喷水汇总表!$A14,ps!$I:$I,喷水汇总表!$X$4&amp;"/"&amp;喷水汇总表!$Y$4&amp;"/"&amp;喷水汇总表!AX$5)</f>
        <v>0</v>
      </c>
      <c r="AY14" s="18">
        <f>SUMIFS(ps!$N:$N,ps!$B:$B,喷水汇总表!$A14,ps!$I:$I,喷水汇总表!$X$4&amp;"/"&amp;喷水汇总表!$Y$4&amp;"/"&amp;喷水汇总表!AY$5)</f>
        <v>0</v>
      </c>
      <c r="AZ14" s="18">
        <f>SUMIFS(ps!$N:$N,ps!$B:$B,喷水汇总表!$A14,ps!$I:$I,喷水汇总表!$X$4&amp;"/"&amp;喷水汇总表!$Y$4&amp;"/"&amp;喷水汇总表!AZ$5)</f>
        <v>0</v>
      </c>
      <c r="BA14" s="18">
        <f>SUMIFS(ps!$N:$N,ps!$B:$B,喷水汇总表!$A14,ps!$I:$I,喷水汇总表!$X$4&amp;"/"&amp;喷水汇总表!$Y$4&amp;"/"&amp;喷水汇总表!BA$5)</f>
        <v>0</v>
      </c>
      <c r="BB14" s="18">
        <f>SUMIFS(ps!$N:$N,ps!$B:$B,喷水汇总表!$A14,ps!$I:$I,喷水汇总表!$X$4&amp;"/"&amp;喷水汇总表!$Y$4&amp;"/"&amp;喷水汇总表!BB$5)</f>
        <v>0</v>
      </c>
      <c r="BC14" s="18">
        <f>SUMIFS(ps!$N:$N,ps!$B:$B,喷水汇总表!$A14,ps!$I:$I,喷水汇总表!$X$4&amp;"/"&amp;喷水汇总表!$Y$4&amp;"/"&amp;喷水汇总表!BC$5)</f>
        <v>0</v>
      </c>
    </row>
    <row r="15" spans="1:55" ht="18" customHeight="1">
      <c r="A15" s="96" t="s">
        <v>1157</v>
      </c>
      <c r="B15" s="176" t="str">
        <f>IF(A15="","",VLOOKUP(A15,经纬!B:C,2,FALSE))</f>
        <v>200*300</v>
      </c>
      <c r="C15" s="176" t="str">
        <f t="shared" si="0"/>
        <v>180</v>
      </c>
      <c r="D15" s="176">
        <f>IF(A15="","",VLOOKUP(A15,经纬!B:G,6,FALSE))</f>
        <v>126</v>
      </c>
      <c r="E15" s="44">
        <f>IF($T$4="",SUMIFS(ps!$N:$N,ps!$B:$B,喷水汇总表!$A15,ps!$H:$H,喷水汇总表!E$5,ps!$R:$R,喷水汇总表!$Y$4),SUMIFS(ps!$N:$N,ps!$B:$B,喷水汇总表!$A15,ps!$H:$H,喷水汇总表!E$5,ps!$I:$I,喷水汇总表!$T$4))</f>
        <v>0</v>
      </c>
      <c r="F15" s="44">
        <f>IF($T$4="",SUMIFS(ps!$N:$N,ps!$B:$B,喷水汇总表!$A15,ps!$H:$H,喷水汇总表!F$5,ps!$R:$R,喷水汇总表!$Y$4),SUMIFS(ps!$N:$N,ps!$B:$B,喷水汇总表!$A15,ps!$H:$H,喷水汇总表!F$5,ps!$I:$I,喷水汇总表!$T$4))</f>
        <v>0</v>
      </c>
      <c r="G15" s="44">
        <f>IF($T$4="",SUMIFS(ps!$N:$N,ps!$B:$B,喷水汇总表!$A15,ps!$H:$H,喷水汇总表!G$5,ps!$R:$R,喷水汇总表!$Y$4),SUMIFS(ps!$N:$N,ps!$B:$B,喷水汇总表!$A15,ps!$H:$H,喷水汇总表!G$5,ps!$I:$I,喷水汇总表!$T$4))</f>
        <v>6350</v>
      </c>
      <c r="H15" s="248">
        <f>IF($T$4="",SUMIFS(ps!$N:$N,ps!$B:$B,喷水汇总表!$A15,ps!$G:$G,喷水汇总表!H$5,ps!$R:$R,喷水汇总表!$Y$4),SUMIFS(ps!$N:$N,ps!$B:$B,喷水汇总表!$A15,ps!$G:$G,喷水汇总表!H$5,ps!$I:$I,喷水汇总表!$T$4))</f>
        <v>0</v>
      </c>
      <c r="I15" s="248">
        <f>IF($T$4="",SUMIFS(ps!$N:$N,ps!$B:$B,喷水汇总表!$A15,ps!$G:$G,喷水汇总表!I$5,ps!$R:$R,喷水汇总表!$Y$4),SUMIFS(ps!$N:$N,ps!$B:$B,喷水汇总表!$A15,ps!$G:$G,喷水汇总表!I$5,ps!$I:$I,喷水汇总表!$T$4))</f>
        <v>6350</v>
      </c>
      <c r="J15" s="248">
        <f>IF($T$4="",SUMIFS(ps!$N:$N,ps!$B:$B,喷水汇总表!$A15,ps!$G:$G,喷水汇总表!J$5,ps!$R:$R,喷水汇总表!$Y$4),SUMIFS(ps!$N:$N,ps!$B:$B,喷水汇总表!$A15,ps!$G:$G,喷水汇总表!J$5,ps!$I:$I,喷水汇总表!$T$4))</f>
        <v>0</v>
      </c>
      <c r="K15" s="248">
        <f>IF($T$4="",SUMIFS(ps!$N:$N,ps!$B:$B,喷水汇总表!$A15,ps!$G:$G,喷水汇总表!K$5,ps!$R:$R,喷水汇总表!$Y$4),SUMIFS(ps!$N:$N,ps!$B:$B,喷水汇总表!$A15,ps!$G:$G,喷水汇总表!K$5,ps!$I:$I,喷水汇总表!$T$4))</f>
        <v>0</v>
      </c>
      <c r="L15" s="248">
        <f>IF($T$4="",SUMIFS(ps!$N:$N,ps!$B:$B,喷水汇总表!$A15,ps!$G:$G,喷水汇总表!L$5,ps!$R:$R,喷水汇总表!$Y$4),SUMIFS(ps!$N:$N,ps!$B:$B,喷水汇总表!$A15,ps!$G:$G,喷水汇总表!L$5,ps!$I:$I,喷水汇总表!$T$4))</f>
        <v>0</v>
      </c>
      <c r="M15" s="248">
        <f>IF($T$4="",SUMIFS(ps!$N:$N,ps!$B:$B,喷水汇总表!$A15,ps!$G:$G,喷水汇总表!M$5,ps!$R:$R,喷水汇总表!$Y$4),SUMIFS(ps!$N:$N,ps!$B:$B,喷水汇总表!$A15,ps!$G:$G,喷水汇总表!M$5,ps!$I:$I,喷水汇总表!$T$4))</f>
        <v>0</v>
      </c>
      <c r="N15" s="248">
        <f>IF($T$4="",SUMIFS(ps!$N:$N,ps!$B:$B,喷水汇总表!$A15,ps!$G:$G,喷水汇总表!N$5,ps!$R:$R,喷水汇总表!$Y$4),SUMIFS(ps!$N:$N,ps!$B:$B,喷水汇总表!$A15,ps!$G:$G,喷水汇总表!N$5,ps!$I:$I,喷水汇总表!$T$4))</f>
        <v>0</v>
      </c>
      <c r="O15" s="248">
        <f>IF($T$4="",SUMIFS(ps!$L:$L,ps!$B:$B,喷水汇总表!$A15,ps!$J:$J,喷水汇总表!O$5,ps!$F:$F,喷水汇总表!$W$4,ps!$R:$R,喷水汇总表!$Y$4)+SUMIFS(ps!$M:$M,ps!$B:$B,喷水汇总表!$A15,ps!$K:$K,喷水汇总表!O$5,ps!$F:$F,喷水汇总表!$W$4,ps!$R:$R,喷水汇总表!$Y$4),SUMIFS(ps!$L:$L,ps!$B:$B,喷水汇总表!$A15,ps!$J:$J,喷水汇总表!O$5,ps!$F:$F,喷水汇总表!$W$4,ps!$I:$I,喷水汇总表!$T$4)+SUMIFS(ps!$M:$M,ps!$B:$B,喷水汇总表!$A15,ps!$K:$K,喷水汇总表!O$5,ps!$F:$F,喷水汇总表!$W$4,ps!$I:$I,喷水汇总表!$T$4))</f>
        <v>0</v>
      </c>
      <c r="P15" s="248">
        <f>IF($T$4="",SUMIFS(ps!$L:$L,ps!$B:$B,喷水汇总表!$A15,ps!$J:$J,喷水汇总表!P$5,ps!$F:$F,喷水汇总表!$W$4,ps!$R:$R,喷水汇总表!$Y$4)+SUMIFS(ps!$M:$M,ps!$B:$B,喷水汇总表!$A15,ps!$K:$K,喷水汇总表!P$5,ps!$F:$F,喷水汇总表!$W$4,ps!$R:$R,喷水汇总表!$Y$4),SUMIFS(ps!$L:$L,ps!$B:$B,喷水汇总表!$A15,ps!$J:$J,喷水汇总表!P$5,ps!$F:$F,喷水汇总表!$W$4,ps!$I:$I,喷水汇总表!$T$4)+SUMIFS(ps!$M:$M,ps!$B:$B,喷水汇总表!$A15,ps!$K:$K,喷水汇总表!P$5,ps!$F:$F,喷水汇总表!$W$4,ps!$I:$I,喷水汇总表!$T$4))</f>
        <v>0</v>
      </c>
      <c r="Q15" s="248">
        <f>IF($T$4="",SUMIFS(ps!$L:$L,ps!$B:$B,喷水汇总表!$A15,ps!$J:$J,喷水汇总表!Q$5,ps!$F:$F,喷水汇总表!$W$4,ps!$R:$R,喷水汇总表!$Y$4)+SUMIFS(ps!$M:$M,ps!$B:$B,喷水汇总表!$A15,ps!$K:$K,喷水汇总表!Q$5,ps!$F:$F,喷水汇总表!$W$4,ps!$R:$R,喷水汇总表!$Y$4),SUMIFS(ps!$L:$L,ps!$B:$B,喷水汇总表!$A15,ps!$J:$J,喷水汇总表!Q$5,ps!$F:$F,喷水汇总表!$W$4,ps!$I:$I,喷水汇总表!$T$4)+SUMIFS(ps!$M:$M,ps!$B:$B,喷水汇总表!$A15,ps!$K:$K,喷水汇总表!Q$5,ps!$F:$F,喷水汇总表!$W$4,ps!$I:$I,喷水汇总表!$T$4))</f>
        <v>0</v>
      </c>
      <c r="R15" s="248">
        <f>IF($T$4="",SUMIFS(ps!$L:$L,ps!$B:$B,喷水汇总表!$A15,ps!$J:$J,喷水汇总表!R$5,ps!$F:$F,喷水汇总表!$W$4,ps!$R:$R,喷水汇总表!$Y$4)+SUMIFS(ps!$M:$M,ps!$B:$B,喷水汇总表!$A15,ps!$K:$K,喷水汇总表!R$5,ps!$F:$F,喷水汇总表!$W$4,ps!$R:$R,喷水汇总表!$Y$4),SUMIFS(ps!$L:$L,ps!$B:$B,喷水汇总表!$A15,ps!$J:$J,喷水汇总表!R$5,ps!$F:$F,喷水汇总表!$W$4,ps!$I:$I,喷水汇总表!$T$4)+SUMIFS(ps!$M:$M,ps!$B:$B,喷水汇总表!$A15,ps!$K:$K,喷水汇总表!R$5,ps!$F:$F,喷水汇总表!$W$4,ps!$I:$I,喷水汇总表!$T$4))</f>
        <v>0</v>
      </c>
      <c r="S15" s="248">
        <f>IF($T$4="",SUMIFS(ps!$L:$L,ps!$B:$B,喷水汇总表!$A15,ps!$J:$J,喷水汇总表!S$5,ps!$F:$F,喷水汇总表!$W$4,ps!$R:$R,喷水汇总表!$Y$4)+SUMIFS(ps!$M:$M,ps!$B:$B,喷水汇总表!$A15,ps!$K:$K,喷水汇总表!S$5,ps!$F:$F,喷水汇总表!$W$4,ps!$R:$R,喷水汇总表!$Y$4),SUMIFS(ps!$L:$L,ps!$B:$B,喷水汇总表!$A15,ps!$J:$J,喷水汇总表!S$5,ps!$F:$F,喷水汇总表!$W$4,ps!$I:$I,喷水汇总表!$T$4)+SUMIFS(ps!$M:$M,ps!$B:$B,喷水汇总表!$A15,ps!$K:$K,喷水汇总表!S$5,ps!$F:$F,喷水汇总表!$W$4,ps!$I:$I,喷水汇总表!$T$4))</f>
        <v>0</v>
      </c>
      <c r="T15" s="248">
        <f>IF($T$4="",SUMIFS(ps!$L:$L,ps!$B:$B,喷水汇总表!$A15,ps!$J:$J,喷水汇总表!T$5,ps!$F:$F,喷水汇总表!$W$4,ps!$R:$R,喷水汇总表!$Y$4)+SUMIFS(ps!$M:$M,ps!$B:$B,喷水汇总表!$A15,ps!$K:$K,喷水汇总表!T$5,ps!$F:$F,喷水汇总表!$W$4,ps!$R:$R,喷水汇总表!$Y$4),SUMIFS(ps!$L:$L,ps!$B:$B,喷水汇总表!$A15,ps!$J:$J,喷水汇总表!T$5,ps!$F:$F,喷水汇总表!$W$4,ps!$I:$I,喷水汇总表!$T$4)+SUMIFS(ps!$M:$M,ps!$B:$B,喷水汇总表!$A15,ps!$K:$K,喷水汇总表!T$5,ps!$F:$F,喷水汇总表!$W$4,ps!$I:$I,喷水汇总表!$T$4))</f>
        <v>0</v>
      </c>
      <c r="U15" s="248">
        <f>IF($T$4="",SUMIFS(ps!$L:$L,ps!$B:$B,喷水汇总表!$A15,ps!$J:$J,喷水汇总表!U$5,ps!$F:$F,喷水汇总表!$W$4,ps!$R:$R,喷水汇总表!$Y$4)+SUMIFS(ps!$M:$M,ps!$B:$B,喷水汇总表!$A15,ps!$K:$K,喷水汇总表!U$5,ps!$F:$F,喷水汇总表!$W$4,ps!$R:$R,喷水汇总表!$Y$4),SUMIFS(ps!$L:$L,ps!$B:$B,喷水汇总表!$A15,ps!$J:$J,喷水汇总表!U$5,ps!$F:$F,喷水汇总表!$W$4,ps!$I:$I,喷水汇总表!$T$4)+SUMIFS(ps!$M:$M,ps!$B:$B,喷水汇总表!$A15,ps!$K:$K,喷水汇总表!U$5,ps!$F:$F,喷水汇总表!$W$4,ps!$I:$I,喷水汇总表!$T$4))</f>
        <v>0</v>
      </c>
      <c r="V15" s="248">
        <f>IF($T$4="",SUMIFS(ps!$L:$L,ps!$B:$B,喷水汇总表!$A15,ps!$J:$J,喷水汇总表!V$5,ps!$F:$F,喷水汇总表!$W$4,ps!$R:$R,喷水汇总表!$Y$4)+SUMIFS(ps!$M:$M,ps!$B:$B,喷水汇总表!$A15,ps!$K:$K,喷水汇总表!V$5,ps!$F:$F,喷水汇总表!$W$4,ps!$R:$R,喷水汇总表!$Y$4),SUMIFS(ps!$L:$L,ps!$B:$B,喷水汇总表!$A15,ps!$J:$J,喷水汇总表!V$5,ps!$F:$F,喷水汇总表!$W$4,ps!$I:$I,喷水汇总表!$T$4)+SUMIFS(ps!$M:$M,ps!$B:$B,喷水汇总表!$A15,ps!$K:$K,喷水汇总表!V$5,ps!$F:$F,喷水汇总表!$W$4,ps!$I:$I,喷水汇总表!$T$4))</f>
        <v>532.5533333333334</v>
      </c>
      <c r="W15" s="248">
        <f>IF($T$4="",SUMIFS(ps!$L:$L,ps!$B:$B,喷水汇总表!$A15,ps!$J:$J,喷水汇总表!W$5,ps!$F:$F,喷水汇总表!$W$4,ps!$R:$R,喷水汇总表!$Y$4)+SUMIFS(ps!$M:$M,ps!$B:$B,喷水汇总表!$A15,ps!$K:$K,喷水汇总表!W$5,ps!$F:$F,喷水汇总表!$W$4,ps!$R:$R,喷水汇总表!$Y$4),SUMIFS(ps!$L:$L,ps!$B:$B,喷水汇总表!$A15,ps!$J:$J,喷水汇总表!W$5,ps!$F:$F,喷水汇总表!$W$4,ps!$I:$I,喷水汇总表!$T$4)+SUMIFS(ps!$M:$M,ps!$B:$B,喷水汇总表!$A15,ps!$K:$K,喷水汇总表!W$5,ps!$F:$F,喷水汇总表!$W$4,ps!$I:$I,喷水汇总表!$T$4))</f>
        <v>609.37500000000011</v>
      </c>
      <c r="X15" s="15">
        <f t="shared" si="1"/>
        <v>32750</v>
      </c>
      <c r="Y15" s="18">
        <f>SUMIFS(ps!$N:$N,ps!$B:$B,喷水汇总表!$A15,ps!$I:$I,喷水汇总表!$X$4&amp;"/"&amp;喷水汇总表!$Y$4&amp;"/"&amp;喷水汇总表!Y$5)</f>
        <v>0</v>
      </c>
      <c r="Z15" s="18">
        <f>SUMIFS(ps!$N:$N,ps!$B:$B,喷水汇总表!$A15,ps!$I:$I,喷水汇总表!$X$4&amp;"/"&amp;喷水汇总表!$Y$4&amp;"/"&amp;喷水汇总表!Z$5)</f>
        <v>6400</v>
      </c>
      <c r="AA15" s="18">
        <f>SUMIFS(ps!$N:$N,ps!$B:$B,喷水汇总表!$A15,ps!$I:$I,喷水汇总表!$X$4&amp;"/"&amp;喷水汇总表!$Y$4&amp;"/"&amp;喷水汇总表!AA$5)</f>
        <v>6400</v>
      </c>
      <c r="AB15" s="18">
        <f>SUMIFS(ps!$N:$N,ps!$B:$B,喷水汇总表!$A15,ps!$I:$I,喷水汇总表!$X$4&amp;"/"&amp;喷水汇总表!$Y$4&amp;"/"&amp;喷水汇总表!AB$5)</f>
        <v>6800</v>
      </c>
      <c r="AC15" s="18">
        <f>SUMIFS(ps!$N:$N,ps!$B:$B,喷水汇总表!$A15,ps!$I:$I,喷水汇总表!$X$4&amp;"/"&amp;喷水汇总表!$Y$4&amp;"/"&amp;喷水汇总表!AC$5)</f>
        <v>6350</v>
      </c>
      <c r="AD15" s="18">
        <f>SUMIFS(ps!$N:$N,ps!$B:$B,喷水汇总表!$A15,ps!$I:$I,喷水汇总表!$X$4&amp;"/"&amp;喷水汇总表!$Y$4&amp;"/"&amp;喷水汇总表!AD$5)</f>
        <v>6800</v>
      </c>
      <c r="AE15" s="18">
        <f>SUMIFS(ps!$N:$N,ps!$B:$B,喷水汇总表!$A15,ps!$I:$I,喷水汇总表!$X$4&amp;"/"&amp;喷水汇总表!$Y$4&amp;"/"&amp;喷水汇总表!AE$5)</f>
        <v>0</v>
      </c>
      <c r="AF15" s="18">
        <f>SUMIFS(ps!$N:$N,ps!$B:$B,喷水汇总表!$A15,ps!$I:$I,喷水汇总表!$X$4&amp;"/"&amp;喷水汇总表!$Y$4&amp;"/"&amp;喷水汇总表!AF$5)</f>
        <v>0</v>
      </c>
      <c r="AG15" s="18">
        <f>SUMIFS(ps!$N:$N,ps!$B:$B,喷水汇总表!$A15,ps!$I:$I,喷水汇总表!$X$4&amp;"/"&amp;喷水汇总表!$Y$4&amp;"/"&amp;喷水汇总表!AG$5)</f>
        <v>0</v>
      </c>
      <c r="AH15" s="18">
        <f>SUMIFS(ps!$N:$N,ps!$B:$B,喷水汇总表!$A15,ps!$I:$I,喷水汇总表!$X$4&amp;"/"&amp;喷水汇总表!$Y$4&amp;"/"&amp;喷水汇总表!AH$5)</f>
        <v>0</v>
      </c>
      <c r="AI15" s="18">
        <f>SUMIFS(ps!$N:$N,ps!$B:$B,喷水汇总表!$A15,ps!$I:$I,喷水汇总表!$X$4&amp;"/"&amp;喷水汇总表!$Y$4&amp;"/"&amp;喷水汇总表!AI$5)</f>
        <v>0</v>
      </c>
      <c r="AJ15" s="18">
        <f>SUMIFS(ps!$N:$N,ps!$B:$B,喷水汇总表!$A15,ps!$I:$I,喷水汇总表!$X$4&amp;"/"&amp;喷水汇总表!$Y$4&amp;"/"&amp;喷水汇总表!AJ$5)</f>
        <v>0</v>
      </c>
      <c r="AK15" s="18">
        <f>SUMIFS(ps!$N:$N,ps!$B:$B,喷水汇总表!$A15,ps!$I:$I,喷水汇总表!$X$4&amp;"/"&amp;喷水汇总表!$Y$4&amp;"/"&amp;喷水汇总表!AK$5)</f>
        <v>0</v>
      </c>
      <c r="AL15" s="18">
        <f>SUMIFS(ps!$N:$N,ps!$B:$B,喷水汇总表!$A15,ps!$I:$I,喷水汇总表!$X$4&amp;"/"&amp;喷水汇总表!$Y$4&amp;"/"&amp;喷水汇总表!AL$5)</f>
        <v>0</v>
      </c>
      <c r="AM15" s="18">
        <f>SUMIFS(ps!$N:$N,ps!$B:$B,喷水汇总表!$A15,ps!$I:$I,喷水汇总表!$X$4&amp;"/"&amp;喷水汇总表!$Y$4&amp;"/"&amp;喷水汇总表!AM$5)</f>
        <v>0</v>
      </c>
      <c r="AN15" s="18">
        <f>SUMIFS(ps!$N:$N,ps!$B:$B,喷水汇总表!$A15,ps!$I:$I,喷水汇总表!$X$4&amp;"/"&amp;喷水汇总表!$Y$4&amp;"/"&amp;喷水汇总表!AN$5)</f>
        <v>0</v>
      </c>
      <c r="AO15" s="18">
        <f>SUMIFS(ps!$N:$N,ps!$B:$B,喷水汇总表!$A15,ps!$I:$I,喷水汇总表!$X$4&amp;"/"&amp;喷水汇总表!$Y$4&amp;"/"&amp;喷水汇总表!AO$5)</f>
        <v>0</v>
      </c>
      <c r="AP15" s="18">
        <f>SUMIFS(ps!$N:$N,ps!$B:$B,喷水汇总表!$A15,ps!$I:$I,喷水汇总表!$X$4&amp;"/"&amp;喷水汇总表!$Y$4&amp;"/"&amp;喷水汇总表!AP$5)</f>
        <v>0</v>
      </c>
      <c r="AQ15" s="18">
        <f>SUMIFS(ps!$N:$N,ps!$B:$B,喷水汇总表!$A15,ps!$I:$I,喷水汇总表!$X$4&amp;"/"&amp;喷水汇总表!$Y$4&amp;"/"&amp;喷水汇总表!AQ$5)</f>
        <v>0</v>
      </c>
      <c r="AR15" s="18">
        <f>SUMIFS(ps!$N:$N,ps!$B:$B,喷水汇总表!$A15,ps!$I:$I,喷水汇总表!$X$4&amp;"/"&amp;喷水汇总表!$Y$4&amp;"/"&amp;喷水汇总表!AR$5)</f>
        <v>0</v>
      </c>
      <c r="AS15" s="18">
        <f>SUMIFS(ps!$N:$N,ps!$B:$B,喷水汇总表!$A15,ps!$I:$I,喷水汇总表!$X$4&amp;"/"&amp;喷水汇总表!$Y$4&amp;"/"&amp;喷水汇总表!AS$5)</f>
        <v>0</v>
      </c>
      <c r="AT15" s="18">
        <f>SUMIFS(ps!$N:$N,ps!$B:$B,喷水汇总表!$A15,ps!$I:$I,喷水汇总表!$X$4&amp;"/"&amp;喷水汇总表!$Y$4&amp;"/"&amp;喷水汇总表!AT$5)</f>
        <v>0</v>
      </c>
      <c r="AU15" s="18">
        <f>SUMIFS(ps!$N:$N,ps!$B:$B,喷水汇总表!$A15,ps!$I:$I,喷水汇总表!$X$4&amp;"/"&amp;喷水汇总表!$Y$4&amp;"/"&amp;喷水汇总表!AU$5)</f>
        <v>0</v>
      </c>
      <c r="AV15" s="18">
        <f>SUMIFS(ps!$N:$N,ps!$B:$B,喷水汇总表!$A15,ps!$I:$I,喷水汇总表!$X$4&amp;"/"&amp;喷水汇总表!$Y$4&amp;"/"&amp;喷水汇总表!AV$5)</f>
        <v>0</v>
      </c>
      <c r="AW15" s="18">
        <f>SUMIFS(ps!$N:$N,ps!$B:$B,喷水汇总表!$A15,ps!$I:$I,喷水汇总表!$X$4&amp;"/"&amp;喷水汇总表!$Y$4&amp;"/"&amp;喷水汇总表!AW$5)</f>
        <v>0</v>
      </c>
      <c r="AX15" s="18">
        <f>SUMIFS(ps!$N:$N,ps!$B:$B,喷水汇总表!$A15,ps!$I:$I,喷水汇总表!$X$4&amp;"/"&amp;喷水汇总表!$Y$4&amp;"/"&amp;喷水汇总表!AX$5)</f>
        <v>0</v>
      </c>
      <c r="AY15" s="18">
        <f>SUMIFS(ps!$N:$N,ps!$B:$B,喷水汇总表!$A15,ps!$I:$I,喷水汇总表!$X$4&amp;"/"&amp;喷水汇总表!$Y$4&amp;"/"&amp;喷水汇总表!AY$5)</f>
        <v>0</v>
      </c>
      <c r="AZ15" s="18">
        <f>SUMIFS(ps!$N:$N,ps!$B:$B,喷水汇总表!$A15,ps!$I:$I,喷水汇总表!$X$4&amp;"/"&amp;喷水汇总表!$Y$4&amp;"/"&amp;喷水汇总表!AZ$5)</f>
        <v>0</v>
      </c>
      <c r="BA15" s="18">
        <f>SUMIFS(ps!$N:$N,ps!$B:$B,喷水汇总表!$A15,ps!$I:$I,喷水汇总表!$X$4&amp;"/"&amp;喷水汇总表!$Y$4&amp;"/"&amp;喷水汇总表!BA$5)</f>
        <v>0</v>
      </c>
      <c r="BB15" s="18">
        <f>SUMIFS(ps!$N:$N,ps!$B:$B,喷水汇总表!$A15,ps!$I:$I,喷水汇总表!$X$4&amp;"/"&amp;喷水汇总表!$Y$4&amp;"/"&amp;喷水汇总表!BB$5)</f>
        <v>0</v>
      </c>
      <c r="BC15" s="18">
        <f>SUMIFS(ps!$N:$N,ps!$B:$B,喷水汇总表!$A15,ps!$I:$I,喷水汇总表!$X$4&amp;"/"&amp;喷水汇总表!$Y$4&amp;"/"&amp;喷水汇总表!BC$5)</f>
        <v>0</v>
      </c>
    </row>
    <row r="16" spans="1:55" ht="18" customHeight="1">
      <c r="A16" s="96" t="s">
        <v>1096</v>
      </c>
      <c r="B16" s="176" t="str">
        <f>IF(A16="","",VLOOKUP(A16,经纬!B:C,2,FALSE))</f>
        <v>30*30</v>
      </c>
      <c r="C16" s="176" t="str">
        <f t="shared" si="0"/>
        <v>190</v>
      </c>
      <c r="D16" s="176">
        <f>IF(A16="","",VLOOKUP(A16,经纬!B:G,6,FALSE))</f>
        <v>23</v>
      </c>
      <c r="E16" s="44">
        <f>IF($T$4="",SUMIFS(ps!$N:$N,ps!$B:$B,喷水汇总表!$A16,ps!$H:$H,喷水汇总表!E$5,ps!$R:$R,喷水汇总表!$Y$4),SUMIFS(ps!$N:$N,ps!$B:$B,喷水汇总表!$A16,ps!$H:$H,喷水汇总表!E$5,ps!$I:$I,喷水汇总表!$T$4))</f>
        <v>33209</v>
      </c>
      <c r="F16" s="44">
        <f>IF($T$4="",SUMIFS(ps!$N:$N,ps!$B:$B,喷水汇总表!$A16,ps!$H:$H,喷水汇总表!F$5,ps!$R:$R,喷水汇总表!$Y$4),SUMIFS(ps!$N:$N,ps!$B:$B,喷水汇总表!$A16,ps!$H:$H,喷水汇总表!F$5,ps!$I:$I,喷水汇总表!$T$4))</f>
        <v>0</v>
      </c>
      <c r="G16" s="44">
        <f>IF($T$4="",SUMIFS(ps!$N:$N,ps!$B:$B,喷水汇总表!$A16,ps!$H:$H,喷水汇总表!G$5,ps!$R:$R,喷水汇总表!$Y$4),SUMIFS(ps!$N:$N,ps!$B:$B,喷水汇总表!$A16,ps!$H:$H,喷水汇总表!G$5,ps!$I:$I,喷水汇总表!$T$4))</f>
        <v>0</v>
      </c>
      <c r="H16" s="248">
        <f>IF($T$4="",SUMIFS(ps!$N:$N,ps!$B:$B,喷水汇总表!$A16,ps!$G:$G,喷水汇总表!H$5,ps!$R:$R,喷水汇总表!$Y$4),SUMIFS(ps!$N:$N,ps!$B:$B,喷水汇总表!$A16,ps!$G:$G,喷水汇总表!H$5,ps!$I:$I,喷水汇总表!$T$4))</f>
        <v>23959</v>
      </c>
      <c r="I16" s="248">
        <f>IF($T$4="",SUMIFS(ps!$N:$N,ps!$B:$B,喷水汇总表!$A16,ps!$G:$G,喷水汇总表!I$5,ps!$R:$R,喷水汇总表!$Y$4),SUMIFS(ps!$N:$N,ps!$B:$B,喷水汇总表!$A16,ps!$G:$G,喷水汇总表!I$5,ps!$I:$I,喷水汇总表!$T$4))</f>
        <v>6931</v>
      </c>
      <c r="J16" s="248">
        <f>IF($T$4="",SUMIFS(ps!$N:$N,ps!$B:$B,喷水汇总表!$A16,ps!$G:$G,喷水汇总表!J$5,ps!$R:$R,喷水汇总表!$Y$4),SUMIFS(ps!$N:$N,ps!$B:$B,喷水汇总表!$A16,ps!$G:$G,喷水汇总表!J$5,ps!$I:$I,喷水汇总表!$T$4))</f>
        <v>2319</v>
      </c>
      <c r="K16" s="248">
        <f>IF($T$4="",SUMIFS(ps!$N:$N,ps!$B:$B,喷水汇总表!$A16,ps!$G:$G,喷水汇总表!K$5,ps!$R:$R,喷水汇总表!$Y$4),SUMIFS(ps!$N:$N,ps!$B:$B,喷水汇总表!$A16,ps!$G:$G,喷水汇总表!K$5,ps!$I:$I,喷水汇总表!$T$4))</f>
        <v>0</v>
      </c>
      <c r="L16" s="248">
        <f>IF($T$4="",SUMIFS(ps!$N:$N,ps!$B:$B,喷水汇总表!$A16,ps!$G:$G,喷水汇总表!L$5,ps!$R:$R,喷水汇总表!$Y$4),SUMIFS(ps!$N:$N,ps!$B:$B,喷水汇总表!$A16,ps!$G:$G,喷水汇总表!L$5,ps!$I:$I,喷水汇总表!$T$4))</f>
        <v>0</v>
      </c>
      <c r="M16" s="248">
        <f>IF($T$4="",SUMIFS(ps!$N:$N,ps!$B:$B,喷水汇总表!$A16,ps!$G:$G,喷水汇总表!M$5,ps!$R:$R,喷水汇总表!$Y$4),SUMIFS(ps!$N:$N,ps!$B:$B,喷水汇总表!$A16,ps!$G:$G,喷水汇总表!M$5,ps!$I:$I,喷水汇总表!$T$4))</f>
        <v>0</v>
      </c>
      <c r="N16" s="248">
        <f>IF($T$4="",SUMIFS(ps!$N:$N,ps!$B:$B,喷水汇总表!$A16,ps!$G:$G,喷水汇总表!N$5,ps!$R:$R,喷水汇总表!$Y$4),SUMIFS(ps!$N:$N,ps!$B:$B,喷水汇总表!$A16,ps!$G:$G,喷水汇总表!N$5,ps!$I:$I,喷水汇总表!$T$4))</f>
        <v>0</v>
      </c>
      <c r="O16" s="248">
        <f>IF($T$4="",SUMIFS(ps!$L:$L,ps!$B:$B,喷水汇总表!$A16,ps!$J:$J,喷水汇总表!O$5,ps!$F:$F,喷水汇总表!$W$4,ps!$R:$R,喷水汇总表!$Y$4)+SUMIFS(ps!$M:$M,ps!$B:$B,喷水汇总表!$A16,ps!$K:$K,喷水汇总表!O$5,ps!$F:$F,喷水汇总表!$W$4,ps!$R:$R,喷水汇总表!$Y$4),SUMIFS(ps!$L:$L,ps!$B:$B,喷水汇总表!$A16,ps!$J:$J,喷水汇总表!O$5,ps!$F:$F,喷水汇总表!$W$4,ps!$I:$I,喷水汇总表!$T$4)+SUMIFS(ps!$M:$M,ps!$B:$B,喷水汇总表!$A16,ps!$K:$K,喷水汇总表!O$5,ps!$F:$F,喷水汇总表!$W$4,ps!$I:$I,喷水汇总表!$T$4))</f>
        <v>0</v>
      </c>
      <c r="P16" s="248">
        <f>IF($T$4="",SUMIFS(ps!$L:$L,ps!$B:$B,喷水汇总表!$A16,ps!$J:$J,喷水汇总表!P$5,ps!$F:$F,喷水汇总表!$W$4,ps!$R:$R,喷水汇总表!$Y$4)+SUMIFS(ps!$M:$M,ps!$B:$B,喷水汇总表!$A16,ps!$K:$K,喷水汇总表!P$5,ps!$F:$F,喷水汇总表!$W$4,ps!$R:$R,喷水汇总表!$Y$4),SUMIFS(ps!$L:$L,ps!$B:$B,喷水汇总表!$A16,ps!$J:$J,喷水汇总表!P$5,ps!$F:$F,喷水汇总表!$W$4,ps!$I:$I,喷水汇总表!$T$4)+SUMIFS(ps!$M:$M,ps!$B:$B,喷水汇总表!$A16,ps!$K:$K,喷水汇总表!P$5,ps!$F:$F,喷水汇总表!$W$4,ps!$I:$I,喷水汇总表!$T$4))</f>
        <v>0</v>
      </c>
      <c r="Q16" s="248">
        <f>IF($T$4="",SUMIFS(ps!$L:$L,ps!$B:$B,喷水汇总表!$A16,ps!$J:$J,喷水汇总表!Q$5,ps!$F:$F,喷水汇总表!$W$4,ps!$R:$R,喷水汇总表!$Y$4)+SUMIFS(ps!$M:$M,ps!$B:$B,喷水汇总表!$A16,ps!$K:$K,喷水汇总表!Q$5,ps!$F:$F,喷水汇总表!$W$4,ps!$R:$R,喷水汇总表!$Y$4),SUMIFS(ps!$L:$L,ps!$B:$B,喷水汇总表!$A16,ps!$J:$J,喷水汇总表!Q$5,ps!$F:$F,喷水汇总表!$W$4,ps!$I:$I,喷水汇总表!$T$4)+SUMIFS(ps!$M:$M,ps!$B:$B,喷水汇总表!$A16,ps!$K:$K,喷水汇总表!Q$5,ps!$F:$F,喷水汇总表!$W$4,ps!$I:$I,喷水汇总表!$T$4))</f>
        <v>299.58280419947505</v>
      </c>
      <c r="R16" s="248">
        <f>IF($T$4="",SUMIFS(ps!$L:$L,ps!$B:$B,喷水汇总表!$A16,ps!$J:$J,喷水汇总表!R$5,ps!$F:$F,喷水汇总表!$W$4,ps!$R:$R,喷水汇总表!$Y$4)+SUMIFS(ps!$M:$M,ps!$B:$B,喷水汇总表!$A16,ps!$K:$K,喷水汇总表!R$5,ps!$F:$F,喷水汇总表!$W$4,ps!$R:$R,喷水汇总表!$Y$4),SUMIFS(ps!$L:$L,ps!$B:$B,喷水汇总表!$A16,ps!$J:$J,喷水汇总表!R$5,ps!$F:$F,喷水汇总表!$W$4,ps!$I:$I,喷水汇总表!$T$4)+SUMIFS(ps!$M:$M,ps!$B:$B,喷水汇总表!$A16,ps!$K:$K,喷水汇总表!R$5,ps!$F:$F,喷水汇总表!$W$4,ps!$I:$I,喷水汇总表!$T$4))</f>
        <v>0</v>
      </c>
      <c r="S16" s="248">
        <f>IF($T$4="",SUMIFS(ps!$L:$L,ps!$B:$B,喷水汇总表!$A16,ps!$J:$J,喷水汇总表!S$5,ps!$F:$F,喷水汇总表!$W$4,ps!$R:$R,喷水汇总表!$Y$4)+SUMIFS(ps!$M:$M,ps!$B:$B,喷水汇总表!$A16,ps!$K:$K,喷水汇总表!S$5,ps!$F:$F,喷水汇总表!$W$4,ps!$R:$R,喷水汇总表!$Y$4),SUMIFS(ps!$L:$L,ps!$B:$B,喷水汇总表!$A16,ps!$J:$J,喷水汇总表!S$5,ps!$F:$F,喷水汇总表!$W$4,ps!$I:$I,喷水汇总表!$T$4)+SUMIFS(ps!$M:$M,ps!$B:$B,喷水汇总表!$A16,ps!$K:$K,喷水汇总表!S$5,ps!$F:$F,喷水汇总表!$W$4,ps!$I:$I,喷水汇总表!$T$4))</f>
        <v>0</v>
      </c>
      <c r="T16" s="248">
        <f>IF($T$4="",SUMIFS(ps!$L:$L,ps!$B:$B,喷水汇总表!$A16,ps!$J:$J,喷水汇总表!T$5,ps!$F:$F,喷水汇总表!$W$4,ps!$R:$R,喷水汇总表!$Y$4)+SUMIFS(ps!$M:$M,ps!$B:$B,喷水汇总表!$A16,ps!$K:$K,喷水汇总表!T$5,ps!$F:$F,喷水汇总表!$W$4,ps!$R:$R,喷水汇总表!$Y$4),SUMIFS(ps!$L:$L,ps!$B:$B,喷水汇总表!$A16,ps!$J:$J,喷水汇总表!T$5,ps!$F:$F,喷水汇总表!$W$4,ps!$I:$I,喷水汇总表!$T$4)+SUMIFS(ps!$M:$M,ps!$B:$B,喷水汇总表!$A16,ps!$K:$K,喷水汇总表!T$5,ps!$F:$F,喷水汇总表!$W$4,ps!$I:$I,喷水汇总表!$T$4))</f>
        <v>0</v>
      </c>
      <c r="U16" s="248">
        <f>IF($T$4="",SUMIFS(ps!$L:$L,ps!$B:$B,喷水汇总表!$A16,ps!$J:$J,喷水汇总表!U$5,ps!$F:$F,喷水汇总表!$W$4,ps!$R:$R,喷水汇总表!$Y$4)+SUMIFS(ps!$M:$M,ps!$B:$B,喷水汇总表!$A16,ps!$K:$K,喷水汇总表!U$5,ps!$F:$F,喷水汇总表!$W$4,ps!$R:$R,喷水汇总表!$Y$4),SUMIFS(ps!$L:$L,ps!$B:$B,喷水汇总表!$A16,ps!$J:$J,喷水汇总表!U$5,ps!$F:$F,喷水汇总表!$W$4,ps!$I:$I,喷水汇总表!$T$4)+SUMIFS(ps!$M:$M,ps!$B:$B,喷水汇总表!$A16,ps!$K:$K,喷水汇总表!U$5,ps!$F:$F,喷水汇总表!$W$4,ps!$I:$I,喷水汇总表!$T$4))</f>
        <v>0</v>
      </c>
      <c r="V16" s="248">
        <f>IF($T$4="",SUMIFS(ps!$L:$L,ps!$B:$B,喷水汇总表!$A16,ps!$J:$J,喷水汇总表!V$5,ps!$F:$F,喷水汇总表!$W$4,ps!$R:$R,喷水汇总表!$Y$4)+SUMIFS(ps!$M:$M,ps!$B:$B,喷水汇总表!$A16,ps!$K:$K,喷水汇总表!V$5,ps!$F:$F,喷水汇总表!$W$4,ps!$R:$R,喷水汇总表!$Y$4),SUMIFS(ps!$L:$L,ps!$B:$B,喷水汇总表!$A16,ps!$J:$J,喷水汇总表!V$5,ps!$F:$F,喷水汇总表!$W$4,ps!$I:$I,喷水汇总表!$T$4)+SUMIFS(ps!$M:$M,ps!$B:$B,喷水汇总表!$A16,ps!$K:$K,喷水汇总表!V$5,ps!$F:$F,喷水汇总表!$W$4,ps!$I:$I,喷水汇总表!$T$4))</f>
        <v>0</v>
      </c>
      <c r="W16" s="248">
        <f>IF($T$4="",SUMIFS(ps!$L:$L,ps!$B:$B,喷水汇总表!$A16,ps!$J:$J,喷水汇总表!W$5,ps!$F:$F,喷水汇总表!$W$4,ps!$R:$R,喷水汇总表!$Y$4)+SUMIFS(ps!$M:$M,ps!$B:$B,喷水汇总表!$A16,ps!$K:$K,喷水汇总表!W$5,ps!$F:$F,喷水汇总表!$W$4,ps!$R:$R,喷水汇总表!$Y$4),SUMIFS(ps!$L:$L,ps!$B:$B,喷水汇总表!$A16,ps!$J:$J,喷水汇总表!W$5,ps!$F:$F,喷水汇总表!$W$4,ps!$I:$I,喷水汇总表!$T$4)+SUMIFS(ps!$M:$M,ps!$B:$B,喷水汇总表!$A16,ps!$K:$K,喷水汇总表!W$5,ps!$F:$F,喷水汇总表!$W$4,ps!$I:$I,喷水汇总表!$T$4))</f>
        <v>0</v>
      </c>
      <c r="X16" s="15">
        <f t="shared" si="1"/>
        <v>53042</v>
      </c>
      <c r="Y16" s="18">
        <f>SUMIFS(ps!$N:$N,ps!$B:$B,喷水汇总表!$A16,ps!$I:$I,喷水汇总表!$X$4&amp;"/"&amp;喷水汇总表!$Y$4&amp;"/"&amp;喷水汇总表!Y$5)</f>
        <v>0</v>
      </c>
      <c r="Z16" s="18">
        <f>SUMIFS(ps!$N:$N,ps!$B:$B,喷水汇总表!$A16,ps!$I:$I,喷水汇总表!$X$4&amp;"/"&amp;喷水汇总表!$Y$4&amp;"/"&amp;喷水汇总表!Z$5)</f>
        <v>7394</v>
      </c>
      <c r="AA16" s="18">
        <f>SUMIFS(ps!$N:$N,ps!$B:$B,喷水汇总表!$A16,ps!$I:$I,喷水汇总表!$X$4&amp;"/"&amp;喷水汇总表!$Y$4&amp;"/"&amp;喷水汇总表!AA$5)</f>
        <v>0</v>
      </c>
      <c r="AB16" s="18">
        <f>SUMIFS(ps!$N:$N,ps!$B:$B,喷水汇总表!$A16,ps!$I:$I,喷水汇总表!$X$4&amp;"/"&amp;喷水汇总表!$Y$4&amp;"/"&amp;喷水汇总表!AB$5)</f>
        <v>4728</v>
      </c>
      <c r="AC16" s="18">
        <f>SUMIFS(ps!$N:$N,ps!$B:$B,喷水汇总表!$A16,ps!$I:$I,喷水汇总表!$X$4&amp;"/"&amp;喷水汇总表!$Y$4&amp;"/"&amp;喷水汇总表!AC$5)</f>
        <v>33209</v>
      </c>
      <c r="AD16" s="18">
        <f>SUMIFS(ps!$N:$N,ps!$B:$B,喷水汇总表!$A16,ps!$I:$I,喷水汇总表!$X$4&amp;"/"&amp;喷水汇总表!$Y$4&amp;"/"&amp;喷水汇总表!AD$5)</f>
        <v>7711</v>
      </c>
      <c r="AE16" s="18">
        <f>SUMIFS(ps!$N:$N,ps!$B:$B,喷水汇总表!$A16,ps!$I:$I,喷水汇总表!$X$4&amp;"/"&amp;喷水汇总表!$Y$4&amp;"/"&amp;喷水汇总表!AE$5)</f>
        <v>0</v>
      </c>
      <c r="AF16" s="18">
        <f>SUMIFS(ps!$N:$N,ps!$B:$B,喷水汇总表!$A16,ps!$I:$I,喷水汇总表!$X$4&amp;"/"&amp;喷水汇总表!$Y$4&amp;"/"&amp;喷水汇总表!AF$5)</f>
        <v>0</v>
      </c>
      <c r="AG16" s="18">
        <f>SUMIFS(ps!$N:$N,ps!$B:$B,喷水汇总表!$A16,ps!$I:$I,喷水汇总表!$X$4&amp;"/"&amp;喷水汇总表!$Y$4&amp;"/"&amp;喷水汇总表!AG$5)</f>
        <v>0</v>
      </c>
      <c r="AH16" s="18">
        <f>SUMIFS(ps!$N:$N,ps!$B:$B,喷水汇总表!$A16,ps!$I:$I,喷水汇总表!$X$4&amp;"/"&amp;喷水汇总表!$Y$4&amp;"/"&amp;喷水汇总表!AH$5)</f>
        <v>0</v>
      </c>
      <c r="AI16" s="18">
        <f>SUMIFS(ps!$N:$N,ps!$B:$B,喷水汇总表!$A16,ps!$I:$I,喷水汇总表!$X$4&amp;"/"&amp;喷水汇总表!$Y$4&amp;"/"&amp;喷水汇总表!AI$5)</f>
        <v>0</v>
      </c>
      <c r="AJ16" s="18">
        <f>SUMIFS(ps!$N:$N,ps!$B:$B,喷水汇总表!$A16,ps!$I:$I,喷水汇总表!$X$4&amp;"/"&amp;喷水汇总表!$Y$4&amp;"/"&amp;喷水汇总表!AJ$5)</f>
        <v>0</v>
      </c>
      <c r="AK16" s="18">
        <f>SUMIFS(ps!$N:$N,ps!$B:$B,喷水汇总表!$A16,ps!$I:$I,喷水汇总表!$X$4&amp;"/"&amp;喷水汇总表!$Y$4&amp;"/"&amp;喷水汇总表!AK$5)</f>
        <v>0</v>
      </c>
      <c r="AL16" s="18">
        <f>SUMIFS(ps!$N:$N,ps!$B:$B,喷水汇总表!$A16,ps!$I:$I,喷水汇总表!$X$4&amp;"/"&amp;喷水汇总表!$Y$4&amp;"/"&amp;喷水汇总表!AL$5)</f>
        <v>0</v>
      </c>
      <c r="AM16" s="18">
        <f>SUMIFS(ps!$N:$N,ps!$B:$B,喷水汇总表!$A16,ps!$I:$I,喷水汇总表!$X$4&amp;"/"&amp;喷水汇总表!$Y$4&amp;"/"&amp;喷水汇总表!AM$5)</f>
        <v>0</v>
      </c>
      <c r="AN16" s="18">
        <f>SUMIFS(ps!$N:$N,ps!$B:$B,喷水汇总表!$A16,ps!$I:$I,喷水汇总表!$X$4&amp;"/"&amp;喷水汇总表!$Y$4&amp;"/"&amp;喷水汇总表!AN$5)</f>
        <v>0</v>
      </c>
      <c r="AO16" s="18">
        <f>SUMIFS(ps!$N:$N,ps!$B:$B,喷水汇总表!$A16,ps!$I:$I,喷水汇总表!$X$4&amp;"/"&amp;喷水汇总表!$Y$4&amp;"/"&amp;喷水汇总表!AO$5)</f>
        <v>0</v>
      </c>
      <c r="AP16" s="18">
        <f>SUMIFS(ps!$N:$N,ps!$B:$B,喷水汇总表!$A16,ps!$I:$I,喷水汇总表!$X$4&amp;"/"&amp;喷水汇总表!$Y$4&amp;"/"&amp;喷水汇总表!AP$5)</f>
        <v>0</v>
      </c>
      <c r="AQ16" s="18">
        <f>SUMIFS(ps!$N:$N,ps!$B:$B,喷水汇总表!$A16,ps!$I:$I,喷水汇总表!$X$4&amp;"/"&amp;喷水汇总表!$Y$4&amp;"/"&amp;喷水汇总表!AQ$5)</f>
        <v>0</v>
      </c>
      <c r="AR16" s="18">
        <f>SUMIFS(ps!$N:$N,ps!$B:$B,喷水汇总表!$A16,ps!$I:$I,喷水汇总表!$X$4&amp;"/"&amp;喷水汇总表!$Y$4&amp;"/"&amp;喷水汇总表!AR$5)</f>
        <v>0</v>
      </c>
      <c r="AS16" s="18">
        <f>SUMIFS(ps!$N:$N,ps!$B:$B,喷水汇总表!$A16,ps!$I:$I,喷水汇总表!$X$4&amp;"/"&amp;喷水汇总表!$Y$4&amp;"/"&amp;喷水汇总表!AS$5)</f>
        <v>0</v>
      </c>
      <c r="AT16" s="18">
        <f>SUMIFS(ps!$N:$N,ps!$B:$B,喷水汇总表!$A16,ps!$I:$I,喷水汇总表!$X$4&amp;"/"&amp;喷水汇总表!$Y$4&amp;"/"&amp;喷水汇总表!AT$5)</f>
        <v>0</v>
      </c>
      <c r="AU16" s="18">
        <f>SUMIFS(ps!$N:$N,ps!$B:$B,喷水汇总表!$A16,ps!$I:$I,喷水汇总表!$X$4&amp;"/"&amp;喷水汇总表!$Y$4&amp;"/"&amp;喷水汇总表!AU$5)</f>
        <v>0</v>
      </c>
      <c r="AV16" s="18">
        <f>SUMIFS(ps!$N:$N,ps!$B:$B,喷水汇总表!$A16,ps!$I:$I,喷水汇总表!$X$4&amp;"/"&amp;喷水汇总表!$Y$4&amp;"/"&amp;喷水汇总表!AV$5)</f>
        <v>0</v>
      </c>
      <c r="AW16" s="18">
        <f>SUMIFS(ps!$N:$N,ps!$B:$B,喷水汇总表!$A16,ps!$I:$I,喷水汇总表!$X$4&amp;"/"&amp;喷水汇总表!$Y$4&amp;"/"&amp;喷水汇总表!AW$5)</f>
        <v>0</v>
      </c>
      <c r="AX16" s="18">
        <f>SUMIFS(ps!$N:$N,ps!$B:$B,喷水汇总表!$A16,ps!$I:$I,喷水汇总表!$X$4&amp;"/"&amp;喷水汇总表!$Y$4&amp;"/"&amp;喷水汇总表!AX$5)</f>
        <v>0</v>
      </c>
      <c r="AY16" s="18">
        <f>SUMIFS(ps!$N:$N,ps!$B:$B,喷水汇总表!$A16,ps!$I:$I,喷水汇总表!$X$4&amp;"/"&amp;喷水汇总表!$Y$4&amp;"/"&amp;喷水汇总表!AY$5)</f>
        <v>0</v>
      </c>
      <c r="AZ16" s="18">
        <f>SUMIFS(ps!$N:$N,ps!$B:$B,喷水汇总表!$A16,ps!$I:$I,喷水汇总表!$X$4&amp;"/"&amp;喷水汇总表!$Y$4&amp;"/"&amp;喷水汇总表!AZ$5)</f>
        <v>0</v>
      </c>
      <c r="BA16" s="18">
        <f>SUMIFS(ps!$N:$N,ps!$B:$B,喷水汇总表!$A16,ps!$I:$I,喷水汇总表!$X$4&amp;"/"&amp;喷水汇总表!$Y$4&amp;"/"&amp;喷水汇总表!BA$5)</f>
        <v>0</v>
      </c>
      <c r="BB16" s="18">
        <f>SUMIFS(ps!$N:$N,ps!$B:$B,喷水汇总表!$A16,ps!$I:$I,喷水汇总表!$X$4&amp;"/"&amp;喷水汇总表!$Y$4&amp;"/"&amp;喷水汇总表!BB$5)</f>
        <v>0</v>
      </c>
      <c r="BC16" s="18">
        <f>SUMIFS(ps!$N:$N,ps!$B:$B,喷水汇总表!$A16,ps!$I:$I,喷水汇总表!$X$4&amp;"/"&amp;喷水汇总表!$Y$4&amp;"/"&amp;喷水汇总表!BC$5)</f>
        <v>0</v>
      </c>
    </row>
    <row r="17" spans="1:58" ht="18" customHeight="1">
      <c r="A17" s="96" t="s">
        <v>1094</v>
      </c>
      <c r="B17" s="176" t="str">
        <f>IF(A17="","",VLOOKUP(A17,经纬!B:C,2,FALSE))</f>
        <v>30*30</v>
      </c>
      <c r="C17" s="176" t="str">
        <f t="shared" si="0"/>
        <v>200</v>
      </c>
      <c r="D17" s="176">
        <f>IF(A17="","",VLOOKUP(A17,经纬!B:G,6,FALSE))</f>
        <v>23</v>
      </c>
      <c r="E17" s="44">
        <f>IF($T$4="",SUMIFS(ps!$N:$N,ps!$B:$B,喷水汇总表!$A17,ps!$H:$H,喷水汇总表!E$5,ps!$R:$R,喷水汇总表!$Y$4),SUMIFS(ps!$N:$N,ps!$B:$B,喷水汇总表!$A17,ps!$H:$H,喷水汇总表!E$5,ps!$I:$I,喷水汇总表!$T$4))</f>
        <v>0</v>
      </c>
      <c r="F17" s="44">
        <f>IF($T$4="",SUMIFS(ps!$N:$N,ps!$B:$B,喷水汇总表!$A17,ps!$H:$H,喷水汇总表!F$5,ps!$R:$R,喷水汇总表!$Y$4),SUMIFS(ps!$N:$N,ps!$B:$B,喷水汇总表!$A17,ps!$H:$H,喷水汇总表!F$5,ps!$I:$I,喷水汇总表!$T$4))</f>
        <v>0</v>
      </c>
      <c r="G17" s="44">
        <f>IF($T$4="",SUMIFS(ps!$N:$N,ps!$B:$B,喷水汇总表!$A17,ps!$H:$H,喷水汇总表!G$5,ps!$R:$R,喷水汇总表!$Y$4),SUMIFS(ps!$N:$N,ps!$B:$B,喷水汇总表!$A17,ps!$H:$H,喷水汇总表!G$5,ps!$I:$I,喷水汇总表!$T$4))</f>
        <v>0</v>
      </c>
      <c r="H17" s="248">
        <f>IF($T$4="",SUMIFS(ps!$N:$N,ps!$B:$B,喷水汇总表!$A17,ps!$G:$G,喷水汇总表!H$5,ps!$R:$R,喷水汇总表!$Y$4),SUMIFS(ps!$N:$N,ps!$B:$B,喷水汇总表!$A17,ps!$G:$G,喷水汇总表!H$5,ps!$I:$I,喷水汇总表!$T$4))</f>
        <v>0</v>
      </c>
      <c r="I17" s="248">
        <f>IF($T$4="",SUMIFS(ps!$N:$N,ps!$B:$B,喷水汇总表!$A17,ps!$G:$G,喷水汇总表!I$5,ps!$R:$R,喷水汇总表!$Y$4),SUMIFS(ps!$N:$N,ps!$B:$B,喷水汇总表!$A17,ps!$G:$G,喷水汇总表!I$5,ps!$I:$I,喷水汇总表!$T$4))</f>
        <v>0</v>
      </c>
      <c r="J17" s="248">
        <f>IF($T$4="",SUMIFS(ps!$N:$N,ps!$B:$B,喷水汇总表!$A17,ps!$G:$G,喷水汇总表!J$5,ps!$R:$R,喷水汇总表!$Y$4),SUMIFS(ps!$N:$N,ps!$B:$B,喷水汇总表!$A17,ps!$G:$G,喷水汇总表!J$5,ps!$I:$I,喷水汇总表!$T$4))</f>
        <v>0</v>
      </c>
      <c r="K17" s="248">
        <f>IF($T$4="",SUMIFS(ps!$N:$N,ps!$B:$B,喷水汇总表!$A17,ps!$G:$G,喷水汇总表!K$5,ps!$R:$R,喷水汇总表!$Y$4),SUMIFS(ps!$N:$N,ps!$B:$B,喷水汇总表!$A17,ps!$G:$G,喷水汇总表!K$5,ps!$I:$I,喷水汇总表!$T$4))</f>
        <v>0</v>
      </c>
      <c r="L17" s="248">
        <f>IF($T$4="",SUMIFS(ps!$N:$N,ps!$B:$B,喷水汇总表!$A17,ps!$G:$G,喷水汇总表!L$5,ps!$R:$R,喷水汇总表!$Y$4),SUMIFS(ps!$N:$N,ps!$B:$B,喷水汇总表!$A17,ps!$G:$G,喷水汇总表!L$5,ps!$I:$I,喷水汇总表!$T$4))</f>
        <v>0</v>
      </c>
      <c r="M17" s="248">
        <f>IF($T$4="",SUMIFS(ps!$N:$N,ps!$B:$B,喷水汇总表!$A17,ps!$G:$G,喷水汇总表!M$5,ps!$R:$R,喷水汇总表!$Y$4),SUMIFS(ps!$N:$N,ps!$B:$B,喷水汇总表!$A17,ps!$G:$G,喷水汇总表!M$5,ps!$I:$I,喷水汇总表!$T$4))</f>
        <v>0</v>
      </c>
      <c r="N17" s="248">
        <f>IF($T$4="",SUMIFS(ps!$N:$N,ps!$B:$B,喷水汇总表!$A17,ps!$G:$G,喷水汇总表!N$5,ps!$R:$R,喷水汇总表!$Y$4),SUMIFS(ps!$N:$N,ps!$B:$B,喷水汇总表!$A17,ps!$G:$G,喷水汇总表!N$5,ps!$I:$I,喷水汇总表!$T$4))</f>
        <v>0</v>
      </c>
      <c r="O17" s="248">
        <f>IF($T$4="",SUMIFS(ps!$L:$L,ps!$B:$B,喷水汇总表!$A17,ps!$J:$J,喷水汇总表!O$5,ps!$F:$F,喷水汇总表!$W$4,ps!$R:$R,喷水汇总表!$Y$4)+SUMIFS(ps!$M:$M,ps!$B:$B,喷水汇总表!$A17,ps!$K:$K,喷水汇总表!O$5,ps!$F:$F,喷水汇总表!$W$4,ps!$R:$R,喷水汇总表!$Y$4),SUMIFS(ps!$L:$L,ps!$B:$B,喷水汇总表!$A17,ps!$J:$J,喷水汇总表!O$5,ps!$F:$F,喷水汇总表!$W$4,ps!$I:$I,喷水汇总表!$T$4)+SUMIFS(ps!$M:$M,ps!$B:$B,喷水汇总表!$A17,ps!$K:$K,喷水汇总表!O$5,ps!$F:$F,喷水汇总表!$W$4,ps!$I:$I,喷水汇总表!$T$4))</f>
        <v>0</v>
      </c>
      <c r="P17" s="248">
        <f>IF($T$4="",SUMIFS(ps!$L:$L,ps!$B:$B,喷水汇总表!$A17,ps!$J:$J,喷水汇总表!P$5,ps!$F:$F,喷水汇总表!$W$4,ps!$R:$R,喷水汇总表!$Y$4)+SUMIFS(ps!$M:$M,ps!$B:$B,喷水汇总表!$A17,ps!$K:$K,喷水汇总表!P$5,ps!$F:$F,喷水汇总表!$W$4,ps!$R:$R,喷水汇总表!$Y$4),SUMIFS(ps!$L:$L,ps!$B:$B,喷水汇总表!$A17,ps!$J:$J,喷水汇总表!P$5,ps!$F:$F,喷水汇总表!$W$4,ps!$I:$I,喷水汇总表!$T$4)+SUMIFS(ps!$M:$M,ps!$B:$B,喷水汇总表!$A17,ps!$K:$K,喷水汇总表!P$5,ps!$F:$F,喷水汇总表!$W$4,ps!$I:$I,喷水汇总表!$T$4))</f>
        <v>0</v>
      </c>
      <c r="Q17" s="248">
        <f>IF($T$4="",SUMIFS(ps!$L:$L,ps!$B:$B,喷水汇总表!$A17,ps!$J:$J,喷水汇总表!Q$5,ps!$F:$F,喷水汇总表!$W$4,ps!$R:$R,喷水汇总表!$Y$4)+SUMIFS(ps!$M:$M,ps!$B:$B,喷水汇总表!$A17,ps!$K:$K,喷水汇总表!Q$5,ps!$F:$F,喷水汇总表!$W$4,ps!$R:$R,喷水汇总表!$Y$4),SUMIFS(ps!$L:$L,ps!$B:$B,喷水汇总表!$A17,ps!$J:$J,喷水汇总表!Q$5,ps!$F:$F,喷水汇总表!$W$4,ps!$I:$I,喷水汇总表!$T$4)+SUMIFS(ps!$M:$M,ps!$B:$B,喷水汇总表!$A17,ps!$K:$K,喷水汇总表!Q$5,ps!$F:$F,喷水汇总表!$W$4,ps!$I:$I,喷水汇总表!$T$4))</f>
        <v>0</v>
      </c>
      <c r="R17" s="248">
        <f>IF($T$4="",SUMIFS(ps!$L:$L,ps!$B:$B,喷水汇总表!$A17,ps!$J:$J,喷水汇总表!R$5,ps!$F:$F,喷水汇总表!$W$4,ps!$R:$R,喷水汇总表!$Y$4)+SUMIFS(ps!$M:$M,ps!$B:$B,喷水汇总表!$A17,ps!$K:$K,喷水汇总表!R$5,ps!$F:$F,喷水汇总表!$W$4,ps!$R:$R,喷水汇总表!$Y$4),SUMIFS(ps!$L:$L,ps!$B:$B,喷水汇总表!$A17,ps!$J:$J,喷水汇总表!R$5,ps!$F:$F,喷水汇总表!$W$4,ps!$I:$I,喷水汇总表!$T$4)+SUMIFS(ps!$M:$M,ps!$B:$B,喷水汇总表!$A17,ps!$K:$K,喷水汇总表!R$5,ps!$F:$F,喷水汇总表!$W$4,ps!$I:$I,喷水汇总表!$T$4))</f>
        <v>0</v>
      </c>
      <c r="S17" s="248">
        <f>IF($T$4="",SUMIFS(ps!$L:$L,ps!$B:$B,喷水汇总表!$A17,ps!$J:$J,喷水汇总表!S$5,ps!$F:$F,喷水汇总表!$W$4,ps!$R:$R,喷水汇总表!$Y$4)+SUMIFS(ps!$M:$M,ps!$B:$B,喷水汇总表!$A17,ps!$K:$K,喷水汇总表!S$5,ps!$F:$F,喷水汇总表!$W$4,ps!$R:$R,喷水汇总表!$Y$4),SUMIFS(ps!$L:$L,ps!$B:$B,喷水汇总表!$A17,ps!$J:$J,喷水汇总表!S$5,ps!$F:$F,喷水汇总表!$W$4,ps!$I:$I,喷水汇总表!$T$4)+SUMIFS(ps!$M:$M,ps!$B:$B,喷水汇总表!$A17,ps!$K:$K,喷水汇总表!S$5,ps!$F:$F,喷水汇总表!$W$4,ps!$I:$I,喷水汇总表!$T$4))</f>
        <v>0</v>
      </c>
      <c r="T17" s="248">
        <f>IF($T$4="",SUMIFS(ps!$L:$L,ps!$B:$B,喷水汇总表!$A17,ps!$J:$J,喷水汇总表!T$5,ps!$F:$F,喷水汇总表!$W$4,ps!$R:$R,喷水汇总表!$Y$4)+SUMIFS(ps!$M:$M,ps!$B:$B,喷水汇总表!$A17,ps!$K:$K,喷水汇总表!T$5,ps!$F:$F,喷水汇总表!$W$4,ps!$R:$R,喷水汇总表!$Y$4),SUMIFS(ps!$L:$L,ps!$B:$B,喷水汇总表!$A17,ps!$J:$J,喷水汇总表!T$5,ps!$F:$F,喷水汇总表!$W$4,ps!$I:$I,喷水汇总表!$T$4)+SUMIFS(ps!$M:$M,ps!$B:$B,喷水汇总表!$A17,ps!$K:$K,喷水汇总表!T$5,ps!$F:$F,喷水汇总表!$W$4,ps!$I:$I,喷水汇总表!$T$4))</f>
        <v>0</v>
      </c>
      <c r="U17" s="248">
        <f>IF($T$4="",SUMIFS(ps!$L:$L,ps!$B:$B,喷水汇总表!$A17,ps!$J:$J,喷水汇总表!U$5,ps!$F:$F,喷水汇总表!$W$4,ps!$R:$R,喷水汇总表!$Y$4)+SUMIFS(ps!$M:$M,ps!$B:$B,喷水汇总表!$A17,ps!$K:$K,喷水汇总表!U$5,ps!$F:$F,喷水汇总表!$W$4,ps!$R:$R,喷水汇总表!$Y$4),SUMIFS(ps!$L:$L,ps!$B:$B,喷水汇总表!$A17,ps!$J:$J,喷水汇总表!U$5,ps!$F:$F,喷水汇总表!$W$4,ps!$I:$I,喷水汇总表!$T$4)+SUMIFS(ps!$M:$M,ps!$B:$B,喷水汇总表!$A17,ps!$K:$K,喷水汇总表!U$5,ps!$F:$F,喷水汇总表!$W$4,ps!$I:$I,喷水汇总表!$T$4))</f>
        <v>0</v>
      </c>
      <c r="V17" s="248">
        <f>IF($T$4="",SUMIFS(ps!$L:$L,ps!$B:$B,喷水汇总表!$A17,ps!$J:$J,喷水汇总表!V$5,ps!$F:$F,喷水汇总表!$W$4,ps!$R:$R,喷水汇总表!$Y$4)+SUMIFS(ps!$M:$M,ps!$B:$B,喷水汇总表!$A17,ps!$K:$K,喷水汇总表!V$5,ps!$F:$F,喷水汇总表!$W$4,ps!$R:$R,喷水汇总表!$Y$4),SUMIFS(ps!$L:$L,ps!$B:$B,喷水汇总表!$A17,ps!$J:$J,喷水汇总表!V$5,ps!$F:$F,喷水汇总表!$W$4,ps!$I:$I,喷水汇总表!$T$4)+SUMIFS(ps!$M:$M,ps!$B:$B,喷水汇总表!$A17,ps!$K:$K,喷水汇总表!V$5,ps!$F:$F,喷水汇总表!$W$4,ps!$I:$I,喷水汇总表!$T$4))</f>
        <v>0</v>
      </c>
      <c r="W17" s="248">
        <f>IF($T$4="",SUMIFS(ps!$L:$L,ps!$B:$B,喷水汇总表!$A17,ps!$J:$J,喷水汇总表!W$5,ps!$F:$F,喷水汇总表!$W$4,ps!$R:$R,喷水汇总表!$Y$4)+SUMIFS(ps!$M:$M,ps!$B:$B,喷水汇总表!$A17,ps!$K:$K,喷水汇总表!W$5,ps!$F:$F,喷水汇总表!$W$4,ps!$R:$R,喷水汇总表!$Y$4),SUMIFS(ps!$L:$L,ps!$B:$B,喷水汇总表!$A17,ps!$J:$J,喷水汇总表!W$5,ps!$F:$F,喷水汇总表!$W$4,ps!$I:$I,喷水汇总表!$T$4)+SUMIFS(ps!$M:$M,ps!$B:$B,喷水汇总表!$A17,ps!$K:$K,喷水汇总表!W$5,ps!$F:$F,喷水汇总表!$W$4,ps!$I:$I,喷水汇总表!$T$4))</f>
        <v>0</v>
      </c>
      <c r="X17" s="15">
        <f t="shared" si="1"/>
        <v>4911</v>
      </c>
      <c r="Y17" s="18">
        <f>SUMIFS(ps!$N:$N,ps!$B:$B,喷水汇总表!$A17,ps!$I:$I,喷水汇总表!$X$4&amp;"/"&amp;喷水汇总表!$Y$4&amp;"/"&amp;喷水汇总表!Y$5)</f>
        <v>0</v>
      </c>
      <c r="Z17" s="18">
        <f>SUMIFS(ps!$N:$N,ps!$B:$B,喷水汇总表!$A17,ps!$I:$I,喷水汇总表!$X$4&amp;"/"&amp;喷水汇总表!$Y$4&amp;"/"&amp;喷水汇总表!Z$5)</f>
        <v>0</v>
      </c>
      <c r="AA17" s="18">
        <f>SUMIFS(ps!$N:$N,ps!$B:$B,喷水汇总表!$A17,ps!$I:$I,喷水汇总表!$X$4&amp;"/"&amp;喷水汇总表!$Y$4&amp;"/"&amp;喷水汇总表!AA$5)</f>
        <v>4911</v>
      </c>
      <c r="AB17" s="18">
        <f>SUMIFS(ps!$N:$N,ps!$B:$B,喷水汇总表!$A17,ps!$I:$I,喷水汇总表!$X$4&amp;"/"&amp;喷水汇总表!$Y$4&amp;"/"&amp;喷水汇总表!AB$5)</f>
        <v>0</v>
      </c>
      <c r="AC17" s="18">
        <f>SUMIFS(ps!$N:$N,ps!$B:$B,喷水汇总表!$A17,ps!$I:$I,喷水汇总表!$X$4&amp;"/"&amp;喷水汇总表!$Y$4&amp;"/"&amp;喷水汇总表!AC$5)</f>
        <v>0</v>
      </c>
      <c r="AD17" s="18">
        <f>SUMIFS(ps!$N:$N,ps!$B:$B,喷水汇总表!$A17,ps!$I:$I,喷水汇总表!$X$4&amp;"/"&amp;喷水汇总表!$Y$4&amp;"/"&amp;喷水汇总表!AD$5)</f>
        <v>0</v>
      </c>
      <c r="AE17" s="18">
        <f>SUMIFS(ps!$N:$N,ps!$B:$B,喷水汇总表!$A17,ps!$I:$I,喷水汇总表!$X$4&amp;"/"&amp;喷水汇总表!$Y$4&amp;"/"&amp;喷水汇总表!AE$5)</f>
        <v>0</v>
      </c>
      <c r="AF17" s="18">
        <f>SUMIFS(ps!$N:$N,ps!$B:$B,喷水汇总表!$A17,ps!$I:$I,喷水汇总表!$X$4&amp;"/"&amp;喷水汇总表!$Y$4&amp;"/"&amp;喷水汇总表!AF$5)</f>
        <v>0</v>
      </c>
      <c r="AG17" s="18">
        <f>SUMIFS(ps!$N:$N,ps!$B:$B,喷水汇总表!$A17,ps!$I:$I,喷水汇总表!$X$4&amp;"/"&amp;喷水汇总表!$Y$4&amp;"/"&amp;喷水汇总表!AG$5)</f>
        <v>0</v>
      </c>
      <c r="AH17" s="18">
        <f>SUMIFS(ps!$N:$N,ps!$B:$B,喷水汇总表!$A17,ps!$I:$I,喷水汇总表!$X$4&amp;"/"&amp;喷水汇总表!$Y$4&amp;"/"&amp;喷水汇总表!AH$5)</f>
        <v>0</v>
      </c>
      <c r="AI17" s="18">
        <f>SUMIFS(ps!$N:$N,ps!$B:$B,喷水汇总表!$A17,ps!$I:$I,喷水汇总表!$X$4&amp;"/"&amp;喷水汇总表!$Y$4&amp;"/"&amp;喷水汇总表!AI$5)</f>
        <v>0</v>
      </c>
      <c r="AJ17" s="18">
        <f>SUMIFS(ps!$N:$N,ps!$B:$B,喷水汇总表!$A17,ps!$I:$I,喷水汇总表!$X$4&amp;"/"&amp;喷水汇总表!$Y$4&amp;"/"&amp;喷水汇总表!AJ$5)</f>
        <v>0</v>
      </c>
      <c r="AK17" s="18">
        <f>SUMIFS(ps!$N:$N,ps!$B:$B,喷水汇总表!$A17,ps!$I:$I,喷水汇总表!$X$4&amp;"/"&amp;喷水汇总表!$Y$4&amp;"/"&amp;喷水汇总表!AK$5)</f>
        <v>0</v>
      </c>
      <c r="AL17" s="18">
        <f>SUMIFS(ps!$N:$N,ps!$B:$B,喷水汇总表!$A17,ps!$I:$I,喷水汇总表!$X$4&amp;"/"&amp;喷水汇总表!$Y$4&amp;"/"&amp;喷水汇总表!AL$5)</f>
        <v>0</v>
      </c>
      <c r="AM17" s="18">
        <f>SUMIFS(ps!$N:$N,ps!$B:$B,喷水汇总表!$A17,ps!$I:$I,喷水汇总表!$X$4&amp;"/"&amp;喷水汇总表!$Y$4&amp;"/"&amp;喷水汇总表!AM$5)</f>
        <v>0</v>
      </c>
      <c r="AN17" s="18">
        <f>SUMIFS(ps!$N:$N,ps!$B:$B,喷水汇总表!$A17,ps!$I:$I,喷水汇总表!$X$4&amp;"/"&amp;喷水汇总表!$Y$4&amp;"/"&amp;喷水汇总表!AN$5)</f>
        <v>0</v>
      </c>
      <c r="AO17" s="18">
        <f>SUMIFS(ps!$N:$N,ps!$B:$B,喷水汇总表!$A17,ps!$I:$I,喷水汇总表!$X$4&amp;"/"&amp;喷水汇总表!$Y$4&amp;"/"&amp;喷水汇总表!AO$5)</f>
        <v>0</v>
      </c>
      <c r="AP17" s="18">
        <f>SUMIFS(ps!$N:$N,ps!$B:$B,喷水汇总表!$A17,ps!$I:$I,喷水汇总表!$X$4&amp;"/"&amp;喷水汇总表!$Y$4&amp;"/"&amp;喷水汇总表!AP$5)</f>
        <v>0</v>
      </c>
      <c r="AQ17" s="18">
        <f>SUMIFS(ps!$N:$N,ps!$B:$B,喷水汇总表!$A17,ps!$I:$I,喷水汇总表!$X$4&amp;"/"&amp;喷水汇总表!$Y$4&amp;"/"&amp;喷水汇总表!AQ$5)</f>
        <v>0</v>
      </c>
      <c r="AR17" s="18">
        <f>SUMIFS(ps!$N:$N,ps!$B:$B,喷水汇总表!$A17,ps!$I:$I,喷水汇总表!$X$4&amp;"/"&amp;喷水汇总表!$Y$4&amp;"/"&amp;喷水汇总表!AR$5)</f>
        <v>0</v>
      </c>
      <c r="AS17" s="18">
        <f>SUMIFS(ps!$N:$N,ps!$B:$B,喷水汇总表!$A17,ps!$I:$I,喷水汇总表!$X$4&amp;"/"&amp;喷水汇总表!$Y$4&amp;"/"&amp;喷水汇总表!AS$5)</f>
        <v>0</v>
      </c>
      <c r="AT17" s="18">
        <f>SUMIFS(ps!$N:$N,ps!$B:$B,喷水汇总表!$A17,ps!$I:$I,喷水汇总表!$X$4&amp;"/"&amp;喷水汇总表!$Y$4&amp;"/"&amp;喷水汇总表!AT$5)</f>
        <v>0</v>
      </c>
      <c r="AU17" s="18">
        <f>SUMIFS(ps!$N:$N,ps!$B:$B,喷水汇总表!$A17,ps!$I:$I,喷水汇总表!$X$4&amp;"/"&amp;喷水汇总表!$Y$4&amp;"/"&amp;喷水汇总表!AU$5)</f>
        <v>0</v>
      </c>
      <c r="AV17" s="18">
        <f>SUMIFS(ps!$N:$N,ps!$B:$B,喷水汇总表!$A17,ps!$I:$I,喷水汇总表!$X$4&amp;"/"&amp;喷水汇总表!$Y$4&amp;"/"&amp;喷水汇总表!AV$5)</f>
        <v>0</v>
      </c>
      <c r="AW17" s="18">
        <f>SUMIFS(ps!$N:$N,ps!$B:$B,喷水汇总表!$A17,ps!$I:$I,喷水汇总表!$X$4&amp;"/"&amp;喷水汇总表!$Y$4&amp;"/"&amp;喷水汇总表!AW$5)</f>
        <v>0</v>
      </c>
      <c r="AX17" s="18">
        <f>SUMIFS(ps!$N:$N,ps!$B:$B,喷水汇总表!$A17,ps!$I:$I,喷水汇总表!$X$4&amp;"/"&amp;喷水汇总表!$Y$4&amp;"/"&amp;喷水汇总表!AX$5)</f>
        <v>0</v>
      </c>
      <c r="AY17" s="18">
        <f>SUMIFS(ps!$N:$N,ps!$B:$B,喷水汇总表!$A17,ps!$I:$I,喷水汇总表!$X$4&amp;"/"&amp;喷水汇总表!$Y$4&amp;"/"&amp;喷水汇总表!AY$5)</f>
        <v>0</v>
      </c>
      <c r="AZ17" s="18">
        <f>SUMIFS(ps!$N:$N,ps!$B:$B,喷水汇总表!$A17,ps!$I:$I,喷水汇总表!$X$4&amp;"/"&amp;喷水汇总表!$Y$4&amp;"/"&amp;喷水汇总表!AZ$5)</f>
        <v>0</v>
      </c>
      <c r="BA17" s="18">
        <f>SUMIFS(ps!$N:$N,ps!$B:$B,喷水汇总表!$A17,ps!$I:$I,喷水汇总表!$X$4&amp;"/"&amp;喷水汇总表!$Y$4&amp;"/"&amp;喷水汇总表!BA$5)</f>
        <v>0</v>
      </c>
      <c r="BB17" s="18">
        <f>SUMIFS(ps!$N:$N,ps!$B:$B,喷水汇总表!$A17,ps!$I:$I,喷水汇总表!$X$4&amp;"/"&amp;喷水汇总表!$Y$4&amp;"/"&amp;喷水汇总表!BB$5)</f>
        <v>0</v>
      </c>
      <c r="BC17" s="18">
        <f>SUMIFS(ps!$N:$N,ps!$B:$B,喷水汇总表!$A17,ps!$I:$I,喷水汇总表!$X$4&amp;"/"&amp;喷水汇总表!$Y$4&amp;"/"&amp;喷水汇总表!BC$5)</f>
        <v>0</v>
      </c>
    </row>
    <row r="18" spans="1:58" ht="18" customHeight="1">
      <c r="A18" s="96" t="s">
        <v>1122</v>
      </c>
      <c r="B18" s="176" t="str">
        <f>IF(A18="","",VLOOKUP(A18,经纬!B:C,2,FALSE))</f>
        <v>30*30</v>
      </c>
      <c r="C18" s="176" t="str">
        <f t="shared" si="0"/>
        <v>201</v>
      </c>
      <c r="D18" s="176">
        <f>IF(A18="","",VLOOKUP(A18,经纬!B:G,6,FALSE))</f>
        <v>23</v>
      </c>
      <c r="E18" s="44">
        <f>IF($T$4="",SUMIFS(ps!$N:$N,ps!$B:$B,喷水汇总表!$A18,ps!$H:$H,喷水汇总表!E$5,ps!$R:$R,喷水汇总表!$Y$4),SUMIFS(ps!$N:$N,ps!$B:$B,喷水汇总表!$A18,ps!$H:$H,喷水汇总表!E$5,ps!$I:$I,喷水汇总表!$T$4))</f>
        <v>0</v>
      </c>
      <c r="F18" s="44">
        <f>IF($T$4="",SUMIFS(ps!$N:$N,ps!$B:$B,喷水汇总表!$A18,ps!$H:$H,喷水汇总表!F$5,ps!$R:$R,喷水汇总表!$Y$4),SUMIFS(ps!$N:$N,ps!$B:$B,喷水汇总表!$A18,ps!$H:$H,喷水汇总表!F$5,ps!$I:$I,喷水汇总表!$T$4))</f>
        <v>0</v>
      </c>
      <c r="G18" s="44">
        <f>IF($T$4="",SUMIFS(ps!$N:$N,ps!$B:$B,喷水汇总表!$A18,ps!$H:$H,喷水汇总表!G$5,ps!$R:$R,喷水汇总表!$Y$4),SUMIFS(ps!$N:$N,ps!$B:$B,喷水汇总表!$A18,ps!$H:$H,喷水汇总表!G$5,ps!$I:$I,喷水汇总表!$T$4))</f>
        <v>0</v>
      </c>
      <c r="H18" s="248">
        <f>IF($T$4="",SUMIFS(ps!$N:$N,ps!$B:$B,喷水汇总表!$A18,ps!$G:$G,喷水汇总表!H$5,ps!$R:$R,喷水汇总表!$Y$4),SUMIFS(ps!$N:$N,ps!$B:$B,喷水汇总表!$A18,ps!$G:$G,喷水汇总表!H$5,ps!$I:$I,喷水汇总表!$T$4))</f>
        <v>0</v>
      </c>
      <c r="I18" s="248">
        <f>IF($T$4="",SUMIFS(ps!$N:$N,ps!$B:$B,喷水汇总表!$A18,ps!$G:$G,喷水汇总表!I$5,ps!$R:$R,喷水汇总表!$Y$4),SUMIFS(ps!$N:$N,ps!$B:$B,喷水汇总表!$A18,ps!$G:$G,喷水汇总表!I$5,ps!$I:$I,喷水汇总表!$T$4))</f>
        <v>0</v>
      </c>
      <c r="J18" s="248">
        <f>IF($T$4="",SUMIFS(ps!$N:$N,ps!$B:$B,喷水汇总表!$A18,ps!$G:$G,喷水汇总表!J$5,ps!$R:$R,喷水汇总表!$Y$4),SUMIFS(ps!$N:$N,ps!$B:$B,喷水汇总表!$A18,ps!$G:$G,喷水汇总表!J$5,ps!$I:$I,喷水汇总表!$T$4))</f>
        <v>0</v>
      </c>
      <c r="K18" s="248">
        <f>IF($T$4="",SUMIFS(ps!$N:$N,ps!$B:$B,喷水汇总表!$A18,ps!$G:$G,喷水汇总表!K$5,ps!$R:$R,喷水汇总表!$Y$4),SUMIFS(ps!$N:$N,ps!$B:$B,喷水汇总表!$A18,ps!$G:$G,喷水汇总表!K$5,ps!$I:$I,喷水汇总表!$T$4))</f>
        <v>0</v>
      </c>
      <c r="L18" s="248">
        <f>IF($T$4="",SUMIFS(ps!$N:$N,ps!$B:$B,喷水汇总表!$A18,ps!$G:$G,喷水汇总表!L$5,ps!$R:$R,喷水汇总表!$Y$4),SUMIFS(ps!$N:$N,ps!$B:$B,喷水汇总表!$A18,ps!$G:$G,喷水汇总表!L$5,ps!$I:$I,喷水汇总表!$T$4))</f>
        <v>0</v>
      </c>
      <c r="M18" s="248">
        <f>IF($T$4="",SUMIFS(ps!$N:$N,ps!$B:$B,喷水汇总表!$A18,ps!$G:$G,喷水汇总表!M$5,ps!$R:$R,喷水汇总表!$Y$4),SUMIFS(ps!$N:$N,ps!$B:$B,喷水汇总表!$A18,ps!$G:$G,喷水汇总表!M$5,ps!$I:$I,喷水汇总表!$T$4))</f>
        <v>0</v>
      </c>
      <c r="N18" s="248">
        <f>IF($T$4="",SUMIFS(ps!$N:$N,ps!$B:$B,喷水汇总表!$A18,ps!$G:$G,喷水汇总表!N$5,ps!$R:$R,喷水汇总表!$Y$4),SUMIFS(ps!$N:$N,ps!$B:$B,喷水汇总表!$A18,ps!$G:$G,喷水汇总表!N$5,ps!$I:$I,喷水汇总表!$T$4))</f>
        <v>0</v>
      </c>
      <c r="O18" s="248">
        <f>IF($T$4="",SUMIFS(ps!$L:$L,ps!$B:$B,喷水汇总表!$A18,ps!$J:$J,喷水汇总表!O$5,ps!$F:$F,喷水汇总表!$W$4,ps!$R:$R,喷水汇总表!$Y$4)+SUMIFS(ps!$M:$M,ps!$B:$B,喷水汇总表!$A18,ps!$K:$K,喷水汇总表!O$5,ps!$F:$F,喷水汇总表!$W$4,ps!$R:$R,喷水汇总表!$Y$4),SUMIFS(ps!$L:$L,ps!$B:$B,喷水汇总表!$A18,ps!$J:$J,喷水汇总表!O$5,ps!$F:$F,喷水汇总表!$W$4,ps!$I:$I,喷水汇总表!$T$4)+SUMIFS(ps!$M:$M,ps!$B:$B,喷水汇总表!$A18,ps!$K:$K,喷水汇总表!O$5,ps!$F:$F,喷水汇总表!$W$4,ps!$I:$I,喷水汇总表!$T$4))</f>
        <v>0</v>
      </c>
      <c r="P18" s="248">
        <f>IF($T$4="",SUMIFS(ps!$L:$L,ps!$B:$B,喷水汇总表!$A18,ps!$J:$J,喷水汇总表!P$5,ps!$F:$F,喷水汇总表!$W$4,ps!$R:$R,喷水汇总表!$Y$4)+SUMIFS(ps!$M:$M,ps!$B:$B,喷水汇总表!$A18,ps!$K:$K,喷水汇总表!P$5,ps!$F:$F,喷水汇总表!$W$4,ps!$R:$R,喷水汇总表!$Y$4),SUMIFS(ps!$L:$L,ps!$B:$B,喷水汇总表!$A18,ps!$J:$J,喷水汇总表!P$5,ps!$F:$F,喷水汇总表!$W$4,ps!$I:$I,喷水汇总表!$T$4)+SUMIFS(ps!$M:$M,ps!$B:$B,喷水汇总表!$A18,ps!$K:$K,喷水汇总表!P$5,ps!$F:$F,喷水汇总表!$W$4,ps!$I:$I,喷水汇总表!$T$4))</f>
        <v>0</v>
      </c>
      <c r="Q18" s="248">
        <f>IF($T$4="",SUMIFS(ps!$L:$L,ps!$B:$B,喷水汇总表!$A18,ps!$J:$J,喷水汇总表!Q$5,ps!$F:$F,喷水汇总表!$W$4,ps!$R:$R,喷水汇总表!$Y$4)+SUMIFS(ps!$M:$M,ps!$B:$B,喷水汇总表!$A18,ps!$K:$K,喷水汇总表!Q$5,ps!$F:$F,喷水汇总表!$W$4,ps!$R:$R,喷水汇总表!$Y$4),SUMIFS(ps!$L:$L,ps!$B:$B,喷水汇总表!$A18,ps!$J:$J,喷水汇总表!Q$5,ps!$F:$F,喷水汇总表!$W$4,ps!$I:$I,喷水汇总表!$T$4)+SUMIFS(ps!$M:$M,ps!$B:$B,喷水汇总表!$A18,ps!$K:$K,喷水汇总表!Q$5,ps!$F:$F,喷水汇总表!$W$4,ps!$I:$I,喷水汇总表!$T$4))</f>
        <v>0</v>
      </c>
      <c r="R18" s="248">
        <f>IF($T$4="",SUMIFS(ps!$L:$L,ps!$B:$B,喷水汇总表!$A18,ps!$J:$J,喷水汇总表!R$5,ps!$F:$F,喷水汇总表!$W$4,ps!$R:$R,喷水汇总表!$Y$4)+SUMIFS(ps!$M:$M,ps!$B:$B,喷水汇总表!$A18,ps!$K:$K,喷水汇总表!R$5,ps!$F:$F,喷水汇总表!$W$4,ps!$R:$R,喷水汇总表!$Y$4),SUMIFS(ps!$L:$L,ps!$B:$B,喷水汇总表!$A18,ps!$J:$J,喷水汇总表!R$5,ps!$F:$F,喷水汇总表!$W$4,ps!$I:$I,喷水汇总表!$T$4)+SUMIFS(ps!$M:$M,ps!$B:$B,喷水汇总表!$A18,ps!$K:$K,喷水汇总表!R$5,ps!$F:$F,喷水汇总表!$W$4,ps!$I:$I,喷水汇总表!$T$4))</f>
        <v>0</v>
      </c>
      <c r="S18" s="248">
        <f>IF($T$4="",SUMIFS(ps!$L:$L,ps!$B:$B,喷水汇总表!$A18,ps!$J:$J,喷水汇总表!S$5,ps!$F:$F,喷水汇总表!$W$4,ps!$R:$R,喷水汇总表!$Y$4)+SUMIFS(ps!$M:$M,ps!$B:$B,喷水汇总表!$A18,ps!$K:$K,喷水汇总表!S$5,ps!$F:$F,喷水汇总表!$W$4,ps!$R:$R,喷水汇总表!$Y$4),SUMIFS(ps!$L:$L,ps!$B:$B,喷水汇总表!$A18,ps!$J:$J,喷水汇总表!S$5,ps!$F:$F,喷水汇总表!$W$4,ps!$I:$I,喷水汇总表!$T$4)+SUMIFS(ps!$M:$M,ps!$B:$B,喷水汇总表!$A18,ps!$K:$K,喷水汇总表!S$5,ps!$F:$F,喷水汇总表!$W$4,ps!$I:$I,喷水汇总表!$T$4))</f>
        <v>0</v>
      </c>
      <c r="T18" s="248">
        <f>IF($T$4="",SUMIFS(ps!$L:$L,ps!$B:$B,喷水汇总表!$A18,ps!$J:$J,喷水汇总表!T$5,ps!$F:$F,喷水汇总表!$W$4,ps!$R:$R,喷水汇总表!$Y$4)+SUMIFS(ps!$M:$M,ps!$B:$B,喷水汇总表!$A18,ps!$K:$K,喷水汇总表!T$5,ps!$F:$F,喷水汇总表!$W$4,ps!$R:$R,喷水汇总表!$Y$4),SUMIFS(ps!$L:$L,ps!$B:$B,喷水汇总表!$A18,ps!$J:$J,喷水汇总表!T$5,ps!$F:$F,喷水汇总表!$W$4,ps!$I:$I,喷水汇总表!$T$4)+SUMIFS(ps!$M:$M,ps!$B:$B,喷水汇总表!$A18,ps!$K:$K,喷水汇总表!T$5,ps!$F:$F,喷水汇总表!$W$4,ps!$I:$I,喷水汇总表!$T$4))</f>
        <v>0</v>
      </c>
      <c r="U18" s="248">
        <f>IF($T$4="",SUMIFS(ps!$L:$L,ps!$B:$B,喷水汇总表!$A18,ps!$J:$J,喷水汇总表!U$5,ps!$F:$F,喷水汇总表!$W$4,ps!$R:$R,喷水汇总表!$Y$4)+SUMIFS(ps!$M:$M,ps!$B:$B,喷水汇总表!$A18,ps!$K:$K,喷水汇总表!U$5,ps!$F:$F,喷水汇总表!$W$4,ps!$R:$R,喷水汇总表!$Y$4),SUMIFS(ps!$L:$L,ps!$B:$B,喷水汇总表!$A18,ps!$J:$J,喷水汇总表!U$5,ps!$F:$F,喷水汇总表!$W$4,ps!$I:$I,喷水汇总表!$T$4)+SUMIFS(ps!$M:$M,ps!$B:$B,喷水汇总表!$A18,ps!$K:$K,喷水汇总表!U$5,ps!$F:$F,喷水汇总表!$W$4,ps!$I:$I,喷水汇总表!$T$4))</f>
        <v>0</v>
      </c>
      <c r="V18" s="248">
        <f>IF($T$4="",SUMIFS(ps!$L:$L,ps!$B:$B,喷水汇总表!$A18,ps!$J:$J,喷水汇总表!V$5,ps!$F:$F,喷水汇总表!$W$4,ps!$R:$R,喷水汇总表!$Y$4)+SUMIFS(ps!$M:$M,ps!$B:$B,喷水汇总表!$A18,ps!$K:$K,喷水汇总表!V$5,ps!$F:$F,喷水汇总表!$W$4,ps!$R:$R,喷水汇总表!$Y$4),SUMIFS(ps!$L:$L,ps!$B:$B,喷水汇总表!$A18,ps!$J:$J,喷水汇总表!V$5,ps!$F:$F,喷水汇总表!$W$4,ps!$I:$I,喷水汇总表!$T$4)+SUMIFS(ps!$M:$M,ps!$B:$B,喷水汇总表!$A18,ps!$K:$K,喷水汇总表!V$5,ps!$F:$F,喷水汇总表!$W$4,ps!$I:$I,喷水汇总表!$T$4))</f>
        <v>0</v>
      </c>
      <c r="W18" s="248">
        <f>IF($T$4="",SUMIFS(ps!$L:$L,ps!$B:$B,喷水汇总表!$A18,ps!$J:$J,喷水汇总表!W$5,ps!$F:$F,喷水汇总表!$W$4,ps!$R:$R,喷水汇总表!$Y$4)+SUMIFS(ps!$M:$M,ps!$B:$B,喷水汇总表!$A18,ps!$K:$K,喷水汇总表!W$5,ps!$F:$F,喷水汇总表!$W$4,ps!$R:$R,喷水汇总表!$Y$4),SUMIFS(ps!$L:$L,ps!$B:$B,喷水汇总表!$A18,ps!$J:$J,喷水汇总表!W$5,ps!$F:$F,喷水汇总表!$W$4,ps!$I:$I,喷水汇总表!$T$4)+SUMIFS(ps!$M:$M,ps!$B:$B,喷水汇总表!$A18,ps!$K:$K,喷水汇总表!W$5,ps!$F:$F,喷水汇总表!$W$4,ps!$I:$I,喷水汇总表!$T$4))</f>
        <v>0</v>
      </c>
      <c r="X18" s="15">
        <f t="shared" si="1"/>
        <v>0</v>
      </c>
      <c r="Y18" s="18">
        <f>SUMIFS(ps!$N:$N,ps!$B:$B,喷水汇总表!$A18,ps!$I:$I,喷水汇总表!$X$4&amp;"/"&amp;喷水汇总表!$Y$4&amp;"/"&amp;喷水汇总表!Y$5)</f>
        <v>0</v>
      </c>
      <c r="Z18" s="18">
        <f>SUMIFS(ps!$N:$N,ps!$B:$B,喷水汇总表!$A18,ps!$I:$I,喷水汇总表!$X$4&amp;"/"&amp;喷水汇总表!$Y$4&amp;"/"&amp;喷水汇总表!Z$5)</f>
        <v>0</v>
      </c>
      <c r="AA18" s="18">
        <f>SUMIFS(ps!$N:$N,ps!$B:$B,喷水汇总表!$A18,ps!$I:$I,喷水汇总表!$X$4&amp;"/"&amp;喷水汇总表!$Y$4&amp;"/"&amp;喷水汇总表!AA$5)</f>
        <v>0</v>
      </c>
      <c r="AB18" s="18">
        <f>SUMIFS(ps!$N:$N,ps!$B:$B,喷水汇总表!$A18,ps!$I:$I,喷水汇总表!$X$4&amp;"/"&amp;喷水汇总表!$Y$4&amp;"/"&amp;喷水汇总表!AB$5)</f>
        <v>0</v>
      </c>
      <c r="AC18" s="18">
        <f>SUMIFS(ps!$N:$N,ps!$B:$B,喷水汇总表!$A18,ps!$I:$I,喷水汇总表!$X$4&amp;"/"&amp;喷水汇总表!$Y$4&amp;"/"&amp;喷水汇总表!AC$5)</f>
        <v>0</v>
      </c>
      <c r="AD18" s="18">
        <f>SUMIFS(ps!$N:$N,ps!$B:$B,喷水汇总表!$A18,ps!$I:$I,喷水汇总表!$X$4&amp;"/"&amp;喷水汇总表!$Y$4&amp;"/"&amp;喷水汇总表!AD$5)</f>
        <v>0</v>
      </c>
      <c r="AE18" s="18">
        <f>SUMIFS(ps!$N:$N,ps!$B:$B,喷水汇总表!$A18,ps!$I:$I,喷水汇总表!$X$4&amp;"/"&amp;喷水汇总表!$Y$4&amp;"/"&amp;喷水汇总表!AE$5)</f>
        <v>0</v>
      </c>
      <c r="AF18" s="18">
        <f>SUMIFS(ps!$N:$N,ps!$B:$B,喷水汇总表!$A18,ps!$I:$I,喷水汇总表!$X$4&amp;"/"&amp;喷水汇总表!$Y$4&amp;"/"&amp;喷水汇总表!AF$5)</f>
        <v>0</v>
      </c>
      <c r="AG18" s="18">
        <f>SUMIFS(ps!$N:$N,ps!$B:$B,喷水汇总表!$A18,ps!$I:$I,喷水汇总表!$X$4&amp;"/"&amp;喷水汇总表!$Y$4&amp;"/"&amp;喷水汇总表!AG$5)</f>
        <v>0</v>
      </c>
      <c r="AH18" s="18">
        <f>SUMIFS(ps!$N:$N,ps!$B:$B,喷水汇总表!$A18,ps!$I:$I,喷水汇总表!$X$4&amp;"/"&amp;喷水汇总表!$Y$4&amp;"/"&amp;喷水汇总表!AH$5)</f>
        <v>0</v>
      </c>
      <c r="AI18" s="18">
        <f>SUMIFS(ps!$N:$N,ps!$B:$B,喷水汇总表!$A18,ps!$I:$I,喷水汇总表!$X$4&amp;"/"&amp;喷水汇总表!$Y$4&amp;"/"&amp;喷水汇总表!AI$5)</f>
        <v>0</v>
      </c>
      <c r="AJ18" s="18">
        <f>SUMIFS(ps!$N:$N,ps!$B:$B,喷水汇总表!$A18,ps!$I:$I,喷水汇总表!$X$4&amp;"/"&amp;喷水汇总表!$Y$4&amp;"/"&amp;喷水汇总表!AJ$5)</f>
        <v>0</v>
      </c>
      <c r="AK18" s="18">
        <f>SUMIFS(ps!$N:$N,ps!$B:$B,喷水汇总表!$A18,ps!$I:$I,喷水汇总表!$X$4&amp;"/"&amp;喷水汇总表!$Y$4&amp;"/"&amp;喷水汇总表!AK$5)</f>
        <v>0</v>
      </c>
      <c r="AL18" s="18">
        <f>SUMIFS(ps!$N:$N,ps!$B:$B,喷水汇总表!$A18,ps!$I:$I,喷水汇总表!$X$4&amp;"/"&amp;喷水汇总表!$Y$4&amp;"/"&amp;喷水汇总表!AL$5)</f>
        <v>0</v>
      </c>
      <c r="AM18" s="18">
        <f>SUMIFS(ps!$N:$N,ps!$B:$B,喷水汇总表!$A18,ps!$I:$I,喷水汇总表!$X$4&amp;"/"&amp;喷水汇总表!$Y$4&amp;"/"&amp;喷水汇总表!AM$5)</f>
        <v>0</v>
      </c>
      <c r="AN18" s="18">
        <f>SUMIFS(ps!$N:$N,ps!$B:$B,喷水汇总表!$A18,ps!$I:$I,喷水汇总表!$X$4&amp;"/"&amp;喷水汇总表!$Y$4&amp;"/"&amp;喷水汇总表!AN$5)</f>
        <v>0</v>
      </c>
      <c r="AO18" s="18">
        <f>SUMIFS(ps!$N:$N,ps!$B:$B,喷水汇总表!$A18,ps!$I:$I,喷水汇总表!$X$4&amp;"/"&amp;喷水汇总表!$Y$4&amp;"/"&amp;喷水汇总表!AO$5)</f>
        <v>0</v>
      </c>
      <c r="AP18" s="18">
        <f>SUMIFS(ps!$N:$N,ps!$B:$B,喷水汇总表!$A18,ps!$I:$I,喷水汇总表!$X$4&amp;"/"&amp;喷水汇总表!$Y$4&amp;"/"&amp;喷水汇总表!AP$5)</f>
        <v>0</v>
      </c>
      <c r="AQ18" s="18">
        <f>SUMIFS(ps!$N:$N,ps!$B:$B,喷水汇总表!$A18,ps!$I:$I,喷水汇总表!$X$4&amp;"/"&amp;喷水汇总表!$Y$4&amp;"/"&amp;喷水汇总表!AQ$5)</f>
        <v>0</v>
      </c>
      <c r="AR18" s="18">
        <f>SUMIFS(ps!$N:$N,ps!$B:$B,喷水汇总表!$A18,ps!$I:$I,喷水汇总表!$X$4&amp;"/"&amp;喷水汇总表!$Y$4&amp;"/"&amp;喷水汇总表!AR$5)</f>
        <v>0</v>
      </c>
      <c r="AS18" s="18">
        <f>SUMIFS(ps!$N:$N,ps!$B:$B,喷水汇总表!$A18,ps!$I:$I,喷水汇总表!$X$4&amp;"/"&amp;喷水汇总表!$Y$4&amp;"/"&amp;喷水汇总表!AS$5)</f>
        <v>0</v>
      </c>
      <c r="AT18" s="18">
        <f>SUMIFS(ps!$N:$N,ps!$B:$B,喷水汇总表!$A18,ps!$I:$I,喷水汇总表!$X$4&amp;"/"&amp;喷水汇总表!$Y$4&amp;"/"&amp;喷水汇总表!AT$5)</f>
        <v>0</v>
      </c>
      <c r="AU18" s="18">
        <f>SUMIFS(ps!$N:$N,ps!$B:$B,喷水汇总表!$A18,ps!$I:$I,喷水汇总表!$X$4&amp;"/"&amp;喷水汇总表!$Y$4&amp;"/"&amp;喷水汇总表!AU$5)</f>
        <v>0</v>
      </c>
      <c r="AV18" s="18">
        <f>SUMIFS(ps!$N:$N,ps!$B:$B,喷水汇总表!$A18,ps!$I:$I,喷水汇总表!$X$4&amp;"/"&amp;喷水汇总表!$Y$4&amp;"/"&amp;喷水汇总表!AV$5)</f>
        <v>0</v>
      </c>
      <c r="AW18" s="18">
        <f>SUMIFS(ps!$N:$N,ps!$B:$B,喷水汇总表!$A18,ps!$I:$I,喷水汇总表!$X$4&amp;"/"&amp;喷水汇总表!$Y$4&amp;"/"&amp;喷水汇总表!AW$5)</f>
        <v>0</v>
      </c>
      <c r="AX18" s="18">
        <f>SUMIFS(ps!$N:$N,ps!$B:$B,喷水汇总表!$A18,ps!$I:$I,喷水汇总表!$X$4&amp;"/"&amp;喷水汇总表!$Y$4&amp;"/"&amp;喷水汇总表!AX$5)</f>
        <v>0</v>
      </c>
      <c r="AY18" s="18">
        <f>SUMIFS(ps!$N:$N,ps!$B:$B,喷水汇总表!$A18,ps!$I:$I,喷水汇总表!$X$4&amp;"/"&amp;喷水汇总表!$Y$4&amp;"/"&amp;喷水汇总表!AY$5)</f>
        <v>0</v>
      </c>
      <c r="AZ18" s="18">
        <f>SUMIFS(ps!$N:$N,ps!$B:$B,喷水汇总表!$A18,ps!$I:$I,喷水汇总表!$X$4&amp;"/"&amp;喷水汇总表!$Y$4&amp;"/"&amp;喷水汇总表!AZ$5)</f>
        <v>0</v>
      </c>
      <c r="BA18" s="18">
        <f>SUMIFS(ps!$N:$N,ps!$B:$B,喷水汇总表!$A18,ps!$I:$I,喷水汇总表!$X$4&amp;"/"&amp;喷水汇总表!$Y$4&amp;"/"&amp;喷水汇总表!BA$5)</f>
        <v>0</v>
      </c>
      <c r="BB18" s="18">
        <f>SUMIFS(ps!$N:$N,ps!$B:$B,喷水汇总表!$A18,ps!$I:$I,喷水汇总表!$X$4&amp;"/"&amp;喷水汇总表!$Y$4&amp;"/"&amp;喷水汇总表!BB$5)</f>
        <v>0</v>
      </c>
      <c r="BC18" s="18">
        <f>SUMIFS(ps!$N:$N,ps!$B:$B,喷水汇总表!$A18,ps!$I:$I,喷水汇总表!$X$4&amp;"/"&amp;喷水汇总表!$Y$4&amp;"/"&amp;喷水汇总表!BC$5)</f>
        <v>0</v>
      </c>
    </row>
    <row r="19" spans="1:58" ht="18" customHeight="1">
      <c r="A19" s="96" t="s">
        <v>1123</v>
      </c>
      <c r="B19" s="176" t="str">
        <f>IF(A19="","",VLOOKUP(A19,经纬!B:C,2,FALSE))</f>
        <v>30*30</v>
      </c>
      <c r="C19" s="176" t="str">
        <f t="shared" si="0"/>
        <v>192</v>
      </c>
      <c r="D19" s="176">
        <f>IF(A19="","",VLOOKUP(A19,经纬!B:G,6,FALSE))</f>
        <v>23</v>
      </c>
      <c r="E19" s="44">
        <f>IF($T$4="",SUMIFS(ps!$N:$N,ps!$B:$B,喷水汇总表!$A19,ps!$H:$H,喷水汇总表!E$5,ps!$R:$R,喷水汇总表!$Y$4),SUMIFS(ps!$N:$N,ps!$B:$B,喷水汇总表!$A19,ps!$H:$H,喷水汇总表!E$5,ps!$I:$I,喷水汇总表!$T$4))</f>
        <v>0</v>
      </c>
      <c r="F19" s="44">
        <f>IF($T$4="",SUMIFS(ps!$N:$N,ps!$B:$B,喷水汇总表!$A19,ps!$H:$H,喷水汇总表!F$5,ps!$R:$R,喷水汇总表!$Y$4),SUMIFS(ps!$N:$N,ps!$B:$B,喷水汇总表!$A19,ps!$H:$H,喷水汇总表!F$5,ps!$I:$I,喷水汇总表!$T$4))</f>
        <v>0</v>
      </c>
      <c r="G19" s="44">
        <f>IF($T$4="",SUMIFS(ps!$N:$N,ps!$B:$B,喷水汇总表!$A19,ps!$H:$H,喷水汇总表!G$5,ps!$R:$R,喷水汇总表!$Y$4),SUMIFS(ps!$N:$N,ps!$B:$B,喷水汇总表!$A19,ps!$H:$H,喷水汇总表!G$5,ps!$I:$I,喷水汇总表!$T$4))</f>
        <v>0</v>
      </c>
      <c r="H19" s="248">
        <f>IF($T$4="",SUMIFS(ps!$N:$N,ps!$B:$B,喷水汇总表!$A19,ps!$G:$G,喷水汇总表!H$5,ps!$R:$R,喷水汇总表!$Y$4),SUMIFS(ps!$N:$N,ps!$B:$B,喷水汇总表!$A19,ps!$G:$G,喷水汇总表!H$5,ps!$I:$I,喷水汇总表!$T$4))</f>
        <v>0</v>
      </c>
      <c r="I19" s="248">
        <f>IF($T$4="",SUMIFS(ps!$N:$N,ps!$B:$B,喷水汇总表!$A19,ps!$G:$G,喷水汇总表!I$5,ps!$R:$R,喷水汇总表!$Y$4),SUMIFS(ps!$N:$N,ps!$B:$B,喷水汇总表!$A19,ps!$G:$G,喷水汇总表!I$5,ps!$I:$I,喷水汇总表!$T$4))</f>
        <v>0</v>
      </c>
      <c r="J19" s="248">
        <f>IF($T$4="",SUMIFS(ps!$N:$N,ps!$B:$B,喷水汇总表!$A19,ps!$G:$G,喷水汇总表!J$5,ps!$R:$R,喷水汇总表!$Y$4),SUMIFS(ps!$N:$N,ps!$B:$B,喷水汇总表!$A19,ps!$G:$G,喷水汇总表!J$5,ps!$I:$I,喷水汇总表!$T$4))</f>
        <v>0</v>
      </c>
      <c r="K19" s="248">
        <f>IF($T$4="",SUMIFS(ps!$N:$N,ps!$B:$B,喷水汇总表!$A19,ps!$G:$G,喷水汇总表!K$5,ps!$R:$R,喷水汇总表!$Y$4),SUMIFS(ps!$N:$N,ps!$B:$B,喷水汇总表!$A19,ps!$G:$G,喷水汇总表!K$5,ps!$I:$I,喷水汇总表!$T$4))</f>
        <v>0</v>
      </c>
      <c r="L19" s="248">
        <f>IF($T$4="",SUMIFS(ps!$N:$N,ps!$B:$B,喷水汇总表!$A19,ps!$G:$G,喷水汇总表!L$5,ps!$R:$R,喷水汇总表!$Y$4),SUMIFS(ps!$N:$N,ps!$B:$B,喷水汇总表!$A19,ps!$G:$G,喷水汇总表!L$5,ps!$I:$I,喷水汇总表!$T$4))</f>
        <v>0</v>
      </c>
      <c r="M19" s="248">
        <f>IF($T$4="",SUMIFS(ps!$N:$N,ps!$B:$B,喷水汇总表!$A19,ps!$G:$G,喷水汇总表!M$5,ps!$R:$R,喷水汇总表!$Y$4),SUMIFS(ps!$N:$N,ps!$B:$B,喷水汇总表!$A19,ps!$G:$G,喷水汇总表!M$5,ps!$I:$I,喷水汇总表!$T$4))</f>
        <v>0</v>
      </c>
      <c r="N19" s="248">
        <f>IF($T$4="",SUMIFS(ps!$N:$N,ps!$B:$B,喷水汇总表!$A19,ps!$G:$G,喷水汇总表!N$5,ps!$R:$R,喷水汇总表!$Y$4),SUMIFS(ps!$N:$N,ps!$B:$B,喷水汇总表!$A19,ps!$G:$G,喷水汇总表!N$5,ps!$I:$I,喷水汇总表!$T$4))</f>
        <v>0</v>
      </c>
      <c r="O19" s="248">
        <f>IF($T$4="",SUMIFS(ps!$L:$L,ps!$B:$B,喷水汇总表!$A19,ps!$J:$J,喷水汇总表!O$5,ps!$F:$F,喷水汇总表!$W$4,ps!$R:$R,喷水汇总表!$Y$4)+SUMIFS(ps!$M:$M,ps!$B:$B,喷水汇总表!$A19,ps!$K:$K,喷水汇总表!O$5,ps!$F:$F,喷水汇总表!$W$4,ps!$R:$R,喷水汇总表!$Y$4),SUMIFS(ps!$L:$L,ps!$B:$B,喷水汇总表!$A19,ps!$J:$J,喷水汇总表!O$5,ps!$F:$F,喷水汇总表!$W$4,ps!$I:$I,喷水汇总表!$T$4)+SUMIFS(ps!$M:$M,ps!$B:$B,喷水汇总表!$A19,ps!$K:$K,喷水汇总表!O$5,ps!$F:$F,喷水汇总表!$W$4,ps!$I:$I,喷水汇总表!$T$4))</f>
        <v>0</v>
      </c>
      <c r="P19" s="248">
        <f>IF($T$4="",SUMIFS(ps!$L:$L,ps!$B:$B,喷水汇总表!$A19,ps!$J:$J,喷水汇总表!P$5,ps!$F:$F,喷水汇总表!$W$4,ps!$R:$R,喷水汇总表!$Y$4)+SUMIFS(ps!$M:$M,ps!$B:$B,喷水汇总表!$A19,ps!$K:$K,喷水汇总表!P$5,ps!$F:$F,喷水汇总表!$W$4,ps!$R:$R,喷水汇总表!$Y$4),SUMIFS(ps!$L:$L,ps!$B:$B,喷水汇总表!$A19,ps!$J:$J,喷水汇总表!P$5,ps!$F:$F,喷水汇总表!$W$4,ps!$I:$I,喷水汇总表!$T$4)+SUMIFS(ps!$M:$M,ps!$B:$B,喷水汇总表!$A19,ps!$K:$K,喷水汇总表!P$5,ps!$F:$F,喷水汇总表!$W$4,ps!$I:$I,喷水汇总表!$T$4))</f>
        <v>0</v>
      </c>
      <c r="Q19" s="248">
        <f>IF($T$4="",SUMIFS(ps!$L:$L,ps!$B:$B,喷水汇总表!$A19,ps!$J:$J,喷水汇总表!Q$5,ps!$F:$F,喷水汇总表!$W$4,ps!$R:$R,喷水汇总表!$Y$4)+SUMIFS(ps!$M:$M,ps!$B:$B,喷水汇总表!$A19,ps!$K:$K,喷水汇总表!Q$5,ps!$F:$F,喷水汇总表!$W$4,ps!$R:$R,喷水汇总表!$Y$4),SUMIFS(ps!$L:$L,ps!$B:$B,喷水汇总表!$A19,ps!$J:$J,喷水汇总表!Q$5,ps!$F:$F,喷水汇总表!$W$4,ps!$I:$I,喷水汇总表!$T$4)+SUMIFS(ps!$M:$M,ps!$B:$B,喷水汇总表!$A19,ps!$K:$K,喷水汇总表!Q$5,ps!$F:$F,喷水汇总表!$W$4,ps!$I:$I,喷水汇总表!$T$4))</f>
        <v>0</v>
      </c>
      <c r="R19" s="248">
        <f>IF($T$4="",SUMIFS(ps!$L:$L,ps!$B:$B,喷水汇总表!$A19,ps!$J:$J,喷水汇总表!R$5,ps!$F:$F,喷水汇总表!$W$4,ps!$R:$R,喷水汇总表!$Y$4)+SUMIFS(ps!$M:$M,ps!$B:$B,喷水汇总表!$A19,ps!$K:$K,喷水汇总表!R$5,ps!$F:$F,喷水汇总表!$W$4,ps!$R:$R,喷水汇总表!$Y$4),SUMIFS(ps!$L:$L,ps!$B:$B,喷水汇总表!$A19,ps!$J:$J,喷水汇总表!R$5,ps!$F:$F,喷水汇总表!$W$4,ps!$I:$I,喷水汇总表!$T$4)+SUMIFS(ps!$M:$M,ps!$B:$B,喷水汇总表!$A19,ps!$K:$K,喷水汇总表!R$5,ps!$F:$F,喷水汇总表!$W$4,ps!$I:$I,喷水汇总表!$T$4))</f>
        <v>0</v>
      </c>
      <c r="S19" s="248">
        <f>IF($T$4="",SUMIFS(ps!$L:$L,ps!$B:$B,喷水汇总表!$A19,ps!$J:$J,喷水汇总表!S$5,ps!$F:$F,喷水汇总表!$W$4,ps!$R:$R,喷水汇总表!$Y$4)+SUMIFS(ps!$M:$M,ps!$B:$B,喷水汇总表!$A19,ps!$K:$K,喷水汇总表!S$5,ps!$F:$F,喷水汇总表!$W$4,ps!$R:$R,喷水汇总表!$Y$4),SUMIFS(ps!$L:$L,ps!$B:$B,喷水汇总表!$A19,ps!$J:$J,喷水汇总表!S$5,ps!$F:$F,喷水汇总表!$W$4,ps!$I:$I,喷水汇总表!$T$4)+SUMIFS(ps!$M:$M,ps!$B:$B,喷水汇总表!$A19,ps!$K:$K,喷水汇总表!S$5,ps!$F:$F,喷水汇总表!$W$4,ps!$I:$I,喷水汇总表!$T$4))</f>
        <v>0</v>
      </c>
      <c r="T19" s="248">
        <f>IF($T$4="",SUMIFS(ps!$L:$L,ps!$B:$B,喷水汇总表!$A19,ps!$J:$J,喷水汇总表!T$5,ps!$F:$F,喷水汇总表!$W$4,ps!$R:$R,喷水汇总表!$Y$4)+SUMIFS(ps!$M:$M,ps!$B:$B,喷水汇总表!$A19,ps!$K:$K,喷水汇总表!T$5,ps!$F:$F,喷水汇总表!$W$4,ps!$R:$R,喷水汇总表!$Y$4),SUMIFS(ps!$L:$L,ps!$B:$B,喷水汇总表!$A19,ps!$J:$J,喷水汇总表!T$5,ps!$F:$F,喷水汇总表!$W$4,ps!$I:$I,喷水汇总表!$T$4)+SUMIFS(ps!$M:$M,ps!$B:$B,喷水汇总表!$A19,ps!$K:$K,喷水汇总表!T$5,ps!$F:$F,喷水汇总表!$W$4,ps!$I:$I,喷水汇总表!$T$4))</f>
        <v>0</v>
      </c>
      <c r="U19" s="248">
        <f>IF($T$4="",SUMIFS(ps!$L:$L,ps!$B:$B,喷水汇总表!$A19,ps!$J:$J,喷水汇总表!U$5,ps!$F:$F,喷水汇总表!$W$4,ps!$R:$R,喷水汇总表!$Y$4)+SUMIFS(ps!$M:$M,ps!$B:$B,喷水汇总表!$A19,ps!$K:$K,喷水汇总表!U$5,ps!$F:$F,喷水汇总表!$W$4,ps!$R:$R,喷水汇总表!$Y$4),SUMIFS(ps!$L:$L,ps!$B:$B,喷水汇总表!$A19,ps!$J:$J,喷水汇总表!U$5,ps!$F:$F,喷水汇总表!$W$4,ps!$I:$I,喷水汇总表!$T$4)+SUMIFS(ps!$M:$M,ps!$B:$B,喷水汇总表!$A19,ps!$K:$K,喷水汇总表!U$5,ps!$F:$F,喷水汇总表!$W$4,ps!$I:$I,喷水汇总表!$T$4))</f>
        <v>0</v>
      </c>
      <c r="V19" s="248">
        <f>IF($T$4="",SUMIFS(ps!$L:$L,ps!$B:$B,喷水汇总表!$A19,ps!$J:$J,喷水汇总表!V$5,ps!$F:$F,喷水汇总表!$W$4,ps!$R:$R,喷水汇总表!$Y$4)+SUMIFS(ps!$M:$M,ps!$B:$B,喷水汇总表!$A19,ps!$K:$K,喷水汇总表!V$5,ps!$F:$F,喷水汇总表!$W$4,ps!$R:$R,喷水汇总表!$Y$4),SUMIFS(ps!$L:$L,ps!$B:$B,喷水汇总表!$A19,ps!$J:$J,喷水汇总表!V$5,ps!$F:$F,喷水汇总表!$W$4,ps!$I:$I,喷水汇总表!$T$4)+SUMIFS(ps!$M:$M,ps!$B:$B,喷水汇总表!$A19,ps!$K:$K,喷水汇总表!V$5,ps!$F:$F,喷水汇总表!$W$4,ps!$I:$I,喷水汇总表!$T$4))</f>
        <v>0</v>
      </c>
      <c r="W19" s="248">
        <f>IF($T$4="",SUMIFS(ps!$L:$L,ps!$B:$B,喷水汇总表!$A19,ps!$J:$J,喷水汇总表!W$5,ps!$F:$F,喷水汇总表!$W$4,ps!$R:$R,喷水汇总表!$Y$4)+SUMIFS(ps!$M:$M,ps!$B:$B,喷水汇总表!$A19,ps!$K:$K,喷水汇总表!W$5,ps!$F:$F,喷水汇总表!$W$4,ps!$R:$R,喷水汇总表!$Y$4),SUMIFS(ps!$L:$L,ps!$B:$B,喷水汇总表!$A19,ps!$J:$J,喷水汇总表!W$5,ps!$F:$F,喷水汇总表!$W$4,ps!$I:$I,喷水汇总表!$T$4)+SUMIFS(ps!$M:$M,ps!$B:$B,喷水汇总表!$A19,ps!$K:$K,喷水汇总表!W$5,ps!$F:$F,喷水汇总表!$W$4,ps!$I:$I,喷水汇总表!$T$4))</f>
        <v>0</v>
      </c>
      <c r="X19" s="15">
        <f t="shared" si="1"/>
        <v>11252</v>
      </c>
      <c r="Y19" s="18">
        <f>SUMIFS(ps!$N:$N,ps!$B:$B,喷水汇总表!$A19,ps!$I:$I,喷水汇总表!$X$4&amp;"/"&amp;喷水汇总表!$Y$4&amp;"/"&amp;喷水汇总表!Y$5)</f>
        <v>0</v>
      </c>
      <c r="Z19" s="18">
        <f>SUMIFS(ps!$N:$N,ps!$B:$B,喷水汇总表!$A19,ps!$I:$I,喷水汇总表!$X$4&amp;"/"&amp;喷水汇总表!$Y$4&amp;"/"&amp;喷水汇总表!Z$5)</f>
        <v>0</v>
      </c>
      <c r="AA19" s="18">
        <f>SUMIFS(ps!$N:$N,ps!$B:$B,喷水汇总表!$A19,ps!$I:$I,喷水汇总表!$X$4&amp;"/"&amp;喷水汇总表!$Y$4&amp;"/"&amp;喷水汇总表!AA$5)</f>
        <v>0</v>
      </c>
      <c r="AB19" s="18">
        <f>SUMIFS(ps!$N:$N,ps!$B:$B,喷水汇总表!$A19,ps!$I:$I,喷水汇总表!$X$4&amp;"/"&amp;喷水汇总表!$Y$4&amp;"/"&amp;喷水汇总表!AB$5)</f>
        <v>11252</v>
      </c>
      <c r="AC19" s="18">
        <f>SUMIFS(ps!$N:$N,ps!$B:$B,喷水汇总表!$A19,ps!$I:$I,喷水汇总表!$X$4&amp;"/"&amp;喷水汇总表!$Y$4&amp;"/"&amp;喷水汇总表!AC$5)</f>
        <v>0</v>
      </c>
      <c r="AD19" s="18">
        <f>SUMIFS(ps!$N:$N,ps!$B:$B,喷水汇总表!$A19,ps!$I:$I,喷水汇总表!$X$4&amp;"/"&amp;喷水汇总表!$Y$4&amp;"/"&amp;喷水汇总表!AD$5)</f>
        <v>0</v>
      </c>
      <c r="AE19" s="18">
        <f>SUMIFS(ps!$N:$N,ps!$B:$B,喷水汇总表!$A19,ps!$I:$I,喷水汇总表!$X$4&amp;"/"&amp;喷水汇总表!$Y$4&amp;"/"&amp;喷水汇总表!AE$5)</f>
        <v>0</v>
      </c>
      <c r="AF19" s="18">
        <f>SUMIFS(ps!$N:$N,ps!$B:$B,喷水汇总表!$A19,ps!$I:$I,喷水汇总表!$X$4&amp;"/"&amp;喷水汇总表!$Y$4&amp;"/"&amp;喷水汇总表!AF$5)</f>
        <v>0</v>
      </c>
      <c r="AG19" s="18">
        <f>SUMIFS(ps!$N:$N,ps!$B:$B,喷水汇总表!$A19,ps!$I:$I,喷水汇总表!$X$4&amp;"/"&amp;喷水汇总表!$Y$4&amp;"/"&amp;喷水汇总表!AG$5)</f>
        <v>0</v>
      </c>
      <c r="AH19" s="18">
        <f>SUMIFS(ps!$N:$N,ps!$B:$B,喷水汇总表!$A19,ps!$I:$I,喷水汇总表!$X$4&amp;"/"&amp;喷水汇总表!$Y$4&amp;"/"&amp;喷水汇总表!AH$5)</f>
        <v>0</v>
      </c>
      <c r="AI19" s="18">
        <f>SUMIFS(ps!$N:$N,ps!$B:$B,喷水汇总表!$A19,ps!$I:$I,喷水汇总表!$X$4&amp;"/"&amp;喷水汇总表!$Y$4&amp;"/"&amp;喷水汇总表!AI$5)</f>
        <v>0</v>
      </c>
      <c r="AJ19" s="18">
        <f>SUMIFS(ps!$N:$N,ps!$B:$B,喷水汇总表!$A19,ps!$I:$I,喷水汇总表!$X$4&amp;"/"&amp;喷水汇总表!$Y$4&amp;"/"&amp;喷水汇总表!AJ$5)</f>
        <v>0</v>
      </c>
      <c r="AK19" s="18">
        <f>SUMIFS(ps!$N:$N,ps!$B:$B,喷水汇总表!$A19,ps!$I:$I,喷水汇总表!$X$4&amp;"/"&amp;喷水汇总表!$Y$4&amp;"/"&amp;喷水汇总表!AK$5)</f>
        <v>0</v>
      </c>
      <c r="AL19" s="18">
        <f>SUMIFS(ps!$N:$N,ps!$B:$B,喷水汇总表!$A19,ps!$I:$I,喷水汇总表!$X$4&amp;"/"&amp;喷水汇总表!$Y$4&amp;"/"&amp;喷水汇总表!AL$5)</f>
        <v>0</v>
      </c>
      <c r="AM19" s="18">
        <f>SUMIFS(ps!$N:$N,ps!$B:$B,喷水汇总表!$A19,ps!$I:$I,喷水汇总表!$X$4&amp;"/"&amp;喷水汇总表!$Y$4&amp;"/"&amp;喷水汇总表!AM$5)</f>
        <v>0</v>
      </c>
      <c r="AN19" s="18">
        <f>SUMIFS(ps!$N:$N,ps!$B:$B,喷水汇总表!$A19,ps!$I:$I,喷水汇总表!$X$4&amp;"/"&amp;喷水汇总表!$Y$4&amp;"/"&amp;喷水汇总表!AN$5)</f>
        <v>0</v>
      </c>
      <c r="AO19" s="18">
        <f>SUMIFS(ps!$N:$N,ps!$B:$B,喷水汇总表!$A19,ps!$I:$I,喷水汇总表!$X$4&amp;"/"&amp;喷水汇总表!$Y$4&amp;"/"&amp;喷水汇总表!AO$5)</f>
        <v>0</v>
      </c>
      <c r="AP19" s="18">
        <f>SUMIFS(ps!$N:$N,ps!$B:$B,喷水汇总表!$A19,ps!$I:$I,喷水汇总表!$X$4&amp;"/"&amp;喷水汇总表!$Y$4&amp;"/"&amp;喷水汇总表!AP$5)</f>
        <v>0</v>
      </c>
      <c r="AQ19" s="18">
        <f>SUMIFS(ps!$N:$N,ps!$B:$B,喷水汇总表!$A19,ps!$I:$I,喷水汇总表!$X$4&amp;"/"&amp;喷水汇总表!$Y$4&amp;"/"&amp;喷水汇总表!AQ$5)</f>
        <v>0</v>
      </c>
      <c r="AR19" s="18">
        <f>SUMIFS(ps!$N:$N,ps!$B:$B,喷水汇总表!$A19,ps!$I:$I,喷水汇总表!$X$4&amp;"/"&amp;喷水汇总表!$Y$4&amp;"/"&amp;喷水汇总表!AR$5)</f>
        <v>0</v>
      </c>
      <c r="AS19" s="18">
        <f>SUMIFS(ps!$N:$N,ps!$B:$B,喷水汇总表!$A19,ps!$I:$I,喷水汇总表!$X$4&amp;"/"&amp;喷水汇总表!$Y$4&amp;"/"&amp;喷水汇总表!AS$5)</f>
        <v>0</v>
      </c>
      <c r="AT19" s="18">
        <f>SUMIFS(ps!$N:$N,ps!$B:$B,喷水汇总表!$A19,ps!$I:$I,喷水汇总表!$X$4&amp;"/"&amp;喷水汇总表!$Y$4&amp;"/"&amp;喷水汇总表!AT$5)</f>
        <v>0</v>
      </c>
      <c r="AU19" s="18">
        <f>SUMIFS(ps!$N:$N,ps!$B:$B,喷水汇总表!$A19,ps!$I:$I,喷水汇总表!$X$4&amp;"/"&amp;喷水汇总表!$Y$4&amp;"/"&amp;喷水汇总表!AU$5)</f>
        <v>0</v>
      </c>
      <c r="AV19" s="18">
        <f>SUMIFS(ps!$N:$N,ps!$B:$B,喷水汇总表!$A19,ps!$I:$I,喷水汇总表!$X$4&amp;"/"&amp;喷水汇总表!$Y$4&amp;"/"&amp;喷水汇总表!AV$5)</f>
        <v>0</v>
      </c>
      <c r="AW19" s="18">
        <f>SUMIFS(ps!$N:$N,ps!$B:$B,喷水汇总表!$A19,ps!$I:$I,喷水汇总表!$X$4&amp;"/"&amp;喷水汇总表!$Y$4&amp;"/"&amp;喷水汇总表!AW$5)</f>
        <v>0</v>
      </c>
      <c r="AX19" s="18">
        <f>SUMIFS(ps!$N:$N,ps!$B:$B,喷水汇总表!$A19,ps!$I:$I,喷水汇总表!$X$4&amp;"/"&amp;喷水汇总表!$Y$4&amp;"/"&amp;喷水汇总表!AX$5)</f>
        <v>0</v>
      </c>
      <c r="AY19" s="18">
        <f>SUMIFS(ps!$N:$N,ps!$B:$B,喷水汇总表!$A19,ps!$I:$I,喷水汇总表!$X$4&amp;"/"&amp;喷水汇总表!$Y$4&amp;"/"&amp;喷水汇总表!AY$5)</f>
        <v>0</v>
      </c>
      <c r="AZ19" s="18">
        <f>SUMIFS(ps!$N:$N,ps!$B:$B,喷水汇总表!$A19,ps!$I:$I,喷水汇总表!$X$4&amp;"/"&amp;喷水汇总表!$Y$4&amp;"/"&amp;喷水汇总表!AZ$5)</f>
        <v>0</v>
      </c>
      <c r="BA19" s="18">
        <f>SUMIFS(ps!$N:$N,ps!$B:$B,喷水汇总表!$A19,ps!$I:$I,喷水汇总表!$X$4&amp;"/"&amp;喷水汇总表!$Y$4&amp;"/"&amp;喷水汇总表!BA$5)</f>
        <v>0</v>
      </c>
      <c r="BB19" s="18">
        <f>SUMIFS(ps!$N:$N,ps!$B:$B,喷水汇总表!$A19,ps!$I:$I,喷水汇总表!$X$4&amp;"/"&amp;喷水汇总表!$Y$4&amp;"/"&amp;喷水汇总表!BB$5)</f>
        <v>0</v>
      </c>
      <c r="BC19" s="18">
        <f>SUMIFS(ps!$N:$N,ps!$B:$B,喷水汇总表!$A19,ps!$I:$I,喷水汇总表!$X$4&amp;"/"&amp;喷水汇总表!$Y$4&amp;"/"&amp;喷水汇总表!BC$5)</f>
        <v>0</v>
      </c>
    </row>
    <row r="20" spans="1:58" ht="18" customHeight="1">
      <c r="A20" s="96" t="s">
        <v>2850</v>
      </c>
      <c r="B20" s="248" t="str">
        <f>IF(A20="","",VLOOKUP(A20,经纬!B:C,2,FALSE))</f>
        <v>30*50</v>
      </c>
      <c r="C20" s="248" t="str">
        <f t="shared" ref="C20" si="2">IF(A20="","",MID(A20,LEN(B20),LEN(A20)-LEN(B20)-LEN(D20)+1))</f>
        <v>190</v>
      </c>
      <c r="D20" s="248">
        <f>IF(A20="","",VLOOKUP(A20,经纬!B:G,6,FALSE))</f>
        <v>31</v>
      </c>
      <c r="E20" s="44">
        <f>IF($T$4="",SUMIFS(ps!$N:$N,ps!$B:$B,喷水汇总表!$A20,ps!$H:$H,喷水汇总表!E$5,ps!$R:$R,喷水汇总表!$Y$4),SUMIFS(ps!$N:$N,ps!$B:$B,喷水汇总表!$A20,ps!$H:$H,喷水汇总表!E$5,ps!$I:$I,喷水汇总表!$T$4))</f>
        <v>0</v>
      </c>
      <c r="F20" s="44">
        <f>IF($T$4="",SUMIFS(ps!$N:$N,ps!$B:$B,喷水汇总表!$A20,ps!$H:$H,喷水汇总表!F$5,ps!$R:$R,喷水汇总表!$Y$4),SUMIFS(ps!$N:$N,ps!$B:$B,喷水汇总表!$A20,ps!$H:$H,喷水汇总表!F$5,ps!$I:$I,喷水汇总表!$T$4))</f>
        <v>0</v>
      </c>
      <c r="G20" s="44">
        <f>IF($T$4="",SUMIFS(ps!$N:$N,ps!$B:$B,喷水汇总表!$A20,ps!$H:$H,喷水汇总表!G$5,ps!$R:$R,喷水汇总表!$Y$4),SUMIFS(ps!$N:$N,ps!$B:$B,喷水汇总表!$A20,ps!$H:$H,喷水汇总表!G$5,ps!$I:$I,喷水汇总表!$T$4))</f>
        <v>0</v>
      </c>
      <c r="H20" s="248">
        <f>IF($T$4="",SUMIFS(ps!$N:$N,ps!$B:$B,喷水汇总表!$A20,ps!$G:$G,喷水汇总表!H$5,ps!$R:$R,喷水汇总表!$Y$4),SUMIFS(ps!$N:$N,ps!$B:$B,喷水汇总表!$A20,ps!$G:$G,喷水汇总表!H$5,ps!$I:$I,喷水汇总表!$T$4))</f>
        <v>0</v>
      </c>
      <c r="I20" s="248">
        <f>IF($T$4="",SUMIFS(ps!$N:$N,ps!$B:$B,喷水汇总表!$A20,ps!$G:$G,喷水汇总表!I$5,ps!$R:$R,喷水汇总表!$Y$4),SUMIFS(ps!$N:$N,ps!$B:$B,喷水汇总表!$A20,ps!$G:$G,喷水汇总表!I$5,ps!$I:$I,喷水汇总表!$T$4))</f>
        <v>0</v>
      </c>
      <c r="J20" s="248">
        <f>IF($T$4="",SUMIFS(ps!$N:$N,ps!$B:$B,喷水汇总表!$A20,ps!$G:$G,喷水汇总表!J$5,ps!$R:$R,喷水汇总表!$Y$4),SUMIFS(ps!$N:$N,ps!$B:$B,喷水汇总表!$A20,ps!$G:$G,喷水汇总表!J$5,ps!$I:$I,喷水汇总表!$T$4))</f>
        <v>0</v>
      </c>
      <c r="K20" s="248">
        <f>IF($T$4="",SUMIFS(ps!$N:$N,ps!$B:$B,喷水汇总表!$A20,ps!$G:$G,喷水汇总表!K$5,ps!$R:$R,喷水汇总表!$Y$4),SUMIFS(ps!$N:$N,ps!$B:$B,喷水汇总表!$A20,ps!$G:$G,喷水汇总表!K$5,ps!$I:$I,喷水汇总表!$T$4))</f>
        <v>0</v>
      </c>
      <c r="L20" s="248">
        <f>IF($T$4="",SUMIFS(ps!$N:$N,ps!$B:$B,喷水汇总表!$A20,ps!$G:$G,喷水汇总表!L$5,ps!$R:$R,喷水汇总表!$Y$4),SUMIFS(ps!$N:$N,ps!$B:$B,喷水汇总表!$A20,ps!$G:$G,喷水汇总表!L$5,ps!$I:$I,喷水汇总表!$T$4))</f>
        <v>0</v>
      </c>
      <c r="M20" s="248">
        <f>IF($T$4="",SUMIFS(ps!$N:$N,ps!$B:$B,喷水汇总表!$A20,ps!$G:$G,喷水汇总表!M$5,ps!$R:$R,喷水汇总表!$Y$4),SUMIFS(ps!$N:$N,ps!$B:$B,喷水汇总表!$A20,ps!$G:$G,喷水汇总表!M$5,ps!$I:$I,喷水汇总表!$T$4))</f>
        <v>0</v>
      </c>
      <c r="N20" s="248">
        <f>IF($T$4="",SUMIFS(ps!$N:$N,ps!$B:$B,喷水汇总表!$A20,ps!$G:$G,喷水汇总表!N$5,ps!$R:$R,喷水汇总表!$Y$4),SUMIFS(ps!$N:$N,ps!$B:$B,喷水汇总表!$A20,ps!$G:$G,喷水汇总表!N$5,ps!$I:$I,喷水汇总表!$T$4))</f>
        <v>0</v>
      </c>
      <c r="O20" s="248">
        <f>IF($T$4="",SUMIFS(ps!$L:$L,ps!$B:$B,喷水汇总表!$A20,ps!$J:$J,喷水汇总表!O$5,ps!$F:$F,喷水汇总表!$W$4,ps!$R:$R,喷水汇总表!$Y$4)+SUMIFS(ps!$M:$M,ps!$B:$B,喷水汇总表!$A20,ps!$K:$K,喷水汇总表!O$5,ps!$F:$F,喷水汇总表!$W$4,ps!$R:$R,喷水汇总表!$Y$4),SUMIFS(ps!$L:$L,ps!$B:$B,喷水汇总表!$A20,ps!$J:$J,喷水汇总表!O$5,ps!$F:$F,喷水汇总表!$W$4,ps!$I:$I,喷水汇总表!$T$4)+SUMIFS(ps!$M:$M,ps!$B:$B,喷水汇总表!$A20,ps!$K:$K,喷水汇总表!O$5,ps!$F:$F,喷水汇总表!$W$4,ps!$I:$I,喷水汇总表!$T$4))</f>
        <v>0</v>
      </c>
      <c r="P20" s="248">
        <f>IF($T$4="",SUMIFS(ps!$L:$L,ps!$B:$B,喷水汇总表!$A20,ps!$J:$J,喷水汇总表!P$5,ps!$F:$F,喷水汇总表!$W$4,ps!$R:$R,喷水汇总表!$Y$4)+SUMIFS(ps!$M:$M,ps!$B:$B,喷水汇总表!$A20,ps!$K:$K,喷水汇总表!P$5,ps!$F:$F,喷水汇总表!$W$4,ps!$R:$R,喷水汇总表!$Y$4),SUMIFS(ps!$L:$L,ps!$B:$B,喷水汇总表!$A20,ps!$J:$J,喷水汇总表!P$5,ps!$F:$F,喷水汇总表!$W$4,ps!$I:$I,喷水汇总表!$T$4)+SUMIFS(ps!$M:$M,ps!$B:$B,喷水汇总表!$A20,ps!$K:$K,喷水汇总表!P$5,ps!$F:$F,喷水汇总表!$W$4,ps!$I:$I,喷水汇总表!$T$4))</f>
        <v>0</v>
      </c>
      <c r="Q20" s="248">
        <f>IF($T$4="",SUMIFS(ps!$L:$L,ps!$B:$B,喷水汇总表!$A20,ps!$J:$J,喷水汇总表!Q$5,ps!$F:$F,喷水汇总表!$W$4,ps!$R:$R,喷水汇总表!$Y$4)+SUMIFS(ps!$M:$M,ps!$B:$B,喷水汇总表!$A20,ps!$K:$K,喷水汇总表!Q$5,ps!$F:$F,喷水汇总表!$W$4,ps!$R:$R,喷水汇总表!$Y$4),SUMIFS(ps!$L:$L,ps!$B:$B,喷水汇总表!$A20,ps!$J:$J,喷水汇总表!Q$5,ps!$F:$F,喷水汇总表!$W$4,ps!$I:$I,喷水汇总表!$T$4)+SUMIFS(ps!$M:$M,ps!$B:$B,喷水汇总表!$A20,ps!$K:$K,喷水汇总表!Q$5,ps!$F:$F,喷水汇总表!$W$4,ps!$I:$I,喷水汇总表!$T$4))</f>
        <v>0</v>
      </c>
      <c r="R20" s="248">
        <f>IF($T$4="",SUMIFS(ps!$L:$L,ps!$B:$B,喷水汇总表!$A20,ps!$J:$J,喷水汇总表!R$5,ps!$F:$F,喷水汇总表!$W$4,ps!$R:$R,喷水汇总表!$Y$4)+SUMIFS(ps!$M:$M,ps!$B:$B,喷水汇总表!$A20,ps!$K:$K,喷水汇总表!R$5,ps!$F:$F,喷水汇总表!$W$4,ps!$R:$R,喷水汇总表!$Y$4),SUMIFS(ps!$L:$L,ps!$B:$B,喷水汇总表!$A20,ps!$J:$J,喷水汇总表!R$5,ps!$F:$F,喷水汇总表!$W$4,ps!$I:$I,喷水汇总表!$T$4)+SUMIFS(ps!$M:$M,ps!$B:$B,喷水汇总表!$A20,ps!$K:$K,喷水汇总表!R$5,ps!$F:$F,喷水汇总表!$W$4,ps!$I:$I,喷水汇总表!$T$4))</f>
        <v>0</v>
      </c>
      <c r="S20" s="248">
        <f>IF($T$4="",SUMIFS(ps!$L:$L,ps!$B:$B,喷水汇总表!$A20,ps!$J:$J,喷水汇总表!S$5,ps!$F:$F,喷水汇总表!$W$4,ps!$R:$R,喷水汇总表!$Y$4)+SUMIFS(ps!$M:$M,ps!$B:$B,喷水汇总表!$A20,ps!$K:$K,喷水汇总表!S$5,ps!$F:$F,喷水汇总表!$W$4,ps!$R:$R,喷水汇总表!$Y$4),SUMIFS(ps!$L:$L,ps!$B:$B,喷水汇总表!$A20,ps!$J:$J,喷水汇总表!S$5,ps!$F:$F,喷水汇总表!$W$4,ps!$I:$I,喷水汇总表!$T$4)+SUMIFS(ps!$M:$M,ps!$B:$B,喷水汇总表!$A20,ps!$K:$K,喷水汇总表!S$5,ps!$F:$F,喷水汇总表!$W$4,ps!$I:$I,喷水汇总表!$T$4))</f>
        <v>0</v>
      </c>
      <c r="T20" s="248">
        <f>IF($T$4="",SUMIFS(ps!$L:$L,ps!$B:$B,喷水汇总表!$A20,ps!$J:$J,喷水汇总表!T$5,ps!$F:$F,喷水汇总表!$W$4,ps!$R:$R,喷水汇总表!$Y$4)+SUMIFS(ps!$M:$M,ps!$B:$B,喷水汇总表!$A20,ps!$K:$K,喷水汇总表!T$5,ps!$F:$F,喷水汇总表!$W$4,ps!$R:$R,喷水汇总表!$Y$4),SUMIFS(ps!$L:$L,ps!$B:$B,喷水汇总表!$A20,ps!$J:$J,喷水汇总表!T$5,ps!$F:$F,喷水汇总表!$W$4,ps!$I:$I,喷水汇总表!$T$4)+SUMIFS(ps!$M:$M,ps!$B:$B,喷水汇总表!$A20,ps!$K:$K,喷水汇总表!T$5,ps!$F:$F,喷水汇总表!$W$4,ps!$I:$I,喷水汇总表!$T$4))</f>
        <v>0</v>
      </c>
      <c r="U20" s="248">
        <f>IF($T$4="",SUMIFS(ps!$L:$L,ps!$B:$B,喷水汇总表!$A20,ps!$J:$J,喷水汇总表!U$5,ps!$F:$F,喷水汇总表!$W$4,ps!$R:$R,喷水汇总表!$Y$4)+SUMIFS(ps!$M:$M,ps!$B:$B,喷水汇总表!$A20,ps!$K:$K,喷水汇总表!U$5,ps!$F:$F,喷水汇总表!$W$4,ps!$R:$R,喷水汇总表!$Y$4),SUMIFS(ps!$L:$L,ps!$B:$B,喷水汇总表!$A20,ps!$J:$J,喷水汇总表!U$5,ps!$F:$F,喷水汇总表!$W$4,ps!$I:$I,喷水汇总表!$T$4)+SUMIFS(ps!$M:$M,ps!$B:$B,喷水汇总表!$A20,ps!$K:$K,喷水汇总表!U$5,ps!$F:$F,喷水汇总表!$W$4,ps!$I:$I,喷水汇总表!$T$4))</f>
        <v>0</v>
      </c>
      <c r="V20" s="248">
        <f>IF($T$4="",SUMIFS(ps!$L:$L,ps!$B:$B,喷水汇总表!$A20,ps!$J:$J,喷水汇总表!V$5,ps!$F:$F,喷水汇总表!$W$4,ps!$R:$R,喷水汇总表!$Y$4)+SUMIFS(ps!$M:$M,ps!$B:$B,喷水汇总表!$A20,ps!$K:$K,喷水汇总表!V$5,ps!$F:$F,喷水汇总表!$W$4,ps!$R:$R,喷水汇总表!$Y$4),SUMIFS(ps!$L:$L,ps!$B:$B,喷水汇总表!$A20,ps!$J:$J,喷水汇总表!V$5,ps!$F:$F,喷水汇总表!$W$4,ps!$I:$I,喷水汇总表!$T$4)+SUMIFS(ps!$M:$M,ps!$B:$B,喷水汇总表!$A20,ps!$K:$K,喷水汇总表!V$5,ps!$F:$F,喷水汇总表!$W$4,ps!$I:$I,喷水汇总表!$T$4))</f>
        <v>0</v>
      </c>
      <c r="W20" s="248">
        <f>IF($T$4="",SUMIFS(ps!$L:$L,ps!$B:$B,喷水汇总表!$A20,ps!$J:$J,喷水汇总表!W$5,ps!$F:$F,喷水汇总表!$W$4,ps!$R:$R,喷水汇总表!$Y$4)+SUMIFS(ps!$M:$M,ps!$B:$B,喷水汇总表!$A20,ps!$K:$K,喷水汇总表!W$5,ps!$F:$F,喷水汇总表!$W$4,ps!$R:$R,喷水汇总表!$Y$4),SUMIFS(ps!$L:$L,ps!$B:$B,喷水汇总表!$A20,ps!$J:$J,喷水汇总表!W$5,ps!$F:$F,喷水汇总表!$W$4,ps!$I:$I,喷水汇总表!$T$4)+SUMIFS(ps!$M:$M,ps!$B:$B,喷水汇总表!$A20,ps!$K:$K,喷水汇总表!W$5,ps!$F:$F,喷水汇总表!$W$4,ps!$I:$I,喷水汇总表!$T$4))</f>
        <v>0</v>
      </c>
      <c r="X20" s="15">
        <f t="shared" ref="X20" si="3">SUM(Y20:BC20)</f>
        <v>8061</v>
      </c>
      <c r="Y20" s="18">
        <f>SUMIFS(ps!$N:$N,ps!$B:$B,喷水汇总表!$A20,ps!$I:$I,喷水汇总表!$X$4&amp;"/"&amp;喷水汇总表!$Y$4&amp;"/"&amp;喷水汇总表!Y$5)</f>
        <v>0</v>
      </c>
      <c r="Z20" s="18">
        <f>SUMIFS(ps!$N:$N,ps!$B:$B,喷水汇总表!$A20,ps!$I:$I,喷水汇总表!$X$4&amp;"/"&amp;喷水汇总表!$Y$4&amp;"/"&amp;喷水汇总表!Z$5)</f>
        <v>0</v>
      </c>
      <c r="AA20" s="18">
        <f>SUMIFS(ps!$N:$N,ps!$B:$B,喷水汇总表!$A20,ps!$I:$I,喷水汇总表!$X$4&amp;"/"&amp;喷水汇总表!$Y$4&amp;"/"&amp;喷水汇总表!AA$5)</f>
        <v>5463</v>
      </c>
      <c r="AB20" s="18">
        <f>SUMIFS(ps!$N:$N,ps!$B:$B,喷水汇总表!$A20,ps!$I:$I,喷水汇总表!$X$4&amp;"/"&amp;喷水汇总表!$Y$4&amp;"/"&amp;喷水汇总表!AB$5)</f>
        <v>2598</v>
      </c>
      <c r="AC20" s="18">
        <f>SUMIFS(ps!$N:$N,ps!$B:$B,喷水汇总表!$A20,ps!$I:$I,喷水汇总表!$X$4&amp;"/"&amp;喷水汇总表!$Y$4&amp;"/"&amp;喷水汇总表!AC$5)</f>
        <v>0</v>
      </c>
      <c r="AD20" s="18">
        <f>SUMIFS(ps!$N:$N,ps!$B:$B,喷水汇总表!$A20,ps!$I:$I,喷水汇总表!$X$4&amp;"/"&amp;喷水汇总表!$Y$4&amp;"/"&amp;喷水汇总表!AD$5)</f>
        <v>0</v>
      </c>
      <c r="AE20" s="18">
        <f>SUMIFS(ps!$N:$N,ps!$B:$B,喷水汇总表!$A20,ps!$I:$I,喷水汇总表!$X$4&amp;"/"&amp;喷水汇总表!$Y$4&amp;"/"&amp;喷水汇总表!AE$5)</f>
        <v>0</v>
      </c>
      <c r="AF20" s="18">
        <f>SUMIFS(ps!$N:$N,ps!$B:$B,喷水汇总表!$A20,ps!$I:$I,喷水汇总表!$X$4&amp;"/"&amp;喷水汇总表!$Y$4&amp;"/"&amp;喷水汇总表!AF$5)</f>
        <v>0</v>
      </c>
      <c r="AG20" s="18">
        <f>SUMIFS(ps!$N:$N,ps!$B:$B,喷水汇总表!$A20,ps!$I:$I,喷水汇总表!$X$4&amp;"/"&amp;喷水汇总表!$Y$4&amp;"/"&amp;喷水汇总表!AG$5)</f>
        <v>0</v>
      </c>
      <c r="AH20" s="18">
        <f>SUMIFS(ps!$N:$N,ps!$B:$B,喷水汇总表!$A20,ps!$I:$I,喷水汇总表!$X$4&amp;"/"&amp;喷水汇总表!$Y$4&amp;"/"&amp;喷水汇总表!AH$5)</f>
        <v>0</v>
      </c>
      <c r="AI20" s="18">
        <f>SUMIFS(ps!$N:$N,ps!$B:$B,喷水汇总表!$A20,ps!$I:$I,喷水汇总表!$X$4&amp;"/"&amp;喷水汇总表!$Y$4&amp;"/"&amp;喷水汇总表!AI$5)</f>
        <v>0</v>
      </c>
      <c r="AJ20" s="18">
        <f>SUMIFS(ps!$N:$N,ps!$B:$B,喷水汇总表!$A20,ps!$I:$I,喷水汇总表!$X$4&amp;"/"&amp;喷水汇总表!$Y$4&amp;"/"&amp;喷水汇总表!AJ$5)</f>
        <v>0</v>
      </c>
      <c r="AK20" s="18">
        <f>SUMIFS(ps!$N:$N,ps!$B:$B,喷水汇总表!$A20,ps!$I:$I,喷水汇总表!$X$4&amp;"/"&amp;喷水汇总表!$Y$4&amp;"/"&amp;喷水汇总表!AK$5)</f>
        <v>0</v>
      </c>
      <c r="AL20" s="18">
        <f>SUMIFS(ps!$N:$N,ps!$B:$B,喷水汇总表!$A20,ps!$I:$I,喷水汇总表!$X$4&amp;"/"&amp;喷水汇总表!$Y$4&amp;"/"&amp;喷水汇总表!AL$5)</f>
        <v>0</v>
      </c>
      <c r="AM20" s="18">
        <f>SUMIFS(ps!$N:$N,ps!$B:$B,喷水汇总表!$A20,ps!$I:$I,喷水汇总表!$X$4&amp;"/"&amp;喷水汇总表!$Y$4&amp;"/"&amp;喷水汇总表!AM$5)</f>
        <v>0</v>
      </c>
      <c r="AN20" s="18">
        <f>SUMIFS(ps!$N:$N,ps!$B:$B,喷水汇总表!$A20,ps!$I:$I,喷水汇总表!$X$4&amp;"/"&amp;喷水汇总表!$Y$4&amp;"/"&amp;喷水汇总表!AN$5)</f>
        <v>0</v>
      </c>
      <c r="AO20" s="18">
        <f>SUMIFS(ps!$N:$N,ps!$B:$B,喷水汇总表!$A20,ps!$I:$I,喷水汇总表!$X$4&amp;"/"&amp;喷水汇总表!$Y$4&amp;"/"&amp;喷水汇总表!AO$5)</f>
        <v>0</v>
      </c>
      <c r="AP20" s="18">
        <f>SUMIFS(ps!$N:$N,ps!$B:$B,喷水汇总表!$A20,ps!$I:$I,喷水汇总表!$X$4&amp;"/"&amp;喷水汇总表!$Y$4&amp;"/"&amp;喷水汇总表!AP$5)</f>
        <v>0</v>
      </c>
      <c r="AQ20" s="18">
        <f>SUMIFS(ps!$N:$N,ps!$B:$B,喷水汇总表!$A20,ps!$I:$I,喷水汇总表!$X$4&amp;"/"&amp;喷水汇总表!$Y$4&amp;"/"&amp;喷水汇总表!AQ$5)</f>
        <v>0</v>
      </c>
      <c r="AR20" s="18">
        <f>SUMIFS(ps!$N:$N,ps!$B:$B,喷水汇总表!$A20,ps!$I:$I,喷水汇总表!$X$4&amp;"/"&amp;喷水汇总表!$Y$4&amp;"/"&amp;喷水汇总表!AR$5)</f>
        <v>0</v>
      </c>
      <c r="AS20" s="18">
        <f>SUMIFS(ps!$N:$N,ps!$B:$B,喷水汇总表!$A20,ps!$I:$I,喷水汇总表!$X$4&amp;"/"&amp;喷水汇总表!$Y$4&amp;"/"&amp;喷水汇总表!AS$5)</f>
        <v>0</v>
      </c>
      <c r="AT20" s="18">
        <f>SUMIFS(ps!$N:$N,ps!$B:$B,喷水汇总表!$A20,ps!$I:$I,喷水汇总表!$X$4&amp;"/"&amp;喷水汇总表!$Y$4&amp;"/"&amp;喷水汇总表!AT$5)</f>
        <v>0</v>
      </c>
      <c r="AU20" s="18">
        <f>SUMIFS(ps!$N:$N,ps!$B:$B,喷水汇总表!$A20,ps!$I:$I,喷水汇总表!$X$4&amp;"/"&amp;喷水汇总表!$Y$4&amp;"/"&amp;喷水汇总表!AU$5)</f>
        <v>0</v>
      </c>
      <c r="AV20" s="18">
        <f>SUMIFS(ps!$N:$N,ps!$B:$B,喷水汇总表!$A20,ps!$I:$I,喷水汇总表!$X$4&amp;"/"&amp;喷水汇总表!$Y$4&amp;"/"&amp;喷水汇总表!AV$5)</f>
        <v>0</v>
      </c>
      <c r="AW20" s="18">
        <f>SUMIFS(ps!$N:$N,ps!$B:$B,喷水汇总表!$A20,ps!$I:$I,喷水汇总表!$X$4&amp;"/"&amp;喷水汇总表!$Y$4&amp;"/"&amp;喷水汇总表!AW$5)</f>
        <v>0</v>
      </c>
      <c r="AX20" s="18">
        <f>SUMIFS(ps!$N:$N,ps!$B:$B,喷水汇总表!$A20,ps!$I:$I,喷水汇总表!$X$4&amp;"/"&amp;喷水汇总表!$Y$4&amp;"/"&amp;喷水汇总表!AX$5)</f>
        <v>0</v>
      </c>
      <c r="AY20" s="18">
        <f>SUMIFS(ps!$N:$N,ps!$B:$B,喷水汇总表!$A20,ps!$I:$I,喷水汇总表!$X$4&amp;"/"&amp;喷水汇总表!$Y$4&amp;"/"&amp;喷水汇总表!AY$5)</f>
        <v>0</v>
      </c>
      <c r="AZ20" s="18">
        <f>SUMIFS(ps!$N:$N,ps!$B:$B,喷水汇总表!$A20,ps!$I:$I,喷水汇总表!$X$4&amp;"/"&amp;喷水汇总表!$Y$4&amp;"/"&amp;喷水汇总表!AZ$5)</f>
        <v>0</v>
      </c>
      <c r="BA20" s="18">
        <f>SUMIFS(ps!$N:$N,ps!$B:$B,喷水汇总表!$A20,ps!$I:$I,喷水汇总表!$X$4&amp;"/"&amp;喷水汇总表!$Y$4&amp;"/"&amp;喷水汇总表!BA$5)</f>
        <v>0</v>
      </c>
      <c r="BB20" s="18">
        <f>SUMIFS(ps!$N:$N,ps!$B:$B,喷水汇总表!$A20,ps!$I:$I,喷水汇总表!$X$4&amp;"/"&amp;喷水汇总表!$Y$4&amp;"/"&amp;喷水汇总表!BB$5)</f>
        <v>0</v>
      </c>
      <c r="BC20" s="18">
        <f>SUMIFS(ps!$N:$N,ps!$B:$B,喷水汇总表!$A20,ps!$I:$I,喷水汇总表!$X$4&amp;"/"&amp;喷水汇总表!$Y$4&amp;"/"&amp;喷水汇总表!BC$5)</f>
        <v>0</v>
      </c>
    </row>
    <row r="21" spans="1:58" ht="18" customHeight="1">
      <c r="A21" s="96" t="s">
        <v>1092</v>
      </c>
      <c r="B21" s="176" t="str">
        <f>IF(A21="","",VLOOKUP(A21,经纬!B:C,2,FALSE))</f>
        <v>50*50</v>
      </c>
      <c r="C21" s="176" t="str">
        <f t="shared" si="0"/>
        <v>190.5</v>
      </c>
      <c r="D21" s="176">
        <f>IF(A21="","",VLOOKUP(A21,经纬!B:G,6,FALSE))</f>
        <v>37</v>
      </c>
      <c r="E21" s="44">
        <f>IF($T$4="",SUMIFS(ps!$N:$N,ps!$B:$B,喷水汇总表!$A21,ps!$H:$H,喷水汇总表!E$5,ps!$R:$R,喷水汇总表!$Y$4),SUMIFS(ps!$N:$N,ps!$B:$B,喷水汇总表!$A21,ps!$H:$H,喷水汇总表!E$5,ps!$I:$I,喷水汇总表!$T$4))</f>
        <v>0</v>
      </c>
      <c r="F21" s="44">
        <f>IF($T$4="",SUMIFS(ps!$N:$N,ps!$B:$B,喷水汇总表!$A21,ps!$H:$H,喷水汇总表!F$5,ps!$R:$R,喷水汇总表!$Y$4),SUMIFS(ps!$N:$N,ps!$B:$B,喷水汇总表!$A21,ps!$H:$H,喷水汇总表!F$5,ps!$I:$I,喷水汇总表!$T$4))</f>
        <v>4686</v>
      </c>
      <c r="G21" s="44">
        <f>IF($T$4="",SUMIFS(ps!$N:$N,ps!$B:$B,喷水汇总表!$A21,ps!$H:$H,喷水汇总表!G$5,ps!$R:$R,喷水汇总表!$Y$4),SUMIFS(ps!$N:$N,ps!$B:$B,喷水汇总表!$A21,ps!$H:$H,喷水汇总表!G$5,ps!$I:$I,喷水汇总表!$T$4))</f>
        <v>0</v>
      </c>
      <c r="H21" s="248">
        <f>IF($T$4="",SUMIFS(ps!$N:$N,ps!$B:$B,喷水汇总表!$A21,ps!$G:$G,喷水汇总表!H$5,ps!$R:$R,喷水汇总表!$Y$4),SUMIFS(ps!$N:$N,ps!$B:$B,喷水汇总表!$A21,ps!$G:$G,喷水汇总表!H$5,ps!$I:$I,喷水汇总表!$T$4))</f>
        <v>0</v>
      </c>
      <c r="I21" s="248">
        <f>IF($T$4="",SUMIFS(ps!$N:$N,ps!$B:$B,喷水汇总表!$A21,ps!$G:$G,喷水汇总表!I$5,ps!$R:$R,喷水汇总表!$Y$4),SUMIFS(ps!$N:$N,ps!$B:$B,喷水汇总表!$A21,ps!$G:$G,喷水汇总表!I$5,ps!$I:$I,喷水汇总表!$T$4))</f>
        <v>4686</v>
      </c>
      <c r="J21" s="248">
        <f>IF($T$4="",SUMIFS(ps!$N:$N,ps!$B:$B,喷水汇总表!$A21,ps!$G:$G,喷水汇总表!J$5,ps!$R:$R,喷水汇总表!$Y$4),SUMIFS(ps!$N:$N,ps!$B:$B,喷水汇总表!$A21,ps!$G:$G,喷水汇总表!J$5,ps!$I:$I,喷水汇总表!$T$4))</f>
        <v>0</v>
      </c>
      <c r="K21" s="248">
        <f>IF($T$4="",SUMIFS(ps!$N:$N,ps!$B:$B,喷水汇总表!$A21,ps!$G:$G,喷水汇总表!K$5,ps!$R:$R,喷水汇总表!$Y$4),SUMIFS(ps!$N:$N,ps!$B:$B,喷水汇总表!$A21,ps!$G:$G,喷水汇总表!K$5,ps!$I:$I,喷水汇总表!$T$4))</f>
        <v>0</v>
      </c>
      <c r="L21" s="248">
        <f>IF($T$4="",SUMIFS(ps!$N:$N,ps!$B:$B,喷水汇总表!$A21,ps!$G:$G,喷水汇总表!L$5,ps!$R:$R,喷水汇总表!$Y$4),SUMIFS(ps!$N:$N,ps!$B:$B,喷水汇总表!$A21,ps!$G:$G,喷水汇总表!L$5,ps!$I:$I,喷水汇总表!$T$4))</f>
        <v>0</v>
      </c>
      <c r="M21" s="248">
        <f>IF($T$4="",SUMIFS(ps!$N:$N,ps!$B:$B,喷水汇总表!$A21,ps!$G:$G,喷水汇总表!M$5,ps!$R:$R,喷水汇总表!$Y$4),SUMIFS(ps!$N:$N,ps!$B:$B,喷水汇总表!$A21,ps!$G:$G,喷水汇总表!M$5,ps!$I:$I,喷水汇总表!$T$4))</f>
        <v>0</v>
      </c>
      <c r="N21" s="248">
        <f>IF($T$4="",SUMIFS(ps!$N:$N,ps!$B:$B,喷水汇总表!$A21,ps!$G:$G,喷水汇总表!N$5,ps!$R:$R,喷水汇总表!$Y$4),SUMIFS(ps!$N:$N,ps!$B:$B,喷水汇总表!$A21,ps!$G:$G,喷水汇总表!N$5,ps!$I:$I,喷水汇总表!$T$4))</f>
        <v>0</v>
      </c>
      <c r="O21" s="248">
        <f>IF($T$4="",SUMIFS(ps!$L:$L,ps!$B:$B,喷水汇总表!$A21,ps!$J:$J,喷水汇总表!O$5,ps!$F:$F,喷水汇总表!$W$4,ps!$R:$R,喷水汇总表!$Y$4)+SUMIFS(ps!$M:$M,ps!$B:$B,喷水汇总表!$A21,ps!$K:$K,喷水汇总表!O$5,ps!$F:$F,喷水汇总表!$W$4,ps!$R:$R,喷水汇总表!$Y$4),SUMIFS(ps!$L:$L,ps!$B:$B,喷水汇总表!$A21,ps!$J:$J,喷水汇总表!O$5,ps!$F:$F,喷水汇总表!$W$4,ps!$I:$I,喷水汇总表!$T$4)+SUMIFS(ps!$M:$M,ps!$B:$B,喷水汇总表!$A21,ps!$K:$K,喷水汇总表!O$5,ps!$F:$F,喷水汇总表!$W$4,ps!$I:$I,喷水汇总表!$T$4))</f>
        <v>0</v>
      </c>
      <c r="P21" s="248">
        <f>IF($T$4="",SUMIFS(ps!$L:$L,ps!$B:$B,喷水汇总表!$A21,ps!$J:$J,喷水汇总表!P$5,ps!$F:$F,喷水汇总表!$W$4,ps!$R:$R,喷水汇总表!$Y$4)+SUMIFS(ps!$M:$M,ps!$B:$B,喷水汇总表!$A21,ps!$K:$K,喷水汇总表!P$5,ps!$F:$F,喷水汇总表!$W$4,ps!$R:$R,喷水汇总表!$Y$4),SUMIFS(ps!$L:$L,ps!$B:$B,喷水汇总表!$A21,ps!$J:$J,喷水汇总表!P$5,ps!$F:$F,喷水汇总表!$W$4,ps!$I:$I,喷水汇总表!$T$4)+SUMIFS(ps!$M:$M,ps!$B:$B,喷水汇总表!$A21,ps!$K:$K,喷水汇总表!P$5,ps!$F:$F,喷水汇总表!$W$4,ps!$I:$I,喷水汇总表!$T$4))</f>
        <v>0</v>
      </c>
      <c r="Q21" s="248">
        <f>IF($T$4="",SUMIFS(ps!$L:$L,ps!$B:$B,喷水汇总表!$A21,ps!$J:$J,喷水汇总表!Q$5,ps!$F:$F,喷水汇总表!$W$4,ps!$R:$R,喷水汇总表!$Y$4)+SUMIFS(ps!$M:$M,ps!$B:$B,喷水汇总表!$A21,ps!$K:$K,喷水汇总表!Q$5,ps!$F:$F,喷水汇总表!$W$4,ps!$R:$R,喷水汇总表!$Y$4),SUMIFS(ps!$L:$L,ps!$B:$B,喷水汇总表!$A21,ps!$J:$J,喷水汇总表!Q$5,ps!$F:$F,喷水汇总表!$W$4,ps!$I:$I,喷水汇总表!$T$4)+SUMIFS(ps!$M:$M,ps!$B:$B,喷水汇总表!$A21,ps!$K:$K,喷水汇总表!Q$5,ps!$F:$F,喷水汇总表!$W$4,ps!$I:$I,喷水汇总表!$T$4))</f>
        <v>0</v>
      </c>
      <c r="R21" s="248">
        <f>IF($T$4="",SUMIFS(ps!$L:$L,ps!$B:$B,喷水汇总表!$A21,ps!$J:$J,喷水汇总表!R$5,ps!$F:$F,喷水汇总表!$W$4,ps!$R:$R,喷水汇总表!$Y$4)+SUMIFS(ps!$M:$M,ps!$B:$B,喷水汇总表!$A21,ps!$K:$K,喷水汇总表!R$5,ps!$F:$F,喷水汇总表!$W$4,ps!$R:$R,喷水汇总表!$Y$4),SUMIFS(ps!$L:$L,ps!$B:$B,喷水汇总表!$A21,ps!$J:$J,喷水汇总表!R$5,ps!$F:$F,喷水汇总表!$W$4,ps!$I:$I,喷水汇总表!$T$4)+SUMIFS(ps!$M:$M,ps!$B:$B,喷水汇总表!$A21,ps!$K:$K,喷水汇总表!R$5,ps!$F:$F,喷水汇总表!$W$4,ps!$I:$I,喷水汇总表!$T$4))</f>
        <v>234.410779007874</v>
      </c>
      <c r="S21" s="248">
        <f>IF($T$4="",SUMIFS(ps!$L:$L,ps!$B:$B,喷水汇总表!$A21,ps!$J:$J,喷水汇总表!S$5,ps!$F:$F,喷水汇总表!$W$4,ps!$R:$R,喷水汇总表!$Y$4)+SUMIFS(ps!$M:$M,ps!$B:$B,喷水汇总表!$A21,ps!$K:$K,喷水汇总表!S$5,ps!$F:$F,喷水汇总表!$W$4,ps!$R:$R,喷水汇总表!$Y$4),SUMIFS(ps!$L:$L,ps!$B:$B,喷水汇总表!$A21,ps!$J:$J,喷水汇总表!S$5,ps!$F:$F,喷水汇总表!$W$4,ps!$I:$I,喷水汇总表!$T$4)+SUMIFS(ps!$M:$M,ps!$B:$B,喷水汇总表!$A21,ps!$K:$K,喷水汇总表!S$5,ps!$F:$F,喷水汇总表!$W$4,ps!$I:$I,喷水汇总表!$T$4))</f>
        <v>0</v>
      </c>
      <c r="T21" s="248">
        <f>IF($T$4="",SUMIFS(ps!$L:$L,ps!$B:$B,喷水汇总表!$A21,ps!$J:$J,喷水汇总表!T$5,ps!$F:$F,喷水汇总表!$W$4,ps!$R:$R,喷水汇总表!$Y$4)+SUMIFS(ps!$M:$M,ps!$B:$B,喷水汇总表!$A21,ps!$K:$K,喷水汇总表!T$5,ps!$F:$F,喷水汇总表!$W$4,ps!$R:$R,喷水汇总表!$Y$4),SUMIFS(ps!$L:$L,ps!$B:$B,喷水汇总表!$A21,ps!$J:$J,喷水汇总表!T$5,ps!$F:$F,喷水汇总表!$W$4,ps!$I:$I,喷水汇总表!$T$4)+SUMIFS(ps!$M:$M,ps!$B:$B,喷水汇总表!$A21,ps!$K:$K,喷水汇总表!T$5,ps!$F:$F,喷水汇总表!$W$4,ps!$I:$I,喷水汇总表!$T$4))</f>
        <v>0</v>
      </c>
      <c r="U21" s="248">
        <f>IF($T$4="",SUMIFS(ps!$L:$L,ps!$B:$B,喷水汇总表!$A21,ps!$J:$J,喷水汇总表!U$5,ps!$F:$F,喷水汇总表!$W$4,ps!$R:$R,喷水汇总表!$Y$4)+SUMIFS(ps!$M:$M,ps!$B:$B,喷水汇总表!$A21,ps!$K:$K,喷水汇总表!U$5,ps!$F:$F,喷水汇总表!$W$4,ps!$R:$R,喷水汇总表!$Y$4),SUMIFS(ps!$L:$L,ps!$B:$B,喷水汇总表!$A21,ps!$J:$J,喷水汇总表!U$5,ps!$F:$F,喷水汇总表!$W$4,ps!$I:$I,喷水汇总表!$T$4)+SUMIFS(ps!$M:$M,ps!$B:$B,喷水汇总表!$A21,ps!$K:$K,喷水汇总表!U$5,ps!$F:$F,喷水汇总表!$W$4,ps!$I:$I,喷水汇总表!$T$4))</f>
        <v>0</v>
      </c>
      <c r="V21" s="248">
        <f>IF($T$4="",SUMIFS(ps!$L:$L,ps!$B:$B,喷水汇总表!$A21,ps!$J:$J,喷水汇总表!V$5,ps!$F:$F,喷水汇总表!$W$4,ps!$R:$R,喷水汇总表!$Y$4)+SUMIFS(ps!$M:$M,ps!$B:$B,喷水汇总表!$A21,ps!$K:$K,喷水汇总表!V$5,ps!$F:$F,喷水汇总表!$W$4,ps!$R:$R,喷水汇总表!$Y$4),SUMIFS(ps!$L:$L,ps!$B:$B,喷水汇总表!$A21,ps!$J:$J,喷水汇总表!V$5,ps!$F:$F,喷水汇总表!$W$4,ps!$I:$I,喷水汇总表!$T$4)+SUMIFS(ps!$M:$M,ps!$B:$B,喷水汇总表!$A21,ps!$K:$K,喷水汇总表!V$5,ps!$F:$F,喷水汇总表!$W$4,ps!$I:$I,喷水汇总表!$T$4))</f>
        <v>0</v>
      </c>
      <c r="W21" s="248">
        <f>IF($T$4="",SUMIFS(ps!$L:$L,ps!$B:$B,喷水汇总表!$A21,ps!$J:$J,喷水汇总表!W$5,ps!$F:$F,喷水汇总表!$W$4,ps!$R:$R,喷水汇总表!$Y$4)+SUMIFS(ps!$M:$M,ps!$B:$B,喷水汇总表!$A21,ps!$K:$K,喷水汇总表!W$5,ps!$F:$F,喷水汇总表!$W$4,ps!$R:$R,喷水汇总表!$Y$4),SUMIFS(ps!$L:$L,ps!$B:$B,喷水汇总表!$A21,ps!$J:$J,喷水汇总表!W$5,ps!$F:$F,喷水汇总表!$W$4,ps!$I:$I,喷水汇总表!$T$4)+SUMIFS(ps!$M:$M,ps!$B:$B,喷水汇总表!$A21,ps!$K:$K,喷水汇总表!W$5,ps!$F:$F,喷水汇总表!$W$4,ps!$I:$I,喷水汇总表!$T$4))</f>
        <v>0</v>
      </c>
      <c r="X21" s="15">
        <f t="shared" si="1"/>
        <v>82797</v>
      </c>
      <c r="Y21" s="18">
        <f>SUMIFS(ps!$N:$N,ps!$B:$B,喷水汇总表!$A21,ps!$I:$I,喷水汇总表!$X$4&amp;"/"&amp;喷水汇总表!$Y$4&amp;"/"&amp;喷水汇总表!Y$5)</f>
        <v>0</v>
      </c>
      <c r="Z21" s="18">
        <f>SUMIFS(ps!$N:$N,ps!$B:$B,喷水汇总表!$A21,ps!$I:$I,喷水汇总表!$X$4&amp;"/"&amp;喷水汇总表!$Y$4&amp;"/"&amp;喷水汇总表!Z$5)</f>
        <v>24948</v>
      </c>
      <c r="AA21" s="18">
        <f>SUMIFS(ps!$N:$N,ps!$B:$B,喷水汇总表!$A21,ps!$I:$I,喷水汇总表!$X$4&amp;"/"&amp;喷水汇总表!$Y$4&amp;"/"&amp;喷水汇总表!AA$5)</f>
        <v>24394</v>
      </c>
      <c r="AB21" s="18">
        <f>SUMIFS(ps!$N:$N,ps!$B:$B,喷水汇总表!$A21,ps!$I:$I,喷水汇总表!$X$4&amp;"/"&amp;喷水汇总表!$Y$4&amp;"/"&amp;喷水汇总表!AB$5)</f>
        <v>28769</v>
      </c>
      <c r="AC21" s="18">
        <f>SUMIFS(ps!$N:$N,ps!$B:$B,喷水汇总表!$A21,ps!$I:$I,喷水汇总表!$X$4&amp;"/"&amp;喷水汇总表!$Y$4&amp;"/"&amp;喷水汇总表!AC$5)</f>
        <v>4686</v>
      </c>
      <c r="AD21" s="18">
        <f>SUMIFS(ps!$N:$N,ps!$B:$B,喷水汇总表!$A21,ps!$I:$I,喷水汇总表!$X$4&amp;"/"&amp;喷水汇总表!$Y$4&amp;"/"&amp;喷水汇总表!AD$5)</f>
        <v>0</v>
      </c>
      <c r="AE21" s="18">
        <f>SUMIFS(ps!$N:$N,ps!$B:$B,喷水汇总表!$A21,ps!$I:$I,喷水汇总表!$X$4&amp;"/"&amp;喷水汇总表!$Y$4&amp;"/"&amp;喷水汇总表!AE$5)</f>
        <v>0</v>
      </c>
      <c r="AF21" s="18">
        <f>SUMIFS(ps!$N:$N,ps!$B:$B,喷水汇总表!$A21,ps!$I:$I,喷水汇总表!$X$4&amp;"/"&amp;喷水汇总表!$Y$4&amp;"/"&amp;喷水汇总表!AF$5)</f>
        <v>0</v>
      </c>
      <c r="AG21" s="18">
        <f>SUMIFS(ps!$N:$N,ps!$B:$B,喷水汇总表!$A21,ps!$I:$I,喷水汇总表!$X$4&amp;"/"&amp;喷水汇总表!$Y$4&amp;"/"&amp;喷水汇总表!AG$5)</f>
        <v>0</v>
      </c>
      <c r="AH21" s="18">
        <f>SUMIFS(ps!$N:$N,ps!$B:$B,喷水汇总表!$A21,ps!$I:$I,喷水汇总表!$X$4&amp;"/"&amp;喷水汇总表!$Y$4&amp;"/"&amp;喷水汇总表!AH$5)</f>
        <v>0</v>
      </c>
      <c r="AI21" s="18">
        <f>SUMIFS(ps!$N:$N,ps!$B:$B,喷水汇总表!$A21,ps!$I:$I,喷水汇总表!$X$4&amp;"/"&amp;喷水汇总表!$Y$4&amp;"/"&amp;喷水汇总表!AI$5)</f>
        <v>0</v>
      </c>
      <c r="AJ21" s="18">
        <f>SUMIFS(ps!$N:$N,ps!$B:$B,喷水汇总表!$A21,ps!$I:$I,喷水汇总表!$X$4&amp;"/"&amp;喷水汇总表!$Y$4&amp;"/"&amp;喷水汇总表!AJ$5)</f>
        <v>0</v>
      </c>
      <c r="AK21" s="18">
        <f>SUMIFS(ps!$N:$N,ps!$B:$B,喷水汇总表!$A21,ps!$I:$I,喷水汇总表!$X$4&amp;"/"&amp;喷水汇总表!$Y$4&amp;"/"&amp;喷水汇总表!AK$5)</f>
        <v>0</v>
      </c>
      <c r="AL21" s="18">
        <f>SUMIFS(ps!$N:$N,ps!$B:$B,喷水汇总表!$A21,ps!$I:$I,喷水汇总表!$X$4&amp;"/"&amp;喷水汇总表!$Y$4&amp;"/"&amp;喷水汇总表!AL$5)</f>
        <v>0</v>
      </c>
      <c r="AM21" s="18">
        <f>SUMIFS(ps!$N:$N,ps!$B:$B,喷水汇总表!$A21,ps!$I:$I,喷水汇总表!$X$4&amp;"/"&amp;喷水汇总表!$Y$4&amp;"/"&amp;喷水汇总表!AM$5)</f>
        <v>0</v>
      </c>
      <c r="AN21" s="18">
        <f>SUMIFS(ps!$N:$N,ps!$B:$B,喷水汇总表!$A21,ps!$I:$I,喷水汇总表!$X$4&amp;"/"&amp;喷水汇总表!$Y$4&amp;"/"&amp;喷水汇总表!AN$5)</f>
        <v>0</v>
      </c>
      <c r="AO21" s="18">
        <f>SUMIFS(ps!$N:$N,ps!$B:$B,喷水汇总表!$A21,ps!$I:$I,喷水汇总表!$X$4&amp;"/"&amp;喷水汇总表!$Y$4&amp;"/"&amp;喷水汇总表!AO$5)</f>
        <v>0</v>
      </c>
      <c r="AP21" s="18">
        <f>SUMIFS(ps!$N:$N,ps!$B:$B,喷水汇总表!$A21,ps!$I:$I,喷水汇总表!$X$4&amp;"/"&amp;喷水汇总表!$Y$4&amp;"/"&amp;喷水汇总表!AP$5)</f>
        <v>0</v>
      </c>
      <c r="AQ21" s="18">
        <f>SUMIFS(ps!$N:$N,ps!$B:$B,喷水汇总表!$A21,ps!$I:$I,喷水汇总表!$X$4&amp;"/"&amp;喷水汇总表!$Y$4&amp;"/"&amp;喷水汇总表!AQ$5)</f>
        <v>0</v>
      </c>
      <c r="AR21" s="18">
        <f>SUMIFS(ps!$N:$N,ps!$B:$B,喷水汇总表!$A21,ps!$I:$I,喷水汇总表!$X$4&amp;"/"&amp;喷水汇总表!$Y$4&amp;"/"&amp;喷水汇总表!AR$5)</f>
        <v>0</v>
      </c>
      <c r="AS21" s="18">
        <f>SUMIFS(ps!$N:$N,ps!$B:$B,喷水汇总表!$A21,ps!$I:$I,喷水汇总表!$X$4&amp;"/"&amp;喷水汇总表!$Y$4&amp;"/"&amp;喷水汇总表!AS$5)</f>
        <v>0</v>
      </c>
      <c r="AT21" s="18">
        <f>SUMIFS(ps!$N:$N,ps!$B:$B,喷水汇总表!$A21,ps!$I:$I,喷水汇总表!$X$4&amp;"/"&amp;喷水汇总表!$Y$4&amp;"/"&amp;喷水汇总表!AT$5)</f>
        <v>0</v>
      </c>
      <c r="AU21" s="18">
        <f>SUMIFS(ps!$N:$N,ps!$B:$B,喷水汇总表!$A21,ps!$I:$I,喷水汇总表!$X$4&amp;"/"&amp;喷水汇总表!$Y$4&amp;"/"&amp;喷水汇总表!AU$5)</f>
        <v>0</v>
      </c>
      <c r="AV21" s="18">
        <f>SUMIFS(ps!$N:$N,ps!$B:$B,喷水汇总表!$A21,ps!$I:$I,喷水汇总表!$X$4&amp;"/"&amp;喷水汇总表!$Y$4&amp;"/"&amp;喷水汇总表!AV$5)</f>
        <v>0</v>
      </c>
      <c r="AW21" s="18">
        <f>SUMIFS(ps!$N:$N,ps!$B:$B,喷水汇总表!$A21,ps!$I:$I,喷水汇总表!$X$4&amp;"/"&amp;喷水汇总表!$Y$4&amp;"/"&amp;喷水汇总表!AW$5)</f>
        <v>0</v>
      </c>
      <c r="AX21" s="18">
        <f>SUMIFS(ps!$N:$N,ps!$B:$B,喷水汇总表!$A21,ps!$I:$I,喷水汇总表!$X$4&amp;"/"&amp;喷水汇总表!$Y$4&amp;"/"&amp;喷水汇总表!AX$5)</f>
        <v>0</v>
      </c>
      <c r="AY21" s="18">
        <f>SUMIFS(ps!$N:$N,ps!$B:$B,喷水汇总表!$A21,ps!$I:$I,喷水汇总表!$X$4&amp;"/"&amp;喷水汇总表!$Y$4&amp;"/"&amp;喷水汇总表!AY$5)</f>
        <v>0</v>
      </c>
      <c r="AZ21" s="18">
        <f>SUMIFS(ps!$N:$N,ps!$B:$B,喷水汇总表!$A21,ps!$I:$I,喷水汇总表!$X$4&amp;"/"&amp;喷水汇总表!$Y$4&amp;"/"&amp;喷水汇总表!AZ$5)</f>
        <v>0</v>
      </c>
      <c r="BA21" s="18">
        <f>SUMIFS(ps!$N:$N,ps!$B:$B,喷水汇总表!$A21,ps!$I:$I,喷水汇总表!$X$4&amp;"/"&amp;喷水汇总表!$Y$4&amp;"/"&amp;喷水汇总表!BA$5)</f>
        <v>0</v>
      </c>
      <c r="BB21" s="18">
        <f>SUMIFS(ps!$N:$N,ps!$B:$B,喷水汇总表!$A21,ps!$I:$I,喷水汇总表!$X$4&amp;"/"&amp;喷水汇总表!$Y$4&amp;"/"&amp;喷水汇总表!BB$5)</f>
        <v>0</v>
      </c>
      <c r="BC21" s="18">
        <f>SUMIFS(ps!$N:$N,ps!$B:$B,喷水汇总表!$A21,ps!$I:$I,喷水汇总表!$X$4&amp;"/"&amp;喷水汇总表!$Y$4&amp;"/"&amp;喷水汇总表!BC$5)</f>
        <v>0</v>
      </c>
    </row>
    <row r="22" spans="1:58" ht="18" customHeight="1">
      <c r="A22" s="96" t="s">
        <v>1108</v>
      </c>
      <c r="B22" s="176" t="str">
        <f>IF(A22="","",VLOOKUP(A22,经纬!B:C,2,FALSE))</f>
        <v>50*50</v>
      </c>
      <c r="C22" s="176" t="str">
        <f t="shared" si="0"/>
        <v>190</v>
      </c>
      <c r="D22" s="176">
        <f>IF(A22="","",VLOOKUP(A22,经纬!B:G,6,FALSE))</f>
        <v>35</v>
      </c>
      <c r="E22" s="44">
        <f>IF($T$4="",SUMIFS(ps!$N:$N,ps!$B:$B,喷水汇总表!$A22,ps!$H:$H,喷水汇总表!E$5,ps!$R:$R,喷水汇总表!$Y$4),SUMIFS(ps!$N:$N,ps!$B:$B,喷水汇总表!$A22,ps!$H:$H,喷水汇总表!E$5,ps!$I:$I,喷水汇总表!$T$4))</f>
        <v>0</v>
      </c>
      <c r="F22" s="44">
        <f>IF($T$4="",SUMIFS(ps!$N:$N,ps!$B:$B,喷水汇总表!$A22,ps!$H:$H,喷水汇总表!F$5,ps!$R:$R,喷水汇总表!$Y$4),SUMIFS(ps!$N:$N,ps!$B:$B,喷水汇总表!$A22,ps!$H:$H,喷水汇总表!F$5,ps!$I:$I,喷水汇总表!$T$4))</f>
        <v>0</v>
      </c>
      <c r="G22" s="44">
        <f>IF($T$4="",SUMIFS(ps!$N:$N,ps!$B:$B,喷水汇总表!$A22,ps!$H:$H,喷水汇总表!G$5,ps!$R:$R,喷水汇总表!$Y$4),SUMIFS(ps!$N:$N,ps!$B:$B,喷水汇总表!$A22,ps!$H:$H,喷水汇总表!G$5,ps!$I:$I,喷水汇总表!$T$4))</f>
        <v>0</v>
      </c>
      <c r="H22" s="248">
        <f>IF($T$4="",SUMIFS(ps!$N:$N,ps!$B:$B,喷水汇总表!$A22,ps!$G:$G,喷水汇总表!H$5,ps!$R:$R,喷水汇总表!$Y$4),SUMIFS(ps!$N:$N,ps!$B:$B,喷水汇总表!$A22,ps!$G:$G,喷水汇总表!H$5,ps!$I:$I,喷水汇总表!$T$4))</f>
        <v>0</v>
      </c>
      <c r="I22" s="248">
        <f>IF($T$4="",SUMIFS(ps!$N:$N,ps!$B:$B,喷水汇总表!$A22,ps!$G:$G,喷水汇总表!I$5,ps!$R:$R,喷水汇总表!$Y$4),SUMIFS(ps!$N:$N,ps!$B:$B,喷水汇总表!$A22,ps!$G:$G,喷水汇总表!I$5,ps!$I:$I,喷水汇总表!$T$4))</f>
        <v>0</v>
      </c>
      <c r="J22" s="248">
        <f>IF($T$4="",SUMIFS(ps!$N:$N,ps!$B:$B,喷水汇总表!$A22,ps!$G:$G,喷水汇总表!J$5,ps!$R:$R,喷水汇总表!$Y$4),SUMIFS(ps!$N:$N,ps!$B:$B,喷水汇总表!$A22,ps!$G:$G,喷水汇总表!J$5,ps!$I:$I,喷水汇总表!$T$4))</f>
        <v>0</v>
      </c>
      <c r="K22" s="248">
        <f>IF($T$4="",SUMIFS(ps!$N:$N,ps!$B:$B,喷水汇总表!$A22,ps!$G:$G,喷水汇总表!K$5,ps!$R:$R,喷水汇总表!$Y$4),SUMIFS(ps!$N:$N,ps!$B:$B,喷水汇总表!$A22,ps!$G:$G,喷水汇总表!K$5,ps!$I:$I,喷水汇总表!$T$4))</f>
        <v>0</v>
      </c>
      <c r="L22" s="248">
        <f>IF($T$4="",SUMIFS(ps!$N:$N,ps!$B:$B,喷水汇总表!$A22,ps!$G:$G,喷水汇总表!L$5,ps!$R:$R,喷水汇总表!$Y$4),SUMIFS(ps!$N:$N,ps!$B:$B,喷水汇总表!$A22,ps!$G:$G,喷水汇总表!L$5,ps!$I:$I,喷水汇总表!$T$4))</f>
        <v>0</v>
      </c>
      <c r="M22" s="248">
        <f>IF($T$4="",SUMIFS(ps!$N:$N,ps!$B:$B,喷水汇总表!$A22,ps!$G:$G,喷水汇总表!M$5,ps!$R:$R,喷水汇总表!$Y$4),SUMIFS(ps!$N:$N,ps!$B:$B,喷水汇总表!$A22,ps!$G:$G,喷水汇总表!M$5,ps!$I:$I,喷水汇总表!$T$4))</f>
        <v>0</v>
      </c>
      <c r="N22" s="248">
        <f>IF($T$4="",SUMIFS(ps!$N:$N,ps!$B:$B,喷水汇总表!$A22,ps!$G:$G,喷水汇总表!N$5,ps!$R:$R,喷水汇总表!$Y$4),SUMIFS(ps!$N:$N,ps!$B:$B,喷水汇总表!$A22,ps!$G:$G,喷水汇总表!N$5,ps!$I:$I,喷水汇总表!$T$4))</f>
        <v>0</v>
      </c>
      <c r="O22" s="248">
        <f>IF($T$4="",SUMIFS(ps!$L:$L,ps!$B:$B,喷水汇总表!$A22,ps!$J:$J,喷水汇总表!O$5,ps!$F:$F,喷水汇总表!$W$4,ps!$R:$R,喷水汇总表!$Y$4)+SUMIFS(ps!$M:$M,ps!$B:$B,喷水汇总表!$A22,ps!$K:$K,喷水汇总表!O$5,ps!$F:$F,喷水汇总表!$W$4,ps!$R:$R,喷水汇总表!$Y$4),SUMIFS(ps!$L:$L,ps!$B:$B,喷水汇总表!$A22,ps!$J:$J,喷水汇总表!O$5,ps!$F:$F,喷水汇总表!$W$4,ps!$I:$I,喷水汇总表!$T$4)+SUMIFS(ps!$M:$M,ps!$B:$B,喷水汇总表!$A22,ps!$K:$K,喷水汇总表!O$5,ps!$F:$F,喷水汇总表!$W$4,ps!$I:$I,喷水汇总表!$T$4))</f>
        <v>0</v>
      </c>
      <c r="P22" s="248">
        <f>IF($T$4="",SUMIFS(ps!$L:$L,ps!$B:$B,喷水汇总表!$A22,ps!$J:$J,喷水汇总表!P$5,ps!$F:$F,喷水汇总表!$W$4,ps!$R:$R,喷水汇总表!$Y$4)+SUMIFS(ps!$M:$M,ps!$B:$B,喷水汇总表!$A22,ps!$K:$K,喷水汇总表!P$5,ps!$F:$F,喷水汇总表!$W$4,ps!$R:$R,喷水汇总表!$Y$4),SUMIFS(ps!$L:$L,ps!$B:$B,喷水汇总表!$A22,ps!$J:$J,喷水汇总表!P$5,ps!$F:$F,喷水汇总表!$W$4,ps!$I:$I,喷水汇总表!$T$4)+SUMIFS(ps!$M:$M,ps!$B:$B,喷水汇总表!$A22,ps!$K:$K,喷水汇总表!P$5,ps!$F:$F,喷水汇总表!$W$4,ps!$I:$I,喷水汇总表!$T$4))</f>
        <v>0</v>
      </c>
      <c r="Q22" s="248">
        <f>IF($T$4="",SUMIFS(ps!$L:$L,ps!$B:$B,喷水汇总表!$A22,ps!$J:$J,喷水汇总表!Q$5,ps!$F:$F,喷水汇总表!$W$4,ps!$R:$R,喷水汇总表!$Y$4)+SUMIFS(ps!$M:$M,ps!$B:$B,喷水汇总表!$A22,ps!$K:$K,喷水汇总表!Q$5,ps!$F:$F,喷水汇总表!$W$4,ps!$R:$R,喷水汇总表!$Y$4),SUMIFS(ps!$L:$L,ps!$B:$B,喷水汇总表!$A22,ps!$J:$J,喷水汇总表!Q$5,ps!$F:$F,喷水汇总表!$W$4,ps!$I:$I,喷水汇总表!$T$4)+SUMIFS(ps!$M:$M,ps!$B:$B,喷水汇总表!$A22,ps!$K:$K,喷水汇总表!Q$5,ps!$F:$F,喷水汇总表!$W$4,ps!$I:$I,喷水汇总表!$T$4))</f>
        <v>0</v>
      </c>
      <c r="R22" s="248">
        <f>IF($T$4="",SUMIFS(ps!$L:$L,ps!$B:$B,喷水汇总表!$A22,ps!$J:$J,喷水汇总表!R$5,ps!$F:$F,喷水汇总表!$W$4,ps!$R:$R,喷水汇总表!$Y$4)+SUMIFS(ps!$M:$M,ps!$B:$B,喷水汇总表!$A22,ps!$K:$K,喷水汇总表!R$5,ps!$F:$F,喷水汇总表!$W$4,ps!$R:$R,喷水汇总表!$Y$4),SUMIFS(ps!$L:$L,ps!$B:$B,喷水汇总表!$A22,ps!$J:$J,喷水汇总表!R$5,ps!$F:$F,喷水汇总表!$W$4,ps!$I:$I,喷水汇总表!$T$4)+SUMIFS(ps!$M:$M,ps!$B:$B,喷水汇总表!$A22,ps!$K:$K,喷水汇总表!R$5,ps!$F:$F,喷水汇总表!$W$4,ps!$I:$I,喷水汇总表!$T$4))</f>
        <v>0</v>
      </c>
      <c r="S22" s="248">
        <f>IF($T$4="",SUMIFS(ps!$L:$L,ps!$B:$B,喷水汇总表!$A22,ps!$J:$J,喷水汇总表!S$5,ps!$F:$F,喷水汇总表!$W$4,ps!$R:$R,喷水汇总表!$Y$4)+SUMIFS(ps!$M:$M,ps!$B:$B,喷水汇总表!$A22,ps!$K:$K,喷水汇总表!S$5,ps!$F:$F,喷水汇总表!$W$4,ps!$R:$R,喷水汇总表!$Y$4),SUMIFS(ps!$L:$L,ps!$B:$B,喷水汇总表!$A22,ps!$J:$J,喷水汇总表!S$5,ps!$F:$F,喷水汇总表!$W$4,ps!$I:$I,喷水汇总表!$T$4)+SUMIFS(ps!$M:$M,ps!$B:$B,喷水汇总表!$A22,ps!$K:$K,喷水汇总表!S$5,ps!$F:$F,喷水汇总表!$W$4,ps!$I:$I,喷水汇总表!$T$4))</f>
        <v>0</v>
      </c>
      <c r="T22" s="248">
        <f>IF($T$4="",SUMIFS(ps!$L:$L,ps!$B:$B,喷水汇总表!$A22,ps!$J:$J,喷水汇总表!T$5,ps!$F:$F,喷水汇总表!$W$4,ps!$R:$R,喷水汇总表!$Y$4)+SUMIFS(ps!$M:$M,ps!$B:$B,喷水汇总表!$A22,ps!$K:$K,喷水汇总表!T$5,ps!$F:$F,喷水汇总表!$W$4,ps!$R:$R,喷水汇总表!$Y$4),SUMIFS(ps!$L:$L,ps!$B:$B,喷水汇总表!$A22,ps!$J:$J,喷水汇总表!T$5,ps!$F:$F,喷水汇总表!$W$4,ps!$I:$I,喷水汇总表!$T$4)+SUMIFS(ps!$M:$M,ps!$B:$B,喷水汇总表!$A22,ps!$K:$K,喷水汇总表!T$5,ps!$F:$F,喷水汇总表!$W$4,ps!$I:$I,喷水汇总表!$T$4))</f>
        <v>0</v>
      </c>
      <c r="U22" s="248">
        <f>IF($T$4="",SUMIFS(ps!$L:$L,ps!$B:$B,喷水汇总表!$A22,ps!$J:$J,喷水汇总表!U$5,ps!$F:$F,喷水汇总表!$W$4,ps!$R:$R,喷水汇总表!$Y$4)+SUMIFS(ps!$M:$M,ps!$B:$B,喷水汇总表!$A22,ps!$K:$K,喷水汇总表!U$5,ps!$F:$F,喷水汇总表!$W$4,ps!$R:$R,喷水汇总表!$Y$4),SUMIFS(ps!$L:$L,ps!$B:$B,喷水汇总表!$A22,ps!$J:$J,喷水汇总表!U$5,ps!$F:$F,喷水汇总表!$W$4,ps!$I:$I,喷水汇总表!$T$4)+SUMIFS(ps!$M:$M,ps!$B:$B,喷水汇总表!$A22,ps!$K:$K,喷水汇总表!U$5,ps!$F:$F,喷水汇总表!$W$4,ps!$I:$I,喷水汇总表!$T$4))</f>
        <v>0</v>
      </c>
      <c r="V22" s="248">
        <f>IF($T$4="",SUMIFS(ps!$L:$L,ps!$B:$B,喷水汇总表!$A22,ps!$J:$J,喷水汇总表!V$5,ps!$F:$F,喷水汇总表!$W$4,ps!$R:$R,喷水汇总表!$Y$4)+SUMIFS(ps!$M:$M,ps!$B:$B,喷水汇总表!$A22,ps!$K:$K,喷水汇总表!V$5,ps!$F:$F,喷水汇总表!$W$4,ps!$R:$R,喷水汇总表!$Y$4),SUMIFS(ps!$L:$L,ps!$B:$B,喷水汇总表!$A22,ps!$J:$J,喷水汇总表!V$5,ps!$F:$F,喷水汇总表!$W$4,ps!$I:$I,喷水汇总表!$T$4)+SUMIFS(ps!$M:$M,ps!$B:$B,喷水汇总表!$A22,ps!$K:$K,喷水汇总表!V$5,ps!$F:$F,喷水汇总表!$W$4,ps!$I:$I,喷水汇总表!$T$4))</f>
        <v>0</v>
      </c>
      <c r="W22" s="248">
        <f>IF($T$4="",SUMIFS(ps!$L:$L,ps!$B:$B,喷水汇总表!$A22,ps!$J:$J,喷水汇总表!W$5,ps!$F:$F,喷水汇总表!$W$4,ps!$R:$R,喷水汇总表!$Y$4)+SUMIFS(ps!$M:$M,ps!$B:$B,喷水汇总表!$A22,ps!$K:$K,喷水汇总表!W$5,ps!$F:$F,喷水汇总表!$W$4,ps!$R:$R,喷水汇总表!$Y$4),SUMIFS(ps!$L:$L,ps!$B:$B,喷水汇总表!$A22,ps!$J:$J,喷水汇总表!W$5,ps!$F:$F,喷水汇总表!$W$4,ps!$I:$I,喷水汇总表!$T$4)+SUMIFS(ps!$M:$M,ps!$B:$B,喷水汇总表!$A22,ps!$K:$K,喷水汇总表!W$5,ps!$F:$F,喷水汇总表!$W$4,ps!$I:$I,喷水汇总表!$T$4))</f>
        <v>0</v>
      </c>
      <c r="X22" s="15">
        <f t="shared" si="1"/>
        <v>6345</v>
      </c>
      <c r="Y22" s="18">
        <f>SUMIFS(ps!$N:$N,ps!$B:$B,喷水汇总表!$A22,ps!$I:$I,喷水汇总表!$X$4&amp;"/"&amp;喷水汇总表!$Y$4&amp;"/"&amp;喷水汇总表!Y$5)</f>
        <v>0</v>
      </c>
      <c r="Z22" s="18">
        <f>SUMIFS(ps!$N:$N,ps!$B:$B,喷水汇总表!$A22,ps!$I:$I,喷水汇总表!$X$4&amp;"/"&amp;喷水汇总表!$Y$4&amp;"/"&amp;喷水汇总表!Z$5)</f>
        <v>6345</v>
      </c>
      <c r="AA22" s="18">
        <f>SUMIFS(ps!$N:$N,ps!$B:$B,喷水汇总表!$A22,ps!$I:$I,喷水汇总表!$X$4&amp;"/"&amp;喷水汇总表!$Y$4&amp;"/"&amp;喷水汇总表!AA$5)</f>
        <v>0</v>
      </c>
      <c r="AB22" s="18">
        <f>SUMIFS(ps!$N:$N,ps!$B:$B,喷水汇总表!$A22,ps!$I:$I,喷水汇总表!$X$4&amp;"/"&amp;喷水汇总表!$Y$4&amp;"/"&amp;喷水汇总表!AB$5)</f>
        <v>0</v>
      </c>
      <c r="AC22" s="18">
        <f>SUMIFS(ps!$N:$N,ps!$B:$B,喷水汇总表!$A22,ps!$I:$I,喷水汇总表!$X$4&amp;"/"&amp;喷水汇总表!$Y$4&amp;"/"&amp;喷水汇总表!AC$5)</f>
        <v>0</v>
      </c>
      <c r="AD22" s="18">
        <f>SUMIFS(ps!$N:$N,ps!$B:$B,喷水汇总表!$A22,ps!$I:$I,喷水汇总表!$X$4&amp;"/"&amp;喷水汇总表!$Y$4&amp;"/"&amp;喷水汇总表!AD$5)</f>
        <v>0</v>
      </c>
      <c r="AE22" s="18">
        <f>SUMIFS(ps!$N:$N,ps!$B:$B,喷水汇总表!$A22,ps!$I:$I,喷水汇总表!$X$4&amp;"/"&amp;喷水汇总表!$Y$4&amp;"/"&amp;喷水汇总表!AE$5)</f>
        <v>0</v>
      </c>
      <c r="AF22" s="18">
        <f>SUMIFS(ps!$N:$N,ps!$B:$B,喷水汇总表!$A22,ps!$I:$I,喷水汇总表!$X$4&amp;"/"&amp;喷水汇总表!$Y$4&amp;"/"&amp;喷水汇总表!AF$5)</f>
        <v>0</v>
      </c>
      <c r="AG22" s="18">
        <f>SUMIFS(ps!$N:$N,ps!$B:$B,喷水汇总表!$A22,ps!$I:$I,喷水汇总表!$X$4&amp;"/"&amp;喷水汇总表!$Y$4&amp;"/"&amp;喷水汇总表!AG$5)</f>
        <v>0</v>
      </c>
      <c r="AH22" s="18">
        <f>SUMIFS(ps!$N:$N,ps!$B:$B,喷水汇总表!$A22,ps!$I:$I,喷水汇总表!$X$4&amp;"/"&amp;喷水汇总表!$Y$4&amp;"/"&amp;喷水汇总表!AH$5)</f>
        <v>0</v>
      </c>
      <c r="AI22" s="18">
        <f>SUMIFS(ps!$N:$N,ps!$B:$B,喷水汇总表!$A22,ps!$I:$I,喷水汇总表!$X$4&amp;"/"&amp;喷水汇总表!$Y$4&amp;"/"&amp;喷水汇总表!AI$5)</f>
        <v>0</v>
      </c>
      <c r="AJ22" s="18">
        <f>SUMIFS(ps!$N:$N,ps!$B:$B,喷水汇总表!$A22,ps!$I:$I,喷水汇总表!$X$4&amp;"/"&amp;喷水汇总表!$Y$4&amp;"/"&amp;喷水汇总表!AJ$5)</f>
        <v>0</v>
      </c>
      <c r="AK22" s="18">
        <f>SUMIFS(ps!$N:$N,ps!$B:$B,喷水汇总表!$A22,ps!$I:$I,喷水汇总表!$X$4&amp;"/"&amp;喷水汇总表!$Y$4&amp;"/"&amp;喷水汇总表!AK$5)</f>
        <v>0</v>
      </c>
      <c r="AL22" s="18">
        <f>SUMIFS(ps!$N:$N,ps!$B:$B,喷水汇总表!$A22,ps!$I:$I,喷水汇总表!$X$4&amp;"/"&amp;喷水汇总表!$Y$4&amp;"/"&amp;喷水汇总表!AL$5)</f>
        <v>0</v>
      </c>
      <c r="AM22" s="18">
        <f>SUMIFS(ps!$N:$N,ps!$B:$B,喷水汇总表!$A22,ps!$I:$I,喷水汇总表!$X$4&amp;"/"&amp;喷水汇总表!$Y$4&amp;"/"&amp;喷水汇总表!AM$5)</f>
        <v>0</v>
      </c>
      <c r="AN22" s="18">
        <f>SUMIFS(ps!$N:$N,ps!$B:$B,喷水汇总表!$A22,ps!$I:$I,喷水汇总表!$X$4&amp;"/"&amp;喷水汇总表!$Y$4&amp;"/"&amp;喷水汇总表!AN$5)</f>
        <v>0</v>
      </c>
      <c r="AO22" s="18">
        <f>SUMIFS(ps!$N:$N,ps!$B:$B,喷水汇总表!$A22,ps!$I:$I,喷水汇总表!$X$4&amp;"/"&amp;喷水汇总表!$Y$4&amp;"/"&amp;喷水汇总表!AO$5)</f>
        <v>0</v>
      </c>
      <c r="AP22" s="18">
        <f>SUMIFS(ps!$N:$N,ps!$B:$B,喷水汇总表!$A22,ps!$I:$I,喷水汇总表!$X$4&amp;"/"&amp;喷水汇总表!$Y$4&amp;"/"&amp;喷水汇总表!AP$5)</f>
        <v>0</v>
      </c>
      <c r="AQ22" s="18">
        <f>SUMIFS(ps!$N:$N,ps!$B:$B,喷水汇总表!$A22,ps!$I:$I,喷水汇总表!$X$4&amp;"/"&amp;喷水汇总表!$Y$4&amp;"/"&amp;喷水汇总表!AQ$5)</f>
        <v>0</v>
      </c>
      <c r="AR22" s="18">
        <f>SUMIFS(ps!$N:$N,ps!$B:$B,喷水汇总表!$A22,ps!$I:$I,喷水汇总表!$X$4&amp;"/"&amp;喷水汇总表!$Y$4&amp;"/"&amp;喷水汇总表!AR$5)</f>
        <v>0</v>
      </c>
      <c r="AS22" s="18">
        <f>SUMIFS(ps!$N:$N,ps!$B:$B,喷水汇总表!$A22,ps!$I:$I,喷水汇总表!$X$4&amp;"/"&amp;喷水汇总表!$Y$4&amp;"/"&amp;喷水汇总表!AS$5)</f>
        <v>0</v>
      </c>
      <c r="AT22" s="18">
        <f>SUMIFS(ps!$N:$N,ps!$B:$B,喷水汇总表!$A22,ps!$I:$I,喷水汇总表!$X$4&amp;"/"&amp;喷水汇总表!$Y$4&amp;"/"&amp;喷水汇总表!AT$5)</f>
        <v>0</v>
      </c>
      <c r="AU22" s="18">
        <f>SUMIFS(ps!$N:$N,ps!$B:$B,喷水汇总表!$A22,ps!$I:$I,喷水汇总表!$X$4&amp;"/"&amp;喷水汇总表!$Y$4&amp;"/"&amp;喷水汇总表!AU$5)</f>
        <v>0</v>
      </c>
      <c r="AV22" s="18">
        <f>SUMIFS(ps!$N:$N,ps!$B:$B,喷水汇总表!$A22,ps!$I:$I,喷水汇总表!$X$4&amp;"/"&amp;喷水汇总表!$Y$4&amp;"/"&amp;喷水汇总表!AV$5)</f>
        <v>0</v>
      </c>
      <c r="AW22" s="18">
        <f>SUMIFS(ps!$N:$N,ps!$B:$B,喷水汇总表!$A22,ps!$I:$I,喷水汇总表!$X$4&amp;"/"&amp;喷水汇总表!$Y$4&amp;"/"&amp;喷水汇总表!AW$5)</f>
        <v>0</v>
      </c>
      <c r="AX22" s="18">
        <f>SUMIFS(ps!$N:$N,ps!$B:$B,喷水汇总表!$A22,ps!$I:$I,喷水汇总表!$X$4&amp;"/"&amp;喷水汇总表!$Y$4&amp;"/"&amp;喷水汇总表!AX$5)</f>
        <v>0</v>
      </c>
      <c r="AY22" s="18">
        <f>SUMIFS(ps!$N:$N,ps!$B:$B,喷水汇总表!$A22,ps!$I:$I,喷水汇总表!$X$4&amp;"/"&amp;喷水汇总表!$Y$4&amp;"/"&amp;喷水汇总表!AY$5)</f>
        <v>0</v>
      </c>
      <c r="AZ22" s="18">
        <f>SUMIFS(ps!$N:$N,ps!$B:$B,喷水汇总表!$A22,ps!$I:$I,喷水汇总表!$X$4&amp;"/"&amp;喷水汇总表!$Y$4&amp;"/"&amp;喷水汇总表!AZ$5)</f>
        <v>0</v>
      </c>
      <c r="BA22" s="18">
        <f>SUMIFS(ps!$N:$N,ps!$B:$B,喷水汇总表!$A22,ps!$I:$I,喷水汇总表!$X$4&amp;"/"&amp;喷水汇总表!$Y$4&amp;"/"&amp;喷水汇总表!BA$5)</f>
        <v>0</v>
      </c>
      <c r="BB22" s="18">
        <f>SUMIFS(ps!$N:$N,ps!$B:$B,喷水汇总表!$A22,ps!$I:$I,喷水汇总表!$X$4&amp;"/"&amp;喷水汇总表!$Y$4&amp;"/"&amp;喷水汇总表!BB$5)</f>
        <v>0</v>
      </c>
      <c r="BC22" s="18">
        <f>SUMIFS(ps!$N:$N,ps!$B:$B,喷水汇总表!$A22,ps!$I:$I,喷水汇总表!$X$4&amp;"/"&amp;喷水汇总表!$Y$4&amp;"/"&amp;喷水汇总表!BC$5)</f>
        <v>0</v>
      </c>
    </row>
    <row r="23" spans="1:58" ht="18" customHeight="1">
      <c r="A23" s="96" t="s">
        <v>1118</v>
      </c>
      <c r="B23" s="176" t="str">
        <f>IF(A23="","",VLOOKUP(A23,经纬!B:C,2,FALSE))</f>
        <v>50*75</v>
      </c>
      <c r="C23" s="176" t="str">
        <f t="shared" si="0"/>
        <v>190</v>
      </c>
      <c r="D23" s="176">
        <f>IF(A23="","",VLOOKUP(A23,经纬!B:G,6,FALSE))</f>
        <v>44</v>
      </c>
      <c r="E23" s="44">
        <f>IF($T$4="",SUMIFS(ps!$N:$N,ps!$B:$B,喷水汇总表!$A23,ps!$H:$H,喷水汇总表!E$5,ps!$R:$R,喷水汇总表!$Y$4),SUMIFS(ps!$N:$N,ps!$B:$B,喷水汇总表!$A23,ps!$H:$H,喷水汇总表!E$5,ps!$I:$I,喷水汇总表!$T$4))</f>
        <v>0</v>
      </c>
      <c r="F23" s="44">
        <f>IF($T$4="",SUMIFS(ps!$N:$N,ps!$B:$B,喷水汇总表!$A23,ps!$H:$H,喷水汇总表!F$5,ps!$R:$R,喷水汇总表!$Y$4),SUMIFS(ps!$N:$N,ps!$B:$B,喷水汇总表!$A23,ps!$H:$H,喷水汇总表!F$5,ps!$I:$I,喷水汇总表!$T$4))</f>
        <v>0</v>
      </c>
      <c r="G23" s="44">
        <f>IF($T$4="",SUMIFS(ps!$N:$N,ps!$B:$B,喷水汇总表!$A23,ps!$H:$H,喷水汇总表!G$5,ps!$R:$R,喷水汇总表!$Y$4),SUMIFS(ps!$N:$N,ps!$B:$B,喷水汇总表!$A23,ps!$H:$H,喷水汇总表!G$5,ps!$I:$I,喷水汇总表!$T$4))</f>
        <v>0</v>
      </c>
      <c r="H23" s="248">
        <f>IF($T$4="",SUMIFS(ps!$N:$N,ps!$B:$B,喷水汇总表!$A23,ps!$G:$G,喷水汇总表!H$5,ps!$R:$R,喷水汇总表!$Y$4),SUMIFS(ps!$N:$N,ps!$B:$B,喷水汇总表!$A23,ps!$G:$G,喷水汇总表!H$5,ps!$I:$I,喷水汇总表!$T$4))</f>
        <v>0</v>
      </c>
      <c r="I23" s="248">
        <f>IF($T$4="",SUMIFS(ps!$N:$N,ps!$B:$B,喷水汇总表!$A23,ps!$G:$G,喷水汇总表!I$5,ps!$R:$R,喷水汇总表!$Y$4),SUMIFS(ps!$N:$N,ps!$B:$B,喷水汇总表!$A23,ps!$G:$G,喷水汇总表!I$5,ps!$I:$I,喷水汇总表!$T$4))</f>
        <v>0</v>
      </c>
      <c r="J23" s="248">
        <f>IF($T$4="",SUMIFS(ps!$N:$N,ps!$B:$B,喷水汇总表!$A23,ps!$G:$G,喷水汇总表!J$5,ps!$R:$R,喷水汇总表!$Y$4),SUMIFS(ps!$N:$N,ps!$B:$B,喷水汇总表!$A23,ps!$G:$G,喷水汇总表!J$5,ps!$I:$I,喷水汇总表!$T$4))</f>
        <v>0</v>
      </c>
      <c r="K23" s="248">
        <f>IF($T$4="",SUMIFS(ps!$N:$N,ps!$B:$B,喷水汇总表!$A23,ps!$G:$G,喷水汇总表!K$5,ps!$R:$R,喷水汇总表!$Y$4),SUMIFS(ps!$N:$N,ps!$B:$B,喷水汇总表!$A23,ps!$G:$G,喷水汇总表!K$5,ps!$I:$I,喷水汇总表!$T$4))</f>
        <v>0</v>
      </c>
      <c r="L23" s="248">
        <f>IF($T$4="",SUMIFS(ps!$N:$N,ps!$B:$B,喷水汇总表!$A23,ps!$G:$G,喷水汇总表!L$5,ps!$R:$R,喷水汇总表!$Y$4),SUMIFS(ps!$N:$N,ps!$B:$B,喷水汇总表!$A23,ps!$G:$G,喷水汇总表!L$5,ps!$I:$I,喷水汇总表!$T$4))</f>
        <v>0</v>
      </c>
      <c r="M23" s="248">
        <f>IF($T$4="",SUMIFS(ps!$N:$N,ps!$B:$B,喷水汇总表!$A23,ps!$G:$G,喷水汇总表!M$5,ps!$R:$R,喷水汇总表!$Y$4),SUMIFS(ps!$N:$N,ps!$B:$B,喷水汇总表!$A23,ps!$G:$G,喷水汇总表!M$5,ps!$I:$I,喷水汇总表!$T$4))</f>
        <v>0</v>
      </c>
      <c r="N23" s="248">
        <f>IF($T$4="",SUMIFS(ps!$N:$N,ps!$B:$B,喷水汇总表!$A23,ps!$G:$G,喷水汇总表!N$5,ps!$R:$R,喷水汇总表!$Y$4),SUMIFS(ps!$N:$N,ps!$B:$B,喷水汇总表!$A23,ps!$G:$G,喷水汇总表!N$5,ps!$I:$I,喷水汇总表!$T$4))</f>
        <v>0</v>
      </c>
      <c r="O23" s="248">
        <f>IF($T$4="",SUMIFS(ps!$L:$L,ps!$B:$B,喷水汇总表!$A23,ps!$J:$J,喷水汇总表!O$5,ps!$F:$F,喷水汇总表!$W$4,ps!$R:$R,喷水汇总表!$Y$4)+SUMIFS(ps!$M:$M,ps!$B:$B,喷水汇总表!$A23,ps!$K:$K,喷水汇总表!O$5,ps!$F:$F,喷水汇总表!$W$4,ps!$R:$R,喷水汇总表!$Y$4),SUMIFS(ps!$L:$L,ps!$B:$B,喷水汇总表!$A23,ps!$J:$J,喷水汇总表!O$5,ps!$F:$F,喷水汇总表!$W$4,ps!$I:$I,喷水汇总表!$T$4)+SUMIFS(ps!$M:$M,ps!$B:$B,喷水汇总表!$A23,ps!$K:$K,喷水汇总表!O$5,ps!$F:$F,喷水汇总表!$W$4,ps!$I:$I,喷水汇总表!$T$4))</f>
        <v>0</v>
      </c>
      <c r="P23" s="248">
        <f>IF($T$4="",SUMIFS(ps!$L:$L,ps!$B:$B,喷水汇总表!$A23,ps!$J:$J,喷水汇总表!P$5,ps!$F:$F,喷水汇总表!$W$4,ps!$R:$R,喷水汇总表!$Y$4)+SUMIFS(ps!$M:$M,ps!$B:$B,喷水汇总表!$A23,ps!$K:$K,喷水汇总表!P$5,ps!$F:$F,喷水汇总表!$W$4,ps!$R:$R,喷水汇总表!$Y$4),SUMIFS(ps!$L:$L,ps!$B:$B,喷水汇总表!$A23,ps!$J:$J,喷水汇总表!P$5,ps!$F:$F,喷水汇总表!$W$4,ps!$I:$I,喷水汇总表!$T$4)+SUMIFS(ps!$M:$M,ps!$B:$B,喷水汇总表!$A23,ps!$K:$K,喷水汇总表!P$5,ps!$F:$F,喷水汇总表!$W$4,ps!$I:$I,喷水汇总表!$T$4))</f>
        <v>0</v>
      </c>
      <c r="Q23" s="248">
        <f>IF($T$4="",SUMIFS(ps!$L:$L,ps!$B:$B,喷水汇总表!$A23,ps!$J:$J,喷水汇总表!Q$5,ps!$F:$F,喷水汇总表!$W$4,ps!$R:$R,喷水汇总表!$Y$4)+SUMIFS(ps!$M:$M,ps!$B:$B,喷水汇总表!$A23,ps!$K:$K,喷水汇总表!Q$5,ps!$F:$F,喷水汇总表!$W$4,ps!$R:$R,喷水汇总表!$Y$4),SUMIFS(ps!$L:$L,ps!$B:$B,喷水汇总表!$A23,ps!$J:$J,喷水汇总表!Q$5,ps!$F:$F,喷水汇总表!$W$4,ps!$I:$I,喷水汇总表!$T$4)+SUMIFS(ps!$M:$M,ps!$B:$B,喷水汇总表!$A23,ps!$K:$K,喷水汇总表!Q$5,ps!$F:$F,喷水汇总表!$W$4,ps!$I:$I,喷水汇总表!$T$4))</f>
        <v>0</v>
      </c>
      <c r="R23" s="248">
        <f>IF($T$4="",SUMIFS(ps!$L:$L,ps!$B:$B,喷水汇总表!$A23,ps!$J:$J,喷水汇总表!R$5,ps!$F:$F,喷水汇总表!$W$4,ps!$R:$R,喷水汇总表!$Y$4)+SUMIFS(ps!$M:$M,ps!$B:$B,喷水汇总表!$A23,ps!$K:$K,喷水汇总表!R$5,ps!$F:$F,喷水汇总表!$W$4,ps!$R:$R,喷水汇总表!$Y$4),SUMIFS(ps!$L:$L,ps!$B:$B,喷水汇总表!$A23,ps!$J:$J,喷水汇总表!R$5,ps!$F:$F,喷水汇总表!$W$4,ps!$I:$I,喷水汇总表!$T$4)+SUMIFS(ps!$M:$M,ps!$B:$B,喷水汇总表!$A23,ps!$K:$K,喷水汇总表!R$5,ps!$F:$F,喷水汇总表!$W$4,ps!$I:$I,喷水汇总表!$T$4))</f>
        <v>0</v>
      </c>
      <c r="S23" s="248">
        <f>IF($T$4="",SUMIFS(ps!$L:$L,ps!$B:$B,喷水汇总表!$A23,ps!$J:$J,喷水汇总表!S$5,ps!$F:$F,喷水汇总表!$W$4,ps!$R:$R,喷水汇总表!$Y$4)+SUMIFS(ps!$M:$M,ps!$B:$B,喷水汇总表!$A23,ps!$K:$K,喷水汇总表!S$5,ps!$F:$F,喷水汇总表!$W$4,ps!$R:$R,喷水汇总表!$Y$4),SUMIFS(ps!$L:$L,ps!$B:$B,喷水汇总表!$A23,ps!$J:$J,喷水汇总表!S$5,ps!$F:$F,喷水汇总表!$W$4,ps!$I:$I,喷水汇总表!$T$4)+SUMIFS(ps!$M:$M,ps!$B:$B,喷水汇总表!$A23,ps!$K:$K,喷水汇总表!S$5,ps!$F:$F,喷水汇总表!$W$4,ps!$I:$I,喷水汇总表!$T$4))</f>
        <v>0</v>
      </c>
      <c r="T23" s="248">
        <f>IF($T$4="",SUMIFS(ps!$L:$L,ps!$B:$B,喷水汇总表!$A23,ps!$J:$J,喷水汇总表!T$5,ps!$F:$F,喷水汇总表!$W$4,ps!$R:$R,喷水汇总表!$Y$4)+SUMIFS(ps!$M:$M,ps!$B:$B,喷水汇总表!$A23,ps!$K:$K,喷水汇总表!T$5,ps!$F:$F,喷水汇总表!$W$4,ps!$R:$R,喷水汇总表!$Y$4),SUMIFS(ps!$L:$L,ps!$B:$B,喷水汇总表!$A23,ps!$J:$J,喷水汇总表!T$5,ps!$F:$F,喷水汇总表!$W$4,ps!$I:$I,喷水汇总表!$T$4)+SUMIFS(ps!$M:$M,ps!$B:$B,喷水汇总表!$A23,ps!$K:$K,喷水汇总表!T$5,ps!$F:$F,喷水汇总表!$W$4,ps!$I:$I,喷水汇总表!$T$4))</f>
        <v>0</v>
      </c>
      <c r="U23" s="248">
        <f>IF($T$4="",SUMIFS(ps!$L:$L,ps!$B:$B,喷水汇总表!$A23,ps!$J:$J,喷水汇总表!U$5,ps!$F:$F,喷水汇总表!$W$4,ps!$R:$R,喷水汇总表!$Y$4)+SUMIFS(ps!$M:$M,ps!$B:$B,喷水汇总表!$A23,ps!$K:$K,喷水汇总表!U$5,ps!$F:$F,喷水汇总表!$W$4,ps!$R:$R,喷水汇总表!$Y$4),SUMIFS(ps!$L:$L,ps!$B:$B,喷水汇总表!$A23,ps!$J:$J,喷水汇总表!U$5,ps!$F:$F,喷水汇总表!$W$4,ps!$I:$I,喷水汇总表!$T$4)+SUMIFS(ps!$M:$M,ps!$B:$B,喷水汇总表!$A23,ps!$K:$K,喷水汇总表!U$5,ps!$F:$F,喷水汇总表!$W$4,ps!$I:$I,喷水汇总表!$T$4))</f>
        <v>0</v>
      </c>
      <c r="V23" s="248">
        <f>IF($T$4="",SUMIFS(ps!$L:$L,ps!$B:$B,喷水汇总表!$A23,ps!$J:$J,喷水汇总表!V$5,ps!$F:$F,喷水汇总表!$W$4,ps!$R:$R,喷水汇总表!$Y$4)+SUMIFS(ps!$M:$M,ps!$B:$B,喷水汇总表!$A23,ps!$K:$K,喷水汇总表!V$5,ps!$F:$F,喷水汇总表!$W$4,ps!$R:$R,喷水汇总表!$Y$4),SUMIFS(ps!$L:$L,ps!$B:$B,喷水汇总表!$A23,ps!$J:$J,喷水汇总表!V$5,ps!$F:$F,喷水汇总表!$W$4,ps!$I:$I,喷水汇总表!$T$4)+SUMIFS(ps!$M:$M,ps!$B:$B,喷水汇总表!$A23,ps!$K:$K,喷水汇总表!V$5,ps!$F:$F,喷水汇总表!$W$4,ps!$I:$I,喷水汇总表!$T$4))</f>
        <v>0</v>
      </c>
      <c r="W23" s="248">
        <f>IF($T$4="",SUMIFS(ps!$L:$L,ps!$B:$B,喷水汇总表!$A23,ps!$J:$J,喷水汇总表!W$5,ps!$F:$F,喷水汇总表!$W$4,ps!$R:$R,喷水汇总表!$Y$4)+SUMIFS(ps!$M:$M,ps!$B:$B,喷水汇总表!$A23,ps!$K:$K,喷水汇总表!W$5,ps!$F:$F,喷水汇总表!$W$4,ps!$R:$R,喷水汇总表!$Y$4),SUMIFS(ps!$L:$L,ps!$B:$B,喷水汇总表!$A23,ps!$J:$J,喷水汇总表!W$5,ps!$F:$F,喷水汇总表!$W$4,ps!$I:$I,喷水汇总表!$T$4)+SUMIFS(ps!$M:$M,ps!$B:$B,喷水汇总表!$A23,ps!$K:$K,喷水汇总表!W$5,ps!$F:$F,喷水汇总表!$W$4,ps!$I:$I,喷水汇总表!$T$4))</f>
        <v>0</v>
      </c>
      <c r="X23" s="15">
        <f t="shared" si="1"/>
        <v>638</v>
      </c>
      <c r="Y23" s="18">
        <f>SUMIFS(ps!$N:$N,ps!$B:$B,喷水汇总表!$A23,ps!$I:$I,喷水汇总表!$X$4&amp;"/"&amp;喷水汇总表!$Y$4&amp;"/"&amp;喷水汇总表!Y$5)</f>
        <v>0</v>
      </c>
      <c r="Z23" s="18">
        <f>SUMIFS(ps!$N:$N,ps!$B:$B,喷水汇总表!$A23,ps!$I:$I,喷水汇总表!$X$4&amp;"/"&amp;喷水汇总表!$Y$4&amp;"/"&amp;喷水汇总表!Z$5)</f>
        <v>0</v>
      </c>
      <c r="AA23" s="18">
        <f>SUMIFS(ps!$N:$N,ps!$B:$B,喷水汇总表!$A23,ps!$I:$I,喷水汇总表!$X$4&amp;"/"&amp;喷水汇总表!$Y$4&amp;"/"&amp;喷水汇总表!AA$5)</f>
        <v>0</v>
      </c>
      <c r="AB23" s="18">
        <f>SUMIFS(ps!$N:$N,ps!$B:$B,喷水汇总表!$A23,ps!$I:$I,喷水汇总表!$X$4&amp;"/"&amp;喷水汇总表!$Y$4&amp;"/"&amp;喷水汇总表!AB$5)</f>
        <v>638</v>
      </c>
      <c r="AC23" s="18">
        <f>SUMIFS(ps!$N:$N,ps!$B:$B,喷水汇总表!$A23,ps!$I:$I,喷水汇总表!$X$4&amp;"/"&amp;喷水汇总表!$Y$4&amp;"/"&amp;喷水汇总表!AC$5)</f>
        <v>0</v>
      </c>
      <c r="AD23" s="18">
        <f>SUMIFS(ps!$N:$N,ps!$B:$B,喷水汇总表!$A23,ps!$I:$I,喷水汇总表!$X$4&amp;"/"&amp;喷水汇总表!$Y$4&amp;"/"&amp;喷水汇总表!AD$5)</f>
        <v>0</v>
      </c>
      <c r="AE23" s="18">
        <f>SUMIFS(ps!$N:$N,ps!$B:$B,喷水汇总表!$A23,ps!$I:$I,喷水汇总表!$X$4&amp;"/"&amp;喷水汇总表!$Y$4&amp;"/"&amp;喷水汇总表!AE$5)</f>
        <v>0</v>
      </c>
      <c r="AF23" s="18">
        <f>SUMIFS(ps!$N:$N,ps!$B:$B,喷水汇总表!$A23,ps!$I:$I,喷水汇总表!$X$4&amp;"/"&amp;喷水汇总表!$Y$4&amp;"/"&amp;喷水汇总表!AF$5)</f>
        <v>0</v>
      </c>
      <c r="AG23" s="18">
        <f>SUMIFS(ps!$N:$N,ps!$B:$B,喷水汇总表!$A23,ps!$I:$I,喷水汇总表!$X$4&amp;"/"&amp;喷水汇总表!$Y$4&amp;"/"&amp;喷水汇总表!AG$5)</f>
        <v>0</v>
      </c>
      <c r="AH23" s="18">
        <f>SUMIFS(ps!$N:$N,ps!$B:$B,喷水汇总表!$A23,ps!$I:$I,喷水汇总表!$X$4&amp;"/"&amp;喷水汇总表!$Y$4&amp;"/"&amp;喷水汇总表!AH$5)</f>
        <v>0</v>
      </c>
      <c r="AI23" s="18">
        <f>SUMIFS(ps!$N:$N,ps!$B:$B,喷水汇总表!$A23,ps!$I:$I,喷水汇总表!$X$4&amp;"/"&amp;喷水汇总表!$Y$4&amp;"/"&amp;喷水汇总表!AI$5)</f>
        <v>0</v>
      </c>
      <c r="AJ23" s="18">
        <f>SUMIFS(ps!$N:$N,ps!$B:$B,喷水汇总表!$A23,ps!$I:$I,喷水汇总表!$X$4&amp;"/"&amp;喷水汇总表!$Y$4&amp;"/"&amp;喷水汇总表!AJ$5)</f>
        <v>0</v>
      </c>
      <c r="AK23" s="18">
        <f>SUMIFS(ps!$N:$N,ps!$B:$B,喷水汇总表!$A23,ps!$I:$I,喷水汇总表!$X$4&amp;"/"&amp;喷水汇总表!$Y$4&amp;"/"&amp;喷水汇总表!AK$5)</f>
        <v>0</v>
      </c>
      <c r="AL23" s="18">
        <f>SUMIFS(ps!$N:$N,ps!$B:$B,喷水汇总表!$A23,ps!$I:$I,喷水汇总表!$X$4&amp;"/"&amp;喷水汇总表!$Y$4&amp;"/"&amp;喷水汇总表!AL$5)</f>
        <v>0</v>
      </c>
      <c r="AM23" s="18">
        <f>SUMIFS(ps!$N:$N,ps!$B:$B,喷水汇总表!$A23,ps!$I:$I,喷水汇总表!$X$4&amp;"/"&amp;喷水汇总表!$Y$4&amp;"/"&amp;喷水汇总表!AM$5)</f>
        <v>0</v>
      </c>
      <c r="AN23" s="18">
        <f>SUMIFS(ps!$N:$N,ps!$B:$B,喷水汇总表!$A23,ps!$I:$I,喷水汇总表!$X$4&amp;"/"&amp;喷水汇总表!$Y$4&amp;"/"&amp;喷水汇总表!AN$5)</f>
        <v>0</v>
      </c>
      <c r="AO23" s="18">
        <f>SUMIFS(ps!$N:$N,ps!$B:$B,喷水汇总表!$A23,ps!$I:$I,喷水汇总表!$X$4&amp;"/"&amp;喷水汇总表!$Y$4&amp;"/"&amp;喷水汇总表!AO$5)</f>
        <v>0</v>
      </c>
      <c r="AP23" s="18">
        <f>SUMIFS(ps!$N:$N,ps!$B:$B,喷水汇总表!$A23,ps!$I:$I,喷水汇总表!$X$4&amp;"/"&amp;喷水汇总表!$Y$4&amp;"/"&amp;喷水汇总表!AP$5)</f>
        <v>0</v>
      </c>
      <c r="AQ23" s="18">
        <f>SUMIFS(ps!$N:$N,ps!$B:$B,喷水汇总表!$A23,ps!$I:$I,喷水汇总表!$X$4&amp;"/"&amp;喷水汇总表!$Y$4&amp;"/"&amp;喷水汇总表!AQ$5)</f>
        <v>0</v>
      </c>
      <c r="AR23" s="18">
        <f>SUMIFS(ps!$N:$N,ps!$B:$B,喷水汇总表!$A23,ps!$I:$I,喷水汇总表!$X$4&amp;"/"&amp;喷水汇总表!$Y$4&amp;"/"&amp;喷水汇总表!AR$5)</f>
        <v>0</v>
      </c>
      <c r="AS23" s="18">
        <f>SUMIFS(ps!$N:$N,ps!$B:$B,喷水汇总表!$A23,ps!$I:$I,喷水汇总表!$X$4&amp;"/"&amp;喷水汇总表!$Y$4&amp;"/"&amp;喷水汇总表!AS$5)</f>
        <v>0</v>
      </c>
      <c r="AT23" s="18">
        <f>SUMIFS(ps!$N:$N,ps!$B:$B,喷水汇总表!$A23,ps!$I:$I,喷水汇总表!$X$4&amp;"/"&amp;喷水汇总表!$Y$4&amp;"/"&amp;喷水汇总表!AT$5)</f>
        <v>0</v>
      </c>
      <c r="AU23" s="18">
        <f>SUMIFS(ps!$N:$N,ps!$B:$B,喷水汇总表!$A23,ps!$I:$I,喷水汇总表!$X$4&amp;"/"&amp;喷水汇总表!$Y$4&amp;"/"&amp;喷水汇总表!AU$5)</f>
        <v>0</v>
      </c>
      <c r="AV23" s="18">
        <f>SUMIFS(ps!$N:$N,ps!$B:$B,喷水汇总表!$A23,ps!$I:$I,喷水汇总表!$X$4&amp;"/"&amp;喷水汇总表!$Y$4&amp;"/"&amp;喷水汇总表!AV$5)</f>
        <v>0</v>
      </c>
      <c r="AW23" s="18">
        <f>SUMIFS(ps!$N:$N,ps!$B:$B,喷水汇总表!$A23,ps!$I:$I,喷水汇总表!$X$4&amp;"/"&amp;喷水汇总表!$Y$4&amp;"/"&amp;喷水汇总表!AW$5)</f>
        <v>0</v>
      </c>
      <c r="AX23" s="18">
        <f>SUMIFS(ps!$N:$N,ps!$B:$B,喷水汇总表!$A23,ps!$I:$I,喷水汇总表!$X$4&amp;"/"&amp;喷水汇总表!$Y$4&amp;"/"&amp;喷水汇总表!AX$5)</f>
        <v>0</v>
      </c>
      <c r="AY23" s="18">
        <f>SUMIFS(ps!$N:$N,ps!$B:$B,喷水汇总表!$A23,ps!$I:$I,喷水汇总表!$X$4&amp;"/"&amp;喷水汇总表!$Y$4&amp;"/"&amp;喷水汇总表!AY$5)</f>
        <v>0</v>
      </c>
      <c r="AZ23" s="18">
        <f>SUMIFS(ps!$N:$N,ps!$B:$B,喷水汇总表!$A23,ps!$I:$I,喷水汇总表!$X$4&amp;"/"&amp;喷水汇总表!$Y$4&amp;"/"&amp;喷水汇总表!AZ$5)</f>
        <v>0</v>
      </c>
      <c r="BA23" s="18">
        <f>SUMIFS(ps!$N:$N,ps!$B:$B,喷水汇总表!$A23,ps!$I:$I,喷水汇总表!$X$4&amp;"/"&amp;喷水汇总表!$Y$4&amp;"/"&amp;喷水汇总表!BA$5)</f>
        <v>0</v>
      </c>
      <c r="BB23" s="18">
        <f>SUMIFS(ps!$N:$N,ps!$B:$B,喷水汇总表!$A23,ps!$I:$I,喷水汇总表!$X$4&amp;"/"&amp;喷水汇总表!$Y$4&amp;"/"&amp;喷水汇总表!BB$5)</f>
        <v>0</v>
      </c>
      <c r="BC23" s="18">
        <f>SUMIFS(ps!$N:$N,ps!$B:$B,喷水汇总表!$A23,ps!$I:$I,喷水汇总表!$X$4&amp;"/"&amp;喷水汇总表!$Y$4&amp;"/"&amp;喷水汇总表!BC$5)</f>
        <v>0</v>
      </c>
    </row>
    <row r="24" spans="1:58" ht="18" customHeight="1">
      <c r="A24" s="96" t="s">
        <v>1084</v>
      </c>
      <c r="B24" s="176" t="str">
        <f>IF(A24="","",VLOOKUP(A24,经纬!B:C,2,FALSE))</f>
        <v>75*100</v>
      </c>
      <c r="C24" s="176" t="str">
        <f t="shared" si="0"/>
        <v>190.5</v>
      </c>
      <c r="D24" s="176">
        <f>IF(A24="","",VLOOKUP(A24,经纬!B:G,6,FALSE))</f>
        <v>50</v>
      </c>
      <c r="E24" s="44">
        <f>IF($T$4="",SUMIFS(ps!$N:$N,ps!$B:$B,喷水汇总表!$A24,ps!$H:$H,喷水汇总表!E$5,ps!$R:$R,喷水汇总表!$Y$4),SUMIFS(ps!$N:$N,ps!$B:$B,喷水汇总表!$A24,ps!$H:$H,喷水汇总表!E$5,ps!$I:$I,喷水汇总表!$T$4))</f>
        <v>0</v>
      </c>
      <c r="F24" s="44">
        <f>IF($T$4="",SUMIFS(ps!$N:$N,ps!$B:$B,喷水汇总表!$A24,ps!$H:$H,喷水汇总表!F$5,ps!$R:$R,喷水汇总表!$Y$4),SUMIFS(ps!$N:$N,ps!$B:$B,喷水汇总表!$A24,ps!$H:$H,喷水汇总表!F$5,ps!$I:$I,喷水汇总表!$T$4))</f>
        <v>0</v>
      </c>
      <c r="G24" s="44">
        <f>IF($T$4="",SUMIFS(ps!$N:$N,ps!$B:$B,喷水汇总表!$A24,ps!$H:$H,喷水汇总表!G$5,ps!$R:$R,喷水汇总表!$Y$4),SUMIFS(ps!$N:$N,ps!$B:$B,喷水汇总表!$A24,ps!$H:$H,喷水汇总表!G$5,ps!$I:$I,喷水汇总表!$T$4))</f>
        <v>0</v>
      </c>
      <c r="H24" s="248">
        <f>IF($T$4="",SUMIFS(ps!$N:$N,ps!$B:$B,喷水汇总表!$A24,ps!$G:$G,喷水汇总表!H$5,ps!$R:$R,喷水汇总表!$Y$4),SUMIFS(ps!$N:$N,ps!$B:$B,喷水汇总表!$A24,ps!$G:$G,喷水汇总表!H$5,ps!$I:$I,喷水汇总表!$T$4))</f>
        <v>0</v>
      </c>
      <c r="I24" s="248">
        <f>IF($T$4="",SUMIFS(ps!$N:$N,ps!$B:$B,喷水汇总表!$A24,ps!$G:$G,喷水汇总表!I$5,ps!$R:$R,喷水汇总表!$Y$4),SUMIFS(ps!$N:$N,ps!$B:$B,喷水汇总表!$A24,ps!$G:$G,喷水汇总表!I$5,ps!$I:$I,喷水汇总表!$T$4))</f>
        <v>0</v>
      </c>
      <c r="J24" s="248">
        <f>IF($T$4="",SUMIFS(ps!$N:$N,ps!$B:$B,喷水汇总表!$A24,ps!$G:$G,喷水汇总表!J$5,ps!$R:$R,喷水汇总表!$Y$4),SUMIFS(ps!$N:$N,ps!$B:$B,喷水汇总表!$A24,ps!$G:$G,喷水汇总表!J$5,ps!$I:$I,喷水汇总表!$T$4))</f>
        <v>0</v>
      </c>
      <c r="K24" s="248">
        <f>IF($T$4="",SUMIFS(ps!$N:$N,ps!$B:$B,喷水汇总表!$A24,ps!$G:$G,喷水汇总表!K$5,ps!$R:$R,喷水汇总表!$Y$4),SUMIFS(ps!$N:$N,ps!$B:$B,喷水汇总表!$A24,ps!$G:$G,喷水汇总表!K$5,ps!$I:$I,喷水汇总表!$T$4))</f>
        <v>0</v>
      </c>
      <c r="L24" s="248">
        <f>IF($T$4="",SUMIFS(ps!$N:$N,ps!$B:$B,喷水汇总表!$A24,ps!$G:$G,喷水汇总表!L$5,ps!$R:$R,喷水汇总表!$Y$4),SUMIFS(ps!$N:$N,ps!$B:$B,喷水汇总表!$A24,ps!$G:$G,喷水汇总表!L$5,ps!$I:$I,喷水汇总表!$T$4))</f>
        <v>0</v>
      </c>
      <c r="M24" s="248">
        <f>IF($T$4="",SUMIFS(ps!$N:$N,ps!$B:$B,喷水汇总表!$A24,ps!$G:$G,喷水汇总表!M$5,ps!$R:$R,喷水汇总表!$Y$4),SUMIFS(ps!$N:$N,ps!$B:$B,喷水汇总表!$A24,ps!$G:$G,喷水汇总表!M$5,ps!$I:$I,喷水汇总表!$T$4))</f>
        <v>0</v>
      </c>
      <c r="N24" s="248">
        <f>IF($T$4="",SUMIFS(ps!$N:$N,ps!$B:$B,喷水汇总表!$A24,ps!$G:$G,喷水汇总表!N$5,ps!$R:$R,喷水汇总表!$Y$4),SUMIFS(ps!$N:$N,ps!$B:$B,喷水汇总表!$A24,ps!$G:$G,喷水汇总表!N$5,ps!$I:$I,喷水汇总表!$T$4))</f>
        <v>0</v>
      </c>
      <c r="O24" s="248">
        <f>IF($T$4="",SUMIFS(ps!$L:$L,ps!$B:$B,喷水汇总表!$A24,ps!$J:$J,喷水汇总表!O$5,ps!$F:$F,喷水汇总表!$W$4,ps!$R:$R,喷水汇总表!$Y$4)+SUMIFS(ps!$M:$M,ps!$B:$B,喷水汇总表!$A24,ps!$K:$K,喷水汇总表!O$5,ps!$F:$F,喷水汇总表!$W$4,ps!$R:$R,喷水汇总表!$Y$4),SUMIFS(ps!$L:$L,ps!$B:$B,喷水汇总表!$A24,ps!$J:$J,喷水汇总表!O$5,ps!$F:$F,喷水汇总表!$W$4,ps!$I:$I,喷水汇总表!$T$4)+SUMIFS(ps!$M:$M,ps!$B:$B,喷水汇总表!$A24,ps!$K:$K,喷水汇总表!O$5,ps!$F:$F,喷水汇总表!$W$4,ps!$I:$I,喷水汇总表!$T$4))</f>
        <v>0</v>
      </c>
      <c r="P24" s="248">
        <f>IF($T$4="",SUMIFS(ps!$L:$L,ps!$B:$B,喷水汇总表!$A24,ps!$J:$J,喷水汇总表!P$5,ps!$F:$F,喷水汇总表!$W$4,ps!$R:$R,喷水汇总表!$Y$4)+SUMIFS(ps!$M:$M,ps!$B:$B,喷水汇总表!$A24,ps!$K:$K,喷水汇总表!P$5,ps!$F:$F,喷水汇总表!$W$4,ps!$R:$R,喷水汇总表!$Y$4),SUMIFS(ps!$L:$L,ps!$B:$B,喷水汇总表!$A24,ps!$J:$J,喷水汇总表!P$5,ps!$F:$F,喷水汇总表!$W$4,ps!$I:$I,喷水汇总表!$T$4)+SUMIFS(ps!$M:$M,ps!$B:$B,喷水汇总表!$A24,ps!$K:$K,喷水汇总表!P$5,ps!$F:$F,喷水汇总表!$W$4,ps!$I:$I,喷水汇总表!$T$4))</f>
        <v>0</v>
      </c>
      <c r="Q24" s="248">
        <f>IF($T$4="",SUMIFS(ps!$L:$L,ps!$B:$B,喷水汇总表!$A24,ps!$J:$J,喷水汇总表!Q$5,ps!$F:$F,喷水汇总表!$W$4,ps!$R:$R,喷水汇总表!$Y$4)+SUMIFS(ps!$M:$M,ps!$B:$B,喷水汇总表!$A24,ps!$K:$K,喷水汇总表!Q$5,ps!$F:$F,喷水汇总表!$W$4,ps!$R:$R,喷水汇总表!$Y$4),SUMIFS(ps!$L:$L,ps!$B:$B,喷水汇总表!$A24,ps!$J:$J,喷水汇总表!Q$5,ps!$F:$F,喷水汇总表!$W$4,ps!$I:$I,喷水汇总表!$T$4)+SUMIFS(ps!$M:$M,ps!$B:$B,喷水汇总表!$A24,ps!$K:$K,喷水汇总表!Q$5,ps!$F:$F,喷水汇总表!$W$4,ps!$I:$I,喷水汇总表!$T$4))</f>
        <v>0</v>
      </c>
      <c r="R24" s="248">
        <f>IF($T$4="",SUMIFS(ps!$L:$L,ps!$B:$B,喷水汇总表!$A24,ps!$J:$J,喷水汇总表!R$5,ps!$F:$F,喷水汇总表!$W$4,ps!$R:$R,喷水汇总表!$Y$4)+SUMIFS(ps!$M:$M,ps!$B:$B,喷水汇总表!$A24,ps!$K:$K,喷水汇总表!R$5,ps!$F:$F,喷水汇总表!$W$4,ps!$R:$R,喷水汇总表!$Y$4),SUMIFS(ps!$L:$L,ps!$B:$B,喷水汇总表!$A24,ps!$J:$J,喷水汇总表!R$5,ps!$F:$F,喷水汇总表!$W$4,ps!$I:$I,喷水汇总表!$T$4)+SUMIFS(ps!$M:$M,ps!$B:$B,喷水汇总表!$A24,ps!$K:$K,喷水汇总表!R$5,ps!$F:$F,喷水汇总表!$W$4,ps!$I:$I,喷水汇总表!$T$4))</f>
        <v>0</v>
      </c>
      <c r="S24" s="248">
        <f>IF($T$4="",SUMIFS(ps!$L:$L,ps!$B:$B,喷水汇总表!$A24,ps!$J:$J,喷水汇总表!S$5,ps!$F:$F,喷水汇总表!$W$4,ps!$R:$R,喷水汇总表!$Y$4)+SUMIFS(ps!$M:$M,ps!$B:$B,喷水汇总表!$A24,ps!$K:$K,喷水汇总表!S$5,ps!$F:$F,喷水汇总表!$W$4,ps!$R:$R,喷水汇总表!$Y$4),SUMIFS(ps!$L:$L,ps!$B:$B,喷水汇总表!$A24,ps!$J:$J,喷水汇总表!S$5,ps!$F:$F,喷水汇总表!$W$4,ps!$I:$I,喷水汇总表!$T$4)+SUMIFS(ps!$M:$M,ps!$B:$B,喷水汇总表!$A24,ps!$K:$K,喷水汇总表!S$5,ps!$F:$F,喷水汇总表!$W$4,ps!$I:$I,喷水汇总表!$T$4))</f>
        <v>0</v>
      </c>
      <c r="T24" s="248">
        <f>IF($T$4="",SUMIFS(ps!$L:$L,ps!$B:$B,喷水汇总表!$A24,ps!$J:$J,喷水汇总表!T$5,ps!$F:$F,喷水汇总表!$W$4,ps!$R:$R,喷水汇总表!$Y$4)+SUMIFS(ps!$M:$M,ps!$B:$B,喷水汇总表!$A24,ps!$K:$K,喷水汇总表!T$5,ps!$F:$F,喷水汇总表!$W$4,ps!$R:$R,喷水汇总表!$Y$4),SUMIFS(ps!$L:$L,ps!$B:$B,喷水汇总表!$A24,ps!$J:$J,喷水汇总表!T$5,ps!$F:$F,喷水汇总表!$W$4,ps!$I:$I,喷水汇总表!$T$4)+SUMIFS(ps!$M:$M,ps!$B:$B,喷水汇总表!$A24,ps!$K:$K,喷水汇总表!T$5,ps!$F:$F,喷水汇总表!$W$4,ps!$I:$I,喷水汇总表!$T$4))</f>
        <v>0</v>
      </c>
      <c r="U24" s="248">
        <f>IF($T$4="",SUMIFS(ps!$L:$L,ps!$B:$B,喷水汇总表!$A24,ps!$J:$J,喷水汇总表!U$5,ps!$F:$F,喷水汇总表!$W$4,ps!$R:$R,喷水汇总表!$Y$4)+SUMIFS(ps!$M:$M,ps!$B:$B,喷水汇总表!$A24,ps!$K:$K,喷水汇总表!U$5,ps!$F:$F,喷水汇总表!$W$4,ps!$R:$R,喷水汇总表!$Y$4),SUMIFS(ps!$L:$L,ps!$B:$B,喷水汇总表!$A24,ps!$J:$J,喷水汇总表!U$5,ps!$F:$F,喷水汇总表!$W$4,ps!$I:$I,喷水汇总表!$T$4)+SUMIFS(ps!$M:$M,ps!$B:$B,喷水汇总表!$A24,ps!$K:$K,喷水汇总表!U$5,ps!$F:$F,喷水汇总表!$W$4,ps!$I:$I,喷水汇总表!$T$4))</f>
        <v>0</v>
      </c>
      <c r="V24" s="248">
        <f>IF($T$4="",SUMIFS(ps!$L:$L,ps!$B:$B,喷水汇总表!$A24,ps!$J:$J,喷水汇总表!V$5,ps!$F:$F,喷水汇总表!$W$4,ps!$R:$R,喷水汇总表!$Y$4)+SUMIFS(ps!$M:$M,ps!$B:$B,喷水汇总表!$A24,ps!$K:$K,喷水汇总表!V$5,ps!$F:$F,喷水汇总表!$W$4,ps!$R:$R,喷水汇总表!$Y$4),SUMIFS(ps!$L:$L,ps!$B:$B,喷水汇总表!$A24,ps!$J:$J,喷水汇总表!V$5,ps!$F:$F,喷水汇总表!$W$4,ps!$I:$I,喷水汇总表!$T$4)+SUMIFS(ps!$M:$M,ps!$B:$B,喷水汇总表!$A24,ps!$K:$K,喷水汇总表!V$5,ps!$F:$F,喷水汇总表!$W$4,ps!$I:$I,喷水汇总表!$T$4))</f>
        <v>0</v>
      </c>
      <c r="W24" s="248">
        <f>IF($T$4="",SUMIFS(ps!$L:$L,ps!$B:$B,喷水汇总表!$A24,ps!$J:$J,喷水汇总表!W$5,ps!$F:$F,喷水汇总表!$W$4,ps!$R:$R,喷水汇总表!$Y$4)+SUMIFS(ps!$M:$M,ps!$B:$B,喷水汇总表!$A24,ps!$K:$K,喷水汇总表!W$5,ps!$F:$F,喷水汇总表!$W$4,ps!$R:$R,喷水汇总表!$Y$4),SUMIFS(ps!$L:$L,ps!$B:$B,喷水汇总表!$A24,ps!$J:$J,喷水汇总表!W$5,ps!$F:$F,喷水汇总表!$W$4,ps!$I:$I,喷水汇总表!$T$4)+SUMIFS(ps!$M:$M,ps!$B:$B,喷水汇总表!$A24,ps!$K:$K,喷水汇总表!W$5,ps!$F:$F,喷水汇总表!$W$4,ps!$I:$I,喷水汇总表!$T$4))</f>
        <v>0</v>
      </c>
      <c r="X24" s="15">
        <f t="shared" si="1"/>
        <v>13964</v>
      </c>
      <c r="Y24" s="18">
        <f>SUMIFS(ps!$N:$N,ps!$B:$B,喷水汇总表!$A24,ps!$I:$I,喷水汇总表!$X$4&amp;"/"&amp;喷水汇总表!$Y$4&amp;"/"&amp;喷水汇总表!Y$5)</f>
        <v>0</v>
      </c>
      <c r="Z24" s="18">
        <f>SUMIFS(ps!$N:$N,ps!$B:$B,喷水汇总表!$A24,ps!$I:$I,喷水汇总表!$X$4&amp;"/"&amp;喷水汇总表!$Y$4&amp;"/"&amp;喷水汇总表!Z$5)</f>
        <v>9080</v>
      </c>
      <c r="AA24" s="18">
        <f>SUMIFS(ps!$N:$N,ps!$B:$B,喷水汇总表!$A24,ps!$I:$I,喷水汇总表!$X$4&amp;"/"&amp;喷水汇总表!$Y$4&amp;"/"&amp;喷水汇总表!AA$5)</f>
        <v>4884</v>
      </c>
      <c r="AB24" s="18">
        <f>SUMIFS(ps!$N:$N,ps!$B:$B,喷水汇总表!$A24,ps!$I:$I,喷水汇总表!$X$4&amp;"/"&amp;喷水汇总表!$Y$4&amp;"/"&amp;喷水汇总表!AB$5)</f>
        <v>0</v>
      </c>
      <c r="AC24" s="18">
        <f>SUMIFS(ps!$N:$N,ps!$B:$B,喷水汇总表!$A24,ps!$I:$I,喷水汇总表!$X$4&amp;"/"&amp;喷水汇总表!$Y$4&amp;"/"&amp;喷水汇总表!AC$5)</f>
        <v>0</v>
      </c>
      <c r="AD24" s="18">
        <f>SUMIFS(ps!$N:$N,ps!$B:$B,喷水汇总表!$A24,ps!$I:$I,喷水汇总表!$X$4&amp;"/"&amp;喷水汇总表!$Y$4&amp;"/"&amp;喷水汇总表!AD$5)</f>
        <v>0</v>
      </c>
      <c r="AE24" s="18">
        <f>SUMIFS(ps!$N:$N,ps!$B:$B,喷水汇总表!$A24,ps!$I:$I,喷水汇总表!$X$4&amp;"/"&amp;喷水汇总表!$Y$4&amp;"/"&amp;喷水汇总表!AE$5)</f>
        <v>0</v>
      </c>
      <c r="AF24" s="18">
        <f>SUMIFS(ps!$N:$N,ps!$B:$B,喷水汇总表!$A24,ps!$I:$I,喷水汇总表!$X$4&amp;"/"&amp;喷水汇总表!$Y$4&amp;"/"&amp;喷水汇总表!AF$5)</f>
        <v>0</v>
      </c>
      <c r="AG24" s="18">
        <f>SUMIFS(ps!$N:$N,ps!$B:$B,喷水汇总表!$A24,ps!$I:$I,喷水汇总表!$X$4&amp;"/"&amp;喷水汇总表!$Y$4&amp;"/"&amp;喷水汇总表!AG$5)</f>
        <v>0</v>
      </c>
      <c r="AH24" s="18">
        <f>SUMIFS(ps!$N:$N,ps!$B:$B,喷水汇总表!$A24,ps!$I:$I,喷水汇总表!$X$4&amp;"/"&amp;喷水汇总表!$Y$4&amp;"/"&amp;喷水汇总表!AH$5)</f>
        <v>0</v>
      </c>
      <c r="AI24" s="18">
        <f>SUMIFS(ps!$N:$N,ps!$B:$B,喷水汇总表!$A24,ps!$I:$I,喷水汇总表!$X$4&amp;"/"&amp;喷水汇总表!$Y$4&amp;"/"&amp;喷水汇总表!AI$5)</f>
        <v>0</v>
      </c>
      <c r="AJ24" s="18">
        <f>SUMIFS(ps!$N:$N,ps!$B:$B,喷水汇总表!$A24,ps!$I:$I,喷水汇总表!$X$4&amp;"/"&amp;喷水汇总表!$Y$4&amp;"/"&amp;喷水汇总表!AJ$5)</f>
        <v>0</v>
      </c>
      <c r="AK24" s="18">
        <f>SUMIFS(ps!$N:$N,ps!$B:$B,喷水汇总表!$A24,ps!$I:$I,喷水汇总表!$X$4&amp;"/"&amp;喷水汇总表!$Y$4&amp;"/"&amp;喷水汇总表!AK$5)</f>
        <v>0</v>
      </c>
      <c r="AL24" s="18">
        <f>SUMIFS(ps!$N:$N,ps!$B:$B,喷水汇总表!$A24,ps!$I:$I,喷水汇总表!$X$4&amp;"/"&amp;喷水汇总表!$Y$4&amp;"/"&amp;喷水汇总表!AL$5)</f>
        <v>0</v>
      </c>
      <c r="AM24" s="18">
        <f>SUMIFS(ps!$N:$N,ps!$B:$B,喷水汇总表!$A24,ps!$I:$I,喷水汇总表!$X$4&amp;"/"&amp;喷水汇总表!$Y$4&amp;"/"&amp;喷水汇总表!AM$5)</f>
        <v>0</v>
      </c>
      <c r="AN24" s="18">
        <f>SUMIFS(ps!$N:$N,ps!$B:$B,喷水汇总表!$A24,ps!$I:$I,喷水汇总表!$X$4&amp;"/"&amp;喷水汇总表!$Y$4&amp;"/"&amp;喷水汇总表!AN$5)</f>
        <v>0</v>
      </c>
      <c r="AO24" s="18">
        <f>SUMIFS(ps!$N:$N,ps!$B:$B,喷水汇总表!$A24,ps!$I:$I,喷水汇总表!$X$4&amp;"/"&amp;喷水汇总表!$Y$4&amp;"/"&amp;喷水汇总表!AO$5)</f>
        <v>0</v>
      </c>
      <c r="AP24" s="18">
        <f>SUMIFS(ps!$N:$N,ps!$B:$B,喷水汇总表!$A24,ps!$I:$I,喷水汇总表!$X$4&amp;"/"&amp;喷水汇总表!$Y$4&amp;"/"&amp;喷水汇总表!AP$5)</f>
        <v>0</v>
      </c>
      <c r="AQ24" s="18">
        <f>SUMIFS(ps!$N:$N,ps!$B:$B,喷水汇总表!$A24,ps!$I:$I,喷水汇总表!$X$4&amp;"/"&amp;喷水汇总表!$Y$4&amp;"/"&amp;喷水汇总表!AQ$5)</f>
        <v>0</v>
      </c>
      <c r="AR24" s="18">
        <f>SUMIFS(ps!$N:$N,ps!$B:$B,喷水汇总表!$A24,ps!$I:$I,喷水汇总表!$X$4&amp;"/"&amp;喷水汇总表!$Y$4&amp;"/"&amp;喷水汇总表!AR$5)</f>
        <v>0</v>
      </c>
      <c r="AS24" s="18">
        <f>SUMIFS(ps!$N:$N,ps!$B:$B,喷水汇总表!$A24,ps!$I:$I,喷水汇总表!$X$4&amp;"/"&amp;喷水汇总表!$Y$4&amp;"/"&amp;喷水汇总表!AS$5)</f>
        <v>0</v>
      </c>
      <c r="AT24" s="18">
        <f>SUMIFS(ps!$N:$N,ps!$B:$B,喷水汇总表!$A24,ps!$I:$I,喷水汇总表!$X$4&amp;"/"&amp;喷水汇总表!$Y$4&amp;"/"&amp;喷水汇总表!AT$5)</f>
        <v>0</v>
      </c>
      <c r="AU24" s="18">
        <f>SUMIFS(ps!$N:$N,ps!$B:$B,喷水汇总表!$A24,ps!$I:$I,喷水汇总表!$X$4&amp;"/"&amp;喷水汇总表!$Y$4&amp;"/"&amp;喷水汇总表!AU$5)</f>
        <v>0</v>
      </c>
      <c r="AV24" s="18">
        <f>SUMIFS(ps!$N:$N,ps!$B:$B,喷水汇总表!$A24,ps!$I:$I,喷水汇总表!$X$4&amp;"/"&amp;喷水汇总表!$Y$4&amp;"/"&amp;喷水汇总表!AV$5)</f>
        <v>0</v>
      </c>
      <c r="AW24" s="18">
        <f>SUMIFS(ps!$N:$N,ps!$B:$B,喷水汇总表!$A24,ps!$I:$I,喷水汇总表!$X$4&amp;"/"&amp;喷水汇总表!$Y$4&amp;"/"&amp;喷水汇总表!AW$5)</f>
        <v>0</v>
      </c>
      <c r="AX24" s="18">
        <f>SUMIFS(ps!$N:$N,ps!$B:$B,喷水汇总表!$A24,ps!$I:$I,喷水汇总表!$X$4&amp;"/"&amp;喷水汇总表!$Y$4&amp;"/"&amp;喷水汇总表!AX$5)</f>
        <v>0</v>
      </c>
      <c r="AY24" s="18">
        <f>SUMIFS(ps!$N:$N,ps!$B:$B,喷水汇总表!$A24,ps!$I:$I,喷水汇总表!$X$4&amp;"/"&amp;喷水汇总表!$Y$4&amp;"/"&amp;喷水汇总表!AY$5)</f>
        <v>0</v>
      </c>
      <c r="AZ24" s="18">
        <f>SUMIFS(ps!$N:$N,ps!$B:$B,喷水汇总表!$A24,ps!$I:$I,喷水汇总表!$X$4&amp;"/"&amp;喷水汇总表!$Y$4&amp;"/"&amp;喷水汇总表!AZ$5)</f>
        <v>0</v>
      </c>
      <c r="BA24" s="18">
        <f>SUMIFS(ps!$N:$N,ps!$B:$B,喷水汇总表!$A24,ps!$I:$I,喷水汇总表!$X$4&amp;"/"&amp;喷水汇总表!$Y$4&amp;"/"&amp;喷水汇总表!BA$5)</f>
        <v>0</v>
      </c>
      <c r="BB24" s="18">
        <f>SUMIFS(ps!$N:$N,ps!$B:$B,喷水汇总表!$A24,ps!$I:$I,喷水汇总表!$X$4&amp;"/"&amp;喷水汇总表!$Y$4&amp;"/"&amp;喷水汇总表!BB$5)</f>
        <v>0</v>
      </c>
      <c r="BC24" s="18">
        <f>SUMIFS(ps!$N:$N,ps!$B:$B,喷水汇总表!$A24,ps!$I:$I,喷水汇总表!$X$4&amp;"/"&amp;喷水汇总表!$Y$4&amp;"/"&amp;喷水汇总表!BC$5)</f>
        <v>0</v>
      </c>
    </row>
    <row r="25" spans="1:58" ht="18" customHeight="1">
      <c r="A25" s="96" t="s">
        <v>1115</v>
      </c>
      <c r="B25" s="176" t="str">
        <f>IF(A25="","",VLOOKUP(A25,经纬!B:C,2,FALSE))</f>
        <v>75*150</v>
      </c>
      <c r="C25" s="176" t="str">
        <f t="shared" si="0"/>
        <v>190.5</v>
      </c>
      <c r="D25" s="176">
        <f>IF(A25="","",VLOOKUP(A25,经纬!B:G,6,FALSE))</f>
        <v>54</v>
      </c>
      <c r="E25" s="44">
        <f>IF($T$4="",SUMIFS(ps!$N:$N,ps!$B:$B,喷水汇总表!$A25,ps!$H:$H,喷水汇总表!E$5,ps!$R:$R,喷水汇总表!$Y$4),SUMIFS(ps!$N:$N,ps!$B:$B,喷水汇总表!$A25,ps!$H:$H,喷水汇总表!E$5,ps!$I:$I,喷水汇总表!$T$4))</f>
        <v>0</v>
      </c>
      <c r="F25" s="44">
        <f>IF($T$4="",SUMIFS(ps!$N:$N,ps!$B:$B,喷水汇总表!$A25,ps!$H:$H,喷水汇总表!F$5,ps!$R:$R,喷水汇总表!$Y$4),SUMIFS(ps!$N:$N,ps!$B:$B,喷水汇总表!$A25,ps!$H:$H,喷水汇总表!F$5,ps!$I:$I,喷水汇总表!$T$4))</f>
        <v>6139</v>
      </c>
      <c r="G25" s="44">
        <f>IF($T$4="",SUMIFS(ps!$N:$N,ps!$B:$B,喷水汇总表!$A25,ps!$H:$H,喷水汇总表!G$5,ps!$R:$R,喷水汇总表!$Y$4),SUMIFS(ps!$N:$N,ps!$B:$B,喷水汇总表!$A25,ps!$H:$H,喷水汇总表!G$5,ps!$I:$I,喷水汇总表!$T$4))</f>
        <v>13528</v>
      </c>
      <c r="H25" s="248">
        <f>IF($T$4="",SUMIFS(ps!$N:$N,ps!$B:$B,喷水汇总表!$A25,ps!$G:$G,喷水汇总表!H$5,ps!$R:$R,喷水汇总表!$Y$4),SUMIFS(ps!$N:$N,ps!$B:$B,喷水汇总表!$A25,ps!$G:$G,喷水汇总表!H$5,ps!$I:$I,喷水汇总表!$T$4))</f>
        <v>0</v>
      </c>
      <c r="I25" s="248">
        <f>IF($T$4="",SUMIFS(ps!$N:$N,ps!$B:$B,喷水汇总表!$A25,ps!$G:$G,喷水汇总表!I$5,ps!$R:$R,喷水汇总表!$Y$4),SUMIFS(ps!$N:$N,ps!$B:$B,喷水汇总表!$A25,ps!$G:$G,喷水汇总表!I$5,ps!$I:$I,喷水汇总表!$T$4))</f>
        <v>19667</v>
      </c>
      <c r="J25" s="248">
        <f>IF($T$4="",SUMIFS(ps!$N:$N,ps!$B:$B,喷水汇总表!$A25,ps!$G:$G,喷水汇总表!J$5,ps!$R:$R,喷水汇总表!$Y$4),SUMIFS(ps!$N:$N,ps!$B:$B,喷水汇总表!$A25,ps!$G:$G,喷水汇总表!J$5,ps!$I:$I,喷水汇总表!$T$4))</f>
        <v>0</v>
      </c>
      <c r="K25" s="248">
        <f>IF($T$4="",SUMIFS(ps!$N:$N,ps!$B:$B,喷水汇总表!$A25,ps!$G:$G,喷水汇总表!K$5,ps!$R:$R,喷水汇总表!$Y$4),SUMIFS(ps!$N:$N,ps!$B:$B,喷水汇总表!$A25,ps!$G:$G,喷水汇总表!K$5,ps!$I:$I,喷水汇总表!$T$4))</f>
        <v>0</v>
      </c>
      <c r="L25" s="248">
        <f>IF($T$4="",SUMIFS(ps!$N:$N,ps!$B:$B,喷水汇总表!$A25,ps!$G:$G,喷水汇总表!L$5,ps!$R:$R,喷水汇总表!$Y$4),SUMIFS(ps!$N:$N,ps!$B:$B,喷水汇总表!$A25,ps!$G:$G,喷水汇总表!L$5,ps!$I:$I,喷水汇总表!$T$4))</f>
        <v>0</v>
      </c>
      <c r="M25" s="248">
        <f>IF($T$4="",SUMIFS(ps!$N:$N,ps!$B:$B,喷水汇总表!$A25,ps!$G:$G,喷水汇总表!M$5,ps!$R:$R,喷水汇总表!$Y$4),SUMIFS(ps!$N:$N,ps!$B:$B,喷水汇总表!$A25,ps!$G:$G,喷水汇总表!M$5,ps!$I:$I,喷水汇总表!$T$4))</f>
        <v>0</v>
      </c>
      <c r="N25" s="248">
        <f>IF($T$4="",SUMIFS(ps!$N:$N,ps!$B:$B,喷水汇总表!$A25,ps!$G:$G,喷水汇总表!N$5,ps!$R:$R,喷水汇总表!$Y$4),SUMIFS(ps!$N:$N,ps!$B:$B,喷水汇总表!$A25,ps!$G:$G,喷水汇总表!N$5,ps!$I:$I,喷水汇总表!$T$4))</f>
        <v>0</v>
      </c>
      <c r="O25" s="248">
        <f>IF($T$4="",SUMIFS(ps!$L:$L,ps!$B:$B,喷水汇总表!$A25,ps!$J:$J,喷水汇总表!O$5,ps!$F:$F,喷水汇总表!$W$4,ps!$R:$R,喷水汇总表!$Y$4)+SUMIFS(ps!$M:$M,ps!$B:$B,喷水汇总表!$A25,ps!$K:$K,喷水汇总表!O$5,ps!$F:$F,喷水汇总表!$W$4,ps!$R:$R,喷水汇总表!$Y$4),SUMIFS(ps!$L:$L,ps!$B:$B,喷水汇总表!$A25,ps!$J:$J,喷水汇总表!O$5,ps!$F:$F,喷水汇总表!$W$4,ps!$I:$I,喷水汇总表!$T$4)+SUMIFS(ps!$M:$M,ps!$B:$B,喷水汇总表!$A25,ps!$K:$K,喷水汇总表!O$5,ps!$F:$F,喷水汇总表!$W$4,ps!$I:$I,喷水汇总表!$T$4))</f>
        <v>0</v>
      </c>
      <c r="P25" s="248">
        <f>IF($T$4="",SUMIFS(ps!$L:$L,ps!$B:$B,喷水汇总表!$A25,ps!$J:$J,喷水汇总表!P$5,ps!$F:$F,喷水汇总表!$W$4,ps!$R:$R,喷水汇总表!$Y$4)+SUMIFS(ps!$M:$M,ps!$B:$B,喷水汇总表!$A25,ps!$K:$K,喷水汇总表!P$5,ps!$F:$F,喷水汇总表!$W$4,ps!$R:$R,喷水汇总表!$Y$4),SUMIFS(ps!$L:$L,ps!$B:$B,喷水汇总表!$A25,ps!$J:$J,喷水汇总表!P$5,ps!$F:$F,喷水汇总表!$W$4,ps!$I:$I,喷水汇总表!$T$4)+SUMIFS(ps!$M:$M,ps!$B:$B,喷水汇总表!$A25,ps!$K:$K,喷水汇总表!P$5,ps!$F:$F,喷水汇总表!$W$4,ps!$I:$I,喷水汇总表!$T$4))</f>
        <v>0</v>
      </c>
      <c r="Q25" s="248">
        <f>IF($T$4="",SUMIFS(ps!$L:$L,ps!$B:$B,喷水汇总表!$A25,ps!$J:$J,喷水汇总表!Q$5,ps!$F:$F,喷水汇总表!$W$4,ps!$R:$R,喷水汇总表!$Y$4)+SUMIFS(ps!$M:$M,ps!$B:$B,喷水汇总表!$A25,ps!$K:$K,喷水汇总表!Q$5,ps!$F:$F,喷水汇总表!$W$4,ps!$R:$R,喷水汇总表!$Y$4),SUMIFS(ps!$L:$L,ps!$B:$B,喷水汇总表!$A25,ps!$J:$J,喷水汇总表!Q$5,ps!$F:$F,喷水汇总表!$W$4,ps!$I:$I,喷水汇总表!$T$4)+SUMIFS(ps!$M:$M,ps!$B:$B,喷水汇总表!$A25,ps!$K:$K,喷水汇总表!Q$5,ps!$F:$F,喷水汇总表!$W$4,ps!$I:$I,喷水汇总表!$T$4))</f>
        <v>0</v>
      </c>
      <c r="R25" s="248">
        <f>IF($T$4="",SUMIFS(ps!$L:$L,ps!$B:$B,喷水汇总表!$A25,ps!$J:$J,喷水汇总表!R$5,ps!$F:$F,喷水汇总表!$W$4,ps!$R:$R,喷水汇总表!$Y$4)+SUMIFS(ps!$M:$M,ps!$B:$B,喷水汇总表!$A25,ps!$K:$K,喷水汇总表!R$5,ps!$F:$F,喷水汇总表!$W$4,ps!$R:$R,喷水汇总表!$Y$4),SUMIFS(ps!$L:$L,ps!$B:$B,喷水汇总表!$A25,ps!$J:$J,喷水汇总表!R$5,ps!$F:$F,喷水汇总表!$W$4,ps!$I:$I,喷水汇总表!$T$4)+SUMIFS(ps!$M:$M,ps!$B:$B,喷水汇总表!$A25,ps!$K:$K,喷水汇总表!R$5,ps!$F:$F,喷水汇总表!$W$4,ps!$I:$I,喷水汇总表!$T$4))</f>
        <v>0</v>
      </c>
      <c r="S25" s="248">
        <f>IF($T$4="",SUMIFS(ps!$L:$L,ps!$B:$B,喷水汇总表!$A25,ps!$J:$J,喷水汇总表!S$5,ps!$F:$F,喷水汇总表!$W$4,ps!$R:$R,喷水汇总表!$Y$4)+SUMIFS(ps!$M:$M,ps!$B:$B,喷水汇总表!$A25,ps!$K:$K,喷水汇总表!S$5,ps!$F:$F,喷水汇总表!$W$4,ps!$R:$R,喷水汇总表!$Y$4),SUMIFS(ps!$L:$L,ps!$B:$B,喷水汇总表!$A25,ps!$J:$J,喷水汇总表!S$5,ps!$F:$F,喷水汇总表!$W$4,ps!$I:$I,喷水汇总表!$T$4)+SUMIFS(ps!$M:$M,ps!$B:$B,喷水汇总表!$A25,ps!$K:$K,喷水汇总表!S$5,ps!$F:$F,喷水汇总表!$W$4,ps!$I:$I,喷水汇总表!$T$4))</f>
        <v>464.55151999999993</v>
      </c>
      <c r="T25" s="248">
        <f>IF($T$4="",SUMIFS(ps!$L:$L,ps!$B:$B,喷水汇总表!$A25,ps!$J:$J,喷水汇总表!T$5,ps!$F:$F,喷水汇总表!$W$4,ps!$R:$R,喷水汇总表!$Y$4)+SUMIFS(ps!$M:$M,ps!$B:$B,喷水汇总表!$A25,ps!$K:$K,喷水汇总表!T$5,ps!$F:$F,喷水汇总表!$W$4,ps!$R:$R,喷水汇总表!$Y$4),SUMIFS(ps!$L:$L,ps!$B:$B,喷水汇总表!$A25,ps!$J:$J,喷水汇总表!T$5,ps!$F:$F,喷水汇总表!$W$4,ps!$I:$I,喷水汇总表!$T$4)+SUMIFS(ps!$M:$M,ps!$B:$B,喷水汇总表!$A25,ps!$K:$K,喷水汇总表!T$5,ps!$F:$F,喷水汇总表!$W$4,ps!$I:$I,喷水汇总表!$T$4))</f>
        <v>0</v>
      </c>
      <c r="U25" s="248">
        <f>IF($T$4="",SUMIFS(ps!$L:$L,ps!$B:$B,喷水汇总表!$A25,ps!$J:$J,喷水汇总表!U$5,ps!$F:$F,喷水汇总表!$W$4,ps!$R:$R,喷水汇总表!$Y$4)+SUMIFS(ps!$M:$M,ps!$B:$B,喷水汇总表!$A25,ps!$K:$K,喷水汇总表!U$5,ps!$F:$F,喷水汇总表!$W$4,ps!$R:$R,喷水汇总表!$Y$4),SUMIFS(ps!$L:$L,ps!$B:$B,喷水汇总表!$A25,ps!$J:$J,喷水汇总表!U$5,ps!$F:$F,喷水汇总表!$W$4,ps!$I:$I,喷水汇总表!$T$4)+SUMIFS(ps!$M:$M,ps!$B:$B,喷水汇总表!$A25,ps!$K:$K,喷水汇总表!U$5,ps!$F:$F,喷水汇总表!$W$4,ps!$I:$I,喷水汇总表!$T$4))</f>
        <v>529.00338582677159</v>
      </c>
      <c r="V25" s="248">
        <f>IF($T$4="",SUMIFS(ps!$L:$L,ps!$B:$B,喷水汇总表!$A25,ps!$J:$J,喷水汇总表!V$5,ps!$F:$F,喷水汇总表!$W$4,ps!$R:$R,喷水汇总表!$Y$4)+SUMIFS(ps!$M:$M,ps!$B:$B,喷水汇总表!$A25,ps!$K:$K,喷水汇总表!V$5,ps!$F:$F,喷水汇总表!$W$4,ps!$R:$R,喷水汇总表!$Y$4),SUMIFS(ps!$L:$L,ps!$B:$B,喷水汇总表!$A25,ps!$J:$J,喷水汇总表!V$5,ps!$F:$F,喷水汇总表!$W$4,ps!$I:$I,喷水汇总表!$T$4)+SUMIFS(ps!$M:$M,ps!$B:$B,喷水汇总表!$A25,ps!$K:$K,喷水汇总表!V$5,ps!$F:$F,喷水汇总表!$W$4,ps!$I:$I,喷水汇总表!$T$4))</f>
        <v>0</v>
      </c>
      <c r="W25" s="248">
        <f>IF($T$4="",SUMIFS(ps!$L:$L,ps!$B:$B,喷水汇总表!$A25,ps!$J:$J,喷水汇总表!W$5,ps!$F:$F,喷水汇总表!$W$4,ps!$R:$R,喷水汇总表!$Y$4)+SUMIFS(ps!$M:$M,ps!$B:$B,喷水汇总表!$A25,ps!$K:$K,喷水汇总表!W$5,ps!$F:$F,喷水汇总表!$W$4,ps!$R:$R,喷水汇总表!$Y$4),SUMIFS(ps!$L:$L,ps!$B:$B,喷水汇总表!$A25,ps!$J:$J,喷水汇总表!W$5,ps!$F:$F,喷水汇总表!$W$4,ps!$I:$I,喷水汇总表!$T$4)+SUMIFS(ps!$M:$M,ps!$B:$B,喷水汇总表!$A25,ps!$K:$K,喷水汇总表!W$5,ps!$F:$F,喷水汇总表!$W$4,ps!$I:$I,喷水汇总表!$T$4))</f>
        <v>0</v>
      </c>
      <c r="X25" s="15">
        <f t="shared" si="1"/>
        <v>63695</v>
      </c>
      <c r="Y25" s="18">
        <f>SUMIFS(ps!$N:$N,ps!$B:$B,喷水汇总表!$A25,ps!$I:$I,喷水汇总表!$X$4&amp;"/"&amp;喷水汇总表!$Y$4&amp;"/"&amp;喷水汇总表!Y$5)</f>
        <v>0</v>
      </c>
      <c r="Z25" s="18">
        <f>SUMIFS(ps!$N:$N,ps!$B:$B,喷水汇总表!$A25,ps!$I:$I,喷水汇总表!$X$4&amp;"/"&amp;喷水汇总表!$Y$4&amp;"/"&amp;喷水汇总表!Z$5)</f>
        <v>33987</v>
      </c>
      <c r="AA25" s="18">
        <f>SUMIFS(ps!$N:$N,ps!$B:$B,喷水汇总表!$A25,ps!$I:$I,喷水汇总表!$X$4&amp;"/"&amp;喷水汇总表!$Y$4&amp;"/"&amp;喷水汇总表!AA$5)</f>
        <v>10041</v>
      </c>
      <c r="AB25" s="18">
        <f>SUMIFS(ps!$N:$N,ps!$B:$B,喷水汇总表!$A25,ps!$I:$I,喷水汇总表!$X$4&amp;"/"&amp;喷水汇总表!$Y$4&amp;"/"&amp;喷水汇总表!AB$5)</f>
        <v>0</v>
      </c>
      <c r="AC25" s="18">
        <f>SUMIFS(ps!$N:$N,ps!$B:$B,喷水汇总表!$A25,ps!$I:$I,喷水汇总表!$X$4&amp;"/"&amp;喷水汇总表!$Y$4&amp;"/"&amp;喷水汇总表!AC$5)</f>
        <v>19667</v>
      </c>
      <c r="AD25" s="18">
        <f>SUMIFS(ps!$N:$N,ps!$B:$B,喷水汇总表!$A25,ps!$I:$I,喷水汇总表!$X$4&amp;"/"&amp;喷水汇总表!$Y$4&amp;"/"&amp;喷水汇总表!AD$5)</f>
        <v>0</v>
      </c>
      <c r="AE25" s="18">
        <f>SUMIFS(ps!$N:$N,ps!$B:$B,喷水汇总表!$A25,ps!$I:$I,喷水汇总表!$X$4&amp;"/"&amp;喷水汇总表!$Y$4&amp;"/"&amp;喷水汇总表!AE$5)</f>
        <v>0</v>
      </c>
      <c r="AF25" s="18">
        <f>SUMIFS(ps!$N:$N,ps!$B:$B,喷水汇总表!$A25,ps!$I:$I,喷水汇总表!$X$4&amp;"/"&amp;喷水汇总表!$Y$4&amp;"/"&amp;喷水汇总表!AF$5)</f>
        <v>0</v>
      </c>
      <c r="AG25" s="18">
        <f>SUMIFS(ps!$N:$N,ps!$B:$B,喷水汇总表!$A25,ps!$I:$I,喷水汇总表!$X$4&amp;"/"&amp;喷水汇总表!$Y$4&amp;"/"&amp;喷水汇总表!AG$5)</f>
        <v>0</v>
      </c>
      <c r="AH25" s="18">
        <f>SUMIFS(ps!$N:$N,ps!$B:$B,喷水汇总表!$A25,ps!$I:$I,喷水汇总表!$X$4&amp;"/"&amp;喷水汇总表!$Y$4&amp;"/"&amp;喷水汇总表!AH$5)</f>
        <v>0</v>
      </c>
      <c r="AI25" s="18">
        <f>SUMIFS(ps!$N:$N,ps!$B:$B,喷水汇总表!$A25,ps!$I:$I,喷水汇总表!$X$4&amp;"/"&amp;喷水汇总表!$Y$4&amp;"/"&amp;喷水汇总表!AI$5)</f>
        <v>0</v>
      </c>
      <c r="AJ25" s="18">
        <f>SUMIFS(ps!$N:$N,ps!$B:$B,喷水汇总表!$A25,ps!$I:$I,喷水汇总表!$X$4&amp;"/"&amp;喷水汇总表!$Y$4&amp;"/"&amp;喷水汇总表!AJ$5)</f>
        <v>0</v>
      </c>
      <c r="AK25" s="18">
        <f>SUMIFS(ps!$N:$N,ps!$B:$B,喷水汇总表!$A25,ps!$I:$I,喷水汇总表!$X$4&amp;"/"&amp;喷水汇总表!$Y$4&amp;"/"&amp;喷水汇总表!AK$5)</f>
        <v>0</v>
      </c>
      <c r="AL25" s="18">
        <f>SUMIFS(ps!$N:$N,ps!$B:$B,喷水汇总表!$A25,ps!$I:$I,喷水汇总表!$X$4&amp;"/"&amp;喷水汇总表!$Y$4&amp;"/"&amp;喷水汇总表!AL$5)</f>
        <v>0</v>
      </c>
      <c r="AM25" s="18">
        <f>SUMIFS(ps!$N:$N,ps!$B:$B,喷水汇总表!$A25,ps!$I:$I,喷水汇总表!$X$4&amp;"/"&amp;喷水汇总表!$Y$4&amp;"/"&amp;喷水汇总表!AM$5)</f>
        <v>0</v>
      </c>
      <c r="AN25" s="18">
        <f>SUMIFS(ps!$N:$N,ps!$B:$B,喷水汇总表!$A25,ps!$I:$I,喷水汇总表!$X$4&amp;"/"&amp;喷水汇总表!$Y$4&amp;"/"&amp;喷水汇总表!AN$5)</f>
        <v>0</v>
      </c>
      <c r="AO25" s="18">
        <f>SUMIFS(ps!$N:$N,ps!$B:$B,喷水汇总表!$A25,ps!$I:$I,喷水汇总表!$X$4&amp;"/"&amp;喷水汇总表!$Y$4&amp;"/"&amp;喷水汇总表!AO$5)</f>
        <v>0</v>
      </c>
      <c r="AP25" s="18">
        <f>SUMIFS(ps!$N:$N,ps!$B:$B,喷水汇总表!$A25,ps!$I:$I,喷水汇总表!$X$4&amp;"/"&amp;喷水汇总表!$Y$4&amp;"/"&amp;喷水汇总表!AP$5)</f>
        <v>0</v>
      </c>
      <c r="AQ25" s="18">
        <f>SUMIFS(ps!$N:$N,ps!$B:$B,喷水汇总表!$A25,ps!$I:$I,喷水汇总表!$X$4&amp;"/"&amp;喷水汇总表!$Y$4&amp;"/"&amp;喷水汇总表!AQ$5)</f>
        <v>0</v>
      </c>
      <c r="AR25" s="18">
        <f>SUMIFS(ps!$N:$N,ps!$B:$B,喷水汇总表!$A25,ps!$I:$I,喷水汇总表!$X$4&amp;"/"&amp;喷水汇总表!$Y$4&amp;"/"&amp;喷水汇总表!AR$5)</f>
        <v>0</v>
      </c>
      <c r="AS25" s="18">
        <f>SUMIFS(ps!$N:$N,ps!$B:$B,喷水汇总表!$A25,ps!$I:$I,喷水汇总表!$X$4&amp;"/"&amp;喷水汇总表!$Y$4&amp;"/"&amp;喷水汇总表!AS$5)</f>
        <v>0</v>
      </c>
      <c r="AT25" s="18">
        <f>SUMIFS(ps!$N:$N,ps!$B:$B,喷水汇总表!$A25,ps!$I:$I,喷水汇总表!$X$4&amp;"/"&amp;喷水汇总表!$Y$4&amp;"/"&amp;喷水汇总表!AT$5)</f>
        <v>0</v>
      </c>
      <c r="AU25" s="18">
        <f>SUMIFS(ps!$N:$N,ps!$B:$B,喷水汇总表!$A25,ps!$I:$I,喷水汇总表!$X$4&amp;"/"&amp;喷水汇总表!$Y$4&amp;"/"&amp;喷水汇总表!AU$5)</f>
        <v>0</v>
      </c>
      <c r="AV25" s="18">
        <f>SUMIFS(ps!$N:$N,ps!$B:$B,喷水汇总表!$A25,ps!$I:$I,喷水汇总表!$X$4&amp;"/"&amp;喷水汇总表!$Y$4&amp;"/"&amp;喷水汇总表!AV$5)</f>
        <v>0</v>
      </c>
      <c r="AW25" s="18">
        <f>SUMIFS(ps!$N:$N,ps!$B:$B,喷水汇总表!$A25,ps!$I:$I,喷水汇总表!$X$4&amp;"/"&amp;喷水汇总表!$Y$4&amp;"/"&amp;喷水汇总表!AW$5)</f>
        <v>0</v>
      </c>
      <c r="AX25" s="18">
        <f>SUMIFS(ps!$N:$N,ps!$B:$B,喷水汇总表!$A25,ps!$I:$I,喷水汇总表!$X$4&amp;"/"&amp;喷水汇总表!$Y$4&amp;"/"&amp;喷水汇总表!AX$5)</f>
        <v>0</v>
      </c>
      <c r="AY25" s="18">
        <f>SUMIFS(ps!$N:$N,ps!$B:$B,喷水汇总表!$A25,ps!$I:$I,喷水汇总表!$X$4&amp;"/"&amp;喷水汇总表!$Y$4&amp;"/"&amp;喷水汇总表!AY$5)</f>
        <v>0</v>
      </c>
      <c r="AZ25" s="18">
        <f>SUMIFS(ps!$N:$N,ps!$B:$B,喷水汇总表!$A25,ps!$I:$I,喷水汇总表!$X$4&amp;"/"&amp;喷水汇总表!$Y$4&amp;"/"&amp;喷水汇总表!AZ$5)</f>
        <v>0</v>
      </c>
      <c r="BA25" s="18">
        <f>SUMIFS(ps!$N:$N,ps!$B:$B,喷水汇总表!$A25,ps!$I:$I,喷水汇总表!$X$4&amp;"/"&amp;喷水汇总表!$Y$4&amp;"/"&amp;喷水汇总表!BA$5)</f>
        <v>0</v>
      </c>
      <c r="BB25" s="18">
        <f>SUMIFS(ps!$N:$N,ps!$B:$B,喷水汇总表!$A25,ps!$I:$I,喷水汇总表!$X$4&amp;"/"&amp;喷水汇总表!$Y$4&amp;"/"&amp;喷水汇总表!BB$5)</f>
        <v>0</v>
      </c>
      <c r="BC25" s="18">
        <f>SUMIFS(ps!$N:$N,ps!$B:$B,喷水汇总表!$A25,ps!$I:$I,喷水汇总表!$X$4&amp;"/"&amp;喷水汇总表!$Y$4&amp;"/"&amp;喷水汇总表!BC$5)</f>
        <v>0</v>
      </c>
    </row>
    <row r="26" spans="1:58" ht="18" customHeight="1">
      <c r="A26" s="96" t="s">
        <v>1088</v>
      </c>
      <c r="B26" s="176" t="str">
        <f>IF(A26="","",VLOOKUP(A26,经纬!B:C,2,FALSE))</f>
        <v>75*150</v>
      </c>
      <c r="C26" s="176" t="str">
        <f t="shared" si="0"/>
        <v>190.5</v>
      </c>
      <c r="D26" s="176">
        <f>IF(A26="","",VLOOKUP(A26,经纬!B:G,6,FALSE))</f>
        <v>58</v>
      </c>
      <c r="E26" s="44">
        <f>IF($T$4="",SUMIFS(ps!$N:$N,ps!$B:$B,喷水汇总表!$A26,ps!$H:$H,喷水汇总表!E$5,ps!$R:$R,喷水汇总表!$Y$4),SUMIFS(ps!$N:$N,ps!$B:$B,喷水汇总表!$A26,ps!$H:$H,喷水汇总表!E$5,ps!$I:$I,喷水汇总表!$T$4))</f>
        <v>0</v>
      </c>
      <c r="F26" s="44">
        <f>IF($T$4="",SUMIFS(ps!$N:$N,ps!$B:$B,喷水汇总表!$A26,ps!$H:$H,喷水汇总表!F$5,ps!$R:$R,喷水汇总表!$Y$4),SUMIFS(ps!$N:$N,ps!$B:$B,喷水汇总表!$A26,ps!$H:$H,喷水汇总表!F$5,ps!$I:$I,喷水汇总表!$T$4))</f>
        <v>27475</v>
      </c>
      <c r="G26" s="44">
        <f>IF($T$4="",SUMIFS(ps!$N:$N,ps!$B:$B,喷水汇总表!$A26,ps!$H:$H,喷水汇总表!G$5,ps!$R:$R,喷水汇总表!$Y$4),SUMIFS(ps!$N:$N,ps!$B:$B,喷水汇总表!$A26,ps!$H:$H,喷水汇总表!G$5,ps!$I:$I,喷水汇总表!$T$4))</f>
        <v>0</v>
      </c>
      <c r="H26" s="248">
        <f>IF($T$4="",SUMIFS(ps!$N:$N,ps!$B:$B,喷水汇总表!$A26,ps!$G:$G,喷水汇总表!H$5,ps!$R:$R,喷水汇总表!$Y$4),SUMIFS(ps!$N:$N,ps!$B:$B,喷水汇总表!$A26,ps!$G:$G,喷水汇总表!H$5,ps!$I:$I,喷水汇总表!$T$4))</f>
        <v>0</v>
      </c>
      <c r="I26" s="248">
        <f>IF($T$4="",SUMIFS(ps!$N:$N,ps!$B:$B,喷水汇总表!$A26,ps!$G:$G,喷水汇总表!I$5,ps!$R:$R,喷水汇总表!$Y$4),SUMIFS(ps!$N:$N,ps!$B:$B,喷水汇总表!$A26,ps!$G:$G,喷水汇总表!I$5,ps!$I:$I,喷水汇总表!$T$4))</f>
        <v>26824</v>
      </c>
      <c r="J26" s="248">
        <f>IF($T$4="",SUMIFS(ps!$N:$N,ps!$B:$B,喷水汇总表!$A26,ps!$G:$G,喷水汇总表!J$5,ps!$R:$R,喷水汇总表!$Y$4),SUMIFS(ps!$N:$N,ps!$B:$B,喷水汇总表!$A26,ps!$G:$G,喷水汇总表!J$5,ps!$I:$I,喷水汇总表!$T$4))</f>
        <v>0</v>
      </c>
      <c r="K26" s="248">
        <f>IF($T$4="",SUMIFS(ps!$N:$N,ps!$B:$B,喷水汇总表!$A26,ps!$G:$G,喷水汇总表!K$5,ps!$R:$R,喷水汇总表!$Y$4),SUMIFS(ps!$N:$N,ps!$B:$B,喷水汇总表!$A26,ps!$G:$G,喷水汇总表!K$5,ps!$I:$I,喷水汇总表!$T$4))</f>
        <v>0</v>
      </c>
      <c r="L26" s="248">
        <f>IF($T$4="",SUMIFS(ps!$N:$N,ps!$B:$B,喷水汇总表!$A26,ps!$G:$G,喷水汇总表!L$5,ps!$R:$R,喷水汇总表!$Y$4),SUMIFS(ps!$N:$N,ps!$B:$B,喷水汇总表!$A26,ps!$G:$G,喷水汇总表!L$5,ps!$I:$I,喷水汇总表!$T$4))</f>
        <v>651</v>
      </c>
      <c r="M26" s="248">
        <f>IF($T$4="",SUMIFS(ps!$N:$N,ps!$B:$B,喷水汇总表!$A26,ps!$G:$G,喷水汇总表!M$5,ps!$R:$R,喷水汇总表!$Y$4),SUMIFS(ps!$N:$N,ps!$B:$B,喷水汇总表!$A26,ps!$G:$G,喷水汇总表!M$5,ps!$I:$I,喷水汇总表!$T$4))</f>
        <v>0</v>
      </c>
      <c r="N26" s="248">
        <f>IF($T$4="",SUMIFS(ps!$N:$N,ps!$B:$B,喷水汇总表!$A26,ps!$G:$G,喷水汇总表!N$5,ps!$R:$R,喷水汇总表!$Y$4),SUMIFS(ps!$N:$N,ps!$B:$B,喷水汇总表!$A26,ps!$G:$G,喷水汇总表!N$5,ps!$I:$I,喷水汇总表!$T$4))</f>
        <v>0</v>
      </c>
      <c r="O26" s="248">
        <f>IF($T$4="",SUMIFS(ps!$L:$L,ps!$B:$B,喷水汇总表!$A26,ps!$J:$J,喷水汇总表!O$5,ps!$F:$F,喷水汇总表!$W$4,ps!$R:$R,喷水汇总表!$Y$4)+SUMIFS(ps!$M:$M,ps!$B:$B,喷水汇总表!$A26,ps!$K:$K,喷水汇总表!O$5,ps!$F:$F,喷水汇总表!$W$4,ps!$R:$R,喷水汇总表!$Y$4),SUMIFS(ps!$L:$L,ps!$B:$B,喷水汇总表!$A26,ps!$J:$J,喷水汇总表!O$5,ps!$F:$F,喷水汇总表!$W$4,ps!$I:$I,喷水汇总表!$T$4)+SUMIFS(ps!$M:$M,ps!$B:$B,喷水汇总表!$A26,ps!$K:$K,喷水汇总表!O$5,ps!$F:$F,喷水汇总表!$W$4,ps!$I:$I,喷水汇总表!$T$4))</f>
        <v>0</v>
      </c>
      <c r="P26" s="248">
        <f>IF($T$4="",SUMIFS(ps!$L:$L,ps!$B:$B,喷水汇总表!$A26,ps!$J:$J,喷水汇总表!P$5,ps!$F:$F,喷水汇总表!$W$4,ps!$R:$R,喷水汇总表!$Y$4)+SUMIFS(ps!$M:$M,ps!$B:$B,喷水汇总表!$A26,ps!$K:$K,喷水汇总表!P$5,ps!$F:$F,喷水汇总表!$W$4,ps!$R:$R,喷水汇总表!$Y$4),SUMIFS(ps!$L:$L,ps!$B:$B,喷水汇总表!$A26,ps!$J:$J,喷水汇总表!P$5,ps!$F:$F,喷水汇总表!$W$4,ps!$I:$I,喷水汇总表!$T$4)+SUMIFS(ps!$M:$M,ps!$B:$B,喷水汇总表!$A26,ps!$K:$K,喷水汇总表!P$5,ps!$F:$F,喷水汇总表!$W$4,ps!$I:$I,喷水汇总表!$T$4))</f>
        <v>0</v>
      </c>
      <c r="Q26" s="248">
        <f>IF($T$4="",SUMIFS(ps!$L:$L,ps!$B:$B,喷水汇总表!$A26,ps!$J:$J,喷水汇总表!Q$5,ps!$F:$F,喷水汇总表!$W$4,ps!$R:$R,喷水汇总表!$Y$4)+SUMIFS(ps!$M:$M,ps!$B:$B,喷水汇总表!$A26,ps!$K:$K,喷水汇总表!Q$5,ps!$F:$F,喷水汇总表!$W$4,ps!$R:$R,喷水汇总表!$Y$4),SUMIFS(ps!$L:$L,ps!$B:$B,喷水汇总表!$A26,ps!$J:$J,喷水汇总表!Q$5,ps!$F:$F,喷水汇总表!$W$4,ps!$I:$I,喷水汇总表!$T$4)+SUMIFS(ps!$M:$M,ps!$B:$B,喷水汇总表!$A26,ps!$K:$K,喷水汇总表!Q$5,ps!$F:$F,喷水汇总表!$W$4,ps!$I:$I,喷水汇总表!$T$4))</f>
        <v>0</v>
      </c>
      <c r="R26" s="248">
        <f>IF($T$4="",SUMIFS(ps!$L:$L,ps!$B:$B,喷水汇总表!$A26,ps!$J:$J,喷水汇总表!R$5,ps!$F:$F,喷水汇总表!$W$4,ps!$R:$R,喷水汇总表!$Y$4)+SUMIFS(ps!$M:$M,ps!$B:$B,喷水汇总表!$A26,ps!$K:$K,喷水汇总表!R$5,ps!$F:$F,喷水汇总表!$W$4,ps!$R:$R,喷水汇总表!$Y$4),SUMIFS(ps!$L:$L,ps!$B:$B,喷水汇总表!$A26,ps!$J:$J,喷水汇总表!R$5,ps!$F:$F,喷水汇总表!$W$4,ps!$I:$I,喷水汇总表!$T$4)+SUMIFS(ps!$M:$M,ps!$B:$B,喷水汇总表!$A26,ps!$K:$K,喷水汇总表!R$5,ps!$F:$F,喷水汇总表!$W$4,ps!$I:$I,喷水汇总表!$T$4))</f>
        <v>0</v>
      </c>
      <c r="S26" s="248">
        <f>IF($T$4="",SUMIFS(ps!$L:$L,ps!$B:$B,喷水汇总表!$A26,ps!$J:$J,喷水汇总表!S$5,ps!$F:$F,喷水汇总表!$W$4,ps!$R:$R,喷水汇总表!$Y$4)+SUMIFS(ps!$M:$M,ps!$B:$B,喷水汇总表!$A26,ps!$K:$K,喷水汇总表!S$5,ps!$F:$F,喷水汇总表!$W$4,ps!$R:$R,喷水汇总表!$Y$4),SUMIFS(ps!$L:$L,ps!$B:$B,喷水汇总表!$A26,ps!$J:$J,喷水汇总表!S$5,ps!$F:$F,喷水汇总表!$W$4,ps!$I:$I,喷水汇总表!$T$4)+SUMIFS(ps!$M:$M,ps!$B:$B,喷水汇总表!$A26,ps!$K:$K,喷水汇总表!S$5,ps!$F:$F,喷水汇总表!$W$4,ps!$I:$I,喷水汇总表!$T$4))</f>
        <v>489.03593999999993</v>
      </c>
      <c r="T26" s="248">
        <f>IF($T$4="",SUMIFS(ps!$L:$L,ps!$B:$B,喷水汇总表!$A26,ps!$J:$J,喷水汇总表!T$5,ps!$F:$F,喷水汇总表!$W$4,ps!$R:$R,喷水汇总表!$Y$4)+SUMIFS(ps!$M:$M,ps!$B:$B,喷水汇总表!$A26,ps!$K:$K,喷水汇总表!T$5,ps!$F:$F,喷水汇总表!$W$4,ps!$R:$R,喷水汇总表!$Y$4),SUMIFS(ps!$L:$L,ps!$B:$B,喷水汇总表!$A26,ps!$J:$J,喷水汇总表!T$5,ps!$F:$F,喷水汇总表!$W$4,ps!$I:$I,喷水汇总表!$T$4)+SUMIFS(ps!$M:$M,ps!$B:$B,喷水汇总表!$A26,ps!$K:$K,喷水汇总表!T$5,ps!$F:$F,喷水汇总表!$W$4,ps!$I:$I,喷水汇总表!$T$4))</f>
        <v>0</v>
      </c>
      <c r="U26" s="248">
        <f>IF($T$4="",SUMIFS(ps!$L:$L,ps!$B:$B,喷水汇总表!$A26,ps!$J:$J,喷水汇总表!U$5,ps!$F:$F,喷水汇总表!$W$4,ps!$R:$R,喷水汇总表!$Y$4)+SUMIFS(ps!$M:$M,ps!$B:$B,喷水汇总表!$A26,ps!$K:$K,喷水汇总表!U$5,ps!$F:$F,喷水汇总表!$W$4,ps!$R:$R,喷水汇总表!$Y$4),SUMIFS(ps!$L:$L,ps!$B:$B,喷水汇总表!$A26,ps!$J:$J,喷水汇总表!U$5,ps!$F:$F,喷水汇总表!$W$4,ps!$I:$I,喷水汇总表!$T$4)+SUMIFS(ps!$M:$M,ps!$B:$B,喷水汇总表!$A26,ps!$K:$K,喷水汇总表!U$5,ps!$F:$F,喷水汇总表!$W$4,ps!$I:$I,喷水汇总表!$T$4))</f>
        <v>604.89208169291339</v>
      </c>
      <c r="V26" s="248">
        <f>IF($T$4="",SUMIFS(ps!$L:$L,ps!$B:$B,喷水汇总表!$A26,ps!$J:$J,喷水汇总表!V$5,ps!$F:$F,喷水汇总表!$W$4,ps!$R:$R,喷水汇总表!$Y$4)+SUMIFS(ps!$M:$M,ps!$B:$B,喷水汇总表!$A26,ps!$K:$K,喷水汇总表!V$5,ps!$F:$F,喷水汇总表!$W$4,ps!$R:$R,喷水汇总表!$Y$4),SUMIFS(ps!$L:$L,ps!$B:$B,喷水汇总表!$A26,ps!$J:$J,喷水汇总表!V$5,ps!$F:$F,喷水汇总表!$W$4,ps!$I:$I,喷水汇总表!$T$4)+SUMIFS(ps!$M:$M,ps!$B:$B,喷水汇总表!$A26,ps!$K:$K,喷水汇总表!V$5,ps!$F:$F,喷水汇总表!$W$4,ps!$I:$I,喷水汇总表!$T$4))</f>
        <v>0</v>
      </c>
      <c r="W26" s="248">
        <f>IF($T$4="",SUMIFS(ps!$L:$L,ps!$B:$B,喷水汇总表!$A26,ps!$J:$J,喷水汇总表!W$5,ps!$F:$F,喷水汇总表!$W$4,ps!$R:$R,喷水汇总表!$Y$4)+SUMIFS(ps!$M:$M,ps!$B:$B,喷水汇总表!$A26,ps!$K:$K,喷水汇总表!W$5,ps!$F:$F,喷水汇总表!$W$4,ps!$R:$R,喷水汇总表!$Y$4),SUMIFS(ps!$L:$L,ps!$B:$B,喷水汇总表!$A26,ps!$J:$J,喷水汇总表!W$5,ps!$F:$F,喷水汇总表!$W$4,ps!$I:$I,喷水汇总表!$T$4)+SUMIFS(ps!$M:$M,ps!$B:$B,喷水汇总表!$A26,ps!$K:$K,喷水汇总表!W$5,ps!$F:$F,喷水汇总表!$W$4,ps!$I:$I,喷水汇总表!$T$4))</f>
        <v>0</v>
      </c>
      <c r="X26" s="15">
        <f t="shared" si="1"/>
        <v>39705</v>
      </c>
      <c r="Y26" s="18">
        <f>SUMIFS(ps!$N:$N,ps!$B:$B,喷水汇总表!$A26,ps!$I:$I,喷水汇总表!$X$4&amp;"/"&amp;喷水汇总表!$Y$4&amp;"/"&amp;喷水汇总表!Y$5)</f>
        <v>0</v>
      </c>
      <c r="Z26" s="18">
        <f>SUMIFS(ps!$N:$N,ps!$B:$B,喷水汇总表!$A26,ps!$I:$I,喷水汇总表!$X$4&amp;"/"&amp;喷水汇总表!$Y$4&amp;"/"&amp;喷水汇总表!Z$5)</f>
        <v>12230</v>
      </c>
      <c r="AA26" s="18">
        <f>SUMIFS(ps!$N:$N,ps!$B:$B,喷水汇总表!$A26,ps!$I:$I,喷水汇总表!$X$4&amp;"/"&amp;喷水汇总表!$Y$4&amp;"/"&amp;喷水汇总表!AA$5)</f>
        <v>0</v>
      </c>
      <c r="AB26" s="18">
        <f>SUMIFS(ps!$N:$N,ps!$B:$B,喷水汇总表!$A26,ps!$I:$I,喷水汇总表!$X$4&amp;"/"&amp;喷水汇总表!$Y$4&amp;"/"&amp;喷水汇总表!AB$5)</f>
        <v>0</v>
      </c>
      <c r="AC26" s="18">
        <f>SUMIFS(ps!$N:$N,ps!$B:$B,喷水汇总表!$A26,ps!$I:$I,喷水汇总表!$X$4&amp;"/"&amp;喷水汇总表!$Y$4&amp;"/"&amp;喷水汇总表!AC$5)</f>
        <v>27475</v>
      </c>
      <c r="AD26" s="18">
        <f>SUMIFS(ps!$N:$N,ps!$B:$B,喷水汇总表!$A26,ps!$I:$I,喷水汇总表!$X$4&amp;"/"&amp;喷水汇总表!$Y$4&amp;"/"&amp;喷水汇总表!AD$5)</f>
        <v>0</v>
      </c>
      <c r="AE26" s="18">
        <f>SUMIFS(ps!$N:$N,ps!$B:$B,喷水汇总表!$A26,ps!$I:$I,喷水汇总表!$X$4&amp;"/"&amp;喷水汇总表!$Y$4&amp;"/"&amp;喷水汇总表!AE$5)</f>
        <v>0</v>
      </c>
      <c r="AF26" s="18">
        <f>SUMIFS(ps!$N:$N,ps!$B:$B,喷水汇总表!$A26,ps!$I:$I,喷水汇总表!$X$4&amp;"/"&amp;喷水汇总表!$Y$4&amp;"/"&amp;喷水汇总表!AF$5)</f>
        <v>0</v>
      </c>
      <c r="AG26" s="18">
        <f>SUMIFS(ps!$N:$N,ps!$B:$B,喷水汇总表!$A26,ps!$I:$I,喷水汇总表!$X$4&amp;"/"&amp;喷水汇总表!$Y$4&amp;"/"&amp;喷水汇总表!AG$5)</f>
        <v>0</v>
      </c>
      <c r="AH26" s="18">
        <f>SUMIFS(ps!$N:$N,ps!$B:$B,喷水汇总表!$A26,ps!$I:$I,喷水汇总表!$X$4&amp;"/"&amp;喷水汇总表!$Y$4&amp;"/"&amp;喷水汇总表!AH$5)</f>
        <v>0</v>
      </c>
      <c r="AI26" s="18">
        <f>SUMIFS(ps!$N:$N,ps!$B:$B,喷水汇总表!$A26,ps!$I:$I,喷水汇总表!$X$4&amp;"/"&amp;喷水汇总表!$Y$4&amp;"/"&amp;喷水汇总表!AI$5)</f>
        <v>0</v>
      </c>
      <c r="AJ26" s="18">
        <f>SUMIFS(ps!$N:$N,ps!$B:$B,喷水汇总表!$A26,ps!$I:$I,喷水汇总表!$X$4&amp;"/"&amp;喷水汇总表!$Y$4&amp;"/"&amp;喷水汇总表!AJ$5)</f>
        <v>0</v>
      </c>
      <c r="AK26" s="18">
        <f>SUMIFS(ps!$N:$N,ps!$B:$B,喷水汇总表!$A26,ps!$I:$I,喷水汇总表!$X$4&amp;"/"&amp;喷水汇总表!$Y$4&amp;"/"&amp;喷水汇总表!AK$5)</f>
        <v>0</v>
      </c>
      <c r="AL26" s="18">
        <f>SUMIFS(ps!$N:$N,ps!$B:$B,喷水汇总表!$A26,ps!$I:$I,喷水汇总表!$X$4&amp;"/"&amp;喷水汇总表!$Y$4&amp;"/"&amp;喷水汇总表!AL$5)</f>
        <v>0</v>
      </c>
      <c r="AM26" s="18">
        <f>SUMIFS(ps!$N:$N,ps!$B:$B,喷水汇总表!$A26,ps!$I:$I,喷水汇总表!$X$4&amp;"/"&amp;喷水汇总表!$Y$4&amp;"/"&amp;喷水汇总表!AM$5)</f>
        <v>0</v>
      </c>
      <c r="AN26" s="18">
        <f>SUMIFS(ps!$N:$N,ps!$B:$B,喷水汇总表!$A26,ps!$I:$I,喷水汇总表!$X$4&amp;"/"&amp;喷水汇总表!$Y$4&amp;"/"&amp;喷水汇总表!AN$5)</f>
        <v>0</v>
      </c>
      <c r="AO26" s="18">
        <f>SUMIFS(ps!$N:$N,ps!$B:$B,喷水汇总表!$A26,ps!$I:$I,喷水汇总表!$X$4&amp;"/"&amp;喷水汇总表!$Y$4&amp;"/"&amp;喷水汇总表!AO$5)</f>
        <v>0</v>
      </c>
      <c r="AP26" s="18">
        <f>SUMIFS(ps!$N:$N,ps!$B:$B,喷水汇总表!$A26,ps!$I:$I,喷水汇总表!$X$4&amp;"/"&amp;喷水汇总表!$Y$4&amp;"/"&amp;喷水汇总表!AP$5)</f>
        <v>0</v>
      </c>
      <c r="AQ26" s="18">
        <f>SUMIFS(ps!$N:$N,ps!$B:$B,喷水汇总表!$A26,ps!$I:$I,喷水汇总表!$X$4&amp;"/"&amp;喷水汇总表!$Y$4&amp;"/"&amp;喷水汇总表!AQ$5)</f>
        <v>0</v>
      </c>
      <c r="AR26" s="18">
        <f>SUMIFS(ps!$N:$N,ps!$B:$B,喷水汇总表!$A26,ps!$I:$I,喷水汇总表!$X$4&amp;"/"&amp;喷水汇总表!$Y$4&amp;"/"&amp;喷水汇总表!AR$5)</f>
        <v>0</v>
      </c>
      <c r="AS26" s="18">
        <f>SUMIFS(ps!$N:$N,ps!$B:$B,喷水汇总表!$A26,ps!$I:$I,喷水汇总表!$X$4&amp;"/"&amp;喷水汇总表!$Y$4&amp;"/"&amp;喷水汇总表!AS$5)</f>
        <v>0</v>
      </c>
      <c r="AT26" s="18">
        <f>SUMIFS(ps!$N:$N,ps!$B:$B,喷水汇总表!$A26,ps!$I:$I,喷水汇总表!$X$4&amp;"/"&amp;喷水汇总表!$Y$4&amp;"/"&amp;喷水汇总表!AT$5)</f>
        <v>0</v>
      </c>
      <c r="AU26" s="18">
        <f>SUMIFS(ps!$N:$N,ps!$B:$B,喷水汇总表!$A26,ps!$I:$I,喷水汇总表!$X$4&amp;"/"&amp;喷水汇总表!$Y$4&amp;"/"&amp;喷水汇总表!AU$5)</f>
        <v>0</v>
      </c>
      <c r="AV26" s="18">
        <f>SUMIFS(ps!$N:$N,ps!$B:$B,喷水汇总表!$A26,ps!$I:$I,喷水汇总表!$X$4&amp;"/"&amp;喷水汇总表!$Y$4&amp;"/"&amp;喷水汇总表!AV$5)</f>
        <v>0</v>
      </c>
      <c r="AW26" s="18">
        <f>SUMIFS(ps!$N:$N,ps!$B:$B,喷水汇总表!$A26,ps!$I:$I,喷水汇总表!$X$4&amp;"/"&amp;喷水汇总表!$Y$4&amp;"/"&amp;喷水汇总表!AW$5)</f>
        <v>0</v>
      </c>
      <c r="AX26" s="18">
        <f>SUMIFS(ps!$N:$N,ps!$B:$B,喷水汇总表!$A26,ps!$I:$I,喷水汇总表!$X$4&amp;"/"&amp;喷水汇总表!$Y$4&amp;"/"&amp;喷水汇总表!AX$5)</f>
        <v>0</v>
      </c>
      <c r="AY26" s="18">
        <f>SUMIFS(ps!$N:$N,ps!$B:$B,喷水汇总表!$A26,ps!$I:$I,喷水汇总表!$X$4&amp;"/"&amp;喷水汇总表!$Y$4&amp;"/"&amp;喷水汇总表!AY$5)</f>
        <v>0</v>
      </c>
      <c r="AZ26" s="18">
        <f>SUMIFS(ps!$N:$N,ps!$B:$B,喷水汇总表!$A26,ps!$I:$I,喷水汇总表!$X$4&amp;"/"&amp;喷水汇总表!$Y$4&amp;"/"&amp;喷水汇总表!AZ$5)</f>
        <v>0</v>
      </c>
      <c r="BA26" s="18">
        <f>SUMIFS(ps!$N:$N,ps!$B:$B,喷水汇总表!$A26,ps!$I:$I,喷水汇总表!$X$4&amp;"/"&amp;喷水汇总表!$Y$4&amp;"/"&amp;喷水汇总表!BA$5)</f>
        <v>0</v>
      </c>
      <c r="BB26" s="18">
        <f>SUMIFS(ps!$N:$N,ps!$B:$B,喷水汇总表!$A26,ps!$I:$I,喷水汇总表!$X$4&amp;"/"&amp;喷水汇总表!$Y$4&amp;"/"&amp;喷水汇总表!BB$5)</f>
        <v>0</v>
      </c>
      <c r="BC26" s="18">
        <f>SUMIFS(ps!$N:$N,ps!$B:$B,喷水汇总表!$A26,ps!$I:$I,喷水汇总表!$X$4&amp;"/"&amp;喷水汇总表!$Y$4&amp;"/"&amp;喷水汇总表!BC$5)</f>
        <v>0</v>
      </c>
    </row>
    <row r="27" spans="1:58" ht="18" customHeight="1">
      <c r="A27" s="96" t="s">
        <v>1121</v>
      </c>
      <c r="B27" s="176" t="str">
        <f>IF(A27="","",VLOOKUP(A27,经纬!B:C,2,FALSE))</f>
        <v>75*150</v>
      </c>
      <c r="C27" s="176" t="str">
        <f t="shared" si="0"/>
        <v>188</v>
      </c>
      <c r="D27" s="176">
        <f>IF(A27="","",VLOOKUP(A27,经纬!B:G,6,FALSE))</f>
        <v>54</v>
      </c>
      <c r="E27" s="44">
        <f>IF($T$4="",SUMIFS(ps!$N:$N,ps!$B:$B,喷水汇总表!$A27,ps!$H:$H,喷水汇总表!E$5,ps!$R:$R,喷水汇总表!$Y$4),SUMIFS(ps!$N:$N,ps!$B:$B,喷水汇总表!$A27,ps!$H:$H,喷水汇总表!E$5,ps!$I:$I,喷水汇总表!$T$4))</f>
        <v>0</v>
      </c>
      <c r="F27" s="44">
        <f>IF($T$4="",SUMIFS(ps!$N:$N,ps!$B:$B,喷水汇总表!$A27,ps!$H:$H,喷水汇总表!F$5,ps!$R:$R,喷水汇总表!$Y$4),SUMIFS(ps!$N:$N,ps!$B:$B,喷水汇总表!$A27,ps!$H:$H,喷水汇总表!F$5,ps!$I:$I,喷水汇总表!$T$4))</f>
        <v>0</v>
      </c>
      <c r="G27" s="44">
        <f>IF($T$4="",SUMIFS(ps!$N:$N,ps!$B:$B,喷水汇总表!$A27,ps!$H:$H,喷水汇总表!G$5,ps!$R:$R,喷水汇总表!$Y$4),SUMIFS(ps!$N:$N,ps!$B:$B,喷水汇总表!$A27,ps!$H:$H,喷水汇总表!G$5,ps!$I:$I,喷水汇总表!$T$4))</f>
        <v>0</v>
      </c>
      <c r="H27" s="248">
        <f>IF($T$4="",SUMIFS(ps!$N:$N,ps!$B:$B,喷水汇总表!$A27,ps!$G:$G,喷水汇总表!H$5,ps!$R:$R,喷水汇总表!$Y$4),SUMIFS(ps!$N:$N,ps!$B:$B,喷水汇总表!$A27,ps!$G:$G,喷水汇总表!H$5,ps!$I:$I,喷水汇总表!$T$4))</f>
        <v>0</v>
      </c>
      <c r="I27" s="248">
        <f>IF($T$4="",SUMIFS(ps!$N:$N,ps!$B:$B,喷水汇总表!$A27,ps!$G:$G,喷水汇总表!I$5,ps!$R:$R,喷水汇总表!$Y$4),SUMIFS(ps!$N:$N,ps!$B:$B,喷水汇总表!$A27,ps!$G:$G,喷水汇总表!I$5,ps!$I:$I,喷水汇总表!$T$4))</f>
        <v>0</v>
      </c>
      <c r="J27" s="248">
        <f>IF($T$4="",SUMIFS(ps!$N:$N,ps!$B:$B,喷水汇总表!$A27,ps!$G:$G,喷水汇总表!J$5,ps!$R:$R,喷水汇总表!$Y$4),SUMIFS(ps!$N:$N,ps!$B:$B,喷水汇总表!$A27,ps!$G:$G,喷水汇总表!J$5,ps!$I:$I,喷水汇总表!$T$4))</f>
        <v>0</v>
      </c>
      <c r="K27" s="248">
        <f>IF($T$4="",SUMIFS(ps!$N:$N,ps!$B:$B,喷水汇总表!$A27,ps!$G:$G,喷水汇总表!K$5,ps!$R:$R,喷水汇总表!$Y$4),SUMIFS(ps!$N:$N,ps!$B:$B,喷水汇总表!$A27,ps!$G:$G,喷水汇总表!K$5,ps!$I:$I,喷水汇总表!$T$4))</f>
        <v>0</v>
      </c>
      <c r="L27" s="248">
        <f>IF($T$4="",SUMIFS(ps!$N:$N,ps!$B:$B,喷水汇总表!$A27,ps!$G:$G,喷水汇总表!L$5,ps!$R:$R,喷水汇总表!$Y$4),SUMIFS(ps!$N:$N,ps!$B:$B,喷水汇总表!$A27,ps!$G:$G,喷水汇总表!L$5,ps!$I:$I,喷水汇总表!$T$4))</f>
        <v>0</v>
      </c>
      <c r="M27" s="248">
        <f>IF($T$4="",SUMIFS(ps!$N:$N,ps!$B:$B,喷水汇总表!$A27,ps!$G:$G,喷水汇总表!M$5,ps!$R:$R,喷水汇总表!$Y$4),SUMIFS(ps!$N:$N,ps!$B:$B,喷水汇总表!$A27,ps!$G:$G,喷水汇总表!M$5,ps!$I:$I,喷水汇总表!$T$4))</f>
        <v>0</v>
      </c>
      <c r="N27" s="248">
        <f>IF($T$4="",SUMIFS(ps!$N:$N,ps!$B:$B,喷水汇总表!$A27,ps!$G:$G,喷水汇总表!N$5,ps!$R:$R,喷水汇总表!$Y$4),SUMIFS(ps!$N:$N,ps!$B:$B,喷水汇总表!$A27,ps!$G:$G,喷水汇总表!N$5,ps!$I:$I,喷水汇总表!$T$4))</f>
        <v>0</v>
      </c>
      <c r="O27" s="248">
        <f>IF($T$4="",SUMIFS(ps!$L:$L,ps!$B:$B,喷水汇总表!$A27,ps!$J:$J,喷水汇总表!O$5,ps!$F:$F,喷水汇总表!$W$4,ps!$R:$R,喷水汇总表!$Y$4)+SUMIFS(ps!$M:$M,ps!$B:$B,喷水汇总表!$A27,ps!$K:$K,喷水汇总表!O$5,ps!$F:$F,喷水汇总表!$W$4,ps!$R:$R,喷水汇总表!$Y$4),SUMIFS(ps!$L:$L,ps!$B:$B,喷水汇总表!$A27,ps!$J:$J,喷水汇总表!O$5,ps!$F:$F,喷水汇总表!$W$4,ps!$I:$I,喷水汇总表!$T$4)+SUMIFS(ps!$M:$M,ps!$B:$B,喷水汇总表!$A27,ps!$K:$K,喷水汇总表!O$5,ps!$F:$F,喷水汇总表!$W$4,ps!$I:$I,喷水汇总表!$T$4))</f>
        <v>0</v>
      </c>
      <c r="P27" s="248">
        <f>IF($T$4="",SUMIFS(ps!$L:$L,ps!$B:$B,喷水汇总表!$A27,ps!$J:$J,喷水汇总表!P$5,ps!$F:$F,喷水汇总表!$W$4,ps!$R:$R,喷水汇总表!$Y$4)+SUMIFS(ps!$M:$M,ps!$B:$B,喷水汇总表!$A27,ps!$K:$K,喷水汇总表!P$5,ps!$F:$F,喷水汇总表!$W$4,ps!$R:$R,喷水汇总表!$Y$4),SUMIFS(ps!$L:$L,ps!$B:$B,喷水汇总表!$A27,ps!$J:$J,喷水汇总表!P$5,ps!$F:$F,喷水汇总表!$W$4,ps!$I:$I,喷水汇总表!$T$4)+SUMIFS(ps!$M:$M,ps!$B:$B,喷水汇总表!$A27,ps!$K:$K,喷水汇总表!P$5,ps!$F:$F,喷水汇总表!$W$4,ps!$I:$I,喷水汇总表!$T$4))</f>
        <v>0</v>
      </c>
      <c r="Q27" s="248">
        <f>IF($T$4="",SUMIFS(ps!$L:$L,ps!$B:$B,喷水汇总表!$A27,ps!$J:$J,喷水汇总表!Q$5,ps!$F:$F,喷水汇总表!$W$4,ps!$R:$R,喷水汇总表!$Y$4)+SUMIFS(ps!$M:$M,ps!$B:$B,喷水汇总表!$A27,ps!$K:$K,喷水汇总表!Q$5,ps!$F:$F,喷水汇总表!$W$4,ps!$R:$R,喷水汇总表!$Y$4),SUMIFS(ps!$L:$L,ps!$B:$B,喷水汇总表!$A27,ps!$J:$J,喷水汇总表!Q$5,ps!$F:$F,喷水汇总表!$W$4,ps!$I:$I,喷水汇总表!$T$4)+SUMIFS(ps!$M:$M,ps!$B:$B,喷水汇总表!$A27,ps!$K:$K,喷水汇总表!Q$5,ps!$F:$F,喷水汇总表!$W$4,ps!$I:$I,喷水汇总表!$T$4))</f>
        <v>0</v>
      </c>
      <c r="R27" s="248">
        <f>IF($T$4="",SUMIFS(ps!$L:$L,ps!$B:$B,喷水汇总表!$A27,ps!$J:$J,喷水汇总表!R$5,ps!$F:$F,喷水汇总表!$W$4,ps!$R:$R,喷水汇总表!$Y$4)+SUMIFS(ps!$M:$M,ps!$B:$B,喷水汇总表!$A27,ps!$K:$K,喷水汇总表!R$5,ps!$F:$F,喷水汇总表!$W$4,ps!$R:$R,喷水汇总表!$Y$4),SUMIFS(ps!$L:$L,ps!$B:$B,喷水汇总表!$A27,ps!$J:$J,喷水汇总表!R$5,ps!$F:$F,喷水汇总表!$W$4,ps!$I:$I,喷水汇总表!$T$4)+SUMIFS(ps!$M:$M,ps!$B:$B,喷水汇总表!$A27,ps!$K:$K,喷水汇总表!R$5,ps!$F:$F,喷水汇总表!$W$4,ps!$I:$I,喷水汇总表!$T$4))</f>
        <v>0</v>
      </c>
      <c r="S27" s="248">
        <f>IF($T$4="",SUMIFS(ps!$L:$L,ps!$B:$B,喷水汇总表!$A27,ps!$J:$J,喷水汇总表!S$5,ps!$F:$F,喷水汇总表!$W$4,ps!$R:$R,喷水汇总表!$Y$4)+SUMIFS(ps!$M:$M,ps!$B:$B,喷水汇总表!$A27,ps!$K:$K,喷水汇总表!S$5,ps!$F:$F,喷水汇总表!$W$4,ps!$R:$R,喷水汇总表!$Y$4),SUMIFS(ps!$L:$L,ps!$B:$B,喷水汇总表!$A27,ps!$J:$J,喷水汇总表!S$5,ps!$F:$F,喷水汇总表!$W$4,ps!$I:$I,喷水汇总表!$T$4)+SUMIFS(ps!$M:$M,ps!$B:$B,喷水汇总表!$A27,ps!$K:$K,喷水汇总表!S$5,ps!$F:$F,喷水汇总表!$W$4,ps!$I:$I,喷水汇总表!$T$4))</f>
        <v>0</v>
      </c>
      <c r="T27" s="248">
        <f>IF($T$4="",SUMIFS(ps!$L:$L,ps!$B:$B,喷水汇总表!$A27,ps!$J:$J,喷水汇总表!T$5,ps!$F:$F,喷水汇总表!$W$4,ps!$R:$R,喷水汇总表!$Y$4)+SUMIFS(ps!$M:$M,ps!$B:$B,喷水汇总表!$A27,ps!$K:$K,喷水汇总表!T$5,ps!$F:$F,喷水汇总表!$W$4,ps!$R:$R,喷水汇总表!$Y$4),SUMIFS(ps!$L:$L,ps!$B:$B,喷水汇总表!$A27,ps!$J:$J,喷水汇总表!T$5,ps!$F:$F,喷水汇总表!$W$4,ps!$I:$I,喷水汇总表!$T$4)+SUMIFS(ps!$M:$M,ps!$B:$B,喷水汇总表!$A27,ps!$K:$K,喷水汇总表!T$5,ps!$F:$F,喷水汇总表!$W$4,ps!$I:$I,喷水汇总表!$T$4))</f>
        <v>0</v>
      </c>
      <c r="U27" s="248">
        <f>IF($T$4="",SUMIFS(ps!$L:$L,ps!$B:$B,喷水汇总表!$A27,ps!$J:$J,喷水汇总表!U$5,ps!$F:$F,喷水汇总表!$W$4,ps!$R:$R,喷水汇总表!$Y$4)+SUMIFS(ps!$M:$M,ps!$B:$B,喷水汇总表!$A27,ps!$K:$K,喷水汇总表!U$5,ps!$F:$F,喷水汇总表!$W$4,ps!$R:$R,喷水汇总表!$Y$4),SUMIFS(ps!$L:$L,ps!$B:$B,喷水汇总表!$A27,ps!$J:$J,喷水汇总表!U$5,ps!$F:$F,喷水汇总表!$W$4,ps!$I:$I,喷水汇总表!$T$4)+SUMIFS(ps!$M:$M,ps!$B:$B,喷水汇总表!$A27,ps!$K:$K,喷水汇总表!U$5,ps!$F:$F,喷水汇总表!$W$4,ps!$I:$I,喷水汇总表!$T$4))</f>
        <v>0</v>
      </c>
      <c r="V27" s="248">
        <f>IF($T$4="",SUMIFS(ps!$L:$L,ps!$B:$B,喷水汇总表!$A27,ps!$J:$J,喷水汇总表!V$5,ps!$F:$F,喷水汇总表!$W$4,ps!$R:$R,喷水汇总表!$Y$4)+SUMIFS(ps!$M:$M,ps!$B:$B,喷水汇总表!$A27,ps!$K:$K,喷水汇总表!V$5,ps!$F:$F,喷水汇总表!$W$4,ps!$R:$R,喷水汇总表!$Y$4),SUMIFS(ps!$L:$L,ps!$B:$B,喷水汇总表!$A27,ps!$J:$J,喷水汇总表!V$5,ps!$F:$F,喷水汇总表!$W$4,ps!$I:$I,喷水汇总表!$T$4)+SUMIFS(ps!$M:$M,ps!$B:$B,喷水汇总表!$A27,ps!$K:$K,喷水汇总表!V$5,ps!$F:$F,喷水汇总表!$W$4,ps!$I:$I,喷水汇总表!$T$4))</f>
        <v>0</v>
      </c>
      <c r="W27" s="248">
        <f>IF($T$4="",SUMIFS(ps!$L:$L,ps!$B:$B,喷水汇总表!$A27,ps!$J:$J,喷水汇总表!W$5,ps!$F:$F,喷水汇总表!$W$4,ps!$R:$R,喷水汇总表!$Y$4)+SUMIFS(ps!$M:$M,ps!$B:$B,喷水汇总表!$A27,ps!$K:$K,喷水汇总表!W$5,ps!$F:$F,喷水汇总表!$W$4,ps!$R:$R,喷水汇总表!$Y$4),SUMIFS(ps!$L:$L,ps!$B:$B,喷水汇总表!$A27,ps!$J:$J,喷水汇总表!W$5,ps!$F:$F,喷水汇总表!$W$4,ps!$I:$I,喷水汇总表!$T$4)+SUMIFS(ps!$M:$M,ps!$B:$B,喷水汇总表!$A27,ps!$K:$K,喷水汇总表!W$5,ps!$F:$F,喷水汇总表!$W$4,ps!$I:$I,喷水汇总表!$T$4))</f>
        <v>0</v>
      </c>
      <c r="X27" s="15">
        <f t="shared" si="1"/>
        <v>0</v>
      </c>
      <c r="Y27" s="18">
        <f>SUMIFS(ps!$N:$N,ps!$B:$B,喷水汇总表!$A27,ps!$I:$I,喷水汇总表!$X$4&amp;"/"&amp;喷水汇总表!$Y$4&amp;"/"&amp;喷水汇总表!Y$5)</f>
        <v>0</v>
      </c>
      <c r="Z27" s="18">
        <f>SUMIFS(ps!$N:$N,ps!$B:$B,喷水汇总表!$A27,ps!$I:$I,喷水汇总表!$X$4&amp;"/"&amp;喷水汇总表!$Y$4&amp;"/"&amp;喷水汇总表!Z$5)</f>
        <v>0</v>
      </c>
      <c r="AA27" s="18">
        <f>SUMIFS(ps!$N:$N,ps!$B:$B,喷水汇总表!$A27,ps!$I:$I,喷水汇总表!$X$4&amp;"/"&amp;喷水汇总表!$Y$4&amp;"/"&amp;喷水汇总表!AA$5)</f>
        <v>0</v>
      </c>
      <c r="AB27" s="18">
        <f>SUMIFS(ps!$N:$N,ps!$B:$B,喷水汇总表!$A27,ps!$I:$I,喷水汇总表!$X$4&amp;"/"&amp;喷水汇总表!$Y$4&amp;"/"&amp;喷水汇总表!AB$5)</f>
        <v>0</v>
      </c>
      <c r="AC27" s="18">
        <f>SUMIFS(ps!$N:$N,ps!$B:$B,喷水汇总表!$A27,ps!$I:$I,喷水汇总表!$X$4&amp;"/"&amp;喷水汇总表!$Y$4&amp;"/"&amp;喷水汇总表!AC$5)</f>
        <v>0</v>
      </c>
      <c r="AD27" s="18">
        <f>SUMIFS(ps!$N:$N,ps!$B:$B,喷水汇总表!$A27,ps!$I:$I,喷水汇总表!$X$4&amp;"/"&amp;喷水汇总表!$Y$4&amp;"/"&amp;喷水汇总表!AD$5)</f>
        <v>0</v>
      </c>
      <c r="AE27" s="18">
        <f>SUMIFS(ps!$N:$N,ps!$B:$B,喷水汇总表!$A27,ps!$I:$I,喷水汇总表!$X$4&amp;"/"&amp;喷水汇总表!$Y$4&amp;"/"&amp;喷水汇总表!AE$5)</f>
        <v>0</v>
      </c>
      <c r="AF27" s="18">
        <f>SUMIFS(ps!$N:$N,ps!$B:$B,喷水汇总表!$A27,ps!$I:$I,喷水汇总表!$X$4&amp;"/"&amp;喷水汇总表!$Y$4&amp;"/"&amp;喷水汇总表!AF$5)</f>
        <v>0</v>
      </c>
      <c r="AG27" s="18">
        <f>SUMIFS(ps!$N:$N,ps!$B:$B,喷水汇总表!$A27,ps!$I:$I,喷水汇总表!$X$4&amp;"/"&amp;喷水汇总表!$Y$4&amp;"/"&amp;喷水汇总表!AG$5)</f>
        <v>0</v>
      </c>
      <c r="AH27" s="18">
        <f>SUMIFS(ps!$N:$N,ps!$B:$B,喷水汇总表!$A27,ps!$I:$I,喷水汇总表!$X$4&amp;"/"&amp;喷水汇总表!$Y$4&amp;"/"&amp;喷水汇总表!AH$5)</f>
        <v>0</v>
      </c>
      <c r="AI27" s="18">
        <f>SUMIFS(ps!$N:$N,ps!$B:$B,喷水汇总表!$A27,ps!$I:$I,喷水汇总表!$X$4&amp;"/"&amp;喷水汇总表!$Y$4&amp;"/"&amp;喷水汇总表!AI$5)</f>
        <v>0</v>
      </c>
      <c r="AJ27" s="18">
        <f>SUMIFS(ps!$N:$N,ps!$B:$B,喷水汇总表!$A27,ps!$I:$I,喷水汇总表!$X$4&amp;"/"&amp;喷水汇总表!$Y$4&amp;"/"&amp;喷水汇总表!AJ$5)</f>
        <v>0</v>
      </c>
      <c r="AK27" s="18">
        <f>SUMIFS(ps!$N:$N,ps!$B:$B,喷水汇总表!$A27,ps!$I:$I,喷水汇总表!$X$4&amp;"/"&amp;喷水汇总表!$Y$4&amp;"/"&amp;喷水汇总表!AK$5)</f>
        <v>0</v>
      </c>
      <c r="AL27" s="18">
        <f>SUMIFS(ps!$N:$N,ps!$B:$B,喷水汇总表!$A27,ps!$I:$I,喷水汇总表!$X$4&amp;"/"&amp;喷水汇总表!$Y$4&amp;"/"&amp;喷水汇总表!AL$5)</f>
        <v>0</v>
      </c>
      <c r="AM27" s="18">
        <f>SUMIFS(ps!$N:$N,ps!$B:$B,喷水汇总表!$A27,ps!$I:$I,喷水汇总表!$X$4&amp;"/"&amp;喷水汇总表!$Y$4&amp;"/"&amp;喷水汇总表!AM$5)</f>
        <v>0</v>
      </c>
      <c r="AN27" s="18">
        <f>SUMIFS(ps!$N:$N,ps!$B:$B,喷水汇总表!$A27,ps!$I:$I,喷水汇总表!$X$4&amp;"/"&amp;喷水汇总表!$Y$4&amp;"/"&amp;喷水汇总表!AN$5)</f>
        <v>0</v>
      </c>
      <c r="AO27" s="18">
        <f>SUMIFS(ps!$N:$N,ps!$B:$B,喷水汇总表!$A27,ps!$I:$I,喷水汇总表!$X$4&amp;"/"&amp;喷水汇总表!$Y$4&amp;"/"&amp;喷水汇总表!AO$5)</f>
        <v>0</v>
      </c>
      <c r="AP27" s="18">
        <f>SUMIFS(ps!$N:$N,ps!$B:$B,喷水汇总表!$A27,ps!$I:$I,喷水汇总表!$X$4&amp;"/"&amp;喷水汇总表!$Y$4&amp;"/"&amp;喷水汇总表!AP$5)</f>
        <v>0</v>
      </c>
      <c r="AQ27" s="18">
        <f>SUMIFS(ps!$N:$N,ps!$B:$B,喷水汇总表!$A27,ps!$I:$I,喷水汇总表!$X$4&amp;"/"&amp;喷水汇总表!$Y$4&amp;"/"&amp;喷水汇总表!AQ$5)</f>
        <v>0</v>
      </c>
      <c r="AR27" s="18">
        <f>SUMIFS(ps!$N:$N,ps!$B:$B,喷水汇总表!$A27,ps!$I:$I,喷水汇总表!$X$4&amp;"/"&amp;喷水汇总表!$Y$4&amp;"/"&amp;喷水汇总表!AR$5)</f>
        <v>0</v>
      </c>
      <c r="AS27" s="18">
        <f>SUMIFS(ps!$N:$N,ps!$B:$B,喷水汇总表!$A27,ps!$I:$I,喷水汇总表!$X$4&amp;"/"&amp;喷水汇总表!$Y$4&amp;"/"&amp;喷水汇总表!AS$5)</f>
        <v>0</v>
      </c>
      <c r="AT27" s="18">
        <f>SUMIFS(ps!$N:$N,ps!$B:$B,喷水汇总表!$A27,ps!$I:$I,喷水汇总表!$X$4&amp;"/"&amp;喷水汇总表!$Y$4&amp;"/"&amp;喷水汇总表!AT$5)</f>
        <v>0</v>
      </c>
      <c r="AU27" s="18">
        <f>SUMIFS(ps!$N:$N,ps!$B:$B,喷水汇总表!$A27,ps!$I:$I,喷水汇总表!$X$4&amp;"/"&amp;喷水汇总表!$Y$4&amp;"/"&amp;喷水汇总表!AU$5)</f>
        <v>0</v>
      </c>
      <c r="AV27" s="18">
        <f>SUMIFS(ps!$N:$N,ps!$B:$B,喷水汇总表!$A27,ps!$I:$I,喷水汇总表!$X$4&amp;"/"&amp;喷水汇总表!$Y$4&amp;"/"&amp;喷水汇总表!AV$5)</f>
        <v>0</v>
      </c>
      <c r="AW27" s="18">
        <f>SUMIFS(ps!$N:$N,ps!$B:$B,喷水汇总表!$A27,ps!$I:$I,喷水汇总表!$X$4&amp;"/"&amp;喷水汇总表!$Y$4&amp;"/"&amp;喷水汇总表!AW$5)</f>
        <v>0</v>
      </c>
      <c r="AX27" s="18">
        <f>SUMIFS(ps!$N:$N,ps!$B:$B,喷水汇总表!$A27,ps!$I:$I,喷水汇总表!$X$4&amp;"/"&amp;喷水汇总表!$Y$4&amp;"/"&amp;喷水汇总表!AX$5)</f>
        <v>0</v>
      </c>
      <c r="AY27" s="18">
        <f>SUMIFS(ps!$N:$N,ps!$B:$B,喷水汇总表!$A27,ps!$I:$I,喷水汇总表!$X$4&amp;"/"&amp;喷水汇总表!$Y$4&amp;"/"&amp;喷水汇总表!AY$5)</f>
        <v>0</v>
      </c>
      <c r="AZ27" s="18">
        <f>SUMIFS(ps!$N:$N,ps!$B:$B,喷水汇总表!$A27,ps!$I:$I,喷水汇总表!$X$4&amp;"/"&amp;喷水汇总表!$Y$4&amp;"/"&amp;喷水汇总表!AZ$5)</f>
        <v>0</v>
      </c>
      <c r="BA27" s="18">
        <f>SUMIFS(ps!$N:$N,ps!$B:$B,喷水汇总表!$A27,ps!$I:$I,喷水汇总表!$X$4&amp;"/"&amp;喷水汇总表!$Y$4&amp;"/"&amp;喷水汇总表!BA$5)</f>
        <v>0</v>
      </c>
      <c r="BB27" s="18">
        <f>SUMIFS(ps!$N:$N,ps!$B:$B,喷水汇总表!$A27,ps!$I:$I,喷水汇总表!$X$4&amp;"/"&amp;喷水汇总表!$Y$4&amp;"/"&amp;喷水汇总表!BB$5)</f>
        <v>0</v>
      </c>
      <c r="BC27" s="18">
        <f>SUMIFS(ps!$N:$N,ps!$B:$B,喷水汇总表!$A27,ps!$I:$I,喷水汇总表!$X$4&amp;"/"&amp;喷水汇总表!$Y$4&amp;"/"&amp;喷水汇总表!BC$5)</f>
        <v>0</v>
      </c>
    </row>
    <row r="28" spans="1:58" ht="18" customHeight="1">
      <c r="A28" s="96" t="s">
        <v>1089</v>
      </c>
      <c r="B28" s="176" t="str">
        <f>IF(A28="","",VLOOKUP(A28,经纬!B:C,2,FALSE))</f>
        <v>75*200</v>
      </c>
      <c r="C28" s="176" t="str">
        <f t="shared" si="0"/>
        <v>190.5</v>
      </c>
      <c r="D28" s="176">
        <f>IF(A28="","",VLOOKUP(A28,经纬!B:G,6,FALSE))</f>
        <v>62</v>
      </c>
      <c r="E28" s="44">
        <f>IF($T$4="",SUMIFS(ps!$N:$N,ps!$B:$B,喷水汇总表!$A28,ps!$H:$H,喷水汇总表!E$5,ps!$R:$R,喷水汇总表!$Y$4),SUMIFS(ps!$N:$N,ps!$B:$B,喷水汇总表!$A28,ps!$H:$H,喷水汇总表!E$5,ps!$I:$I,喷水汇总表!$T$4))</f>
        <v>0</v>
      </c>
      <c r="F28" s="44">
        <f>IF($T$4="",SUMIFS(ps!$N:$N,ps!$B:$B,喷水汇总表!$A28,ps!$H:$H,喷水汇总表!F$5,ps!$R:$R,喷水汇总表!$Y$4),SUMIFS(ps!$N:$N,ps!$B:$B,喷水汇总表!$A28,ps!$H:$H,喷水汇总表!F$5,ps!$I:$I,喷水汇总表!$T$4))</f>
        <v>2400</v>
      </c>
      <c r="G28" s="44">
        <f>IF($T$4="",SUMIFS(ps!$N:$N,ps!$B:$B,喷水汇总表!$A28,ps!$H:$H,喷水汇总表!G$5,ps!$R:$R,喷水汇总表!$Y$4),SUMIFS(ps!$N:$N,ps!$B:$B,喷水汇总表!$A28,ps!$H:$H,喷水汇总表!G$5,ps!$I:$I,喷水汇总表!$T$4))</f>
        <v>0</v>
      </c>
      <c r="H28" s="248">
        <f>IF($T$4="",SUMIFS(ps!$N:$N,ps!$B:$B,喷水汇总表!$A28,ps!$G:$G,喷水汇总表!H$5,ps!$R:$R,喷水汇总表!$Y$4),SUMIFS(ps!$N:$N,ps!$B:$B,喷水汇总表!$A28,ps!$G:$G,喷水汇总表!H$5,ps!$I:$I,喷水汇总表!$T$4))</f>
        <v>0</v>
      </c>
      <c r="I28" s="248">
        <f>IF($T$4="",SUMIFS(ps!$N:$N,ps!$B:$B,喷水汇总表!$A28,ps!$G:$G,喷水汇总表!I$5,ps!$R:$R,喷水汇总表!$Y$4),SUMIFS(ps!$N:$N,ps!$B:$B,喷水汇总表!$A28,ps!$G:$G,喷水汇总表!I$5,ps!$I:$I,喷水汇总表!$T$4))</f>
        <v>2400</v>
      </c>
      <c r="J28" s="248">
        <f>IF($T$4="",SUMIFS(ps!$N:$N,ps!$B:$B,喷水汇总表!$A28,ps!$G:$G,喷水汇总表!J$5,ps!$R:$R,喷水汇总表!$Y$4),SUMIFS(ps!$N:$N,ps!$B:$B,喷水汇总表!$A28,ps!$G:$G,喷水汇总表!J$5,ps!$I:$I,喷水汇总表!$T$4))</f>
        <v>0</v>
      </c>
      <c r="K28" s="248">
        <f>IF($T$4="",SUMIFS(ps!$N:$N,ps!$B:$B,喷水汇总表!$A28,ps!$G:$G,喷水汇总表!K$5,ps!$R:$R,喷水汇总表!$Y$4),SUMIFS(ps!$N:$N,ps!$B:$B,喷水汇总表!$A28,ps!$G:$G,喷水汇总表!K$5,ps!$I:$I,喷水汇总表!$T$4))</f>
        <v>0</v>
      </c>
      <c r="L28" s="248">
        <f>IF($T$4="",SUMIFS(ps!$N:$N,ps!$B:$B,喷水汇总表!$A28,ps!$G:$G,喷水汇总表!L$5,ps!$R:$R,喷水汇总表!$Y$4),SUMIFS(ps!$N:$N,ps!$B:$B,喷水汇总表!$A28,ps!$G:$G,喷水汇总表!L$5,ps!$I:$I,喷水汇总表!$T$4))</f>
        <v>0</v>
      </c>
      <c r="M28" s="248">
        <f>IF($T$4="",SUMIFS(ps!$N:$N,ps!$B:$B,喷水汇总表!$A28,ps!$G:$G,喷水汇总表!M$5,ps!$R:$R,喷水汇总表!$Y$4),SUMIFS(ps!$N:$N,ps!$B:$B,喷水汇总表!$A28,ps!$G:$G,喷水汇总表!M$5,ps!$I:$I,喷水汇总表!$T$4))</f>
        <v>0</v>
      </c>
      <c r="N28" s="248">
        <f>IF($T$4="",SUMIFS(ps!$N:$N,ps!$B:$B,喷水汇总表!$A28,ps!$G:$G,喷水汇总表!N$5,ps!$R:$R,喷水汇总表!$Y$4),SUMIFS(ps!$N:$N,ps!$B:$B,喷水汇总表!$A28,ps!$G:$G,喷水汇总表!N$5,ps!$I:$I,喷水汇总表!$T$4))</f>
        <v>0</v>
      </c>
      <c r="O28" s="248">
        <f>IF($T$4="",SUMIFS(ps!$L:$L,ps!$B:$B,喷水汇总表!$A28,ps!$J:$J,喷水汇总表!O$5,ps!$F:$F,喷水汇总表!$W$4,ps!$R:$R,喷水汇总表!$Y$4)+SUMIFS(ps!$M:$M,ps!$B:$B,喷水汇总表!$A28,ps!$K:$K,喷水汇总表!O$5,ps!$F:$F,喷水汇总表!$W$4,ps!$R:$R,喷水汇总表!$Y$4),SUMIFS(ps!$L:$L,ps!$B:$B,喷水汇总表!$A28,ps!$J:$J,喷水汇总表!O$5,ps!$F:$F,喷水汇总表!$W$4,ps!$I:$I,喷水汇总表!$T$4)+SUMIFS(ps!$M:$M,ps!$B:$B,喷水汇总表!$A28,ps!$K:$K,喷水汇总表!O$5,ps!$F:$F,喷水汇总表!$W$4,ps!$I:$I,喷水汇总表!$T$4))</f>
        <v>0</v>
      </c>
      <c r="P28" s="248">
        <f>IF($T$4="",SUMIFS(ps!$L:$L,ps!$B:$B,喷水汇总表!$A28,ps!$J:$J,喷水汇总表!P$5,ps!$F:$F,喷水汇总表!$W$4,ps!$R:$R,喷水汇总表!$Y$4)+SUMIFS(ps!$M:$M,ps!$B:$B,喷水汇总表!$A28,ps!$K:$K,喷水汇总表!P$5,ps!$F:$F,喷水汇总表!$W$4,ps!$R:$R,喷水汇总表!$Y$4),SUMIFS(ps!$L:$L,ps!$B:$B,喷水汇总表!$A28,ps!$J:$J,喷水汇总表!P$5,ps!$F:$F,喷水汇总表!$W$4,ps!$I:$I,喷水汇总表!$T$4)+SUMIFS(ps!$M:$M,ps!$B:$B,喷水汇总表!$A28,ps!$K:$K,喷水汇总表!P$5,ps!$F:$F,喷水汇总表!$W$4,ps!$I:$I,喷水汇总表!$T$4))</f>
        <v>0</v>
      </c>
      <c r="Q28" s="248">
        <f>IF($T$4="",SUMIFS(ps!$L:$L,ps!$B:$B,喷水汇总表!$A28,ps!$J:$J,喷水汇总表!Q$5,ps!$F:$F,喷水汇总表!$W$4,ps!$R:$R,喷水汇总表!$Y$4)+SUMIFS(ps!$M:$M,ps!$B:$B,喷水汇总表!$A28,ps!$K:$K,喷水汇总表!Q$5,ps!$F:$F,喷水汇总表!$W$4,ps!$R:$R,喷水汇总表!$Y$4),SUMIFS(ps!$L:$L,ps!$B:$B,喷水汇总表!$A28,ps!$J:$J,喷水汇总表!Q$5,ps!$F:$F,喷水汇总表!$W$4,ps!$I:$I,喷水汇总表!$T$4)+SUMIFS(ps!$M:$M,ps!$B:$B,喷水汇总表!$A28,ps!$K:$K,喷水汇总表!Q$5,ps!$F:$F,喷水汇总表!$W$4,ps!$I:$I,喷水汇总表!$T$4))</f>
        <v>0</v>
      </c>
      <c r="R28" s="248">
        <f>IF($T$4="",SUMIFS(ps!$L:$L,ps!$B:$B,喷水汇总表!$A28,ps!$J:$J,喷水汇总表!R$5,ps!$F:$F,喷水汇总表!$W$4,ps!$R:$R,喷水汇总表!$Y$4)+SUMIFS(ps!$M:$M,ps!$B:$B,喷水汇总表!$A28,ps!$K:$K,喷水汇总表!R$5,ps!$F:$F,喷水汇总表!$W$4,ps!$R:$R,喷水汇总表!$Y$4),SUMIFS(ps!$L:$L,ps!$B:$B,喷水汇总表!$A28,ps!$J:$J,喷水汇总表!R$5,ps!$F:$F,喷水汇总表!$W$4,ps!$I:$I,喷水汇总表!$T$4)+SUMIFS(ps!$M:$M,ps!$B:$B,喷水汇总表!$A28,ps!$K:$K,喷水汇总表!R$5,ps!$F:$F,喷水汇总表!$W$4,ps!$I:$I,喷水汇总表!$T$4))</f>
        <v>0</v>
      </c>
      <c r="S28" s="248">
        <f>IF($T$4="",SUMIFS(ps!$L:$L,ps!$B:$B,喷水汇总表!$A28,ps!$J:$J,喷水汇总表!S$5,ps!$F:$F,喷水汇总表!$W$4,ps!$R:$R,喷水汇总表!$Y$4)+SUMIFS(ps!$M:$M,ps!$B:$B,喷水汇总表!$A28,ps!$K:$K,喷水汇总表!S$5,ps!$F:$F,喷水汇总表!$W$4,ps!$R:$R,喷水汇总表!$Y$4),SUMIFS(ps!$L:$L,ps!$B:$B,喷水汇总表!$A28,ps!$J:$J,喷水汇总表!S$5,ps!$F:$F,喷水汇总表!$W$4,ps!$I:$I,喷水汇总表!$T$4)+SUMIFS(ps!$M:$M,ps!$B:$B,喷水汇总表!$A28,ps!$K:$K,喷水汇总表!S$5,ps!$F:$F,喷水汇总表!$W$4,ps!$I:$I,喷水汇总表!$T$4))</f>
        <v>0</v>
      </c>
      <c r="T28" s="248">
        <f>IF($T$4="",SUMIFS(ps!$L:$L,ps!$B:$B,喷水汇总表!$A28,ps!$J:$J,喷水汇总表!T$5,ps!$F:$F,喷水汇总表!$W$4,ps!$R:$R,喷水汇总表!$Y$4)+SUMIFS(ps!$M:$M,ps!$B:$B,喷水汇总表!$A28,ps!$K:$K,喷水汇总表!T$5,ps!$F:$F,喷水汇总表!$W$4,ps!$R:$R,喷水汇总表!$Y$4),SUMIFS(ps!$L:$L,ps!$B:$B,喷水汇总表!$A28,ps!$J:$J,喷水汇总表!T$5,ps!$F:$F,喷水汇总表!$W$4,ps!$I:$I,喷水汇总表!$T$4)+SUMIFS(ps!$M:$M,ps!$B:$B,喷水汇总表!$A28,ps!$K:$K,喷水汇总表!T$5,ps!$F:$F,喷水汇总表!$W$4,ps!$I:$I,喷水汇总表!$T$4))</f>
        <v>0</v>
      </c>
      <c r="U28" s="248">
        <f>IF($T$4="",SUMIFS(ps!$L:$L,ps!$B:$B,喷水汇总表!$A28,ps!$J:$J,喷水汇总表!U$5,ps!$F:$F,喷水汇总表!$W$4,ps!$R:$R,喷水汇总表!$Y$4)+SUMIFS(ps!$M:$M,ps!$B:$B,喷水汇总表!$A28,ps!$K:$K,喷水汇总表!U$5,ps!$F:$F,喷水汇总表!$W$4,ps!$R:$R,喷水汇总表!$Y$4),SUMIFS(ps!$L:$L,ps!$B:$B,喷水汇总表!$A28,ps!$J:$J,喷水汇总表!U$5,ps!$F:$F,喷水汇总表!$W$4,ps!$I:$I,喷水汇总表!$T$4)+SUMIFS(ps!$M:$M,ps!$B:$B,喷水汇总表!$A28,ps!$K:$K,喷水汇总表!U$5,ps!$F:$F,喷水汇总表!$W$4,ps!$I:$I,喷水汇总表!$T$4))</f>
        <v>0</v>
      </c>
      <c r="V28" s="248">
        <f>IF($T$4="",SUMIFS(ps!$L:$L,ps!$B:$B,喷水汇总表!$A28,ps!$J:$J,喷水汇总表!V$5,ps!$F:$F,喷水汇总表!$W$4,ps!$R:$R,喷水汇总表!$Y$4)+SUMIFS(ps!$M:$M,ps!$B:$B,喷水汇总表!$A28,ps!$K:$K,喷水汇总表!V$5,ps!$F:$F,喷水汇总表!$W$4,ps!$R:$R,喷水汇总表!$Y$4),SUMIFS(ps!$L:$L,ps!$B:$B,喷水汇总表!$A28,ps!$J:$J,喷水汇总表!V$5,ps!$F:$F,喷水汇总表!$W$4,ps!$I:$I,喷水汇总表!$T$4)+SUMIFS(ps!$M:$M,ps!$B:$B,喷水汇总表!$A28,ps!$K:$K,喷水汇总表!V$5,ps!$F:$F,喷水汇总表!$W$4,ps!$I:$I,喷水汇总表!$T$4))</f>
        <v>0</v>
      </c>
      <c r="W28" s="248">
        <f>IF($T$4="",SUMIFS(ps!$L:$L,ps!$B:$B,喷水汇总表!$A28,ps!$J:$J,喷水汇总表!W$5,ps!$F:$F,喷水汇总表!$W$4,ps!$R:$R,喷水汇总表!$Y$4)+SUMIFS(ps!$M:$M,ps!$B:$B,喷水汇总表!$A28,ps!$K:$K,喷水汇总表!W$5,ps!$F:$F,喷水汇总表!$W$4,ps!$R:$R,喷水汇总表!$Y$4),SUMIFS(ps!$L:$L,ps!$B:$B,喷水汇总表!$A28,ps!$J:$J,喷水汇总表!W$5,ps!$F:$F,喷水汇总表!$W$4,ps!$I:$I,喷水汇总表!$T$4)+SUMIFS(ps!$M:$M,ps!$B:$B,喷水汇总表!$A28,ps!$K:$K,喷水汇总表!W$5,ps!$F:$F,喷水汇总表!$W$4,ps!$I:$I,喷水汇总表!$T$4))</f>
        <v>0</v>
      </c>
      <c r="X28" s="15">
        <f t="shared" si="1"/>
        <v>14250</v>
      </c>
      <c r="Y28" s="18">
        <f>SUMIFS(ps!$N:$N,ps!$B:$B,喷水汇总表!$A28,ps!$I:$I,喷水汇总表!$X$4&amp;"/"&amp;喷水汇总表!$Y$4&amp;"/"&amp;喷水汇总表!Y$5)</f>
        <v>0</v>
      </c>
      <c r="Z28" s="18">
        <f>SUMIFS(ps!$N:$N,ps!$B:$B,喷水汇总表!$A28,ps!$I:$I,喷水汇总表!$X$4&amp;"/"&amp;喷水汇总表!$Y$4&amp;"/"&amp;喷水汇总表!Z$5)</f>
        <v>0</v>
      </c>
      <c r="AA28" s="18">
        <f>SUMIFS(ps!$N:$N,ps!$B:$B,喷水汇总表!$A28,ps!$I:$I,喷水汇总表!$X$4&amp;"/"&amp;喷水汇总表!$Y$4&amp;"/"&amp;喷水汇总表!AA$5)</f>
        <v>0</v>
      </c>
      <c r="AB28" s="18">
        <f>SUMIFS(ps!$N:$N,ps!$B:$B,喷水汇总表!$A28,ps!$I:$I,喷水汇总表!$X$4&amp;"/"&amp;喷水汇总表!$Y$4&amp;"/"&amp;喷水汇总表!AB$5)</f>
        <v>11850</v>
      </c>
      <c r="AC28" s="18">
        <f>SUMIFS(ps!$N:$N,ps!$B:$B,喷水汇总表!$A28,ps!$I:$I,喷水汇总表!$X$4&amp;"/"&amp;喷水汇总表!$Y$4&amp;"/"&amp;喷水汇总表!AC$5)</f>
        <v>2400</v>
      </c>
      <c r="AD28" s="18">
        <f>SUMIFS(ps!$N:$N,ps!$B:$B,喷水汇总表!$A28,ps!$I:$I,喷水汇总表!$X$4&amp;"/"&amp;喷水汇总表!$Y$4&amp;"/"&amp;喷水汇总表!AD$5)</f>
        <v>0</v>
      </c>
      <c r="AE28" s="18">
        <f>SUMIFS(ps!$N:$N,ps!$B:$B,喷水汇总表!$A28,ps!$I:$I,喷水汇总表!$X$4&amp;"/"&amp;喷水汇总表!$Y$4&amp;"/"&amp;喷水汇总表!AE$5)</f>
        <v>0</v>
      </c>
      <c r="AF28" s="18">
        <f>SUMIFS(ps!$N:$N,ps!$B:$B,喷水汇总表!$A28,ps!$I:$I,喷水汇总表!$X$4&amp;"/"&amp;喷水汇总表!$Y$4&amp;"/"&amp;喷水汇总表!AF$5)</f>
        <v>0</v>
      </c>
      <c r="AG28" s="18">
        <f>SUMIFS(ps!$N:$N,ps!$B:$B,喷水汇总表!$A28,ps!$I:$I,喷水汇总表!$X$4&amp;"/"&amp;喷水汇总表!$Y$4&amp;"/"&amp;喷水汇总表!AG$5)</f>
        <v>0</v>
      </c>
      <c r="AH28" s="18">
        <f>SUMIFS(ps!$N:$N,ps!$B:$B,喷水汇总表!$A28,ps!$I:$I,喷水汇总表!$X$4&amp;"/"&amp;喷水汇总表!$Y$4&amp;"/"&amp;喷水汇总表!AH$5)</f>
        <v>0</v>
      </c>
      <c r="AI28" s="18">
        <f>SUMIFS(ps!$N:$N,ps!$B:$B,喷水汇总表!$A28,ps!$I:$I,喷水汇总表!$X$4&amp;"/"&amp;喷水汇总表!$Y$4&amp;"/"&amp;喷水汇总表!AI$5)</f>
        <v>0</v>
      </c>
      <c r="AJ28" s="18">
        <f>SUMIFS(ps!$N:$N,ps!$B:$B,喷水汇总表!$A28,ps!$I:$I,喷水汇总表!$X$4&amp;"/"&amp;喷水汇总表!$Y$4&amp;"/"&amp;喷水汇总表!AJ$5)</f>
        <v>0</v>
      </c>
      <c r="AK28" s="18">
        <f>SUMIFS(ps!$N:$N,ps!$B:$B,喷水汇总表!$A28,ps!$I:$I,喷水汇总表!$X$4&amp;"/"&amp;喷水汇总表!$Y$4&amp;"/"&amp;喷水汇总表!AK$5)</f>
        <v>0</v>
      </c>
      <c r="AL28" s="18">
        <f>SUMIFS(ps!$N:$N,ps!$B:$B,喷水汇总表!$A28,ps!$I:$I,喷水汇总表!$X$4&amp;"/"&amp;喷水汇总表!$Y$4&amp;"/"&amp;喷水汇总表!AL$5)</f>
        <v>0</v>
      </c>
      <c r="AM28" s="18">
        <f>SUMIFS(ps!$N:$N,ps!$B:$B,喷水汇总表!$A28,ps!$I:$I,喷水汇总表!$X$4&amp;"/"&amp;喷水汇总表!$Y$4&amp;"/"&amp;喷水汇总表!AM$5)</f>
        <v>0</v>
      </c>
      <c r="AN28" s="18">
        <f>SUMIFS(ps!$N:$N,ps!$B:$B,喷水汇总表!$A28,ps!$I:$I,喷水汇总表!$X$4&amp;"/"&amp;喷水汇总表!$Y$4&amp;"/"&amp;喷水汇总表!AN$5)</f>
        <v>0</v>
      </c>
      <c r="AO28" s="18">
        <f>SUMIFS(ps!$N:$N,ps!$B:$B,喷水汇总表!$A28,ps!$I:$I,喷水汇总表!$X$4&amp;"/"&amp;喷水汇总表!$Y$4&amp;"/"&amp;喷水汇总表!AO$5)</f>
        <v>0</v>
      </c>
      <c r="AP28" s="18">
        <f>SUMIFS(ps!$N:$N,ps!$B:$B,喷水汇总表!$A28,ps!$I:$I,喷水汇总表!$X$4&amp;"/"&amp;喷水汇总表!$Y$4&amp;"/"&amp;喷水汇总表!AP$5)</f>
        <v>0</v>
      </c>
      <c r="AQ28" s="18">
        <f>SUMIFS(ps!$N:$N,ps!$B:$B,喷水汇总表!$A28,ps!$I:$I,喷水汇总表!$X$4&amp;"/"&amp;喷水汇总表!$Y$4&amp;"/"&amp;喷水汇总表!AQ$5)</f>
        <v>0</v>
      </c>
      <c r="AR28" s="18">
        <f>SUMIFS(ps!$N:$N,ps!$B:$B,喷水汇总表!$A28,ps!$I:$I,喷水汇总表!$X$4&amp;"/"&amp;喷水汇总表!$Y$4&amp;"/"&amp;喷水汇总表!AR$5)</f>
        <v>0</v>
      </c>
      <c r="AS28" s="18">
        <f>SUMIFS(ps!$N:$N,ps!$B:$B,喷水汇总表!$A28,ps!$I:$I,喷水汇总表!$X$4&amp;"/"&amp;喷水汇总表!$Y$4&amp;"/"&amp;喷水汇总表!AS$5)</f>
        <v>0</v>
      </c>
      <c r="AT28" s="18">
        <f>SUMIFS(ps!$N:$N,ps!$B:$B,喷水汇总表!$A28,ps!$I:$I,喷水汇总表!$X$4&amp;"/"&amp;喷水汇总表!$Y$4&amp;"/"&amp;喷水汇总表!AT$5)</f>
        <v>0</v>
      </c>
      <c r="AU28" s="18">
        <f>SUMIFS(ps!$N:$N,ps!$B:$B,喷水汇总表!$A28,ps!$I:$I,喷水汇总表!$X$4&amp;"/"&amp;喷水汇总表!$Y$4&amp;"/"&amp;喷水汇总表!AU$5)</f>
        <v>0</v>
      </c>
      <c r="AV28" s="18">
        <f>SUMIFS(ps!$N:$N,ps!$B:$B,喷水汇总表!$A28,ps!$I:$I,喷水汇总表!$X$4&amp;"/"&amp;喷水汇总表!$Y$4&amp;"/"&amp;喷水汇总表!AV$5)</f>
        <v>0</v>
      </c>
      <c r="AW28" s="18">
        <f>SUMIFS(ps!$N:$N,ps!$B:$B,喷水汇总表!$A28,ps!$I:$I,喷水汇总表!$X$4&amp;"/"&amp;喷水汇总表!$Y$4&amp;"/"&amp;喷水汇总表!AW$5)</f>
        <v>0</v>
      </c>
      <c r="AX28" s="18">
        <f>SUMIFS(ps!$N:$N,ps!$B:$B,喷水汇总表!$A28,ps!$I:$I,喷水汇总表!$X$4&amp;"/"&amp;喷水汇总表!$Y$4&amp;"/"&amp;喷水汇总表!AX$5)</f>
        <v>0</v>
      </c>
      <c r="AY28" s="18">
        <f>SUMIFS(ps!$N:$N,ps!$B:$B,喷水汇总表!$A28,ps!$I:$I,喷水汇总表!$X$4&amp;"/"&amp;喷水汇总表!$Y$4&amp;"/"&amp;喷水汇总表!AY$5)</f>
        <v>0</v>
      </c>
      <c r="AZ28" s="18">
        <f>SUMIFS(ps!$N:$N,ps!$B:$B,喷水汇总表!$A28,ps!$I:$I,喷水汇总表!$X$4&amp;"/"&amp;喷水汇总表!$Y$4&amp;"/"&amp;喷水汇总表!AZ$5)</f>
        <v>0</v>
      </c>
      <c r="BA28" s="18">
        <f>SUMIFS(ps!$N:$N,ps!$B:$B,喷水汇总表!$A28,ps!$I:$I,喷水汇总表!$X$4&amp;"/"&amp;喷水汇总表!$Y$4&amp;"/"&amp;喷水汇总表!BA$5)</f>
        <v>0</v>
      </c>
      <c r="BB28" s="18">
        <f>SUMIFS(ps!$N:$N,ps!$B:$B,喷水汇总表!$A28,ps!$I:$I,喷水汇总表!$X$4&amp;"/"&amp;喷水汇总表!$Y$4&amp;"/"&amp;喷水汇总表!BB$5)</f>
        <v>0</v>
      </c>
      <c r="BC28" s="18">
        <f>SUMIFS(ps!$N:$N,ps!$B:$B,喷水汇总表!$A28,ps!$I:$I,喷水汇总表!$X$4&amp;"/"&amp;喷水汇总表!$Y$4&amp;"/"&amp;喷水汇总表!BC$5)</f>
        <v>0</v>
      </c>
    </row>
    <row r="29" spans="1:58" ht="18" customHeight="1">
      <c r="A29" s="96" t="s">
        <v>1091</v>
      </c>
      <c r="B29" s="176" t="str">
        <f>IF(A29="","",VLOOKUP(A29,经纬!B:C,2,FALSE))</f>
        <v>75*300</v>
      </c>
      <c r="C29" s="176" t="str">
        <f t="shared" si="0"/>
        <v>190.5</v>
      </c>
      <c r="D29" s="176">
        <f>IF(A29="","",VLOOKUP(A29,经纬!B:G,6,FALSE))</f>
        <v>70</v>
      </c>
      <c r="E29" s="44">
        <f>IF($T$4="",SUMIFS(ps!$N:$N,ps!$B:$B,喷水汇总表!$A29,ps!$H:$H,喷水汇总表!E$5,ps!$R:$R,喷水汇总表!$Y$4),SUMIFS(ps!$N:$N,ps!$B:$B,喷水汇总表!$A29,ps!$H:$H,喷水汇总表!E$5,ps!$I:$I,喷水汇总表!$T$4))</f>
        <v>0</v>
      </c>
      <c r="F29" s="44">
        <f>IF($T$4="",SUMIFS(ps!$N:$N,ps!$B:$B,喷水汇总表!$A29,ps!$H:$H,喷水汇总表!F$5,ps!$R:$R,喷水汇总表!$Y$4),SUMIFS(ps!$N:$N,ps!$B:$B,喷水汇总表!$A29,ps!$H:$H,喷水汇总表!F$5,ps!$I:$I,喷水汇总表!$T$4))</f>
        <v>4474</v>
      </c>
      <c r="G29" s="44">
        <f>IF($T$4="",SUMIFS(ps!$N:$N,ps!$B:$B,喷水汇总表!$A29,ps!$H:$H,喷水汇总表!G$5,ps!$R:$R,喷水汇总表!$Y$4),SUMIFS(ps!$N:$N,ps!$B:$B,喷水汇总表!$A29,ps!$H:$H,喷水汇总表!G$5,ps!$I:$I,喷水汇总表!$T$4))</f>
        <v>0</v>
      </c>
      <c r="H29" s="248">
        <f>IF($T$4="",SUMIFS(ps!$N:$N,ps!$B:$B,喷水汇总表!$A29,ps!$G:$G,喷水汇总表!H$5,ps!$R:$R,喷水汇总表!$Y$4),SUMIFS(ps!$N:$N,ps!$B:$B,喷水汇总表!$A29,ps!$G:$G,喷水汇总表!H$5,ps!$I:$I,喷水汇总表!$T$4))</f>
        <v>0</v>
      </c>
      <c r="I29" s="248">
        <f>IF($T$4="",SUMIFS(ps!$N:$N,ps!$B:$B,喷水汇总表!$A29,ps!$G:$G,喷水汇总表!I$5,ps!$R:$R,喷水汇总表!$Y$4),SUMIFS(ps!$N:$N,ps!$B:$B,喷水汇总表!$A29,ps!$G:$G,喷水汇总表!I$5,ps!$I:$I,喷水汇总表!$T$4))</f>
        <v>4474</v>
      </c>
      <c r="J29" s="248">
        <f>IF($T$4="",SUMIFS(ps!$N:$N,ps!$B:$B,喷水汇总表!$A29,ps!$G:$G,喷水汇总表!J$5,ps!$R:$R,喷水汇总表!$Y$4),SUMIFS(ps!$N:$N,ps!$B:$B,喷水汇总表!$A29,ps!$G:$G,喷水汇总表!J$5,ps!$I:$I,喷水汇总表!$T$4))</f>
        <v>0</v>
      </c>
      <c r="K29" s="248">
        <f>IF($T$4="",SUMIFS(ps!$N:$N,ps!$B:$B,喷水汇总表!$A29,ps!$G:$G,喷水汇总表!K$5,ps!$R:$R,喷水汇总表!$Y$4),SUMIFS(ps!$N:$N,ps!$B:$B,喷水汇总表!$A29,ps!$G:$G,喷水汇总表!K$5,ps!$I:$I,喷水汇总表!$T$4))</f>
        <v>0</v>
      </c>
      <c r="L29" s="248">
        <f>IF($T$4="",SUMIFS(ps!$N:$N,ps!$B:$B,喷水汇总表!$A29,ps!$G:$G,喷水汇总表!L$5,ps!$R:$R,喷水汇总表!$Y$4),SUMIFS(ps!$N:$N,ps!$B:$B,喷水汇总表!$A29,ps!$G:$G,喷水汇总表!L$5,ps!$I:$I,喷水汇总表!$T$4))</f>
        <v>0</v>
      </c>
      <c r="M29" s="248">
        <f>IF($T$4="",SUMIFS(ps!$N:$N,ps!$B:$B,喷水汇总表!$A29,ps!$G:$G,喷水汇总表!M$5,ps!$R:$R,喷水汇总表!$Y$4),SUMIFS(ps!$N:$N,ps!$B:$B,喷水汇总表!$A29,ps!$G:$G,喷水汇总表!M$5,ps!$I:$I,喷水汇总表!$T$4))</f>
        <v>0</v>
      </c>
      <c r="N29" s="248">
        <f>IF($T$4="",SUMIFS(ps!$N:$N,ps!$B:$B,喷水汇总表!$A29,ps!$G:$G,喷水汇总表!N$5,ps!$R:$R,喷水汇总表!$Y$4),SUMIFS(ps!$N:$N,ps!$B:$B,喷水汇总表!$A29,ps!$G:$G,喷水汇总表!N$5,ps!$I:$I,喷水汇总表!$T$4))</f>
        <v>0</v>
      </c>
      <c r="O29" s="248">
        <f>IF($T$4="",SUMIFS(ps!$L:$L,ps!$B:$B,喷水汇总表!$A29,ps!$J:$J,喷水汇总表!O$5,ps!$F:$F,喷水汇总表!$W$4,ps!$R:$R,喷水汇总表!$Y$4)+SUMIFS(ps!$M:$M,ps!$B:$B,喷水汇总表!$A29,ps!$K:$K,喷水汇总表!O$5,ps!$F:$F,喷水汇总表!$W$4,ps!$R:$R,喷水汇总表!$Y$4),SUMIFS(ps!$L:$L,ps!$B:$B,喷水汇总表!$A29,ps!$J:$J,喷水汇总表!O$5,ps!$F:$F,喷水汇总表!$W$4,ps!$I:$I,喷水汇总表!$T$4)+SUMIFS(ps!$M:$M,ps!$B:$B,喷水汇总表!$A29,ps!$K:$K,喷水汇总表!O$5,ps!$F:$F,喷水汇总表!$W$4,ps!$I:$I,喷水汇总表!$T$4))</f>
        <v>0</v>
      </c>
      <c r="P29" s="248">
        <f>IF($T$4="",SUMIFS(ps!$L:$L,ps!$B:$B,喷水汇总表!$A29,ps!$J:$J,喷水汇总表!P$5,ps!$F:$F,喷水汇总表!$W$4,ps!$R:$R,喷水汇总表!$Y$4)+SUMIFS(ps!$M:$M,ps!$B:$B,喷水汇总表!$A29,ps!$K:$K,喷水汇总表!P$5,ps!$F:$F,喷水汇总表!$W$4,ps!$R:$R,喷水汇总表!$Y$4),SUMIFS(ps!$L:$L,ps!$B:$B,喷水汇总表!$A29,ps!$J:$J,喷水汇总表!P$5,ps!$F:$F,喷水汇总表!$W$4,ps!$I:$I,喷水汇总表!$T$4)+SUMIFS(ps!$M:$M,ps!$B:$B,喷水汇总表!$A29,ps!$K:$K,喷水汇总表!P$5,ps!$F:$F,喷水汇总表!$W$4,ps!$I:$I,喷水汇总表!$T$4))</f>
        <v>0</v>
      </c>
      <c r="Q29" s="248">
        <f>IF($T$4="",SUMIFS(ps!$L:$L,ps!$B:$B,喷水汇总表!$A29,ps!$J:$J,喷水汇总表!Q$5,ps!$F:$F,喷水汇总表!$W$4,ps!$R:$R,喷水汇总表!$Y$4)+SUMIFS(ps!$M:$M,ps!$B:$B,喷水汇总表!$A29,ps!$K:$K,喷水汇总表!Q$5,ps!$F:$F,喷水汇总表!$W$4,ps!$R:$R,喷水汇总表!$Y$4),SUMIFS(ps!$L:$L,ps!$B:$B,喷水汇总表!$A29,ps!$J:$J,喷水汇总表!Q$5,ps!$F:$F,喷水汇总表!$W$4,ps!$I:$I,喷水汇总表!$T$4)+SUMIFS(ps!$M:$M,ps!$B:$B,喷水汇总表!$A29,ps!$K:$K,喷水汇总表!Q$5,ps!$F:$F,喷水汇总表!$W$4,ps!$I:$I,喷水汇总表!$T$4))</f>
        <v>0</v>
      </c>
      <c r="R29" s="248">
        <f>IF($T$4="",SUMIFS(ps!$L:$L,ps!$B:$B,喷水汇总表!$A29,ps!$J:$J,喷水汇总表!R$5,ps!$F:$F,喷水汇总表!$W$4,ps!$R:$R,喷水汇总表!$Y$4)+SUMIFS(ps!$M:$M,ps!$B:$B,喷水汇总表!$A29,ps!$K:$K,喷水汇总表!R$5,ps!$F:$F,喷水汇总表!$W$4,ps!$R:$R,喷水汇总表!$Y$4),SUMIFS(ps!$L:$L,ps!$B:$B,喷水汇总表!$A29,ps!$J:$J,喷水汇总表!R$5,ps!$F:$F,喷水汇总表!$W$4,ps!$I:$I,喷水汇总表!$T$4)+SUMIFS(ps!$M:$M,ps!$B:$B,喷水汇总表!$A29,ps!$K:$K,喷水汇总表!R$5,ps!$F:$F,喷水汇总表!$W$4,ps!$I:$I,喷水汇总表!$T$4))</f>
        <v>0</v>
      </c>
      <c r="S29" s="248">
        <f>IF($T$4="",SUMIFS(ps!$L:$L,ps!$B:$B,喷水汇总表!$A29,ps!$J:$J,喷水汇总表!S$5,ps!$F:$F,喷水汇总表!$W$4,ps!$R:$R,喷水汇总表!$Y$4)+SUMIFS(ps!$M:$M,ps!$B:$B,喷水汇总表!$A29,ps!$K:$K,喷水汇总表!S$5,ps!$F:$F,喷水汇总表!$W$4,ps!$R:$R,喷水汇总表!$Y$4),SUMIFS(ps!$L:$L,ps!$B:$B,喷水汇总表!$A29,ps!$J:$J,喷水汇总表!S$5,ps!$F:$F,喷水汇总表!$W$4,ps!$I:$I,喷水汇总表!$T$4)+SUMIFS(ps!$M:$M,ps!$B:$B,喷水汇总表!$A29,ps!$K:$K,喷水汇总表!S$5,ps!$F:$F,喷水汇总表!$W$4,ps!$I:$I,喷水汇总表!$T$4))</f>
        <v>153.63715999999997</v>
      </c>
      <c r="T29" s="248">
        <f>IF($T$4="",SUMIFS(ps!$L:$L,ps!$B:$B,喷水汇总表!$A29,ps!$J:$J,喷水汇总表!T$5,ps!$F:$F,喷水汇总表!$W$4,ps!$R:$R,喷水汇总表!$Y$4)+SUMIFS(ps!$M:$M,ps!$B:$B,喷水汇总表!$A29,ps!$K:$K,喷水汇总表!T$5,ps!$F:$F,喷水汇总表!$W$4,ps!$R:$R,喷水汇总表!$Y$4),SUMIFS(ps!$L:$L,ps!$B:$B,喷水汇总表!$A29,ps!$J:$J,喷水汇总表!T$5,ps!$F:$F,喷水汇总表!$W$4,ps!$I:$I,喷水汇总表!$T$4)+SUMIFS(ps!$M:$M,ps!$B:$B,喷水汇总表!$A29,ps!$K:$K,喷水汇总表!T$5,ps!$F:$F,喷水汇总表!$W$4,ps!$I:$I,喷水汇总表!$T$4))</f>
        <v>0</v>
      </c>
      <c r="U29" s="248">
        <f>IF($T$4="",SUMIFS(ps!$L:$L,ps!$B:$B,喷水汇总表!$A29,ps!$J:$J,喷水汇总表!U$5,ps!$F:$F,喷水汇总表!$W$4,ps!$R:$R,喷水汇总表!$Y$4)+SUMIFS(ps!$M:$M,ps!$B:$B,喷水汇总表!$A29,ps!$K:$K,喷水汇总表!U$5,ps!$F:$F,喷水汇总表!$W$4,ps!$R:$R,喷水汇总表!$Y$4),SUMIFS(ps!$L:$L,ps!$B:$B,喷水汇总表!$A29,ps!$J:$J,喷水汇总表!U$5,ps!$F:$F,喷水汇总表!$W$4,ps!$I:$I,喷水汇总表!$T$4)+SUMIFS(ps!$M:$M,ps!$B:$B,喷水汇总表!$A29,ps!$K:$K,喷水汇总表!U$5,ps!$F:$F,喷水汇总表!$W$4,ps!$I:$I,喷水汇总表!$T$4))</f>
        <v>0</v>
      </c>
      <c r="V29" s="248">
        <f>IF($T$4="",SUMIFS(ps!$L:$L,ps!$B:$B,喷水汇总表!$A29,ps!$J:$J,喷水汇总表!V$5,ps!$F:$F,喷水汇总表!$W$4,ps!$R:$R,喷水汇总表!$Y$4)+SUMIFS(ps!$M:$M,ps!$B:$B,喷水汇总表!$A29,ps!$K:$K,喷水汇总表!V$5,ps!$F:$F,喷水汇总表!$W$4,ps!$R:$R,喷水汇总表!$Y$4),SUMIFS(ps!$L:$L,ps!$B:$B,喷水汇总表!$A29,ps!$J:$J,喷水汇总表!V$5,ps!$F:$F,喷水汇总表!$W$4,ps!$I:$I,喷水汇总表!$T$4)+SUMIFS(ps!$M:$M,ps!$B:$B,喷水汇总表!$A29,ps!$K:$K,喷水汇总表!V$5,ps!$F:$F,喷水汇总表!$W$4,ps!$I:$I,喷水汇总表!$T$4))</f>
        <v>0</v>
      </c>
      <c r="W29" s="248">
        <f>IF($T$4="",SUMIFS(ps!$L:$L,ps!$B:$B,喷水汇总表!$A29,ps!$J:$J,喷水汇总表!W$5,ps!$F:$F,喷水汇总表!$W$4,ps!$R:$R,喷水汇总表!$Y$4)+SUMIFS(ps!$M:$M,ps!$B:$B,喷水汇总表!$A29,ps!$K:$K,喷水汇总表!W$5,ps!$F:$F,喷水汇总表!$W$4,ps!$R:$R,喷水汇总表!$Y$4),SUMIFS(ps!$L:$L,ps!$B:$B,喷水汇总表!$A29,ps!$J:$J,喷水汇总表!W$5,ps!$F:$F,喷水汇总表!$W$4,ps!$I:$I,喷水汇总表!$T$4)+SUMIFS(ps!$M:$M,ps!$B:$B,喷水汇总表!$A29,ps!$K:$K,喷水汇总表!W$5,ps!$F:$F,喷水汇总表!$W$4,ps!$I:$I,喷水汇总表!$T$4))</f>
        <v>277.51129921259837</v>
      </c>
      <c r="X29" s="15">
        <f t="shared" si="1"/>
        <v>23453</v>
      </c>
      <c r="Y29" s="18">
        <f>SUMIFS(ps!$N:$N,ps!$B:$B,喷水汇总表!$A29,ps!$I:$I,喷水汇总表!$X$4&amp;"/"&amp;喷水汇总表!$Y$4&amp;"/"&amp;喷水汇总表!Y$5)</f>
        <v>0</v>
      </c>
      <c r="Z29" s="18">
        <f>SUMIFS(ps!$N:$N,ps!$B:$B,喷水汇总表!$A29,ps!$I:$I,喷水汇总表!$X$4&amp;"/"&amp;喷水汇总表!$Y$4&amp;"/"&amp;喷水汇总表!Z$5)</f>
        <v>7033</v>
      </c>
      <c r="AA29" s="18">
        <f>SUMIFS(ps!$N:$N,ps!$B:$B,喷水汇总表!$A29,ps!$I:$I,喷水汇总表!$X$4&amp;"/"&amp;喷水汇总表!$Y$4&amp;"/"&amp;喷水汇总表!AA$5)</f>
        <v>4722</v>
      </c>
      <c r="AB29" s="18">
        <f>SUMIFS(ps!$N:$N,ps!$B:$B,喷水汇总表!$A29,ps!$I:$I,喷水汇总表!$X$4&amp;"/"&amp;喷水汇总表!$Y$4&amp;"/"&amp;喷水汇总表!AB$5)</f>
        <v>7224</v>
      </c>
      <c r="AC29" s="18">
        <f>SUMIFS(ps!$N:$N,ps!$B:$B,喷水汇总表!$A29,ps!$I:$I,喷水汇总表!$X$4&amp;"/"&amp;喷水汇总表!$Y$4&amp;"/"&amp;喷水汇总表!AC$5)</f>
        <v>4474</v>
      </c>
      <c r="AD29" s="18">
        <f>SUMIFS(ps!$N:$N,ps!$B:$B,喷水汇总表!$A29,ps!$I:$I,喷水汇总表!$X$4&amp;"/"&amp;喷水汇总表!$Y$4&amp;"/"&amp;喷水汇总表!AD$5)</f>
        <v>0</v>
      </c>
      <c r="AE29" s="18">
        <f>SUMIFS(ps!$N:$N,ps!$B:$B,喷水汇总表!$A29,ps!$I:$I,喷水汇总表!$X$4&amp;"/"&amp;喷水汇总表!$Y$4&amp;"/"&amp;喷水汇总表!AE$5)</f>
        <v>0</v>
      </c>
      <c r="AF29" s="18">
        <f>SUMIFS(ps!$N:$N,ps!$B:$B,喷水汇总表!$A29,ps!$I:$I,喷水汇总表!$X$4&amp;"/"&amp;喷水汇总表!$Y$4&amp;"/"&amp;喷水汇总表!AF$5)</f>
        <v>0</v>
      </c>
      <c r="AG29" s="18">
        <f>SUMIFS(ps!$N:$N,ps!$B:$B,喷水汇总表!$A29,ps!$I:$I,喷水汇总表!$X$4&amp;"/"&amp;喷水汇总表!$Y$4&amp;"/"&amp;喷水汇总表!AG$5)</f>
        <v>0</v>
      </c>
      <c r="AH29" s="18">
        <f>SUMIFS(ps!$N:$N,ps!$B:$B,喷水汇总表!$A29,ps!$I:$I,喷水汇总表!$X$4&amp;"/"&amp;喷水汇总表!$Y$4&amp;"/"&amp;喷水汇总表!AH$5)</f>
        <v>0</v>
      </c>
      <c r="AI29" s="18">
        <f>SUMIFS(ps!$N:$N,ps!$B:$B,喷水汇总表!$A29,ps!$I:$I,喷水汇总表!$X$4&amp;"/"&amp;喷水汇总表!$Y$4&amp;"/"&amp;喷水汇总表!AI$5)</f>
        <v>0</v>
      </c>
      <c r="AJ29" s="18">
        <f>SUMIFS(ps!$N:$N,ps!$B:$B,喷水汇总表!$A29,ps!$I:$I,喷水汇总表!$X$4&amp;"/"&amp;喷水汇总表!$Y$4&amp;"/"&amp;喷水汇总表!AJ$5)</f>
        <v>0</v>
      </c>
      <c r="AK29" s="18">
        <f>SUMIFS(ps!$N:$N,ps!$B:$B,喷水汇总表!$A29,ps!$I:$I,喷水汇总表!$X$4&amp;"/"&amp;喷水汇总表!$Y$4&amp;"/"&amp;喷水汇总表!AK$5)</f>
        <v>0</v>
      </c>
      <c r="AL29" s="18">
        <f>SUMIFS(ps!$N:$N,ps!$B:$B,喷水汇总表!$A29,ps!$I:$I,喷水汇总表!$X$4&amp;"/"&amp;喷水汇总表!$Y$4&amp;"/"&amp;喷水汇总表!AL$5)</f>
        <v>0</v>
      </c>
      <c r="AM29" s="18">
        <f>SUMIFS(ps!$N:$N,ps!$B:$B,喷水汇总表!$A29,ps!$I:$I,喷水汇总表!$X$4&amp;"/"&amp;喷水汇总表!$Y$4&amp;"/"&amp;喷水汇总表!AM$5)</f>
        <v>0</v>
      </c>
      <c r="AN29" s="18">
        <f>SUMIFS(ps!$N:$N,ps!$B:$B,喷水汇总表!$A29,ps!$I:$I,喷水汇总表!$X$4&amp;"/"&amp;喷水汇总表!$Y$4&amp;"/"&amp;喷水汇总表!AN$5)</f>
        <v>0</v>
      </c>
      <c r="AO29" s="18">
        <f>SUMIFS(ps!$N:$N,ps!$B:$B,喷水汇总表!$A29,ps!$I:$I,喷水汇总表!$X$4&amp;"/"&amp;喷水汇总表!$Y$4&amp;"/"&amp;喷水汇总表!AO$5)</f>
        <v>0</v>
      </c>
      <c r="AP29" s="18">
        <f>SUMIFS(ps!$N:$N,ps!$B:$B,喷水汇总表!$A29,ps!$I:$I,喷水汇总表!$X$4&amp;"/"&amp;喷水汇总表!$Y$4&amp;"/"&amp;喷水汇总表!AP$5)</f>
        <v>0</v>
      </c>
      <c r="AQ29" s="18">
        <f>SUMIFS(ps!$N:$N,ps!$B:$B,喷水汇总表!$A29,ps!$I:$I,喷水汇总表!$X$4&amp;"/"&amp;喷水汇总表!$Y$4&amp;"/"&amp;喷水汇总表!AQ$5)</f>
        <v>0</v>
      </c>
      <c r="AR29" s="18">
        <f>SUMIFS(ps!$N:$N,ps!$B:$B,喷水汇总表!$A29,ps!$I:$I,喷水汇总表!$X$4&amp;"/"&amp;喷水汇总表!$Y$4&amp;"/"&amp;喷水汇总表!AR$5)</f>
        <v>0</v>
      </c>
      <c r="AS29" s="18">
        <f>SUMIFS(ps!$N:$N,ps!$B:$B,喷水汇总表!$A29,ps!$I:$I,喷水汇总表!$X$4&amp;"/"&amp;喷水汇总表!$Y$4&amp;"/"&amp;喷水汇总表!AS$5)</f>
        <v>0</v>
      </c>
      <c r="AT29" s="18">
        <f>SUMIFS(ps!$N:$N,ps!$B:$B,喷水汇总表!$A29,ps!$I:$I,喷水汇总表!$X$4&amp;"/"&amp;喷水汇总表!$Y$4&amp;"/"&amp;喷水汇总表!AT$5)</f>
        <v>0</v>
      </c>
      <c r="AU29" s="18">
        <f>SUMIFS(ps!$N:$N,ps!$B:$B,喷水汇总表!$A29,ps!$I:$I,喷水汇总表!$X$4&amp;"/"&amp;喷水汇总表!$Y$4&amp;"/"&amp;喷水汇总表!AU$5)</f>
        <v>0</v>
      </c>
      <c r="AV29" s="18">
        <f>SUMIFS(ps!$N:$N,ps!$B:$B,喷水汇总表!$A29,ps!$I:$I,喷水汇总表!$X$4&amp;"/"&amp;喷水汇总表!$Y$4&amp;"/"&amp;喷水汇总表!AV$5)</f>
        <v>0</v>
      </c>
      <c r="AW29" s="18">
        <f>SUMIFS(ps!$N:$N,ps!$B:$B,喷水汇总表!$A29,ps!$I:$I,喷水汇总表!$X$4&amp;"/"&amp;喷水汇总表!$Y$4&amp;"/"&amp;喷水汇总表!AW$5)</f>
        <v>0</v>
      </c>
      <c r="AX29" s="18">
        <f>SUMIFS(ps!$N:$N,ps!$B:$B,喷水汇总表!$A29,ps!$I:$I,喷水汇总表!$X$4&amp;"/"&amp;喷水汇总表!$Y$4&amp;"/"&amp;喷水汇总表!AX$5)</f>
        <v>0</v>
      </c>
      <c r="AY29" s="18">
        <f>SUMIFS(ps!$N:$N,ps!$B:$B,喷水汇总表!$A29,ps!$I:$I,喷水汇总表!$X$4&amp;"/"&amp;喷水汇总表!$Y$4&amp;"/"&amp;喷水汇总表!AY$5)</f>
        <v>0</v>
      </c>
      <c r="AZ29" s="18">
        <f>SUMIFS(ps!$N:$N,ps!$B:$B,喷水汇总表!$A29,ps!$I:$I,喷水汇总表!$X$4&amp;"/"&amp;喷水汇总表!$Y$4&amp;"/"&amp;喷水汇总表!AZ$5)</f>
        <v>0</v>
      </c>
      <c r="BA29" s="18">
        <f>SUMIFS(ps!$N:$N,ps!$B:$B,喷水汇总表!$A29,ps!$I:$I,喷水汇总表!$X$4&amp;"/"&amp;喷水汇总表!$Y$4&amp;"/"&amp;喷水汇总表!BA$5)</f>
        <v>0</v>
      </c>
      <c r="BB29" s="18">
        <f>SUMIFS(ps!$N:$N,ps!$B:$B,喷水汇总表!$A29,ps!$I:$I,喷水汇总表!$X$4&amp;"/"&amp;喷水汇总表!$Y$4&amp;"/"&amp;喷水汇总表!BB$5)</f>
        <v>0</v>
      </c>
      <c r="BC29" s="18">
        <f>SUMIFS(ps!$N:$N,ps!$B:$B,喷水汇总表!$A29,ps!$I:$I,喷水汇总表!$X$4&amp;"/"&amp;喷水汇总表!$Y$4&amp;"/"&amp;喷水汇总表!BC$5)</f>
        <v>0</v>
      </c>
    </row>
    <row r="30" spans="1:58" ht="18" customHeight="1">
      <c r="A30" s="96" t="s">
        <v>1093</v>
      </c>
      <c r="B30" s="176" t="str">
        <f>IF(A30="","",VLOOKUP(A30,经纬!B:C,2,FALSE))</f>
        <v>75*75</v>
      </c>
      <c r="C30" s="176" t="str">
        <f t="shared" si="0"/>
        <v>190.5</v>
      </c>
      <c r="D30" s="176">
        <f>IF(A30="","",VLOOKUP(A30,经纬!B:G,6,FALSE))</f>
        <v>43</v>
      </c>
      <c r="E30" s="44">
        <f>IF($T$4="",SUMIFS(ps!$N:$N,ps!$B:$B,喷水汇总表!$A30,ps!$H:$H,喷水汇总表!E$5,ps!$R:$R,喷水汇总表!$Y$4),SUMIFS(ps!$N:$N,ps!$B:$B,喷水汇总表!$A30,ps!$H:$H,喷水汇总表!E$5,ps!$I:$I,喷水汇总表!$T$4))</f>
        <v>0</v>
      </c>
      <c r="F30" s="44">
        <f>IF($T$4="",SUMIFS(ps!$N:$N,ps!$B:$B,喷水汇总表!$A30,ps!$H:$H,喷水汇总表!F$5,ps!$R:$R,喷水汇总表!$Y$4),SUMIFS(ps!$N:$N,ps!$B:$B,喷水汇总表!$A30,ps!$H:$H,喷水汇总表!F$5,ps!$I:$I,喷水汇总表!$T$4))</f>
        <v>29050</v>
      </c>
      <c r="G30" s="44">
        <f>IF($T$4="",SUMIFS(ps!$N:$N,ps!$B:$B,喷水汇总表!$A30,ps!$H:$H,喷水汇总表!G$5,ps!$R:$R,喷水汇总表!$Y$4),SUMIFS(ps!$N:$N,ps!$B:$B,喷水汇总表!$A30,ps!$H:$H,喷水汇总表!G$5,ps!$I:$I,喷水汇总表!$T$4))</f>
        <v>0</v>
      </c>
      <c r="H30" s="248">
        <f>IF($T$4="",SUMIFS(ps!$N:$N,ps!$B:$B,喷水汇总表!$A30,ps!$G:$G,喷水汇总表!H$5,ps!$R:$R,喷水汇总表!$Y$4),SUMIFS(ps!$N:$N,ps!$B:$B,喷水汇总表!$A30,ps!$G:$G,喷水汇总表!H$5,ps!$I:$I,喷水汇总表!$T$4))</f>
        <v>0</v>
      </c>
      <c r="I30" s="248">
        <f>IF($T$4="",SUMIFS(ps!$N:$N,ps!$B:$B,喷水汇总表!$A30,ps!$G:$G,喷水汇总表!I$5,ps!$R:$R,喷水汇总表!$Y$4),SUMIFS(ps!$N:$N,ps!$B:$B,喷水汇总表!$A30,ps!$G:$G,喷水汇总表!I$5,ps!$I:$I,喷水汇总表!$T$4))</f>
        <v>29050</v>
      </c>
      <c r="J30" s="248">
        <f>IF($T$4="",SUMIFS(ps!$N:$N,ps!$B:$B,喷水汇总表!$A30,ps!$G:$G,喷水汇总表!J$5,ps!$R:$R,喷水汇总表!$Y$4),SUMIFS(ps!$N:$N,ps!$B:$B,喷水汇总表!$A30,ps!$G:$G,喷水汇总表!J$5,ps!$I:$I,喷水汇总表!$T$4))</f>
        <v>0</v>
      </c>
      <c r="K30" s="248">
        <f>IF($T$4="",SUMIFS(ps!$N:$N,ps!$B:$B,喷水汇总表!$A30,ps!$G:$G,喷水汇总表!K$5,ps!$R:$R,喷水汇总表!$Y$4),SUMIFS(ps!$N:$N,ps!$B:$B,喷水汇总表!$A30,ps!$G:$G,喷水汇总表!K$5,ps!$I:$I,喷水汇总表!$T$4))</f>
        <v>0</v>
      </c>
      <c r="L30" s="248">
        <f>IF($T$4="",SUMIFS(ps!$N:$N,ps!$B:$B,喷水汇总表!$A30,ps!$G:$G,喷水汇总表!L$5,ps!$R:$R,喷水汇总表!$Y$4),SUMIFS(ps!$N:$N,ps!$B:$B,喷水汇总表!$A30,ps!$G:$G,喷水汇总表!L$5,ps!$I:$I,喷水汇总表!$T$4))</f>
        <v>0</v>
      </c>
      <c r="M30" s="248">
        <f>IF($T$4="",SUMIFS(ps!$N:$N,ps!$B:$B,喷水汇总表!$A30,ps!$G:$G,喷水汇总表!M$5,ps!$R:$R,喷水汇总表!$Y$4),SUMIFS(ps!$N:$N,ps!$B:$B,喷水汇总表!$A30,ps!$G:$G,喷水汇总表!M$5,ps!$I:$I,喷水汇总表!$T$4))</f>
        <v>0</v>
      </c>
      <c r="N30" s="248">
        <f>IF($T$4="",SUMIFS(ps!$N:$N,ps!$B:$B,喷水汇总表!$A30,ps!$G:$G,喷水汇总表!N$5,ps!$R:$R,喷水汇总表!$Y$4),SUMIFS(ps!$N:$N,ps!$B:$B,喷水汇总表!$A30,ps!$G:$G,喷水汇总表!N$5,ps!$I:$I,喷水汇总表!$T$4))</f>
        <v>0</v>
      </c>
      <c r="O30" s="248">
        <f>IF($T$4="",SUMIFS(ps!$L:$L,ps!$B:$B,喷水汇总表!$A30,ps!$J:$J,喷水汇总表!O$5,ps!$F:$F,喷水汇总表!$W$4,ps!$R:$R,喷水汇总表!$Y$4)+SUMIFS(ps!$M:$M,ps!$B:$B,喷水汇总表!$A30,ps!$K:$K,喷水汇总表!O$5,ps!$F:$F,喷水汇总表!$W$4,ps!$R:$R,喷水汇总表!$Y$4),SUMIFS(ps!$L:$L,ps!$B:$B,喷水汇总表!$A30,ps!$J:$J,喷水汇总表!O$5,ps!$F:$F,喷水汇总表!$W$4,ps!$I:$I,喷水汇总表!$T$4)+SUMIFS(ps!$M:$M,ps!$B:$B,喷水汇总表!$A30,ps!$K:$K,喷水汇总表!O$5,ps!$F:$F,喷水汇总表!$W$4,ps!$I:$I,喷水汇总表!$T$4))</f>
        <v>0</v>
      </c>
      <c r="P30" s="248">
        <f>IF($T$4="",SUMIFS(ps!$L:$L,ps!$B:$B,喷水汇总表!$A30,ps!$J:$J,喷水汇总表!P$5,ps!$F:$F,喷水汇总表!$W$4,ps!$R:$R,喷水汇总表!$Y$4)+SUMIFS(ps!$M:$M,ps!$B:$B,喷水汇总表!$A30,ps!$K:$K,喷水汇总表!P$5,ps!$F:$F,喷水汇总表!$W$4,ps!$R:$R,喷水汇总表!$Y$4),SUMIFS(ps!$L:$L,ps!$B:$B,喷水汇总表!$A30,ps!$J:$J,喷水汇总表!P$5,ps!$F:$F,喷水汇总表!$W$4,ps!$I:$I,喷水汇总表!$T$4)+SUMIFS(ps!$M:$M,ps!$B:$B,喷水汇总表!$A30,ps!$K:$K,喷水汇总表!P$5,ps!$F:$F,喷水汇总表!$W$4,ps!$I:$I,喷水汇总表!$T$4))</f>
        <v>0</v>
      </c>
      <c r="Q30" s="248">
        <f>IF($T$4="",SUMIFS(ps!$L:$L,ps!$B:$B,喷水汇总表!$A30,ps!$J:$J,喷水汇总表!Q$5,ps!$F:$F,喷水汇总表!$W$4,ps!$R:$R,喷水汇总表!$Y$4)+SUMIFS(ps!$M:$M,ps!$B:$B,喷水汇总表!$A30,ps!$K:$K,喷水汇总表!Q$5,ps!$F:$F,喷水汇总表!$W$4,ps!$R:$R,喷水汇总表!$Y$4),SUMIFS(ps!$L:$L,ps!$B:$B,喷水汇总表!$A30,ps!$J:$J,喷水汇总表!Q$5,ps!$F:$F,喷水汇总表!$W$4,ps!$I:$I,喷水汇总表!$T$4)+SUMIFS(ps!$M:$M,ps!$B:$B,喷水汇总表!$A30,ps!$K:$K,喷水汇总表!Q$5,ps!$F:$F,喷水汇总表!$W$4,ps!$I:$I,喷水汇总表!$T$4))</f>
        <v>0</v>
      </c>
      <c r="R30" s="248">
        <f>IF($T$4="",SUMIFS(ps!$L:$L,ps!$B:$B,喷水汇总表!$A30,ps!$J:$J,喷水汇总表!R$5,ps!$F:$F,喷水汇总表!$W$4,ps!$R:$R,喷水汇总表!$Y$4)+SUMIFS(ps!$M:$M,ps!$B:$B,喷水汇总表!$A30,ps!$K:$K,喷水汇总表!R$5,ps!$F:$F,喷水汇总表!$W$4,ps!$R:$R,喷水汇总表!$Y$4),SUMIFS(ps!$L:$L,ps!$B:$B,喷水汇总表!$A30,ps!$J:$J,喷水汇总表!R$5,ps!$F:$F,喷水汇总表!$W$4,ps!$I:$I,喷水汇总表!$T$4)+SUMIFS(ps!$M:$M,ps!$B:$B,喷水汇总表!$A30,ps!$K:$K,喷水汇总表!R$5,ps!$F:$F,喷水汇总表!$W$4,ps!$I:$I,喷水汇总表!$T$4))</f>
        <v>0</v>
      </c>
      <c r="S30" s="248">
        <f>IF($T$4="",SUMIFS(ps!$L:$L,ps!$B:$B,喷水汇总表!$A30,ps!$J:$J,喷水汇总表!S$5,ps!$F:$F,喷水汇总表!$W$4,ps!$R:$R,喷水汇总表!$Y$4)+SUMIFS(ps!$M:$M,ps!$B:$B,喷水汇总表!$A30,ps!$K:$K,喷水汇总表!S$5,ps!$F:$F,喷水汇总表!$W$4,ps!$R:$R,喷水汇总表!$Y$4),SUMIFS(ps!$L:$L,ps!$B:$B,喷水汇总表!$A30,ps!$J:$J,喷水汇总表!S$5,ps!$F:$F,喷水汇总表!$W$4,ps!$I:$I,喷水汇总表!$T$4)+SUMIFS(ps!$M:$M,ps!$B:$B,喷水汇总表!$A30,ps!$K:$K,喷水汇总表!S$5,ps!$F:$F,喷水汇总表!$W$4,ps!$I:$I,喷水汇总表!$T$4))</f>
        <v>1761.4261633858264</v>
      </c>
      <c r="T30" s="248">
        <f>IF($T$4="",SUMIFS(ps!$L:$L,ps!$B:$B,喷水汇总表!$A30,ps!$J:$J,喷水汇总表!T$5,ps!$F:$F,喷水汇总表!$W$4,ps!$R:$R,喷水汇总表!$Y$4)+SUMIFS(ps!$M:$M,ps!$B:$B,喷水汇总表!$A30,ps!$K:$K,喷水汇总表!T$5,ps!$F:$F,喷水汇总表!$W$4,ps!$R:$R,喷水汇总表!$Y$4),SUMIFS(ps!$L:$L,ps!$B:$B,喷水汇总表!$A30,ps!$J:$J,喷水汇总表!T$5,ps!$F:$F,喷水汇总表!$W$4,ps!$I:$I,喷水汇总表!$T$4)+SUMIFS(ps!$M:$M,ps!$B:$B,喷水汇总表!$A30,ps!$K:$K,喷水汇总表!T$5,ps!$F:$F,喷水汇总表!$W$4,ps!$I:$I,喷水汇总表!$T$4))</f>
        <v>0</v>
      </c>
      <c r="U30" s="248">
        <f>IF($T$4="",SUMIFS(ps!$L:$L,ps!$B:$B,喷水汇总表!$A30,ps!$J:$J,喷水汇总表!U$5,ps!$F:$F,喷水汇总表!$W$4,ps!$R:$R,喷水汇总表!$Y$4)+SUMIFS(ps!$M:$M,ps!$B:$B,喷水汇总表!$A30,ps!$K:$K,喷水汇总表!U$5,ps!$F:$F,喷水汇总表!$W$4,ps!$R:$R,喷水汇总表!$Y$4),SUMIFS(ps!$L:$L,ps!$B:$B,喷水汇总表!$A30,ps!$J:$J,喷水汇总表!U$5,ps!$F:$F,喷水汇总表!$W$4,ps!$I:$I,喷水汇总表!$T$4)+SUMIFS(ps!$M:$M,ps!$B:$B,喷水汇总表!$A30,ps!$K:$K,喷水汇总表!U$5,ps!$F:$F,喷水汇总表!$W$4,ps!$I:$I,喷水汇总表!$T$4))</f>
        <v>0</v>
      </c>
      <c r="V30" s="248">
        <f>IF($T$4="",SUMIFS(ps!$L:$L,ps!$B:$B,喷水汇总表!$A30,ps!$J:$J,喷水汇总表!V$5,ps!$F:$F,喷水汇总表!$W$4,ps!$R:$R,喷水汇总表!$Y$4)+SUMIFS(ps!$M:$M,ps!$B:$B,喷水汇总表!$A30,ps!$K:$K,喷水汇总表!V$5,ps!$F:$F,喷水汇总表!$W$4,ps!$R:$R,喷水汇总表!$Y$4),SUMIFS(ps!$L:$L,ps!$B:$B,喷水汇总表!$A30,ps!$J:$J,喷水汇总表!V$5,ps!$F:$F,喷水汇总表!$W$4,ps!$I:$I,喷水汇总表!$T$4)+SUMIFS(ps!$M:$M,ps!$B:$B,喷水汇总表!$A30,ps!$K:$K,喷水汇总表!V$5,ps!$F:$F,喷水汇总表!$W$4,ps!$I:$I,喷水汇总表!$T$4))</f>
        <v>0</v>
      </c>
      <c r="W30" s="248">
        <f>IF($T$4="",SUMIFS(ps!$L:$L,ps!$B:$B,喷水汇总表!$A30,ps!$J:$J,喷水汇总表!W$5,ps!$F:$F,喷水汇总表!$W$4,ps!$R:$R,喷水汇总表!$Y$4)+SUMIFS(ps!$M:$M,ps!$B:$B,喷水汇总表!$A30,ps!$K:$K,喷水汇总表!W$5,ps!$F:$F,喷水汇总表!$W$4,ps!$R:$R,喷水汇总表!$Y$4),SUMIFS(ps!$L:$L,ps!$B:$B,喷水汇总表!$A30,ps!$J:$J,喷水汇总表!W$5,ps!$F:$F,喷水汇总表!$W$4,ps!$I:$I,喷水汇总表!$T$4)+SUMIFS(ps!$M:$M,ps!$B:$B,喷水汇总表!$A30,ps!$K:$K,喷水汇总表!W$5,ps!$F:$F,喷水汇总表!$W$4,ps!$I:$I,喷水汇总表!$T$4))</f>
        <v>0</v>
      </c>
      <c r="X30" s="15">
        <f t="shared" ref="X30" si="4">SUM(Y30:BC30)</f>
        <v>57950</v>
      </c>
      <c r="Y30" s="18">
        <f>SUMIFS(ps!$N:$N,ps!$B:$B,喷水汇总表!$A30,ps!$I:$I,喷水汇总表!$X$4&amp;"/"&amp;喷水汇总表!$Y$4&amp;"/"&amp;喷水汇总表!Y$5)</f>
        <v>0</v>
      </c>
      <c r="Z30" s="18">
        <f>SUMIFS(ps!$N:$N,ps!$B:$B,喷水汇总表!$A30,ps!$I:$I,喷水汇总表!$X$4&amp;"/"&amp;喷水汇总表!$Y$4&amp;"/"&amp;喷水汇总表!Z$5)</f>
        <v>0</v>
      </c>
      <c r="AA30" s="18">
        <f>SUMIFS(ps!$N:$N,ps!$B:$B,喷水汇总表!$A30,ps!$I:$I,喷水汇总表!$X$4&amp;"/"&amp;喷水汇总表!$Y$4&amp;"/"&amp;喷水汇总表!AA$5)</f>
        <v>28900</v>
      </c>
      <c r="AB30" s="18">
        <f>SUMIFS(ps!$N:$N,ps!$B:$B,喷水汇总表!$A30,ps!$I:$I,喷水汇总表!$X$4&amp;"/"&amp;喷水汇总表!$Y$4&amp;"/"&amp;喷水汇总表!AB$5)</f>
        <v>0</v>
      </c>
      <c r="AC30" s="18">
        <f>SUMIFS(ps!$N:$N,ps!$B:$B,喷水汇总表!$A30,ps!$I:$I,喷水汇总表!$X$4&amp;"/"&amp;喷水汇总表!$Y$4&amp;"/"&amp;喷水汇总表!AC$5)</f>
        <v>29050</v>
      </c>
      <c r="AD30" s="18">
        <f>SUMIFS(ps!$N:$N,ps!$B:$B,喷水汇总表!$A30,ps!$I:$I,喷水汇总表!$X$4&amp;"/"&amp;喷水汇总表!$Y$4&amp;"/"&amp;喷水汇总表!AD$5)</f>
        <v>0</v>
      </c>
      <c r="AE30" s="18">
        <f>SUMIFS(ps!$N:$N,ps!$B:$B,喷水汇总表!$A30,ps!$I:$I,喷水汇总表!$X$4&amp;"/"&amp;喷水汇总表!$Y$4&amp;"/"&amp;喷水汇总表!AE$5)</f>
        <v>0</v>
      </c>
      <c r="AF30" s="18">
        <f>SUMIFS(ps!$N:$N,ps!$B:$B,喷水汇总表!$A30,ps!$I:$I,喷水汇总表!$X$4&amp;"/"&amp;喷水汇总表!$Y$4&amp;"/"&amp;喷水汇总表!AF$5)</f>
        <v>0</v>
      </c>
      <c r="AG30" s="18">
        <f>SUMIFS(ps!$N:$N,ps!$B:$B,喷水汇总表!$A30,ps!$I:$I,喷水汇总表!$X$4&amp;"/"&amp;喷水汇总表!$Y$4&amp;"/"&amp;喷水汇总表!AG$5)</f>
        <v>0</v>
      </c>
      <c r="AH30" s="18">
        <f>SUMIFS(ps!$N:$N,ps!$B:$B,喷水汇总表!$A30,ps!$I:$I,喷水汇总表!$X$4&amp;"/"&amp;喷水汇总表!$Y$4&amp;"/"&amp;喷水汇总表!AH$5)</f>
        <v>0</v>
      </c>
      <c r="AI30" s="18">
        <f>SUMIFS(ps!$N:$N,ps!$B:$B,喷水汇总表!$A30,ps!$I:$I,喷水汇总表!$X$4&amp;"/"&amp;喷水汇总表!$Y$4&amp;"/"&amp;喷水汇总表!AI$5)</f>
        <v>0</v>
      </c>
      <c r="AJ30" s="18">
        <f>SUMIFS(ps!$N:$N,ps!$B:$B,喷水汇总表!$A30,ps!$I:$I,喷水汇总表!$X$4&amp;"/"&amp;喷水汇总表!$Y$4&amp;"/"&amp;喷水汇总表!AJ$5)</f>
        <v>0</v>
      </c>
      <c r="AK30" s="18">
        <f>SUMIFS(ps!$N:$N,ps!$B:$B,喷水汇总表!$A30,ps!$I:$I,喷水汇总表!$X$4&amp;"/"&amp;喷水汇总表!$Y$4&amp;"/"&amp;喷水汇总表!AK$5)</f>
        <v>0</v>
      </c>
      <c r="AL30" s="18">
        <f>SUMIFS(ps!$N:$N,ps!$B:$B,喷水汇总表!$A30,ps!$I:$I,喷水汇总表!$X$4&amp;"/"&amp;喷水汇总表!$Y$4&amp;"/"&amp;喷水汇总表!AL$5)</f>
        <v>0</v>
      </c>
      <c r="AM30" s="18">
        <f>SUMIFS(ps!$N:$N,ps!$B:$B,喷水汇总表!$A30,ps!$I:$I,喷水汇总表!$X$4&amp;"/"&amp;喷水汇总表!$Y$4&amp;"/"&amp;喷水汇总表!AM$5)</f>
        <v>0</v>
      </c>
      <c r="AN30" s="18">
        <f>SUMIFS(ps!$N:$N,ps!$B:$B,喷水汇总表!$A30,ps!$I:$I,喷水汇总表!$X$4&amp;"/"&amp;喷水汇总表!$Y$4&amp;"/"&amp;喷水汇总表!AN$5)</f>
        <v>0</v>
      </c>
      <c r="AO30" s="18">
        <f>SUMIFS(ps!$N:$N,ps!$B:$B,喷水汇总表!$A30,ps!$I:$I,喷水汇总表!$X$4&amp;"/"&amp;喷水汇总表!$Y$4&amp;"/"&amp;喷水汇总表!AO$5)</f>
        <v>0</v>
      </c>
      <c r="AP30" s="18">
        <f>SUMIFS(ps!$N:$N,ps!$B:$B,喷水汇总表!$A30,ps!$I:$I,喷水汇总表!$X$4&amp;"/"&amp;喷水汇总表!$Y$4&amp;"/"&amp;喷水汇总表!AP$5)</f>
        <v>0</v>
      </c>
      <c r="AQ30" s="18">
        <f>SUMIFS(ps!$N:$N,ps!$B:$B,喷水汇总表!$A30,ps!$I:$I,喷水汇总表!$X$4&amp;"/"&amp;喷水汇总表!$Y$4&amp;"/"&amp;喷水汇总表!AQ$5)</f>
        <v>0</v>
      </c>
      <c r="AR30" s="18">
        <f>SUMIFS(ps!$N:$N,ps!$B:$B,喷水汇总表!$A30,ps!$I:$I,喷水汇总表!$X$4&amp;"/"&amp;喷水汇总表!$Y$4&amp;"/"&amp;喷水汇总表!AR$5)</f>
        <v>0</v>
      </c>
      <c r="AS30" s="18">
        <f>SUMIFS(ps!$N:$N,ps!$B:$B,喷水汇总表!$A30,ps!$I:$I,喷水汇总表!$X$4&amp;"/"&amp;喷水汇总表!$Y$4&amp;"/"&amp;喷水汇总表!AS$5)</f>
        <v>0</v>
      </c>
      <c r="AT30" s="18">
        <f>SUMIFS(ps!$N:$N,ps!$B:$B,喷水汇总表!$A30,ps!$I:$I,喷水汇总表!$X$4&amp;"/"&amp;喷水汇总表!$Y$4&amp;"/"&amp;喷水汇总表!AT$5)</f>
        <v>0</v>
      </c>
      <c r="AU30" s="18">
        <f>SUMIFS(ps!$N:$N,ps!$B:$B,喷水汇总表!$A30,ps!$I:$I,喷水汇总表!$X$4&amp;"/"&amp;喷水汇总表!$Y$4&amp;"/"&amp;喷水汇总表!AU$5)</f>
        <v>0</v>
      </c>
      <c r="AV30" s="18">
        <f>SUMIFS(ps!$N:$N,ps!$B:$B,喷水汇总表!$A30,ps!$I:$I,喷水汇总表!$X$4&amp;"/"&amp;喷水汇总表!$Y$4&amp;"/"&amp;喷水汇总表!AV$5)</f>
        <v>0</v>
      </c>
      <c r="AW30" s="18">
        <f>SUMIFS(ps!$N:$N,ps!$B:$B,喷水汇总表!$A30,ps!$I:$I,喷水汇总表!$X$4&amp;"/"&amp;喷水汇总表!$Y$4&amp;"/"&amp;喷水汇总表!AW$5)</f>
        <v>0</v>
      </c>
      <c r="AX30" s="18">
        <f>SUMIFS(ps!$N:$N,ps!$B:$B,喷水汇总表!$A30,ps!$I:$I,喷水汇总表!$X$4&amp;"/"&amp;喷水汇总表!$Y$4&amp;"/"&amp;喷水汇总表!AX$5)</f>
        <v>0</v>
      </c>
      <c r="AY30" s="18">
        <f>SUMIFS(ps!$N:$N,ps!$B:$B,喷水汇总表!$A30,ps!$I:$I,喷水汇总表!$X$4&amp;"/"&amp;喷水汇总表!$Y$4&amp;"/"&amp;喷水汇总表!AY$5)</f>
        <v>0</v>
      </c>
      <c r="AZ30" s="18">
        <f>SUMIFS(ps!$N:$N,ps!$B:$B,喷水汇总表!$A30,ps!$I:$I,喷水汇总表!$X$4&amp;"/"&amp;喷水汇总表!$Y$4&amp;"/"&amp;喷水汇总表!AZ$5)</f>
        <v>0</v>
      </c>
      <c r="BA30" s="18">
        <f>SUMIFS(ps!$N:$N,ps!$B:$B,喷水汇总表!$A30,ps!$I:$I,喷水汇总表!$X$4&amp;"/"&amp;喷水汇总表!$Y$4&amp;"/"&amp;喷水汇总表!BA$5)</f>
        <v>0</v>
      </c>
      <c r="BB30" s="18">
        <f>SUMIFS(ps!$N:$N,ps!$B:$B,喷水汇总表!$A30,ps!$I:$I,喷水汇总表!$X$4&amp;"/"&amp;喷水汇总表!$Y$4&amp;"/"&amp;喷水汇总表!BB$5)</f>
        <v>0</v>
      </c>
      <c r="BC30" s="18">
        <f>SUMIFS(ps!$N:$N,ps!$B:$B,喷水汇总表!$A30,ps!$I:$I,喷水汇总表!$X$4&amp;"/"&amp;喷水汇总表!$Y$4&amp;"/"&amp;喷水汇总表!BC$5)</f>
        <v>0</v>
      </c>
    </row>
    <row r="31" spans="1:58" hidden="1">
      <c r="A31" s="231"/>
      <c r="B31" s="176" t="str">
        <f>IF(A31="","",VLOOKUP(A31,经纬!B:C,2,FALSE))</f>
        <v/>
      </c>
      <c r="C31" s="97"/>
      <c r="D31" s="176" t="str">
        <f>IF(A31="","",VLOOKUP(A31,经纬!B:G,6,FALSE))</f>
        <v/>
      </c>
      <c r="E31" s="44">
        <f>SUMIFS(ps!$N:$N,ps!$B:$B,喷水汇总表!$A31,ps!$H:$H,喷水汇总表!E$5)</f>
        <v>0</v>
      </c>
      <c r="F31" s="44">
        <f>SUMIFS(ps!$N:$N,ps!$B:$B,喷水汇总表!$A31,ps!$H:$H,喷水汇总表!F$5)</f>
        <v>0</v>
      </c>
      <c r="G31" s="44">
        <f>SUMIFS(ps!$N:$N,ps!$B:$B,喷水汇总表!$A31,ps!$H:$H,喷水汇总表!G$5)</f>
        <v>0</v>
      </c>
      <c r="H31" s="84">
        <f>SUMIFS(ps!$N:$N,ps!$B:$B,喷水汇总表!A31,ps!$F:$F,喷水汇总表!#REF!)</f>
        <v>0</v>
      </c>
      <c r="I31" s="84">
        <f>SUMIFS(ps!$N:$N,ps!$B:$B,喷水汇总表!A31,ps!$F:$F,喷水汇总表!#REF!)</f>
        <v>0</v>
      </c>
      <c r="J31" s="14">
        <f>SUMIFS(ps!$N:$N,ps!$B:$B,喷水汇总表!$A31,ps!$G:$G,喷水汇总表!H$5)</f>
        <v>0</v>
      </c>
      <c r="K31" s="14">
        <f>SUMIFS(ps!$N:$N,ps!$B:$B,喷水汇总表!$A31,ps!$G:$G,喷水汇总表!I$5)</f>
        <v>0</v>
      </c>
      <c r="L31" s="14">
        <f>SUMIFS(ps!$N:$N,ps!$B:$B,喷水汇总表!$A31,ps!$G:$G,喷水汇总表!J$5)</f>
        <v>0</v>
      </c>
      <c r="M31" s="14">
        <f>SUMIFS(ps!$N:$N,ps!$B:$B,喷水汇总表!$A31,ps!$G:$G,喷水汇总表!K$5)</f>
        <v>0</v>
      </c>
      <c r="N31" s="14">
        <f>SUMIFS(ps!$N:$N,ps!$B:$B,喷水汇总表!$A31,ps!$G:$G,喷水汇总表!M$5)</f>
        <v>0</v>
      </c>
      <c r="O31" s="108">
        <f>SUMIFS(ps!$N:$N,ps!$B:$B,喷水汇总表!$A31,ps!$G:$G,喷水汇总表!#REF!)</f>
        <v>0</v>
      </c>
      <c r="P31" s="108">
        <f>SUMIFS(ps!$N:$N,ps!$B:$B,喷水汇总表!$A31,ps!$G:$G,喷水汇总表!N$5)</f>
        <v>0</v>
      </c>
      <c r="Q31" s="108"/>
      <c r="R31" s="108"/>
      <c r="S31" s="108"/>
      <c r="T31" s="108"/>
      <c r="U31" s="108"/>
      <c r="V31" s="108"/>
      <c r="W31" s="108"/>
      <c r="X31" s="97"/>
      <c r="Y31" s="97"/>
      <c r="Z31" s="84"/>
      <c r="AA31" s="15"/>
      <c r="AB31" s="18">
        <f>SUMIFS(ps!$N:$N,ps!$B:$B,喷水汇总表!$A31,ps!$I:$I,喷水汇总表!$X$4&amp;"/"&amp;喷水汇总表!$Y$4&amp;"/"&amp;喷水汇总表!Y$5)</f>
        <v>0</v>
      </c>
      <c r="AC31" s="18">
        <f>SUMIFS(ps!$N:$N,ps!$B:$B,喷水汇总表!$A31,ps!$I:$I,喷水汇总表!$X$4&amp;"/"&amp;喷水汇总表!$Y$4&amp;"/"&amp;喷水汇总表!Z$5)</f>
        <v>0</v>
      </c>
      <c r="AD31" s="18">
        <f>SUMIFS(ps!$N:$N,ps!$B:$B,喷水汇总表!$A31,ps!$I:$I,喷水汇总表!$X$4&amp;"/"&amp;喷水汇总表!$Y$4&amp;"/"&amp;喷水汇总表!AA$5)</f>
        <v>0</v>
      </c>
      <c r="AE31" s="18">
        <f>SUMIFS(ps!$N:$N,ps!$B:$B,喷水汇总表!$A31,ps!$I:$I,喷水汇总表!$X$4&amp;"/"&amp;喷水汇总表!$Y$4&amp;"/"&amp;喷水汇总表!AB$5)</f>
        <v>0</v>
      </c>
      <c r="AF31" s="18">
        <f>SUMIFS(ps!$N:$N,ps!$B:$B,喷水汇总表!$A31,ps!$I:$I,喷水汇总表!$X$4&amp;"/"&amp;喷水汇总表!$Y$4&amp;"/"&amp;喷水汇总表!AC$5)</f>
        <v>0</v>
      </c>
      <c r="AG31" s="18">
        <f>SUMIFS(ps!$N:$N,ps!$B:$B,喷水汇总表!$A31,ps!$I:$I,喷水汇总表!$X$4&amp;"/"&amp;喷水汇总表!$Y$4&amp;"/"&amp;喷水汇总表!AD$5)</f>
        <v>0</v>
      </c>
      <c r="AH31" s="18">
        <f>SUMIFS(ps!$N:$N,ps!$B:$B,喷水汇总表!$A31,ps!$I:$I,喷水汇总表!$X$4&amp;"/"&amp;喷水汇总表!$Y$4&amp;"/"&amp;喷水汇总表!AE$5)</f>
        <v>0</v>
      </c>
      <c r="AI31" s="18">
        <f>SUMIFS(ps!$N:$N,ps!$B:$B,喷水汇总表!$A31,ps!$I:$I,喷水汇总表!$X$4&amp;"/"&amp;喷水汇总表!$Y$4&amp;"/"&amp;喷水汇总表!AF$5)</f>
        <v>0</v>
      </c>
      <c r="AJ31" s="18">
        <f>SUMIFS(ps!$N:$N,ps!$B:$B,喷水汇总表!$A31,ps!$I:$I,喷水汇总表!$X$4&amp;"/"&amp;喷水汇总表!$Y$4&amp;"/"&amp;喷水汇总表!AG$5)</f>
        <v>0</v>
      </c>
      <c r="AK31" s="18">
        <f>SUMIFS(ps!$N:$N,ps!$B:$B,喷水汇总表!$A31,ps!$I:$I,喷水汇总表!$X$4&amp;"/"&amp;喷水汇总表!$Y$4&amp;"/"&amp;喷水汇总表!AH$5)</f>
        <v>0</v>
      </c>
      <c r="AL31" s="18">
        <f>SUMIFS(ps!$N:$N,ps!$B:$B,喷水汇总表!$A31,ps!$I:$I,喷水汇总表!$X$4&amp;"/"&amp;喷水汇总表!$Y$4&amp;"/"&amp;喷水汇总表!AI$5)</f>
        <v>0</v>
      </c>
      <c r="AM31" s="18">
        <f>SUMIFS(ps!$N:$N,ps!$B:$B,喷水汇总表!$A31,ps!$I:$I,喷水汇总表!$X$4&amp;"/"&amp;喷水汇总表!$Y$4&amp;"/"&amp;喷水汇总表!AJ$5)</f>
        <v>0</v>
      </c>
      <c r="AN31" s="18">
        <f>SUMIFS(ps!$N:$N,ps!$B:$B,喷水汇总表!$A31,ps!$I:$I,喷水汇总表!$X$4&amp;"/"&amp;喷水汇总表!$Y$4&amp;"/"&amp;喷水汇总表!AK$5)</f>
        <v>0</v>
      </c>
      <c r="AO31" s="18">
        <f>SUMIFS(ps!$N:$N,ps!$B:$B,喷水汇总表!$A31,ps!$I:$I,喷水汇总表!$X$4&amp;"/"&amp;喷水汇总表!$Y$4&amp;"/"&amp;喷水汇总表!AL$5)</f>
        <v>0</v>
      </c>
      <c r="AP31" s="18">
        <f>SUMIFS(ps!$N:$N,ps!$B:$B,喷水汇总表!$A31,ps!$I:$I,喷水汇总表!$X$4&amp;"/"&amp;喷水汇总表!$Y$4&amp;"/"&amp;喷水汇总表!AM$5)</f>
        <v>0</v>
      </c>
      <c r="AQ31" s="18">
        <f>SUMIFS(ps!$N:$N,ps!$B:$B,喷水汇总表!$A31,ps!$I:$I,喷水汇总表!$X$4&amp;"/"&amp;喷水汇总表!$Y$4&amp;"/"&amp;喷水汇总表!AN$5)</f>
        <v>0</v>
      </c>
      <c r="AR31" s="18">
        <f>SUMIFS(ps!$N:$N,ps!$B:$B,喷水汇总表!$A31,ps!$I:$I,喷水汇总表!$X$4&amp;"/"&amp;喷水汇总表!$Y$4&amp;"/"&amp;喷水汇总表!AO$5)</f>
        <v>0</v>
      </c>
      <c r="AS31" s="18">
        <f>SUMIFS(ps!$N:$N,ps!$B:$B,喷水汇总表!$A31,ps!$I:$I,喷水汇总表!$X$4&amp;"/"&amp;喷水汇总表!$Y$4&amp;"/"&amp;喷水汇总表!AP$5)</f>
        <v>0</v>
      </c>
      <c r="AT31" s="18">
        <f>SUMIFS(ps!$N:$N,ps!$B:$B,喷水汇总表!$A31,ps!$I:$I,喷水汇总表!$X$4&amp;"/"&amp;喷水汇总表!$Y$4&amp;"/"&amp;喷水汇总表!AQ$5)</f>
        <v>0</v>
      </c>
      <c r="AU31" s="18">
        <f>SUMIFS(ps!$N:$N,ps!$B:$B,喷水汇总表!$A31,ps!$I:$I,喷水汇总表!$X$4&amp;"/"&amp;喷水汇总表!$Y$4&amp;"/"&amp;喷水汇总表!AR$5)</f>
        <v>0</v>
      </c>
      <c r="AV31" s="18">
        <f>SUMIFS(ps!$N:$N,ps!$B:$B,喷水汇总表!$A31,ps!$I:$I,喷水汇总表!$X$4&amp;"/"&amp;喷水汇总表!$Y$4&amp;"/"&amp;喷水汇总表!AS$5)</f>
        <v>0</v>
      </c>
      <c r="AW31" s="18">
        <f>SUMIFS(ps!$N:$N,ps!$B:$B,喷水汇总表!$A31,ps!$I:$I,喷水汇总表!$X$4&amp;"/"&amp;喷水汇总表!$Y$4&amp;"/"&amp;喷水汇总表!AT$5)</f>
        <v>0</v>
      </c>
      <c r="AX31" s="18">
        <f>SUMIFS(ps!$N:$N,ps!$B:$B,喷水汇总表!$A31,ps!$I:$I,喷水汇总表!$X$4&amp;"/"&amp;喷水汇总表!$Y$4&amp;"/"&amp;喷水汇总表!AU$5)</f>
        <v>0</v>
      </c>
      <c r="AY31" s="18">
        <f>SUMIFS(ps!$N:$N,ps!$B:$B,喷水汇总表!$A31,ps!$I:$I,喷水汇总表!$X$4&amp;"/"&amp;喷水汇总表!$Y$4&amp;"/"&amp;喷水汇总表!AV$5)</f>
        <v>0</v>
      </c>
      <c r="AZ31" s="18">
        <f>SUMIFS(ps!$N:$N,ps!$B:$B,喷水汇总表!$A31,ps!$I:$I,喷水汇总表!$X$4&amp;"/"&amp;喷水汇总表!$Y$4&amp;"/"&amp;喷水汇总表!AW$5)</f>
        <v>0</v>
      </c>
      <c r="BA31" s="18">
        <f>SUMIFS(ps!$N:$N,ps!$B:$B,喷水汇总表!$A31,ps!$I:$I,喷水汇总表!$X$4&amp;"/"&amp;喷水汇总表!$Y$4&amp;"/"&amp;喷水汇总表!AX$5)</f>
        <v>0</v>
      </c>
      <c r="BB31" s="18">
        <f>SUMIFS(ps!$N:$N,ps!$B:$B,喷水汇总表!$A31,ps!$I:$I,喷水汇总表!$X$4&amp;"/"&amp;喷水汇总表!$Y$4&amp;"/"&amp;喷水汇总表!AY$5)</f>
        <v>0</v>
      </c>
      <c r="BC31" s="18">
        <f>SUMIFS(ps!$N:$N,ps!$B:$B,喷水汇总表!$A31,ps!$I:$I,喷水汇总表!$X$4&amp;"/"&amp;喷水汇总表!$Y$4&amp;"/"&amp;喷水汇总表!AZ$5)</f>
        <v>0</v>
      </c>
      <c r="BD31" s="18">
        <f>SUMIFS(ps!$N:$N,ps!$B:$B,喷水汇总表!$A31,ps!$I:$I,喷水汇总表!$X$4&amp;"/"&amp;喷水汇总表!$Y$4&amp;"/"&amp;喷水汇总表!BA$5)</f>
        <v>0</v>
      </c>
      <c r="BE31" s="18">
        <f>SUMIFS(ps!$N:$N,ps!$B:$B,喷水汇总表!$A31,ps!$I:$I,喷水汇总表!$X$4&amp;"/"&amp;喷水汇总表!$Y$4&amp;"/"&amp;喷水汇总表!BB$5)</f>
        <v>0</v>
      </c>
      <c r="BF31" s="18">
        <f>SUMIFS(ps!$N:$N,ps!$B:$B,喷水汇总表!$A31,ps!$I:$I,喷水汇总表!$X$4&amp;"/"&amp;喷水汇总表!$Y$4&amp;"/"&amp;喷水汇总表!BC$5)</f>
        <v>0</v>
      </c>
    </row>
    <row r="32" spans="1:58" hidden="1">
      <c r="A32" s="231"/>
      <c r="B32" s="176" t="str">
        <f>IF(A32="","",VLOOKUP(A32,经纬!B:C,2,FALSE))</f>
        <v/>
      </c>
      <c r="C32" s="97"/>
      <c r="D32" s="176" t="str">
        <f>IF(A32="","",VLOOKUP(A32,经纬!B:G,6,FALSE))</f>
        <v/>
      </c>
      <c r="E32" s="44">
        <f>SUMIFS(ps!$N:$N,ps!$B:$B,喷水汇总表!$A32,ps!$H:$H,喷水汇总表!E$5)</f>
        <v>0</v>
      </c>
      <c r="F32" s="44">
        <f>SUMIFS(ps!$N:$N,ps!$B:$B,喷水汇总表!$A32,ps!$H:$H,喷水汇总表!F$5)</f>
        <v>0</v>
      </c>
      <c r="G32" s="44">
        <f>SUMIFS(ps!$N:$N,ps!$B:$B,喷水汇总表!$A32,ps!$H:$H,喷水汇总表!G$5)</f>
        <v>0</v>
      </c>
      <c r="H32" s="84">
        <f>SUMIFS(ps!$N:$N,ps!$B:$B,喷水汇总表!A32,ps!$F:$F,喷水汇总表!#REF!)</f>
        <v>0</v>
      </c>
      <c r="I32" s="84">
        <f>SUMIFS(ps!$N:$N,ps!$B:$B,喷水汇总表!A32,ps!$F:$F,喷水汇总表!#REF!)</f>
        <v>0</v>
      </c>
      <c r="J32" s="14">
        <f>SUMIFS(ps!$N:$N,ps!$B:$B,喷水汇总表!$A32,ps!$G:$G,喷水汇总表!H$5)</f>
        <v>0</v>
      </c>
      <c r="K32" s="14">
        <f>SUMIFS(ps!$N:$N,ps!$B:$B,喷水汇总表!$A32,ps!$G:$G,喷水汇总表!I$5)</f>
        <v>0</v>
      </c>
      <c r="L32" s="14">
        <f>SUMIFS(ps!$N:$N,ps!$B:$B,喷水汇总表!$A32,ps!$G:$G,喷水汇总表!J$5)</f>
        <v>0</v>
      </c>
      <c r="M32" s="14">
        <f>SUMIFS(ps!$N:$N,ps!$B:$B,喷水汇总表!$A32,ps!$G:$G,喷水汇总表!K$5)</f>
        <v>0</v>
      </c>
      <c r="N32" s="14">
        <f>SUMIFS(ps!$N:$N,ps!$B:$B,喷水汇总表!$A32,ps!$G:$G,喷水汇总表!M$5)</f>
        <v>0</v>
      </c>
      <c r="O32" s="108">
        <f>SUMIFS(ps!$N:$N,ps!$B:$B,喷水汇总表!$A32,ps!$G:$G,喷水汇总表!#REF!)</f>
        <v>0</v>
      </c>
      <c r="P32" s="108">
        <f>SUMIFS(ps!$N:$N,ps!$B:$B,喷水汇总表!$A32,ps!$G:$G,喷水汇总表!N$5)</f>
        <v>0</v>
      </c>
      <c r="Q32" s="108"/>
      <c r="R32" s="108"/>
      <c r="S32" s="108"/>
      <c r="T32" s="108"/>
      <c r="U32" s="108"/>
      <c r="V32" s="108"/>
      <c r="W32" s="108"/>
      <c r="X32" s="97"/>
      <c r="Y32" s="97"/>
      <c r="Z32" s="84"/>
      <c r="AA32" s="15"/>
      <c r="AB32" s="18">
        <f>SUMIFS(ps!$N:$N,ps!$B:$B,喷水汇总表!$A32,ps!$I:$I,喷水汇总表!$X$4&amp;"/"&amp;喷水汇总表!$Y$4&amp;"/"&amp;喷水汇总表!Y$5)</f>
        <v>0</v>
      </c>
      <c r="AC32" s="18">
        <f>SUMIFS(ps!$N:$N,ps!$B:$B,喷水汇总表!$A32,ps!$I:$I,喷水汇总表!$X$4&amp;"/"&amp;喷水汇总表!$Y$4&amp;"/"&amp;喷水汇总表!Z$5)</f>
        <v>0</v>
      </c>
      <c r="AD32" s="18">
        <f>SUMIFS(ps!$N:$N,ps!$B:$B,喷水汇总表!$A32,ps!$I:$I,喷水汇总表!$X$4&amp;"/"&amp;喷水汇总表!$Y$4&amp;"/"&amp;喷水汇总表!AA$5)</f>
        <v>0</v>
      </c>
      <c r="AE32" s="18">
        <f>SUMIFS(ps!$N:$N,ps!$B:$B,喷水汇总表!$A32,ps!$I:$I,喷水汇总表!$X$4&amp;"/"&amp;喷水汇总表!$Y$4&amp;"/"&amp;喷水汇总表!AB$5)</f>
        <v>0</v>
      </c>
      <c r="AF32" s="18">
        <f>SUMIFS(ps!$N:$N,ps!$B:$B,喷水汇总表!$A32,ps!$I:$I,喷水汇总表!$X$4&amp;"/"&amp;喷水汇总表!$Y$4&amp;"/"&amp;喷水汇总表!AC$5)</f>
        <v>0</v>
      </c>
      <c r="AG32" s="18">
        <f>SUMIFS(ps!$N:$N,ps!$B:$B,喷水汇总表!$A32,ps!$I:$I,喷水汇总表!$X$4&amp;"/"&amp;喷水汇总表!$Y$4&amp;"/"&amp;喷水汇总表!AD$5)</f>
        <v>0</v>
      </c>
      <c r="AH32" s="18">
        <f>SUMIFS(ps!$N:$N,ps!$B:$B,喷水汇总表!$A32,ps!$I:$I,喷水汇总表!$X$4&amp;"/"&amp;喷水汇总表!$Y$4&amp;"/"&amp;喷水汇总表!AE$5)</f>
        <v>0</v>
      </c>
      <c r="AI32" s="18">
        <f>SUMIFS(ps!$N:$N,ps!$B:$B,喷水汇总表!$A32,ps!$I:$I,喷水汇总表!$X$4&amp;"/"&amp;喷水汇总表!$Y$4&amp;"/"&amp;喷水汇总表!AF$5)</f>
        <v>0</v>
      </c>
      <c r="AJ32" s="18">
        <f>SUMIFS(ps!$N:$N,ps!$B:$B,喷水汇总表!$A32,ps!$I:$I,喷水汇总表!$X$4&amp;"/"&amp;喷水汇总表!$Y$4&amp;"/"&amp;喷水汇总表!AG$5)</f>
        <v>0</v>
      </c>
      <c r="AK32" s="18">
        <f>SUMIFS(ps!$N:$N,ps!$B:$B,喷水汇总表!$A32,ps!$I:$I,喷水汇总表!$X$4&amp;"/"&amp;喷水汇总表!$Y$4&amp;"/"&amp;喷水汇总表!AH$5)</f>
        <v>0</v>
      </c>
      <c r="AL32" s="18">
        <f>SUMIFS(ps!$N:$N,ps!$B:$B,喷水汇总表!$A32,ps!$I:$I,喷水汇总表!$X$4&amp;"/"&amp;喷水汇总表!$Y$4&amp;"/"&amp;喷水汇总表!AI$5)</f>
        <v>0</v>
      </c>
      <c r="AM32" s="18">
        <f>SUMIFS(ps!$N:$N,ps!$B:$B,喷水汇总表!$A32,ps!$I:$I,喷水汇总表!$X$4&amp;"/"&amp;喷水汇总表!$Y$4&amp;"/"&amp;喷水汇总表!AJ$5)</f>
        <v>0</v>
      </c>
      <c r="AN32" s="18">
        <f>SUMIFS(ps!$N:$N,ps!$B:$B,喷水汇总表!$A32,ps!$I:$I,喷水汇总表!$X$4&amp;"/"&amp;喷水汇总表!$Y$4&amp;"/"&amp;喷水汇总表!AK$5)</f>
        <v>0</v>
      </c>
      <c r="AO32" s="18">
        <f>SUMIFS(ps!$N:$N,ps!$B:$B,喷水汇总表!$A32,ps!$I:$I,喷水汇总表!$X$4&amp;"/"&amp;喷水汇总表!$Y$4&amp;"/"&amp;喷水汇总表!AL$5)</f>
        <v>0</v>
      </c>
      <c r="AP32" s="18">
        <f>SUMIFS(ps!$N:$N,ps!$B:$B,喷水汇总表!$A32,ps!$I:$I,喷水汇总表!$X$4&amp;"/"&amp;喷水汇总表!$Y$4&amp;"/"&amp;喷水汇总表!AM$5)</f>
        <v>0</v>
      </c>
      <c r="AQ32" s="18">
        <f>SUMIFS(ps!$N:$N,ps!$B:$B,喷水汇总表!$A32,ps!$I:$I,喷水汇总表!$X$4&amp;"/"&amp;喷水汇总表!$Y$4&amp;"/"&amp;喷水汇总表!AN$5)</f>
        <v>0</v>
      </c>
      <c r="AR32" s="18">
        <f>SUMIFS(ps!$N:$N,ps!$B:$B,喷水汇总表!$A32,ps!$I:$I,喷水汇总表!$X$4&amp;"/"&amp;喷水汇总表!$Y$4&amp;"/"&amp;喷水汇总表!AO$5)</f>
        <v>0</v>
      </c>
      <c r="AS32" s="18">
        <f>SUMIFS(ps!$N:$N,ps!$B:$B,喷水汇总表!$A32,ps!$I:$I,喷水汇总表!$X$4&amp;"/"&amp;喷水汇总表!$Y$4&amp;"/"&amp;喷水汇总表!AP$5)</f>
        <v>0</v>
      </c>
      <c r="AT32" s="18">
        <f>SUMIFS(ps!$N:$N,ps!$B:$B,喷水汇总表!$A32,ps!$I:$I,喷水汇总表!$X$4&amp;"/"&amp;喷水汇总表!$Y$4&amp;"/"&amp;喷水汇总表!AQ$5)</f>
        <v>0</v>
      </c>
      <c r="AU32" s="18">
        <f>SUMIFS(ps!$N:$N,ps!$B:$B,喷水汇总表!$A32,ps!$I:$I,喷水汇总表!$X$4&amp;"/"&amp;喷水汇总表!$Y$4&amp;"/"&amp;喷水汇总表!AR$5)</f>
        <v>0</v>
      </c>
      <c r="AV32" s="18">
        <f>SUMIFS(ps!$N:$N,ps!$B:$B,喷水汇总表!$A32,ps!$I:$I,喷水汇总表!$X$4&amp;"/"&amp;喷水汇总表!$Y$4&amp;"/"&amp;喷水汇总表!AS$5)</f>
        <v>0</v>
      </c>
      <c r="AW32" s="18">
        <f>SUMIFS(ps!$N:$N,ps!$B:$B,喷水汇总表!$A32,ps!$I:$I,喷水汇总表!$X$4&amp;"/"&amp;喷水汇总表!$Y$4&amp;"/"&amp;喷水汇总表!AT$5)</f>
        <v>0</v>
      </c>
      <c r="AX32" s="18">
        <f>SUMIFS(ps!$N:$N,ps!$B:$B,喷水汇总表!$A32,ps!$I:$I,喷水汇总表!$X$4&amp;"/"&amp;喷水汇总表!$Y$4&amp;"/"&amp;喷水汇总表!AU$5)</f>
        <v>0</v>
      </c>
      <c r="AY32" s="18">
        <f>SUMIFS(ps!$N:$N,ps!$B:$B,喷水汇总表!$A32,ps!$I:$I,喷水汇总表!$X$4&amp;"/"&amp;喷水汇总表!$Y$4&amp;"/"&amp;喷水汇总表!AV$5)</f>
        <v>0</v>
      </c>
      <c r="AZ32" s="18">
        <f>SUMIFS(ps!$N:$N,ps!$B:$B,喷水汇总表!$A32,ps!$I:$I,喷水汇总表!$X$4&amp;"/"&amp;喷水汇总表!$Y$4&amp;"/"&amp;喷水汇总表!AW$5)</f>
        <v>0</v>
      </c>
      <c r="BA32" s="18">
        <f>SUMIFS(ps!$N:$N,ps!$B:$B,喷水汇总表!$A32,ps!$I:$I,喷水汇总表!$X$4&amp;"/"&amp;喷水汇总表!$Y$4&amp;"/"&amp;喷水汇总表!AX$5)</f>
        <v>0</v>
      </c>
      <c r="BB32" s="18">
        <f>SUMIFS(ps!$N:$N,ps!$B:$B,喷水汇总表!$A32,ps!$I:$I,喷水汇总表!$X$4&amp;"/"&amp;喷水汇总表!$Y$4&amp;"/"&amp;喷水汇总表!AY$5)</f>
        <v>0</v>
      </c>
      <c r="BC32" s="18">
        <f>SUMIFS(ps!$N:$N,ps!$B:$B,喷水汇总表!$A32,ps!$I:$I,喷水汇总表!$X$4&amp;"/"&amp;喷水汇总表!$Y$4&amp;"/"&amp;喷水汇总表!AZ$5)</f>
        <v>0</v>
      </c>
      <c r="BD32" s="18">
        <f>SUMIFS(ps!$N:$N,ps!$B:$B,喷水汇总表!$A32,ps!$I:$I,喷水汇总表!$X$4&amp;"/"&amp;喷水汇总表!$Y$4&amp;"/"&amp;喷水汇总表!BA$5)</f>
        <v>0</v>
      </c>
      <c r="BE32" s="18">
        <f>SUMIFS(ps!$N:$N,ps!$B:$B,喷水汇总表!$A32,ps!$I:$I,喷水汇总表!$X$4&amp;"/"&amp;喷水汇总表!$Y$4&amp;"/"&amp;喷水汇总表!BB$5)</f>
        <v>0</v>
      </c>
      <c r="BF32" s="18">
        <f>SUMIFS(ps!$N:$N,ps!$B:$B,喷水汇总表!$A32,ps!$I:$I,喷水汇总表!$X$4&amp;"/"&amp;喷水汇总表!$Y$4&amp;"/"&amp;喷水汇总表!BC$5)</f>
        <v>0</v>
      </c>
    </row>
    <row r="33" spans="1:58" hidden="1">
      <c r="A33" s="231"/>
      <c r="B33" s="176" t="str">
        <f>IF(A33="","",VLOOKUP(A33,经纬!B:C,2,FALSE))</f>
        <v/>
      </c>
      <c r="C33" s="97"/>
      <c r="D33" s="176" t="str">
        <f>IF(A33="","",VLOOKUP(A33,经纬!B:G,6,FALSE))</f>
        <v/>
      </c>
      <c r="E33" s="44">
        <f>SUMIFS(ps!$N:$N,ps!$B:$B,喷水汇总表!$A33,ps!$H:$H,喷水汇总表!E$5)</f>
        <v>0</v>
      </c>
      <c r="F33" s="44">
        <f>SUMIFS(ps!$N:$N,ps!$B:$B,喷水汇总表!$A33,ps!$H:$H,喷水汇总表!F$5)</f>
        <v>0</v>
      </c>
      <c r="G33" s="44">
        <f>SUMIFS(ps!$N:$N,ps!$B:$B,喷水汇总表!$A33,ps!$H:$H,喷水汇总表!G$5)</f>
        <v>0</v>
      </c>
      <c r="H33" s="84">
        <f>SUMIFS(ps!$N:$N,ps!$B:$B,喷水汇总表!A33,ps!$F:$F,喷水汇总表!#REF!)</f>
        <v>0</v>
      </c>
      <c r="I33" s="84">
        <f>SUMIFS(ps!$N:$N,ps!$B:$B,喷水汇总表!A33,ps!$F:$F,喷水汇总表!#REF!)</f>
        <v>0</v>
      </c>
      <c r="J33" s="14">
        <f>SUMIFS(ps!$N:$N,ps!$B:$B,喷水汇总表!$A33,ps!$G:$G,喷水汇总表!H$5)</f>
        <v>0</v>
      </c>
      <c r="K33" s="14">
        <f>SUMIFS(ps!$N:$N,ps!$B:$B,喷水汇总表!$A33,ps!$G:$G,喷水汇总表!I$5)</f>
        <v>0</v>
      </c>
      <c r="L33" s="14">
        <f>SUMIFS(ps!$N:$N,ps!$B:$B,喷水汇总表!$A33,ps!$G:$G,喷水汇总表!J$5)</f>
        <v>0</v>
      </c>
      <c r="M33" s="14">
        <f>SUMIFS(ps!$N:$N,ps!$B:$B,喷水汇总表!$A33,ps!$G:$G,喷水汇总表!K$5)</f>
        <v>0</v>
      </c>
      <c r="N33" s="14">
        <f>SUMIFS(ps!$N:$N,ps!$B:$B,喷水汇总表!$A33,ps!$G:$G,喷水汇总表!M$5)</f>
        <v>0</v>
      </c>
      <c r="O33" s="108">
        <f>SUMIFS(ps!$N:$N,ps!$B:$B,喷水汇总表!$A33,ps!$G:$G,喷水汇总表!#REF!)</f>
        <v>0</v>
      </c>
      <c r="P33" s="108">
        <f>SUMIFS(ps!$N:$N,ps!$B:$B,喷水汇总表!$A33,ps!$G:$G,喷水汇总表!N$5)</f>
        <v>0</v>
      </c>
      <c r="Q33" s="108"/>
      <c r="R33" s="108"/>
      <c r="S33" s="108"/>
      <c r="T33" s="108"/>
      <c r="U33" s="108"/>
      <c r="V33" s="108"/>
      <c r="W33" s="108"/>
      <c r="X33" s="97"/>
      <c r="Y33" s="97"/>
      <c r="Z33" s="84"/>
      <c r="AA33" s="15"/>
      <c r="AB33" s="18">
        <f>SUMIFS(ps!$N:$N,ps!$B:$B,喷水汇总表!$A33,ps!$I:$I,喷水汇总表!$X$4&amp;"/"&amp;喷水汇总表!$Y$4&amp;"/"&amp;喷水汇总表!Y$5)</f>
        <v>0</v>
      </c>
      <c r="AC33" s="18">
        <f>SUMIFS(ps!$N:$N,ps!$B:$B,喷水汇总表!$A33,ps!$I:$I,喷水汇总表!$X$4&amp;"/"&amp;喷水汇总表!$Y$4&amp;"/"&amp;喷水汇总表!Z$5)</f>
        <v>0</v>
      </c>
      <c r="AD33" s="18">
        <f>SUMIFS(ps!$N:$N,ps!$B:$B,喷水汇总表!$A33,ps!$I:$I,喷水汇总表!$X$4&amp;"/"&amp;喷水汇总表!$Y$4&amp;"/"&amp;喷水汇总表!AA$5)</f>
        <v>0</v>
      </c>
      <c r="AE33" s="18">
        <f>SUMIFS(ps!$N:$N,ps!$B:$B,喷水汇总表!$A33,ps!$I:$I,喷水汇总表!$X$4&amp;"/"&amp;喷水汇总表!$Y$4&amp;"/"&amp;喷水汇总表!AB$5)</f>
        <v>0</v>
      </c>
      <c r="AF33" s="18">
        <f>SUMIFS(ps!$N:$N,ps!$B:$B,喷水汇总表!$A33,ps!$I:$I,喷水汇总表!$X$4&amp;"/"&amp;喷水汇总表!$Y$4&amp;"/"&amp;喷水汇总表!AC$5)</f>
        <v>0</v>
      </c>
      <c r="AG33" s="18">
        <f>SUMIFS(ps!$N:$N,ps!$B:$B,喷水汇总表!$A33,ps!$I:$I,喷水汇总表!$X$4&amp;"/"&amp;喷水汇总表!$Y$4&amp;"/"&amp;喷水汇总表!AD$5)</f>
        <v>0</v>
      </c>
      <c r="AH33" s="18">
        <f>SUMIFS(ps!$N:$N,ps!$B:$B,喷水汇总表!$A33,ps!$I:$I,喷水汇总表!$X$4&amp;"/"&amp;喷水汇总表!$Y$4&amp;"/"&amp;喷水汇总表!AE$5)</f>
        <v>0</v>
      </c>
      <c r="AI33" s="18">
        <f>SUMIFS(ps!$N:$N,ps!$B:$B,喷水汇总表!$A33,ps!$I:$I,喷水汇总表!$X$4&amp;"/"&amp;喷水汇总表!$Y$4&amp;"/"&amp;喷水汇总表!AF$5)</f>
        <v>0</v>
      </c>
      <c r="AJ33" s="18">
        <f>SUMIFS(ps!$N:$N,ps!$B:$B,喷水汇总表!$A33,ps!$I:$I,喷水汇总表!$X$4&amp;"/"&amp;喷水汇总表!$Y$4&amp;"/"&amp;喷水汇总表!AG$5)</f>
        <v>0</v>
      </c>
      <c r="AK33" s="18">
        <f>SUMIFS(ps!$N:$N,ps!$B:$B,喷水汇总表!$A33,ps!$I:$I,喷水汇总表!$X$4&amp;"/"&amp;喷水汇总表!$Y$4&amp;"/"&amp;喷水汇总表!AH$5)</f>
        <v>0</v>
      </c>
      <c r="AL33" s="18">
        <f>SUMIFS(ps!$N:$N,ps!$B:$B,喷水汇总表!$A33,ps!$I:$I,喷水汇总表!$X$4&amp;"/"&amp;喷水汇总表!$Y$4&amp;"/"&amp;喷水汇总表!AI$5)</f>
        <v>0</v>
      </c>
      <c r="AM33" s="18">
        <f>SUMIFS(ps!$N:$N,ps!$B:$B,喷水汇总表!$A33,ps!$I:$I,喷水汇总表!$X$4&amp;"/"&amp;喷水汇总表!$Y$4&amp;"/"&amp;喷水汇总表!AJ$5)</f>
        <v>0</v>
      </c>
      <c r="AN33" s="18">
        <f>SUMIFS(ps!$N:$N,ps!$B:$B,喷水汇总表!$A33,ps!$I:$I,喷水汇总表!$X$4&amp;"/"&amp;喷水汇总表!$Y$4&amp;"/"&amp;喷水汇总表!AK$5)</f>
        <v>0</v>
      </c>
      <c r="AO33" s="18">
        <f>SUMIFS(ps!$N:$N,ps!$B:$B,喷水汇总表!$A33,ps!$I:$I,喷水汇总表!$X$4&amp;"/"&amp;喷水汇总表!$Y$4&amp;"/"&amp;喷水汇总表!AL$5)</f>
        <v>0</v>
      </c>
      <c r="AP33" s="18">
        <f>SUMIFS(ps!$N:$N,ps!$B:$B,喷水汇总表!$A33,ps!$I:$I,喷水汇总表!$X$4&amp;"/"&amp;喷水汇总表!$Y$4&amp;"/"&amp;喷水汇总表!AM$5)</f>
        <v>0</v>
      </c>
      <c r="AQ33" s="18">
        <f>SUMIFS(ps!$N:$N,ps!$B:$B,喷水汇总表!$A33,ps!$I:$I,喷水汇总表!$X$4&amp;"/"&amp;喷水汇总表!$Y$4&amp;"/"&amp;喷水汇总表!AN$5)</f>
        <v>0</v>
      </c>
      <c r="AR33" s="18">
        <f>SUMIFS(ps!$N:$N,ps!$B:$B,喷水汇总表!$A33,ps!$I:$I,喷水汇总表!$X$4&amp;"/"&amp;喷水汇总表!$Y$4&amp;"/"&amp;喷水汇总表!AO$5)</f>
        <v>0</v>
      </c>
      <c r="AS33" s="18">
        <f>SUMIFS(ps!$N:$N,ps!$B:$B,喷水汇总表!$A33,ps!$I:$I,喷水汇总表!$X$4&amp;"/"&amp;喷水汇总表!$Y$4&amp;"/"&amp;喷水汇总表!AP$5)</f>
        <v>0</v>
      </c>
      <c r="AT33" s="18">
        <f>SUMIFS(ps!$N:$N,ps!$B:$B,喷水汇总表!$A33,ps!$I:$I,喷水汇总表!$X$4&amp;"/"&amp;喷水汇总表!$Y$4&amp;"/"&amp;喷水汇总表!AQ$5)</f>
        <v>0</v>
      </c>
      <c r="AU33" s="18">
        <f>SUMIFS(ps!$N:$N,ps!$B:$B,喷水汇总表!$A33,ps!$I:$I,喷水汇总表!$X$4&amp;"/"&amp;喷水汇总表!$Y$4&amp;"/"&amp;喷水汇总表!AR$5)</f>
        <v>0</v>
      </c>
      <c r="AV33" s="18">
        <f>SUMIFS(ps!$N:$N,ps!$B:$B,喷水汇总表!$A33,ps!$I:$I,喷水汇总表!$X$4&amp;"/"&amp;喷水汇总表!$Y$4&amp;"/"&amp;喷水汇总表!AS$5)</f>
        <v>0</v>
      </c>
      <c r="AW33" s="18">
        <f>SUMIFS(ps!$N:$N,ps!$B:$B,喷水汇总表!$A33,ps!$I:$I,喷水汇总表!$X$4&amp;"/"&amp;喷水汇总表!$Y$4&amp;"/"&amp;喷水汇总表!AT$5)</f>
        <v>0</v>
      </c>
      <c r="AX33" s="18">
        <f>SUMIFS(ps!$N:$N,ps!$B:$B,喷水汇总表!$A33,ps!$I:$I,喷水汇总表!$X$4&amp;"/"&amp;喷水汇总表!$Y$4&amp;"/"&amp;喷水汇总表!AU$5)</f>
        <v>0</v>
      </c>
      <c r="AY33" s="18">
        <f>SUMIFS(ps!$N:$N,ps!$B:$B,喷水汇总表!$A33,ps!$I:$I,喷水汇总表!$X$4&amp;"/"&amp;喷水汇总表!$Y$4&amp;"/"&amp;喷水汇总表!AV$5)</f>
        <v>0</v>
      </c>
      <c r="AZ33" s="18">
        <f>SUMIFS(ps!$N:$N,ps!$B:$B,喷水汇总表!$A33,ps!$I:$I,喷水汇总表!$X$4&amp;"/"&amp;喷水汇总表!$Y$4&amp;"/"&amp;喷水汇总表!AW$5)</f>
        <v>0</v>
      </c>
      <c r="BA33" s="18">
        <f>SUMIFS(ps!$N:$N,ps!$B:$B,喷水汇总表!$A33,ps!$I:$I,喷水汇总表!$X$4&amp;"/"&amp;喷水汇总表!$Y$4&amp;"/"&amp;喷水汇总表!AX$5)</f>
        <v>0</v>
      </c>
      <c r="BB33" s="18">
        <f>SUMIFS(ps!$N:$N,ps!$B:$B,喷水汇总表!$A33,ps!$I:$I,喷水汇总表!$X$4&amp;"/"&amp;喷水汇总表!$Y$4&amp;"/"&amp;喷水汇总表!AY$5)</f>
        <v>0</v>
      </c>
      <c r="BC33" s="18">
        <f>SUMIFS(ps!$N:$N,ps!$B:$B,喷水汇总表!$A33,ps!$I:$I,喷水汇总表!$X$4&amp;"/"&amp;喷水汇总表!$Y$4&amp;"/"&amp;喷水汇总表!AZ$5)</f>
        <v>0</v>
      </c>
      <c r="BD33" s="18">
        <f>SUMIFS(ps!$N:$N,ps!$B:$B,喷水汇总表!$A33,ps!$I:$I,喷水汇总表!$X$4&amp;"/"&amp;喷水汇总表!$Y$4&amp;"/"&amp;喷水汇总表!BA$5)</f>
        <v>0</v>
      </c>
      <c r="BE33" s="18">
        <f>SUMIFS(ps!$N:$N,ps!$B:$B,喷水汇总表!$A33,ps!$I:$I,喷水汇总表!$X$4&amp;"/"&amp;喷水汇总表!$Y$4&amp;"/"&amp;喷水汇总表!BB$5)</f>
        <v>0</v>
      </c>
      <c r="BF33" s="18">
        <f>SUMIFS(ps!$N:$N,ps!$B:$B,喷水汇总表!$A33,ps!$I:$I,喷水汇总表!$X$4&amp;"/"&amp;喷水汇总表!$Y$4&amp;"/"&amp;喷水汇总表!BC$5)</f>
        <v>0</v>
      </c>
    </row>
    <row r="34" spans="1:58" hidden="1">
      <c r="A34" s="231"/>
      <c r="B34" s="176" t="str">
        <f>IF(A34="","",VLOOKUP(A34,经纬!B:C,2,FALSE))</f>
        <v/>
      </c>
      <c r="C34" s="97"/>
      <c r="D34" s="176" t="str">
        <f>IF(A34="","",VLOOKUP(A34,经纬!B:G,6,FALSE))</f>
        <v/>
      </c>
      <c r="E34" s="44">
        <f>SUMIFS(ps!$N:$N,ps!$B:$B,喷水汇总表!$A34,ps!$H:$H,喷水汇总表!E$5)</f>
        <v>0</v>
      </c>
      <c r="F34" s="44">
        <f>SUMIFS(ps!$N:$N,ps!$B:$B,喷水汇总表!$A34,ps!$H:$H,喷水汇总表!F$5)</f>
        <v>0</v>
      </c>
      <c r="G34" s="44">
        <f>SUMIFS(ps!$N:$N,ps!$B:$B,喷水汇总表!$A34,ps!$H:$H,喷水汇总表!G$5)</f>
        <v>0</v>
      </c>
      <c r="H34" s="84">
        <f>SUMIFS(ps!$N:$N,ps!$B:$B,喷水汇总表!A34,ps!$F:$F,喷水汇总表!#REF!)</f>
        <v>0</v>
      </c>
      <c r="I34" s="84">
        <f>SUMIFS(ps!$N:$N,ps!$B:$B,喷水汇总表!A34,ps!$F:$F,喷水汇总表!#REF!)</f>
        <v>0</v>
      </c>
      <c r="J34" s="14">
        <f>SUMIFS(ps!$N:$N,ps!$B:$B,喷水汇总表!$A34,ps!$G:$G,喷水汇总表!H$5)</f>
        <v>0</v>
      </c>
      <c r="K34" s="14">
        <f>SUMIFS(ps!$N:$N,ps!$B:$B,喷水汇总表!$A34,ps!$G:$G,喷水汇总表!I$5)</f>
        <v>0</v>
      </c>
      <c r="L34" s="14">
        <f>SUMIFS(ps!$N:$N,ps!$B:$B,喷水汇总表!$A34,ps!$G:$G,喷水汇总表!J$5)</f>
        <v>0</v>
      </c>
      <c r="M34" s="14">
        <f>SUMIFS(ps!$N:$N,ps!$B:$B,喷水汇总表!$A34,ps!$G:$G,喷水汇总表!K$5)</f>
        <v>0</v>
      </c>
      <c r="N34" s="14">
        <f>SUMIFS(ps!$N:$N,ps!$B:$B,喷水汇总表!$A34,ps!$G:$G,喷水汇总表!M$5)</f>
        <v>0</v>
      </c>
      <c r="O34" s="108">
        <f>SUMIFS(ps!$N:$N,ps!$B:$B,喷水汇总表!$A34,ps!$G:$G,喷水汇总表!#REF!)</f>
        <v>0</v>
      </c>
      <c r="P34" s="108">
        <f>SUMIFS(ps!$N:$N,ps!$B:$B,喷水汇总表!$A34,ps!$G:$G,喷水汇总表!N$5)</f>
        <v>0</v>
      </c>
      <c r="Q34" s="108"/>
      <c r="R34" s="108"/>
      <c r="S34" s="108"/>
      <c r="T34" s="108"/>
      <c r="U34" s="108"/>
      <c r="V34" s="108"/>
      <c r="W34" s="108"/>
      <c r="X34" s="97"/>
      <c r="Y34" s="97"/>
      <c r="Z34" s="84"/>
      <c r="AA34" s="15"/>
      <c r="AB34" s="18">
        <f>SUMIFS(ps!$N:$N,ps!$B:$B,喷水汇总表!$A34,ps!$I:$I,喷水汇总表!$X$4&amp;"/"&amp;喷水汇总表!$Y$4&amp;"/"&amp;喷水汇总表!Y$5)</f>
        <v>0</v>
      </c>
      <c r="AC34" s="18">
        <f>SUMIFS(ps!$N:$N,ps!$B:$B,喷水汇总表!$A34,ps!$I:$I,喷水汇总表!$X$4&amp;"/"&amp;喷水汇总表!$Y$4&amp;"/"&amp;喷水汇总表!Z$5)</f>
        <v>0</v>
      </c>
      <c r="AD34" s="18">
        <f>SUMIFS(ps!$N:$N,ps!$B:$B,喷水汇总表!$A34,ps!$I:$I,喷水汇总表!$X$4&amp;"/"&amp;喷水汇总表!$Y$4&amp;"/"&amp;喷水汇总表!AA$5)</f>
        <v>0</v>
      </c>
      <c r="AE34" s="18">
        <f>SUMIFS(ps!$N:$N,ps!$B:$B,喷水汇总表!$A34,ps!$I:$I,喷水汇总表!$X$4&amp;"/"&amp;喷水汇总表!$Y$4&amp;"/"&amp;喷水汇总表!AB$5)</f>
        <v>0</v>
      </c>
      <c r="AF34" s="18">
        <f>SUMIFS(ps!$N:$N,ps!$B:$B,喷水汇总表!$A34,ps!$I:$I,喷水汇总表!$X$4&amp;"/"&amp;喷水汇总表!$Y$4&amp;"/"&amp;喷水汇总表!AC$5)</f>
        <v>0</v>
      </c>
      <c r="AG34" s="18">
        <f>SUMIFS(ps!$N:$N,ps!$B:$B,喷水汇总表!$A34,ps!$I:$I,喷水汇总表!$X$4&amp;"/"&amp;喷水汇总表!$Y$4&amp;"/"&amp;喷水汇总表!AD$5)</f>
        <v>0</v>
      </c>
      <c r="AH34" s="18">
        <f>SUMIFS(ps!$N:$N,ps!$B:$B,喷水汇总表!$A34,ps!$I:$I,喷水汇总表!$X$4&amp;"/"&amp;喷水汇总表!$Y$4&amp;"/"&amp;喷水汇总表!AE$5)</f>
        <v>0</v>
      </c>
      <c r="AI34" s="18">
        <f>SUMIFS(ps!$N:$N,ps!$B:$B,喷水汇总表!$A34,ps!$I:$I,喷水汇总表!$X$4&amp;"/"&amp;喷水汇总表!$Y$4&amp;"/"&amp;喷水汇总表!AF$5)</f>
        <v>0</v>
      </c>
      <c r="AJ34" s="18">
        <f>SUMIFS(ps!$N:$N,ps!$B:$B,喷水汇总表!$A34,ps!$I:$I,喷水汇总表!$X$4&amp;"/"&amp;喷水汇总表!$Y$4&amp;"/"&amp;喷水汇总表!AG$5)</f>
        <v>0</v>
      </c>
      <c r="AK34" s="18">
        <f>SUMIFS(ps!$N:$N,ps!$B:$B,喷水汇总表!$A34,ps!$I:$I,喷水汇总表!$X$4&amp;"/"&amp;喷水汇总表!$Y$4&amp;"/"&amp;喷水汇总表!AH$5)</f>
        <v>0</v>
      </c>
      <c r="AL34" s="18">
        <f>SUMIFS(ps!$N:$N,ps!$B:$B,喷水汇总表!$A34,ps!$I:$I,喷水汇总表!$X$4&amp;"/"&amp;喷水汇总表!$Y$4&amp;"/"&amp;喷水汇总表!AI$5)</f>
        <v>0</v>
      </c>
      <c r="AM34" s="18">
        <f>SUMIFS(ps!$N:$N,ps!$B:$B,喷水汇总表!$A34,ps!$I:$I,喷水汇总表!$X$4&amp;"/"&amp;喷水汇总表!$Y$4&amp;"/"&amp;喷水汇总表!AJ$5)</f>
        <v>0</v>
      </c>
      <c r="AN34" s="18">
        <f>SUMIFS(ps!$N:$N,ps!$B:$B,喷水汇总表!$A34,ps!$I:$I,喷水汇总表!$X$4&amp;"/"&amp;喷水汇总表!$Y$4&amp;"/"&amp;喷水汇总表!AK$5)</f>
        <v>0</v>
      </c>
      <c r="AO34" s="18">
        <f>SUMIFS(ps!$N:$N,ps!$B:$B,喷水汇总表!$A34,ps!$I:$I,喷水汇总表!$X$4&amp;"/"&amp;喷水汇总表!$Y$4&amp;"/"&amp;喷水汇总表!AL$5)</f>
        <v>0</v>
      </c>
      <c r="AP34" s="18">
        <f>SUMIFS(ps!$N:$N,ps!$B:$B,喷水汇总表!$A34,ps!$I:$I,喷水汇总表!$X$4&amp;"/"&amp;喷水汇总表!$Y$4&amp;"/"&amp;喷水汇总表!AM$5)</f>
        <v>0</v>
      </c>
      <c r="AQ34" s="18">
        <f>SUMIFS(ps!$N:$N,ps!$B:$B,喷水汇总表!$A34,ps!$I:$I,喷水汇总表!$X$4&amp;"/"&amp;喷水汇总表!$Y$4&amp;"/"&amp;喷水汇总表!AN$5)</f>
        <v>0</v>
      </c>
      <c r="AR34" s="18">
        <f>SUMIFS(ps!$N:$N,ps!$B:$B,喷水汇总表!$A34,ps!$I:$I,喷水汇总表!$X$4&amp;"/"&amp;喷水汇总表!$Y$4&amp;"/"&amp;喷水汇总表!AO$5)</f>
        <v>0</v>
      </c>
      <c r="AS34" s="18">
        <f>SUMIFS(ps!$N:$N,ps!$B:$B,喷水汇总表!$A34,ps!$I:$I,喷水汇总表!$X$4&amp;"/"&amp;喷水汇总表!$Y$4&amp;"/"&amp;喷水汇总表!AP$5)</f>
        <v>0</v>
      </c>
      <c r="AT34" s="18">
        <f>SUMIFS(ps!$N:$N,ps!$B:$B,喷水汇总表!$A34,ps!$I:$I,喷水汇总表!$X$4&amp;"/"&amp;喷水汇总表!$Y$4&amp;"/"&amp;喷水汇总表!AQ$5)</f>
        <v>0</v>
      </c>
      <c r="AU34" s="18">
        <f>SUMIFS(ps!$N:$N,ps!$B:$B,喷水汇总表!$A34,ps!$I:$I,喷水汇总表!$X$4&amp;"/"&amp;喷水汇总表!$Y$4&amp;"/"&amp;喷水汇总表!AR$5)</f>
        <v>0</v>
      </c>
      <c r="AV34" s="18">
        <f>SUMIFS(ps!$N:$N,ps!$B:$B,喷水汇总表!$A34,ps!$I:$I,喷水汇总表!$X$4&amp;"/"&amp;喷水汇总表!$Y$4&amp;"/"&amp;喷水汇总表!AS$5)</f>
        <v>0</v>
      </c>
      <c r="AW34" s="18">
        <f>SUMIFS(ps!$N:$N,ps!$B:$B,喷水汇总表!$A34,ps!$I:$I,喷水汇总表!$X$4&amp;"/"&amp;喷水汇总表!$Y$4&amp;"/"&amp;喷水汇总表!AT$5)</f>
        <v>0</v>
      </c>
      <c r="AX34" s="18">
        <f>SUMIFS(ps!$N:$N,ps!$B:$B,喷水汇总表!$A34,ps!$I:$I,喷水汇总表!$X$4&amp;"/"&amp;喷水汇总表!$Y$4&amp;"/"&amp;喷水汇总表!AU$5)</f>
        <v>0</v>
      </c>
      <c r="AY34" s="18">
        <f>SUMIFS(ps!$N:$N,ps!$B:$B,喷水汇总表!$A34,ps!$I:$I,喷水汇总表!$X$4&amp;"/"&amp;喷水汇总表!$Y$4&amp;"/"&amp;喷水汇总表!AV$5)</f>
        <v>0</v>
      </c>
      <c r="AZ34" s="18">
        <f>SUMIFS(ps!$N:$N,ps!$B:$B,喷水汇总表!$A34,ps!$I:$I,喷水汇总表!$X$4&amp;"/"&amp;喷水汇总表!$Y$4&amp;"/"&amp;喷水汇总表!AW$5)</f>
        <v>0</v>
      </c>
      <c r="BA34" s="18">
        <f>SUMIFS(ps!$N:$N,ps!$B:$B,喷水汇总表!$A34,ps!$I:$I,喷水汇总表!$X$4&amp;"/"&amp;喷水汇总表!$Y$4&amp;"/"&amp;喷水汇总表!AX$5)</f>
        <v>0</v>
      </c>
      <c r="BB34" s="18">
        <f>SUMIFS(ps!$N:$N,ps!$B:$B,喷水汇总表!$A34,ps!$I:$I,喷水汇总表!$X$4&amp;"/"&amp;喷水汇总表!$Y$4&amp;"/"&amp;喷水汇总表!AY$5)</f>
        <v>0</v>
      </c>
      <c r="BC34" s="18">
        <f>SUMIFS(ps!$N:$N,ps!$B:$B,喷水汇总表!$A34,ps!$I:$I,喷水汇总表!$X$4&amp;"/"&amp;喷水汇总表!$Y$4&amp;"/"&amp;喷水汇总表!AZ$5)</f>
        <v>0</v>
      </c>
      <c r="BD34" s="18">
        <f>SUMIFS(ps!$N:$N,ps!$B:$B,喷水汇总表!$A34,ps!$I:$I,喷水汇总表!$X$4&amp;"/"&amp;喷水汇总表!$Y$4&amp;"/"&amp;喷水汇总表!BA$5)</f>
        <v>0</v>
      </c>
      <c r="BE34" s="18">
        <f>SUMIFS(ps!$N:$N,ps!$B:$B,喷水汇总表!$A34,ps!$I:$I,喷水汇总表!$X$4&amp;"/"&amp;喷水汇总表!$Y$4&amp;"/"&amp;喷水汇总表!BB$5)</f>
        <v>0</v>
      </c>
      <c r="BF34" s="18">
        <f>SUMIFS(ps!$N:$N,ps!$B:$B,喷水汇总表!$A34,ps!$I:$I,喷水汇总表!$X$4&amp;"/"&amp;喷水汇总表!$Y$4&amp;"/"&amp;喷水汇总表!BC$5)</f>
        <v>0</v>
      </c>
    </row>
    <row r="35" spans="1:58" hidden="1">
      <c r="A35" s="231"/>
      <c r="B35" s="176" t="str">
        <f>IF(A35="","",VLOOKUP(A35,经纬!B:C,2,FALSE))</f>
        <v/>
      </c>
      <c r="C35" s="97"/>
      <c r="D35" s="176" t="str">
        <f>IF(A35="","",VLOOKUP(A35,经纬!B:G,6,FALSE))</f>
        <v/>
      </c>
      <c r="E35" s="44">
        <f>SUMIFS(ps!$N:$N,ps!$B:$B,喷水汇总表!$A35,ps!$H:$H,喷水汇总表!E$5)</f>
        <v>0</v>
      </c>
      <c r="F35" s="44">
        <f>SUMIFS(ps!$N:$N,ps!$B:$B,喷水汇总表!$A35,ps!$H:$H,喷水汇总表!F$5)</f>
        <v>0</v>
      </c>
      <c r="G35" s="44">
        <f>SUMIFS(ps!$N:$N,ps!$B:$B,喷水汇总表!$A35,ps!$H:$H,喷水汇总表!G$5)</f>
        <v>0</v>
      </c>
      <c r="H35" s="84">
        <f>SUMIFS(ps!$N:$N,ps!$B:$B,喷水汇总表!A35,ps!$F:$F,喷水汇总表!#REF!)</f>
        <v>0</v>
      </c>
      <c r="I35" s="84">
        <f>SUMIFS(ps!$N:$N,ps!$B:$B,喷水汇总表!A35,ps!$F:$F,喷水汇总表!#REF!)</f>
        <v>0</v>
      </c>
      <c r="J35" s="14">
        <f>SUMIFS(ps!$N:$N,ps!$B:$B,喷水汇总表!$A35,ps!$G:$G,喷水汇总表!H$5)</f>
        <v>0</v>
      </c>
      <c r="K35" s="14">
        <f>SUMIFS(ps!$N:$N,ps!$B:$B,喷水汇总表!$A35,ps!$G:$G,喷水汇总表!I$5)</f>
        <v>0</v>
      </c>
      <c r="L35" s="14">
        <f>SUMIFS(ps!$N:$N,ps!$B:$B,喷水汇总表!$A35,ps!$G:$G,喷水汇总表!J$5)</f>
        <v>0</v>
      </c>
      <c r="M35" s="14">
        <f>SUMIFS(ps!$N:$N,ps!$B:$B,喷水汇总表!$A35,ps!$G:$G,喷水汇总表!K$5)</f>
        <v>0</v>
      </c>
      <c r="N35" s="14">
        <f>SUMIFS(ps!$N:$N,ps!$B:$B,喷水汇总表!$A35,ps!$G:$G,喷水汇总表!M$5)</f>
        <v>0</v>
      </c>
      <c r="O35" s="108">
        <f>SUMIFS(ps!$N:$N,ps!$B:$B,喷水汇总表!$A35,ps!$G:$G,喷水汇总表!#REF!)</f>
        <v>0</v>
      </c>
      <c r="P35" s="108">
        <f>SUMIFS(ps!$N:$N,ps!$B:$B,喷水汇总表!$A35,ps!$G:$G,喷水汇总表!N$5)</f>
        <v>0</v>
      </c>
      <c r="Q35" s="108"/>
      <c r="R35" s="108"/>
      <c r="S35" s="108"/>
      <c r="T35" s="108"/>
      <c r="U35" s="108"/>
      <c r="V35" s="108"/>
      <c r="W35" s="108"/>
      <c r="X35" s="97"/>
      <c r="Y35" s="97"/>
      <c r="Z35" s="84"/>
      <c r="AA35" s="15"/>
      <c r="AB35" s="18">
        <f>SUMIFS(ps!$N:$N,ps!$B:$B,喷水汇总表!$A35,ps!$I:$I,喷水汇总表!$X$4&amp;"/"&amp;喷水汇总表!$Y$4&amp;"/"&amp;喷水汇总表!Y$5)</f>
        <v>0</v>
      </c>
      <c r="AC35" s="18">
        <f>SUMIFS(ps!$N:$N,ps!$B:$B,喷水汇总表!$A35,ps!$I:$I,喷水汇总表!$X$4&amp;"/"&amp;喷水汇总表!$Y$4&amp;"/"&amp;喷水汇总表!Z$5)</f>
        <v>0</v>
      </c>
      <c r="AD35" s="18">
        <f>SUMIFS(ps!$N:$N,ps!$B:$B,喷水汇总表!$A35,ps!$I:$I,喷水汇总表!$X$4&amp;"/"&amp;喷水汇总表!$Y$4&amp;"/"&amp;喷水汇总表!AA$5)</f>
        <v>0</v>
      </c>
      <c r="AE35" s="18">
        <f>SUMIFS(ps!$N:$N,ps!$B:$B,喷水汇总表!$A35,ps!$I:$I,喷水汇总表!$X$4&amp;"/"&amp;喷水汇总表!$Y$4&amp;"/"&amp;喷水汇总表!AB$5)</f>
        <v>0</v>
      </c>
      <c r="AF35" s="18">
        <f>SUMIFS(ps!$N:$N,ps!$B:$B,喷水汇总表!$A35,ps!$I:$I,喷水汇总表!$X$4&amp;"/"&amp;喷水汇总表!$Y$4&amp;"/"&amp;喷水汇总表!AC$5)</f>
        <v>0</v>
      </c>
      <c r="AG35" s="18">
        <f>SUMIFS(ps!$N:$N,ps!$B:$B,喷水汇总表!$A35,ps!$I:$I,喷水汇总表!$X$4&amp;"/"&amp;喷水汇总表!$Y$4&amp;"/"&amp;喷水汇总表!AD$5)</f>
        <v>0</v>
      </c>
      <c r="AH35" s="18">
        <f>SUMIFS(ps!$N:$N,ps!$B:$B,喷水汇总表!$A35,ps!$I:$I,喷水汇总表!$X$4&amp;"/"&amp;喷水汇总表!$Y$4&amp;"/"&amp;喷水汇总表!AE$5)</f>
        <v>0</v>
      </c>
      <c r="AI35" s="18">
        <f>SUMIFS(ps!$N:$N,ps!$B:$B,喷水汇总表!$A35,ps!$I:$I,喷水汇总表!$X$4&amp;"/"&amp;喷水汇总表!$Y$4&amp;"/"&amp;喷水汇总表!AF$5)</f>
        <v>0</v>
      </c>
      <c r="AJ35" s="18">
        <f>SUMIFS(ps!$N:$N,ps!$B:$B,喷水汇总表!$A35,ps!$I:$I,喷水汇总表!$X$4&amp;"/"&amp;喷水汇总表!$Y$4&amp;"/"&amp;喷水汇总表!AG$5)</f>
        <v>0</v>
      </c>
      <c r="AK35" s="18">
        <f>SUMIFS(ps!$N:$N,ps!$B:$B,喷水汇总表!$A35,ps!$I:$I,喷水汇总表!$X$4&amp;"/"&amp;喷水汇总表!$Y$4&amp;"/"&amp;喷水汇总表!AH$5)</f>
        <v>0</v>
      </c>
      <c r="AL35" s="18">
        <f>SUMIFS(ps!$N:$N,ps!$B:$B,喷水汇总表!$A35,ps!$I:$I,喷水汇总表!$X$4&amp;"/"&amp;喷水汇总表!$Y$4&amp;"/"&amp;喷水汇总表!AI$5)</f>
        <v>0</v>
      </c>
      <c r="AM35" s="18">
        <f>SUMIFS(ps!$N:$N,ps!$B:$B,喷水汇总表!$A35,ps!$I:$I,喷水汇总表!$X$4&amp;"/"&amp;喷水汇总表!$Y$4&amp;"/"&amp;喷水汇总表!AJ$5)</f>
        <v>0</v>
      </c>
      <c r="AN35" s="18">
        <f>SUMIFS(ps!$N:$N,ps!$B:$B,喷水汇总表!$A35,ps!$I:$I,喷水汇总表!$X$4&amp;"/"&amp;喷水汇总表!$Y$4&amp;"/"&amp;喷水汇总表!AK$5)</f>
        <v>0</v>
      </c>
      <c r="AO35" s="18">
        <f>SUMIFS(ps!$N:$N,ps!$B:$B,喷水汇总表!$A35,ps!$I:$I,喷水汇总表!$X$4&amp;"/"&amp;喷水汇总表!$Y$4&amp;"/"&amp;喷水汇总表!AL$5)</f>
        <v>0</v>
      </c>
      <c r="AP35" s="18">
        <f>SUMIFS(ps!$N:$N,ps!$B:$B,喷水汇总表!$A35,ps!$I:$I,喷水汇总表!$X$4&amp;"/"&amp;喷水汇总表!$Y$4&amp;"/"&amp;喷水汇总表!AM$5)</f>
        <v>0</v>
      </c>
      <c r="AQ35" s="18">
        <f>SUMIFS(ps!$N:$N,ps!$B:$B,喷水汇总表!$A35,ps!$I:$I,喷水汇总表!$X$4&amp;"/"&amp;喷水汇总表!$Y$4&amp;"/"&amp;喷水汇总表!AN$5)</f>
        <v>0</v>
      </c>
      <c r="AR35" s="18">
        <f>SUMIFS(ps!$N:$N,ps!$B:$B,喷水汇总表!$A35,ps!$I:$I,喷水汇总表!$X$4&amp;"/"&amp;喷水汇总表!$Y$4&amp;"/"&amp;喷水汇总表!AO$5)</f>
        <v>0</v>
      </c>
      <c r="AS35" s="18">
        <f>SUMIFS(ps!$N:$N,ps!$B:$B,喷水汇总表!$A35,ps!$I:$I,喷水汇总表!$X$4&amp;"/"&amp;喷水汇总表!$Y$4&amp;"/"&amp;喷水汇总表!AP$5)</f>
        <v>0</v>
      </c>
      <c r="AT35" s="18">
        <f>SUMIFS(ps!$N:$N,ps!$B:$B,喷水汇总表!$A35,ps!$I:$I,喷水汇总表!$X$4&amp;"/"&amp;喷水汇总表!$Y$4&amp;"/"&amp;喷水汇总表!AQ$5)</f>
        <v>0</v>
      </c>
      <c r="AU35" s="18">
        <f>SUMIFS(ps!$N:$N,ps!$B:$B,喷水汇总表!$A35,ps!$I:$I,喷水汇总表!$X$4&amp;"/"&amp;喷水汇总表!$Y$4&amp;"/"&amp;喷水汇总表!AR$5)</f>
        <v>0</v>
      </c>
      <c r="AV35" s="18">
        <f>SUMIFS(ps!$N:$N,ps!$B:$B,喷水汇总表!$A35,ps!$I:$I,喷水汇总表!$X$4&amp;"/"&amp;喷水汇总表!$Y$4&amp;"/"&amp;喷水汇总表!AS$5)</f>
        <v>0</v>
      </c>
      <c r="AW35" s="18">
        <f>SUMIFS(ps!$N:$N,ps!$B:$B,喷水汇总表!$A35,ps!$I:$I,喷水汇总表!$X$4&amp;"/"&amp;喷水汇总表!$Y$4&amp;"/"&amp;喷水汇总表!AT$5)</f>
        <v>0</v>
      </c>
      <c r="AX35" s="18">
        <f>SUMIFS(ps!$N:$N,ps!$B:$B,喷水汇总表!$A35,ps!$I:$I,喷水汇总表!$X$4&amp;"/"&amp;喷水汇总表!$Y$4&amp;"/"&amp;喷水汇总表!AU$5)</f>
        <v>0</v>
      </c>
      <c r="AY35" s="18">
        <f>SUMIFS(ps!$N:$N,ps!$B:$B,喷水汇总表!$A35,ps!$I:$I,喷水汇总表!$X$4&amp;"/"&amp;喷水汇总表!$Y$4&amp;"/"&amp;喷水汇总表!AV$5)</f>
        <v>0</v>
      </c>
      <c r="AZ35" s="18">
        <f>SUMIFS(ps!$N:$N,ps!$B:$B,喷水汇总表!$A35,ps!$I:$I,喷水汇总表!$X$4&amp;"/"&amp;喷水汇总表!$Y$4&amp;"/"&amp;喷水汇总表!AW$5)</f>
        <v>0</v>
      </c>
      <c r="BA35" s="18">
        <f>SUMIFS(ps!$N:$N,ps!$B:$B,喷水汇总表!$A35,ps!$I:$I,喷水汇总表!$X$4&amp;"/"&amp;喷水汇总表!$Y$4&amp;"/"&amp;喷水汇总表!AX$5)</f>
        <v>0</v>
      </c>
      <c r="BB35" s="18">
        <f>SUMIFS(ps!$N:$N,ps!$B:$B,喷水汇总表!$A35,ps!$I:$I,喷水汇总表!$X$4&amp;"/"&amp;喷水汇总表!$Y$4&amp;"/"&amp;喷水汇总表!AY$5)</f>
        <v>0</v>
      </c>
      <c r="BC35" s="18">
        <f>SUMIFS(ps!$N:$N,ps!$B:$B,喷水汇总表!$A35,ps!$I:$I,喷水汇总表!$X$4&amp;"/"&amp;喷水汇总表!$Y$4&amp;"/"&amp;喷水汇总表!AZ$5)</f>
        <v>0</v>
      </c>
      <c r="BD35" s="18">
        <f>SUMIFS(ps!$N:$N,ps!$B:$B,喷水汇总表!$A35,ps!$I:$I,喷水汇总表!$X$4&amp;"/"&amp;喷水汇总表!$Y$4&amp;"/"&amp;喷水汇总表!BA$5)</f>
        <v>0</v>
      </c>
      <c r="BE35" s="18">
        <f>SUMIFS(ps!$N:$N,ps!$B:$B,喷水汇总表!$A35,ps!$I:$I,喷水汇总表!$X$4&amp;"/"&amp;喷水汇总表!$Y$4&amp;"/"&amp;喷水汇总表!BB$5)</f>
        <v>0</v>
      </c>
      <c r="BF35" s="18">
        <f>SUMIFS(ps!$N:$N,ps!$B:$B,喷水汇总表!$A35,ps!$I:$I,喷水汇总表!$X$4&amp;"/"&amp;喷水汇总表!$Y$4&amp;"/"&amp;喷水汇总表!BC$5)</f>
        <v>0</v>
      </c>
    </row>
    <row r="36" spans="1:58" hidden="1">
      <c r="A36" s="231"/>
      <c r="B36" s="176" t="str">
        <f>IF(A36="","",VLOOKUP(A36,经纬!B:C,2,FALSE))</f>
        <v/>
      </c>
      <c r="C36" s="97"/>
      <c r="D36" s="176" t="str">
        <f>IF(A36="","",VLOOKUP(A36,经纬!B:G,6,FALSE))</f>
        <v/>
      </c>
      <c r="E36" s="44">
        <f>SUMIFS(ps!$N:$N,ps!$B:$B,喷水汇总表!$A36,ps!$H:$H,喷水汇总表!E$5)</f>
        <v>0</v>
      </c>
      <c r="F36" s="44">
        <f>SUMIFS(ps!$N:$N,ps!$B:$B,喷水汇总表!$A36,ps!$H:$H,喷水汇总表!F$5)</f>
        <v>0</v>
      </c>
      <c r="G36" s="44">
        <f>SUMIFS(ps!$N:$N,ps!$B:$B,喷水汇总表!$A36,ps!$H:$H,喷水汇总表!G$5)</f>
        <v>0</v>
      </c>
      <c r="H36" s="84">
        <f>SUMIFS(ps!$N:$N,ps!$B:$B,喷水汇总表!A36,ps!$F:$F,喷水汇总表!#REF!)</f>
        <v>0</v>
      </c>
      <c r="I36" s="84">
        <f>SUMIFS(ps!$N:$N,ps!$B:$B,喷水汇总表!A36,ps!$F:$F,喷水汇总表!#REF!)</f>
        <v>0</v>
      </c>
      <c r="J36" s="14">
        <f>SUMIFS(ps!$N:$N,ps!$B:$B,喷水汇总表!$A36,ps!$G:$G,喷水汇总表!H$5)</f>
        <v>0</v>
      </c>
      <c r="K36" s="14">
        <f>SUMIFS(ps!$N:$N,ps!$B:$B,喷水汇总表!$A36,ps!$G:$G,喷水汇总表!I$5)</f>
        <v>0</v>
      </c>
      <c r="L36" s="14">
        <f>SUMIFS(ps!$N:$N,ps!$B:$B,喷水汇总表!$A36,ps!$G:$G,喷水汇总表!J$5)</f>
        <v>0</v>
      </c>
      <c r="M36" s="14">
        <f>SUMIFS(ps!$N:$N,ps!$B:$B,喷水汇总表!$A36,ps!$G:$G,喷水汇总表!K$5)</f>
        <v>0</v>
      </c>
      <c r="N36" s="14">
        <f>SUMIFS(ps!$N:$N,ps!$B:$B,喷水汇总表!$A36,ps!$G:$G,喷水汇总表!M$5)</f>
        <v>0</v>
      </c>
      <c r="O36" s="108">
        <f>SUMIFS(ps!$N:$N,ps!$B:$B,喷水汇总表!$A36,ps!$G:$G,喷水汇总表!#REF!)</f>
        <v>0</v>
      </c>
      <c r="P36" s="108">
        <f>SUMIFS(ps!$N:$N,ps!$B:$B,喷水汇总表!$A36,ps!$G:$G,喷水汇总表!N$5)</f>
        <v>0</v>
      </c>
      <c r="Q36" s="108"/>
      <c r="R36" s="108"/>
      <c r="S36" s="108"/>
      <c r="T36" s="108"/>
      <c r="U36" s="108"/>
      <c r="V36" s="108"/>
      <c r="W36" s="108"/>
      <c r="X36" s="97"/>
      <c r="Y36" s="97"/>
      <c r="Z36" s="84"/>
      <c r="AA36" s="15"/>
      <c r="AB36" s="18">
        <f>SUMIFS(ps!$N:$N,ps!$B:$B,喷水汇总表!$A36,ps!$I:$I,喷水汇总表!$X$4&amp;"/"&amp;喷水汇总表!$Y$4&amp;"/"&amp;喷水汇总表!Y$5)</f>
        <v>0</v>
      </c>
      <c r="AC36" s="18">
        <f>SUMIFS(ps!$N:$N,ps!$B:$B,喷水汇总表!$A36,ps!$I:$I,喷水汇总表!$X$4&amp;"/"&amp;喷水汇总表!$Y$4&amp;"/"&amp;喷水汇总表!Z$5)</f>
        <v>0</v>
      </c>
      <c r="AD36" s="18">
        <f>SUMIFS(ps!$N:$N,ps!$B:$B,喷水汇总表!$A36,ps!$I:$I,喷水汇总表!$X$4&amp;"/"&amp;喷水汇总表!$Y$4&amp;"/"&amp;喷水汇总表!AA$5)</f>
        <v>0</v>
      </c>
      <c r="AE36" s="18">
        <f>SUMIFS(ps!$N:$N,ps!$B:$B,喷水汇总表!$A36,ps!$I:$I,喷水汇总表!$X$4&amp;"/"&amp;喷水汇总表!$Y$4&amp;"/"&amp;喷水汇总表!AB$5)</f>
        <v>0</v>
      </c>
      <c r="AF36" s="18">
        <f>SUMIFS(ps!$N:$N,ps!$B:$B,喷水汇总表!$A36,ps!$I:$I,喷水汇总表!$X$4&amp;"/"&amp;喷水汇总表!$Y$4&amp;"/"&amp;喷水汇总表!AC$5)</f>
        <v>0</v>
      </c>
      <c r="AG36" s="18">
        <f>SUMIFS(ps!$N:$N,ps!$B:$B,喷水汇总表!$A36,ps!$I:$I,喷水汇总表!$X$4&amp;"/"&amp;喷水汇总表!$Y$4&amp;"/"&amp;喷水汇总表!AD$5)</f>
        <v>0</v>
      </c>
      <c r="AH36" s="18">
        <f>SUMIFS(ps!$N:$N,ps!$B:$B,喷水汇总表!$A36,ps!$I:$I,喷水汇总表!$X$4&amp;"/"&amp;喷水汇总表!$Y$4&amp;"/"&amp;喷水汇总表!AE$5)</f>
        <v>0</v>
      </c>
      <c r="AI36" s="18">
        <f>SUMIFS(ps!$N:$N,ps!$B:$B,喷水汇总表!$A36,ps!$I:$I,喷水汇总表!$X$4&amp;"/"&amp;喷水汇总表!$Y$4&amp;"/"&amp;喷水汇总表!AF$5)</f>
        <v>0</v>
      </c>
      <c r="AJ36" s="18">
        <f>SUMIFS(ps!$N:$N,ps!$B:$B,喷水汇总表!$A36,ps!$I:$I,喷水汇总表!$X$4&amp;"/"&amp;喷水汇总表!$Y$4&amp;"/"&amp;喷水汇总表!AG$5)</f>
        <v>0</v>
      </c>
      <c r="AK36" s="18">
        <f>SUMIFS(ps!$N:$N,ps!$B:$B,喷水汇总表!$A36,ps!$I:$I,喷水汇总表!$X$4&amp;"/"&amp;喷水汇总表!$Y$4&amp;"/"&amp;喷水汇总表!AH$5)</f>
        <v>0</v>
      </c>
      <c r="AL36" s="18">
        <f>SUMIFS(ps!$N:$N,ps!$B:$B,喷水汇总表!$A36,ps!$I:$I,喷水汇总表!$X$4&amp;"/"&amp;喷水汇总表!$Y$4&amp;"/"&amp;喷水汇总表!AI$5)</f>
        <v>0</v>
      </c>
      <c r="AM36" s="18">
        <f>SUMIFS(ps!$N:$N,ps!$B:$B,喷水汇总表!$A36,ps!$I:$I,喷水汇总表!$X$4&amp;"/"&amp;喷水汇总表!$Y$4&amp;"/"&amp;喷水汇总表!AJ$5)</f>
        <v>0</v>
      </c>
      <c r="AN36" s="18">
        <f>SUMIFS(ps!$N:$N,ps!$B:$B,喷水汇总表!$A36,ps!$I:$I,喷水汇总表!$X$4&amp;"/"&amp;喷水汇总表!$Y$4&amp;"/"&amp;喷水汇总表!AK$5)</f>
        <v>0</v>
      </c>
      <c r="AO36" s="18">
        <f>SUMIFS(ps!$N:$N,ps!$B:$B,喷水汇总表!$A36,ps!$I:$I,喷水汇总表!$X$4&amp;"/"&amp;喷水汇总表!$Y$4&amp;"/"&amp;喷水汇总表!AL$5)</f>
        <v>0</v>
      </c>
      <c r="AP36" s="18">
        <f>SUMIFS(ps!$N:$N,ps!$B:$B,喷水汇总表!$A36,ps!$I:$I,喷水汇总表!$X$4&amp;"/"&amp;喷水汇总表!$Y$4&amp;"/"&amp;喷水汇总表!AM$5)</f>
        <v>0</v>
      </c>
      <c r="AQ36" s="18">
        <f>SUMIFS(ps!$N:$N,ps!$B:$B,喷水汇总表!$A36,ps!$I:$I,喷水汇总表!$X$4&amp;"/"&amp;喷水汇总表!$Y$4&amp;"/"&amp;喷水汇总表!AN$5)</f>
        <v>0</v>
      </c>
      <c r="AR36" s="18">
        <f>SUMIFS(ps!$N:$N,ps!$B:$B,喷水汇总表!$A36,ps!$I:$I,喷水汇总表!$X$4&amp;"/"&amp;喷水汇总表!$Y$4&amp;"/"&amp;喷水汇总表!AO$5)</f>
        <v>0</v>
      </c>
      <c r="AS36" s="18">
        <f>SUMIFS(ps!$N:$N,ps!$B:$B,喷水汇总表!$A36,ps!$I:$I,喷水汇总表!$X$4&amp;"/"&amp;喷水汇总表!$Y$4&amp;"/"&amp;喷水汇总表!AP$5)</f>
        <v>0</v>
      </c>
      <c r="AT36" s="18">
        <f>SUMIFS(ps!$N:$N,ps!$B:$B,喷水汇总表!$A36,ps!$I:$I,喷水汇总表!$X$4&amp;"/"&amp;喷水汇总表!$Y$4&amp;"/"&amp;喷水汇总表!AQ$5)</f>
        <v>0</v>
      </c>
      <c r="AU36" s="18">
        <f>SUMIFS(ps!$N:$N,ps!$B:$B,喷水汇总表!$A36,ps!$I:$I,喷水汇总表!$X$4&amp;"/"&amp;喷水汇总表!$Y$4&amp;"/"&amp;喷水汇总表!AR$5)</f>
        <v>0</v>
      </c>
      <c r="AV36" s="18">
        <f>SUMIFS(ps!$N:$N,ps!$B:$B,喷水汇总表!$A36,ps!$I:$I,喷水汇总表!$X$4&amp;"/"&amp;喷水汇总表!$Y$4&amp;"/"&amp;喷水汇总表!AS$5)</f>
        <v>0</v>
      </c>
      <c r="AW36" s="18">
        <f>SUMIFS(ps!$N:$N,ps!$B:$B,喷水汇总表!$A36,ps!$I:$I,喷水汇总表!$X$4&amp;"/"&amp;喷水汇总表!$Y$4&amp;"/"&amp;喷水汇总表!AT$5)</f>
        <v>0</v>
      </c>
      <c r="AX36" s="18">
        <f>SUMIFS(ps!$N:$N,ps!$B:$B,喷水汇总表!$A36,ps!$I:$I,喷水汇总表!$X$4&amp;"/"&amp;喷水汇总表!$Y$4&amp;"/"&amp;喷水汇总表!AU$5)</f>
        <v>0</v>
      </c>
      <c r="AY36" s="18">
        <f>SUMIFS(ps!$N:$N,ps!$B:$B,喷水汇总表!$A36,ps!$I:$I,喷水汇总表!$X$4&amp;"/"&amp;喷水汇总表!$Y$4&amp;"/"&amp;喷水汇总表!AV$5)</f>
        <v>0</v>
      </c>
      <c r="AZ36" s="18">
        <f>SUMIFS(ps!$N:$N,ps!$B:$B,喷水汇总表!$A36,ps!$I:$I,喷水汇总表!$X$4&amp;"/"&amp;喷水汇总表!$Y$4&amp;"/"&amp;喷水汇总表!AW$5)</f>
        <v>0</v>
      </c>
      <c r="BA36" s="18">
        <f>SUMIFS(ps!$N:$N,ps!$B:$B,喷水汇总表!$A36,ps!$I:$I,喷水汇总表!$X$4&amp;"/"&amp;喷水汇总表!$Y$4&amp;"/"&amp;喷水汇总表!AX$5)</f>
        <v>0</v>
      </c>
      <c r="BB36" s="18">
        <f>SUMIFS(ps!$N:$N,ps!$B:$B,喷水汇总表!$A36,ps!$I:$I,喷水汇总表!$X$4&amp;"/"&amp;喷水汇总表!$Y$4&amp;"/"&amp;喷水汇总表!AY$5)</f>
        <v>0</v>
      </c>
      <c r="BC36" s="18">
        <f>SUMIFS(ps!$N:$N,ps!$B:$B,喷水汇总表!$A36,ps!$I:$I,喷水汇总表!$X$4&amp;"/"&amp;喷水汇总表!$Y$4&amp;"/"&amp;喷水汇总表!AZ$5)</f>
        <v>0</v>
      </c>
      <c r="BD36" s="18">
        <f>SUMIFS(ps!$N:$N,ps!$B:$B,喷水汇总表!$A36,ps!$I:$I,喷水汇总表!$X$4&amp;"/"&amp;喷水汇总表!$Y$4&amp;"/"&amp;喷水汇总表!BA$5)</f>
        <v>0</v>
      </c>
      <c r="BE36" s="18">
        <f>SUMIFS(ps!$N:$N,ps!$B:$B,喷水汇总表!$A36,ps!$I:$I,喷水汇总表!$X$4&amp;"/"&amp;喷水汇总表!$Y$4&amp;"/"&amp;喷水汇总表!BB$5)</f>
        <v>0</v>
      </c>
      <c r="BF36" s="18">
        <f>SUMIFS(ps!$N:$N,ps!$B:$B,喷水汇总表!$A36,ps!$I:$I,喷水汇总表!$X$4&amp;"/"&amp;喷水汇总表!$Y$4&amp;"/"&amp;喷水汇总表!BC$5)</f>
        <v>0</v>
      </c>
    </row>
    <row r="37" spans="1:58" hidden="1">
      <c r="A37" s="231"/>
      <c r="B37" s="176" t="str">
        <f>IF(A37="","",VLOOKUP(A37,经纬!B:C,2,FALSE))</f>
        <v/>
      </c>
      <c r="C37" s="97"/>
      <c r="D37" s="176" t="str">
        <f>IF(A37="","",VLOOKUP(A37,经纬!B:G,6,FALSE))</f>
        <v/>
      </c>
      <c r="E37" s="44">
        <f>SUMIFS(ps!$N:$N,ps!$B:$B,喷水汇总表!$A37,ps!$H:$H,喷水汇总表!E$5)</f>
        <v>0</v>
      </c>
      <c r="F37" s="44">
        <f>SUMIFS(ps!$N:$N,ps!$B:$B,喷水汇总表!$A37,ps!$H:$H,喷水汇总表!F$5)</f>
        <v>0</v>
      </c>
      <c r="G37" s="44">
        <f>SUMIFS(ps!$N:$N,ps!$B:$B,喷水汇总表!$A37,ps!$H:$H,喷水汇总表!G$5)</f>
        <v>0</v>
      </c>
      <c r="H37" s="84">
        <f>SUMIFS(ps!$N:$N,ps!$B:$B,喷水汇总表!A37,ps!$F:$F,喷水汇总表!#REF!)</f>
        <v>0</v>
      </c>
      <c r="I37" s="84">
        <f>SUMIFS(ps!$N:$N,ps!$B:$B,喷水汇总表!A37,ps!$F:$F,喷水汇总表!#REF!)</f>
        <v>0</v>
      </c>
      <c r="J37" s="14">
        <f>SUMIFS(ps!$N:$N,ps!$B:$B,喷水汇总表!$A37,ps!$G:$G,喷水汇总表!H$5)</f>
        <v>0</v>
      </c>
      <c r="K37" s="14">
        <f>SUMIFS(ps!$N:$N,ps!$B:$B,喷水汇总表!$A37,ps!$G:$G,喷水汇总表!I$5)</f>
        <v>0</v>
      </c>
      <c r="L37" s="14">
        <f>SUMIFS(ps!$N:$N,ps!$B:$B,喷水汇总表!$A37,ps!$G:$G,喷水汇总表!J$5)</f>
        <v>0</v>
      </c>
      <c r="M37" s="14">
        <f>SUMIFS(ps!$N:$N,ps!$B:$B,喷水汇总表!$A37,ps!$G:$G,喷水汇总表!K$5)</f>
        <v>0</v>
      </c>
      <c r="N37" s="14">
        <f>SUMIFS(ps!$N:$N,ps!$B:$B,喷水汇总表!$A37,ps!$G:$G,喷水汇总表!M$5)</f>
        <v>0</v>
      </c>
      <c r="O37" s="108">
        <f>SUMIFS(ps!$N:$N,ps!$B:$B,喷水汇总表!$A37,ps!$G:$G,喷水汇总表!#REF!)</f>
        <v>0</v>
      </c>
      <c r="P37" s="108">
        <f>SUMIFS(ps!$N:$N,ps!$B:$B,喷水汇总表!$A37,ps!$G:$G,喷水汇总表!N$5)</f>
        <v>0</v>
      </c>
      <c r="Q37" s="108"/>
      <c r="R37" s="108"/>
      <c r="S37" s="108"/>
      <c r="T37" s="108"/>
      <c r="U37" s="108"/>
      <c r="V37" s="108"/>
      <c r="W37" s="108"/>
      <c r="X37" s="97"/>
      <c r="Y37" s="97"/>
      <c r="Z37" s="84"/>
      <c r="AA37" s="15"/>
      <c r="AB37" s="18">
        <f>SUMIFS(ps!$N:$N,ps!$B:$B,喷水汇总表!$A37,ps!$I:$I,喷水汇总表!$X$4&amp;"/"&amp;喷水汇总表!$Y$4&amp;"/"&amp;喷水汇总表!Y$5)</f>
        <v>0</v>
      </c>
      <c r="AC37" s="18">
        <f>SUMIFS(ps!$N:$N,ps!$B:$B,喷水汇总表!$A37,ps!$I:$I,喷水汇总表!$X$4&amp;"/"&amp;喷水汇总表!$Y$4&amp;"/"&amp;喷水汇总表!Z$5)</f>
        <v>0</v>
      </c>
      <c r="AD37" s="18">
        <f>SUMIFS(ps!$N:$N,ps!$B:$B,喷水汇总表!$A37,ps!$I:$I,喷水汇总表!$X$4&amp;"/"&amp;喷水汇总表!$Y$4&amp;"/"&amp;喷水汇总表!AA$5)</f>
        <v>0</v>
      </c>
      <c r="AE37" s="18">
        <f>SUMIFS(ps!$N:$N,ps!$B:$B,喷水汇总表!$A37,ps!$I:$I,喷水汇总表!$X$4&amp;"/"&amp;喷水汇总表!$Y$4&amp;"/"&amp;喷水汇总表!AB$5)</f>
        <v>0</v>
      </c>
      <c r="AF37" s="18">
        <f>SUMIFS(ps!$N:$N,ps!$B:$B,喷水汇总表!$A37,ps!$I:$I,喷水汇总表!$X$4&amp;"/"&amp;喷水汇总表!$Y$4&amp;"/"&amp;喷水汇总表!AC$5)</f>
        <v>0</v>
      </c>
      <c r="AG37" s="18">
        <f>SUMIFS(ps!$N:$N,ps!$B:$B,喷水汇总表!$A37,ps!$I:$I,喷水汇总表!$X$4&amp;"/"&amp;喷水汇总表!$Y$4&amp;"/"&amp;喷水汇总表!AD$5)</f>
        <v>0</v>
      </c>
      <c r="AH37" s="18">
        <f>SUMIFS(ps!$N:$N,ps!$B:$B,喷水汇总表!$A37,ps!$I:$I,喷水汇总表!$X$4&amp;"/"&amp;喷水汇总表!$Y$4&amp;"/"&amp;喷水汇总表!AE$5)</f>
        <v>0</v>
      </c>
      <c r="AI37" s="18">
        <f>SUMIFS(ps!$N:$N,ps!$B:$B,喷水汇总表!$A37,ps!$I:$I,喷水汇总表!$X$4&amp;"/"&amp;喷水汇总表!$Y$4&amp;"/"&amp;喷水汇总表!AF$5)</f>
        <v>0</v>
      </c>
      <c r="AJ37" s="18">
        <f>SUMIFS(ps!$N:$N,ps!$B:$B,喷水汇总表!$A37,ps!$I:$I,喷水汇总表!$X$4&amp;"/"&amp;喷水汇总表!$Y$4&amp;"/"&amp;喷水汇总表!AG$5)</f>
        <v>0</v>
      </c>
      <c r="AK37" s="18">
        <f>SUMIFS(ps!$N:$N,ps!$B:$B,喷水汇总表!$A37,ps!$I:$I,喷水汇总表!$X$4&amp;"/"&amp;喷水汇总表!$Y$4&amp;"/"&amp;喷水汇总表!AH$5)</f>
        <v>0</v>
      </c>
      <c r="AL37" s="18">
        <f>SUMIFS(ps!$N:$N,ps!$B:$B,喷水汇总表!$A37,ps!$I:$I,喷水汇总表!$X$4&amp;"/"&amp;喷水汇总表!$Y$4&amp;"/"&amp;喷水汇总表!AI$5)</f>
        <v>0</v>
      </c>
      <c r="AM37" s="18">
        <f>SUMIFS(ps!$N:$N,ps!$B:$B,喷水汇总表!$A37,ps!$I:$I,喷水汇总表!$X$4&amp;"/"&amp;喷水汇总表!$Y$4&amp;"/"&amp;喷水汇总表!AJ$5)</f>
        <v>0</v>
      </c>
      <c r="AN37" s="18">
        <f>SUMIFS(ps!$N:$N,ps!$B:$B,喷水汇总表!$A37,ps!$I:$I,喷水汇总表!$X$4&amp;"/"&amp;喷水汇总表!$Y$4&amp;"/"&amp;喷水汇总表!AK$5)</f>
        <v>0</v>
      </c>
      <c r="AO37" s="18">
        <f>SUMIFS(ps!$N:$N,ps!$B:$B,喷水汇总表!$A37,ps!$I:$I,喷水汇总表!$X$4&amp;"/"&amp;喷水汇总表!$Y$4&amp;"/"&amp;喷水汇总表!AL$5)</f>
        <v>0</v>
      </c>
      <c r="AP37" s="18">
        <f>SUMIFS(ps!$N:$N,ps!$B:$B,喷水汇总表!$A37,ps!$I:$I,喷水汇总表!$X$4&amp;"/"&amp;喷水汇总表!$Y$4&amp;"/"&amp;喷水汇总表!AM$5)</f>
        <v>0</v>
      </c>
      <c r="AQ37" s="18">
        <f>SUMIFS(ps!$N:$N,ps!$B:$B,喷水汇总表!$A37,ps!$I:$I,喷水汇总表!$X$4&amp;"/"&amp;喷水汇总表!$Y$4&amp;"/"&amp;喷水汇总表!AN$5)</f>
        <v>0</v>
      </c>
      <c r="AR37" s="18">
        <f>SUMIFS(ps!$N:$N,ps!$B:$B,喷水汇总表!$A37,ps!$I:$I,喷水汇总表!$X$4&amp;"/"&amp;喷水汇总表!$Y$4&amp;"/"&amp;喷水汇总表!AO$5)</f>
        <v>0</v>
      </c>
      <c r="AS37" s="18">
        <f>SUMIFS(ps!$N:$N,ps!$B:$B,喷水汇总表!$A37,ps!$I:$I,喷水汇总表!$X$4&amp;"/"&amp;喷水汇总表!$Y$4&amp;"/"&amp;喷水汇总表!AP$5)</f>
        <v>0</v>
      </c>
      <c r="AT37" s="18">
        <f>SUMIFS(ps!$N:$N,ps!$B:$B,喷水汇总表!$A37,ps!$I:$I,喷水汇总表!$X$4&amp;"/"&amp;喷水汇总表!$Y$4&amp;"/"&amp;喷水汇总表!AQ$5)</f>
        <v>0</v>
      </c>
      <c r="AU37" s="18">
        <f>SUMIFS(ps!$N:$N,ps!$B:$B,喷水汇总表!$A37,ps!$I:$I,喷水汇总表!$X$4&amp;"/"&amp;喷水汇总表!$Y$4&amp;"/"&amp;喷水汇总表!AR$5)</f>
        <v>0</v>
      </c>
      <c r="AV37" s="18">
        <f>SUMIFS(ps!$N:$N,ps!$B:$B,喷水汇总表!$A37,ps!$I:$I,喷水汇总表!$X$4&amp;"/"&amp;喷水汇总表!$Y$4&amp;"/"&amp;喷水汇总表!AS$5)</f>
        <v>0</v>
      </c>
      <c r="AW37" s="18">
        <f>SUMIFS(ps!$N:$N,ps!$B:$B,喷水汇总表!$A37,ps!$I:$I,喷水汇总表!$X$4&amp;"/"&amp;喷水汇总表!$Y$4&amp;"/"&amp;喷水汇总表!AT$5)</f>
        <v>0</v>
      </c>
      <c r="AX37" s="18">
        <f>SUMIFS(ps!$N:$N,ps!$B:$B,喷水汇总表!$A37,ps!$I:$I,喷水汇总表!$X$4&amp;"/"&amp;喷水汇总表!$Y$4&amp;"/"&amp;喷水汇总表!AU$5)</f>
        <v>0</v>
      </c>
      <c r="AY37" s="18">
        <f>SUMIFS(ps!$N:$N,ps!$B:$B,喷水汇总表!$A37,ps!$I:$I,喷水汇总表!$X$4&amp;"/"&amp;喷水汇总表!$Y$4&amp;"/"&amp;喷水汇总表!AV$5)</f>
        <v>0</v>
      </c>
      <c r="AZ37" s="18">
        <f>SUMIFS(ps!$N:$N,ps!$B:$B,喷水汇总表!$A37,ps!$I:$I,喷水汇总表!$X$4&amp;"/"&amp;喷水汇总表!$Y$4&amp;"/"&amp;喷水汇总表!AW$5)</f>
        <v>0</v>
      </c>
      <c r="BA37" s="18">
        <f>SUMIFS(ps!$N:$N,ps!$B:$B,喷水汇总表!$A37,ps!$I:$I,喷水汇总表!$X$4&amp;"/"&amp;喷水汇总表!$Y$4&amp;"/"&amp;喷水汇总表!AX$5)</f>
        <v>0</v>
      </c>
      <c r="BB37" s="18">
        <f>SUMIFS(ps!$N:$N,ps!$B:$B,喷水汇总表!$A37,ps!$I:$I,喷水汇总表!$X$4&amp;"/"&amp;喷水汇总表!$Y$4&amp;"/"&amp;喷水汇总表!AY$5)</f>
        <v>0</v>
      </c>
      <c r="BC37" s="18">
        <f>SUMIFS(ps!$N:$N,ps!$B:$B,喷水汇总表!$A37,ps!$I:$I,喷水汇总表!$X$4&amp;"/"&amp;喷水汇总表!$Y$4&amp;"/"&amp;喷水汇总表!AZ$5)</f>
        <v>0</v>
      </c>
      <c r="BD37" s="18">
        <f>SUMIFS(ps!$N:$N,ps!$B:$B,喷水汇总表!$A37,ps!$I:$I,喷水汇总表!$X$4&amp;"/"&amp;喷水汇总表!$Y$4&amp;"/"&amp;喷水汇总表!BA$5)</f>
        <v>0</v>
      </c>
      <c r="BE37" s="18">
        <f>SUMIFS(ps!$N:$N,ps!$B:$B,喷水汇总表!$A37,ps!$I:$I,喷水汇总表!$X$4&amp;"/"&amp;喷水汇总表!$Y$4&amp;"/"&amp;喷水汇总表!BB$5)</f>
        <v>0</v>
      </c>
      <c r="BF37" s="18">
        <f>SUMIFS(ps!$N:$N,ps!$B:$B,喷水汇总表!$A37,ps!$I:$I,喷水汇总表!$X$4&amp;"/"&amp;喷水汇总表!$Y$4&amp;"/"&amp;喷水汇总表!BC$5)</f>
        <v>0</v>
      </c>
    </row>
    <row r="38" spans="1:58" hidden="1">
      <c r="A38" s="231"/>
      <c r="B38" s="176" t="str">
        <f>IF(A38="","",VLOOKUP(A38,经纬!B:C,2,FALSE))</f>
        <v/>
      </c>
      <c r="C38" s="97"/>
      <c r="D38" s="176" t="str">
        <f>IF(A38="","",VLOOKUP(A38,经纬!B:G,6,FALSE))</f>
        <v/>
      </c>
      <c r="E38" s="44">
        <f>SUMIFS(ps!$N:$N,ps!$B:$B,喷水汇总表!$A38,ps!$H:$H,喷水汇总表!E$5)</f>
        <v>0</v>
      </c>
      <c r="F38" s="44">
        <f>SUMIFS(ps!$N:$N,ps!$B:$B,喷水汇总表!$A38,ps!$H:$H,喷水汇总表!F$5)</f>
        <v>0</v>
      </c>
      <c r="G38" s="44">
        <f>SUMIFS(ps!$N:$N,ps!$B:$B,喷水汇总表!$A38,ps!$H:$H,喷水汇总表!G$5)</f>
        <v>0</v>
      </c>
      <c r="H38" s="84">
        <f>SUMIFS(ps!$N:$N,ps!$B:$B,喷水汇总表!A38,ps!$F:$F,喷水汇总表!#REF!)</f>
        <v>0</v>
      </c>
      <c r="I38" s="84">
        <f>SUMIFS(ps!$N:$N,ps!$B:$B,喷水汇总表!A38,ps!$F:$F,喷水汇总表!#REF!)</f>
        <v>0</v>
      </c>
      <c r="J38" s="14">
        <f>SUMIFS(ps!$N:$N,ps!$B:$B,喷水汇总表!$A38,ps!$G:$G,喷水汇总表!H$5)</f>
        <v>0</v>
      </c>
      <c r="K38" s="14">
        <f>SUMIFS(ps!$N:$N,ps!$B:$B,喷水汇总表!$A38,ps!$G:$G,喷水汇总表!I$5)</f>
        <v>0</v>
      </c>
      <c r="L38" s="14">
        <f>SUMIFS(ps!$N:$N,ps!$B:$B,喷水汇总表!$A38,ps!$G:$G,喷水汇总表!J$5)</f>
        <v>0</v>
      </c>
      <c r="M38" s="14">
        <f>SUMIFS(ps!$N:$N,ps!$B:$B,喷水汇总表!$A38,ps!$G:$G,喷水汇总表!K$5)</f>
        <v>0</v>
      </c>
      <c r="N38" s="14">
        <f>SUMIFS(ps!$N:$N,ps!$B:$B,喷水汇总表!$A38,ps!$G:$G,喷水汇总表!M$5)</f>
        <v>0</v>
      </c>
      <c r="O38" s="108">
        <f>SUMIFS(ps!$N:$N,ps!$B:$B,喷水汇总表!$A38,ps!$G:$G,喷水汇总表!#REF!)</f>
        <v>0</v>
      </c>
      <c r="P38" s="108">
        <f>SUMIFS(ps!$N:$N,ps!$B:$B,喷水汇总表!$A38,ps!$G:$G,喷水汇总表!N$5)</f>
        <v>0</v>
      </c>
      <c r="Q38" s="108"/>
      <c r="R38" s="108"/>
      <c r="S38" s="108"/>
      <c r="T38" s="108"/>
      <c r="U38" s="108"/>
      <c r="V38" s="108"/>
      <c r="W38" s="108"/>
      <c r="X38" s="97"/>
      <c r="Y38" s="97"/>
      <c r="Z38" s="84"/>
      <c r="AA38" s="15"/>
      <c r="AB38" s="18">
        <f>SUMIFS(ps!$N:$N,ps!$B:$B,喷水汇总表!$A38,ps!$I:$I,喷水汇总表!$X$4&amp;"/"&amp;喷水汇总表!$Y$4&amp;"/"&amp;喷水汇总表!Y$5)</f>
        <v>0</v>
      </c>
      <c r="AC38" s="18">
        <f>SUMIFS(ps!$N:$N,ps!$B:$B,喷水汇总表!$A38,ps!$I:$I,喷水汇总表!$X$4&amp;"/"&amp;喷水汇总表!$Y$4&amp;"/"&amp;喷水汇总表!Z$5)</f>
        <v>0</v>
      </c>
      <c r="AD38" s="18">
        <f>SUMIFS(ps!$N:$N,ps!$B:$B,喷水汇总表!$A38,ps!$I:$I,喷水汇总表!$X$4&amp;"/"&amp;喷水汇总表!$Y$4&amp;"/"&amp;喷水汇总表!AA$5)</f>
        <v>0</v>
      </c>
      <c r="AE38" s="18">
        <f>SUMIFS(ps!$N:$N,ps!$B:$B,喷水汇总表!$A38,ps!$I:$I,喷水汇总表!$X$4&amp;"/"&amp;喷水汇总表!$Y$4&amp;"/"&amp;喷水汇总表!AB$5)</f>
        <v>0</v>
      </c>
      <c r="AF38" s="18">
        <f>SUMIFS(ps!$N:$N,ps!$B:$B,喷水汇总表!$A38,ps!$I:$I,喷水汇总表!$X$4&amp;"/"&amp;喷水汇总表!$Y$4&amp;"/"&amp;喷水汇总表!AC$5)</f>
        <v>0</v>
      </c>
      <c r="AG38" s="18">
        <f>SUMIFS(ps!$N:$N,ps!$B:$B,喷水汇总表!$A38,ps!$I:$I,喷水汇总表!$X$4&amp;"/"&amp;喷水汇总表!$Y$4&amp;"/"&amp;喷水汇总表!AD$5)</f>
        <v>0</v>
      </c>
      <c r="AH38" s="18">
        <f>SUMIFS(ps!$N:$N,ps!$B:$B,喷水汇总表!$A38,ps!$I:$I,喷水汇总表!$X$4&amp;"/"&amp;喷水汇总表!$Y$4&amp;"/"&amp;喷水汇总表!AE$5)</f>
        <v>0</v>
      </c>
      <c r="AI38" s="18">
        <f>SUMIFS(ps!$N:$N,ps!$B:$B,喷水汇总表!$A38,ps!$I:$I,喷水汇总表!$X$4&amp;"/"&amp;喷水汇总表!$Y$4&amp;"/"&amp;喷水汇总表!AF$5)</f>
        <v>0</v>
      </c>
      <c r="AJ38" s="18">
        <f>SUMIFS(ps!$N:$N,ps!$B:$B,喷水汇总表!$A38,ps!$I:$I,喷水汇总表!$X$4&amp;"/"&amp;喷水汇总表!$Y$4&amp;"/"&amp;喷水汇总表!AG$5)</f>
        <v>0</v>
      </c>
      <c r="AK38" s="18">
        <f>SUMIFS(ps!$N:$N,ps!$B:$B,喷水汇总表!$A38,ps!$I:$I,喷水汇总表!$X$4&amp;"/"&amp;喷水汇总表!$Y$4&amp;"/"&amp;喷水汇总表!AH$5)</f>
        <v>0</v>
      </c>
      <c r="AL38" s="18">
        <f>SUMIFS(ps!$N:$N,ps!$B:$B,喷水汇总表!$A38,ps!$I:$I,喷水汇总表!$X$4&amp;"/"&amp;喷水汇总表!$Y$4&amp;"/"&amp;喷水汇总表!AI$5)</f>
        <v>0</v>
      </c>
      <c r="AM38" s="18">
        <f>SUMIFS(ps!$N:$N,ps!$B:$B,喷水汇总表!$A38,ps!$I:$I,喷水汇总表!$X$4&amp;"/"&amp;喷水汇总表!$Y$4&amp;"/"&amp;喷水汇总表!AJ$5)</f>
        <v>0</v>
      </c>
      <c r="AN38" s="18">
        <f>SUMIFS(ps!$N:$N,ps!$B:$B,喷水汇总表!$A38,ps!$I:$I,喷水汇总表!$X$4&amp;"/"&amp;喷水汇总表!$Y$4&amp;"/"&amp;喷水汇总表!AK$5)</f>
        <v>0</v>
      </c>
      <c r="AO38" s="18">
        <f>SUMIFS(ps!$N:$N,ps!$B:$B,喷水汇总表!$A38,ps!$I:$I,喷水汇总表!$X$4&amp;"/"&amp;喷水汇总表!$Y$4&amp;"/"&amp;喷水汇总表!AL$5)</f>
        <v>0</v>
      </c>
      <c r="AP38" s="18">
        <f>SUMIFS(ps!$N:$N,ps!$B:$B,喷水汇总表!$A38,ps!$I:$I,喷水汇总表!$X$4&amp;"/"&amp;喷水汇总表!$Y$4&amp;"/"&amp;喷水汇总表!AM$5)</f>
        <v>0</v>
      </c>
      <c r="AQ38" s="18">
        <f>SUMIFS(ps!$N:$N,ps!$B:$B,喷水汇总表!$A38,ps!$I:$I,喷水汇总表!$X$4&amp;"/"&amp;喷水汇总表!$Y$4&amp;"/"&amp;喷水汇总表!AN$5)</f>
        <v>0</v>
      </c>
      <c r="AR38" s="18">
        <f>SUMIFS(ps!$N:$N,ps!$B:$B,喷水汇总表!$A38,ps!$I:$I,喷水汇总表!$X$4&amp;"/"&amp;喷水汇总表!$Y$4&amp;"/"&amp;喷水汇总表!AO$5)</f>
        <v>0</v>
      </c>
      <c r="AS38" s="18">
        <f>SUMIFS(ps!$N:$N,ps!$B:$B,喷水汇总表!$A38,ps!$I:$I,喷水汇总表!$X$4&amp;"/"&amp;喷水汇总表!$Y$4&amp;"/"&amp;喷水汇总表!AP$5)</f>
        <v>0</v>
      </c>
      <c r="AT38" s="18">
        <f>SUMIFS(ps!$N:$N,ps!$B:$B,喷水汇总表!$A38,ps!$I:$I,喷水汇总表!$X$4&amp;"/"&amp;喷水汇总表!$Y$4&amp;"/"&amp;喷水汇总表!AQ$5)</f>
        <v>0</v>
      </c>
      <c r="AU38" s="18">
        <f>SUMIFS(ps!$N:$N,ps!$B:$B,喷水汇总表!$A38,ps!$I:$I,喷水汇总表!$X$4&amp;"/"&amp;喷水汇总表!$Y$4&amp;"/"&amp;喷水汇总表!AR$5)</f>
        <v>0</v>
      </c>
      <c r="AV38" s="18">
        <f>SUMIFS(ps!$N:$N,ps!$B:$B,喷水汇总表!$A38,ps!$I:$I,喷水汇总表!$X$4&amp;"/"&amp;喷水汇总表!$Y$4&amp;"/"&amp;喷水汇总表!AS$5)</f>
        <v>0</v>
      </c>
      <c r="AW38" s="18">
        <f>SUMIFS(ps!$N:$N,ps!$B:$B,喷水汇总表!$A38,ps!$I:$I,喷水汇总表!$X$4&amp;"/"&amp;喷水汇总表!$Y$4&amp;"/"&amp;喷水汇总表!AT$5)</f>
        <v>0</v>
      </c>
      <c r="AX38" s="18">
        <f>SUMIFS(ps!$N:$N,ps!$B:$B,喷水汇总表!$A38,ps!$I:$I,喷水汇总表!$X$4&amp;"/"&amp;喷水汇总表!$Y$4&amp;"/"&amp;喷水汇总表!AU$5)</f>
        <v>0</v>
      </c>
      <c r="AY38" s="18">
        <f>SUMIFS(ps!$N:$N,ps!$B:$B,喷水汇总表!$A38,ps!$I:$I,喷水汇总表!$X$4&amp;"/"&amp;喷水汇总表!$Y$4&amp;"/"&amp;喷水汇总表!AV$5)</f>
        <v>0</v>
      </c>
      <c r="AZ38" s="18">
        <f>SUMIFS(ps!$N:$N,ps!$B:$B,喷水汇总表!$A38,ps!$I:$I,喷水汇总表!$X$4&amp;"/"&amp;喷水汇总表!$Y$4&amp;"/"&amp;喷水汇总表!AW$5)</f>
        <v>0</v>
      </c>
      <c r="BA38" s="18">
        <f>SUMIFS(ps!$N:$N,ps!$B:$B,喷水汇总表!$A38,ps!$I:$I,喷水汇总表!$X$4&amp;"/"&amp;喷水汇总表!$Y$4&amp;"/"&amp;喷水汇总表!AX$5)</f>
        <v>0</v>
      </c>
      <c r="BB38" s="18">
        <f>SUMIFS(ps!$N:$N,ps!$B:$B,喷水汇总表!$A38,ps!$I:$I,喷水汇总表!$X$4&amp;"/"&amp;喷水汇总表!$Y$4&amp;"/"&amp;喷水汇总表!AY$5)</f>
        <v>0</v>
      </c>
      <c r="BC38" s="18">
        <f>SUMIFS(ps!$N:$N,ps!$B:$B,喷水汇总表!$A38,ps!$I:$I,喷水汇总表!$X$4&amp;"/"&amp;喷水汇总表!$Y$4&amp;"/"&amp;喷水汇总表!AZ$5)</f>
        <v>0</v>
      </c>
      <c r="BD38" s="18">
        <f>SUMIFS(ps!$N:$N,ps!$B:$B,喷水汇总表!$A38,ps!$I:$I,喷水汇总表!$X$4&amp;"/"&amp;喷水汇总表!$Y$4&amp;"/"&amp;喷水汇总表!BA$5)</f>
        <v>0</v>
      </c>
      <c r="BE38" s="18">
        <f>SUMIFS(ps!$N:$N,ps!$B:$B,喷水汇总表!$A38,ps!$I:$I,喷水汇总表!$X$4&amp;"/"&amp;喷水汇总表!$Y$4&amp;"/"&amp;喷水汇总表!BB$5)</f>
        <v>0</v>
      </c>
      <c r="BF38" s="18">
        <f>SUMIFS(ps!$N:$N,ps!$B:$B,喷水汇总表!$A38,ps!$I:$I,喷水汇总表!$X$4&amp;"/"&amp;喷水汇总表!$Y$4&amp;"/"&amp;喷水汇总表!BC$5)</f>
        <v>0</v>
      </c>
    </row>
    <row r="39" spans="1:58" hidden="1">
      <c r="A39" s="231"/>
      <c r="B39" s="176" t="str">
        <f>IF(A39="","",VLOOKUP(A39,经纬!B:C,2,FALSE))</f>
        <v/>
      </c>
      <c r="C39" s="97"/>
      <c r="D39" s="176" t="str">
        <f>IF(A39="","",VLOOKUP(A39,经纬!B:G,6,FALSE))</f>
        <v/>
      </c>
      <c r="E39" s="44">
        <f>SUMIFS(ps!$N:$N,ps!$B:$B,喷水汇总表!$A39,ps!$H:$H,喷水汇总表!E$5)</f>
        <v>0</v>
      </c>
      <c r="F39" s="44">
        <f>SUMIFS(ps!$N:$N,ps!$B:$B,喷水汇总表!$A39,ps!$H:$H,喷水汇总表!F$5)</f>
        <v>0</v>
      </c>
      <c r="G39" s="44">
        <f>SUMIFS(ps!$N:$N,ps!$B:$B,喷水汇总表!$A39,ps!$H:$H,喷水汇总表!G$5)</f>
        <v>0</v>
      </c>
      <c r="H39" s="84">
        <f>SUMIFS(ps!$N:$N,ps!$B:$B,喷水汇总表!A39,ps!$F:$F,喷水汇总表!#REF!)</f>
        <v>0</v>
      </c>
      <c r="I39" s="84">
        <f>SUMIFS(ps!$N:$N,ps!$B:$B,喷水汇总表!A39,ps!$F:$F,喷水汇总表!#REF!)</f>
        <v>0</v>
      </c>
      <c r="J39" s="14">
        <f>SUMIFS(ps!$N:$N,ps!$B:$B,喷水汇总表!$A39,ps!$G:$G,喷水汇总表!H$5)</f>
        <v>0</v>
      </c>
      <c r="K39" s="14">
        <f>SUMIFS(ps!$N:$N,ps!$B:$B,喷水汇总表!$A39,ps!$G:$G,喷水汇总表!I$5)</f>
        <v>0</v>
      </c>
      <c r="L39" s="14">
        <f>SUMIFS(ps!$N:$N,ps!$B:$B,喷水汇总表!$A39,ps!$G:$G,喷水汇总表!J$5)</f>
        <v>0</v>
      </c>
      <c r="M39" s="14">
        <f>SUMIFS(ps!$N:$N,ps!$B:$B,喷水汇总表!$A39,ps!$G:$G,喷水汇总表!K$5)</f>
        <v>0</v>
      </c>
      <c r="N39" s="14">
        <f>SUMIFS(ps!$N:$N,ps!$B:$B,喷水汇总表!$A39,ps!$G:$G,喷水汇总表!M$5)</f>
        <v>0</v>
      </c>
      <c r="O39" s="108">
        <f>SUMIFS(ps!$N:$N,ps!$B:$B,喷水汇总表!$A39,ps!$G:$G,喷水汇总表!#REF!)</f>
        <v>0</v>
      </c>
      <c r="P39" s="108">
        <f>SUMIFS(ps!$N:$N,ps!$B:$B,喷水汇总表!$A39,ps!$G:$G,喷水汇总表!N$5)</f>
        <v>0</v>
      </c>
      <c r="Q39" s="108"/>
      <c r="R39" s="108"/>
      <c r="S39" s="108"/>
      <c r="T39" s="108"/>
      <c r="U39" s="108"/>
      <c r="V39" s="108"/>
      <c r="W39" s="108"/>
      <c r="X39" s="97"/>
      <c r="Y39" s="97"/>
      <c r="Z39" s="84"/>
      <c r="AA39" s="15"/>
      <c r="AB39" s="18">
        <f>SUMIFS(ps!$N:$N,ps!$B:$B,喷水汇总表!$A39,ps!$I:$I,喷水汇总表!$X$4&amp;"/"&amp;喷水汇总表!$Y$4&amp;"/"&amp;喷水汇总表!Y$5)</f>
        <v>0</v>
      </c>
      <c r="AC39" s="18">
        <f>SUMIFS(ps!$N:$N,ps!$B:$B,喷水汇总表!$A39,ps!$I:$I,喷水汇总表!$X$4&amp;"/"&amp;喷水汇总表!$Y$4&amp;"/"&amp;喷水汇总表!Z$5)</f>
        <v>0</v>
      </c>
      <c r="AD39" s="18">
        <f>SUMIFS(ps!$N:$N,ps!$B:$B,喷水汇总表!$A39,ps!$I:$I,喷水汇总表!$X$4&amp;"/"&amp;喷水汇总表!$Y$4&amp;"/"&amp;喷水汇总表!AA$5)</f>
        <v>0</v>
      </c>
      <c r="AE39" s="18">
        <f>SUMIFS(ps!$N:$N,ps!$B:$B,喷水汇总表!$A39,ps!$I:$I,喷水汇总表!$X$4&amp;"/"&amp;喷水汇总表!$Y$4&amp;"/"&amp;喷水汇总表!AB$5)</f>
        <v>0</v>
      </c>
      <c r="AF39" s="18">
        <f>SUMIFS(ps!$N:$N,ps!$B:$B,喷水汇总表!$A39,ps!$I:$I,喷水汇总表!$X$4&amp;"/"&amp;喷水汇总表!$Y$4&amp;"/"&amp;喷水汇总表!AC$5)</f>
        <v>0</v>
      </c>
      <c r="AG39" s="18">
        <f>SUMIFS(ps!$N:$N,ps!$B:$B,喷水汇总表!$A39,ps!$I:$I,喷水汇总表!$X$4&amp;"/"&amp;喷水汇总表!$Y$4&amp;"/"&amp;喷水汇总表!AD$5)</f>
        <v>0</v>
      </c>
      <c r="AH39" s="18">
        <f>SUMIFS(ps!$N:$N,ps!$B:$B,喷水汇总表!$A39,ps!$I:$I,喷水汇总表!$X$4&amp;"/"&amp;喷水汇总表!$Y$4&amp;"/"&amp;喷水汇总表!AE$5)</f>
        <v>0</v>
      </c>
      <c r="AI39" s="18">
        <f>SUMIFS(ps!$N:$N,ps!$B:$B,喷水汇总表!$A39,ps!$I:$I,喷水汇总表!$X$4&amp;"/"&amp;喷水汇总表!$Y$4&amp;"/"&amp;喷水汇总表!AF$5)</f>
        <v>0</v>
      </c>
      <c r="AJ39" s="18">
        <f>SUMIFS(ps!$N:$N,ps!$B:$B,喷水汇总表!$A39,ps!$I:$I,喷水汇总表!$X$4&amp;"/"&amp;喷水汇总表!$Y$4&amp;"/"&amp;喷水汇总表!AG$5)</f>
        <v>0</v>
      </c>
      <c r="AK39" s="18">
        <f>SUMIFS(ps!$N:$N,ps!$B:$B,喷水汇总表!$A39,ps!$I:$I,喷水汇总表!$X$4&amp;"/"&amp;喷水汇总表!$Y$4&amp;"/"&amp;喷水汇总表!AH$5)</f>
        <v>0</v>
      </c>
      <c r="AL39" s="18">
        <f>SUMIFS(ps!$N:$N,ps!$B:$B,喷水汇总表!$A39,ps!$I:$I,喷水汇总表!$X$4&amp;"/"&amp;喷水汇总表!$Y$4&amp;"/"&amp;喷水汇总表!AI$5)</f>
        <v>0</v>
      </c>
      <c r="AM39" s="18">
        <f>SUMIFS(ps!$N:$N,ps!$B:$B,喷水汇总表!$A39,ps!$I:$I,喷水汇总表!$X$4&amp;"/"&amp;喷水汇总表!$Y$4&amp;"/"&amp;喷水汇总表!AJ$5)</f>
        <v>0</v>
      </c>
      <c r="AN39" s="18">
        <f>SUMIFS(ps!$N:$N,ps!$B:$B,喷水汇总表!$A39,ps!$I:$I,喷水汇总表!$X$4&amp;"/"&amp;喷水汇总表!$Y$4&amp;"/"&amp;喷水汇总表!AK$5)</f>
        <v>0</v>
      </c>
      <c r="AO39" s="18">
        <f>SUMIFS(ps!$N:$N,ps!$B:$B,喷水汇总表!$A39,ps!$I:$I,喷水汇总表!$X$4&amp;"/"&amp;喷水汇总表!$Y$4&amp;"/"&amp;喷水汇总表!AL$5)</f>
        <v>0</v>
      </c>
      <c r="AP39" s="18">
        <f>SUMIFS(ps!$N:$N,ps!$B:$B,喷水汇总表!$A39,ps!$I:$I,喷水汇总表!$X$4&amp;"/"&amp;喷水汇总表!$Y$4&amp;"/"&amp;喷水汇总表!AM$5)</f>
        <v>0</v>
      </c>
      <c r="AQ39" s="18">
        <f>SUMIFS(ps!$N:$N,ps!$B:$B,喷水汇总表!$A39,ps!$I:$I,喷水汇总表!$X$4&amp;"/"&amp;喷水汇总表!$Y$4&amp;"/"&amp;喷水汇总表!AN$5)</f>
        <v>0</v>
      </c>
      <c r="AR39" s="18">
        <f>SUMIFS(ps!$N:$N,ps!$B:$B,喷水汇总表!$A39,ps!$I:$I,喷水汇总表!$X$4&amp;"/"&amp;喷水汇总表!$Y$4&amp;"/"&amp;喷水汇总表!AO$5)</f>
        <v>0</v>
      </c>
      <c r="AS39" s="18">
        <f>SUMIFS(ps!$N:$N,ps!$B:$B,喷水汇总表!$A39,ps!$I:$I,喷水汇总表!$X$4&amp;"/"&amp;喷水汇总表!$Y$4&amp;"/"&amp;喷水汇总表!AP$5)</f>
        <v>0</v>
      </c>
      <c r="AT39" s="18">
        <f>SUMIFS(ps!$N:$N,ps!$B:$B,喷水汇总表!$A39,ps!$I:$I,喷水汇总表!$X$4&amp;"/"&amp;喷水汇总表!$Y$4&amp;"/"&amp;喷水汇总表!AQ$5)</f>
        <v>0</v>
      </c>
      <c r="AU39" s="18">
        <f>SUMIFS(ps!$N:$N,ps!$B:$B,喷水汇总表!$A39,ps!$I:$I,喷水汇总表!$X$4&amp;"/"&amp;喷水汇总表!$Y$4&amp;"/"&amp;喷水汇总表!AR$5)</f>
        <v>0</v>
      </c>
      <c r="AV39" s="18">
        <f>SUMIFS(ps!$N:$N,ps!$B:$B,喷水汇总表!$A39,ps!$I:$I,喷水汇总表!$X$4&amp;"/"&amp;喷水汇总表!$Y$4&amp;"/"&amp;喷水汇总表!AS$5)</f>
        <v>0</v>
      </c>
      <c r="AW39" s="18">
        <f>SUMIFS(ps!$N:$N,ps!$B:$B,喷水汇总表!$A39,ps!$I:$I,喷水汇总表!$X$4&amp;"/"&amp;喷水汇总表!$Y$4&amp;"/"&amp;喷水汇总表!AT$5)</f>
        <v>0</v>
      </c>
      <c r="AX39" s="18">
        <f>SUMIFS(ps!$N:$N,ps!$B:$B,喷水汇总表!$A39,ps!$I:$I,喷水汇总表!$X$4&amp;"/"&amp;喷水汇总表!$Y$4&amp;"/"&amp;喷水汇总表!AU$5)</f>
        <v>0</v>
      </c>
      <c r="AY39" s="18">
        <f>SUMIFS(ps!$N:$N,ps!$B:$B,喷水汇总表!$A39,ps!$I:$I,喷水汇总表!$X$4&amp;"/"&amp;喷水汇总表!$Y$4&amp;"/"&amp;喷水汇总表!AV$5)</f>
        <v>0</v>
      </c>
      <c r="AZ39" s="18">
        <f>SUMIFS(ps!$N:$N,ps!$B:$B,喷水汇总表!$A39,ps!$I:$I,喷水汇总表!$X$4&amp;"/"&amp;喷水汇总表!$Y$4&amp;"/"&amp;喷水汇总表!AW$5)</f>
        <v>0</v>
      </c>
      <c r="BA39" s="18">
        <f>SUMIFS(ps!$N:$N,ps!$B:$B,喷水汇总表!$A39,ps!$I:$I,喷水汇总表!$X$4&amp;"/"&amp;喷水汇总表!$Y$4&amp;"/"&amp;喷水汇总表!AX$5)</f>
        <v>0</v>
      </c>
      <c r="BB39" s="18">
        <f>SUMIFS(ps!$N:$N,ps!$B:$B,喷水汇总表!$A39,ps!$I:$I,喷水汇总表!$X$4&amp;"/"&amp;喷水汇总表!$Y$4&amp;"/"&amp;喷水汇总表!AY$5)</f>
        <v>0</v>
      </c>
      <c r="BC39" s="18">
        <f>SUMIFS(ps!$N:$N,ps!$B:$B,喷水汇总表!$A39,ps!$I:$I,喷水汇总表!$X$4&amp;"/"&amp;喷水汇总表!$Y$4&amp;"/"&amp;喷水汇总表!AZ$5)</f>
        <v>0</v>
      </c>
      <c r="BD39" s="18">
        <f>SUMIFS(ps!$N:$N,ps!$B:$B,喷水汇总表!$A39,ps!$I:$I,喷水汇总表!$X$4&amp;"/"&amp;喷水汇总表!$Y$4&amp;"/"&amp;喷水汇总表!BA$5)</f>
        <v>0</v>
      </c>
      <c r="BE39" s="18">
        <f>SUMIFS(ps!$N:$N,ps!$B:$B,喷水汇总表!$A39,ps!$I:$I,喷水汇总表!$X$4&amp;"/"&amp;喷水汇总表!$Y$4&amp;"/"&amp;喷水汇总表!BB$5)</f>
        <v>0</v>
      </c>
      <c r="BF39" s="18">
        <f>SUMIFS(ps!$N:$N,ps!$B:$B,喷水汇总表!$A39,ps!$I:$I,喷水汇总表!$X$4&amp;"/"&amp;喷水汇总表!$Y$4&amp;"/"&amp;喷水汇总表!BC$5)</f>
        <v>0</v>
      </c>
    </row>
    <row r="40" spans="1:58" hidden="1">
      <c r="A40" s="231"/>
      <c r="B40" s="176" t="str">
        <f>IF(A40="","",VLOOKUP(A40,经纬!B:C,2,FALSE))</f>
        <v/>
      </c>
      <c r="C40" s="97"/>
      <c r="D40" s="176" t="str">
        <f>IF(A40="","",VLOOKUP(A40,经纬!B:G,6,FALSE))</f>
        <v/>
      </c>
      <c r="E40" s="44">
        <f>SUMIFS(ps!$N:$N,ps!$B:$B,喷水汇总表!$A40,ps!$H:$H,喷水汇总表!E$5)</f>
        <v>0</v>
      </c>
      <c r="F40" s="44">
        <f>SUMIFS(ps!$N:$N,ps!$B:$B,喷水汇总表!$A40,ps!$H:$H,喷水汇总表!F$5)</f>
        <v>0</v>
      </c>
      <c r="G40" s="44">
        <f>SUMIFS(ps!$N:$N,ps!$B:$B,喷水汇总表!$A40,ps!$H:$H,喷水汇总表!G$5)</f>
        <v>0</v>
      </c>
      <c r="H40" s="84">
        <f>SUMIFS(ps!$N:$N,ps!$B:$B,喷水汇总表!A40,ps!$F:$F,喷水汇总表!#REF!)</f>
        <v>0</v>
      </c>
      <c r="I40" s="84">
        <f>SUMIFS(ps!$N:$N,ps!$B:$B,喷水汇总表!A40,ps!$F:$F,喷水汇总表!#REF!)</f>
        <v>0</v>
      </c>
      <c r="J40" s="14">
        <f>SUMIFS(ps!$N:$N,ps!$B:$B,喷水汇总表!$A40,ps!$G:$G,喷水汇总表!H$5)</f>
        <v>0</v>
      </c>
      <c r="K40" s="14">
        <f>SUMIFS(ps!$N:$N,ps!$B:$B,喷水汇总表!$A40,ps!$G:$G,喷水汇总表!I$5)</f>
        <v>0</v>
      </c>
      <c r="L40" s="14">
        <f>SUMIFS(ps!$N:$N,ps!$B:$B,喷水汇总表!$A40,ps!$G:$G,喷水汇总表!J$5)</f>
        <v>0</v>
      </c>
      <c r="M40" s="14">
        <f>SUMIFS(ps!$N:$N,ps!$B:$B,喷水汇总表!$A40,ps!$G:$G,喷水汇总表!K$5)</f>
        <v>0</v>
      </c>
      <c r="N40" s="14">
        <f>SUMIFS(ps!$N:$N,ps!$B:$B,喷水汇总表!$A40,ps!$G:$G,喷水汇总表!M$5)</f>
        <v>0</v>
      </c>
      <c r="O40" s="108">
        <f>SUMIFS(ps!$N:$N,ps!$B:$B,喷水汇总表!$A40,ps!$G:$G,喷水汇总表!#REF!)</f>
        <v>0</v>
      </c>
      <c r="P40" s="108">
        <f>SUMIFS(ps!$N:$N,ps!$B:$B,喷水汇总表!$A40,ps!$G:$G,喷水汇总表!N$5)</f>
        <v>0</v>
      </c>
      <c r="Q40" s="108"/>
      <c r="R40" s="108"/>
      <c r="S40" s="108"/>
      <c r="T40" s="108"/>
      <c r="U40" s="108"/>
      <c r="V40" s="108"/>
      <c r="W40" s="108"/>
      <c r="X40" s="97"/>
      <c r="Y40" s="97"/>
      <c r="Z40" s="84"/>
      <c r="AA40" s="15"/>
      <c r="AB40" s="18">
        <f>SUMIFS(ps!$N:$N,ps!$B:$B,喷水汇总表!$A40,ps!$I:$I,喷水汇总表!$X$4&amp;"/"&amp;喷水汇总表!$Y$4&amp;"/"&amp;喷水汇总表!Y$5)</f>
        <v>0</v>
      </c>
      <c r="AC40" s="18">
        <f>SUMIFS(ps!$N:$N,ps!$B:$B,喷水汇总表!$A40,ps!$I:$I,喷水汇总表!$X$4&amp;"/"&amp;喷水汇总表!$Y$4&amp;"/"&amp;喷水汇总表!Z$5)</f>
        <v>0</v>
      </c>
      <c r="AD40" s="18">
        <f>SUMIFS(ps!$N:$N,ps!$B:$B,喷水汇总表!$A40,ps!$I:$I,喷水汇总表!$X$4&amp;"/"&amp;喷水汇总表!$Y$4&amp;"/"&amp;喷水汇总表!AA$5)</f>
        <v>0</v>
      </c>
      <c r="AE40" s="18">
        <f>SUMIFS(ps!$N:$N,ps!$B:$B,喷水汇总表!$A40,ps!$I:$I,喷水汇总表!$X$4&amp;"/"&amp;喷水汇总表!$Y$4&amp;"/"&amp;喷水汇总表!AB$5)</f>
        <v>0</v>
      </c>
      <c r="AF40" s="18">
        <f>SUMIFS(ps!$N:$N,ps!$B:$B,喷水汇总表!$A40,ps!$I:$I,喷水汇总表!$X$4&amp;"/"&amp;喷水汇总表!$Y$4&amp;"/"&amp;喷水汇总表!AC$5)</f>
        <v>0</v>
      </c>
      <c r="AG40" s="18">
        <f>SUMIFS(ps!$N:$N,ps!$B:$B,喷水汇总表!$A40,ps!$I:$I,喷水汇总表!$X$4&amp;"/"&amp;喷水汇总表!$Y$4&amp;"/"&amp;喷水汇总表!AD$5)</f>
        <v>0</v>
      </c>
      <c r="AH40" s="18">
        <f>SUMIFS(ps!$N:$N,ps!$B:$B,喷水汇总表!$A40,ps!$I:$I,喷水汇总表!$X$4&amp;"/"&amp;喷水汇总表!$Y$4&amp;"/"&amp;喷水汇总表!AE$5)</f>
        <v>0</v>
      </c>
      <c r="AI40" s="18">
        <f>SUMIFS(ps!$N:$N,ps!$B:$B,喷水汇总表!$A40,ps!$I:$I,喷水汇总表!$X$4&amp;"/"&amp;喷水汇总表!$Y$4&amp;"/"&amp;喷水汇总表!AF$5)</f>
        <v>0</v>
      </c>
      <c r="AJ40" s="18">
        <f>SUMIFS(ps!$N:$N,ps!$B:$B,喷水汇总表!$A40,ps!$I:$I,喷水汇总表!$X$4&amp;"/"&amp;喷水汇总表!$Y$4&amp;"/"&amp;喷水汇总表!AG$5)</f>
        <v>0</v>
      </c>
      <c r="AK40" s="18">
        <f>SUMIFS(ps!$N:$N,ps!$B:$B,喷水汇总表!$A40,ps!$I:$I,喷水汇总表!$X$4&amp;"/"&amp;喷水汇总表!$Y$4&amp;"/"&amp;喷水汇总表!AH$5)</f>
        <v>0</v>
      </c>
      <c r="AL40" s="18">
        <f>SUMIFS(ps!$N:$N,ps!$B:$B,喷水汇总表!$A40,ps!$I:$I,喷水汇总表!$X$4&amp;"/"&amp;喷水汇总表!$Y$4&amp;"/"&amp;喷水汇总表!AI$5)</f>
        <v>0</v>
      </c>
      <c r="AM40" s="18">
        <f>SUMIFS(ps!$N:$N,ps!$B:$B,喷水汇总表!$A40,ps!$I:$I,喷水汇总表!$X$4&amp;"/"&amp;喷水汇总表!$Y$4&amp;"/"&amp;喷水汇总表!AJ$5)</f>
        <v>0</v>
      </c>
      <c r="AN40" s="18">
        <f>SUMIFS(ps!$N:$N,ps!$B:$B,喷水汇总表!$A40,ps!$I:$I,喷水汇总表!$X$4&amp;"/"&amp;喷水汇总表!$Y$4&amp;"/"&amp;喷水汇总表!AK$5)</f>
        <v>0</v>
      </c>
      <c r="AO40" s="18">
        <f>SUMIFS(ps!$N:$N,ps!$B:$B,喷水汇总表!$A40,ps!$I:$I,喷水汇总表!$X$4&amp;"/"&amp;喷水汇总表!$Y$4&amp;"/"&amp;喷水汇总表!AL$5)</f>
        <v>0</v>
      </c>
      <c r="AP40" s="18">
        <f>SUMIFS(ps!$N:$N,ps!$B:$B,喷水汇总表!$A40,ps!$I:$I,喷水汇总表!$X$4&amp;"/"&amp;喷水汇总表!$Y$4&amp;"/"&amp;喷水汇总表!AM$5)</f>
        <v>0</v>
      </c>
      <c r="AQ40" s="18">
        <f>SUMIFS(ps!$N:$N,ps!$B:$B,喷水汇总表!$A40,ps!$I:$I,喷水汇总表!$X$4&amp;"/"&amp;喷水汇总表!$Y$4&amp;"/"&amp;喷水汇总表!AN$5)</f>
        <v>0</v>
      </c>
      <c r="AR40" s="18">
        <f>SUMIFS(ps!$N:$N,ps!$B:$B,喷水汇总表!$A40,ps!$I:$I,喷水汇总表!$X$4&amp;"/"&amp;喷水汇总表!$Y$4&amp;"/"&amp;喷水汇总表!AO$5)</f>
        <v>0</v>
      </c>
      <c r="AS40" s="18">
        <f>SUMIFS(ps!$N:$N,ps!$B:$B,喷水汇总表!$A40,ps!$I:$I,喷水汇总表!$X$4&amp;"/"&amp;喷水汇总表!$Y$4&amp;"/"&amp;喷水汇总表!AP$5)</f>
        <v>0</v>
      </c>
      <c r="AT40" s="18">
        <f>SUMIFS(ps!$N:$N,ps!$B:$B,喷水汇总表!$A40,ps!$I:$I,喷水汇总表!$X$4&amp;"/"&amp;喷水汇总表!$Y$4&amp;"/"&amp;喷水汇总表!AQ$5)</f>
        <v>0</v>
      </c>
      <c r="AU40" s="18">
        <f>SUMIFS(ps!$N:$N,ps!$B:$B,喷水汇总表!$A40,ps!$I:$I,喷水汇总表!$X$4&amp;"/"&amp;喷水汇总表!$Y$4&amp;"/"&amp;喷水汇总表!AR$5)</f>
        <v>0</v>
      </c>
      <c r="AV40" s="18">
        <f>SUMIFS(ps!$N:$N,ps!$B:$B,喷水汇总表!$A40,ps!$I:$I,喷水汇总表!$X$4&amp;"/"&amp;喷水汇总表!$Y$4&amp;"/"&amp;喷水汇总表!AS$5)</f>
        <v>0</v>
      </c>
      <c r="AW40" s="18">
        <f>SUMIFS(ps!$N:$N,ps!$B:$B,喷水汇总表!$A40,ps!$I:$I,喷水汇总表!$X$4&amp;"/"&amp;喷水汇总表!$Y$4&amp;"/"&amp;喷水汇总表!AT$5)</f>
        <v>0</v>
      </c>
      <c r="AX40" s="18">
        <f>SUMIFS(ps!$N:$N,ps!$B:$B,喷水汇总表!$A40,ps!$I:$I,喷水汇总表!$X$4&amp;"/"&amp;喷水汇总表!$Y$4&amp;"/"&amp;喷水汇总表!AU$5)</f>
        <v>0</v>
      </c>
      <c r="AY40" s="18">
        <f>SUMIFS(ps!$N:$N,ps!$B:$B,喷水汇总表!$A40,ps!$I:$I,喷水汇总表!$X$4&amp;"/"&amp;喷水汇总表!$Y$4&amp;"/"&amp;喷水汇总表!AV$5)</f>
        <v>0</v>
      </c>
      <c r="AZ40" s="18">
        <f>SUMIFS(ps!$N:$N,ps!$B:$B,喷水汇总表!$A40,ps!$I:$I,喷水汇总表!$X$4&amp;"/"&amp;喷水汇总表!$Y$4&amp;"/"&amp;喷水汇总表!AW$5)</f>
        <v>0</v>
      </c>
      <c r="BA40" s="18">
        <f>SUMIFS(ps!$N:$N,ps!$B:$B,喷水汇总表!$A40,ps!$I:$I,喷水汇总表!$X$4&amp;"/"&amp;喷水汇总表!$Y$4&amp;"/"&amp;喷水汇总表!AX$5)</f>
        <v>0</v>
      </c>
      <c r="BB40" s="18">
        <f>SUMIFS(ps!$N:$N,ps!$B:$B,喷水汇总表!$A40,ps!$I:$I,喷水汇总表!$X$4&amp;"/"&amp;喷水汇总表!$Y$4&amp;"/"&amp;喷水汇总表!AY$5)</f>
        <v>0</v>
      </c>
      <c r="BC40" s="18">
        <f>SUMIFS(ps!$N:$N,ps!$B:$B,喷水汇总表!$A40,ps!$I:$I,喷水汇总表!$X$4&amp;"/"&amp;喷水汇总表!$Y$4&amp;"/"&amp;喷水汇总表!AZ$5)</f>
        <v>0</v>
      </c>
      <c r="BD40" s="18">
        <f>SUMIFS(ps!$N:$N,ps!$B:$B,喷水汇总表!$A40,ps!$I:$I,喷水汇总表!$X$4&amp;"/"&amp;喷水汇总表!$Y$4&amp;"/"&amp;喷水汇总表!BA$5)</f>
        <v>0</v>
      </c>
      <c r="BE40" s="18">
        <f>SUMIFS(ps!$N:$N,ps!$B:$B,喷水汇总表!$A40,ps!$I:$I,喷水汇总表!$X$4&amp;"/"&amp;喷水汇总表!$Y$4&amp;"/"&amp;喷水汇总表!BB$5)</f>
        <v>0</v>
      </c>
      <c r="BF40" s="18">
        <f>SUMIFS(ps!$N:$N,ps!$B:$B,喷水汇总表!$A40,ps!$I:$I,喷水汇总表!$X$4&amp;"/"&amp;喷水汇总表!$Y$4&amp;"/"&amp;喷水汇总表!BC$5)</f>
        <v>0</v>
      </c>
    </row>
    <row r="41" spans="1:58" hidden="1">
      <c r="A41" s="231"/>
      <c r="B41" s="176" t="str">
        <f>IF(A41="","",VLOOKUP(A41,经纬!B:C,2,FALSE))</f>
        <v/>
      </c>
      <c r="C41" s="97"/>
      <c r="D41" s="176" t="str">
        <f>IF(A41="","",VLOOKUP(A41,经纬!B:G,6,FALSE))</f>
        <v/>
      </c>
      <c r="E41" s="44">
        <f>SUMIFS(ps!$N:$N,ps!$B:$B,喷水汇总表!$A41,ps!$H:$H,喷水汇总表!E$5)</f>
        <v>0</v>
      </c>
      <c r="F41" s="44">
        <f>SUMIFS(ps!$N:$N,ps!$B:$B,喷水汇总表!$A41,ps!$H:$H,喷水汇总表!F$5)</f>
        <v>0</v>
      </c>
      <c r="G41" s="44">
        <f>SUMIFS(ps!$N:$N,ps!$B:$B,喷水汇总表!$A41,ps!$H:$H,喷水汇总表!G$5)</f>
        <v>0</v>
      </c>
      <c r="H41" s="84">
        <f>SUMIFS(ps!$N:$N,ps!$B:$B,喷水汇总表!A41,ps!$F:$F,喷水汇总表!#REF!)</f>
        <v>0</v>
      </c>
      <c r="I41" s="84">
        <f>SUMIFS(ps!$N:$N,ps!$B:$B,喷水汇总表!A41,ps!$F:$F,喷水汇总表!#REF!)</f>
        <v>0</v>
      </c>
      <c r="J41" s="14">
        <f>SUMIFS(ps!$N:$N,ps!$B:$B,喷水汇总表!$A41,ps!$G:$G,喷水汇总表!H$5)</f>
        <v>0</v>
      </c>
      <c r="K41" s="14">
        <f>SUMIFS(ps!$N:$N,ps!$B:$B,喷水汇总表!$A41,ps!$G:$G,喷水汇总表!I$5)</f>
        <v>0</v>
      </c>
      <c r="L41" s="14">
        <f>SUMIFS(ps!$N:$N,ps!$B:$B,喷水汇总表!$A41,ps!$G:$G,喷水汇总表!J$5)</f>
        <v>0</v>
      </c>
      <c r="M41" s="14">
        <f>SUMIFS(ps!$N:$N,ps!$B:$B,喷水汇总表!$A41,ps!$G:$G,喷水汇总表!K$5)</f>
        <v>0</v>
      </c>
      <c r="N41" s="14">
        <f>SUMIFS(ps!$N:$N,ps!$B:$B,喷水汇总表!$A41,ps!$G:$G,喷水汇总表!M$5)</f>
        <v>0</v>
      </c>
      <c r="O41" s="108">
        <f>SUMIFS(ps!$N:$N,ps!$B:$B,喷水汇总表!$A41,ps!$G:$G,喷水汇总表!#REF!)</f>
        <v>0</v>
      </c>
      <c r="P41" s="108">
        <f>SUMIFS(ps!$N:$N,ps!$B:$B,喷水汇总表!$A41,ps!$G:$G,喷水汇总表!N$5)</f>
        <v>0</v>
      </c>
      <c r="Q41" s="108"/>
      <c r="R41" s="108"/>
      <c r="S41" s="108"/>
      <c r="T41" s="108"/>
      <c r="U41" s="108"/>
      <c r="V41" s="108"/>
      <c r="W41" s="108"/>
      <c r="X41" s="97"/>
      <c r="Y41" s="97"/>
      <c r="Z41" s="84"/>
      <c r="AA41" s="15"/>
      <c r="AB41" s="18">
        <f>SUMIFS(ps!$N:$N,ps!$B:$B,喷水汇总表!$A41,ps!$I:$I,喷水汇总表!$X$4&amp;"/"&amp;喷水汇总表!$Y$4&amp;"/"&amp;喷水汇总表!Y$5)</f>
        <v>0</v>
      </c>
      <c r="AC41" s="18">
        <f>SUMIFS(ps!$N:$N,ps!$B:$B,喷水汇总表!$A41,ps!$I:$I,喷水汇总表!$X$4&amp;"/"&amp;喷水汇总表!$Y$4&amp;"/"&amp;喷水汇总表!Z$5)</f>
        <v>0</v>
      </c>
      <c r="AD41" s="18">
        <f>SUMIFS(ps!$N:$N,ps!$B:$B,喷水汇总表!$A41,ps!$I:$I,喷水汇总表!$X$4&amp;"/"&amp;喷水汇总表!$Y$4&amp;"/"&amp;喷水汇总表!AA$5)</f>
        <v>0</v>
      </c>
      <c r="AE41" s="18">
        <f>SUMIFS(ps!$N:$N,ps!$B:$B,喷水汇总表!$A41,ps!$I:$I,喷水汇总表!$X$4&amp;"/"&amp;喷水汇总表!$Y$4&amp;"/"&amp;喷水汇总表!AB$5)</f>
        <v>0</v>
      </c>
      <c r="AF41" s="18">
        <f>SUMIFS(ps!$N:$N,ps!$B:$B,喷水汇总表!$A41,ps!$I:$I,喷水汇总表!$X$4&amp;"/"&amp;喷水汇总表!$Y$4&amp;"/"&amp;喷水汇总表!AC$5)</f>
        <v>0</v>
      </c>
      <c r="AG41" s="18">
        <f>SUMIFS(ps!$N:$N,ps!$B:$B,喷水汇总表!$A41,ps!$I:$I,喷水汇总表!$X$4&amp;"/"&amp;喷水汇总表!$Y$4&amp;"/"&amp;喷水汇总表!AD$5)</f>
        <v>0</v>
      </c>
      <c r="AH41" s="18">
        <f>SUMIFS(ps!$N:$N,ps!$B:$B,喷水汇总表!$A41,ps!$I:$I,喷水汇总表!$X$4&amp;"/"&amp;喷水汇总表!$Y$4&amp;"/"&amp;喷水汇总表!AE$5)</f>
        <v>0</v>
      </c>
      <c r="AI41" s="18">
        <f>SUMIFS(ps!$N:$N,ps!$B:$B,喷水汇总表!$A41,ps!$I:$I,喷水汇总表!$X$4&amp;"/"&amp;喷水汇总表!$Y$4&amp;"/"&amp;喷水汇总表!AF$5)</f>
        <v>0</v>
      </c>
      <c r="AJ41" s="18">
        <f>SUMIFS(ps!$N:$N,ps!$B:$B,喷水汇总表!$A41,ps!$I:$I,喷水汇总表!$X$4&amp;"/"&amp;喷水汇总表!$Y$4&amp;"/"&amp;喷水汇总表!AG$5)</f>
        <v>0</v>
      </c>
      <c r="AK41" s="18">
        <f>SUMIFS(ps!$N:$N,ps!$B:$B,喷水汇总表!$A41,ps!$I:$I,喷水汇总表!$X$4&amp;"/"&amp;喷水汇总表!$Y$4&amp;"/"&amp;喷水汇总表!AH$5)</f>
        <v>0</v>
      </c>
      <c r="AL41" s="18">
        <f>SUMIFS(ps!$N:$N,ps!$B:$B,喷水汇总表!$A41,ps!$I:$I,喷水汇总表!$X$4&amp;"/"&amp;喷水汇总表!$Y$4&amp;"/"&amp;喷水汇总表!AI$5)</f>
        <v>0</v>
      </c>
      <c r="AM41" s="18">
        <f>SUMIFS(ps!$N:$N,ps!$B:$B,喷水汇总表!$A41,ps!$I:$I,喷水汇总表!$X$4&amp;"/"&amp;喷水汇总表!$Y$4&amp;"/"&amp;喷水汇总表!AJ$5)</f>
        <v>0</v>
      </c>
      <c r="AN41" s="18">
        <f>SUMIFS(ps!$N:$N,ps!$B:$B,喷水汇总表!$A41,ps!$I:$I,喷水汇总表!$X$4&amp;"/"&amp;喷水汇总表!$Y$4&amp;"/"&amp;喷水汇总表!AK$5)</f>
        <v>0</v>
      </c>
      <c r="AO41" s="18">
        <f>SUMIFS(ps!$N:$N,ps!$B:$B,喷水汇总表!$A41,ps!$I:$I,喷水汇总表!$X$4&amp;"/"&amp;喷水汇总表!$Y$4&amp;"/"&amp;喷水汇总表!AL$5)</f>
        <v>0</v>
      </c>
      <c r="AP41" s="18">
        <f>SUMIFS(ps!$N:$N,ps!$B:$B,喷水汇总表!$A41,ps!$I:$I,喷水汇总表!$X$4&amp;"/"&amp;喷水汇总表!$Y$4&amp;"/"&amp;喷水汇总表!AM$5)</f>
        <v>0</v>
      </c>
      <c r="AQ41" s="18">
        <f>SUMIFS(ps!$N:$N,ps!$B:$B,喷水汇总表!$A41,ps!$I:$I,喷水汇总表!$X$4&amp;"/"&amp;喷水汇总表!$Y$4&amp;"/"&amp;喷水汇总表!AN$5)</f>
        <v>0</v>
      </c>
      <c r="AR41" s="18">
        <f>SUMIFS(ps!$N:$N,ps!$B:$B,喷水汇总表!$A41,ps!$I:$I,喷水汇总表!$X$4&amp;"/"&amp;喷水汇总表!$Y$4&amp;"/"&amp;喷水汇总表!AO$5)</f>
        <v>0</v>
      </c>
      <c r="AS41" s="18">
        <f>SUMIFS(ps!$N:$N,ps!$B:$B,喷水汇总表!$A41,ps!$I:$I,喷水汇总表!$X$4&amp;"/"&amp;喷水汇总表!$Y$4&amp;"/"&amp;喷水汇总表!AP$5)</f>
        <v>0</v>
      </c>
      <c r="AT41" s="18">
        <f>SUMIFS(ps!$N:$N,ps!$B:$B,喷水汇总表!$A41,ps!$I:$I,喷水汇总表!$X$4&amp;"/"&amp;喷水汇总表!$Y$4&amp;"/"&amp;喷水汇总表!AQ$5)</f>
        <v>0</v>
      </c>
      <c r="AU41" s="18">
        <f>SUMIFS(ps!$N:$N,ps!$B:$B,喷水汇总表!$A41,ps!$I:$I,喷水汇总表!$X$4&amp;"/"&amp;喷水汇总表!$Y$4&amp;"/"&amp;喷水汇总表!AR$5)</f>
        <v>0</v>
      </c>
      <c r="AV41" s="18">
        <f>SUMIFS(ps!$N:$N,ps!$B:$B,喷水汇总表!$A41,ps!$I:$I,喷水汇总表!$X$4&amp;"/"&amp;喷水汇总表!$Y$4&amp;"/"&amp;喷水汇总表!AS$5)</f>
        <v>0</v>
      </c>
      <c r="AW41" s="18">
        <f>SUMIFS(ps!$N:$N,ps!$B:$B,喷水汇总表!$A41,ps!$I:$I,喷水汇总表!$X$4&amp;"/"&amp;喷水汇总表!$Y$4&amp;"/"&amp;喷水汇总表!AT$5)</f>
        <v>0</v>
      </c>
      <c r="AX41" s="18">
        <f>SUMIFS(ps!$N:$N,ps!$B:$B,喷水汇总表!$A41,ps!$I:$I,喷水汇总表!$X$4&amp;"/"&amp;喷水汇总表!$Y$4&amp;"/"&amp;喷水汇总表!AU$5)</f>
        <v>0</v>
      </c>
      <c r="AY41" s="18">
        <f>SUMIFS(ps!$N:$N,ps!$B:$B,喷水汇总表!$A41,ps!$I:$I,喷水汇总表!$X$4&amp;"/"&amp;喷水汇总表!$Y$4&amp;"/"&amp;喷水汇总表!AV$5)</f>
        <v>0</v>
      </c>
      <c r="AZ41" s="18">
        <f>SUMIFS(ps!$N:$N,ps!$B:$B,喷水汇总表!$A41,ps!$I:$I,喷水汇总表!$X$4&amp;"/"&amp;喷水汇总表!$Y$4&amp;"/"&amp;喷水汇总表!AW$5)</f>
        <v>0</v>
      </c>
      <c r="BA41" s="18">
        <f>SUMIFS(ps!$N:$N,ps!$B:$B,喷水汇总表!$A41,ps!$I:$I,喷水汇总表!$X$4&amp;"/"&amp;喷水汇总表!$Y$4&amp;"/"&amp;喷水汇总表!AX$5)</f>
        <v>0</v>
      </c>
      <c r="BB41" s="18">
        <f>SUMIFS(ps!$N:$N,ps!$B:$B,喷水汇总表!$A41,ps!$I:$I,喷水汇总表!$X$4&amp;"/"&amp;喷水汇总表!$Y$4&amp;"/"&amp;喷水汇总表!AY$5)</f>
        <v>0</v>
      </c>
      <c r="BC41" s="18">
        <f>SUMIFS(ps!$N:$N,ps!$B:$B,喷水汇总表!$A41,ps!$I:$I,喷水汇总表!$X$4&amp;"/"&amp;喷水汇总表!$Y$4&amp;"/"&amp;喷水汇总表!AZ$5)</f>
        <v>0</v>
      </c>
      <c r="BD41" s="18">
        <f>SUMIFS(ps!$N:$N,ps!$B:$B,喷水汇总表!$A41,ps!$I:$I,喷水汇总表!$X$4&amp;"/"&amp;喷水汇总表!$Y$4&amp;"/"&amp;喷水汇总表!BA$5)</f>
        <v>0</v>
      </c>
      <c r="BE41" s="18">
        <f>SUMIFS(ps!$N:$N,ps!$B:$B,喷水汇总表!$A41,ps!$I:$I,喷水汇总表!$X$4&amp;"/"&amp;喷水汇总表!$Y$4&amp;"/"&amp;喷水汇总表!BB$5)</f>
        <v>0</v>
      </c>
      <c r="BF41" s="18">
        <f>SUMIFS(ps!$N:$N,ps!$B:$B,喷水汇总表!$A41,ps!$I:$I,喷水汇总表!$X$4&amp;"/"&amp;喷水汇总表!$Y$4&amp;"/"&amp;喷水汇总表!BC$5)</f>
        <v>0</v>
      </c>
    </row>
    <row r="42" spans="1:58" hidden="1">
      <c r="A42" s="231"/>
      <c r="B42" s="176" t="str">
        <f>IF(A42="","",VLOOKUP(A42,经纬!B:C,2,FALSE))</f>
        <v/>
      </c>
      <c r="C42" s="97"/>
      <c r="D42" s="176" t="str">
        <f>IF(A42="","",VLOOKUP(A42,经纬!B:G,6,FALSE))</f>
        <v/>
      </c>
      <c r="E42" s="44">
        <f>SUMIFS(ps!$N:$N,ps!$B:$B,喷水汇总表!$A42,ps!$H:$H,喷水汇总表!E$5)</f>
        <v>0</v>
      </c>
      <c r="F42" s="44">
        <f>SUMIFS(ps!$N:$N,ps!$B:$B,喷水汇总表!$A42,ps!$H:$H,喷水汇总表!F$5)</f>
        <v>0</v>
      </c>
      <c r="G42" s="44">
        <f>SUMIFS(ps!$N:$N,ps!$B:$B,喷水汇总表!$A42,ps!$H:$H,喷水汇总表!G$5)</f>
        <v>0</v>
      </c>
      <c r="H42" s="84">
        <f>SUMIFS(ps!$N:$N,ps!$B:$B,喷水汇总表!A42,ps!$F:$F,喷水汇总表!#REF!)</f>
        <v>0</v>
      </c>
      <c r="I42" s="84">
        <f>SUMIFS(ps!$N:$N,ps!$B:$B,喷水汇总表!A42,ps!$F:$F,喷水汇总表!#REF!)</f>
        <v>0</v>
      </c>
      <c r="J42" s="14">
        <f>SUMIFS(ps!$N:$N,ps!$B:$B,喷水汇总表!$A42,ps!$G:$G,喷水汇总表!H$5)</f>
        <v>0</v>
      </c>
      <c r="K42" s="14">
        <f>SUMIFS(ps!$N:$N,ps!$B:$B,喷水汇总表!$A42,ps!$G:$G,喷水汇总表!I$5)</f>
        <v>0</v>
      </c>
      <c r="L42" s="14">
        <f>SUMIFS(ps!$N:$N,ps!$B:$B,喷水汇总表!$A42,ps!$G:$G,喷水汇总表!J$5)</f>
        <v>0</v>
      </c>
      <c r="M42" s="14">
        <f>SUMIFS(ps!$N:$N,ps!$B:$B,喷水汇总表!$A42,ps!$G:$G,喷水汇总表!K$5)</f>
        <v>0</v>
      </c>
      <c r="N42" s="14">
        <f>SUMIFS(ps!$N:$N,ps!$B:$B,喷水汇总表!$A42,ps!$G:$G,喷水汇总表!M$5)</f>
        <v>0</v>
      </c>
      <c r="O42" s="108">
        <f>SUMIFS(ps!$N:$N,ps!$B:$B,喷水汇总表!$A42,ps!$G:$G,喷水汇总表!#REF!)</f>
        <v>0</v>
      </c>
      <c r="P42" s="108">
        <f>SUMIFS(ps!$N:$N,ps!$B:$B,喷水汇总表!$A42,ps!$G:$G,喷水汇总表!N$5)</f>
        <v>0</v>
      </c>
      <c r="Q42" s="108"/>
      <c r="R42" s="108"/>
      <c r="S42" s="108"/>
      <c r="T42" s="108"/>
      <c r="U42" s="108"/>
      <c r="V42" s="108"/>
      <c r="W42" s="108"/>
      <c r="X42" s="97"/>
      <c r="Y42" s="97"/>
      <c r="Z42" s="84"/>
      <c r="AA42" s="15"/>
      <c r="AB42" s="18">
        <f>SUMIFS(ps!$N:$N,ps!$B:$B,喷水汇总表!$A42,ps!$I:$I,喷水汇总表!$X$4&amp;"/"&amp;喷水汇总表!$Y$4&amp;"/"&amp;喷水汇总表!Y$5)</f>
        <v>0</v>
      </c>
      <c r="AC42" s="18">
        <f>SUMIFS(ps!$N:$N,ps!$B:$B,喷水汇总表!$A42,ps!$I:$I,喷水汇总表!$X$4&amp;"/"&amp;喷水汇总表!$Y$4&amp;"/"&amp;喷水汇总表!Z$5)</f>
        <v>0</v>
      </c>
      <c r="AD42" s="18">
        <f>SUMIFS(ps!$N:$N,ps!$B:$B,喷水汇总表!$A42,ps!$I:$I,喷水汇总表!$X$4&amp;"/"&amp;喷水汇总表!$Y$4&amp;"/"&amp;喷水汇总表!AA$5)</f>
        <v>0</v>
      </c>
      <c r="AE42" s="18">
        <f>SUMIFS(ps!$N:$N,ps!$B:$B,喷水汇总表!$A42,ps!$I:$I,喷水汇总表!$X$4&amp;"/"&amp;喷水汇总表!$Y$4&amp;"/"&amp;喷水汇总表!AB$5)</f>
        <v>0</v>
      </c>
      <c r="AF42" s="18">
        <f>SUMIFS(ps!$N:$N,ps!$B:$B,喷水汇总表!$A42,ps!$I:$I,喷水汇总表!$X$4&amp;"/"&amp;喷水汇总表!$Y$4&amp;"/"&amp;喷水汇总表!AC$5)</f>
        <v>0</v>
      </c>
      <c r="AG42" s="18">
        <f>SUMIFS(ps!$N:$N,ps!$B:$B,喷水汇总表!$A42,ps!$I:$I,喷水汇总表!$X$4&amp;"/"&amp;喷水汇总表!$Y$4&amp;"/"&amp;喷水汇总表!AD$5)</f>
        <v>0</v>
      </c>
      <c r="AH42" s="18">
        <f>SUMIFS(ps!$N:$N,ps!$B:$B,喷水汇总表!$A42,ps!$I:$I,喷水汇总表!$X$4&amp;"/"&amp;喷水汇总表!$Y$4&amp;"/"&amp;喷水汇总表!AE$5)</f>
        <v>0</v>
      </c>
      <c r="AI42" s="18">
        <f>SUMIFS(ps!$N:$N,ps!$B:$B,喷水汇总表!$A42,ps!$I:$I,喷水汇总表!$X$4&amp;"/"&amp;喷水汇总表!$Y$4&amp;"/"&amp;喷水汇总表!AF$5)</f>
        <v>0</v>
      </c>
      <c r="AJ42" s="18">
        <f>SUMIFS(ps!$N:$N,ps!$B:$B,喷水汇总表!$A42,ps!$I:$I,喷水汇总表!$X$4&amp;"/"&amp;喷水汇总表!$Y$4&amp;"/"&amp;喷水汇总表!AG$5)</f>
        <v>0</v>
      </c>
      <c r="AK42" s="18">
        <f>SUMIFS(ps!$N:$N,ps!$B:$B,喷水汇总表!$A42,ps!$I:$I,喷水汇总表!$X$4&amp;"/"&amp;喷水汇总表!$Y$4&amp;"/"&amp;喷水汇总表!AH$5)</f>
        <v>0</v>
      </c>
      <c r="AL42" s="18">
        <f>SUMIFS(ps!$N:$N,ps!$B:$B,喷水汇总表!$A42,ps!$I:$I,喷水汇总表!$X$4&amp;"/"&amp;喷水汇总表!$Y$4&amp;"/"&amp;喷水汇总表!AI$5)</f>
        <v>0</v>
      </c>
      <c r="AM42" s="18">
        <f>SUMIFS(ps!$N:$N,ps!$B:$B,喷水汇总表!$A42,ps!$I:$I,喷水汇总表!$X$4&amp;"/"&amp;喷水汇总表!$Y$4&amp;"/"&amp;喷水汇总表!AJ$5)</f>
        <v>0</v>
      </c>
      <c r="AN42" s="18">
        <f>SUMIFS(ps!$N:$N,ps!$B:$B,喷水汇总表!$A42,ps!$I:$I,喷水汇总表!$X$4&amp;"/"&amp;喷水汇总表!$Y$4&amp;"/"&amp;喷水汇总表!AK$5)</f>
        <v>0</v>
      </c>
      <c r="AO42" s="18">
        <f>SUMIFS(ps!$N:$N,ps!$B:$B,喷水汇总表!$A42,ps!$I:$I,喷水汇总表!$X$4&amp;"/"&amp;喷水汇总表!$Y$4&amp;"/"&amp;喷水汇总表!AL$5)</f>
        <v>0</v>
      </c>
      <c r="AP42" s="18">
        <f>SUMIFS(ps!$N:$N,ps!$B:$B,喷水汇总表!$A42,ps!$I:$I,喷水汇总表!$X$4&amp;"/"&amp;喷水汇总表!$Y$4&amp;"/"&amp;喷水汇总表!AM$5)</f>
        <v>0</v>
      </c>
      <c r="AQ42" s="18">
        <f>SUMIFS(ps!$N:$N,ps!$B:$B,喷水汇总表!$A42,ps!$I:$I,喷水汇总表!$X$4&amp;"/"&amp;喷水汇总表!$Y$4&amp;"/"&amp;喷水汇总表!AN$5)</f>
        <v>0</v>
      </c>
      <c r="AR42" s="18">
        <f>SUMIFS(ps!$N:$N,ps!$B:$B,喷水汇总表!$A42,ps!$I:$I,喷水汇总表!$X$4&amp;"/"&amp;喷水汇总表!$Y$4&amp;"/"&amp;喷水汇总表!AO$5)</f>
        <v>0</v>
      </c>
      <c r="AS42" s="18">
        <f>SUMIFS(ps!$N:$N,ps!$B:$B,喷水汇总表!$A42,ps!$I:$I,喷水汇总表!$X$4&amp;"/"&amp;喷水汇总表!$Y$4&amp;"/"&amp;喷水汇总表!AP$5)</f>
        <v>0</v>
      </c>
      <c r="AT42" s="18">
        <f>SUMIFS(ps!$N:$N,ps!$B:$B,喷水汇总表!$A42,ps!$I:$I,喷水汇总表!$X$4&amp;"/"&amp;喷水汇总表!$Y$4&amp;"/"&amp;喷水汇总表!AQ$5)</f>
        <v>0</v>
      </c>
      <c r="AU42" s="18">
        <f>SUMIFS(ps!$N:$N,ps!$B:$B,喷水汇总表!$A42,ps!$I:$I,喷水汇总表!$X$4&amp;"/"&amp;喷水汇总表!$Y$4&amp;"/"&amp;喷水汇总表!AR$5)</f>
        <v>0</v>
      </c>
      <c r="AV42" s="18">
        <f>SUMIFS(ps!$N:$N,ps!$B:$B,喷水汇总表!$A42,ps!$I:$I,喷水汇总表!$X$4&amp;"/"&amp;喷水汇总表!$Y$4&amp;"/"&amp;喷水汇总表!AS$5)</f>
        <v>0</v>
      </c>
      <c r="AW42" s="18">
        <f>SUMIFS(ps!$N:$N,ps!$B:$B,喷水汇总表!$A42,ps!$I:$I,喷水汇总表!$X$4&amp;"/"&amp;喷水汇总表!$Y$4&amp;"/"&amp;喷水汇总表!AT$5)</f>
        <v>0</v>
      </c>
      <c r="AX42" s="18">
        <f>SUMIFS(ps!$N:$N,ps!$B:$B,喷水汇总表!$A42,ps!$I:$I,喷水汇总表!$X$4&amp;"/"&amp;喷水汇总表!$Y$4&amp;"/"&amp;喷水汇总表!AU$5)</f>
        <v>0</v>
      </c>
      <c r="AY42" s="18">
        <f>SUMIFS(ps!$N:$N,ps!$B:$B,喷水汇总表!$A42,ps!$I:$I,喷水汇总表!$X$4&amp;"/"&amp;喷水汇总表!$Y$4&amp;"/"&amp;喷水汇总表!AV$5)</f>
        <v>0</v>
      </c>
      <c r="AZ42" s="18">
        <f>SUMIFS(ps!$N:$N,ps!$B:$B,喷水汇总表!$A42,ps!$I:$I,喷水汇总表!$X$4&amp;"/"&amp;喷水汇总表!$Y$4&amp;"/"&amp;喷水汇总表!AW$5)</f>
        <v>0</v>
      </c>
      <c r="BA42" s="18">
        <f>SUMIFS(ps!$N:$N,ps!$B:$B,喷水汇总表!$A42,ps!$I:$I,喷水汇总表!$X$4&amp;"/"&amp;喷水汇总表!$Y$4&amp;"/"&amp;喷水汇总表!AX$5)</f>
        <v>0</v>
      </c>
      <c r="BB42" s="18">
        <f>SUMIFS(ps!$N:$N,ps!$B:$B,喷水汇总表!$A42,ps!$I:$I,喷水汇总表!$X$4&amp;"/"&amp;喷水汇总表!$Y$4&amp;"/"&amp;喷水汇总表!AY$5)</f>
        <v>0</v>
      </c>
      <c r="BC42" s="18">
        <f>SUMIFS(ps!$N:$N,ps!$B:$B,喷水汇总表!$A42,ps!$I:$I,喷水汇总表!$X$4&amp;"/"&amp;喷水汇总表!$Y$4&amp;"/"&amp;喷水汇总表!AZ$5)</f>
        <v>0</v>
      </c>
      <c r="BD42" s="18">
        <f>SUMIFS(ps!$N:$N,ps!$B:$B,喷水汇总表!$A42,ps!$I:$I,喷水汇总表!$X$4&amp;"/"&amp;喷水汇总表!$Y$4&amp;"/"&amp;喷水汇总表!BA$5)</f>
        <v>0</v>
      </c>
      <c r="BE42" s="18">
        <f>SUMIFS(ps!$N:$N,ps!$B:$B,喷水汇总表!$A42,ps!$I:$I,喷水汇总表!$X$4&amp;"/"&amp;喷水汇总表!$Y$4&amp;"/"&amp;喷水汇总表!BB$5)</f>
        <v>0</v>
      </c>
      <c r="BF42" s="18">
        <f>SUMIFS(ps!$N:$N,ps!$B:$B,喷水汇总表!$A42,ps!$I:$I,喷水汇总表!$X$4&amp;"/"&amp;喷水汇总表!$Y$4&amp;"/"&amp;喷水汇总表!BC$5)</f>
        <v>0</v>
      </c>
    </row>
    <row r="43" spans="1:58" hidden="1">
      <c r="A43" s="231"/>
      <c r="B43" s="176" t="str">
        <f>IF(A43="","",VLOOKUP(A43,经纬!B:C,2,FALSE))</f>
        <v/>
      </c>
      <c r="C43" s="97"/>
      <c r="D43" s="176" t="str">
        <f>IF(A43="","",VLOOKUP(A43,经纬!B:G,6,FALSE))</f>
        <v/>
      </c>
      <c r="E43" s="44">
        <f>SUMIFS(ps!$N:$N,ps!$B:$B,喷水汇总表!$A43,ps!$H:$H,喷水汇总表!E$5)</f>
        <v>0</v>
      </c>
      <c r="F43" s="44">
        <f>SUMIFS(ps!$N:$N,ps!$B:$B,喷水汇总表!$A43,ps!$H:$H,喷水汇总表!F$5)</f>
        <v>0</v>
      </c>
      <c r="G43" s="44">
        <f>SUMIFS(ps!$N:$N,ps!$B:$B,喷水汇总表!$A43,ps!$H:$H,喷水汇总表!G$5)</f>
        <v>0</v>
      </c>
      <c r="H43" s="84">
        <f>SUMIFS(ps!$N:$N,ps!$B:$B,喷水汇总表!A43,ps!$F:$F,喷水汇总表!#REF!)</f>
        <v>0</v>
      </c>
      <c r="I43" s="84">
        <f>SUMIFS(ps!$N:$N,ps!$B:$B,喷水汇总表!A43,ps!$F:$F,喷水汇总表!#REF!)</f>
        <v>0</v>
      </c>
      <c r="J43" s="14">
        <f>SUMIFS(ps!$N:$N,ps!$B:$B,喷水汇总表!$A43,ps!$G:$G,喷水汇总表!H$5)</f>
        <v>0</v>
      </c>
      <c r="K43" s="14">
        <f>SUMIFS(ps!$N:$N,ps!$B:$B,喷水汇总表!$A43,ps!$G:$G,喷水汇总表!I$5)</f>
        <v>0</v>
      </c>
      <c r="L43" s="14">
        <f>SUMIFS(ps!$N:$N,ps!$B:$B,喷水汇总表!$A43,ps!$G:$G,喷水汇总表!J$5)</f>
        <v>0</v>
      </c>
      <c r="M43" s="14">
        <f>SUMIFS(ps!$N:$N,ps!$B:$B,喷水汇总表!$A43,ps!$G:$G,喷水汇总表!K$5)</f>
        <v>0</v>
      </c>
      <c r="N43" s="14">
        <f>SUMIFS(ps!$N:$N,ps!$B:$B,喷水汇总表!$A43,ps!$G:$G,喷水汇总表!M$5)</f>
        <v>0</v>
      </c>
      <c r="O43" s="108">
        <f>SUMIFS(ps!$N:$N,ps!$B:$B,喷水汇总表!$A43,ps!$G:$G,喷水汇总表!#REF!)</f>
        <v>0</v>
      </c>
      <c r="P43" s="108">
        <f>SUMIFS(ps!$N:$N,ps!$B:$B,喷水汇总表!$A43,ps!$G:$G,喷水汇总表!N$5)</f>
        <v>0</v>
      </c>
      <c r="Q43" s="108"/>
      <c r="R43" s="108"/>
      <c r="S43" s="108"/>
      <c r="T43" s="108"/>
      <c r="U43" s="108"/>
      <c r="V43" s="108"/>
      <c r="W43" s="108"/>
      <c r="X43" s="97"/>
      <c r="Y43" s="97"/>
      <c r="Z43" s="84"/>
      <c r="AA43" s="15"/>
      <c r="AB43" s="18">
        <f>SUMIFS(ps!$N:$N,ps!$B:$B,喷水汇总表!$A43,ps!$I:$I,喷水汇总表!$X$4&amp;"/"&amp;喷水汇总表!$Y$4&amp;"/"&amp;喷水汇总表!Y$5)</f>
        <v>0</v>
      </c>
      <c r="AC43" s="18">
        <f>SUMIFS(ps!$N:$N,ps!$B:$B,喷水汇总表!$A43,ps!$I:$I,喷水汇总表!$X$4&amp;"/"&amp;喷水汇总表!$Y$4&amp;"/"&amp;喷水汇总表!Z$5)</f>
        <v>0</v>
      </c>
      <c r="AD43" s="18">
        <f>SUMIFS(ps!$N:$N,ps!$B:$B,喷水汇总表!$A43,ps!$I:$I,喷水汇总表!$X$4&amp;"/"&amp;喷水汇总表!$Y$4&amp;"/"&amp;喷水汇总表!AA$5)</f>
        <v>0</v>
      </c>
      <c r="AE43" s="18">
        <f>SUMIFS(ps!$N:$N,ps!$B:$B,喷水汇总表!$A43,ps!$I:$I,喷水汇总表!$X$4&amp;"/"&amp;喷水汇总表!$Y$4&amp;"/"&amp;喷水汇总表!AB$5)</f>
        <v>0</v>
      </c>
      <c r="AF43" s="18">
        <f>SUMIFS(ps!$N:$N,ps!$B:$B,喷水汇总表!$A43,ps!$I:$I,喷水汇总表!$X$4&amp;"/"&amp;喷水汇总表!$Y$4&amp;"/"&amp;喷水汇总表!AC$5)</f>
        <v>0</v>
      </c>
      <c r="AG43" s="18">
        <f>SUMIFS(ps!$N:$N,ps!$B:$B,喷水汇总表!$A43,ps!$I:$I,喷水汇总表!$X$4&amp;"/"&amp;喷水汇总表!$Y$4&amp;"/"&amp;喷水汇总表!AD$5)</f>
        <v>0</v>
      </c>
      <c r="AH43" s="18">
        <f>SUMIFS(ps!$N:$N,ps!$B:$B,喷水汇总表!$A43,ps!$I:$I,喷水汇总表!$X$4&amp;"/"&amp;喷水汇总表!$Y$4&amp;"/"&amp;喷水汇总表!AE$5)</f>
        <v>0</v>
      </c>
      <c r="AI43" s="18">
        <f>SUMIFS(ps!$N:$N,ps!$B:$B,喷水汇总表!$A43,ps!$I:$I,喷水汇总表!$X$4&amp;"/"&amp;喷水汇总表!$Y$4&amp;"/"&amp;喷水汇总表!AF$5)</f>
        <v>0</v>
      </c>
      <c r="AJ43" s="18">
        <f>SUMIFS(ps!$N:$N,ps!$B:$B,喷水汇总表!$A43,ps!$I:$I,喷水汇总表!$X$4&amp;"/"&amp;喷水汇总表!$Y$4&amp;"/"&amp;喷水汇总表!AG$5)</f>
        <v>0</v>
      </c>
      <c r="AK43" s="18">
        <f>SUMIFS(ps!$N:$N,ps!$B:$B,喷水汇总表!$A43,ps!$I:$I,喷水汇总表!$X$4&amp;"/"&amp;喷水汇总表!$Y$4&amp;"/"&amp;喷水汇总表!AH$5)</f>
        <v>0</v>
      </c>
      <c r="AL43" s="18">
        <f>SUMIFS(ps!$N:$N,ps!$B:$B,喷水汇总表!$A43,ps!$I:$I,喷水汇总表!$X$4&amp;"/"&amp;喷水汇总表!$Y$4&amp;"/"&amp;喷水汇总表!AI$5)</f>
        <v>0</v>
      </c>
      <c r="AM43" s="18">
        <f>SUMIFS(ps!$N:$N,ps!$B:$B,喷水汇总表!$A43,ps!$I:$I,喷水汇总表!$X$4&amp;"/"&amp;喷水汇总表!$Y$4&amp;"/"&amp;喷水汇总表!AJ$5)</f>
        <v>0</v>
      </c>
      <c r="AN43" s="18">
        <f>SUMIFS(ps!$N:$N,ps!$B:$B,喷水汇总表!$A43,ps!$I:$I,喷水汇总表!$X$4&amp;"/"&amp;喷水汇总表!$Y$4&amp;"/"&amp;喷水汇总表!AK$5)</f>
        <v>0</v>
      </c>
      <c r="AO43" s="18">
        <f>SUMIFS(ps!$N:$N,ps!$B:$B,喷水汇总表!$A43,ps!$I:$I,喷水汇总表!$X$4&amp;"/"&amp;喷水汇总表!$Y$4&amp;"/"&amp;喷水汇总表!AL$5)</f>
        <v>0</v>
      </c>
      <c r="AP43" s="18">
        <f>SUMIFS(ps!$N:$N,ps!$B:$B,喷水汇总表!$A43,ps!$I:$I,喷水汇总表!$X$4&amp;"/"&amp;喷水汇总表!$Y$4&amp;"/"&amp;喷水汇总表!AM$5)</f>
        <v>0</v>
      </c>
      <c r="AQ43" s="18">
        <f>SUMIFS(ps!$N:$N,ps!$B:$B,喷水汇总表!$A43,ps!$I:$I,喷水汇总表!$X$4&amp;"/"&amp;喷水汇总表!$Y$4&amp;"/"&amp;喷水汇总表!AN$5)</f>
        <v>0</v>
      </c>
      <c r="AR43" s="18">
        <f>SUMIFS(ps!$N:$N,ps!$B:$B,喷水汇总表!$A43,ps!$I:$I,喷水汇总表!$X$4&amp;"/"&amp;喷水汇总表!$Y$4&amp;"/"&amp;喷水汇总表!AO$5)</f>
        <v>0</v>
      </c>
      <c r="AS43" s="18">
        <f>SUMIFS(ps!$N:$N,ps!$B:$B,喷水汇总表!$A43,ps!$I:$I,喷水汇总表!$X$4&amp;"/"&amp;喷水汇总表!$Y$4&amp;"/"&amp;喷水汇总表!AP$5)</f>
        <v>0</v>
      </c>
      <c r="AT43" s="18">
        <f>SUMIFS(ps!$N:$N,ps!$B:$B,喷水汇总表!$A43,ps!$I:$I,喷水汇总表!$X$4&amp;"/"&amp;喷水汇总表!$Y$4&amp;"/"&amp;喷水汇总表!AQ$5)</f>
        <v>0</v>
      </c>
      <c r="AU43" s="18">
        <f>SUMIFS(ps!$N:$N,ps!$B:$B,喷水汇总表!$A43,ps!$I:$I,喷水汇总表!$X$4&amp;"/"&amp;喷水汇总表!$Y$4&amp;"/"&amp;喷水汇总表!AR$5)</f>
        <v>0</v>
      </c>
      <c r="AV43" s="18">
        <f>SUMIFS(ps!$N:$N,ps!$B:$B,喷水汇总表!$A43,ps!$I:$I,喷水汇总表!$X$4&amp;"/"&amp;喷水汇总表!$Y$4&amp;"/"&amp;喷水汇总表!AS$5)</f>
        <v>0</v>
      </c>
      <c r="AW43" s="18">
        <f>SUMIFS(ps!$N:$N,ps!$B:$B,喷水汇总表!$A43,ps!$I:$I,喷水汇总表!$X$4&amp;"/"&amp;喷水汇总表!$Y$4&amp;"/"&amp;喷水汇总表!AT$5)</f>
        <v>0</v>
      </c>
      <c r="AX43" s="18">
        <f>SUMIFS(ps!$N:$N,ps!$B:$B,喷水汇总表!$A43,ps!$I:$I,喷水汇总表!$X$4&amp;"/"&amp;喷水汇总表!$Y$4&amp;"/"&amp;喷水汇总表!AU$5)</f>
        <v>0</v>
      </c>
      <c r="AY43" s="18">
        <f>SUMIFS(ps!$N:$N,ps!$B:$B,喷水汇总表!$A43,ps!$I:$I,喷水汇总表!$X$4&amp;"/"&amp;喷水汇总表!$Y$4&amp;"/"&amp;喷水汇总表!AV$5)</f>
        <v>0</v>
      </c>
      <c r="AZ43" s="18">
        <f>SUMIFS(ps!$N:$N,ps!$B:$B,喷水汇总表!$A43,ps!$I:$I,喷水汇总表!$X$4&amp;"/"&amp;喷水汇总表!$Y$4&amp;"/"&amp;喷水汇总表!AW$5)</f>
        <v>0</v>
      </c>
      <c r="BA43" s="18">
        <f>SUMIFS(ps!$N:$N,ps!$B:$B,喷水汇总表!$A43,ps!$I:$I,喷水汇总表!$X$4&amp;"/"&amp;喷水汇总表!$Y$4&amp;"/"&amp;喷水汇总表!AX$5)</f>
        <v>0</v>
      </c>
      <c r="BB43" s="18">
        <f>SUMIFS(ps!$N:$N,ps!$B:$B,喷水汇总表!$A43,ps!$I:$I,喷水汇总表!$X$4&amp;"/"&amp;喷水汇总表!$Y$4&amp;"/"&amp;喷水汇总表!AY$5)</f>
        <v>0</v>
      </c>
      <c r="BC43" s="18">
        <f>SUMIFS(ps!$N:$N,ps!$B:$B,喷水汇总表!$A43,ps!$I:$I,喷水汇总表!$X$4&amp;"/"&amp;喷水汇总表!$Y$4&amp;"/"&amp;喷水汇总表!AZ$5)</f>
        <v>0</v>
      </c>
      <c r="BD43" s="18">
        <f>SUMIFS(ps!$N:$N,ps!$B:$B,喷水汇总表!$A43,ps!$I:$I,喷水汇总表!$X$4&amp;"/"&amp;喷水汇总表!$Y$4&amp;"/"&amp;喷水汇总表!BA$5)</f>
        <v>0</v>
      </c>
      <c r="BE43" s="18">
        <f>SUMIFS(ps!$N:$N,ps!$B:$B,喷水汇总表!$A43,ps!$I:$I,喷水汇总表!$X$4&amp;"/"&amp;喷水汇总表!$Y$4&amp;"/"&amp;喷水汇总表!BB$5)</f>
        <v>0</v>
      </c>
      <c r="BF43" s="18">
        <f>SUMIFS(ps!$N:$N,ps!$B:$B,喷水汇总表!$A43,ps!$I:$I,喷水汇总表!$X$4&amp;"/"&amp;喷水汇总表!$Y$4&amp;"/"&amp;喷水汇总表!BC$5)</f>
        <v>0</v>
      </c>
    </row>
    <row r="44" spans="1:58" hidden="1">
      <c r="A44" s="231"/>
      <c r="B44" s="176" t="str">
        <f>IF(A44="","",VLOOKUP(A44,经纬!B:C,2,FALSE))</f>
        <v/>
      </c>
      <c r="C44" s="97"/>
      <c r="D44" s="176" t="str">
        <f>IF(A44="","",VLOOKUP(A44,经纬!B:G,6,FALSE))</f>
        <v/>
      </c>
      <c r="E44" s="44">
        <f>SUMIFS(ps!$N:$N,ps!$B:$B,喷水汇总表!$A44,ps!$H:$H,喷水汇总表!E$5)</f>
        <v>0</v>
      </c>
      <c r="F44" s="44">
        <f>SUMIFS(ps!$N:$N,ps!$B:$B,喷水汇总表!$A44,ps!$H:$H,喷水汇总表!F$5)</f>
        <v>0</v>
      </c>
      <c r="G44" s="44">
        <f>SUMIFS(ps!$N:$N,ps!$B:$B,喷水汇总表!$A44,ps!$H:$H,喷水汇总表!G$5)</f>
        <v>0</v>
      </c>
      <c r="H44" s="84">
        <f>SUMIFS(ps!$N:$N,ps!$B:$B,喷水汇总表!A44,ps!$F:$F,喷水汇总表!#REF!)</f>
        <v>0</v>
      </c>
      <c r="I44" s="84">
        <f>SUMIFS(ps!$N:$N,ps!$B:$B,喷水汇总表!A44,ps!$F:$F,喷水汇总表!#REF!)</f>
        <v>0</v>
      </c>
      <c r="J44" s="14">
        <f>SUMIFS(ps!$N:$N,ps!$B:$B,喷水汇总表!$A44,ps!$G:$G,喷水汇总表!H$5)</f>
        <v>0</v>
      </c>
      <c r="K44" s="14">
        <f>SUMIFS(ps!$N:$N,ps!$B:$B,喷水汇总表!$A44,ps!$G:$G,喷水汇总表!I$5)</f>
        <v>0</v>
      </c>
      <c r="L44" s="14">
        <f>SUMIFS(ps!$N:$N,ps!$B:$B,喷水汇总表!$A44,ps!$G:$G,喷水汇总表!J$5)</f>
        <v>0</v>
      </c>
      <c r="M44" s="14">
        <f>SUMIFS(ps!$N:$N,ps!$B:$B,喷水汇总表!$A44,ps!$G:$G,喷水汇总表!K$5)</f>
        <v>0</v>
      </c>
      <c r="N44" s="14">
        <f>SUMIFS(ps!$N:$N,ps!$B:$B,喷水汇总表!$A44,ps!$G:$G,喷水汇总表!M$5)</f>
        <v>0</v>
      </c>
      <c r="O44" s="108">
        <f>SUMIFS(ps!$N:$N,ps!$B:$B,喷水汇总表!$A44,ps!$G:$G,喷水汇总表!#REF!)</f>
        <v>0</v>
      </c>
      <c r="P44" s="108">
        <f>SUMIFS(ps!$N:$N,ps!$B:$B,喷水汇总表!$A44,ps!$G:$G,喷水汇总表!N$5)</f>
        <v>0</v>
      </c>
      <c r="Q44" s="108"/>
      <c r="R44" s="108"/>
      <c r="S44" s="108"/>
      <c r="T44" s="108"/>
      <c r="U44" s="108"/>
      <c r="V44" s="108"/>
      <c r="W44" s="108"/>
      <c r="X44" s="97"/>
      <c r="Y44" s="97"/>
      <c r="Z44" s="84"/>
      <c r="AA44" s="15"/>
      <c r="AB44" s="18">
        <f>SUMIFS(ps!$N:$N,ps!$B:$B,喷水汇总表!$A44,ps!$I:$I,喷水汇总表!$X$4&amp;"/"&amp;喷水汇总表!$Y$4&amp;"/"&amp;喷水汇总表!Y$5)</f>
        <v>0</v>
      </c>
      <c r="AC44" s="18">
        <f>SUMIFS(ps!$N:$N,ps!$B:$B,喷水汇总表!$A44,ps!$I:$I,喷水汇总表!$X$4&amp;"/"&amp;喷水汇总表!$Y$4&amp;"/"&amp;喷水汇总表!Z$5)</f>
        <v>0</v>
      </c>
      <c r="AD44" s="18">
        <f>SUMIFS(ps!$N:$N,ps!$B:$B,喷水汇总表!$A44,ps!$I:$I,喷水汇总表!$X$4&amp;"/"&amp;喷水汇总表!$Y$4&amp;"/"&amp;喷水汇总表!AA$5)</f>
        <v>0</v>
      </c>
      <c r="AE44" s="18">
        <f>SUMIFS(ps!$N:$N,ps!$B:$B,喷水汇总表!$A44,ps!$I:$I,喷水汇总表!$X$4&amp;"/"&amp;喷水汇总表!$Y$4&amp;"/"&amp;喷水汇总表!AB$5)</f>
        <v>0</v>
      </c>
      <c r="AF44" s="18">
        <f>SUMIFS(ps!$N:$N,ps!$B:$B,喷水汇总表!$A44,ps!$I:$I,喷水汇总表!$X$4&amp;"/"&amp;喷水汇总表!$Y$4&amp;"/"&amp;喷水汇总表!AC$5)</f>
        <v>0</v>
      </c>
      <c r="AG44" s="18">
        <f>SUMIFS(ps!$N:$N,ps!$B:$B,喷水汇总表!$A44,ps!$I:$I,喷水汇总表!$X$4&amp;"/"&amp;喷水汇总表!$Y$4&amp;"/"&amp;喷水汇总表!AD$5)</f>
        <v>0</v>
      </c>
      <c r="AH44" s="18">
        <f>SUMIFS(ps!$N:$N,ps!$B:$B,喷水汇总表!$A44,ps!$I:$I,喷水汇总表!$X$4&amp;"/"&amp;喷水汇总表!$Y$4&amp;"/"&amp;喷水汇总表!AE$5)</f>
        <v>0</v>
      </c>
      <c r="AI44" s="18">
        <f>SUMIFS(ps!$N:$N,ps!$B:$B,喷水汇总表!$A44,ps!$I:$I,喷水汇总表!$X$4&amp;"/"&amp;喷水汇总表!$Y$4&amp;"/"&amp;喷水汇总表!AF$5)</f>
        <v>0</v>
      </c>
      <c r="AJ44" s="18">
        <f>SUMIFS(ps!$N:$N,ps!$B:$B,喷水汇总表!$A44,ps!$I:$I,喷水汇总表!$X$4&amp;"/"&amp;喷水汇总表!$Y$4&amp;"/"&amp;喷水汇总表!AG$5)</f>
        <v>0</v>
      </c>
      <c r="AK44" s="18">
        <f>SUMIFS(ps!$N:$N,ps!$B:$B,喷水汇总表!$A44,ps!$I:$I,喷水汇总表!$X$4&amp;"/"&amp;喷水汇总表!$Y$4&amp;"/"&amp;喷水汇总表!AH$5)</f>
        <v>0</v>
      </c>
      <c r="AL44" s="18">
        <f>SUMIFS(ps!$N:$N,ps!$B:$B,喷水汇总表!$A44,ps!$I:$I,喷水汇总表!$X$4&amp;"/"&amp;喷水汇总表!$Y$4&amp;"/"&amp;喷水汇总表!AI$5)</f>
        <v>0</v>
      </c>
      <c r="AM44" s="18">
        <f>SUMIFS(ps!$N:$N,ps!$B:$B,喷水汇总表!$A44,ps!$I:$I,喷水汇总表!$X$4&amp;"/"&amp;喷水汇总表!$Y$4&amp;"/"&amp;喷水汇总表!AJ$5)</f>
        <v>0</v>
      </c>
      <c r="AN44" s="18">
        <f>SUMIFS(ps!$N:$N,ps!$B:$B,喷水汇总表!$A44,ps!$I:$I,喷水汇总表!$X$4&amp;"/"&amp;喷水汇总表!$Y$4&amp;"/"&amp;喷水汇总表!AK$5)</f>
        <v>0</v>
      </c>
      <c r="AO44" s="18">
        <f>SUMIFS(ps!$N:$N,ps!$B:$B,喷水汇总表!$A44,ps!$I:$I,喷水汇总表!$X$4&amp;"/"&amp;喷水汇总表!$Y$4&amp;"/"&amp;喷水汇总表!AL$5)</f>
        <v>0</v>
      </c>
      <c r="AP44" s="18">
        <f>SUMIFS(ps!$N:$N,ps!$B:$B,喷水汇总表!$A44,ps!$I:$I,喷水汇总表!$X$4&amp;"/"&amp;喷水汇总表!$Y$4&amp;"/"&amp;喷水汇总表!AM$5)</f>
        <v>0</v>
      </c>
      <c r="AQ44" s="18">
        <f>SUMIFS(ps!$N:$N,ps!$B:$B,喷水汇总表!$A44,ps!$I:$I,喷水汇总表!$X$4&amp;"/"&amp;喷水汇总表!$Y$4&amp;"/"&amp;喷水汇总表!AN$5)</f>
        <v>0</v>
      </c>
      <c r="AR44" s="18">
        <f>SUMIFS(ps!$N:$N,ps!$B:$B,喷水汇总表!$A44,ps!$I:$I,喷水汇总表!$X$4&amp;"/"&amp;喷水汇总表!$Y$4&amp;"/"&amp;喷水汇总表!AO$5)</f>
        <v>0</v>
      </c>
      <c r="AS44" s="18">
        <f>SUMIFS(ps!$N:$N,ps!$B:$B,喷水汇总表!$A44,ps!$I:$I,喷水汇总表!$X$4&amp;"/"&amp;喷水汇总表!$Y$4&amp;"/"&amp;喷水汇总表!AP$5)</f>
        <v>0</v>
      </c>
      <c r="AT44" s="18">
        <f>SUMIFS(ps!$N:$N,ps!$B:$B,喷水汇总表!$A44,ps!$I:$I,喷水汇总表!$X$4&amp;"/"&amp;喷水汇总表!$Y$4&amp;"/"&amp;喷水汇总表!AQ$5)</f>
        <v>0</v>
      </c>
      <c r="AU44" s="18">
        <f>SUMIFS(ps!$N:$N,ps!$B:$B,喷水汇总表!$A44,ps!$I:$I,喷水汇总表!$X$4&amp;"/"&amp;喷水汇总表!$Y$4&amp;"/"&amp;喷水汇总表!AR$5)</f>
        <v>0</v>
      </c>
      <c r="AV44" s="18">
        <f>SUMIFS(ps!$N:$N,ps!$B:$B,喷水汇总表!$A44,ps!$I:$I,喷水汇总表!$X$4&amp;"/"&amp;喷水汇总表!$Y$4&amp;"/"&amp;喷水汇总表!AS$5)</f>
        <v>0</v>
      </c>
      <c r="AW44" s="18">
        <f>SUMIFS(ps!$N:$N,ps!$B:$B,喷水汇总表!$A44,ps!$I:$I,喷水汇总表!$X$4&amp;"/"&amp;喷水汇总表!$Y$4&amp;"/"&amp;喷水汇总表!AT$5)</f>
        <v>0</v>
      </c>
      <c r="AX44" s="18">
        <f>SUMIFS(ps!$N:$N,ps!$B:$B,喷水汇总表!$A44,ps!$I:$I,喷水汇总表!$X$4&amp;"/"&amp;喷水汇总表!$Y$4&amp;"/"&amp;喷水汇总表!AU$5)</f>
        <v>0</v>
      </c>
      <c r="AY44" s="18">
        <f>SUMIFS(ps!$N:$N,ps!$B:$B,喷水汇总表!$A44,ps!$I:$I,喷水汇总表!$X$4&amp;"/"&amp;喷水汇总表!$Y$4&amp;"/"&amp;喷水汇总表!AV$5)</f>
        <v>0</v>
      </c>
      <c r="AZ44" s="18">
        <f>SUMIFS(ps!$N:$N,ps!$B:$B,喷水汇总表!$A44,ps!$I:$I,喷水汇总表!$X$4&amp;"/"&amp;喷水汇总表!$Y$4&amp;"/"&amp;喷水汇总表!AW$5)</f>
        <v>0</v>
      </c>
      <c r="BA44" s="18">
        <f>SUMIFS(ps!$N:$N,ps!$B:$B,喷水汇总表!$A44,ps!$I:$I,喷水汇总表!$X$4&amp;"/"&amp;喷水汇总表!$Y$4&amp;"/"&amp;喷水汇总表!AX$5)</f>
        <v>0</v>
      </c>
      <c r="BB44" s="18">
        <f>SUMIFS(ps!$N:$N,ps!$B:$B,喷水汇总表!$A44,ps!$I:$I,喷水汇总表!$X$4&amp;"/"&amp;喷水汇总表!$Y$4&amp;"/"&amp;喷水汇总表!AY$5)</f>
        <v>0</v>
      </c>
      <c r="BC44" s="18">
        <f>SUMIFS(ps!$N:$N,ps!$B:$B,喷水汇总表!$A44,ps!$I:$I,喷水汇总表!$X$4&amp;"/"&amp;喷水汇总表!$Y$4&amp;"/"&amp;喷水汇总表!AZ$5)</f>
        <v>0</v>
      </c>
      <c r="BD44" s="18">
        <f>SUMIFS(ps!$N:$N,ps!$B:$B,喷水汇总表!$A44,ps!$I:$I,喷水汇总表!$X$4&amp;"/"&amp;喷水汇总表!$Y$4&amp;"/"&amp;喷水汇总表!BA$5)</f>
        <v>0</v>
      </c>
      <c r="BE44" s="18">
        <f>SUMIFS(ps!$N:$N,ps!$B:$B,喷水汇总表!$A44,ps!$I:$I,喷水汇总表!$X$4&amp;"/"&amp;喷水汇总表!$Y$4&amp;"/"&amp;喷水汇总表!BB$5)</f>
        <v>0</v>
      </c>
      <c r="BF44" s="18">
        <f>SUMIFS(ps!$N:$N,ps!$B:$B,喷水汇总表!$A44,ps!$I:$I,喷水汇总表!$X$4&amp;"/"&amp;喷水汇总表!$Y$4&amp;"/"&amp;喷水汇总表!BC$5)</f>
        <v>0</v>
      </c>
    </row>
    <row r="45" spans="1:58" hidden="1">
      <c r="A45" s="231"/>
      <c r="B45" s="176" t="str">
        <f>IF(A45="","",VLOOKUP(A45,经纬!B:C,2,FALSE))</f>
        <v/>
      </c>
      <c r="C45" s="97"/>
      <c r="D45" s="176" t="str">
        <f>IF(A45="","",VLOOKUP(A45,经纬!B:G,6,FALSE))</f>
        <v/>
      </c>
      <c r="E45" s="44">
        <f>SUMIFS(ps!$N:$N,ps!$B:$B,喷水汇总表!$A45,ps!$H:$H,喷水汇总表!E$5)</f>
        <v>0</v>
      </c>
      <c r="F45" s="44">
        <f>SUMIFS(ps!$N:$N,ps!$B:$B,喷水汇总表!$A45,ps!$H:$H,喷水汇总表!F$5)</f>
        <v>0</v>
      </c>
      <c r="G45" s="44">
        <f>SUMIFS(ps!$N:$N,ps!$B:$B,喷水汇总表!$A45,ps!$H:$H,喷水汇总表!G$5)</f>
        <v>0</v>
      </c>
      <c r="H45" s="84">
        <f>SUMIFS(ps!$N:$N,ps!$B:$B,喷水汇总表!A45,ps!$F:$F,喷水汇总表!#REF!)</f>
        <v>0</v>
      </c>
      <c r="I45" s="84">
        <f>SUMIFS(ps!$N:$N,ps!$B:$B,喷水汇总表!A45,ps!$F:$F,喷水汇总表!#REF!)</f>
        <v>0</v>
      </c>
      <c r="J45" s="14">
        <f>SUMIFS(ps!$N:$N,ps!$B:$B,喷水汇总表!$A45,ps!$G:$G,喷水汇总表!H$5)</f>
        <v>0</v>
      </c>
      <c r="K45" s="14">
        <f>SUMIFS(ps!$N:$N,ps!$B:$B,喷水汇总表!$A45,ps!$G:$G,喷水汇总表!I$5)</f>
        <v>0</v>
      </c>
      <c r="L45" s="14">
        <f>SUMIFS(ps!$N:$N,ps!$B:$B,喷水汇总表!$A45,ps!$G:$G,喷水汇总表!J$5)</f>
        <v>0</v>
      </c>
      <c r="M45" s="14">
        <f>SUMIFS(ps!$N:$N,ps!$B:$B,喷水汇总表!$A45,ps!$G:$G,喷水汇总表!K$5)</f>
        <v>0</v>
      </c>
      <c r="N45" s="14">
        <f>SUMIFS(ps!$N:$N,ps!$B:$B,喷水汇总表!$A45,ps!$G:$G,喷水汇总表!M$5)</f>
        <v>0</v>
      </c>
      <c r="O45" s="108">
        <f>SUMIFS(ps!$N:$N,ps!$B:$B,喷水汇总表!$A45,ps!$G:$G,喷水汇总表!#REF!)</f>
        <v>0</v>
      </c>
      <c r="P45" s="108">
        <f>SUMIFS(ps!$N:$N,ps!$B:$B,喷水汇总表!$A45,ps!$G:$G,喷水汇总表!N$5)</f>
        <v>0</v>
      </c>
      <c r="Q45" s="108"/>
      <c r="R45" s="108"/>
      <c r="S45" s="108"/>
      <c r="T45" s="108"/>
      <c r="U45" s="108"/>
      <c r="V45" s="108"/>
      <c r="W45" s="108"/>
      <c r="X45" s="97"/>
      <c r="Y45" s="97"/>
      <c r="Z45" s="84"/>
      <c r="AA45" s="15"/>
      <c r="AB45" s="18">
        <f>SUMIFS(ps!$N:$N,ps!$B:$B,喷水汇总表!$A45,ps!$I:$I,喷水汇总表!$X$4&amp;"/"&amp;喷水汇总表!$Y$4&amp;"/"&amp;喷水汇总表!Y$5)</f>
        <v>0</v>
      </c>
      <c r="AC45" s="18">
        <f>SUMIFS(ps!$N:$N,ps!$B:$B,喷水汇总表!$A45,ps!$I:$I,喷水汇总表!$X$4&amp;"/"&amp;喷水汇总表!$Y$4&amp;"/"&amp;喷水汇总表!Z$5)</f>
        <v>0</v>
      </c>
      <c r="AD45" s="18">
        <f>SUMIFS(ps!$N:$N,ps!$B:$B,喷水汇总表!$A45,ps!$I:$I,喷水汇总表!$X$4&amp;"/"&amp;喷水汇总表!$Y$4&amp;"/"&amp;喷水汇总表!AA$5)</f>
        <v>0</v>
      </c>
      <c r="AE45" s="18">
        <f>SUMIFS(ps!$N:$N,ps!$B:$B,喷水汇总表!$A45,ps!$I:$I,喷水汇总表!$X$4&amp;"/"&amp;喷水汇总表!$Y$4&amp;"/"&amp;喷水汇总表!AB$5)</f>
        <v>0</v>
      </c>
      <c r="AF45" s="18">
        <f>SUMIFS(ps!$N:$N,ps!$B:$B,喷水汇总表!$A45,ps!$I:$I,喷水汇总表!$X$4&amp;"/"&amp;喷水汇总表!$Y$4&amp;"/"&amp;喷水汇总表!AC$5)</f>
        <v>0</v>
      </c>
      <c r="AG45" s="18">
        <f>SUMIFS(ps!$N:$N,ps!$B:$B,喷水汇总表!$A45,ps!$I:$I,喷水汇总表!$X$4&amp;"/"&amp;喷水汇总表!$Y$4&amp;"/"&amp;喷水汇总表!AD$5)</f>
        <v>0</v>
      </c>
      <c r="AH45" s="18">
        <f>SUMIFS(ps!$N:$N,ps!$B:$B,喷水汇总表!$A45,ps!$I:$I,喷水汇总表!$X$4&amp;"/"&amp;喷水汇总表!$Y$4&amp;"/"&amp;喷水汇总表!AE$5)</f>
        <v>0</v>
      </c>
      <c r="AI45" s="18">
        <f>SUMIFS(ps!$N:$N,ps!$B:$B,喷水汇总表!$A45,ps!$I:$I,喷水汇总表!$X$4&amp;"/"&amp;喷水汇总表!$Y$4&amp;"/"&amp;喷水汇总表!AF$5)</f>
        <v>0</v>
      </c>
      <c r="AJ45" s="18">
        <f>SUMIFS(ps!$N:$N,ps!$B:$B,喷水汇总表!$A45,ps!$I:$I,喷水汇总表!$X$4&amp;"/"&amp;喷水汇总表!$Y$4&amp;"/"&amp;喷水汇总表!AG$5)</f>
        <v>0</v>
      </c>
      <c r="AK45" s="18">
        <f>SUMIFS(ps!$N:$N,ps!$B:$B,喷水汇总表!$A45,ps!$I:$I,喷水汇总表!$X$4&amp;"/"&amp;喷水汇总表!$Y$4&amp;"/"&amp;喷水汇总表!AH$5)</f>
        <v>0</v>
      </c>
      <c r="AL45" s="18">
        <f>SUMIFS(ps!$N:$N,ps!$B:$B,喷水汇总表!$A45,ps!$I:$I,喷水汇总表!$X$4&amp;"/"&amp;喷水汇总表!$Y$4&amp;"/"&amp;喷水汇总表!AI$5)</f>
        <v>0</v>
      </c>
      <c r="AM45" s="18">
        <f>SUMIFS(ps!$N:$N,ps!$B:$B,喷水汇总表!$A45,ps!$I:$I,喷水汇总表!$X$4&amp;"/"&amp;喷水汇总表!$Y$4&amp;"/"&amp;喷水汇总表!AJ$5)</f>
        <v>0</v>
      </c>
      <c r="AN45" s="18">
        <f>SUMIFS(ps!$N:$N,ps!$B:$B,喷水汇总表!$A45,ps!$I:$I,喷水汇总表!$X$4&amp;"/"&amp;喷水汇总表!$Y$4&amp;"/"&amp;喷水汇总表!AK$5)</f>
        <v>0</v>
      </c>
      <c r="AO45" s="18">
        <f>SUMIFS(ps!$N:$N,ps!$B:$B,喷水汇总表!$A45,ps!$I:$I,喷水汇总表!$X$4&amp;"/"&amp;喷水汇总表!$Y$4&amp;"/"&amp;喷水汇总表!AL$5)</f>
        <v>0</v>
      </c>
      <c r="AP45" s="18">
        <f>SUMIFS(ps!$N:$N,ps!$B:$B,喷水汇总表!$A45,ps!$I:$I,喷水汇总表!$X$4&amp;"/"&amp;喷水汇总表!$Y$4&amp;"/"&amp;喷水汇总表!AM$5)</f>
        <v>0</v>
      </c>
      <c r="AQ45" s="18">
        <f>SUMIFS(ps!$N:$N,ps!$B:$B,喷水汇总表!$A45,ps!$I:$I,喷水汇总表!$X$4&amp;"/"&amp;喷水汇总表!$Y$4&amp;"/"&amp;喷水汇总表!AN$5)</f>
        <v>0</v>
      </c>
      <c r="AR45" s="18">
        <f>SUMIFS(ps!$N:$N,ps!$B:$B,喷水汇总表!$A45,ps!$I:$I,喷水汇总表!$X$4&amp;"/"&amp;喷水汇总表!$Y$4&amp;"/"&amp;喷水汇总表!AO$5)</f>
        <v>0</v>
      </c>
      <c r="AS45" s="18">
        <f>SUMIFS(ps!$N:$N,ps!$B:$B,喷水汇总表!$A45,ps!$I:$I,喷水汇总表!$X$4&amp;"/"&amp;喷水汇总表!$Y$4&amp;"/"&amp;喷水汇总表!AP$5)</f>
        <v>0</v>
      </c>
      <c r="AT45" s="18">
        <f>SUMIFS(ps!$N:$N,ps!$B:$B,喷水汇总表!$A45,ps!$I:$I,喷水汇总表!$X$4&amp;"/"&amp;喷水汇总表!$Y$4&amp;"/"&amp;喷水汇总表!AQ$5)</f>
        <v>0</v>
      </c>
      <c r="AU45" s="18">
        <f>SUMIFS(ps!$N:$N,ps!$B:$B,喷水汇总表!$A45,ps!$I:$I,喷水汇总表!$X$4&amp;"/"&amp;喷水汇总表!$Y$4&amp;"/"&amp;喷水汇总表!AR$5)</f>
        <v>0</v>
      </c>
      <c r="AV45" s="18">
        <f>SUMIFS(ps!$N:$N,ps!$B:$B,喷水汇总表!$A45,ps!$I:$I,喷水汇总表!$X$4&amp;"/"&amp;喷水汇总表!$Y$4&amp;"/"&amp;喷水汇总表!AS$5)</f>
        <v>0</v>
      </c>
      <c r="AW45" s="18">
        <f>SUMIFS(ps!$N:$N,ps!$B:$B,喷水汇总表!$A45,ps!$I:$I,喷水汇总表!$X$4&amp;"/"&amp;喷水汇总表!$Y$4&amp;"/"&amp;喷水汇总表!AT$5)</f>
        <v>0</v>
      </c>
      <c r="AX45" s="18">
        <f>SUMIFS(ps!$N:$N,ps!$B:$B,喷水汇总表!$A45,ps!$I:$I,喷水汇总表!$X$4&amp;"/"&amp;喷水汇总表!$Y$4&amp;"/"&amp;喷水汇总表!AU$5)</f>
        <v>0</v>
      </c>
      <c r="AY45" s="18">
        <f>SUMIFS(ps!$N:$N,ps!$B:$B,喷水汇总表!$A45,ps!$I:$I,喷水汇总表!$X$4&amp;"/"&amp;喷水汇总表!$Y$4&amp;"/"&amp;喷水汇总表!AV$5)</f>
        <v>0</v>
      </c>
      <c r="AZ45" s="18">
        <f>SUMIFS(ps!$N:$N,ps!$B:$B,喷水汇总表!$A45,ps!$I:$I,喷水汇总表!$X$4&amp;"/"&amp;喷水汇总表!$Y$4&amp;"/"&amp;喷水汇总表!AW$5)</f>
        <v>0</v>
      </c>
      <c r="BA45" s="18">
        <f>SUMIFS(ps!$N:$N,ps!$B:$B,喷水汇总表!$A45,ps!$I:$I,喷水汇总表!$X$4&amp;"/"&amp;喷水汇总表!$Y$4&amp;"/"&amp;喷水汇总表!AX$5)</f>
        <v>0</v>
      </c>
      <c r="BB45" s="18">
        <f>SUMIFS(ps!$N:$N,ps!$B:$B,喷水汇总表!$A45,ps!$I:$I,喷水汇总表!$X$4&amp;"/"&amp;喷水汇总表!$Y$4&amp;"/"&amp;喷水汇总表!AY$5)</f>
        <v>0</v>
      </c>
      <c r="BC45" s="18">
        <f>SUMIFS(ps!$N:$N,ps!$B:$B,喷水汇总表!$A45,ps!$I:$I,喷水汇总表!$X$4&amp;"/"&amp;喷水汇总表!$Y$4&amp;"/"&amp;喷水汇总表!AZ$5)</f>
        <v>0</v>
      </c>
      <c r="BD45" s="18">
        <f>SUMIFS(ps!$N:$N,ps!$B:$B,喷水汇总表!$A45,ps!$I:$I,喷水汇总表!$X$4&amp;"/"&amp;喷水汇总表!$Y$4&amp;"/"&amp;喷水汇总表!BA$5)</f>
        <v>0</v>
      </c>
      <c r="BE45" s="18">
        <f>SUMIFS(ps!$N:$N,ps!$B:$B,喷水汇总表!$A45,ps!$I:$I,喷水汇总表!$X$4&amp;"/"&amp;喷水汇总表!$Y$4&amp;"/"&amp;喷水汇总表!BB$5)</f>
        <v>0</v>
      </c>
      <c r="BF45" s="18">
        <f>SUMIFS(ps!$N:$N,ps!$B:$B,喷水汇总表!$A45,ps!$I:$I,喷水汇总表!$X$4&amp;"/"&amp;喷水汇总表!$Y$4&amp;"/"&amp;喷水汇总表!BC$5)</f>
        <v>0</v>
      </c>
    </row>
    <row r="46" spans="1:58" hidden="1">
      <c r="A46" s="231"/>
      <c r="B46" s="176" t="str">
        <f>IF(A46="","",VLOOKUP(A46,经纬!B:C,2,FALSE))</f>
        <v/>
      </c>
      <c r="C46" s="97"/>
      <c r="D46" s="176" t="str">
        <f>IF(A46="","",VLOOKUP(A46,经纬!B:G,6,FALSE))</f>
        <v/>
      </c>
      <c r="E46" s="44">
        <f>SUMIFS(ps!$N:$N,ps!$B:$B,喷水汇总表!$A46,ps!$H:$H,喷水汇总表!E$5)</f>
        <v>0</v>
      </c>
      <c r="F46" s="44">
        <f>SUMIFS(ps!$N:$N,ps!$B:$B,喷水汇总表!$A46,ps!$H:$H,喷水汇总表!F$5)</f>
        <v>0</v>
      </c>
      <c r="G46" s="44">
        <f>SUMIFS(ps!$N:$N,ps!$B:$B,喷水汇总表!$A46,ps!$H:$H,喷水汇总表!G$5)</f>
        <v>0</v>
      </c>
      <c r="H46" s="84">
        <f>SUMIFS(ps!$N:$N,ps!$B:$B,喷水汇总表!A46,ps!$F:$F,喷水汇总表!#REF!)</f>
        <v>0</v>
      </c>
      <c r="I46" s="84">
        <f>SUMIFS(ps!$N:$N,ps!$B:$B,喷水汇总表!A46,ps!$F:$F,喷水汇总表!#REF!)</f>
        <v>0</v>
      </c>
      <c r="J46" s="14">
        <f>SUMIFS(ps!$N:$N,ps!$B:$B,喷水汇总表!$A46,ps!$G:$G,喷水汇总表!H$5)</f>
        <v>0</v>
      </c>
      <c r="K46" s="14">
        <f>SUMIFS(ps!$N:$N,ps!$B:$B,喷水汇总表!$A46,ps!$G:$G,喷水汇总表!I$5)</f>
        <v>0</v>
      </c>
      <c r="L46" s="14">
        <f>SUMIFS(ps!$N:$N,ps!$B:$B,喷水汇总表!$A46,ps!$G:$G,喷水汇总表!J$5)</f>
        <v>0</v>
      </c>
      <c r="M46" s="14">
        <f>SUMIFS(ps!$N:$N,ps!$B:$B,喷水汇总表!$A46,ps!$G:$G,喷水汇总表!K$5)</f>
        <v>0</v>
      </c>
      <c r="N46" s="14">
        <f>SUMIFS(ps!$N:$N,ps!$B:$B,喷水汇总表!$A46,ps!$G:$G,喷水汇总表!M$5)</f>
        <v>0</v>
      </c>
      <c r="O46" s="108">
        <f>SUMIFS(ps!$N:$N,ps!$B:$B,喷水汇总表!$A46,ps!$G:$G,喷水汇总表!#REF!)</f>
        <v>0</v>
      </c>
      <c r="P46" s="108">
        <f>SUMIFS(ps!$N:$N,ps!$B:$B,喷水汇总表!$A46,ps!$G:$G,喷水汇总表!N$5)</f>
        <v>0</v>
      </c>
      <c r="Q46" s="108"/>
      <c r="R46" s="108"/>
      <c r="S46" s="108"/>
      <c r="T46" s="108"/>
      <c r="U46" s="108"/>
      <c r="V46" s="108"/>
      <c r="W46" s="108"/>
      <c r="X46" s="97"/>
      <c r="Y46" s="97"/>
      <c r="Z46" s="84"/>
      <c r="AA46" s="15"/>
      <c r="AB46" s="18">
        <f>SUMIFS(ps!$N:$N,ps!$B:$B,喷水汇总表!$A46,ps!$I:$I,喷水汇总表!$X$4&amp;"/"&amp;喷水汇总表!$Y$4&amp;"/"&amp;喷水汇总表!Y$5)</f>
        <v>0</v>
      </c>
      <c r="AC46" s="18">
        <f>SUMIFS(ps!$N:$N,ps!$B:$B,喷水汇总表!$A46,ps!$I:$I,喷水汇总表!$X$4&amp;"/"&amp;喷水汇总表!$Y$4&amp;"/"&amp;喷水汇总表!Z$5)</f>
        <v>0</v>
      </c>
      <c r="AD46" s="18">
        <f>SUMIFS(ps!$N:$N,ps!$B:$B,喷水汇总表!$A46,ps!$I:$I,喷水汇总表!$X$4&amp;"/"&amp;喷水汇总表!$Y$4&amp;"/"&amp;喷水汇总表!AA$5)</f>
        <v>0</v>
      </c>
      <c r="AE46" s="18">
        <f>SUMIFS(ps!$N:$N,ps!$B:$B,喷水汇总表!$A46,ps!$I:$I,喷水汇总表!$X$4&amp;"/"&amp;喷水汇总表!$Y$4&amp;"/"&amp;喷水汇总表!AB$5)</f>
        <v>0</v>
      </c>
      <c r="AF46" s="18">
        <f>SUMIFS(ps!$N:$N,ps!$B:$B,喷水汇总表!$A46,ps!$I:$I,喷水汇总表!$X$4&amp;"/"&amp;喷水汇总表!$Y$4&amp;"/"&amp;喷水汇总表!AC$5)</f>
        <v>0</v>
      </c>
      <c r="AG46" s="18">
        <f>SUMIFS(ps!$N:$N,ps!$B:$B,喷水汇总表!$A46,ps!$I:$I,喷水汇总表!$X$4&amp;"/"&amp;喷水汇总表!$Y$4&amp;"/"&amp;喷水汇总表!AD$5)</f>
        <v>0</v>
      </c>
      <c r="AH46" s="18">
        <f>SUMIFS(ps!$N:$N,ps!$B:$B,喷水汇总表!$A46,ps!$I:$I,喷水汇总表!$X$4&amp;"/"&amp;喷水汇总表!$Y$4&amp;"/"&amp;喷水汇总表!AE$5)</f>
        <v>0</v>
      </c>
      <c r="AI46" s="18">
        <f>SUMIFS(ps!$N:$N,ps!$B:$B,喷水汇总表!$A46,ps!$I:$I,喷水汇总表!$X$4&amp;"/"&amp;喷水汇总表!$Y$4&amp;"/"&amp;喷水汇总表!AF$5)</f>
        <v>0</v>
      </c>
      <c r="AJ46" s="18">
        <f>SUMIFS(ps!$N:$N,ps!$B:$B,喷水汇总表!$A46,ps!$I:$I,喷水汇总表!$X$4&amp;"/"&amp;喷水汇总表!$Y$4&amp;"/"&amp;喷水汇总表!AG$5)</f>
        <v>0</v>
      </c>
      <c r="AK46" s="18">
        <f>SUMIFS(ps!$N:$N,ps!$B:$B,喷水汇总表!$A46,ps!$I:$I,喷水汇总表!$X$4&amp;"/"&amp;喷水汇总表!$Y$4&amp;"/"&amp;喷水汇总表!AH$5)</f>
        <v>0</v>
      </c>
      <c r="AL46" s="18">
        <f>SUMIFS(ps!$N:$N,ps!$B:$B,喷水汇总表!$A46,ps!$I:$I,喷水汇总表!$X$4&amp;"/"&amp;喷水汇总表!$Y$4&amp;"/"&amp;喷水汇总表!AI$5)</f>
        <v>0</v>
      </c>
      <c r="AM46" s="18">
        <f>SUMIFS(ps!$N:$N,ps!$B:$B,喷水汇总表!$A46,ps!$I:$I,喷水汇总表!$X$4&amp;"/"&amp;喷水汇总表!$Y$4&amp;"/"&amp;喷水汇总表!AJ$5)</f>
        <v>0</v>
      </c>
      <c r="AN46" s="18">
        <f>SUMIFS(ps!$N:$N,ps!$B:$B,喷水汇总表!$A46,ps!$I:$I,喷水汇总表!$X$4&amp;"/"&amp;喷水汇总表!$Y$4&amp;"/"&amp;喷水汇总表!AK$5)</f>
        <v>0</v>
      </c>
      <c r="AO46" s="18">
        <f>SUMIFS(ps!$N:$N,ps!$B:$B,喷水汇总表!$A46,ps!$I:$I,喷水汇总表!$X$4&amp;"/"&amp;喷水汇总表!$Y$4&amp;"/"&amp;喷水汇总表!AL$5)</f>
        <v>0</v>
      </c>
      <c r="AP46" s="18">
        <f>SUMIFS(ps!$N:$N,ps!$B:$B,喷水汇总表!$A46,ps!$I:$I,喷水汇总表!$X$4&amp;"/"&amp;喷水汇总表!$Y$4&amp;"/"&amp;喷水汇总表!AM$5)</f>
        <v>0</v>
      </c>
      <c r="AQ46" s="18">
        <f>SUMIFS(ps!$N:$N,ps!$B:$B,喷水汇总表!$A46,ps!$I:$I,喷水汇总表!$X$4&amp;"/"&amp;喷水汇总表!$Y$4&amp;"/"&amp;喷水汇总表!AN$5)</f>
        <v>0</v>
      </c>
      <c r="AR46" s="18">
        <f>SUMIFS(ps!$N:$N,ps!$B:$B,喷水汇总表!$A46,ps!$I:$I,喷水汇总表!$X$4&amp;"/"&amp;喷水汇总表!$Y$4&amp;"/"&amp;喷水汇总表!AO$5)</f>
        <v>0</v>
      </c>
      <c r="AS46" s="18">
        <f>SUMIFS(ps!$N:$N,ps!$B:$B,喷水汇总表!$A46,ps!$I:$I,喷水汇总表!$X$4&amp;"/"&amp;喷水汇总表!$Y$4&amp;"/"&amp;喷水汇总表!AP$5)</f>
        <v>0</v>
      </c>
      <c r="AT46" s="18">
        <f>SUMIFS(ps!$N:$N,ps!$B:$B,喷水汇总表!$A46,ps!$I:$I,喷水汇总表!$X$4&amp;"/"&amp;喷水汇总表!$Y$4&amp;"/"&amp;喷水汇总表!AQ$5)</f>
        <v>0</v>
      </c>
      <c r="AU46" s="18">
        <f>SUMIFS(ps!$N:$N,ps!$B:$B,喷水汇总表!$A46,ps!$I:$I,喷水汇总表!$X$4&amp;"/"&amp;喷水汇总表!$Y$4&amp;"/"&amp;喷水汇总表!AR$5)</f>
        <v>0</v>
      </c>
      <c r="AV46" s="18">
        <f>SUMIFS(ps!$N:$N,ps!$B:$B,喷水汇总表!$A46,ps!$I:$I,喷水汇总表!$X$4&amp;"/"&amp;喷水汇总表!$Y$4&amp;"/"&amp;喷水汇总表!AS$5)</f>
        <v>0</v>
      </c>
      <c r="AW46" s="18">
        <f>SUMIFS(ps!$N:$N,ps!$B:$B,喷水汇总表!$A46,ps!$I:$I,喷水汇总表!$X$4&amp;"/"&amp;喷水汇总表!$Y$4&amp;"/"&amp;喷水汇总表!AT$5)</f>
        <v>0</v>
      </c>
      <c r="AX46" s="18">
        <f>SUMIFS(ps!$N:$N,ps!$B:$B,喷水汇总表!$A46,ps!$I:$I,喷水汇总表!$X$4&amp;"/"&amp;喷水汇总表!$Y$4&amp;"/"&amp;喷水汇总表!AU$5)</f>
        <v>0</v>
      </c>
      <c r="AY46" s="18">
        <f>SUMIFS(ps!$N:$N,ps!$B:$B,喷水汇总表!$A46,ps!$I:$I,喷水汇总表!$X$4&amp;"/"&amp;喷水汇总表!$Y$4&amp;"/"&amp;喷水汇总表!AV$5)</f>
        <v>0</v>
      </c>
      <c r="AZ46" s="18">
        <f>SUMIFS(ps!$N:$N,ps!$B:$B,喷水汇总表!$A46,ps!$I:$I,喷水汇总表!$X$4&amp;"/"&amp;喷水汇总表!$Y$4&amp;"/"&amp;喷水汇总表!AW$5)</f>
        <v>0</v>
      </c>
      <c r="BA46" s="18">
        <f>SUMIFS(ps!$N:$N,ps!$B:$B,喷水汇总表!$A46,ps!$I:$I,喷水汇总表!$X$4&amp;"/"&amp;喷水汇总表!$Y$4&amp;"/"&amp;喷水汇总表!AX$5)</f>
        <v>0</v>
      </c>
      <c r="BB46" s="18">
        <f>SUMIFS(ps!$N:$N,ps!$B:$B,喷水汇总表!$A46,ps!$I:$I,喷水汇总表!$X$4&amp;"/"&amp;喷水汇总表!$Y$4&amp;"/"&amp;喷水汇总表!AY$5)</f>
        <v>0</v>
      </c>
      <c r="BC46" s="18">
        <f>SUMIFS(ps!$N:$N,ps!$B:$B,喷水汇总表!$A46,ps!$I:$I,喷水汇总表!$X$4&amp;"/"&amp;喷水汇总表!$Y$4&amp;"/"&amp;喷水汇总表!AZ$5)</f>
        <v>0</v>
      </c>
      <c r="BD46" s="18">
        <f>SUMIFS(ps!$N:$N,ps!$B:$B,喷水汇总表!$A46,ps!$I:$I,喷水汇总表!$X$4&amp;"/"&amp;喷水汇总表!$Y$4&amp;"/"&amp;喷水汇总表!BA$5)</f>
        <v>0</v>
      </c>
      <c r="BE46" s="18">
        <f>SUMIFS(ps!$N:$N,ps!$B:$B,喷水汇总表!$A46,ps!$I:$I,喷水汇总表!$X$4&amp;"/"&amp;喷水汇总表!$Y$4&amp;"/"&amp;喷水汇总表!BB$5)</f>
        <v>0</v>
      </c>
      <c r="BF46" s="18">
        <f>SUMIFS(ps!$N:$N,ps!$B:$B,喷水汇总表!$A46,ps!$I:$I,喷水汇总表!$X$4&amp;"/"&amp;喷水汇总表!$Y$4&amp;"/"&amp;喷水汇总表!BC$5)</f>
        <v>0</v>
      </c>
    </row>
    <row r="47" spans="1:58" hidden="1">
      <c r="A47" s="231"/>
      <c r="B47" s="176" t="str">
        <f>IF(A47="","",VLOOKUP(A47,经纬!B:C,2,FALSE))</f>
        <v/>
      </c>
      <c r="C47" s="97"/>
      <c r="D47" s="176" t="str">
        <f>IF(A47="","",VLOOKUP(A47,经纬!B:G,6,FALSE))</f>
        <v/>
      </c>
      <c r="E47" s="44">
        <f>SUMIFS(ps!$N:$N,ps!$B:$B,喷水汇总表!$A47,ps!$H:$H,喷水汇总表!E$5)</f>
        <v>0</v>
      </c>
      <c r="F47" s="44">
        <f>SUMIFS(ps!$N:$N,ps!$B:$B,喷水汇总表!$A47,ps!$H:$H,喷水汇总表!F$5)</f>
        <v>0</v>
      </c>
      <c r="G47" s="44">
        <f>SUMIFS(ps!$N:$N,ps!$B:$B,喷水汇总表!$A47,ps!$H:$H,喷水汇总表!G$5)</f>
        <v>0</v>
      </c>
      <c r="H47" s="84">
        <f>SUMIFS(ps!$N:$N,ps!$B:$B,喷水汇总表!A47,ps!$F:$F,喷水汇总表!#REF!)</f>
        <v>0</v>
      </c>
      <c r="I47" s="84">
        <f>SUMIFS(ps!$N:$N,ps!$B:$B,喷水汇总表!A47,ps!$F:$F,喷水汇总表!#REF!)</f>
        <v>0</v>
      </c>
      <c r="J47" s="14">
        <f>SUMIFS(ps!$N:$N,ps!$B:$B,喷水汇总表!$A47,ps!$G:$G,喷水汇总表!H$5)</f>
        <v>0</v>
      </c>
      <c r="K47" s="14">
        <f>SUMIFS(ps!$N:$N,ps!$B:$B,喷水汇总表!$A47,ps!$G:$G,喷水汇总表!I$5)</f>
        <v>0</v>
      </c>
      <c r="L47" s="14">
        <f>SUMIFS(ps!$N:$N,ps!$B:$B,喷水汇总表!$A47,ps!$G:$G,喷水汇总表!J$5)</f>
        <v>0</v>
      </c>
      <c r="M47" s="14">
        <f>SUMIFS(ps!$N:$N,ps!$B:$B,喷水汇总表!$A47,ps!$G:$G,喷水汇总表!K$5)</f>
        <v>0</v>
      </c>
      <c r="N47" s="14">
        <f>SUMIFS(ps!$N:$N,ps!$B:$B,喷水汇总表!$A47,ps!$G:$G,喷水汇总表!M$5)</f>
        <v>0</v>
      </c>
      <c r="O47" s="108">
        <f>SUMIFS(ps!$N:$N,ps!$B:$B,喷水汇总表!$A47,ps!$G:$G,喷水汇总表!#REF!)</f>
        <v>0</v>
      </c>
      <c r="P47" s="108">
        <f>SUMIFS(ps!$N:$N,ps!$B:$B,喷水汇总表!$A47,ps!$G:$G,喷水汇总表!N$5)</f>
        <v>0</v>
      </c>
      <c r="Q47" s="108"/>
      <c r="R47" s="108"/>
      <c r="S47" s="108"/>
      <c r="T47" s="108"/>
      <c r="U47" s="108"/>
      <c r="V47" s="108"/>
      <c r="W47" s="108"/>
      <c r="X47" s="97"/>
      <c r="Y47" s="97"/>
      <c r="Z47" s="84"/>
      <c r="AA47" s="15"/>
      <c r="AB47" s="18">
        <f>SUMIFS(ps!$N:$N,ps!$B:$B,喷水汇总表!$A47,ps!$I:$I,喷水汇总表!$X$4&amp;"/"&amp;喷水汇总表!$Y$4&amp;"/"&amp;喷水汇总表!Y$5)</f>
        <v>0</v>
      </c>
      <c r="AC47" s="18">
        <f>SUMIFS(ps!$N:$N,ps!$B:$B,喷水汇总表!$A47,ps!$I:$I,喷水汇总表!$X$4&amp;"/"&amp;喷水汇总表!$Y$4&amp;"/"&amp;喷水汇总表!Z$5)</f>
        <v>0</v>
      </c>
      <c r="AD47" s="18">
        <f>SUMIFS(ps!$N:$N,ps!$B:$B,喷水汇总表!$A47,ps!$I:$I,喷水汇总表!$X$4&amp;"/"&amp;喷水汇总表!$Y$4&amp;"/"&amp;喷水汇总表!AA$5)</f>
        <v>0</v>
      </c>
      <c r="AE47" s="18">
        <f>SUMIFS(ps!$N:$N,ps!$B:$B,喷水汇总表!$A47,ps!$I:$I,喷水汇总表!$X$4&amp;"/"&amp;喷水汇总表!$Y$4&amp;"/"&amp;喷水汇总表!AB$5)</f>
        <v>0</v>
      </c>
      <c r="AF47" s="18">
        <f>SUMIFS(ps!$N:$N,ps!$B:$B,喷水汇总表!$A47,ps!$I:$I,喷水汇总表!$X$4&amp;"/"&amp;喷水汇总表!$Y$4&amp;"/"&amp;喷水汇总表!AC$5)</f>
        <v>0</v>
      </c>
      <c r="AG47" s="18">
        <f>SUMIFS(ps!$N:$N,ps!$B:$B,喷水汇总表!$A47,ps!$I:$I,喷水汇总表!$X$4&amp;"/"&amp;喷水汇总表!$Y$4&amp;"/"&amp;喷水汇总表!AD$5)</f>
        <v>0</v>
      </c>
      <c r="AH47" s="18">
        <f>SUMIFS(ps!$N:$N,ps!$B:$B,喷水汇总表!$A47,ps!$I:$I,喷水汇总表!$X$4&amp;"/"&amp;喷水汇总表!$Y$4&amp;"/"&amp;喷水汇总表!AE$5)</f>
        <v>0</v>
      </c>
      <c r="AI47" s="18">
        <f>SUMIFS(ps!$N:$N,ps!$B:$B,喷水汇总表!$A47,ps!$I:$I,喷水汇总表!$X$4&amp;"/"&amp;喷水汇总表!$Y$4&amp;"/"&amp;喷水汇总表!AF$5)</f>
        <v>0</v>
      </c>
      <c r="AJ47" s="18">
        <f>SUMIFS(ps!$N:$N,ps!$B:$B,喷水汇总表!$A47,ps!$I:$I,喷水汇总表!$X$4&amp;"/"&amp;喷水汇总表!$Y$4&amp;"/"&amp;喷水汇总表!AG$5)</f>
        <v>0</v>
      </c>
      <c r="AK47" s="18">
        <f>SUMIFS(ps!$N:$N,ps!$B:$B,喷水汇总表!$A47,ps!$I:$I,喷水汇总表!$X$4&amp;"/"&amp;喷水汇总表!$Y$4&amp;"/"&amp;喷水汇总表!AH$5)</f>
        <v>0</v>
      </c>
      <c r="AL47" s="18">
        <f>SUMIFS(ps!$N:$N,ps!$B:$B,喷水汇总表!$A47,ps!$I:$I,喷水汇总表!$X$4&amp;"/"&amp;喷水汇总表!$Y$4&amp;"/"&amp;喷水汇总表!AI$5)</f>
        <v>0</v>
      </c>
      <c r="AM47" s="18">
        <f>SUMIFS(ps!$N:$N,ps!$B:$B,喷水汇总表!$A47,ps!$I:$I,喷水汇总表!$X$4&amp;"/"&amp;喷水汇总表!$Y$4&amp;"/"&amp;喷水汇总表!AJ$5)</f>
        <v>0</v>
      </c>
      <c r="AN47" s="18">
        <f>SUMIFS(ps!$N:$N,ps!$B:$B,喷水汇总表!$A47,ps!$I:$I,喷水汇总表!$X$4&amp;"/"&amp;喷水汇总表!$Y$4&amp;"/"&amp;喷水汇总表!AK$5)</f>
        <v>0</v>
      </c>
      <c r="AO47" s="18">
        <f>SUMIFS(ps!$N:$N,ps!$B:$B,喷水汇总表!$A47,ps!$I:$I,喷水汇总表!$X$4&amp;"/"&amp;喷水汇总表!$Y$4&amp;"/"&amp;喷水汇总表!AL$5)</f>
        <v>0</v>
      </c>
      <c r="AP47" s="18">
        <f>SUMIFS(ps!$N:$N,ps!$B:$B,喷水汇总表!$A47,ps!$I:$I,喷水汇总表!$X$4&amp;"/"&amp;喷水汇总表!$Y$4&amp;"/"&amp;喷水汇总表!AM$5)</f>
        <v>0</v>
      </c>
      <c r="AQ47" s="18">
        <f>SUMIFS(ps!$N:$N,ps!$B:$B,喷水汇总表!$A47,ps!$I:$I,喷水汇总表!$X$4&amp;"/"&amp;喷水汇总表!$Y$4&amp;"/"&amp;喷水汇总表!AN$5)</f>
        <v>0</v>
      </c>
      <c r="AR47" s="18">
        <f>SUMIFS(ps!$N:$N,ps!$B:$B,喷水汇总表!$A47,ps!$I:$I,喷水汇总表!$X$4&amp;"/"&amp;喷水汇总表!$Y$4&amp;"/"&amp;喷水汇总表!AO$5)</f>
        <v>0</v>
      </c>
      <c r="AS47" s="18">
        <f>SUMIFS(ps!$N:$N,ps!$B:$B,喷水汇总表!$A47,ps!$I:$I,喷水汇总表!$X$4&amp;"/"&amp;喷水汇总表!$Y$4&amp;"/"&amp;喷水汇总表!AP$5)</f>
        <v>0</v>
      </c>
      <c r="AT47" s="18">
        <f>SUMIFS(ps!$N:$N,ps!$B:$B,喷水汇总表!$A47,ps!$I:$I,喷水汇总表!$X$4&amp;"/"&amp;喷水汇总表!$Y$4&amp;"/"&amp;喷水汇总表!AQ$5)</f>
        <v>0</v>
      </c>
      <c r="AU47" s="18">
        <f>SUMIFS(ps!$N:$N,ps!$B:$B,喷水汇总表!$A47,ps!$I:$I,喷水汇总表!$X$4&amp;"/"&amp;喷水汇总表!$Y$4&amp;"/"&amp;喷水汇总表!AR$5)</f>
        <v>0</v>
      </c>
      <c r="AV47" s="18">
        <f>SUMIFS(ps!$N:$N,ps!$B:$B,喷水汇总表!$A47,ps!$I:$I,喷水汇总表!$X$4&amp;"/"&amp;喷水汇总表!$Y$4&amp;"/"&amp;喷水汇总表!AS$5)</f>
        <v>0</v>
      </c>
      <c r="AW47" s="18">
        <f>SUMIFS(ps!$N:$N,ps!$B:$B,喷水汇总表!$A47,ps!$I:$I,喷水汇总表!$X$4&amp;"/"&amp;喷水汇总表!$Y$4&amp;"/"&amp;喷水汇总表!AT$5)</f>
        <v>0</v>
      </c>
      <c r="AX47" s="18">
        <f>SUMIFS(ps!$N:$N,ps!$B:$B,喷水汇总表!$A47,ps!$I:$I,喷水汇总表!$X$4&amp;"/"&amp;喷水汇总表!$Y$4&amp;"/"&amp;喷水汇总表!AU$5)</f>
        <v>0</v>
      </c>
      <c r="AY47" s="18">
        <f>SUMIFS(ps!$N:$N,ps!$B:$B,喷水汇总表!$A47,ps!$I:$I,喷水汇总表!$X$4&amp;"/"&amp;喷水汇总表!$Y$4&amp;"/"&amp;喷水汇总表!AV$5)</f>
        <v>0</v>
      </c>
      <c r="AZ47" s="18">
        <f>SUMIFS(ps!$N:$N,ps!$B:$B,喷水汇总表!$A47,ps!$I:$I,喷水汇总表!$X$4&amp;"/"&amp;喷水汇总表!$Y$4&amp;"/"&amp;喷水汇总表!AW$5)</f>
        <v>0</v>
      </c>
      <c r="BA47" s="18">
        <f>SUMIFS(ps!$N:$N,ps!$B:$B,喷水汇总表!$A47,ps!$I:$I,喷水汇总表!$X$4&amp;"/"&amp;喷水汇总表!$Y$4&amp;"/"&amp;喷水汇总表!AX$5)</f>
        <v>0</v>
      </c>
      <c r="BB47" s="18">
        <f>SUMIFS(ps!$N:$N,ps!$B:$B,喷水汇总表!$A47,ps!$I:$I,喷水汇总表!$X$4&amp;"/"&amp;喷水汇总表!$Y$4&amp;"/"&amp;喷水汇总表!AY$5)</f>
        <v>0</v>
      </c>
      <c r="BC47" s="18">
        <f>SUMIFS(ps!$N:$N,ps!$B:$B,喷水汇总表!$A47,ps!$I:$I,喷水汇总表!$X$4&amp;"/"&amp;喷水汇总表!$Y$4&amp;"/"&amp;喷水汇总表!AZ$5)</f>
        <v>0</v>
      </c>
      <c r="BD47" s="18">
        <f>SUMIFS(ps!$N:$N,ps!$B:$B,喷水汇总表!$A47,ps!$I:$I,喷水汇总表!$X$4&amp;"/"&amp;喷水汇总表!$Y$4&amp;"/"&amp;喷水汇总表!BA$5)</f>
        <v>0</v>
      </c>
      <c r="BE47" s="18">
        <f>SUMIFS(ps!$N:$N,ps!$B:$B,喷水汇总表!$A47,ps!$I:$I,喷水汇总表!$X$4&amp;"/"&amp;喷水汇总表!$Y$4&amp;"/"&amp;喷水汇总表!BB$5)</f>
        <v>0</v>
      </c>
      <c r="BF47" s="18">
        <f>SUMIFS(ps!$N:$N,ps!$B:$B,喷水汇总表!$A47,ps!$I:$I,喷水汇总表!$X$4&amp;"/"&amp;喷水汇总表!$Y$4&amp;"/"&amp;喷水汇总表!BC$5)</f>
        <v>0</v>
      </c>
    </row>
    <row r="48" spans="1:58">
      <c r="H48">
        <f>SUM(H6:H30)</f>
        <v>52652</v>
      </c>
      <c r="I48">
        <f t="shared" ref="I48:N48" si="5">SUM(I6:I30)</f>
        <v>132882</v>
      </c>
      <c r="J48">
        <f t="shared" si="5"/>
        <v>2319</v>
      </c>
      <c r="K48">
        <f t="shared" si="5"/>
        <v>7519</v>
      </c>
      <c r="L48">
        <f t="shared" si="5"/>
        <v>651</v>
      </c>
      <c r="M48">
        <f t="shared" si="5"/>
        <v>0</v>
      </c>
      <c r="N48">
        <f t="shared" si="5"/>
        <v>0</v>
      </c>
      <c r="O48" s="107">
        <f>SUM(O6:O30)</f>
        <v>0</v>
      </c>
      <c r="P48" s="107">
        <f t="shared" ref="P48:W48" si="6">SUM(P6:P30)</f>
        <v>318.76655660752402</v>
      </c>
      <c r="Q48" s="107">
        <f t="shared" si="6"/>
        <v>299.58280419947505</v>
      </c>
      <c r="R48" s="107">
        <f t="shared" si="6"/>
        <v>234.410779007874</v>
      </c>
      <c r="S48" s="107">
        <f t="shared" si="6"/>
        <v>2868.6507833858259</v>
      </c>
      <c r="T48" s="107">
        <f t="shared" si="6"/>
        <v>769.25</v>
      </c>
      <c r="U48" s="107">
        <f t="shared" si="6"/>
        <v>1133.8954675196851</v>
      </c>
      <c r="V48" s="107">
        <f t="shared" si="6"/>
        <v>1166.7847999999999</v>
      </c>
      <c r="W48" s="107">
        <f t="shared" si="6"/>
        <v>3007.8504068241468</v>
      </c>
      <c r="X48" s="32">
        <f>SUM(X6:X30)</f>
        <v>658395</v>
      </c>
      <c r="Y48" s="32">
        <f>SUM(Y6:Y30)</f>
        <v>0</v>
      </c>
      <c r="Z48" s="32">
        <f t="shared" ref="Z48:BC48" si="7">SUM(Z6:Z30)</f>
        <v>173447</v>
      </c>
      <c r="AA48" s="32">
        <f t="shared" si="7"/>
        <v>129161</v>
      </c>
      <c r="AB48" s="32">
        <f t="shared" si="7"/>
        <v>136453</v>
      </c>
      <c r="AC48" s="32">
        <f t="shared" si="7"/>
        <v>196023</v>
      </c>
      <c r="AD48" s="32">
        <f t="shared" si="7"/>
        <v>23311</v>
      </c>
      <c r="AE48" s="32">
        <f t="shared" si="7"/>
        <v>0</v>
      </c>
      <c r="AF48" s="32">
        <f t="shared" si="7"/>
        <v>0</v>
      </c>
      <c r="AG48" s="32">
        <f t="shared" si="7"/>
        <v>0</v>
      </c>
      <c r="AH48" s="32">
        <f t="shared" si="7"/>
        <v>0</v>
      </c>
      <c r="AI48" s="32">
        <f t="shared" si="7"/>
        <v>0</v>
      </c>
      <c r="AJ48" s="32">
        <f t="shared" si="7"/>
        <v>0</v>
      </c>
      <c r="AK48" s="32">
        <f t="shared" si="7"/>
        <v>0</v>
      </c>
      <c r="AL48" s="32">
        <f t="shared" si="7"/>
        <v>0</v>
      </c>
      <c r="AM48" s="32">
        <f t="shared" si="7"/>
        <v>0</v>
      </c>
      <c r="AN48" s="32">
        <f t="shared" si="7"/>
        <v>0</v>
      </c>
      <c r="AO48" s="32">
        <f t="shared" si="7"/>
        <v>0</v>
      </c>
      <c r="AP48" s="32">
        <f t="shared" si="7"/>
        <v>0</v>
      </c>
      <c r="AQ48" s="32">
        <f t="shared" si="7"/>
        <v>0</v>
      </c>
      <c r="AR48" s="32">
        <f t="shared" si="7"/>
        <v>0</v>
      </c>
      <c r="AS48" s="32">
        <f t="shared" si="7"/>
        <v>0</v>
      </c>
      <c r="AT48" s="32">
        <f t="shared" si="7"/>
        <v>0</v>
      </c>
      <c r="AU48" s="32">
        <f t="shared" si="7"/>
        <v>0</v>
      </c>
      <c r="AV48" s="32">
        <f t="shared" si="7"/>
        <v>0</v>
      </c>
      <c r="AW48" s="32">
        <f t="shared" si="7"/>
        <v>0</v>
      </c>
      <c r="AX48" s="32">
        <f t="shared" si="7"/>
        <v>0</v>
      </c>
      <c r="AY48" s="32">
        <f t="shared" si="7"/>
        <v>0</v>
      </c>
      <c r="AZ48" s="32">
        <f t="shared" si="7"/>
        <v>0</v>
      </c>
      <c r="BA48" s="32">
        <f t="shared" si="7"/>
        <v>0</v>
      </c>
      <c r="BB48" s="32">
        <f t="shared" si="7"/>
        <v>0</v>
      </c>
      <c r="BC48" s="32">
        <f t="shared" si="7"/>
        <v>0</v>
      </c>
      <c r="BD48" s="32"/>
      <c r="BE48" s="32"/>
      <c r="BF48" s="32"/>
    </row>
    <row r="52" spans="10:10">
      <c r="J52" s="272"/>
    </row>
  </sheetData>
  <phoneticPr fontId="1" type="noConversion"/>
  <dataValidations count="3">
    <dataValidation type="list" allowBlank="1" showInputMessage="1" showErrorMessage="1" sqref="W4">
      <formula1>全局颜色</formula1>
    </dataValidation>
    <dataValidation type="list" allowBlank="1" showInputMessage="1" showErrorMessage="1" sqref="Y4">
      <formula1>月</formula1>
    </dataValidation>
    <dataValidation type="list" allowBlank="1" showInputMessage="1" showErrorMessage="1" sqref="X4">
      <formula1>年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4"/>
  <dimension ref="A1:R1169"/>
  <sheetViews>
    <sheetView workbookViewId="0">
      <pane xSplit="2" ySplit="1" topLeftCell="C396" activePane="bottomRight" state="frozen"/>
      <selection activeCell="B1" sqref="B1"/>
      <selection pane="topRight" activeCell="C1" sqref="C1"/>
      <selection pane="bottomLeft" activeCell="B2" sqref="B2"/>
      <selection pane="bottomRight" activeCell="Y417" sqref="Y417"/>
    </sheetView>
  </sheetViews>
  <sheetFormatPr defaultRowHeight="13.5" outlineLevelRow="1"/>
  <cols>
    <col min="1" max="1" width="36.25" style="177" hidden="1" customWidth="1"/>
    <col min="2" max="2" width="15" style="177" bestFit="1" customWidth="1"/>
    <col min="3" max="3" width="7.75" style="177" bestFit="1" customWidth="1"/>
    <col min="4" max="4" width="16.625" style="177" bestFit="1" customWidth="1"/>
    <col min="5" max="5" width="9.75" style="177" bestFit="1" customWidth="1"/>
    <col min="6" max="6" width="7.125" style="177" bestFit="1" customWidth="1"/>
    <col min="7" max="7" width="9.75" style="177" bestFit="1" customWidth="1"/>
    <col min="8" max="8" width="5.75" style="177" bestFit="1" customWidth="1"/>
    <col min="9" max="9" width="9.25" style="177" hidden="1" customWidth="1"/>
    <col min="10" max="11" width="7.75" style="177" hidden="1" customWidth="1"/>
    <col min="12" max="12" width="7.125" style="177" hidden="1" customWidth="1"/>
    <col min="13" max="13" width="8.5" style="177" bestFit="1" customWidth="1"/>
    <col min="14" max="14" width="9.125" style="177" hidden="1" customWidth="1"/>
    <col min="15" max="15" width="11.625" style="191" bestFit="1" customWidth="1"/>
    <col min="16" max="16" width="9.5" style="177" bestFit="1" customWidth="1"/>
    <col min="17" max="17" width="5.75" style="177" bestFit="1" customWidth="1"/>
    <col min="18" max="18" width="4.5" style="177" bestFit="1" customWidth="1"/>
    <col min="19" max="16384" width="9" style="177"/>
  </cols>
  <sheetData>
    <row r="1" spans="1:18">
      <c r="B1" s="66" t="s">
        <v>837</v>
      </c>
      <c r="C1" s="66" t="s">
        <v>762</v>
      </c>
      <c r="D1" s="66" t="s">
        <v>267</v>
      </c>
      <c r="E1" s="66" t="s">
        <v>838</v>
      </c>
      <c r="F1" s="66" t="s">
        <v>124</v>
      </c>
      <c r="G1" s="66" t="s">
        <v>126</v>
      </c>
      <c r="H1" s="66" t="s">
        <v>272</v>
      </c>
      <c r="I1" s="66"/>
      <c r="J1" s="66" t="s">
        <v>898</v>
      </c>
      <c r="K1" s="66" t="s">
        <v>899</v>
      </c>
      <c r="L1" s="66" t="s">
        <v>900</v>
      </c>
      <c r="M1" s="66" t="s">
        <v>901</v>
      </c>
      <c r="N1" s="66" t="s">
        <v>847</v>
      </c>
      <c r="O1" s="67" t="s">
        <v>108</v>
      </c>
      <c r="P1" s="68" t="s">
        <v>839</v>
      </c>
      <c r="Q1" s="69" t="s">
        <v>109</v>
      </c>
      <c r="R1" s="177" t="s">
        <v>374</v>
      </c>
    </row>
    <row r="2" spans="1:18" outlineLevel="1">
      <c r="A2" s="177" t="str">
        <f t="shared" ref="A2:A65" si="0">B2&amp;D2&amp;E2&amp;F2&amp;P2</f>
        <v>S2121150D 135度有温丝89/48白圆机</v>
      </c>
      <c r="B2" s="70" t="s">
        <v>456</v>
      </c>
      <c r="C2" s="40">
        <v>4</v>
      </c>
      <c r="D2" s="40" t="s">
        <v>848</v>
      </c>
      <c r="E2" s="40" t="s">
        <v>455</v>
      </c>
      <c r="F2" s="40" t="s">
        <v>2</v>
      </c>
      <c r="G2" s="40" t="s">
        <v>158</v>
      </c>
      <c r="H2" s="40" t="str">
        <f>IF(B2="","","AA")</f>
        <v>AA</v>
      </c>
      <c r="I2" s="40">
        <f>IF(B2="","",VLOOKUP(D2,加弹汇总表!C:E,3,FALSE))</f>
        <v>50</v>
      </c>
      <c r="J2" s="40"/>
      <c r="K2" s="40"/>
      <c r="L2" s="40"/>
      <c r="M2" s="40">
        <v>584</v>
      </c>
      <c r="N2" s="40"/>
      <c r="O2" s="71">
        <v>43739</v>
      </c>
      <c r="P2" s="72" t="str">
        <f>IF(B2="","",VLOOKUP(D2,setting!$C$2:$D$30,2,FALSE))</f>
        <v>圆机</v>
      </c>
      <c r="R2" s="30">
        <f t="shared" ref="R2:R65" si="1">IF(O2="","",MONTH(O2))</f>
        <v>10</v>
      </c>
    </row>
    <row r="3" spans="1:18" outlineLevel="1">
      <c r="A3" s="177" t="str">
        <f t="shared" si="0"/>
        <v>64009450D94/36黑圆机</v>
      </c>
      <c r="B3" s="39">
        <v>640094</v>
      </c>
      <c r="C3" s="8">
        <v>6</v>
      </c>
      <c r="D3" s="8" t="s">
        <v>850</v>
      </c>
      <c r="E3" s="8" t="s">
        <v>460</v>
      </c>
      <c r="F3" s="8" t="s">
        <v>1</v>
      </c>
      <c r="G3" s="8" t="s">
        <v>136</v>
      </c>
      <c r="H3" s="8" t="str">
        <f t="shared" ref="H3:H66" si="2">IF(B3="","","AA")</f>
        <v>AA</v>
      </c>
      <c r="I3" s="40">
        <f>IF(B3="","",VLOOKUP(D3,加弹汇总表!C:E,3,FALSE))</f>
        <v>50</v>
      </c>
      <c r="M3" s="8">
        <v>650</v>
      </c>
      <c r="O3" s="73">
        <v>43739</v>
      </c>
      <c r="P3" s="72" t="str">
        <f>IF(B3="","",VLOOKUP(D3,setting!$C$2:$D$30,2,FALSE))</f>
        <v>圆机</v>
      </c>
      <c r="R3" s="30">
        <f t="shared" si="1"/>
        <v>10</v>
      </c>
    </row>
    <row r="4" spans="1:18" outlineLevel="1">
      <c r="A4" s="177" t="str">
        <f t="shared" si="0"/>
        <v>S2132575D 135度低温丝130/48白圆机</v>
      </c>
      <c r="B4" s="39" t="s">
        <v>902</v>
      </c>
      <c r="C4" s="8">
        <v>4</v>
      </c>
      <c r="D4" s="8" t="s">
        <v>856</v>
      </c>
      <c r="E4" s="8" t="s">
        <v>381</v>
      </c>
      <c r="F4" s="8" t="s">
        <v>2</v>
      </c>
      <c r="G4" s="8" t="s">
        <v>158</v>
      </c>
      <c r="H4" s="8" t="str">
        <f t="shared" si="2"/>
        <v>AA</v>
      </c>
      <c r="I4" s="40">
        <f>IF(B4="","",VLOOKUP(D4,加弹汇总表!C:E,3,FALSE))</f>
        <v>75</v>
      </c>
      <c r="M4" s="8">
        <v>1127</v>
      </c>
      <c r="O4" s="73">
        <v>43739</v>
      </c>
      <c r="P4" s="72" t="str">
        <f>IF(B4="","",VLOOKUP(D4,setting!$C$2:$D$30,2,FALSE))</f>
        <v>圆机</v>
      </c>
      <c r="R4" s="30">
        <f t="shared" si="1"/>
        <v>10</v>
      </c>
    </row>
    <row r="5" spans="1:18" outlineLevel="1">
      <c r="A5" s="177" t="str">
        <f t="shared" si="0"/>
        <v>24003620D网络丝36/24黑喷水</v>
      </c>
      <c r="B5" s="39">
        <v>240036</v>
      </c>
      <c r="C5" s="8">
        <v>8</v>
      </c>
      <c r="D5" s="8" t="s">
        <v>861</v>
      </c>
      <c r="E5" s="8" t="s">
        <v>447</v>
      </c>
      <c r="F5" s="8" t="s">
        <v>1</v>
      </c>
      <c r="G5" s="8" t="s">
        <v>136</v>
      </c>
      <c r="H5" s="8" t="str">
        <f t="shared" si="2"/>
        <v>AA</v>
      </c>
      <c r="I5" s="40" t="str">
        <f>IF(B5="","",VLOOKUP(D5,加弹汇总表!C:E,3,FALSE))</f>
        <v>20网络</v>
      </c>
      <c r="M5" s="8">
        <v>355</v>
      </c>
      <c r="O5" s="73">
        <v>43739</v>
      </c>
      <c r="P5" s="72" t="str">
        <f>IF(B5="","",VLOOKUP(D5,setting!$C$2:$D$30,2,FALSE))</f>
        <v>喷水</v>
      </c>
      <c r="R5" s="30">
        <f t="shared" si="1"/>
        <v>10</v>
      </c>
    </row>
    <row r="6" spans="1:18" outlineLevel="1">
      <c r="A6" s="177" t="str">
        <f t="shared" si="0"/>
        <v>24005530D网络丝55/24黑喷水</v>
      </c>
      <c r="B6" s="39">
        <v>240055</v>
      </c>
      <c r="C6" s="8">
        <v>8</v>
      </c>
      <c r="D6" s="8" t="s">
        <v>863</v>
      </c>
      <c r="E6" s="8" t="s">
        <v>452</v>
      </c>
      <c r="F6" s="8" t="s">
        <v>1</v>
      </c>
      <c r="G6" s="8" t="s">
        <v>136</v>
      </c>
      <c r="H6" s="8" t="str">
        <f t="shared" si="2"/>
        <v>AA</v>
      </c>
      <c r="I6" s="40" t="str">
        <f>IF(B6="","",VLOOKUP(D6,加弹汇总表!C:E,3,FALSE))</f>
        <v>30网络</v>
      </c>
      <c r="M6" s="8">
        <v>333.86</v>
      </c>
      <c r="O6" s="73">
        <v>43739</v>
      </c>
      <c r="P6" s="72" t="str">
        <f>IF(B6="","",VLOOKUP(D6,setting!$C$2:$D$30,2,FALSE))</f>
        <v>喷水</v>
      </c>
      <c r="R6" s="30">
        <f t="shared" si="1"/>
        <v>10</v>
      </c>
    </row>
    <row r="7" spans="1:18" outlineLevel="1">
      <c r="A7" s="177" t="str">
        <f t="shared" si="0"/>
        <v>S21102P20D网络丝35/24白喷水</v>
      </c>
      <c r="B7" s="39" t="s">
        <v>904</v>
      </c>
      <c r="C7" s="8">
        <v>3</v>
      </c>
      <c r="D7" s="8" t="s">
        <v>861</v>
      </c>
      <c r="E7" s="8" t="s">
        <v>437</v>
      </c>
      <c r="F7" s="8" t="s">
        <v>2</v>
      </c>
      <c r="G7" s="8" t="s">
        <v>158</v>
      </c>
      <c r="H7" s="8" t="str">
        <f t="shared" si="2"/>
        <v>AA</v>
      </c>
      <c r="I7" s="40" t="str">
        <f>IF(B7="","",VLOOKUP(D7,加弹汇总表!C:E,3,FALSE))</f>
        <v>20网络</v>
      </c>
      <c r="M7" s="8">
        <v>545</v>
      </c>
      <c r="O7" s="73">
        <v>43739</v>
      </c>
      <c r="P7" s="72" t="str">
        <f>IF(B7="","",VLOOKUP(D7,setting!$C$2:$D$30,2,FALSE))</f>
        <v>喷水</v>
      </c>
      <c r="R7" s="30">
        <f t="shared" si="1"/>
        <v>10</v>
      </c>
    </row>
    <row r="8" spans="1:18" outlineLevel="1">
      <c r="A8" s="177" t="str">
        <f t="shared" si="0"/>
        <v>S2121150D网络丝89/48白喷水</v>
      </c>
      <c r="B8" s="39" t="s">
        <v>864</v>
      </c>
      <c r="C8" s="8">
        <v>1</v>
      </c>
      <c r="D8" s="8" t="s">
        <v>865</v>
      </c>
      <c r="E8" s="8" t="s">
        <v>455</v>
      </c>
      <c r="F8" s="8" t="s">
        <v>2</v>
      </c>
      <c r="G8" s="8" t="s">
        <v>158</v>
      </c>
      <c r="H8" s="8" t="str">
        <f t="shared" si="2"/>
        <v>AA</v>
      </c>
      <c r="I8" s="40" t="str">
        <f>IF(B8="","",VLOOKUP(D8,加弹汇总表!C:E,3,FALSE))</f>
        <v>50网络</v>
      </c>
      <c r="M8" s="8">
        <v>1157</v>
      </c>
      <c r="O8" s="73">
        <v>43739</v>
      </c>
      <c r="P8" s="72" t="str">
        <f>IF(B8="","",VLOOKUP(D8,setting!$C$2:$D$30,2,FALSE))</f>
        <v>喷水</v>
      </c>
      <c r="R8" s="30">
        <f t="shared" si="1"/>
        <v>10</v>
      </c>
    </row>
    <row r="9" spans="1:18" outlineLevel="1">
      <c r="A9" s="177" t="str">
        <f t="shared" si="0"/>
        <v>S2132575D网络丝130/48白喷水</v>
      </c>
      <c r="B9" s="39" t="s">
        <v>902</v>
      </c>
      <c r="C9" s="8">
        <v>2</v>
      </c>
      <c r="D9" s="8" t="s">
        <v>866</v>
      </c>
      <c r="E9" s="8" t="s">
        <v>381</v>
      </c>
      <c r="F9" s="8" t="s">
        <v>2</v>
      </c>
      <c r="G9" s="8" t="s">
        <v>158</v>
      </c>
      <c r="H9" s="8" t="str">
        <f t="shared" si="2"/>
        <v>AA</v>
      </c>
      <c r="I9" s="40" t="str">
        <f>IF(B9="","",VLOOKUP(D9,加弹汇总表!C:E,3,FALSE))</f>
        <v>75网络</v>
      </c>
      <c r="M9" s="8">
        <v>2378</v>
      </c>
      <c r="O9" s="73">
        <v>43739</v>
      </c>
      <c r="P9" s="72" t="str">
        <f>IF(B9="","",VLOOKUP(D9,setting!$C$2:$D$30,2,FALSE))</f>
        <v>喷水</v>
      </c>
      <c r="R9" s="30">
        <f t="shared" si="1"/>
        <v>10</v>
      </c>
    </row>
    <row r="10" spans="1:18" outlineLevel="1">
      <c r="A10" s="177" t="str">
        <f t="shared" si="0"/>
        <v>S2132575D网络丝130/48白喷水</v>
      </c>
      <c r="B10" s="39" t="s">
        <v>902</v>
      </c>
      <c r="C10" s="8">
        <v>7</v>
      </c>
      <c r="D10" s="8" t="s">
        <v>866</v>
      </c>
      <c r="E10" s="8" t="s">
        <v>381</v>
      </c>
      <c r="F10" s="8" t="s">
        <v>2</v>
      </c>
      <c r="G10" s="8" t="s">
        <v>158</v>
      </c>
      <c r="H10" s="8" t="str">
        <f t="shared" si="2"/>
        <v>AA</v>
      </c>
      <c r="I10" s="40" t="str">
        <f>IF(B10="","",VLOOKUP(D10,加弹汇总表!C:E,3,FALSE))</f>
        <v>75网络</v>
      </c>
      <c r="M10" s="8">
        <v>1274.28</v>
      </c>
      <c r="O10" s="73">
        <v>43739</v>
      </c>
      <c r="P10" s="72" t="str">
        <f>IF(B10="","",VLOOKUP(D10,setting!$C$2:$D$30,2,FALSE))</f>
        <v>喷水</v>
      </c>
      <c r="R10" s="30">
        <f t="shared" si="1"/>
        <v>10</v>
      </c>
    </row>
    <row r="11" spans="1:18" outlineLevel="1">
      <c r="A11" s="177" t="str">
        <f t="shared" si="0"/>
        <v>8413275D网络丝132/48黑喷水</v>
      </c>
      <c r="B11" s="39">
        <v>84132</v>
      </c>
      <c r="C11" s="8">
        <v>5</v>
      </c>
      <c r="D11" s="8" t="s">
        <v>866</v>
      </c>
      <c r="E11" s="8" t="s">
        <v>391</v>
      </c>
      <c r="F11" s="8" t="s">
        <v>1</v>
      </c>
      <c r="G11" s="8" t="s">
        <v>136</v>
      </c>
      <c r="H11" s="8" t="str">
        <f t="shared" si="2"/>
        <v>AA</v>
      </c>
      <c r="I11" s="40" t="str">
        <f>IF(B11="","",VLOOKUP(D11,加弹汇总表!C:E,3,FALSE))</f>
        <v>75网络</v>
      </c>
      <c r="M11" s="8">
        <v>1351</v>
      </c>
      <c r="O11" s="73">
        <v>43739</v>
      </c>
      <c r="P11" s="72" t="str">
        <f>IF(B11="","",VLOOKUP(D11,setting!$C$2:$D$30,2,FALSE))</f>
        <v>喷水</v>
      </c>
      <c r="R11" s="30">
        <f t="shared" si="1"/>
        <v>10</v>
      </c>
    </row>
    <row r="12" spans="1:18" outlineLevel="1">
      <c r="A12" s="177" t="str">
        <f t="shared" si="0"/>
        <v>S2121150D 135度有温丝89/48白圆机</v>
      </c>
      <c r="B12" s="39" t="s">
        <v>864</v>
      </c>
      <c r="C12" s="8">
        <v>4</v>
      </c>
      <c r="D12" s="8" t="s">
        <v>848</v>
      </c>
      <c r="E12" s="8" t="s">
        <v>455</v>
      </c>
      <c r="F12" s="8" t="s">
        <v>2</v>
      </c>
      <c r="G12" s="8" t="s">
        <v>158</v>
      </c>
      <c r="H12" s="8" t="str">
        <f t="shared" si="2"/>
        <v>AA</v>
      </c>
      <c r="I12" s="40">
        <f>IF(B12="","",VLOOKUP(D12,加弹汇总表!C:E,3,FALSE))</f>
        <v>50</v>
      </c>
      <c r="M12" s="8">
        <v>607</v>
      </c>
      <c r="O12" s="71">
        <v>43740</v>
      </c>
      <c r="P12" s="72" t="str">
        <f>IF(B12="","",VLOOKUP(D12,setting!$C$2:$D$30,2,FALSE))</f>
        <v>圆机</v>
      </c>
      <c r="R12" s="30">
        <f t="shared" si="1"/>
        <v>10</v>
      </c>
    </row>
    <row r="13" spans="1:18" outlineLevel="1">
      <c r="A13" s="177" t="str">
        <f t="shared" si="0"/>
        <v>64009450D94/36黑圆机</v>
      </c>
      <c r="B13" s="39">
        <v>640094</v>
      </c>
      <c r="C13" s="8">
        <v>6</v>
      </c>
      <c r="D13" s="8" t="s">
        <v>903</v>
      </c>
      <c r="E13" s="8" t="s">
        <v>460</v>
      </c>
      <c r="F13" s="8" t="s">
        <v>1</v>
      </c>
      <c r="G13" s="8" t="s">
        <v>136</v>
      </c>
      <c r="H13" s="8" t="str">
        <f t="shared" si="2"/>
        <v>AA</v>
      </c>
      <c r="I13" s="40">
        <f>IF(B13="","",VLOOKUP(D13,加弹汇总表!C:E,3,FALSE))</f>
        <v>50</v>
      </c>
      <c r="M13" s="8">
        <v>602</v>
      </c>
      <c r="O13" s="71">
        <v>43740</v>
      </c>
      <c r="P13" s="72" t="str">
        <f>IF(B13="","",VLOOKUP(D13,setting!$C$2:$D$30,2,FALSE))</f>
        <v>圆机</v>
      </c>
      <c r="R13" s="30">
        <f t="shared" si="1"/>
        <v>10</v>
      </c>
    </row>
    <row r="14" spans="1:18" outlineLevel="1">
      <c r="A14" s="177" t="str">
        <f t="shared" si="0"/>
        <v>S2132575D 135度低温丝130/48白圆机</v>
      </c>
      <c r="B14" s="39" t="s">
        <v>902</v>
      </c>
      <c r="C14" s="8">
        <v>4</v>
      </c>
      <c r="D14" s="8" t="s">
        <v>856</v>
      </c>
      <c r="E14" s="8" t="s">
        <v>381</v>
      </c>
      <c r="F14" s="8" t="s">
        <v>2</v>
      </c>
      <c r="G14" s="8" t="s">
        <v>158</v>
      </c>
      <c r="H14" s="8" t="str">
        <f t="shared" si="2"/>
        <v>AA</v>
      </c>
      <c r="I14" s="40">
        <f>IF(B14="","",VLOOKUP(D14,加弹汇总表!C:E,3,FALSE))</f>
        <v>75</v>
      </c>
      <c r="M14" s="8">
        <v>1196</v>
      </c>
      <c r="O14" s="71">
        <v>43740</v>
      </c>
      <c r="P14" s="72" t="str">
        <f>IF(B14="","",VLOOKUP(D14,setting!$C$2:$D$30,2,FALSE))</f>
        <v>圆机</v>
      </c>
      <c r="R14" s="30">
        <f t="shared" si="1"/>
        <v>10</v>
      </c>
    </row>
    <row r="15" spans="1:18" outlineLevel="1">
      <c r="A15" s="177" t="str">
        <f t="shared" si="0"/>
        <v>S21102P20D网络丝35/24白喷水</v>
      </c>
      <c r="B15" s="39" t="s">
        <v>904</v>
      </c>
      <c r="C15" s="8">
        <v>3</v>
      </c>
      <c r="D15" s="8" t="s">
        <v>861</v>
      </c>
      <c r="E15" s="8" t="s">
        <v>437</v>
      </c>
      <c r="F15" s="8" t="s">
        <v>2</v>
      </c>
      <c r="G15" s="8" t="s">
        <v>158</v>
      </c>
      <c r="H15" s="8" t="str">
        <f t="shared" si="2"/>
        <v>AA</v>
      </c>
      <c r="I15" s="40" t="str">
        <f>IF(B15="","",VLOOKUP(D15,加弹汇总表!C:E,3,FALSE))</f>
        <v>20网络</v>
      </c>
      <c r="M15" s="8">
        <v>518</v>
      </c>
      <c r="O15" s="71">
        <v>43740</v>
      </c>
      <c r="P15" s="72" t="str">
        <f>IF(B15="","",VLOOKUP(D15,setting!$C$2:$D$30,2,FALSE))</f>
        <v>喷水</v>
      </c>
      <c r="R15" s="30">
        <f t="shared" si="1"/>
        <v>10</v>
      </c>
    </row>
    <row r="16" spans="1:18" outlineLevel="1">
      <c r="A16" s="177" t="str">
        <f t="shared" si="0"/>
        <v>24003620D网络丝36/24黑喷水</v>
      </c>
      <c r="B16" s="39">
        <v>240036</v>
      </c>
      <c r="C16" s="8">
        <v>8</v>
      </c>
      <c r="D16" s="8" t="s">
        <v>861</v>
      </c>
      <c r="E16" s="8" t="s">
        <v>447</v>
      </c>
      <c r="F16" s="8" t="s">
        <v>1</v>
      </c>
      <c r="G16" s="8" t="s">
        <v>136</v>
      </c>
      <c r="H16" s="8" t="str">
        <f t="shared" si="2"/>
        <v>AA</v>
      </c>
      <c r="I16" s="40" t="str">
        <f>IF(B16="","",VLOOKUP(D16,加弹汇总表!C:E,3,FALSE))</f>
        <v>20网络</v>
      </c>
      <c r="M16" s="8">
        <v>158</v>
      </c>
      <c r="O16" s="71">
        <v>43740</v>
      </c>
      <c r="P16" s="72" t="str">
        <f>IF(B16="","",VLOOKUP(D16,setting!$C$2:$D$30,2,FALSE))</f>
        <v>喷水</v>
      </c>
      <c r="R16" s="30">
        <f t="shared" si="1"/>
        <v>10</v>
      </c>
    </row>
    <row r="17" spans="1:18" outlineLevel="1">
      <c r="A17" s="177" t="str">
        <f t="shared" si="0"/>
        <v>24005530D网络丝55/24黑喷水</v>
      </c>
      <c r="B17" s="39">
        <v>240055</v>
      </c>
      <c r="C17" s="8">
        <v>8</v>
      </c>
      <c r="D17" s="8" t="s">
        <v>863</v>
      </c>
      <c r="E17" s="8" t="s">
        <v>452</v>
      </c>
      <c r="F17" s="8" t="s">
        <v>1</v>
      </c>
      <c r="G17" s="8" t="s">
        <v>136</v>
      </c>
      <c r="H17" s="8" t="str">
        <f t="shared" si="2"/>
        <v>AA</v>
      </c>
      <c r="I17" s="40" t="str">
        <f>IF(B17="","",VLOOKUP(D17,加弹汇总表!C:E,3,FALSE))</f>
        <v>30网络</v>
      </c>
      <c r="M17" s="8">
        <v>379.69</v>
      </c>
      <c r="O17" s="71">
        <v>43740</v>
      </c>
      <c r="P17" s="72" t="str">
        <f>IF(B17="","",VLOOKUP(D17,setting!$C$2:$D$30,2,FALSE))</f>
        <v>喷水</v>
      </c>
      <c r="R17" s="30">
        <f t="shared" si="1"/>
        <v>10</v>
      </c>
    </row>
    <row r="18" spans="1:18" outlineLevel="1">
      <c r="A18" s="177" t="str">
        <f t="shared" si="0"/>
        <v>S2121150D网络丝89/48白喷水</v>
      </c>
      <c r="B18" s="39" t="s">
        <v>864</v>
      </c>
      <c r="C18" s="8">
        <v>1</v>
      </c>
      <c r="D18" s="8" t="s">
        <v>865</v>
      </c>
      <c r="E18" s="8" t="s">
        <v>455</v>
      </c>
      <c r="F18" s="8" t="s">
        <v>2</v>
      </c>
      <c r="G18" s="8" t="s">
        <v>158</v>
      </c>
      <c r="H18" s="8" t="str">
        <f t="shared" si="2"/>
        <v>AA</v>
      </c>
      <c r="I18" s="40" t="str">
        <f>IF(B18="","",VLOOKUP(D18,加弹汇总表!C:E,3,FALSE))</f>
        <v>50网络</v>
      </c>
      <c r="M18" s="8">
        <v>142</v>
      </c>
      <c r="O18" s="71">
        <v>43740</v>
      </c>
      <c r="P18" s="72" t="str">
        <f>IF(B18="","",VLOOKUP(D18,setting!$C$2:$D$30,2,FALSE))</f>
        <v>喷水</v>
      </c>
      <c r="R18" s="30">
        <f t="shared" si="1"/>
        <v>10</v>
      </c>
    </row>
    <row r="19" spans="1:18" outlineLevel="1">
      <c r="A19" s="177" t="str">
        <f t="shared" si="0"/>
        <v>64009450D网络丝94/36黑喷水</v>
      </c>
      <c r="B19" s="39">
        <v>640094</v>
      </c>
      <c r="C19" s="8">
        <v>6</v>
      </c>
      <c r="D19" s="8" t="s">
        <v>865</v>
      </c>
      <c r="E19" s="8" t="s">
        <v>460</v>
      </c>
      <c r="F19" s="8" t="s">
        <v>1</v>
      </c>
      <c r="G19" s="8" t="s">
        <v>136</v>
      </c>
      <c r="H19" s="8" t="str">
        <f t="shared" si="2"/>
        <v>AA</v>
      </c>
      <c r="I19" s="40" t="str">
        <f>IF(B19="","",VLOOKUP(D19,加弹汇总表!C:E,3,FALSE))</f>
        <v>50网络</v>
      </c>
      <c r="M19" s="8">
        <v>716</v>
      </c>
      <c r="O19" s="71">
        <v>43740</v>
      </c>
      <c r="P19" s="72" t="str">
        <f>IF(B19="","",VLOOKUP(D19,setting!$C$2:$D$30,2,FALSE))</f>
        <v>喷水</v>
      </c>
      <c r="R19" s="30">
        <f t="shared" si="1"/>
        <v>10</v>
      </c>
    </row>
    <row r="20" spans="1:18" outlineLevel="1">
      <c r="A20" s="177" t="str">
        <f t="shared" si="0"/>
        <v>64009450D网络丝94/36黑喷水</v>
      </c>
      <c r="B20" s="39">
        <v>640094</v>
      </c>
      <c r="C20" s="8">
        <v>7</v>
      </c>
      <c r="D20" s="8" t="s">
        <v>865</v>
      </c>
      <c r="E20" s="8" t="s">
        <v>460</v>
      </c>
      <c r="F20" s="8" t="s">
        <v>1</v>
      </c>
      <c r="G20" s="8" t="s">
        <v>136</v>
      </c>
      <c r="H20" s="8" t="str">
        <f t="shared" si="2"/>
        <v>AA</v>
      </c>
      <c r="I20" s="40" t="str">
        <f>IF(B20="","",VLOOKUP(D20,加弹汇总表!C:E,3,FALSE))</f>
        <v>50网络</v>
      </c>
      <c r="M20" s="8">
        <v>281</v>
      </c>
      <c r="O20" s="71">
        <v>43740</v>
      </c>
      <c r="P20" s="72" t="str">
        <f>IF(B20="","",VLOOKUP(D20,setting!$C$2:$D$30,2,FALSE))</f>
        <v>喷水</v>
      </c>
      <c r="R20" s="30">
        <f t="shared" si="1"/>
        <v>10</v>
      </c>
    </row>
    <row r="21" spans="1:18" outlineLevel="1">
      <c r="A21" s="177" t="str">
        <f t="shared" si="0"/>
        <v>S2132575D网络丝130/48白喷水</v>
      </c>
      <c r="B21" s="39" t="s">
        <v>902</v>
      </c>
      <c r="C21" s="8">
        <v>2</v>
      </c>
      <c r="D21" s="8" t="s">
        <v>866</v>
      </c>
      <c r="E21" s="8" t="s">
        <v>381</v>
      </c>
      <c r="F21" s="8" t="s">
        <v>2</v>
      </c>
      <c r="G21" s="8" t="s">
        <v>158</v>
      </c>
      <c r="H21" s="8" t="str">
        <f t="shared" si="2"/>
        <v>AA</v>
      </c>
      <c r="I21" s="40" t="str">
        <f>IF(B21="","",VLOOKUP(D21,加弹汇总表!C:E,3,FALSE))</f>
        <v>75网络</v>
      </c>
      <c r="M21" s="8">
        <v>2471</v>
      </c>
      <c r="O21" s="71">
        <v>43740</v>
      </c>
      <c r="P21" s="72" t="str">
        <f>IF(B21="","",VLOOKUP(D21,setting!$C$2:$D$30,2,FALSE))</f>
        <v>喷水</v>
      </c>
      <c r="R21" s="30">
        <f t="shared" si="1"/>
        <v>10</v>
      </c>
    </row>
    <row r="22" spans="1:18" outlineLevel="1">
      <c r="A22" s="177" t="str">
        <f t="shared" si="0"/>
        <v>S2132575D网络丝130/48白喷水</v>
      </c>
      <c r="B22" s="39" t="s">
        <v>905</v>
      </c>
      <c r="C22" s="8">
        <v>7</v>
      </c>
      <c r="D22" s="8" t="s">
        <v>866</v>
      </c>
      <c r="E22" s="8" t="s">
        <v>381</v>
      </c>
      <c r="F22" s="8" t="s">
        <v>2</v>
      </c>
      <c r="G22" s="8" t="s">
        <v>158</v>
      </c>
      <c r="H22" s="8" t="str">
        <f t="shared" si="2"/>
        <v>AA</v>
      </c>
      <c r="I22" s="40" t="str">
        <f>IF(B22="","",VLOOKUP(D22,加弹汇总表!C:E,3,FALSE))</f>
        <v>75网络</v>
      </c>
      <c r="M22" s="8">
        <v>1176.82</v>
      </c>
      <c r="O22" s="71">
        <v>43740</v>
      </c>
      <c r="P22" s="72" t="str">
        <f>IF(B22="","",VLOOKUP(D22,setting!$C$2:$D$30,2,FALSE))</f>
        <v>喷水</v>
      </c>
      <c r="R22" s="30">
        <f t="shared" si="1"/>
        <v>10</v>
      </c>
    </row>
    <row r="23" spans="1:18" outlineLevel="1">
      <c r="A23" s="177" t="str">
        <f t="shared" si="0"/>
        <v>8413275D网络丝132/48黑喷水</v>
      </c>
      <c r="B23" s="39">
        <v>84132</v>
      </c>
      <c r="C23" s="8">
        <v>5</v>
      </c>
      <c r="D23" s="8" t="s">
        <v>866</v>
      </c>
      <c r="E23" s="8" t="s">
        <v>391</v>
      </c>
      <c r="F23" s="8" t="s">
        <v>1</v>
      </c>
      <c r="G23" s="8" t="s">
        <v>136</v>
      </c>
      <c r="H23" s="8" t="str">
        <f t="shared" si="2"/>
        <v>AA</v>
      </c>
      <c r="I23" s="40" t="str">
        <f>IF(B23="","",VLOOKUP(D23,加弹汇总表!C:E,3,FALSE))</f>
        <v>75网络</v>
      </c>
      <c r="M23" s="8">
        <v>1813</v>
      </c>
      <c r="O23" s="71">
        <v>43740</v>
      </c>
      <c r="P23" s="72" t="str">
        <f>IF(B23="","",VLOOKUP(D23,setting!$C$2:$D$30,2,FALSE))</f>
        <v>喷水</v>
      </c>
      <c r="R23" s="30">
        <f t="shared" si="1"/>
        <v>10</v>
      </c>
    </row>
    <row r="24" spans="1:18" outlineLevel="1">
      <c r="A24" s="177" t="str">
        <f t="shared" si="0"/>
        <v>S2121150D 135度有温丝89/48白圆机</v>
      </c>
      <c r="B24" s="39" t="s">
        <v>906</v>
      </c>
      <c r="C24" s="8">
        <v>4</v>
      </c>
      <c r="D24" s="8" t="s">
        <v>848</v>
      </c>
      <c r="E24" s="8" t="s">
        <v>455</v>
      </c>
      <c r="F24" s="8" t="s">
        <v>2</v>
      </c>
      <c r="G24" s="8" t="s">
        <v>158</v>
      </c>
      <c r="H24" s="8" t="str">
        <f t="shared" si="2"/>
        <v>AA</v>
      </c>
      <c r="I24" s="40">
        <f>IF(B24="","",VLOOKUP(D24,加弹汇总表!C:E,3,FALSE))</f>
        <v>50</v>
      </c>
      <c r="M24" s="8">
        <v>525</v>
      </c>
      <c r="O24" s="71">
        <v>43741</v>
      </c>
      <c r="P24" s="72" t="str">
        <f>IF(B24="","",VLOOKUP(D24,setting!$C$2:$D$30,2,FALSE))</f>
        <v>圆机</v>
      </c>
      <c r="R24" s="30">
        <f t="shared" si="1"/>
        <v>10</v>
      </c>
    </row>
    <row r="25" spans="1:18" outlineLevel="1">
      <c r="A25" s="177" t="str">
        <f t="shared" si="0"/>
        <v>64009450D94/36黑圆机</v>
      </c>
      <c r="B25" s="39">
        <v>640094</v>
      </c>
      <c r="C25" s="8">
        <v>6</v>
      </c>
      <c r="D25" s="8" t="s">
        <v>850</v>
      </c>
      <c r="E25" s="8" t="s">
        <v>460</v>
      </c>
      <c r="F25" s="8" t="s">
        <v>1</v>
      </c>
      <c r="G25" s="8" t="s">
        <v>136</v>
      </c>
      <c r="H25" s="8" t="str">
        <f t="shared" si="2"/>
        <v>AA</v>
      </c>
      <c r="I25" s="40">
        <f>IF(B25="","",VLOOKUP(D25,加弹汇总表!C:E,3,FALSE))</f>
        <v>50</v>
      </c>
      <c r="M25" s="8">
        <v>554.5</v>
      </c>
      <c r="O25" s="71">
        <v>43741</v>
      </c>
      <c r="P25" s="72" t="str">
        <f>IF(B25="","",VLOOKUP(D25,setting!$C$2:$D$30,2,FALSE))</f>
        <v>圆机</v>
      </c>
      <c r="R25" s="30">
        <f t="shared" si="1"/>
        <v>10</v>
      </c>
    </row>
    <row r="26" spans="1:18" outlineLevel="1">
      <c r="A26" s="177" t="str">
        <f t="shared" si="0"/>
        <v>S2132575D 135度低温丝130/48白圆机</v>
      </c>
      <c r="B26" s="39" t="s">
        <v>905</v>
      </c>
      <c r="C26" s="8">
        <v>4</v>
      </c>
      <c r="D26" s="8" t="s">
        <v>856</v>
      </c>
      <c r="E26" s="8" t="s">
        <v>381</v>
      </c>
      <c r="F26" s="8" t="s">
        <v>2</v>
      </c>
      <c r="G26" s="8" t="s">
        <v>158</v>
      </c>
      <c r="H26" s="8" t="str">
        <f t="shared" si="2"/>
        <v>AA</v>
      </c>
      <c r="I26" s="40">
        <f>IF(B26="","",VLOOKUP(D26,加弹汇总表!C:E,3,FALSE))</f>
        <v>75</v>
      </c>
      <c r="M26" s="8">
        <v>597</v>
      </c>
      <c r="O26" s="71">
        <v>43741</v>
      </c>
      <c r="P26" s="72" t="str">
        <f>IF(B26="","",VLOOKUP(D26,setting!$C$2:$D$30,2,FALSE))</f>
        <v>圆机</v>
      </c>
      <c r="R26" s="30">
        <f t="shared" si="1"/>
        <v>10</v>
      </c>
    </row>
    <row r="27" spans="1:18" outlineLevel="1">
      <c r="A27" s="177" t="str">
        <f t="shared" si="0"/>
        <v>S21102P20D网络丝35/24白喷水</v>
      </c>
      <c r="B27" s="39" t="s">
        <v>907</v>
      </c>
      <c r="C27" s="8">
        <v>3</v>
      </c>
      <c r="D27" s="8" t="s">
        <v>861</v>
      </c>
      <c r="E27" s="8" t="s">
        <v>437</v>
      </c>
      <c r="F27" s="8" t="s">
        <v>2</v>
      </c>
      <c r="G27" s="8" t="s">
        <v>158</v>
      </c>
      <c r="H27" s="8" t="str">
        <f t="shared" si="2"/>
        <v>AA</v>
      </c>
      <c r="I27" s="40" t="str">
        <f>IF(B27="","",VLOOKUP(D27,加弹汇总表!C:E,3,FALSE))</f>
        <v>20网络</v>
      </c>
      <c r="M27" s="8">
        <v>362</v>
      </c>
      <c r="O27" s="71">
        <v>43741</v>
      </c>
      <c r="P27" s="72" t="str">
        <f>IF(B27="","",VLOOKUP(D27,setting!$C$2:$D$30,2,FALSE))</f>
        <v>喷水</v>
      </c>
      <c r="R27" s="30">
        <f t="shared" si="1"/>
        <v>10</v>
      </c>
    </row>
    <row r="28" spans="1:18" outlineLevel="1">
      <c r="A28" s="177" t="str">
        <f t="shared" si="0"/>
        <v>24003620D网络丝36/24黑喷水</v>
      </c>
      <c r="B28" s="39">
        <v>240036</v>
      </c>
      <c r="C28" s="8">
        <v>8</v>
      </c>
      <c r="D28" s="8" t="s">
        <v>861</v>
      </c>
      <c r="E28" s="8" t="s">
        <v>447</v>
      </c>
      <c r="F28" s="8" t="s">
        <v>1</v>
      </c>
      <c r="G28" s="8" t="s">
        <v>136</v>
      </c>
      <c r="H28" s="8" t="str">
        <f t="shared" si="2"/>
        <v>AA</v>
      </c>
      <c r="I28" s="40" t="str">
        <f>IF(B28="","",VLOOKUP(D28,加弹汇总表!C:E,3,FALSE))</f>
        <v>20网络</v>
      </c>
      <c r="M28" s="8">
        <v>170</v>
      </c>
      <c r="O28" s="71">
        <v>43741</v>
      </c>
      <c r="P28" s="72" t="str">
        <f>IF(B28="","",VLOOKUP(D28,setting!$C$2:$D$30,2,FALSE))</f>
        <v>喷水</v>
      </c>
      <c r="R28" s="30">
        <f t="shared" si="1"/>
        <v>10</v>
      </c>
    </row>
    <row r="29" spans="1:18" outlineLevel="1">
      <c r="A29" s="177" t="str">
        <f t="shared" si="0"/>
        <v>24005530D网络丝55/24黑喷水</v>
      </c>
      <c r="B29" s="39">
        <v>240055</v>
      </c>
      <c r="C29" s="8">
        <v>8</v>
      </c>
      <c r="D29" s="8" t="s">
        <v>863</v>
      </c>
      <c r="E29" s="8" t="s">
        <v>452</v>
      </c>
      <c r="F29" s="8" t="s">
        <v>1</v>
      </c>
      <c r="G29" s="8" t="s">
        <v>136</v>
      </c>
      <c r="H29" s="8" t="str">
        <f t="shared" si="2"/>
        <v>AA</v>
      </c>
      <c r="I29" s="40" t="str">
        <f>IF(B29="","",VLOOKUP(D29,加弹汇总表!C:E,3,FALSE))</f>
        <v>30网络</v>
      </c>
      <c r="M29" s="8">
        <v>354.09</v>
      </c>
      <c r="O29" s="71">
        <v>43741</v>
      </c>
      <c r="P29" s="72" t="str">
        <f>IF(B29="","",VLOOKUP(D29,setting!$C$2:$D$30,2,FALSE))</f>
        <v>喷水</v>
      </c>
      <c r="R29" s="30">
        <f t="shared" si="1"/>
        <v>10</v>
      </c>
    </row>
    <row r="30" spans="1:18" outlineLevel="1">
      <c r="A30" s="177" t="str">
        <f t="shared" si="0"/>
        <v>S2121150D网络丝89/48白喷水</v>
      </c>
      <c r="B30" s="39" t="s">
        <v>906</v>
      </c>
      <c r="C30" s="8">
        <v>1</v>
      </c>
      <c r="D30" s="8" t="s">
        <v>865</v>
      </c>
      <c r="E30" s="8" t="s">
        <v>455</v>
      </c>
      <c r="F30" s="8" t="s">
        <v>2</v>
      </c>
      <c r="G30" s="8" t="s">
        <v>158</v>
      </c>
      <c r="H30" s="8" t="str">
        <f t="shared" si="2"/>
        <v>AA</v>
      </c>
      <c r="I30" s="40" t="str">
        <f>IF(B30="","",VLOOKUP(D30,加弹汇总表!C:E,3,FALSE))</f>
        <v>50网络</v>
      </c>
      <c r="M30" s="8">
        <v>2894</v>
      </c>
      <c r="O30" s="71">
        <v>43741</v>
      </c>
      <c r="P30" s="72" t="str">
        <f>IF(B30="","",VLOOKUP(D30,setting!$C$2:$D$30,2,FALSE))</f>
        <v>喷水</v>
      </c>
      <c r="R30" s="30">
        <f t="shared" si="1"/>
        <v>10</v>
      </c>
    </row>
    <row r="31" spans="1:18" outlineLevel="1">
      <c r="A31" s="177" t="str">
        <f t="shared" si="0"/>
        <v>64009450D网络丝94/36黑喷水</v>
      </c>
      <c r="B31" s="39">
        <v>640094</v>
      </c>
      <c r="C31" s="8">
        <v>6</v>
      </c>
      <c r="D31" s="8" t="s">
        <v>865</v>
      </c>
      <c r="E31" s="8" t="s">
        <v>460</v>
      </c>
      <c r="F31" s="8" t="s">
        <v>1</v>
      </c>
      <c r="G31" s="8" t="s">
        <v>136</v>
      </c>
      <c r="H31" s="8" t="str">
        <f t="shared" si="2"/>
        <v>AA</v>
      </c>
      <c r="I31" s="40" t="str">
        <f>IF(B31="","",VLOOKUP(D31,加弹汇总表!C:E,3,FALSE))</f>
        <v>50网络</v>
      </c>
      <c r="M31" s="8">
        <v>659</v>
      </c>
      <c r="O31" s="71">
        <v>43741</v>
      </c>
      <c r="P31" s="72" t="str">
        <f>IF(B31="","",VLOOKUP(D31,setting!$C$2:$D$30,2,FALSE))</f>
        <v>喷水</v>
      </c>
      <c r="R31" s="30">
        <f t="shared" si="1"/>
        <v>10</v>
      </c>
    </row>
    <row r="32" spans="1:18" outlineLevel="1">
      <c r="A32" s="177" t="str">
        <f t="shared" si="0"/>
        <v>64009450D网络丝94/36黑喷水</v>
      </c>
      <c r="B32" s="39">
        <v>640094</v>
      </c>
      <c r="C32" s="8">
        <v>7</v>
      </c>
      <c r="D32" s="8" t="s">
        <v>865</v>
      </c>
      <c r="E32" s="8" t="s">
        <v>460</v>
      </c>
      <c r="F32" s="8" t="s">
        <v>1</v>
      </c>
      <c r="G32" s="8" t="s">
        <v>136</v>
      </c>
      <c r="H32" s="8" t="str">
        <f t="shared" si="2"/>
        <v>AA</v>
      </c>
      <c r="I32" s="40" t="str">
        <f>IF(B32="","",VLOOKUP(D32,加弹汇总表!C:E,3,FALSE))</f>
        <v>50网络</v>
      </c>
      <c r="M32" s="8">
        <v>587</v>
      </c>
      <c r="O32" s="71">
        <v>43741</v>
      </c>
      <c r="P32" s="72" t="str">
        <f>IF(B32="","",VLOOKUP(D32,setting!$C$2:$D$30,2,FALSE))</f>
        <v>喷水</v>
      </c>
      <c r="R32" s="30">
        <f t="shared" si="1"/>
        <v>10</v>
      </c>
    </row>
    <row r="33" spans="1:18" outlineLevel="1">
      <c r="A33" s="177" t="str">
        <f t="shared" si="0"/>
        <v>S2132575D网络丝130/48白喷水</v>
      </c>
      <c r="B33" s="39" t="s">
        <v>905</v>
      </c>
      <c r="C33" s="8">
        <v>2</v>
      </c>
      <c r="D33" s="8" t="s">
        <v>866</v>
      </c>
      <c r="E33" s="8" t="s">
        <v>381</v>
      </c>
      <c r="F33" s="8" t="s">
        <v>2</v>
      </c>
      <c r="G33" s="8" t="s">
        <v>158</v>
      </c>
      <c r="H33" s="8" t="str">
        <f t="shared" si="2"/>
        <v>AA</v>
      </c>
      <c r="I33" s="40" t="str">
        <f>IF(B33="","",VLOOKUP(D33,加弹汇总表!C:E,3,FALSE))</f>
        <v>75网络</v>
      </c>
      <c r="M33" s="8">
        <v>1201</v>
      </c>
      <c r="O33" s="71">
        <v>43741</v>
      </c>
      <c r="P33" s="72" t="str">
        <f>IF(B33="","",VLOOKUP(D33,setting!$C$2:$D$30,2,FALSE))</f>
        <v>喷水</v>
      </c>
      <c r="R33" s="30">
        <f t="shared" si="1"/>
        <v>10</v>
      </c>
    </row>
    <row r="34" spans="1:18" outlineLevel="1">
      <c r="A34" s="177" t="str">
        <f t="shared" si="0"/>
        <v>S2132575D网络丝130/48白喷水</v>
      </c>
      <c r="B34" s="39" t="s">
        <v>905</v>
      </c>
      <c r="C34" s="8">
        <v>7</v>
      </c>
      <c r="D34" s="8" t="s">
        <v>866</v>
      </c>
      <c r="E34" s="8" t="s">
        <v>381</v>
      </c>
      <c r="F34" s="8" t="s">
        <v>2</v>
      </c>
      <c r="G34" s="8" t="s">
        <v>158</v>
      </c>
      <c r="H34" s="8" t="str">
        <f t="shared" si="2"/>
        <v>AA</v>
      </c>
      <c r="I34" s="40" t="str">
        <f>IF(B34="","",VLOOKUP(D34,加弹汇总表!C:E,3,FALSE))</f>
        <v>75网络</v>
      </c>
      <c r="M34" s="8">
        <v>605.4</v>
      </c>
      <c r="O34" s="71">
        <v>43741</v>
      </c>
      <c r="P34" s="72" t="str">
        <f>IF(B34="","",VLOOKUP(D34,setting!$C$2:$D$30,2,FALSE))</f>
        <v>喷水</v>
      </c>
      <c r="R34" s="30">
        <f t="shared" si="1"/>
        <v>10</v>
      </c>
    </row>
    <row r="35" spans="1:18" outlineLevel="1">
      <c r="A35" s="177" t="str">
        <f t="shared" si="0"/>
        <v>8413275D网络丝132/48黑喷水</v>
      </c>
      <c r="B35" s="39">
        <v>84132</v>
      </c>
      <c r="C35" s="8">
        <v>5</v>
      </c>
      <c r="D35" s="8" t="s">
        <v>866</v>
      </c>
      <c r="E35" s="8" t="s">
        <v>391</v>
      </c>
      <c r="F35" s="8" t="s">
        <v>1</v>
      </c>
      <c r="G35" s="8" t="s">
        <v>136</v>
      </c>
      <c r="H35" s="8" t="str">
        <f t="shared" si="2"/>
        <v>AA</v>
      </c>
      <c r="I35" s="40" t="str">
        <f>IF(B35="","",VLOOKUP(D35,加弹汇总表!C:E,3,FALSE))</f>
        <v>75网络</v>
      </c>
      <c r="M35" s="8">
        <v>1309</v>
      </c>
      <c r="O35" s="71">
        <v>43741</v>
      </c>
      <c r="P35" s="72" t="str">
        <f>IF(B35="","",VLOOKUP(D35,setting!$C$2:$D$30,2,FALSE))</f>
        <v>喷水</v>
      </c>
      <c r="R35" s="30">
        <f t="shared" si="1"/>
        <v>10</v>
      </c>
    </row>
    <row r="36" spans="1:18" outlineLevel="1">
      <c r="A36" s="177" t="str">
        <f t="shared" si="0"/>
        <v>S2121150D 135度有温丝89/48白圆机</v>
      </c>
      <c r="B36" s="39" t="s">
        <v>456</v>
      </c>
      <c r="C36" s="8">
        <v>4</v>
      </c>
      <c r="D36" s="8" t="s">
        <v>848</v>
      </c>
      <c r="E36" s="8" t="s">
        <v>455</v>
      </c>
      <c r="F36" s="8" t="s">
        <v>2</v>
      </c>
      <c r="G36" s="8" t="s">
        <v>158</v>
      </c>
      <c r="H36" s="8" t="str">
        <f t="shared" si="2"/>
        <v>AA</v>
      </c>
      <c r="I36" s="40">
        <f>IF(B36="","",VLOOKUP(D36,加弹汇总表!C:E,3,FALSE))</f>
        <v>50</v>
      </c>
      <c r="M36" s="8">
        <v>589</v>
      </c>
      <c r="O36" s="73">
        <v>43742</v>
      </c>
      <c r="P36" s="72" t="str">
        <f>IF(B36="","",VLOOKUP(D36,setting!$C$2:$D$30,2,FALSE))</f>
        <v>圆机</v>
      </c>
      <c r="R36" s="30">
        <f t="shared" si="1"/>
        <v>10</v>
      </c>
    </row>
    <row r="37" spans="1:18" outlineLevel="1">
      <c r="A37" s="177" t="str">
        <f t="shared" si="0"/>
        <v>64009450D94/36黑圆机</v>
      </c>
      <c r="B37" s="39">
        <v>640094</v>
      </c>
      <c r="C37" s="8">
        <v>6</v>
      </c>
      <c r="D37" s="8" t="s">
        <v>850</v>
      </c>
      <c r="E37" s="8" t="s">
        <v>460</v>
      </c>
      <c r="F37" s="8" t="s">
        <v>1</v>
      </c>
      <c r="G37" s="8" t="s">
        <v>136</v>
      </c>
      <c r="H37" s="8" t="str">
        <f t="shared" si="2"/>
        <v>AA</v>
      </c>
      <c r="I37" s="40">
        <f>IF(B37="","",VLOOKUP(D37,加弹汇总表!C:E,3,FALSE))</f>
        <v>50</v>
      </c>
      <c r="M37" s="8">
        <v>756</v>
      </c>
      <c r="O37" s="73">
        <v>43742</v>
      </c>
      <c r="P37" s="72" t="str">
        <f>IF(B37="","",VLOOKUP(D37,setting!$C$2:$D$30,2,FALSE))</f>
        <v>圆机</v>
      </c>
      <c r="R37" s="30">
        <f t="shared" si="1"/>
        <v>10</v>
      </c>
    </row>
    <row r="38" spans="1:18" outlineLevel="1">
      <c r="A38" s="177" t="str">
        <f t="shared" si="0"/>
        <v>S2132575D 135度低温丝130/48白圆机</v>
      </c>
      <c r="B38" s="39" t="s">
        <v>384</v>
      </c>
      <c r="C38" s="8">
        <v>4</v>
      </c>
      <c r="D38" s="8" t="s">
        <v>856</v>
      </c>
      <c r="E38" s="8" t="s">
        <v>381</v>
      </c>
      <c r="F38" s="8" t="s">
        <v>2</v>
      </c>
      <c r="G38" s="8" t="s">
        <v>158</v>
      </c>
      <c r="H38" s="8" t="str">
        <f t="shared" si="2"/>
        <v>AA</v>
      </c>
      <c r="I38" s="40">
        <f>IF(B38="","",VLOOKUP(D38,加弹汇总表!C:E,3,FALSE))</f>
        <v>75</v>
      </c>
      <c r="M38" s="8">
        <v>1260</v>
      </c>
      <c r="O38" s="73">
        <v>43742</v>
      </c>
      <c r="P38" s="72" t="str">
        <f>IF(B38="","",VLOOKUP(D38,setting!$C$2:$D$30,2,FALSE))</f>
        <v>圆机</v>
      </c>
      <c r="R38" s="30">
        <f t="shared" si="1"/>
        <v>10</v>
      </c>
    </row>
    <row r="39" spans="1:18" outlineLevel="1">
      <c r="A39" s="177" t="str">
        <f t="shared" si="0"/>
        <v>S21102P20D网络丝35/24白喷水</v>
      </c>
      <c r="B39" s="39" t="s">
        <v>438</v>
      </c>
      <c r="C39" s="8">
        <v>3</v>
      </c>
      <c r="D39" s="8" t="s">
        <v>861</v>
      </c>
      <c r="E39" s="8" t="s">
        <v>437</v>
      </c>
      <c r="F39" s="8" t="s">
        <v>2</v>
      </c>
      <c r="G39" s="8" t="s">
        <v>158</v>
      </c>
      <c r="H39" s="8" t="str">
        <f t="shared" si="2"/>
        <v>AA</v>
      </c>
      <c r="I39" s="40" t="str">
        <f>IF(B39="","",VLOOKUP(D39,加弹汇总表!C:E,3,FALSE))</f>
        <v>20网络</v>
      </c>
      <c r="M39" s="8">
        <v>626</v>
      </c>
      <c r="O39" s="73">
        <v>43742</v>
      </c>
      <c r="P39" s="72" t="str">
        <f>IF(B39="","",VLOOKUP(D39,setting!$C$2:$D$30,2,FALSE))</f>
        <v>喷水</v>
      </c>
      <c r="R39" s="30">
        <f t="shared" si="1"/>
        <v>10</v>
      </c>
    </row>
    <row r="40" spans="1:18" outlineLevel="1">
      <c r="A40" s="177" t="str">
        <f t="shared" si="0"/>
        <v>24003620D网络丝36/24黑喷水</v>
      </c>
      <c r="B40" s="39">
        <v>240036</v>
      </c>
      <c r="C40" s="8">
        <v>8</v>
      </c>
      <c r="D40" s="8" t="s">
        <v>861</v>
      </c>
      <c r="E40" s="8" t="s">
        <v>447</v>
      </c>
      <c r="F40" s="8" t="s">
        <v>1</v>
      </c>
      <c r="G40" s="8" t="s">
        <v>136</v>
      </c>
      <c r="H40" s="8" t="str">
        <f t="shared" si="2"/>
        <v>AA</v>
      </c>
      <c r="I40" s="40" t="str">
        <f>IF(B40="","",VLOOKUP(D40,加弹汇总表!C:E,3,FALSE))</f>
        <v>20网络</v>
      </c>
      <c r="M40" s="8">
        <v>215</v>
      </c>
      <c r="O40" s="73">
        <v>43742</v>
      </c>
      <c r="P40" s="72" t="str">
        <f>IF(B40="","",VLOOKUP(D40,setting!$C$2:$D$30,2,FALSE))</f>
        <v>喷水</v>
      </c>
      <c r="R40" s="30">
        <f t="shared" si="1"/>
        <v>10</v>
      </c>
    </row>
    <row r="41" spans="1:18" outlineLevel="1">
      <c r="A41" s="177" t="str">
        <f t="shared" si="0"/>
        <v>24005530D网络丝55/24黑喷水</v>
      </c>
      <c r="B41" s="39">
        <v>240055</v>
      </c>
      <c r="C41" s="8">
        <v>8</v>
      </c>
      <c r="D41" s="8" t="s">
        <v>863</v>
      </c>
      <c r="E41" s="8" t="s">
        <v>452</v>
      </c>
      <c r="F41" s="8" t="s">
        <v>1</v>
      </c>
      <c r="G41" s="8" t="s">
        <v>136</v>
      </c>
      <c r="H41" s="8" t="str">
        <f t="shared" si="2"/>
        <v>AA</v>
      </c>
      <c r="I41" s="40" t="str">
        <f>IF(B41="","",VLOOKUP(D41,加弹汇总表!C:E,3,FALSE))</f>
        <v>30网络</v>
      </c>
      <c r="M41" s="8">
        <v>182.9</v>
      </c>
      <c r="O41" s="73">
        <v>43742</v>
      </c>
      <c r="P41" s="72" t="str">
        <f>IF(B41="","",VLOOKUP(D41,setting!$C$2:$D$30,2,FALSE))</f>
        <v>喷水</v>
      </c>
      <c r="R41" s="30">
        <f t="shared" si="1"/>
        <v>10</v>
      </c>
    </row>
    <row r="42" spans="1:18" outlineLevel="1">
      <c r="A42" s="177" t="str">
        <f t="shared" si="0"/>
        <v>S2121150D网络丝89/48白喷水</v>
      </c>
      <c r="B42" s="39" t="s">
        <v>456</v>
      </c>
      <c r="C42" s="8">
        <v>1</v>
      </c>
      <c r="D42" s="8" t="s">
        <v>865</v>
      </c>
      <c r="E42" s="8" t="s">
        <v>455</v>
      </c>
      <c r="F42" s="8" t="s">
        <v>2</v>
      </c>
      <c r="G42" s="8" t="s">
        <v>158</v>
      </c>
      <c r="H42" s="8" t="str">
        <f t="shared" si="2"/>
        <v>AA</v>
      </c>
      <c r="I42" s="40" t="str">
        <f>IF(B42="","",VLOOKUP(D42,加弹汇总表!C:E,3,FALSE))</f>
        <v>50网络</v>
      </c>
      <c r="M42" s="8">
        <v>1874</v>
      </c>
      <c r="O42" s="73">
        <v>43742</v>
      </c>
      <c r="P42" s="72" t="str">
        <f>IF(B42="","",VLOOKUP(D42,setting!$C$2:$D$30,2,FALSE))</f>
        <v>喷水</v>
      </c>
      <c r="R42" s="30">
        <f t="shared" si="1"/>
        <v>10</v>
      </c>
    </row>
    <row r="43" spans="1:18" outlineLevel="1">
      <c r="A43" s="177" t="str">
        <f t="shared" si="0"/>
        <v>64009450D网络丝94/36黑喷水</v>
      </c>
      <c r="B43" s="39">
        <v>640094</v>
      </c>
      <c r="C43" s="8">
        <v>6</v>
      </c>
      <c r="D43" s="8" t="s">
        <v>865</v>
      </c>
      <c r="E43" s="8" t="s">
        <v>460</v>
      </c>
      <c r="F43" s="8" t="s">
        <v>1</v>
      </c>
      <c r="G43" s="8" t="s">
        <v>136</v>
      </c>
      <c r="H43" s="8" t="str">
        <f t="shared" si="2"/>
        <v>AA</v>
      </c>
      <c r="I43" s="40" t="str">
        <f>IF(B43="","",VLOOKUP(D43,加弹汇总表!C:E,3,FALSE))</f>
        <v>50网络</v>
      </c>
      <c r="M43" s="8">
        <v>698</v>
      </c>
      <c r="O43" s="73">
        <v>43742</v>
      </c>
      <c r="P43" s="72" t="str">
        <f>IF(B43="","",VLOOKUP(D43,setting!$C$2:$D$30,2,FALSE))</f>
        <v>喷水</v>
      </c>
      <c r="R43" s="30">
        <f t="shared" si="1"/>
        <v>10</v>
      </c>
    </row>
    <row r="44" spans="1:18" outlineLevel="1">
      <c r="A44" s="177" t="str">
        <f t="shared" si="0"/>
        <v>64009450D网络丝94/36黑喷水</v>
      </c>
      <c r="B44" s="39">
        <v>640094</v>
      </c>
      <c r="C44" s="8">
        <v>7</v>
      </c>
      <c r="D44" s="8" t="s">
        <v>865</v>
      </c>
      <c r="E44" s="8" t="s">
        <v>460</v>
      </c>
      <c r="F44" s="8" t="s">
        <v>1</v>
      </c>
      <c r="G44" s="8" t="s">
        <v>136</v>
      </c>
      <c r="H44" s="8" t="str">
        <f t="shared" si="2"/>
        <v>AA</v>
      </c>
      <c r="I44" s="40" t="str">
        <f>IF(B44="","",VLOOKUP(D44,加弹汇总表!C:E,3,FALSE))</f>
        <v>50网络</v>
      </c>
      <c r="M44" s="8">
        <v>680</v>
      </c>
      <c r="O44" s="73">
        <v>43742</v>
      </c>
      <c r="P44" s="72" t="str">
        <f>IF(B44="","",VLOOKUP(D44,setting!$C$2:$D$30,2,FALSE))</f>
        <v>喷水</v>
      </c>
      <c r="R44" s="30">
        <f t="shared" si="1"/>
        <v>10</v>
      </c>
    </row>
    <row r="45" spans="1:18" outlineLevel="1">
      <c r="A45" s="177" t="str">
        <f t="shared" si="0"/>
        <v>S2132575D网络丝130/48白喷水</v>
      </c>
      <c r="B45" s="39" t="s">
        <v>384</v>
      </c>
      <c r="C45" s="8">
        <v>2</v>
      </c>
      <c r="D45" s="8" t="s">
        <v>866</v>
      </c>
      <c r="E45" s="8" t="s">
        <v>381</v>
      </c>
      <c r="F45" s="8" t="s">
        <v>2</v>
      </c>
      <c r="G45" s="8" t="s">
        <v>158</v>
      </c>
      <c r="H45" s="8" t="str">
        <f t="shared" si="2"/>
        <v>AA</v>
      </c>
      <c r="I45" s="40" t="str">
        <f>IF(B45="","",VLOOKUP(D45,加弹汇总表!C:E,3,FALSE))</f>
        <v>75网络</v>
      </c>
      <c r="M45" s="8">
        <v>2437.7199999999998</v>
      </c>
      <c r="O45" s="73">
        <v>43742</v>
      </c>
      <c r="P45" s="72" t="str">
        <f>IF(B45="","",VLOOKUP(D45,setting!$C$2:$D$30,2,FALSE))</f>
        <v>喷水</v>
      </c>
      <c r="R45" s="30">
        <f t="shared" si="1"/>
        <v>10</v>
      </c>
    </row>
    <row r="46" spans="1:18" outlineLevel="1">
      <c r="A46" s="177" t="str">
        <f t="shared" si="0"/>
        <v>S2132575D网络丝130/48白喷水</v>
      </c>
      <c r="B46" s="39" t="s">
        <v>384</v>
      </c>
      <c r="C46" s="8">
        <v>7</v>
      </c>
      <c r="D46" s="8" t="s">
        <v>866</v>
      </c>
      <c r="E46" s="8" t="s">
        <v>381</v>
      </c>
      <c r="F46" s="8" t="s">
        <v>2</v>
      </c>
      <c r="G46" s="8" t="s">
        <v>158</v>
      </c>
      <c r="H46" s="8" t="str">
        <f t="shared" si="2"/>
        <v>AA</v>
      </c>
      <c r="I46" s="40" t="str">
        <f>IF(B46="","",VLOOKUP(D46,加弹汇总表!C:E,3,FALSE))</f>
        <v>75网络</v>
      </c>
      <c r="M46" s="8">
        <v>583.66999999999996</v>
      </c>
      <c r="O46" s="73">
        <v>43742</v>
      </c>
      <c r="P46" s="72" t="str">
        <f>IF(B46="","",VLOOKUP(D46,setting!$C$2:$D$30,2,FALSE))</f>
        <v>喷水</v>
      </c>
      <c r="R46" s="30">
        <f t="shared" si="1"/>
        <v>10</v>
      </c>
    </row>
    <row r="47" spans="1:18" outlineLevel="1">
      <c r="A47" s="177" t="str">
        <f t="shared" si="0"/>
        <v>8413275D网络丝132/48黑喷水</v>
      </c>
      <c r="B47" s="39">
        <v>84132</v>
      </c>
      <c r="C47" s="8">
        <v>5</v>
      </c>
      <c r="D47" s="8" t="s">
        <v>866</v>
      </c>
      <c r="E47" s="8" t="s">
        <v>391</v>
      </c>
      <c r="F47" s="8" t="s">
        <v>1</v>
      </c>
      <c r="G47" s="8" t="s">
        <v>136</v>
      </c>
      <c r="H47" s="8" t="str">
        <f t="shared" si="2"/>
        <v>AA</v>
      </c>
      <c r="I47" s="40" t="str">
        <f>IF(B47="","",VLOOKUP(D47,加弹汇总表!C:E,3,FALSE))</f>
        <v>75网络</v>
      </c>
      <c r="M47" s="8">
        <v>1919</v>
      </c>
      <c r="O47" s="73">
        <v>43742</v>
      </c>
      <c r="P47" s="72" t="str">
        <f>IF(B47="","",VLOOKUP(D47,setting!$C$2:$D$30,2,FALSE))</f>
        <v>喷水</v>
      </c>
      <c r="R47" s="30">
        <f t="shared" si="1"/>
        <v>10</v>
      </c>
    </row>
    <row r="48" spans="1:18" outlineLevel="1">
      <c r="A48" s="177" t="str">
        <f t="shared" si="0"/>
        <v>S2121150D 135度有温丝89/48白圆机</v>
      </c>
      <c r="B48" s="39" t="s">
        <v>456</v>
      </c>
      <c r="C48" s="8">
        <v>4</v>
      </c>
      <c r="D48" s="8" t="s">
        <v>848</v>
      </c>
      <c r="E48" s="8" t="s">
        <v>455</v>
      </c>
      <c r="F48" s="8" t="s">
        <v>2</v>
      </c>
      <c r="G48" s="8" t="s">
        <v>158</v>
      </c>
      <c r="H48" s="8" t="str">
        <f t="shared" si="2"/>
        <v>AA</v>
      </c>
      <c r="I48" s="40">
        <f>IF(B48="","",VLOOKUP(D48,加弹汇总表!C:E,3,FALSE))</f>
        <v>50</v>
      </c>
      <c r="M48" s="8">
        <v>1232.5</v>
      </c>
      <c r="O48" s="73">
        <v>43743</v>
      </c>
      <c r="P48" s="72" t="str">
        <f>IF(B48="","",VLOOKUP(D48,setting!$C$2:$D$30,2,FALSE))</f>
        <v>圆机</v>
      </c>
      <c r="R48" s="30">
        <f t="shared" si="1"/>
        <v>10</v>
      </c>
    </row>
    <row r="49" spans="1:18" outlineLevel="1">
      <c r="A49" s="177" t="str">
        <f t="shared" si="0"/>
        <v>64009450D94/36黑圆机</v>
      </c>
      <c r="B49" s="39">
        <v>640094</v>
      </c>
      <c r="C49" s="8">
        <v>6</v>
      </c>
      <c r="D49" s="8" t="s">
        <v>850</v>
      </c>
      <c r="E49" s="8" t="s">
        <v>460</v>
      </c>
      <c r="F49" s="8" t="s">
        <v>1</v>
      </c>
      <c r="G49" s="8" t="s">
        <v>136</v>
      </c>
      <c r="H49" s="8" t="str">
        <f t="shared" si="2"/>
        <v>AA</v>
      </c>
      <c r="I49" s="40">
        <f>IF(B49="","",VLOOKUP(D49,加弹汇总表!C:E,3,FALSE))</f>
        <v>50</v>
      </c>
      <c r="M49" s="8">
        <v>610</v>
      </c>
      <c r="O49" s="73">
        <v>43743</v>
      </c>
      <c r="P49" s="72" t="str">
        <f>IF(B49="","",VLOOKUP(D49,setting!$C$2:$D$30,2,FALSE))</f>
        <v>圆机</v>
      </c>
      <c r="R49" s="30">
        <f t="shared" si="1"/>
        <v>10</v>
      </c>
    </row>
    <row r="50" spans="1:18" outlineLevel="1">
      <c r="A50" s="177" t="str">
        <f t="shared" si="0"/>
        <v>S2132575D 135度低温丝130/48白圆机</v>
      </c>
      <c r="B50" s="39" t="s">
        <v>384</v>
      </c>
      <c r="C50" s="8">
        <v>4</v>
      </c>
      <c r="D50" s="8" t="s">
        <v>856</v>
      </c>
      <c r="E50" s="8" t="s">
        <v>381</v>
      </c>
      <c r="F50" s="8" t="s">
        <v>2</v>
      </c>
      <c r="G50" s="8" t="s">
        <v>158</v>
      </c>
      <c r="H50" s="8" t="str">
        <f t="shared" si="2"/>
        <v>AA</v>
      </c>
      <c r="I50" s="40">
        <f>IF(B50="","",VLOOKUP(D50,加弹汇总表!C:E,3,FALSE))</f>
        <v>75</v>
      </c>
      <c r="M50" s="8">
        <v>1191</v>
      </c>
      <c r="O50" s="73">
        <v>43743</v>
      </c>
      <c r="P50" s="72" t="str">
        <f>IF(B50="","",VLOOKUP(D50,setting!$C$2:$D$30,2,FALSE))</f>
        <v>圆机</v>
      </c>
      <c r="R50" s="30">
        <f t="shared" si="1"/>
        <v>10</v>
      </c>
    </row>
    <row r="51" spans="1:18" outlineLevel="1">
      <c r="A51" s="177" t="str">
        <f t="shared" si="0"/>
        <v>S21102P20D网络丝35/24白喷水</v>
      </c>
      <c r="B51" s="39" t="s">
        <v>438</v>
      </c>
      <c r="C51" s="8">
        <v>3</v>
      </c>
      <c r="D51" s="8" t="s">
        <v>861</v>
      </c>
      <c r="E51" s="8" t="s">
        <v>437</v>
      </c>
      <c r="F51" s="8" t="s">
        <v>2</v>
      </c>
      <c r="G51" s="8" t="s">
        <v>158</v>
      </c>
      <c r="H51" s="8" t="str">
        <f t="shared" si="2"/>
        <v>AA</v>
      </c>
      <c r="I51" s="40" t="str">
        <f>IF(B51="","",VLOOKUP(D51,加弹汇总表!C:E,3,FALSE))</f>
        <v>20网络</v>
      </c>
      <c r="M51" s="8">
        <v>319</v>
      </c>
      <c r="O51" s="73">
        <v>43743</v>
      </c>
      <c r="P51" s="72" t="str">
        <f>IF(B51="","",VLOOKUP(D51,setting!$C$2:$D$30,2,FALSE))</f>
        <v>喷水</v>
      </c>
      <c r="R51" s="30">
        <f t="shared" si="1"/>
        <v>10</v>
      </c>
    </row>
    <row r="52" spans="1:18" outlineLevel="1">
      <c r="A52" s="177" t="str">
        <f t="shared" si="0"/>
        <v>24003620D网络丝36/24黑喷水</v>
      </c>
      <c r="B52" s="39">
        <v>240036</v>
      </c>
      <c r="C52" s="8">
        <v>8</v>
      </c>
      <c r="D52" s="8" t="s">
        <v>861</v>
      </c>
      <c r="E52" s="8" t="s">
        <v>447</v>
      </c>
      <c r="F52" s="8" t="s">
        <v>1</v>
      </c>
      <c r="G52" s="8" t="s">
        <v>136</v>
      </c>
      <c r="H52" s="8" t="str">
        <f t="shared" si="2"/>
        <v>AA</v>
      </c>
      <c r="I52" s="40" t="str">
        <f>IF(B52="","",VLOOKUP(D52,加弹汇总表!C:E,3,FALSE))</f>
        <v>20网络</v>
      </c>
      <c r="M52" s="8">
        <v>45</v>
      </c>
      <c r="O52" s="73">
        <v>43743</v>
      </c>
      <c r="P52" s="72" t="str">
        <f>IF(B52="","",VLOOKUP(D52,setting!$C$2:$D$30,2,FALSE))</f>
        <v>喷水</v>
      </c>
      <c r="R52" s="30">
        <f t="shared" si="1"/>
        <v>10</v>
      </c>
    </row>
    <row r="53" spans="1:18" outlineLevel="1">
      <c r="A53" s="177" t="str">
        <f t="shared" si="0"/>
        <v>24005530D网络丝55/24黑喷水</v>
      </c>
      <c r="B53" s="39">
        <v>240055</v>
      </c>
      <c r="C53" s="8">
        <v>8</v>
      </c>
      <c r="D53" s="8" t="s">
        <v>863</v>
      </c>
      <c r="E53" s="8" t="s">
        <v>452</v>
      </c>
      <c r="F53" s="8" t="s">
        <v>1</v>
      </c>
      <c r="G53" s="8" t="s">
        <v>136</v>
      </c>
      <c r="H53" s="8" t="str">
        <f t="shared" si="2"/>
        <v>AA</v>
      </c>
      <c r="I53" s="40" t="str">
        <f>IF(B53="","",VLOOKUP(D53,加弹汇总表!C:E,3,FALSE))</f>
        <v>30网络</v>
      </c>
      <c r="M53" s="8">
        <v>346.63</v>
      </c>
      <c r="O53" s="73">
        <v>43743</v>
      </c>
      <c r="P53" s="72" t="str">
        <f>IF(B53="","",VLOOKUP(D53,setting!$C$2:$D$30,2,FALSE))</f>
        <v>喷水</v>
      </c>
      <c r="R53" s="30">
        <f t="shared" si="1"/>
        <v>10</v>
      </c>
    </row>
    <row r="54" spans="1:18" outlineLevel="1">
      <c r="A54" s="177" t="str">
        <f t="shared" si="0"/>
        <v>S2121150D网络丝89/48白喷水</v>
      </c>
      <c r="B54" s="39" t="s">
        <v>456</v>
      </c>
      <c r="C54" s="8">
        <v>1</v>
      </c>
      <c r="D54" s="8" t="s">
        <v>865</v>
      </c>
      <c r="E54" s="8" t="s">
        <v>455</v>
      </c>
      <c r="F54" s="8" t="s">
        <v>2</v>
      </c>
      <c r="G54" s="8" t="s">
        <v>158</v>
      </c>
      <c r="H54" s="8" t="str">
        <f t="shared" si="2"/>
        <v>AA</v>
      </c>
      <c r="I54" s="40" t="str">
        <f>IF(B54="","",VLOOKUP(D54,加弹汇总表!C:E,3,FALSE))</f>
        <v>50网络</v>
      </c>
      <c r="M54" s="8">
        <v>1158</v>
      </c>
      <c r="O54" s="73">
        <v>43743</v>
      </c>
      <c r="P54" s="72" t="str">
        <f>IF(B54="","",VLOOKUP(D54,setting!$C$2:$D$30,2,FALSE))</f>
        <v>喷水</v>
      </c>
      <c r="R54" s="30">
        <f t="shared" si="1"/>
        <v>10</v>
      </c>
    </row>
    <row r="55" spans="1:18" outlineLevel="1">
      <c r="A55" s="177" t="str">
        <f t="shared" si="0"/>
        <v>64009450D网络丝94/36黑喷水</v>
      </c>
      <c r="B55" s="39">
        <v>640094</v>
      </c>
      <c r="C55" s="8">
        <v>6</v>
      </c>
      <c r="D55" s="8" t="s">
        <v>865</v>
      </c>
      <c r="E55" s="8" t="s">
        <v>460</v>
      </c>
      <c r="F55" s="8" t="s">
        <v>1</v>
      </c>
      <c r="G55" s="8" t="s">
        <v>136</v>
      </c>
      <c r="H55" s="8" t="str">
        <f t="shared" si="2"/>
        <v>AA</v>
      </c>
      <c r="I55" s="40" t="str">
        <f>IF(B55="","",VLOOKUP(D55,加弹汇总表!C:E,3,FALSE))</f>
        <v>50网络</v>
      </c>
      <c r="M55" s="8">
        <v>581</v>
      </c>
      <c r="O55" s="73">
        <v>43743</v>
      </c>
      <c r="P55" s="72" t="str">
        <f>IF(B55="","",VLOOKUP(D55,setting!$C$2:$D$30,2,FALSE))</f>
        <v>喷水</v>
      </c>
      <c r="R55" s="30">
        <f t="shared" si="1"/>
        <v>10</v>
      </c>
    </row>
    <row r="56" spans="1:18" outlineLevel="1">
      <c r="A56" s="177" t="str">
        <f t="shared" si="0"/>
        <v>64009450D网络丝94/36黑喷水</v>
      </c>
      <c r="B56" s="39">
        <v>640094</v>
      </c>
      <c r="C56" s="8">
        <v>7</v>
      </c>
      <c r="D56" s="8" t="s">
        <v>865</v>
      </c>
      <c r="E56" s="8" t="s">
        <v>460</v>
      </c>
      <c r="F56" s="8" t="s">
        <v>1</v>
      </c>
      <c r="G56" s="8" t="s">
        <v>136</v>
      </c>
      <c r="H56" s="8" t="str">
        <f t="shared" si="2"/>
        <v>AA</v>
      </c>
      <c r="I56" s="40" t="str">
        <f>IF(B56="","",VLOOKUP(D56,加弹汇总表!C:E,3,FALSE))</f>
        <v>50网络</v>
      </c>
      <c r="M56" s="8">
        <v>591</v>
      </c>
      <c r="O56" s="73">
        <v>43743</v>
      </c>
      <c r="P56" s="72" t="str">
        <f>IF(B56="","",VLOOKUP(D56,setting!$C$2:$D$30,2,FALSE))</f>
        <v>喷水</v>
      </c>
      <c r="R56" s="30">
        <f t="shared" si="1"/>
        <v>10</v>
      </c>
    </row>
    <row r="57" spans="1:18" outlineLevel="1">
      <c r="A57" s="177" t="str">
        <f t="shared" si="0"/>
        <v>S2132575D网络丝130/48白喷水</v>
      </c>
      <c r="B57" s="39" t="s">
        <v>384</v>
      </c>
      <c r="C57" s="8">
        <v>2</v>
      </c>
      <c r="D57" s="8" t="s">
        <v>866</v>
      </c>
      <c r="E57" s="8" t="s">
        <v>381</v>
      </c>
      <c r="F57" s="8" t="s">
        <v>2</v>
      </c>
      <c r="G57" s="8" t="s">
        <v>158</v>
      </c>
      <c r="H57" s="8" t="str">
        <f t="shared" si="2"/>
        <v>AA</v>
      </c>
      <c r="I57" s="40" t="str">
        <f>IF(B57="","",VLOOKUP(D57,加弹汇总表!C:E,3,FALSE))</f>
        <v>75网络</v>
      </c>
      <c r="M57" s="8">
        <v>2365.98</v>
      </c>
      <c r="O57" s="73">
        <v>43743</v>
      </c>
      <c r="P57" s="72" t="str">
        <f>IF(B57="","",VLOOKUP(D57,setting!$C$2:$D$30,2,FALSE))</f>
        <v>喷水</v>
      </c>
      <c r="R57" s="30">
        <f t="shared" si="1"/>
        <v>10</v>
      </c>
    </row>
    <row r="58" spans="1:18" outlineLevel="1">
      <c r="A58" s="177" t="str">
        <f t="shared" si="0"/>
        <v>S2132575D网络丝130/48白喷水</v>
      </c>
      <c r="B58" s="39" t="s">
        <v>384</v>
      </c>
      <c r="C58" s="8">
        <v>7</v>
      </c>
      <c r="D58" s="8" t="s">
        <v>866</v>
      </c>
      <c r="E58" s="8" t="s">
        <v>381</v>
      </c>
      <c r="F58" s="8" t="s">
        <v>2</v>
      </c>
      <c r="G58" s="8" t="s">
        <v>158</v>
      </c>
      <c r="H58" s="8" t="str">
        <f t="shared" si="2"/>
        <v>AA</v>
      </c>
      <c r="I58" s="40" t="str">
        <f>IF(B58="","",VLOOKUP(D58,加弹汇总表!C:E,3,FALSE))</f>
        <v>75网络</v>
      </c>
      <c r="M58" s="8">
        <v>1154.3399999999999</v>
      </c>
      <c r="O58" s="73">
        <v>43743</v>
      </c>
      <c r="P58" s="72" t="str">
        <f>IF(B58="","",VLOOKUP(D58,setting!$C$2:$D$30,2,FALSE))</f>
        <v>喷水</v>
      </c>
      <c r="R58" s="30">
        <f t="shared" si="1"/>
        <v>10</v>
      </c>
    </row>
    <row r="59" spans="1:18" outlineLevel="1">
      <c r="A59" s="177" t="str">
        <f t="shared" si="0"/>
        <v>8413275D网络丝132/48黑喷水</v>
      </c>
      <c r="B59" s="39">
        <v>84132</v>
      </c>
      <c r="C59" s="8">
        <v>5</v>
      </c>
      <c r="D59" s="8" t="s">
        <v>866</v>
      </c>
      <c r="E59" s="8" t="s">
        <v>391</v>
      </c>
      <c r="F59" s="8" t="s">
        <v>1</v>
      </c>
      <c r="G59" s="8" t="s">
        <v>136</v>
      </c>
      <c r="H59" s="8" t="str">
        <f t="shared" si="2"/>
        <v>AA</v>
      </c>
      <c r="I59" s="40" t="str">
        <f>IF(B59="","",VLOOKUP(D59,加弹汇总表!C:E,3,FALSE))</f>
        <v>75网络</v>
      </c>
      <c r="M59" s="8">
        <v>1310</v>
      </c>
      <c r="O59" s="73">
        <v>43743</v>
      </c>
      <c r="P59" s="72" t="str">
        <f>IF(B59="","",VLOOKUP(D59,setting!$C$2:$D$30,2,FALSE))</f>
        <v>喷水</v>
      </c>
      <c r="R59" s="30">
        <f t="shared" si="1"/>
        <v>10</v>
      </c>
    </row>
    <row r="60" spans="1:18" outlineLevel="1">
      <c r="A60" s="177" t="str">
        <f t="shared" si="0"/>
        <v>S2121150D 135度有温丝89/48白圆机</v>
      </c>
      <c r="B60" s="39" t="s">
        <v>456</v>
      </c>
      <c r="C60" s="8">
        <v>4</v>
      </c>
      <c r="D60" s="8" t="s">
        <v>848</v>
      </c>
      <c r="E60" s="8" t="s">
        <v>455</v>
      </c>
      <c r="F60" s="8" t="s">
        <v>2</v>
      </c>
      <c r="G60" s="8" t="s">
        <v>158</v>
      </c>
      <c r="H60" s="8" t="str">
        <f t="shared" si="2"/>
        <v>AA</v>
      </c>
      <c r="I60" s="40">
        <f>IF(B60="","",VLOOKUP(D60,加弹汇总表!C:E,3,FALSE))</f>
        <v>50</v>
      </c>
      <c r="M60" s="8">
        <v>601</v>
      </c>
      <c r="O60" s="73">
        <v>43744</v>
      </c>
      <c r="P60" s="72" t="str">
        <f>IF(B60="","",VLOOKUP(D60,setting!$C$2:$D$30,2,FALSE))</f>
        <v>圆机</v>
      </c>
      <c r="R60" s="30">
        <f t="shared" si="1"/>
        <v>10</v>
      </c>
    </row>
    <row r="61" spans="1:18" outlineLevel="1">
      <c r="A61" s="177" t="str">
        <f t="shared" si="0"/>
        <v>64009450D94/36黑圆机</v>
      </c>
      <c r="B61" s="39">
        <v>640094</v>
      </c>
      <c r="C61" s="8">
        <v>6</v>
      </c>
      <c r="D61" s="8" t="s">
        <v>850</v>
      </c>
      <c r="E61" s="8" t="s">
        <v>460</v>
      </c>
      <c r="F61" s="8" t="s">
        <v>1</v>
      </c>
      <c r="G61" s="8" t="s">
        <v>136</v>
      </c>
      <c r="H61" s="8" t="str">
        <f t="shared" si="2"/>
        <v>AA</v>
      </c>
      <c r="I61" s="40">
        <f>IF(B61="","",VLOOKUP(D61,加弹汇总表!C:E,3,FALSE))</f>
        <v>50</v>
      </c>
      <c r="M61" s="8">
        <v>617</v>
      </c>
      <c r="O61" s="73">
        <v>43744</v>
      </c>
      <c r="P61" s="72" t="str">
        <f>IF(B61="","",VLOOKUP(D61,setting!$C$2:$D$30,2,FALSE))</f>
        <v>圆机</v>
      </c>
      <c r="R61" s="30">
        <f t="shared" si="1"/>
        <v>10</v>
      </c>
    </row>
    <row r="62" spans="1:18" outlineLevel="1">
      <c r="A62" s="177" t="str">
        <f t="shared" si="0"/>
        <v>S2132575D 135度低温丝130/48白圆机</v>
      </c>
      <c r="B62" s="39" t="s">
        <v>384</v>
      </c>
      <c r="C62" s="8">
        <v>4</v>
      </c>
      <c r="D62" s="8" t="s">
        <v>856</v>
      </c>
      <c r="E62" s="8" t="s">
        <v>381</v>
      </c>
      <c r="F62" s="8" t="s">
        <v>2</v>
      </c>
      <c r="G62" s="8" t="s">
        <v>158</v>
      </c>
      <c r="H62" s="8" t="str">
        <f t="shared" si="2"/>
        <v>AA</v>
      </c>
      <c r="I62" s="40">
        <f>IF(B62="","",VLOOKUP(D62,加弹汇总表!C:E,3,FALSE))</f>
        <v>75</v>
      </c>
      <c r="M62" s="8">
        <v>1223</v>
      </c>
      <c r="O62" s="73">
        <v>43744</v>
      </c>
      <c r="P62" s="72" t="str">
        <f>IF(B62="","",VLOOKUP(D62,setting!$C$2:$D$30,2,FALSE))</f>
        <v>圆机</v>
      </c>
      <c r="R62" s="30">
        <f t="shared" si="1"/>
        <v>10</v>
      </c>
    </row>
    <row r="63" spans="1:18" outlineLevel="1">
      <c r="A63" s="177" t="str">
        <f t="shared" si="0"/>
        <v>S21102P20D网络丝35/24白喷水</v>
      </c>
      <c r="B63" s="39" t="s">
        <v>438</v>
      </c>
      <c r="C63" s="8">
        <v>3</v>
      </c>
      <c r="D63" s="8" t="s">
        <v>861</v>
      </c>
      <c r="E63" s="8" t="s">
        <v>437</v>
      </c>
      <c r="F63" s="8" t="s">
        <v>2</v>
      </c>
      <c r="G63" s="8" t="s">
        <v>158</v>
      </c>
      <c r="H63" s="8" t="str">
        <f t="shared" si="2"/>
        <v>AA</v>
      </c>
      <c r="I63" s="40" t="str">
        <f>IF(B63="","",VLOOKUP(D63,加弹汇总表!C:E,3,FALSE))</f>
        <v>20网络</v>
      </c>
      <c r="M63" s="8">
        <v>654</v>
      </c>
      <c r="O63" s="73">
        <v>43744</v>
      </c>
      <c r="P63" s="72" t="str">
        <f>IF(B63="","",VLOOKUP(D63,setting!$C$2:$D$30,2,FALSE))</f>
        <v>喷水</v>
      </c>
      <c r="R63" s="30">
        <f t="shared" si="1"/>
        <v>10</v>
      </c>
    </row>
    <row r="64" spans="1:18" outlineLevel="1">
      <c r="A64" s="177" t="str">
        <f t="shared" si="0"/>
        <v>24003620D网络丝36/24黑喷水</v>
      </c>
      <c r="B64" s="39">
        <v>240036</v>
      </c>
      <c r="C64" s="8">
        <v>8</v>
      </c>
      <c r="D64" s="8" t="s">
        <v>861</v>
      </c>
      <c r="E64" s="8" t="s">
        <v>447</v>
      </c>
      <c r="F64" s="8" t="s">
        <v>1</v>
      </c>
      <c r="G64" s="8" t="s">
        <v>136</v>
      </c>
      <c r="H64" s="8" t="str">
        <f t="shared" si="2"/>
        <v>AA</v>
      </c>
      <c r="I64" s="40" t="str">
        <f>IF(B64="","",VLOOKUP(D64,加弹汇总表!C:E,3,FALSE))</f>
        <v>20网络</v>
      </c>
      <c r="M64" s="8">
        <v>325</v>
      </c>
      <c r="O64" s="73">
        <v>43744</v>
      </c>
      <c r="P64" s="72" t="str">
        <f>IF(B64="","",VLOOKUP(D64,setting!$C$2:$D$30,2,FALSE))</f>
        <v>喷水</v>
      </c>
      <c r="R64" s="30">
        <f t="shared" si="1"/>
        <v>10</v>
      </c>
    </row>
    <row r="65" spans="1:18" outlineLevel="1">
      <c r="A65" s="177" t="str">
        <f t="shared" si="0"/>
        <v>24005530D网络丝55/24黑喷水</v>
      </c>
      <c r="B65" s="39">
        <v>240055</v>
      </c>
      <c r="C65" s="8">
        <v>8</v>
      </c>
      <c r="D65" s="8" t="s">
        <v>863</v>
      </c>
      <c r="E65" s="8" t="s">
        <v>452</v>
      </c>
      <c r="F65" s="8" t="s">
        <v>1</v>
      </c>
      <c r="G65" s="8" t="s">
        <v>136</v>
      </c>
      <c r="H65" s="8" t="str">
        <f t="shared" si="2"/>
        <v>AA</v>
      </c>
      <c r="I65" s="40" t="str">
        <f>IF(B65="","",VLOOKUP(D65,加弹汇总表!C:E,3,FALSE))</f>
        <v>30网络</v>
      </c>
      <c r="M65" s="8">
        <v>333.27</v>
      </c>
      <c r="O65" s="73">
        <v>43744</v>
      </c>
      <c r="P65" s="72" t="str">
        <f>IF(B65="","",VLOOKUP(D65,setting!$C$2:$D$30,2,FALSE))</f>
        <v>喷水</v>
      </c>
      <c r="R65" s="30">
        <f t="shared" si="1"/>
        <v>10</v>
      </c>
    </row>
    <row r="66" spans="1:18" outlineLevel="1">
      <c r="A66" s="177" t="str">
        <f t="shared" ref="A66:A129" si="3">B66&amp;D66&amp;E66&amp;F66&amp;P66</f>
        <v>S2121150D网络丝89/48白喷水</v>
      </c>
      <c r="B66" s="39" t="s">
        <v>456</v>
      </c>
      <c r="C66" s="8">
        <v>1</v>
      </c>
      <c r="D66" s="8" t="s">
        <v>865</v>
      </c>
      <c r="E66" s="8" t="s">
        <v>455</v>
      </c>
      <c r="F66" s="8" t="s">
        <v>2</v>
      </c>
      <c r="G66" s="8" t="s">
        <v>158</v>
      </c>
      <c r="H66" s="8" t="str">
        <f t="shared" si="2"/>
        <v>AA</v>
      </c>
      <c r="I66" s="40" t="str">
        <f>IF(B66="","",VLOOKUP(D66,加弹汇总表!C:E,3,FALSE))</f>
        <v>50网络</v>
      </c>
      <c r="M66" s="8">
        <v>1370</v>
      </c>
      <c r="O66" s="73">
        <v>43744</v>
      </c>
      <c r="P66" s="72" t="str">
        <f>IF(B66="","",VLOOKUP(D66,setting!$C$2:$D$30,2,FALSE))</f>
        <v>喷水</v>
      </c>
      <c r="R66" s="30">
        <f t="shared" ref="R66:R129" si="4">IF(O66="","",MONTH(O66))</f>
        <v>10</v>
      </c>
    </row>
    <row r="67" spans="1:18" outlineLevel="1">
      <c r="A67" s="177" t="str">
        <f t="shared" si="3"/>
        <v>64009450D网络丝94/36黑喷水</v>
      </c>
      <c r="B67" s="39">
        <v>640094</v>
      </c>
      <c r="C67" s="8">
        <v>6</v>
      </c>
      <c r="D67" s="8" t="s">
        <v>865</v>
      </c>
      <c r="E67" s="8" t="s">
        <v>460</v>
      </c>
      <c r="F67" s="8" t="s">
        <v>1</v>
      </c>
      <c r="G67" s="8" t="s">
        <v>136</v>
      </c>
      <c r="H67" s="8" t="str">
        <f t="shared" ref="H67:H131" si="5">IF(B67="","","AA")</f>
        <v>AA</v>
      </c>
      <c r="I67" s="40" t="str">
        <f>IF(B67="","",VLOOKUP(D67,加弹汇总表!C:E,3,FALSE))</f>
        <v>50网络</v>
      </c>
      <c r="M67" s="8">
        <v>645</v>
      </c>
      <c r="O67" s="73">
        <v>43744</v>
      </c>
      <c r="P67" s="72" t="str">
        <f>IF(B67="","",VLOOKUP(D67,setting!$C$2:$D$30,2,FALSE))</f>
        <v>喷水</v>
      </c>
      <c r="R67" s="30">
        <f t="shared" si="4"/>
        <v>10</v>
      </c>
    </row>
    <row r="68" spans="1:18" outlineLevel="1">
      <c r="A68" s="177" t="str">
        <f t="shared" si="3"/>
        <v>64009450D网络丝94/36黑喷水</v>
      </c>
      <c r="B68" s="39">
        <v>640094</v>
      </c>
      <c r="C68" s="8">
        <v>7</v>
      </c>
      <c r="D68" s="8" t="s">
        <v>865</v>
      </c>
      <c r="E68" s="8" t="s">
        <v>460</v>
      </c>
      <c r="F68" s="8" t="s">
        <v>1</v>
      </c>
      <c r="G68" s="8" t="s">
        <v>136</v>
      </c>
      <c r="H68" s="8" t="str">
        <f t="shared" si="5"/>
        <v>AA</v>
      </c>
      <c r="I68" s="40" t="str">
        <f>IF(B68="","",VLOOKUP(D68,加弹汇总表!C:E,3,FALSE))</f>
        <v>50网络</v>
      </c>
      <c r="M68" s="8">
        <v>667</v>
      </c>
      <c r="O68" s="73">
        <v>43744</v>
      </c>
      <c r="P68" s="72" t="str">
        <f>IF(B68="","",VLOOKUP(D68,setting!$C$2:$D$30,2,FALSE))</f>
        <v>喷水</v>
      </c>
      <c r="R68" s="30">
        <f t="shared" si="4"/>
        <v>10</v>
      </c>
    </row>
    <row r="69" spans="1:18" outlineLevel="1">
      <c r="A69" s="177" t="str">
        <f t="shared" si="3"/>
        <v>S2132575D网络丝130/48白喷水</v>
      </c>
      <c r="B69" s="39" t="s">
        <v>384</v>
      </c>
      <c r="C69" s="8">
        <v>2</v>
      </c>
      <c r="D69" s="8" t="s">
        <v>866</v>
      </c>
      <c r="E69" s="8" t="s">
        <v>381</v>
      </c>
      <c r="F69" s="8" t="s">
        <v>2</v>
      </c>
      <c r="G69" s="8" t="s">
        <v>158</v>
      </c>
      <c r="H69" s="8" t="str">
        <f t="shared" si="5"/>
        <v>AA</v>
      </c>
      <c r="I69" s="40" t="str">
        <f>IF(B69="","",VLOOKUP(D69,加弹汇总表!C:E,3,FALSE))</f>
        <v>75网络</v>
      </c>
      <c r="M69" s="8">
        <v>1204</v>
      </c>
      <c r="O69" s="73">
        <v>43744</v>
      </c>
      <c r="P69" s="72" t="str">
        <f>IF(B69="","",VLOOKUP(D69,setting!$C$2:$D$30,2,FALSE))</f>
        <v>喷水</v>
      </c>
      <c r="R69" s="30">
        <f t="shared" si="4"/>
        <v>10</v>
      </c>
    </row>
    <row r="70" spans="1:18" outlineLevel="1">
      <c r="A70" s="177" t="str">
        <f t="shared" si="3"/>
        <v>S2132575D网络丝130/48白喷水</v>
      </c>
      <c r="B70" s="39" t="s">
        <v>384</v>
      </c>
      <c r="C70" s="8">
        <v>7</v>
      </c>
      <c r="D70" s="8" t="s">
        <v>866</v>
      </c>
      <c r="E70" s="8" t="s">
        <v>381</v>
      </c>
      <c r="F70" s="8" t="s">
        <v>2</v>
      </c>
      <c r="G70" s="8" t="s">
        <v>158</v>
      </c>
      <c r="H70" s="8" t="str">
        <f t="shared" si="5"/>
        <v>AA</v>
      </c>
      <c r="I70" s="40" t="str">
        <f>IF(B70="","",VLOOKUP(D70,加弹汇总表!C:E,3,FALSE))</f>
        <v>75网络</v>
      </c>
      <c r="M70" s="8">
        <v>659.41</v>
      </c>
      <c r="O70" s="73">
        <v>43744</v>
      </c>
      <c r="P70" s="72" t="str">
        <f>IF(B70="","",VLOOKUP(D70,setting!$C$2:$D$30,2,FALSE))</f>
        <v>喷水</v>
      </c>
      <c r="R70" s="30">
        <f t="shared" si="4"/>
        <v>10</v>
      </c>
    </row>
    <row r="71" spans="1:18" outlineLevel="1">
      <c r="A71" s="177" t="str">
        <f t="shared" si="3"/>
        <v>8413275D网络丝132/48黑喷水</v>
      </c>
      <c r="B71" s="39">
        <v>84132</v>
      </c>
      <c r="C71" s="8">
        <v>5</v>
      </c>
      <c r="D71" s="8" t="s">
        <v>866</v>
      </c>
      <c r="E71" s="8" t="s">
        <v>391</v>
      </c>
      <c r="F71" s="8" t="s">
        <v>1</v>
      </c>
      <c r="G71" s="8" t="s">
        <v>136</v>
      </c>
      <c r="H71" s="8" t="str">
        <f t="shared" si="5"/>
        <v>AA</v>
      </c>
      <c r="I71" s="40" t="str">
        <f>IF(B71="","",VLOOKUP(D71,加弹汇总表!C:E,3,FALSE))</f>
        <v>75网络</v>
      </c>
      <c r="M71" s="8">
        <v>1803</v>
      </c>
      <c r="O71" s="73">
        <v>43744</v>
      </c>
      <c r="P71" s="72" t="str">
        <f>IF(B71="","",VLOOKUP(D71,setting!$C$2:$D$30,2,FALSE))</f>
        <v>喷水</v>
      </c>
      <c r="R71" s="30">
        <f t="shared" si="4"/>
        <v>10</v>
      </c>
    </row>
    <row r="72" spans="1:18" outlineLevel="1">
      <c r="A72" s="177" t="str">
        <f t="shared" si="3"/>
        <v>S2121150D 135度有温丝89/48白圆机</v>
      </c>
      <c r="B72" s="39" t="s">
        <v>456</v>
      </c>
      <c r="C72" s="8">
        <v>4</v>
      </c>
      <c r="D72" s="8" t="s">
        <v>848</v>
      </c>
      <c r="E72" s="8" t="s">
        <v>455</v>
      </c>
      <c r="F72" s="8" t="s">
        <v>2</v>
      </c>
      <c r="G72" s="8" t="s">
        <v>158</v>
      </c>
      <c r="H72" s="8" t="str">
        <f t="shared" si="5"/>
        <v>AA</v>
      </c>
      <c r="I72" s="40">
        <f>IF(B72="","",VLOOKUP(D72,加弹汇总表!C:E,3,FALSE))</f>
        <v>50</v>
      </c>
      <c r="M72" s="8">
        <v>611</v>
      </c>
      <c r="O72" s="73">
        <v>43745</v>
      </c>
      <c r="P72" s="72" t="str">
        <f>IF(B72="","",VLOOKUP(D72,setting!$C$2:$D$30,2,FALSE))</f>
        <v>圆机</v>
      </c>
      <c r="R72" s="30">
        <f t="shared" si="4"/>
        <v>10</v>
      </c>
    </row>
    <row r="73" spans="1:18" outlineLevel="1">
      <c r="A73" s="177" t="str">
        <f t="shared" si="3"/>
        <v>64009450D94/36黑圆机</v>
      </c>
      <c r="B73" s="39">
        <v>640094</v>
      </c>
      <c r="C73" s="8">
        <v>6</v>
      </c>
      <c r="D73" s="8" t="s">
        <v>850</v>
      </c>
      <c r="E73" s="8" t="s">
        <v>460</v>
      </c>
      <c r="F73" s="8" t="s">
        <v>1</v>
      </c>
      <c r="G73" s="8" t="s">
        <v>136</v>
      </c>
      <c r="H73" s="8" t="str">
        <f t="shared" si="5"/>
        <v>AA</v>
      </c>
      <c r="I73" s="40">
        <f>IF(B73="","",VLOOKUP(D73,加弹汇总表!C:E,3,FALSE))</f>
        <v>50</v>
      </c>
      <c r="O73" s="73">
        <v>43745</v>
      </c>
      <c r="P73" s="72" t="str">
        <f>IF(B73="","",VLOOKUP(D73,setting!$C$2:$D$30,2,FALSE))</f>
        <v>圆机</v>
      </c>
      <c r="R73" s="30">
        <f t="shared" si="4"/>
        <v>10</v>
      </c>
    </row>
    <row r="74" spans="1:18" outlineLevel="1">
      <c r="A74" s="177" t="str">
        <f t="shared" si="3"/>
        <v>S2132575D 135度低温丝130/48白圆机</v>
      </c>
      <c r="B74" s="39" t="s">
        <v>384</v>
      </c>
      <c r="C74" s="8">
        <v>4</v>
      </c>
      <c r="D74" s="8" t="s">
        <v>856</v>
      </c>
      <c r="E74" s="8" t="s">
        <v>381</v>
      </c>
      <c r="F74" s="8" t="s">
        <v>2</v>
      </c>
      <c r="G74" s="8" t="s">
        <v>158</v>
      </c>
      <c r="H74" s="8" t="str">
        <f t="shared" si="5"/>
        <v>AA</v>
      </c>
      <c r="I74" s="40">
        <f>IF(B74="","",VLOOKUP(D74,加弹汇总表!C:E,3,FALSE))</f>
        <v>75</v>
      </c>
      <c r="M74" s="8">
        <v>588</v>
      </c>
      <c r="O74" s="73">
        <v>43745</v>
      </c>
      <c r="P74" s="72" t="str">
        <f>IF(B74="","",VLOOKUP(D74,setting!$C$2:$D$30,2,FALSE))</f>
        <v>圆机</v>
      </c>
      <c r="R74" s="30">
        <f t="shared" si="4"/>
        <v>10</v>
      </c>
    </row>
    <row r="75" spans="1:18" outlineLevel="1">
      <c r="A75" s="177" t="str">
        <f t="shared" si="3"/>
        <v>S21102P20D网络丝35/24白喷水</v>
      </c>
      <c r="B75" s="39" t="s">
        <v>438</v>
      </c>
      <c r="C75" s="8">
        <v>3</v>
      </c>
      <c r="D75" s="8" t="s">
        <v>861</v>
      </c>
      <c r="E75" s="8" t="s">
        <v>437</v>
      </c>
      <c r="F75" s="8" t="s">
        <v>2</v>
      </c>
      <c r="G75" s="8" t="s">
        <v>158</v>
      </c>
      <c r="H75" s="8" t="str">
        <f t="shared" si="5"/>
        <v>AA</v>
      </c>
      <c r="I75" s="40" t="str">
        <f>IF(B75="","",VLOOKUP(D75,加弹汇总表!C:E,3,FALSE))</f>
        <v>20网络</v>
      </c>
      <c r="M75" s="8">
        <v>424</v>
      </c>
      <c r="O75" s="73">
        <v>43745</v>
      </c>
      <c r="P75" s="72" t="str">
        <f>IF(B75="","",VLOOKUP(D75,setting!$C$2:$D$30,2,FALSE))</f>
        <v>喷水</v>
      </c>
      <c r="R75" s="30">
        <f t="shared" si="4"/>
        <v>10</v>
      </c>
    </row>
    <row r="76" spans="1:18" outlineLevel="1">
      <c r="A76" s="177" t="str">
        <f t="shared" si="3"/>
        <v>24003620D网络丝36/24黑喷水</v>
      </c>
      <c r="B76" s="39">
        <v>240036</v>
      </c>
      <c r="C76" s="8">
        <v>8</v>
      </c>
      <c r="D76" s="8" t="s">
        <v>861</v>
      </c>
      <c r="E76" s="8" t="s">
        <v>447</v>
      </c>
      <c r="F76" s="8" t="s">
        <v>1</v>
      </c>
      <c r="G76" s="8" t="s">
        <v>136</v>
      </c>
      <c r="H76" s="8" t="str">
        <f t="shared" si="5"/>
        <v>AA</v>
      </c>
      <c r="I76" s="40" t="str">
        <f>IF(B76="","",VLOOKUP(D76,加弹汇总表!C:E,3,FALSE))</f>
        <v>20网络</v>
      </c>
      <c r="M76" s="8">
        <v>334</v>
      </c>
      <c r="O76" s="73">
        <v>43745</v>
      </c>
      <c r="P76" s="72" t="str">
        <f>IF(B76="","",VLOOKUP(D76,setting!$C$2:$D$30,2,FALSE))</f>
        <v>喷水</v>
      </c>
      <c r="R76" s="30">
        <f t="shared" si="4"/>
        <v>10</v>
      </c>
    </row>
    <row r="77" spans="1:18" outlineLevel="1">
      <c r="A77" s="177" t="str">
        <f t="shared" si="3"/>
        <v>24005530D网络丝55/24黑喷水</v>
      </c>
      <c r="B77" s="39">
        <v>240055</v>
      </c>
      <c r="C77" s="8">
        <v>8</v>
      </c>
      <c r="D77" s="8" t="s">
        <v>863</v>
      </c>
      <c r="E77" s="8" t="s">
        <v>452</v>
      </c>
      <c r="F77" s="8" t="s">
        <v>1</v>
      </c>
      <c r="G77" s="8" t="s">
        <v>136</v>
      </c>
      <c r="H77" s="8" t="str">
        <f t="shared" si="5"/>
        <v>AA</v>
      </c>
      <c r="I77" s="40" t="str">
        <f>IF(B77="","",VLOOKUP(D77,加弹汇总表!C:E,3,FALSE))</f>
        <v>30网络</v>
      </c>
      <c r="M77" s="8">
        <v>180</v>
      </c>
      <c r="O77" s="73">
        <v>43745</v>
      </c>
      <c r="P77" s="72" t="str">
        <f>IF(B77="","",VLOOKUP(D77,setting!$C$2:$D$30,2,FALSE))</f>
        <v>喷水</v>
      </c>
      <c r="R77" s="30">
        <f t="shared" si="4"/>
        <v>10</v>
      </c>
    </row>
    <row r="78" spans="1:18" outlineLevel="1">
      <c r="A78" s="177" t="str">
        <f t="shared" si="3"/>
        <v>S2121150D网络丝89/48白喷水</v>
      </c>
      <c r="B78" s="39" t="s">
        <v>456</v>
      </c>
      <c r="C78" s="8">
        <v>1</v>
      </c>
      <c r="D78" s="8" t="s">
        <v>865</v>
      </c>
      <c r="E78" s="8" t="s">
        <v>455</v>
      </c>
      <c r="F78" s="8" t="s">
        <v>2</v>
      </c>
      <c r="G78" s="8" t="s">
        <v>158</v>
      </c>
      <c r="H78" s="8" t="str">
        <f t="shared" si="5"/>
        <v>AA</v>
      </c>
      <c r="I78" s="40" t="str">
        <f>IF(B78="","",VLOOKUP(D78,加弹汇总表!C:E,3,FALSE))</f>
        <v>50网络</v>
      </c>
      <c r="M78" s="8">
        <v>1184</v>
      </c>
      <c r="O78" s="73">
        <v>43745</v>
      </c>
      <c r="P78" s="72" t="str">
        <f>IF(B78="","",VLOOKUP(D78,setting!$C$2:$D$30,2,FALSE))</f>
        <v>喷水</v>
      </c>
      <c r="R78" s="30">
        <f t="shared" si="4"/>
        <v>10</v>
      </c>
    </row>
    <row r="79" spans="1:18" outlineLevel="1">
      <c r="A79" s="177" t="str">
        <f t="shared" si="3"/>
        <v>64009450D网络丝94/36黑喷水</v>
      </c>
      <c r="B79" s="39">
        <v>640094</v>
      </c>
      <c r="C79" s="8">
        <v>6</v>
      </c>
      <c r="D79" s="8" t="s">
        <v>865</v>
      </c>
      <c r="E79" s="8" t="s">
        <v>460</v>
      </c>
      <c r="F79" s="8" t="s">
        <v>1</v>
      </c>
      <c r="G79" s="8" t="s">
        <v>136</v>
      </c>
      <c r="H79" s="8" t="str">
        <f t="shared" si="5"/>
        <v>AA</v>
      </c>
      <c r="I79" s="40" t="str">
        <f>IF(B79="","",VLOOKUP(D79,加弹汇总表!C:E,3,FALSE))</f>
        <v>50网络</v>
      </c>
      <c r="M79" s="8">
        <v>595</v>
      </c>
      <c r="O79" s="73">
        <v>43745</v>
      </c>
      <c r="P79" s="72" t="str">
        <f>IF(B79="","",VLOOKUP(D79,setting!$C$2:$D$30,2,FALSE))</f>
        <v>喷水</v>
      </c>
      <c r="R79" s="30">
        <f t="shared" si="4"/>
        <v>10</v>
      </c>
    </row>
    <row r="80" spans="1:18" outlineLevel="1">
      <c r="A80" s="177" t="str">
        <f t="shared" si="3"/>
        <v>64009450D网络丝94/36黑喷水</v>
      </c>
      <c r="B80" s="39">
        <v>640094</v>
      </c>
      <c r="C80" s="8">
        <v>7</v>
      </c>
      <c r="D80" s="8" t="s">
        <v>865</v>
      </c>
      <c r="E80" s="8" t="s">
        <v>460</v>
      </c>
      <c r="F80" s="8" t="s">
        <v>1</v>
      </c>
      <c r="G80" s="8" t="s">
        <v>136</v>
      </c>
      <c r="H80" s="8" t="str">
        <f t="shared" si="5"/>
        <v>AA</v>
      </c>
      <c r="I80" s="40" t="str">
        <f>IF(B80="","",VLOOKUP(D80,加弹汇总表!C:E,3,FALSE))</f>
        <v>50网络</v>
      </c>
      <c r="M80" s="8">
        <v>571</v>
      </c>
      <c r="O80" s="73">
        <v>43745</v>
      </c>
      <c r="P80" s="72" t="str">
        <f>IF(B80="","",VLOOKUP(D80,setting!$C$2:$D$30,2,FALSE))</f>
        <v>喷水</v>
      </c>
      <c r="R80" s="30">
        <f t="shared" si="4"/>
        <v>10</v>
      </c>
    </row>
    <row r="81" spans="1:18" outlineLevel="1">
      <c r="A81" s="177" t="str">
        <f t="shared" si="3"/>
        <v>S2132575D网络丝130/48白喷水</v>
      </c>
      <c r="B81" s="39" t="s">
        <v>384</v>
      </c>
      <c r="C81" s="8">
        <v>2</v>
      </c>
      <c r="D81" s="8" t="s">
        <v>866</v>
      </c>
      <c r="E81" s="8" t="s">
        <v>381</v>
      </c>
      <c r="F81" s="8" t="s">
        <v>2</v>
      </c>
      <c r="G81" s="8" t="s">
        <v>158</v>
      </c>
      <c r="H81" s="8" t="str">
        <f t="shared" si="5"/>
        <v>AA</v>
      </c>
      <c r="I81" s="40" t="str">
        <f>IF(B81="","",VLOOKUP(D81,加弹汇总表!C:E,3,FALSE))</f>
        <v>75网络</v>
      </c>
      <c r="M81" s="8">
        <v>2457</v>
      </c>
      <c r="O81" s="73">
        <v>43745</v>
      </c>
      <c r="P81" s="72" t="str">
        <f>IF(B81="","",VLOOKUP(D81,setting!$C$2:$D$30,2,FALSE))</f>
        <v>喷水</v>
      </c>
      <c r="R81" s="30">
        <f t="shared" si="4"/>
        <v>10</v>
      </c>
    </row>
    <row r="82" spans="1:18" outlineLevel="1">
      <c r="A82" s="177" t="str">
        <f t="shared" si="3"/>
        <v>S2132575D网络丝130/48白喷水</v>
      </c>
      <c r="B82" s="39" t="s">
        <v>384</v>
      </c>
      <c r="C82" s="8">
        <v>7</v>
      </c>
      <c r="D82" s="8" t="s">
        <v>866</v>
      </c>
      <c r="E82" s="8" t="s">
        <v>381</v>
      </c>
      <c r="F82" s="8" t="s">
        <v>2</v>
      </c>
      <c r="G82" s="8" t="s">
        <v>158</v>
      </c>
      <c r="H82" s="8" t="str">
        <f t="shared" si="5"/>
        <v>AA</v>
      </c>
      <c r="I82" s="40" t="str">
        <f>IF(B82="","",VLOOKUP(D82,加弹汇总表!C:E,3,FALSE))</f>
        <v>75网络</v>
      </c>
      <c r="M82" s="8">
        <v>587.72</v>
      </c>
      <c r="O82" s="73">
        <v>43745</v>
      </c>
      <c r="P82" s="72" t="str">
        <f>IF(B82="","",VLOOKUP(D82,setting!$C$2:$D$30,2,FALSE))</f>
        <v>喷水</v>
      </c>
      <c r="R82" s="30">
        <f t="shared" si="4"/>
        <v>10</v>
      </c>
    </row>
    <row r="83" spans="1:18" outlineLevel="1">
      <c r="A83" s="177" t="str">
        <f t="shared" si="3"/>
        <v>8413275D网络丝132/48黑喷水</v>
      </c>
      <c r="B83" s="39">
        <v>84132</v>
      </c>
      <c r="C83" s="8">
        <v>5</v>
      </c>
      <c r="D83" s="8" t="s">
        <v>866</v>
      </c>
      <c r="E83" s="8" t="s">
        <v>391</v>
      </c>
      <c r="F83" s="8" t="s">
        <v>1</v>
      </c>
      <c r="G83" s="8" t="s">
        <v>136</v>
      </c>
      <c r="H83" s="8" t="str">
        <f t="shared" si="5"/>
        <v>AA</v>
      </c>
      <c r="I83" s="40" t="str">
        <f>IF(B83="","",VLOOKUP(D83,加弹汇总表!C:E,3,FALSE))</f>
        <v>75网络</v>
      </c>
      <c r="M83" s="8">
        <v>1941</v>
      </c>
      <c r="O83" s="73">
        <v>43745</v>
      </c>
      <c r="P83" s="72" t="str">
        <f>IF(B83="","",VLOOKUP(D83,setting!$C$2:$D$30,2,FALSE))</f>
        <v>喷水</v>
      </c>
      <c r="R83" s="30">
        <f t="shared" si="4"/>
        <v>10</v>
      </c>
    </row>
    <row r="84" spans="1:18" outlineLevel="1">
      <c r="A84" s="177" t="str">
        <f t="shared" si="3"/>
        <v>S2121150D 135度有温丝89/48白圆机</v>
      </c>
      <c r="B84" s="39" t="s">
        <v>456</v>
      </c>
      <c r="C84" s="8">
        <v>4</v>
      </c>
      <c r="D84" s="8" t="s">
        <v>848</v>
      </c>
      <c r="E84" s="8" t="s">
        <v>455</v>
      </c>
      <c r="F84" s="8" t="s">
        <v>2</v>
      </c>
      <c r="G84" s="8" t="s">
        <v>158</v>
      </c>
      <c r="H84" s="8" t="str">
        <f t="shared" si="5"/>
        <v>AA</v>
      </c>
      <c r="I84" s="40">
        <f>IF(B84="","",VLOOKUP(D84,加弹汇总表!C:E,3,FALSE))</f>
        <v>50</v>
      </c>
      <c r="M84" s="8">
        <v>656</v>
      </c>
      <c r="O84" s="73">
        <v>43746</v>
      </c>
      <c r="P84" s="72" t="str">
        <f>IF(B84="","",VLOOKUP(D84,setting!$C$2:$D$30,2,FALSE))</f>
        <v>圆机</v>
      </c>
      <c r="R84" s="30">
        <f t="shared" si="4"/>
        <v>10</v>
      </c>
    </row>
    <row r="85" spans="1:18" outlineLevel="1">
      <c r="A85" s="177" t="str">
        <f t="shared" si="3"/>
        <v>64009450D94/36黑圆机</v>
      </c>
      <c r="B85" s="39">
        <v>640094</v>
      </c>
      <c r="C85" s="8">
        <v>6</v>
      </c>
      <c r="D85" s="8" t="s">
        <v>850</v>
      </c>
      <c r="E85" s="8" t="s">
        <v>460</v>
      </c>
      <c r="F85" s="8" t="s">
        <v>1</v>
      </c>
      <c r="G85" s="8" t="s">
        <v>136</v>
      </c>
      <c r="H85" s="8" t="str">
        <f t="shared" si="5"/>
        <v>AA</v>
      </c>
      <c r="I85" s="40">
        <f>IF(B85="","",VLOOKUP(D85,加弹汇总表!C:E,3,FALSE))</f>
        <v>50</v>
      </c>
      <c r="M85" s="8">
        <v>624</v>
      </c>
      <c r="O85" s="73">
        <v>43746</v>
      </c>
      <c r="P85" s="72" t="str">
        <f>IF(B85="","",VLOOKUP(D85,setting!$C$2:$D$30,2,FALSE))</f>
        <v>圆机</v>
      </c>
      <c r="R85" s="30">
        <f t="shared" si="4"/>
        <v>10</v>
      </c>
    </row>
    <row r="86" spans="1:18" outlineLevel="1">
      <c r="A86" s="177" t="str">
        <f t="shared" si="3"/>
        <v>S2132575D 135度低温丝130/48白圆机</v>
      </c>
      <c r="B86" s="39" t="s">
        <v>384</v>
      </c>
      <c r="C86" s="8">
        <v>4</v>
      </c>
      <c r="D86" s="8" t="s">
        <v>856</v>
      </c>
      <c r="E86" s="8" t="s">
        <v>381</v>
      </c>
      <c r="F86" s="8" t="s">
        <v>2</v>
      </c>
      <c r="G86" s="8" t="s">
        <v>158</v>
      </c>
      <c r="H86" s="8" t="str">
        <f t="shared" si="5"/>
        <v>AA</v>
      </c>
      <c r="I86" s="40">
        <f>IF(B86="","",VLOOKUP(D86,加弹汇总表!C:E,3,FALSE))</f>
        <v>75</v>
      </c>
      <c r="M86" s="8">
        <v>1148</v>
      </c>
      <c r="O86" s="73">
        <v>43746</v>
      </c>
      <c r="P86" s="72" t="str">
        <f>IF(B86="","",VLOOKUP(D86,setting!$C$2:$D$30,2,FALSE))</f>
        <v>圆机</v>
      </c>
      <c r="R86" s="30">
        <f t="shared" si="4"/>
        <v>10</v>
      </c>
    </row>
    <row r="87" spans="1:18" outlineLevel="1">
      <c r="A87" s="177" t="str">
        <f t="shared" si="3"/>
        <v>S21102P20D网络丝35/24白喷水</v>
      </c>
      <c r="B87" s="39" t="s">
        <v>438</v>
      </c>
      <c r="C87" s="8">
        <v>3</v>
      </c>
      <c r="D87" s="8" t="s">
        <v>861</v>
      </c>
      <c r="E87" s="8" t="s">
        <v>437</v>
      </c>
      <c r="F87" s="8" t="s">
        <v>2</v>
      </c>
      <c r="G87" s="8" t="s">
        <v>158</v>
      </c>
      <c r="H87" s="8" t="str">
        <f t="shared" si="5"/>
        <v>AA</v>
      </c>
      <c r="I87" s="40" t="str">
        <f>IF(B87="","",VLOOKUP(D87,加弹汇总表!C:E,3,FALSE))</f>
        <v>20网络</v>
      </c>
      <c r="M87" s="8">
        <v>524</v>
      </c>
      <c r="O87" s="73">
        <v>43746</v>
      </c>
      <c r="P87" s="72" t="str">
        <f>IF(B87="","",VLOOKUP(D87,setting!$C$2:$D$30,2,FALSE))</f>
        <v>喷水</v>
      </c>
      <c r="R87" s="30">
        <f t="shared" si="4"/>
        <v>10</v>
      </c>
    </row>
    <row r="88" spans="1:18" outlineLevel="1">
      <c r="A88" s="177" t="str">
        <f t="shared" si="3"/>
        <v>24003620D网络丝36/24黑喷水</v>
      </c>
      <c r="B88" s="39">
        <v>240036</v>
      </c>
      <c r="C88" s="8">
        <v>8</v>
      </c>
      <c r="D88" s="8" t="s">
        <v>861</v>
      </c>
      <c r="E88" s="8" t="s">
        <v>447</v>
      </c>
      <c r="F88" s="8" t="s">
        <v>1</v>
      </c>
      <c r="G88" s="8" t="s">
        <v>136</v>
      </c>
      <c r="H88" s="8" t="str">
        <f t="shared" si="5"/>
        <v>AA</v>
      </c>
      <c r="I88" s="40" t="str">
        <f>IF(B88="","",VLOOKUP(D88,加弹汇总表!C:E,3,FALSE))</f>
        <v>20网络</v>
      </c>
      <c r="M88" s="8">
        <v>45</v>
      </c>
      <c r="O88" s="73">
        <v>43746</v>
      </c>
      <c r="P88" s="72" t="str">
        <f>IF(B88="","",VLOOKUP(D88,setting!$C$2:$D$30,2,FALSE))</f>
        <v>喷水</v>
      </c>
      <c r="R88" s="30">
        <f t="shared" si="4"/>
        <v>10</v>
      </c>
    </row>
    <row r="89" spans="1:18" outlineLevel="1">
      <c r="A89" s="177" t="str">
        <f t="shared" si="3"/>
        <v>24005530D网络丝55/24黑喷水</v>
      </c>
      <c r="B89" s="39">
        <v>240055</v>
      </c>
      <c r="C89" s="8">
        <v>8</v>
      </c>
      <c r="D89" s="8" t="s">
        <v>863</v>
      </c>
      <c r="E89" s="8" t="s">
        <v>452</v>
      </c>
      <c r="F89" s="8" t="s">
        <v>1</v>
      </c>
      <c r="G89" s="8" t="s">
        <v>136</v>
      </c>
      <c r="H89" s="8" t="str">
        <f t="shared" si="5"/>
        <v>AA</v>
      </c>
      <c r="I89" s="40" t="str">
        <f>IF(B89="","",VLOOKUP(D89,加弹汇总表!C:E,3,FALSE))</f>
        <v>30网络</v>
      </c>
      <c r="M89" s="8">
        <v>346.04</v>
      </c>
      <c r="O89" s="73">
        <v>43746</v>
      </c>
      <c r="P89" s="72" t="str">
        <f>IF(B89="","",VLOOKUP(D89,setting!$C$2:$D$30,2,FALSE))</f>
        <v>喷水</v>
      </c>
      <c r="R89" s="30">
        <f t="shared" si="4"/>
        <v>10</v>
      </c>
    </row>
    <row r="90" spans="1:18" outlineLevel="1">
      <c r="A90" s="177" t="str">
        <f t="shared" si="3"/>
        <v>S2121150D网络丝89/48白喷水</v>
      </c>
      <c r="B90" s="39" t="s">
        <v>456</v>
      </c>
      <c r="C90" s="8">
        <v>1</v>
      </c>
      <c r="D90" s="8" t="s">
        <v>865</v>
      </c>
      <c r="E90" s="8" t="s">
        <v>455</v>
      </c>
      <c r="F90" s="8" t="s">
        <v>2</v>
      </c>
      <c r="G90" s="8" t="s">
        <v>158</v>
      </c>
      <c r="H90" s="8" t="str">
        <f t="shared" si="5"/>
        <v>AA</v>
      </c>
      <c r="I90" s="40" t="str">
        <f>IF(B90="","",VLOOKUP(D90,加弹汇总表!C:E,3,FALSE))</f>
        <v>50网络</v>
      </c>
      <c r="M90" s="8">
        <v>1390</v>
      </c>
      <c r="O90" s="73">
        <v>43746</v>
      </c>
      <c r="P90" s="72" t="str">
        <f>IF(B90="","",VLOOKUP(D90,setting!$C$2:$D$30,2,FALSE))</f>
        <v>喷水</v>
      </c>
      <c r="R90" s="30">
        <f t="shared" si="4"/>
        <v>10</v>
      </c>
    </row>
    <row r="91" spans="1:18" outlineLevel="1">
      <c r="A91" s="177" t="str">
        <f t="shared" si="3"/>
        <v>64009450D网络丝94/36黑喷水</v>
      </c>
      <c r="B91" s="39">
        <v>640094</v>
      </c>
      <c r="C91" s="8">
        <v>6</v>
      </c>
      <c r="D91" s="8" t="s">
        <v>865</v>
      </c>
      <c r="E91" s="8" t="s">
        <v>460</v>
      </c>
      <c r="F91" s="8" t="s">
        <v>1</v>
      </c>
      <c r="G91" s="8" t="s">
        <v>136</v>
      </c>
      <c r="H91" s="8" t="str">
        <f t="shared" si="5"/>
        <v>AA</v>
      </c>
      <c r="I91" s="40" t="str">
        <f>IF(B91="","",VLOOKUP(D91,加弹汇总表!C:E,3,FALSE))</f>
        <v>50网络</v>
      </c>
      <c r="M91" s="8">
        <v>688</v>
      </c>
      <c r="O91" s="73">
        <v>43746</v>
      </c>
      <c r="P91" s="72" t="str">
        <f>IF(B91="","",VLOOKUP(D91,setting!$C$2:$D$30,2,FALSE))</f>
        <v>喷水</v>
      </c>
      <c r="R91" s="30">
        <f t="shared" si="4"/>
        <v>10</v>
      </c>
    </row>
    <row r="92" spans="1:18" outlineLevel="1">
      <c r="A92" s="177" t="str">
        <f t="shared" si="3"/>
        <v>64009450D网络丝94/36黑喷水</v>
      </c>
      <c r="B92" s="39">
        <v>640094</v>
      </c>
      <c r="C92" s="8">
        <v>7</v>
      </c>
      <c r="D92" s="8" t="s">
        <v>865</v>
      </c>
      <c r="E92" s="8" t="s">
        <v>460</v>
      </c>
      <c r="F92" s="8" t="s">
        <v>1</v>
      </c>
      <c r="G92" s="8" t="s">
        <v>136</v>
      </c>
      <c r="H92" s="8" t="str">
        <f t="shared" si="5"/>
        <v>AA</v>
      </c>
      <c r="I92" s="40" t="str">
        <f>IF(B92="","",VLOOKUP(D92,加弹汇总表!C:E,3,FALSE))</f>
        <v>50网络</v>
      </c>
      <c r="M92" s="8">
        <v>315</v>
      </c>
      <c r="O92" s="73">
        <v>43746</v>
      </c>
      <c r="P92" s="72" t="str">
        <f>IF(B92="","",VLOOKUP(D92,setting!$C$2:$D$30,2,FALSE))</f>
        <v>喷水</v>
      </c>
      <c r="R92" s="30">
        <f t="shared" si="4"/>
        <v>10</v>
      </c>
    </row>
    <row r="93" spans="1:18" outlineLevel="1">
      <c r="A93" s="177" t="str">
        <f t="shared" si="3"/>
        <v>S2132575D网络丝130/48白喷水</v>
      </c>
      <c r="B93" s="39" t="s">
        <v>384</v>
      </c>
      <c r="C93" s="8">
        <v>2</v>
      </c>
      <c r="D93" s="8" t="s">
        <v>866</v>
      </c>
      <c r="E93" s="8" t="s">
        <v>381</v>
      </c>
      <c r="F93" s="8" t="s">
        <v>2</v>
      </c>
      <c r="G93" s="8" t="s">
        <v>158</v>
      </c>
      <c r="H93" s="8" t="str">
        <f t="shared" si="5"/>
        <v>AA</v>
      </c>
      <c r="I93" s="40" t="str">
        <f>IF(B93="","",VLOOKUP(D93,加弹汇总表!C:E,3,FALSE))</f>
        <v>75网络</v>
      </c>
      <c r="M93" s="8">
        <v>2485.96</v>
      </c>
      <c r="O93" s="73">
        <v>43746</v>
      </c>
      <c r="P93" s="72" t="str">
        <f>IF(B93="","",VLOOKUP(D93,setting!$C$2:$D$30,2,FALSE))</f>
        <v>喷水</v>
      </c>
      <c r="R93" s="30">
        <f t="shared" si="4"/>
        <v>10</v>
      </c>
    </row>
    <row r="94" spans="1:18" outlineLevel="1">
      <c r="A94" s="177" t="str">
        <f t="shared" si="3"/>
        <v>S2132575D网络丝130/48白喷水</v>
      </c>
      <c r="B94" s="39" t="s">
        <v>384</v>
      </c>
      <c r="C94" s="8">
        <v>7</v>
      </c>
      <c r="D94" s="8" t="s">
        <v>866</v>
      </c>
      <c r="E94" s="8" t="s">
        <v>381</v>
      </c>
      <c r="F94" s="8" t="s">
        <v>2</v>
      </c>
      <c r="G94" s="8" t="s">
        <v>158</v>
      </c>
      <c r="H94" s="8" t="str">
        <f t="shared" si="5"/>
        <v>AA</v>
      </c>
      <c r="I94" s="40" t="str">
        <f>IF(B94="","",VLOOKUP(D94,加弹汇总表!C:E,3,FALSE))</f>
        <v>75网络</v>
      </c>
      <c r="M94" s="8">
        <v>1198.4000000000001</v>
      </c>
      <c r="O94" s="73">
        <v>43746</v>
      </c>
      <c r="P94" s="72" t="str">
        <f>IF(B94="","",VLOOKUP(D94,setting!$C$2:$D$30,2,FALSE))</f>
        <v>喷水</v>
      </c>
      <c r="R94" s="30">
        <f t="shared" si="4"/>
        <v>10</v>
      </c>
    </row>
    <row r="95" spans="1:18" outlineLevel="1">
      <c r="A95" s="177" t="str">
        <f t="shared" si="3"/>
        <v>8413275D网络丝132/48黑喷水</v>
      </c>
      <c r="B95" s="39">
        <v>84132</v>
      </c>
      <c r="C95" s="8">
        <v>5</v>
      </c>
      <c r="D95" s="8" t="s">
        <v>866</v>
      </c>
      <c r="E95" s="8" t="s">
        <v>391</v>
      </c>
      <c r="F95" s="8" t="s">
        <v>1</v>
      </c>
      <c r="G95" s="8" t="s">
        <v>136</v>
      </c>
      <c r="H95" s="8" t="str">
        <f t="shared" si="5"/>
        <v>AA</v>
      </c>
      <c r="I95" s="40" t="str">
        <f>IF(B95="","",VLOOKUP(D95,加弹汇总表!C:E,3,FALSE))</f>
        <v>75网络</v>
      </c>
      <c r="M95" s="8">
        <v>1300</v>
      </c>
      <c r="O95" s="73">
        <v>43746</v>
      </c>
      <c r="P95" s="72" t="str">
        <f>IF(B95="","",VLOOKUP(D95,setting!$C$2:$D$30,2,FALSE))</f>
        <v>喷水</v>
      </c>
      <c r="R95" s="30">
        <f t="shared" si="4"/>
        <v>10</v>
      </c>
    </row>
    <row r="96" spans="1:18" outlineLevel="1">
      <c r="A96" s="177" t="str">
        <f t="shared" si="3"/>
        <v>S2121150D 135度有温丝89/48白圆机</v>
      </c>
      <c r="B96" s="39" t="s">
        <v>456</v>
      </c>
      <c r="C96" s="8">
        <v>4</v>
      </c>
      <c r="D96" s="8" t="s">
        <v>848</v>
      </c>
      <c r="E96" s="8" t="s">
        <v>455</v>
      </c>
      <c r="F96" s="8" t="s">
        <v>2</v>
      </c>
      <c r="G96" s="8" t="s">
        <v>158</v>
      </c>
      <c r="H96" s="8" t="str">
        <f t="shared" si="5"/>
        <v>AA</v>
      </c>
      <c r="I96" s="40">
        <f>IF(B96="","",VLOOKUP(D96,加弹汇总表!C:E,3,FALSE))</f>
        <v>50</v>
      </c>
      <c r="M96" s="8">
        <v>604</v>
      </c>
      <c r="O96" s="73">
        <v>43747</v>
      </c>
      <c r="P96" s="72" t="str">
        <f>IF(B96="","",VLOOKUP(D96,setting!$C$2:$D$30,2,FALSE))</f>
        <v>圆机</v>
      </c>
      <c r="R96" s="30">
        <f t="shared" si="4"/>
        <v>10</v>
      </c>
    </row>
    <row r="97" spans="1:18" outlineLevel="1">
      <c r="A97" s="177" t="str">
        <f t="shared" si="3"/>
        <v>64009450D94/36黑圆机</v>
      </c>
      <c r="B97" s="39">
        <v>640094</v>
      </c>
      <c r="C97" s="8">
        <v>6</v>
      </c>
      <c r="D97" s="8" t="s">
        <v>850</v>
      </c>
      <c r="E97" s="8" t="s">
        <v>460</v>
      </c>
      <c r="F97" s="8" t="s">
        <v>1</v>
      </c>
      <c r="G97" s="8" t="s">
        <v>136</v>
      </c>
      <c r="H97" s="8" t="str">
        <f t="shared" si="5"/>
        <v>AA</v>
      </c>
      <c r="I97" s="40">
        <f>IF(B97="","",VLOOKUP(D97,加弹汇总表!C:E,3,FALSE))</f>
        <v>50</v>
      </c>
      <c r="M97" s="8">
        <v>593</v>
      </c>
      <c r="O97" s="73">
        <v>43747</v>
      </c>
      <c r="P97" s="72" t="str">
        <f>IF(B97="","",VLOOKUP(D97,setting!$C$2:$D$30,2,FALSE))</f>
        <v>圆机</v>
      </c>
      <c r="R97" s="30">
        <f t="shared" si="4"/>
        <v>10</v>
      </c>
    </row>
    <row r="98" spans="1:18" outlineLevel="1">
      <c r="A98" s="177" t="str">
        <f t="shared" si="3"/>
        <v>S2132575D 135度低温丝130/48白圆机</v>
      </c>
      <c r="B98" s="39" t="s">
        <v>384</v>
      </c>
      <c r="C98" s="8">
        <v>4</v>
      </c>
      <c r="D98" s="8" t="s">
        <v>856</v>
      </c>
      <c r="E98" s="8" t="s">
        <v>381</v>
      </c>
      <c r="F98" s="8" t="s">
        <v>2</v>
      </c>
      <c r="G98" s="8" t="s">
        <v>158</v>
      </c>
      <c r="H98" s="8" t="str">
        <f t="shared" si="5"/>
        <v>AA</v>
      </c>
      <c r="I98" s="40">
        <f>IF(B98="","",VLOOKUP(D98,加弹汇总表!C:E,3,FALSE))</f>
        <v>75</v>
      </c>
      <c r="M98" s="8">
        <v>1183.5</v>
      </c>
      <c r="O98" s="73">
        <v>43747</v>
      </c>
      <c r="P98" s="72" t="str">
        <f>IF(B98="","",VLOOKUP(D98,setting!$C$2:$D$30,2,FALSE))</f>
        <v>圆机</v>
      </c>
      <c r="R98" s="30">
        <f t="shared" si="4"/>
        <v>10</v>
      </c>
    </row>
    <row r="99" spans="1:18" outlineLevel="1">
      <c r="A99" s="177" t="str">
        <f t="shared" si="3"/>
        <v>S21102P20D网络丝35/24白喷水</v>
      </c>
      <c r="B99" s="39" t="s">
        <v>438</v>
      </c>
      <c r="C99" s="8">
        <v>3</v>
      </c>
      <c r="D99" s="8" t="s">
        <v>861</v>
      </c>
      <c r="E99" s="8" t="s">
        <v>437</v>
      </c>
      <c r="F99" s="8" t="s">
        <v>2</v>
      </c>
      <c r="G99" s="8" t="s">
        <v>158</v>
      </c>
      <c r="H99" s="8" t="str">
        <f t="shared" si="5"/>
        <v>AA</v>
      </c>
      <c r="I99" s="40" t="str">
        <f>IF(B99="","",VLOOKUP(D99,加弹汇总表!C:E,3,FALSE))</f>
        <v>20网络</v>
      </c>
      <c r="M99" s="8">
        <v>548</v>
      </c>
      <c r="O99" s="73">
        <v>43747</v>
      </c>
      <c r="P99" s="72" t="str">
        <f>IF(B99="","",VLOOKUP(D99,setting!$C$2:$D$30,2,FALSE))</f>
        <v>喷水</v>
      </c>
      <c r="R99" s="30">
        <f t="shared" si="4"/>
        <v>10</v>
      </c>
    </row>
    <row r="100" spans="1:18" outlineLevel="1">
      <c r="A100" s="177" t="str">
        <f t="shared" si="3"/>
        <v>24003620D网络丝36/24黑喷水</v>
      </c>
      <c r="B100" s="39">
        <v>240036</v>
      </c>
      <c r="C100" s="8">
        <v>8</v>
      </c>
      <c r="D100" s="8" t="s">
        <v>861</v>
      </c>
      <c r="E100" s="8" t="s">
        <v>447</v>
      </c>
      <c r="F100" s="8" t="s">
        <v>1</v>
      </c>
      <c r="G100" s="8" t="s">
        <v>136</v>
      </c>
      <c r="H100" s="8" t="str">
        <f t="shared" si="5"/>
        <v>AA</v>
      </c>
      <c r="I100" s="40" t="str">
        <f>IF(B100="","",VLOOKUP(D100,加弹汇总表!C:E,3,FALSE))</f>
        <v>20网络</v>
      </c>
      <c r="M100" s="8">
        <v>330</v>
      </c>
      <c r="O100" s="73">
        <v>43747</v>
      </c>
      <c r="P100" s="72" t="str">
        <f>IF(B100="","",VLOOKUP(D100,setting!$C$2:$D$30,2,FALSE))</f>
        <v>喷水</v>
      </c>
      <c r="R100" s="30">
        <f t="shared" si="4"/>
        <v>10</v>
      </c>
    </row>
    <row r="101" spans="1:18" outlineLevel="1">
      <c r="A101" s="177" t="str">
        <f t="shared" si="3"/>
        <v>24005530D网络丝55/24黑喷水</v>
      </c>
      <c r="B101" s="39">
        <v>240055</v>
      </c>
      <c r="C101" s="8">
        <v>8</v>
      </c>
      <c r="D101" s="8" t="s">
        <v>863</v>
      </c>
      <c r="E101" s="8" t="s">
        <v>452</v>
      </c>
      <c r="F101" s="8" t="s">
        <v>1</v>
      </c>
      <c r="G101" s="8" t="s">
        <v>136</v>
      </c>
      <c r="H101" s="8" t="str">
        <f t="shared" si="5"/>
        <v>AA</v>
      </c>
      <c r="I101" s="40" t="str">
        <f>IF(B101="","",VLOOKUP(D101,加弹汇总表!C:E,3,FALSE))</f>
        <v>30网络</v>
      </c>
      <c r="M101" s="8">
        <v>240.64</v>
      </c>
      <c r="O101" s="73">
        <v>43747</v>
      </c>
      <c r="P101" s="72" t="str">
        <f>IF(B101="","",VLOOKUP(D101,setting!$C$2:$D$30,2,FALSE))</f>
        <v>喷水</v>
      </c>
      <c r="R101" s="30">
        <f t="shared" si="4"/>
        <v>10</v>
      </c>
    </row>
    <row r="102" spans="1:18" outlineLevel="1">
      <c r="A102" s="177" t="str">
        <f t="shared" si="3"/>
        <v>S2121150D网络丝89/48白喷水</v>
      </c>
      <c r="B102" s="39" t="s">
        <v>456</v>
      </c>
      <c r="C102" s="8">
        <v>1</v>
      </c>
      <c r="D102" s="8" t="s">
        <v>865</v>
      </c>
      <c r="E102" s="8" t="s">
        <v>455</v>
      </c>
      <c r="F102" s="8" t="s">
        <v>2</v>
      </c>
      <c r="G102" s="8" t="s">
        <v>158</v>
      </c>
      <c r="H102" s="8" t="str">
        <f t="shared" si="5"/>
        <v>AA</v>
      </c>
      <c r="I102" s="40" t="str">
        <f>IF(B102="","",VLOOKUP(D102,加弹汇总表!C:E,3,FALSE))</f>
        <v>50网络</v>
      </c>
      <c r="M102" s="8">
        <v>1049</v>
      </c>
      <c r="O102" s="73">
        <v>43747</v>
      </c>
      <c r="P102" s="72" t="str">
        <f>IF(B102="","",VLOOKUP(D102,setting!$C$2:$D$30,2,FALSE))</f>
        <v>喷水</v>
      </c>
      <c r="R102" s="30">
        <f t="shared" si="4"/>
        <v>10</v>
      </c>
    </row>
    <row r="103" spans="1:18" outlineLevel="1">
      <c r="A103" s="177" t="str">
        <f t="shared" si="3"/>
        <v>64009450D网络丝94/36黑喷水</v>
      </c>
      <c r="B103" s="39">
        <v>640094</v>
      </c>
      <c r="C103" s="8">
        <v>6</v>
      </c>
      <c r="D103" s="8" t="s">
        <v>865</v>
      </c>
      <c r="E103" s="8" t="s">
        <v>460</v>
      </c>
      <c r="F103" s="8" t="s">
        <v>1</v>
      </c>
      <c r="G103" s="8" t="s">
        <v>136</v>
      </c>
      <c r="H103" s="8" t="str">
        <f t="shared" si="5"/>
        <v>AA</v>
      </c>
      <c r="I103" s="40" t="str">
        <f>IF(B103="","",VLOOKUP(D103,加弹汇总表!C:E,3,FALSE))</f>
        <v>50网络</v>
      </c>
      <c r="M103" s="8">
        <v>663</v>
      </c>
      <c r="O103" s="73">
        <v>43747</v>
      </c>
      <c r="P103" s="72" t="str">
        <f>IF(B103="","",VLOOKUP(D103,setting!$C$2:$D$30,2,FALSE))</f>
        <v>喷水</v>
      </c>
      <c r="R103" s="30">
        <f t="shared" si="4"/>
        <v>10</v>
      </c>
    </row>
    <row r="104" spans="1:18" outlineLevel="1">
      <c r="A104" s="177" t="str">
        <f t="shared" si="3"/>
        <v>64009450D网络丝94/36黑喷水</v>
      </c>
      <c r="B104" s="39">
        <v>640094</v>
      </c>
      <c r="C104" s="8">
        <v>7</v>
      </c>
      <c r="D104" s="8" t="s">
        <v>865</v>
      </c>
      <c r="E104" s="8" t="s">
        <v>460</v>
      </c>
      <c r="F104" s="8" t="s">
        <v>1</v>
      </c>
      <c r="G104" s="8" t="s">
        <v>136</v>
      </c>
      <c r="H104" s="8" t="str">
        <f t="shared" si="5"/>
        <v>AA</v>
      </c>
      <c r="I104" s="40" t="str">
        <f>IF(B104="","",VLOOKUP(D104,加弹汇总表!C:E,3,FALSE))</f>
        <v>50网络</v>
      </c>
      <c r="M104" s="8">
        <v>616</v>
      </c>
      <c r="O104" s="73">
        <v>43747</v>
      </c>
      <c r="P104" s="72" t="str">
        <f>IF(B104="","",VLOOKUP(D104,setting!$C$2:$D$30,2,FALSE))</f>
        <v>喷水</v>
      </c>
      <c r="R104" s="30">
        <f t="shared" si="4"/>
        <v>10</v>
      </c>
    </row>
    <row r="105" spans="1:18" outlineLevel="1">
      <c r="A105" s="177" t="str">
        <f t="shared" si="3"/>
        <v>S2132575D网络丝130/48白喷水</v>
      </c>
      <c r="B105" s="39" t="s">
        <v>384</v>
      </c>
      <c r="C105" s="8">
        <v>2</v>
      </c>
      <c r="D105" s="8" t="s">
        <v>866</v>
      </c>
      <c r="E105" s="8" t="s">
        <v>381</v>
      </c>
      <c r="F105" s="8" t="s">
        <v>2</v>
      </c>
      <c r="G105" s="8" t="s">
        <v>158</v>
      </c>
      <c r="H105" s="8" t="str">
        <f t="shared" si="5"/>
        <v>AA</v>
      </c>
      <c r="I105" s="40" t="str">
        <f>IF(B105="","",VLOOKUP(D105,加弹汇总表!C:E,3,FALSE))</f>
        <v>75网络</v>
      </c>
      <c r="M105" s="8">
        <v>1812.8</v>
      </c>
      <c r="O105" s="73">
        <v>43747</v>
      </c>
      <c r="P105" s="72" t="str">
        <f>IF(B105="","",VLOOKUP(D105,setting!$C$2:$D$30,2,FALSE))</f>
        <v>喷水</v>
      </c>
      <c r="R105" s="30">
        <f t="shared" si="4"/>
        <v>10</v>
      </c>
    </row>
    <row r="106" spans="1:18" outlineLevel="1">
      <c r="A106" s="177" t="str">
        <f t="shared" si="3"/>
        <v>S2132575D网络丝130/48白喷水</v>
      </c>
      <c r="B106" s="39" t="s">
        <v>384</v>
      </c>
      <c r="C106" s="8">
        <v>7</v>
      </c>
      <c r="D106" s="8" t="s">
        <v>866</v>
      </c>
      <c r="E106" s="8" t="s">
        <v>381</v>
      </c>
      <c r="F106" s="8" t="s">
        <v>2</v>
      </c>
      <c r="G106" s="8" t="s">
        <v>158</v>
      </c>
      <c r="H106" s="8" t="str">
        <f t="shared" si="5"/>
        <v>AA</v>
      </c>
      <c r="I106" s="40" t="str">
        <f>IF(B106="","",VLOOKUP(D106,加弹汇总表!C:E,3,FALSE))</f>
        <v>75网络</v>
      </c>
      <c r="M106" s="8">
        <v>582.32000000000005</v>
      </c>
      <c r="O106" s="73">
        <v>43747</v>
      </c>
      <c r="P106" s="72" t="str">
        <f>IF(B106="","",VLOOKUP(D106,setting!$C$2:$D$30,2,FALSE))</f>
        <v>喷水</v>
      </c>
      <c r="R106" s="30">
        <f t="shared" si="4"/>
        <v>10</v>
      </c>
    </row>
    <row r="107" spans="1:18" outlineLevel="1">
      <c r="A107" s="177" t="str">
        <f t="shared" si="3"/>
        <v>8413275D网络丝132/48黑喷水</v>
      </c>
      <c r="B107" s="39">
        <v>84132</v>
      </c>
      <c r="C107" s="8">
        <v>5</v>
      </c>
      <c r="D107" s="8" t="s">
        <v>866</v>
      </c>
      <c r="E107" s="8" t="s">
        <v>391</v>
      </c>
      <c r="F107" s="8" t="s">
        <v>1</v>
      </c>
      <c r="G107" s="8" t="s">
        <v>136</v>
      </c>
      <c r="H107" s="8" t="str">
        <f t="shared" si="5"/>
        <v>AA</v>
      </c>
      <c r="I107" s="40" t="str">
        <f>IF(B107="","",VLOOKUP(D107,加弹汇总表!C:E,3,FALSE))</f>
        <v>75网络</v>
      </c>
      <c r="M107" s="8">
        <v>1155</v>
      </c>
      <c r="O107" s="73">
        <v>43747</v>
      </c>
      <c r="P107" s="72" t="str">
        <f>IF(B107="","",VLOOKUP(D107,setting!$C$2:$D$30,2,FALSE))</f>
        <v>喷水</v>
      </c>
      <c r="R107" s="30">
        <f t="shared" si="4"/>
        <v>10</v>
      </c>
    </row>
    <row r="108" spans="1:18" outlineLevel="1">
      <c r="A108" s="177" t="str">
        <f t="shared" si="3"/>
        <v>S2121150D 135度有温丝89/48白圆机</v>
      </c>
      <c r="B108" s="39" t="s">
        <v>456</v>
      </c>
      <c r="C108" s="8">
        <v>4</v>
      </c>
      <c r="D108" s="8" t="s">
        <v>848</v>
      </c>
      <c r="E108" s="8" t="s">
        <v>455</v>
      </c>
      <c r="F108" s="8" t="s">
        <v>2</v>
      </c>
      <c r="G108" s="8" t="s">
        <v>158</v>
      </c>
      <c r="H108" s="8" t="str">
        <f t="shared" si="5"/>
        <v>AA</v>
      </c>
      <c r="I108" s="40">
        <f>IF(B108="","",VLOOKUP(D108,加弹汇总表!C:E,3,FALSE))</f>
        <v>50</v>
      </c>
      <c r="M108" s="8">
        <v>600.5</v>
      </c>
      <c r="O108" s="73">
        <v>43748</v>
      </c>
      <c r="P108" s="72" t="str">
        <f>IF(B108="","",VLOOKUP(D108,setting!$C$2:$D$30,2,FALSE))</f>
        <v>圆机</v>
      </c>
      <c r="R108" s="30">
        <f t="shared" si="4"/>
        <v>10</v>
      </c>
    </row>
    <row r="109" spans="1:18" outlineLevel="1">
      <c r="A109" s="177" t="str">
        <f t="shared" si="3"/>
        <v>64009450D94/36黑圆机</v>
      </c>
      <c r="B109" s="39">
        <v>640094</v>
      </c>
      <c r="C109" s="8">
        <v>6</v>
      </c>
      <c r="D109" s="8" t="s">
        <v>850</v>
      </c>
      <c r="E109" s="8" t="s">
        <v>460</v>
      </c>
      <c r="F109" s="8" t="s">
        <v>1</v>
      </c>
      <c r="G109" s="8" t="s">
        <v>136</v>
      </c>
      <c r="H109" s="8" t="str">
        <f t="shared" si="5"/>
        <v>AA</v>
      </c>
      <c r="I109" s="40">
        <f>IF(B109="","",VLOOKUP(D109,加弹汇总表!C:E,3,FALSE))</f>
        <v>50</v>
      </c>
      <c r="M109" s="8">
        <v>959</v>
      </c>
      <c r="O109" s="73">
        <v>43748</v>
      </c>
      <c r="P109" s="72" t="str">
        <f>IF(B109="","",VLOOKUP(D109,setting!$C$2:$D$30,2,FALSE))</f>
        <v>圆机</v>
      </c>
      <c r="R109" s="30">
        <f t="shared" si="4"/>
        <v>10</v>
      </c>
    </row>
    <row r="110" spans="1:18" outlineLevel="1">
      <c r="A110" s="177" t="str">
        <f t="shared" si="3"/>
        <v>S2132575D 135度低温丝130/48白圆机</v>
      </c>
      <c r="B110" s="39" t="s">
        <v>384</v>
      </c>
      <c r="C110" s="8">
        <v>4</v>
      </c>
      <c r="D110" s="8" t="s">
        <v>856</v>
      </c>
      <c r="E110" s="8" t="s">
        <v>381</v>
      </c>
      <c r="F110" s="8" t="s">
        <v>2</v>
      </c>
      <c r="G110" s="8" t="s">
        <v>158</v>
      </c>
      <c r="H110" s="8" t="str">
        <f t="shared" si="5"/>
        <v>AA</v>
      </c>
      <c r="I110" s="40">
        <f>IF(B110="","",VLOOKUP(D110,加弹汇总表!C:E,3,FALSE))</f>
        <v>75</v>
      </c>
      <c r="M110" s="8">
        <v>595.5</v>
      </c>
      <c r="O110" s="73">
        <v>43748</v>
      </c>
      <c r="P110" s="72" t="str">
        <f>IF(B110="","",VLOOKUP(D110,setting!$C$2:$D$30,2,FALSE))</f>
        <v>圆机</v>
      </c>
      <c r="R110" s="30">
        <f t="shared" si="4"/>
        <v>10</v>
      </c>
    </row>
    <row r="111" spans="1:18" outlineLevel="1">
      <c r="A111" s="177" t="str">
        <f t="shared" si="3"/>
        <v>S21102P20D网络丝35/24白喷水</v>
      </c>
      <c r="B111" s="39" t="s">
        <v>438</v>
      </c>
      <c r="C111" s="8">
        <v>3</v>
      </c>
      <c r="D111" s="8" t="s">
        <v>861</v>
      </c>
      <c r="E111" s="8" t="s">
        <v>437</v>
      </c>
      <c r="F111" s="8" t="s">
        <v>2</v>
      </c>
      <c r="G111" s="8" t="s">
        <v>158</v>
      </c>
      <c r="H111" s="8" t="str">
        <f t="shared" si="5"/>
        <v>AA</v>
      </c>
      <c r="I111" s="40" t="str">
        <f>IF(B111="","",VLOOKUP(D111,加弹汇总表!C:E,3,FALSE))</f>
        <v>20网络</v>
      </c>
      <c r="M111" s="8">
        <v>384</v>
      </c>
      <c r="O111" s="73">
        <v>43748</v>
      </c>
      <c r="P111" s="72" t="str">
        <f>IF(B111="","",VLOOKUP(D111,setting!$C$2:$D$30,2,FALSE))</f>
        <v>喷水</v>
      </c>
      <c r="R111" s="30">
        <f t="shared" si="4"/>
        <v>10</v>
      </c>
    </row>
    <row r="112" spans="1:18" outlineLevel="1">
      <c r="A112" s="177" t="str">
        <f t="shared" si="3"/>
        <v>24003620D网络丝36/24黑喷水</v>
      </c>
      <c r="B112" s="39">
        <v>240036</v>
      </c>
      <c r="C112" s="8">
        <v>8</v>
      </c>
      <c r="D112" s="8" t="s">
        <v>861</v>
      </c>
      <c r="E112" s="8" t="s">
        <v>447</v>
      </c>
      <c r="F112" s="8" t="s">
        <v>1</v>
      </c>
      <c r="G112" s="8" t="s">
        <v>136</v>
      </c>
      <c r="H112" s="8" t="str">
        <f t="shared" si="5"/>
        <v>AA</v>
      </c>
      <c r="I112" s="40" t="str">
        <f>IF(B112="","",VLOOKUP(D112,加弹汇总表!C:E,3,FALSE))</f>
        <v>20网络</v>
      </c>
      <c r="M112" s="8">
        <v>54</v>
      </c>
      <c r="O112" s="73">
        <v>43748</v>
      </c>
      <c r="P112" s="72" t="str">
        <f>IF(B112="","",VLOOKUP(D112,setting!$C$2:$D$30,2,FALSE))</f>
        <v>喷水</v>
      </c>
      <c r="R112" s="30">
        <f t="shared" si="4"/>
        <v>10</v>
      </c>
    </row>
    <row r="113" spans="1:18" outlineLevel="1">
      <c r="A113" s="177" t="str">
        <f t="shared" si="3"/>
        <v>24005530D网络丝55/24黑喷水</v>
      </c>
      <c r="B113" s="39">
        <v>240055</v>
      </c>
      <c r="C113" s="8">
        <v>8</v>
      </c>
      <c r="D113" s="8" t="s">
        <v>863</v>
      </c>
      <c r="E113" s="8" t="s">
        <v>452</v>
      </c>
      <c r="F113" s="8" t="s">
        <v>1</v>
      </c>
      <c r="G113" s="8" t="s">
        <v>136</v>
      </c>
      <c r="H113" s="8" t="str">
        <f t="shared" si="5"/>
        <v>AA</v>
      </c>
      <c r="I113" s="40" t="str">
        <f>IF(B113="","",VLOOKUP(D113,加弹汇总表!C:E,3,FALSE))</f>
        <v>30网络</v>
      </c>
      <c r="M113" s="8">
        <v>522.70000000000005</v>
      </c>
      <c r="O113" s="73">
        <v>43748</v>
      </c>
      <c r="P113" s="72" t="str">
        <f>IF(B113="","",VLOOKUP(D113,setting!$C$2:$D$30,2,FALSE))</f>
        <v>喷水</v>
      </c>
      <c r="R113" s="30">
        <f t="shared" si="4"/>
        <v>10</v>
      </c>
    </row>
    <row r="114" spans="1:18" outlineLevel="1">
      <c r="A114" s="177" t="str">
        <f t="shared" si="3"/>
        <v>S2121150D网络丝89/48白喷水</v>
      </c>
      <c r="B114" s="39" t="s">
        <v>456</v>
      </c>
      <c r="C114" s="8">
        <v>1</v>
      </c>
      <c r="D114" s="8" t="s">
        <v>865</v>
      </c>
      <c r="E114" s="8" t="s">
        <v>455</v>
      </c>
      <c r="F114" s="8" t="s">
        <v>2</v>
      </c>
      <c r="G114" s="8" t="s">
        <v>158</v>
      </c>
      <c r="H114" s="8" t="str">
        <f t="shared" si="5"/>
        <v>AA</v>
      </c>
      <c r="I114" s="40" t="str">
        <f>IF(B114="","",VLOOKUP(D114,加弹汇总表!C:E,3,FALSE))</f>
        <v>50网络</v>
      </c>
      <c r="M114" s="8">
        <v>1236</v>
      </c>
      <c r="O114" s="73">
        <v>43748</v>
      </c>
      <c r="P114" s="72" t="str">
        <f>IF(B114="","",VLOOKUP(D114,setting!$C$2:$D$30,2,FALSE))</f>
        <v>喷水</v>
      </c>
      <c r="R114" s="30">
        <f t="shared" si="4"/>
        <v>10</v>
      </c>
    </row>
    <row r="115" spans="1:18" outlineLevel="1">
      <c r="A115" s="177" t="str">
        <f t="shared" si="3"/>
        <v>64009450D网络丝94/36黑喷水</v>
      </c>
      <c r="B115" s="39">
        <v>640094</v>
      </c>
      <c r="C115" s="8">
        <v>6</v>
      </c>
      <c r="D115" s="8" t="s">
        <v>865</v>
      </c>
      <c r="E115" s="8" t="s">
        <v>460</v>
      </c>
      <c r="F115" s="8" t="s">
        <v>1</v>
      </c>
      <c r="G115" s="8" t="s">
        <v>136</v>
      </c>
      <c r="H115" s="8" t="str">
        <f t="shared" si="5"/>
        <v>AA</v>
      </c>
      <c r="I115" s="40" t="str">
        <f>IF(B115="","",VLOOKUP(D115,加弹汇总表!C:E,3,FALSE))</f>
        <v>50网络</v>
      </c>
      <c r="M115" s="8">
        <v>593</v>
      </c>
      <c r="O115" s="73">
        <v>43748</v>
      </c>
      <c r="P115" s="72" t="str">
        <f>IF(B115="","",VLOOKUP(D115,setting!$C$2:$D$30,2,FALSE))</f>
        <v>喷水</v>
      </c>
      <c r="R115" s="30">
        <f t="shared" si="4"/>
        <v>10</v>
      </c>
    </row>
    <row r="116" spans="1:18" outlineLevel="1">
      <c r="A116" s="177" t="str">
        <f t="shared" si="3"/>
        <v>64009450D网络丝94/36黑喷水</v>
      </c>
      <c r="B116" s="39">
        <v>640094</v>
      </c>
      <c r="C116" s="8">
        <v>7</v>
      </c>
      <c r="D116" s="8" t="s">
        <v>865</v>
      </c>
      <c r="E116" s="8" t="s">
        <v>460</v>
      </c>
      <c r="F116" s="8" t="s">
        <v>1</v>
      </c>
      <c r="G116" s="8" t="s">
        <v>136</v>
      </c>
      <c r="H116" s="8" t="str">
        <f t="shared" si="5"/>
        <v>AA</v>
      </c>
      <c r="I116" s="40" t="str">
        <f>IF(B116="","",VLOOKUP(D116,加弹汇总表!C:E,3,FALSE))</f>
        <v>50网络</v>
      </c>
      <c r="M116" s="8">
        <v>743</v>
      </c>
      <c r="O116" s="73">
        <v>43748</v>
      </c>
      <c r="P116" s="72" t="str">
        <f>IF(B116="","",VLOOKUP(D116,setting!$C$2:$D$30,2,FALSE))</f>
        <v>喷水</v>
      </c>
      <c r="R116" s="30">
        <f t="shared" si="4"/>
        <v>10</v>
      </c>
    </row>
    <row r="117" spans="1:18" outlineLevel="1">
      <c r="A117" s="177" t="str">
        <f t="shared" si="3"/>
        <v>S2132575D网络丝130/48白喷水</v>
      </c>
      <c r="B117" s="39" t="s">
        <v>384</v>
      </c>
      <c r="C117" s="8">
        <v>2</v>
      </c>
      <c r="D117" s="8" t="s">
        <v>866</v>
      </c>
      <c r="E117" s="8" t="s">
        <v>381</v>
      </c>
      <c r="F117" s="8" t="s">
        <v>2</v>
      </c>
      <c r="G117" s="8" t="s">
        <v>158</v>
      </c>
      <c r="H117" s="8" t="str">
        <f t="shared" si="5"/>
        <v>AA</v>
      </c>
      <c r="I117" s="40" t="str">
        <f>IF(B117="","",VLOOKUP(D117,加弹汇总表!C:E,3,FALSE))</f>
        <v>75网络</v>
      </c>
      <c r="M117" s="8">
        <v>1863.04</v>
      </c>
      <c r="O117" s="73">
        <v>43748</v>
      </c>
      <c r="P117" s="72" t="str">
        <f>IF(B117="","",VLOOKUP(D117,setting!$C$2:$D$30,2,FALSE))</f>
        <v>喷水</v>
      </c>
      <c r="R117" s="30">
        <f t="shared" si="4"/>
        <v>10</v>
      </c>
    </row>
    <row r="118" spans="1:18" outlineLevel="1">
      <c r="A118" s="177" t="str">
        <f t="shared" si="3"/>
        <v>S2132575D网络丝130/48白喷水</v>
      </c>
      <c r="B118" s="39" t="s">
        <v>384</v>
      </c>
      <c r="C118" s="8">
        <v>7</v>
      </c>
      <c r="D118" s="8" t="s">
        <v>866</v>
      </c>
      <c r="E118" s="8" t="s">
        <v>381</v>
      </c>
      <c r="F118" s="8" t="s">
        <v>2</v>
      </c>
      <c r="G118" s="8" t="s">
        <v>158</v>
      </c>
      <c r="H118" s="8" t="str">
        <f t="shared" si="5"/>
        <v>AA</v>
      </c>
      <c r="I118" s="40" t="str">
        <f>IF(B118="","",VLOOKUP(D118,加弹汇总表!C:E,3,FALSE))</f>
        <v>75网络</v>
      </c>
      <c r="M118" s="8">
        <v>613.45000000000005</v>
      </c>
      <c r="O118" s="73">
        <v>43748</v>
      </c>
      <c r="P118" s="72" t="str">
        <f>IF(B118="","",VLOOKUP(D118,setting!$C$2:$D$30,2,FALSE))</f>
        <v>喷水</v>
      </c>
      <c r="R118" s="30">
        <f t="shared" si="4"/>
        <v>10</v>
      </c>
    </row>
    <row r="119" spans="1:18" outlineLevel="1">
      <c r="A119" s="177" t="str">
        <f t="shared" si="3"/>
        <v>8413275D网络丝132/48黑喷水</v>
      </c>
      <c r="B119" s="39">
        <v>84132</v>
      </c>
      <c r="C119" s="8">
        <v>5</v>
      </c>
      <c r="D119" s="8" t="s">
        <v>866</v>
      </c>
      <c r="E119" s="8" t="s">
        <v>391</v>
      </c>
      <c r="F119" s="8" t="s">
        <v>1</v>
      </c>
      <c r="G119" s="8" t="s">
        <v>136</v>
      </c>
      <c r="H119" s="8" t="str">
        <f t="shared" si="5"/>
        <v>AA</v>
      </c>
      <c r="I119" s="40" t="str">
        <f>IF(B119="","",VLOOKUP(D119,加弹汇总表!C:E,3,FALSE))</f>
        <v>75网络</v>
      </c>
      <c r="M119" s="8">
        <v>1965</v>
      </c>
      <c r="O119" s="73">
        <v>43748</v>
      </c>
      <c r="P119" s="72" t="str">
        <f>IF(B119="","",VLOOKUP(D119,setting!$C$2:$D$30,2,FALSE))</f>
        <v>喷水</v>
      </c>
      <c r="R119" s="30">
        <f t="shared" si="4"/>
        <v>10</v>
      </c>
    </row>
    <row r="120" spans="1:18" outlineLevel="1">
      <c r="A120" s="177" t="str">
        <f t="shared" si="3"/>
        <v>S2121150D 135度有温丝89/48白圆机</v>
      </c>
      <c r="B120" s="39" t="s">
        <v>456</v>
      </c>
      <c r="C120" s="8">
        <v>4</v>
      </c>
      <c r="D120" s="8" t="s">
        <v>848</v>
      </c>
      <c r="E120" s="8" t="s">
        <v>455</v>
      </c>
      <c r="F120" s="8" t="s">
        <v>2</v>
      </c>
      <c r="G120" s="8" t="s">
        <v>158</v>
      </c>
      <c r="H120" s="8" t="str">
        <f t="shared" si="5"/>
        <v>AA</v>
      </c>
      <c r="I120" s="40">
        <f>IF(B120="","",VLOOKUP(D120,加弹汇总表!C:E,3,FALSE))</f>
        <v>50</v>
      </c>
      <c r="M120" s="8">
        <v>477.5</v>
      </c>
      <c r="O120" s="73">
        <v>43749</v>
      </c>
      <c r="P120" s="72" t="str">
        <f>IF(B120="","",VLOOKUP(D120,setting!$C$2:$D$30,2,FALSE))</f>
        <v>圆机</v>
      </c>
      <c r="R120" s="30">
        <f t="shared" si="4"/>
        <v>10</v>
      </c>
    </row>
    <row r="121" spans="1:18" outlineLevel="1">
      <c r="A121" s="177" t="str">
        <f t="shared" si="3"/>
        <v>S2132575D 135度低温丝130/48白圆机</v>
      </c>
      <c r="B121" s="39" t="s">
        <v>384</v>
      </c>
      <c r="C121" s="8">
        <v>4</v>
      </c>
      <c r="D121" s="8" t="s">
        <v>856</v>
      </c>
      <c r="E121" s="8" t="s">
        <v>381</v>
      </c>
      <c r="F121" s="8" t="s">
        <v>2</v>
      </c>
      <c r="G121" s="8" t="s">
        <v>158</v>
      </c>
      <c r="H121" s="8" t="str">
        <f t="shared" si="5"/>
        <v>AA</v>
      </c>
      <c r="I121" s="40">
        <f>IF(B121="","",VLOOKUP(D121,加弹汇总表!C:E,3,FALSE))</f>
        <v>75</v>
      </c>
      <c r="M121" s="8">
        <v>1146</v>
      </c>
      <c r="O121" s="73">
        <v>43749</v>
      </c>
      <c r="P121" s="72" t="str">
        <f>IF(B121="","",VLOOKUP(D121,setting!$C$2:$D$30,2,FALSE))</f>
        <v>圆机</v>
      </c>
      <c r="R121" s="30">
        <f t="shared" si="4"/>
        <v>10</v>
      </c>
    </row>
    <row r="122" spans="1:18" outlineLevel="1">
      <c r="A122" s="177" t="str">
        <f t="shared" si="3"/>
        <v>S21102P20D网络丝35/24白喷水</v>
      </c>
      <c r="B122" s="39" t="s">
        <v>438</v>
      </c>
      <c r="C122" s="8">
        <v>3</v>
      </c>
      <c r="D122" s="8" t="s">
        <v>861</v>
      </c>
      <c r="E122" s="8" t="s">
        <v>437</v>
      </c>
      <c r="F122" s="8" t="s">
        <v>2</v>
      </c>
      <c r="G122" s="8" t="s">
        <v>158</v>
      </c>
      <c r="H122" s="8" t="str">
        <f t="shared" si="5"/>
        <v>AA</v>
      </c>
      <c r="I122" s="40" t="str">
        <f>IF(B122="","",VLOOKUP(D122,加弹汇总表!C:E,3,FALSE))</f>
        <v>20网络</v>
      </c>
      <c r="M122" s="8">
        <v>497</v>
      </c>
      <c r="O122" s="73">
        <v>43749</v>
      </c>
      <c r="P122" s="72" t="str">
        <f>IF(B122="","",VLOOKUP(D122,setting!$C$2:$D$30,2,FALSE))</f>
        <v>喷水</v>
      </c>
      <c r="R122" s="30">
        <f t="shared" si="4"/>
        <v>10</v>
      </c>
    </row>
    <row r="123" spans="1:18" outlineLevel="1">
      <c r="A123" s="177" t="str">
        <f t="shared" si="3"/>
        <v>24003620D网络丝36/24黑喷水</v>
      </c>
      <c r="B123" s="39">
        <v>240036</v>
      </c>
      <c r="C123" s="8">
        <v>8</v>
      </c>
      <c r="D123" s="8" t="s">
        <v>861</v>
      </c>
      <c r="E123" s="8" t="s">
        <v>447</v>
      </c>
      <c r="F123" s="8" t="s">
        <v>1</v>
      </c>
      <c r="G123" s="8" t="s">
        <v>136</v>
      </c>
      <c r="H123" s="8" t="str">
        <f t="shared" si="5"/>
        <v>AA</v>
      </c>
      <c r="I123" s="40" t="str">
        <f>IF(B123="","",VLOOKUP(D123,加弹汇总表!C:E,3,FALSE))</f>
        <v>20网络</v>
      </c>
      <c r="M123" s="8">
        <v>324</v>
      </c>
      <c r="O123" s="73">
        <v>43749</v>
      </c>
      <c r="P123" s="72" t="str">
        <f>IF(B123="","",VLOOKUP(D123,setting!$C$2:$D$30,2,FALSE))</f>
        <v>喷水</v>
      </c>
      <c r="R123" s="30">
        <f t="shared" si="4"/>
        <v>10</v>
      </c>
    </row>
    <row r="124" spans="1:18" outlineLevel="1">
      <c r="A124" s="177" t="str">
        <f t="shared" si="3"/>
        <v>24005530D网络丝55/24黑喷水</v>
      </c>
      <c r="B124" s="39">
        <v>240055</v>
      </c>
      <c r="C124" s="8">
        <v>8</v>
      </c>
      <c r="D124" s="8" t="s">
        <v>863</v>
      </c>
      <c r="E124" s="8" t="s">
        <v>452</v>
      </c>
      <c r="F124" s="8" t="s">
        <v>1</v>
      </c>
      <c r="G124" s="8" t="s">
        <v>136</v>
      </c>
      <c r="H124" s="8" t="str">
        <f t="shared" si="5"/>
        <v>AA</v>
      </c>
      <c r="I124" s="40" t="str">
        <f>IF(B124="","",VLOOKUP(D124,加弹汇总表!C:E,3,FALSE))</f>
        <v>30网络</v>
      </c>
      <c r="M124" s="8">
        <v>352.25</v>
      </c>
      <c r="O124" s="73">
        <v>43749</v>
      </c>
      <c r="P124" s="72" t="str">
        <f>IF(B124="","",VLOOKUP(D124,setting!$C$2:$D$30,2,FALSE))</f>
        <v>喷水</v>
      </c>
      <c r="R124" s="30">
        <f t="shared" si="4"/>
        <v>10</v>
      </c>
    </row>
    <row r="125" spans="1:18" outlineLevel="1">
      <c r="A125" s="177" t="str">
        <f t="shared" si="3"/>
        <v>S2121150D网络丝89/48白喷水</v>
      </c>
      <c r="B125" s="39" t="s">
        <v>456</v>
      </c>
      <c r="C125" s="8">
        <v>1</v>
      </c>
      <c r="D125" s="8" t="s">
        <v>865</v>
      </c>
      <c r="E125" s="8" t="s">
        <v>455</v>
      </c>
      <c r="F125" s="8" t="s">
        <v>2</v>
      </c>
      <c r="G125" s="8" t="s">
        <v>158</v>
      </c>
      <c r="H125" s="8" t="str">
        <f t="shared" si="5"/>
        <v>AA</v>
      </c>
      <c r="I125" s="40" t="str">
        <f>IF(B125="","",VLOOKUP(D125,加弹汇总表!C:E,3,FALSE))</f>
        <v>50网络</v>
      </c>
      <c r="M125" s="8">
        <v>1215</v>
      </c>
      <c r="O125" s="73">
        <v>43749</v>
      </c>
      <c r="P125" s="72" t="str">
        <f>IF(B125="","",VLOOKUP(D125,setting!$C$2:$D$30,2,FALSE))</f>
        <v>喷水</v>
      </c>
      <c r="R125" s="30">
        <f t="shared" si="4"/>
        <v>10</v>
      </c>
    </row>
    <row r="126" spans="1:18" outlineLevel="1">
      <c r="A126" s="177" t="str">
        <f t="shared" si="3"/>
        <v>64009450D网络丝94/36黑喷水</v>
      </c>
      <c r="B126" s="39">
        <v>640094</v>
      </c>
      <c r="C126" s="8">
        <v>7</v>
      </c>
      <c r="D126" s="8" t="s">
        <v>865</v>
      </c>
      <c r="E126" s="8" t="s">
        <v>460</v>
      </c>
      <c r="F126" s="8" t="s">
        <v>1</v>
      </c>
      <c r="G126" s="8" t="s">
        <v>136</v>
      </c>
      <c r="H126" s="8" t="str">
        <f t="shared" si="5"/>
        <v>AA</v>
      </c>
      <c r="I126" s="40" t="str">
        <f>IF(B126="","",VLOOKUP(D126,加弹汇总表!C:E,3,FALSE))</f>
        <v>50网络</v>
      </c>
      <c r="M126" s="8">
        <v>651</v>
      </c>
      <c r="O126" s="73">
        <v>43749</v>
      </c>
      <c r="P126" s="72" t="str">
        <f>IF(B126="","",VLOOKUP(D126,setting!$C$2:$D$30,2,FALSE))</f>
        <v>喷水</v>
      </c>
      <c r="R126" s="30">
        <f t="shared" si="4"/>
        <v>10</v>
      </c>
    </row>
    <row r="127" spans="1:18" outlineLevel="1">
      <c r="A127" s="177" t="str">
        <f t="shared" si="3"/>
        <v>S2132575D网络丝130/48白喷水</v>
      </c>
      <c r="B127" s="39" t="s">
        <v>384</v>
      </c>
      <c r="C127" s="8">
        <v>2</v>
      </c>
      <c r="D127" s="8" t="s">
        <v>866</v>
      </c>
      <c r="E127" s="8" t="s">
        <v>381</v>
      </c>
      <c r="F127" s="8" t="s">
        <v>2</v>
      </c>
      <c r="G127" s="8" t="s">
        <v>158</v>
      </c>
      <c r="H127" s="8" t="str">
        <f t="shared" si="5"/>
        <v>AA</v>
      </c>
      <c r="I127" s="40" t="str">
        <f>IF(B127="","",VLOOKUP(D127,加弹汇总表!C:E,3,FALSE))</f>
        <v>75网络</v>
      </c>
      <c r="M127" s="8">
        <v>1766</v>
      </c>
      <c r="O127" s="73">
        <v>43749</v>
      </c>
      <c r="P127" s="72" t="str">
        <f>IF(B127="","",VLOOKUP(D127,setting!$C$2:$D$30,2,FALSE))</f>
        <v>喷水</v>
      </c>
      <c r="R127" s="30">
        <f t="shared" si="4"/>
        <v>10</v>
      </c>
    </row>
    <row r="128" spans="1:18" outlineLevel="1">
      <c r="A128" s="177" t="str">
        <f t="shared" si="3"/>
        <v>S2132575D网络丝130/48白喷水</v>
      </c>
      <c r="B128" s="39" t="s">
        <v>384</v>
      </c>
      <c r="C128" s="8">
        <v>7</v>
      </c>
      <c r="D128" s="8" t="s">
        <v>866</v>
      </c>
      <c r="E128" s="8" t="s">
        <v>381</v>
      </c>
      <c r="F128" s="8" t="s">
        <v>2</v>
      </c>
      <c r="G128" s="8" t="s">
        <v>158</v>
      </c>
      <c r="H128" s="8" t="str">
        <f t="shared" si="5"/>
        <v>AA</v>
      </c>
      <c r="I128" s="40" t="str">
        <f>IF(B128="","",VLOOKUP(D128,加弹汇总表!C:E,3,FALSE))</f>
        <v>75网络</v>
      </c>
      <c r="M128" s="8">
        <v>683.11</v>
      </c>
      <c r="O128" s="73">
        <v>43749</v>
      </c>
      <c r="P128" s="72" t="str">
        <f>IF(B128="","",VLOOKUP(D128,setting!$C$2:$D$30,2,FALSE))</f>
        <v>喷水</v>
      </c>
      <c r="R128" s="30">
        <f t="shared" si="4"/>
        <v>10</v>
      </c>
    </row>
    <row r="129" spans="1:18" outlineLevel="1">
      <c r="A129" s="177" t="str">
        <f t="shared" si="3"/>
        <v>8413275D网络丝132/48黑喷水</v>
      </c>
      <c r="B129" s="39">
        <v>84132</v>
      </c>
      <c r="C129" s="8">
        <v>5</v>
      </c>
      <c r="D129" s="8" t="s">
        <v>866</v>
      </c>
      <c r="E129" s="8" t="s">
        <v>391</v>
      </c>
      <c r="F129" s="8" t="s">
        <v>1</v>
      </c>
      <c r="G129" s="8" t="s">
        <v>136</v>
      </c>
      <c r="H129" s="8" t="str">
        <f t="shared" si="5"/>
        <v>AA</v>
      </c>
      <c r="I129" s="40" t="str">
        <f>IF(B129="","",VLOOKUP(D129,加弹汇总表!C:E,3,FALSE))</f>
        <v>75网络</v>
      </c>
      <c r="M129" s="8">
        <v>1794</v>
      </c>
      <c r="O129" s="73">
        <v>43749</v>
      </c>
      <c r="P129" s="72" t="str">
        <f>IF(B129="","",VLOOKUP(D129,setting!$C$2:$D$30,2,FALSE))</f>
        <v>喷水</v>
      </c>
      <c r="R129" s="30">
        <f t="shared" si="4"/>
        <v>10</v>
      </c>
    </row>
    <row r="130" spans="1:18" outlineLevel="1">
      <c r="A130" s="177" t="str">
        <f t="shared" ref="A130:A193" si="6">B130&amp;D130&amp;E130&amp;F130&amp;P130</f>
        <v>8413275D网络丝132/48黑喷水</v>
      </c>
      <c r="B130" s="39">
        <v>84132</v>
      </c>
      <c r="C130" s="8">
        <v>7</v>
      </c>
      <c r="D130" s="8" t="s">
        <v>866</v>
      </c>
      <c r="E130" s="8" t="s">
        <v>391</v>
      </c>
      <c r="F130" s="8" t="s">
        <v>1</v>
      </c>
      <c r="G130" s="8" t="s">
        <v>136</v>
      </c>
      <c r="H130" s="8" t="str">
        <f t="shared" si="5"/>
        <v>AA</v>
      </c>
      <c r="I130" s="40" t="str">
        <f>IF(B130="","",VLOOKUP(D130,加弹汇总表!C:E,3,FALSE))</f>
        <v>75网络</v>
      </c>
      <c r="M130" s="8">
        <v>597</v>
      </c>
      <c r="O130" s="73">
        <v>43749</v>
      </c>
      <c r="P130" s="72" t="str">
        <f>IF(B130="","",VLOOKUP(D130,setting!$C$2:$D$30,2,FALSE))</f>
        <v>喷水</v>
      </c>
      <c r="R130" s="30">
        <f t="shared" ref="R130:R193" si="7">IF(O130="","",MONTH(O130))</f>
        <v>10</v>
      </c>
    </row>
    <row r="131" spans="1:18" outlineLevel="1">
      <c r="A131" s="177" t="str">
        <f t="shared" si="6"/>
        <v>S2121150D 135度有温丝89/48白圆机</v>
      </c>
      <c r="B131" s="39" t="s">
        <v>456</v>
      </c>
      <c r="C131" s="8">
        <v>4</v>
      </c>
      <c r="D131" s="8" t="s">
        <v>848</v>
      </c>
      <c r="E131" s="8" t="s">
        <v>455</v>
      </c>
      <c r="F131" s="8" t="s">
        <v>2</v>
      </c>
      <c r="G131" s="8" t="s">
        <v>158</v>
      </c>
      <c r="H131" s="8" t="str">
        <f t="shared" si="5"/>
        <v>AA</v>
      </c>
      <c r="I131" s="40">
        <f>IF(B131="","",VLOOKUP(D131,加弹汇总表!C:E,3,FALSE))</f>
        <v>50</v>
      </c>
      <c r="M131" s="8">
        <v>596</v>
      </c>
      <c r="O131" s="73">
        <v>43750</v>
      </c>
      <c r="P131" s="72" t="str">
        <f>IF(B131="","",VLOOKUP(D131,setting!$C$2:$D$30,2,FALSE))</f>
        <v>圆机</v>
      </c>
      <c r="R131" s="30">
        <f t="shared" si="7"/>
        <v>10</v>
      </c>
    </row>
    <row r="132" spans="1:18" outlineLevel="1">
      <c r="A132" s="177" t="str">
        <f t="shared" si="6"/>
        <v>64009450D94/36黑圆机</v>
      </c>
      <c r="B132" s="39">
        <v>640094</v>
      </c>
      <c r="C132" s="8">
        <v>6</v>
      </c>
      <c r="D132" s="8" t="s">
        <v>850</v>
      </c>
      <c r="E132" s="8" t="s">
        <v>460</v>
      </c>
      <c r="F132" s="8" t="s">
        <v>1</v>
      </c>
      <c r="G132" s="8" t="s">
        <v>136</v>
      </c>
      <c r="H132" s="8" t="str">
        <f t="shared" ref="H132:H195" si="8">IF(B132="","","AA")</f>
        <v>AA</v>
      </c>
      <c r="I132" s="40">
        <f>IF(B132="","",VLOOKUP(D132,加弹汇总表!C:E,3,FALSE))</f>
        <v>50</v>
      </c>
      <c r="M132" s="8">
        <v>973</v>
      </c>
      <c r="O132" s="73">
        <v>43750</v>
      </c>
      <c r="P132" s="72" t="str">
        <f>IF(B132="","",VLOOKUP(D132,setting!$C$2:$D$30,2,FALSE))</f>
        <v>圆机</v>
      </c>
      <c r="R132" s="30">
        <f t="shared" si="7"/>
        <v>10</v>
      </c>
    </row>
    <row r="133" spans="1:18" outlineLevel="1">
      <c r="A133" s="177" t="str">
        <f t="shared" si="6"/>
        <v>S2132575D 135度低温丝130/48白圆机</v>
      </c>
      <c r="B133" s="39" t="s">
        <v>384</v>
      </c>
      <c r="C133" s="8">
        <v>4</v>
      </c>
      <c r="D133" s="8" t="s">
        <v>856</v>
      </c>
      <c r="E133" s="8" t="s">
        <v>381</v>
      </c>
      <c r="F133" s="8" t="s">
        <v>2</v>
      </c>
      <c r="G133" s="8" t="s">
        <v>158</v>
      </c>
      <c r="H133" s="8" t="str">
        <f t="shared" si="8"/>
        <v>AA</v>
      </c>
      <c r="I133" s="40">
        <f>IF(B133="","",VLOOKUP(D133,加弹汇总表!C:E,3,FALSE))</f>
        <v>75</v>
      </c>
      <c r="M133" s="8">
        <v>593.5</v>
      </c>
      <c r="O133" s="73">
        <v>43750</v>
      </c>
      <c r="P133" s="72" t="str">
        <f>IF(B133="","",VLOOKUP(D133,setting!$C$2:$D$30,2,FALSE))</f>
        <v>圆机</v>
      </c>
      <c r="R133" s="30">
        <f t="shared" si="7"/>
        <v>10</v>
      </c>
    </row>
    <row r="134" spans="1:18" outlineLevel="1">
      <c r="A134" s="177" t="str">
        <f t="shared" si="6"/>
        <v>S21102P20D网络丝35/24白喷水</v>
      </c>
      <c r="B134" s="39" t="s">
        <v>438</v>
      </c>
      <c r="C134" s="8">
        <v>3</v>
      </c>
      <c r="D134" s="8" t="s">
        <v>861</v>
      </c>
      <c r="E134" s="8" t="s">
        <v>437</v>
      </c>
      <c r="F134" s="8" t="s">
        <v>2</v>
      </c>
      <c r="G134" s="8" t="s">
        <v>158</v>
      </c>
      <c r="H134" s="8" t="str">
        <f t="shared" si="8"/>
        <v>AA</v>
      </c>
      <c r="I134" s="40" t="str">
        <f>IF(B134="","",VLOOKUP(D134,加弹汇总表!C:E,3,FALSE))</f>
        <v>20网络</v>
      </c>
      <c r="M134" s="8">
        <v>464</v>
      </c>
      <c r="O134" s="73">
        <v>43750</v>
      </c>
      <c r="P134" s="72" t="str">
        <f>IF(B134="","",VLOOKUP(D134,setting!$C$2:$D$30,2,FALSE))</f>
        <v>喷水</v>
      </c>
      <c r="R134" s="30">
        <f t="shared" si="7"/>
        <v>10</v>
      </c>
    </row>
    <row r="135" spans="1:18" outlineLevel="1">
      <c r="A135" s="177" t="str">
        <f t="shared" si="6"/>
        <v>24003620D网络丝36/24黑喷水</v>
      </c>
      <c r="B135" s="39">
        <v>240036</v>
      </c>
      <c r="C135" s="8">
        <v>8</v>
      </c>
      <c r="D135" s="8" t="s">
        <v>861</v>
      </c>
      <c r="E135" s="8" t="s">
        <v>447</v>
      </c>
      <c r="F135" s="8" t="s">
        <v>1</v>
      </c>
      <c r="G135" s="8" t="s">
        <v>136</v>
      </c>
      <c r="H135" s="8" t="str">
        <f t="shared" si="8"/>
        <v>AA</v>
      </c>
      <c r="I135" s="40" t="str">
        <f>IF(B135="","",VLOOKUP(D135,加弹汇总表!C:E,3,FALSE))</f>
        <v>20网络</v>
      </c>
      <c r="M135" s="8">
        <v>354</v>
      </c>
      <c r="O135" s="73">
        <v>43750</v>
      </c>
      <c r="P135" s="72" t="str">
        <f>IF(B135="","",VLOOKUP(D135,setting!$C$2:$D$30,2,FALSE))</f>
        <v>喷水</v>
      </c>
      <c r="R135" s="30">
        <f t="shared" si="7"/>
        <v>10</v>
      </c>
    </row>
    <row r="136" spans="1:18" outlineLevel="1">
      <c r="A136" s="177" t="str">
        <f t="shared" si="6"/>
        <v>24005530D网络丝55/24黑喷水</v>
      </c>
      <c r="B136" s="39">
        <v>240055</v>
      </c>
      <c r="C136" s="8">
        <v>8</v>
      </c>
      <c r="D136" s="8" t="s">
        <v>863</v>
      </c>
      <c r="E136" s="8" t="s">
        <v>452</v>
      </c>
      <c r="F136" s="8" t="s">
        <v>1</v>
      </c>
      <c r="G136" s="8" t="s">
        <v>136</v>
      </c>
      <c r="H136" s="8" t="str">
        <f t="shared" si="8"/>
        <v>AA</v>
      </c>
      <c r="I136" s="40" t="str">
        <f>IF(B136="","",VLOOKUP(D136,加弹汇总表!C:E,3,FALSE))</f>
        <v>30网络</v>
      </c>
      <c r="M136" s="8">
        <v>162.25</v>
      </c>
      <c r="O136" s="73">
        <v>43750</v>
      </c>
      <c r="P136" s="72" t="str">
        <f>IF(B136="","",VLOOKUP(D136,setting!$C$2:$D$30,2,FALSE))</f>
        <v>喷水</v>
      </c>
      <c r="R136" s="30">
        <f t="shared" si="7"/>
        <v>10</v>
      </c>
    </row>
    <row r="137" spans="1:18" outlineLevel="1">
      <c r="A137" s="177" t="str">
        <f t="shared" si="6"/>
        <v>S2121150D网络丝89/48白喷水</v>
      </c>
      <c r="B137" s="39" t="s">
        <v>456</v>
      </c>
      <c r="C137" s="8">
        <v>1</v>
      </c>
      <c r="D137" s="8" t="s">
        <v>865</v>
      </c>
      <c r="E137" s="8" t="s">
        <v>455</v>
      </c>
      <c r="F137" s="8" t="s">
        <v>2</v>
      </c>
      <c r="G137" s="8" t="s">
        <v>158</v>
      </c>
      <c r="H137" s="8" t="str">
        <f t="shared" si="8"/>
        <v>AA</v>
      </c>
      <c r="I137" s="40" t="str">
        <f>IF(B137="","",VLOOKUP(D137,加弹汇总表!C:E,3,FALSE))</f>
        <v>50网络</v>
      </c>
      <c r="M137" s="8">
        <v>1357</v>
      </c>
      <c r="O137" s="73">
        <v>43750</v>
      </c>
      <c r="P137" s="72" t="str">
        <f>IF(B137="","",VLOOKUP(D137,setting!$C$2:$D$30,2,FALSE))</f>
        <v>喷水</v>
      </c>
      <c r="R137" s="30">
        <f t="shared" si="7"/>
        <v>10</v>
      </c>
    </row>
    <row r="138" spans="1:18" outlineLevel="1">
      <c r="A138" s="177" t="str">
        <f t="shared" si="6"/>
        <v>64009450D网络丝94/36黑喷水</v>
      </c>
      <c r="B138" s="39">
        <v>640094</v>
      </c>
      <c r="C138" s="8">
        <v>6</v>
      </c>
      <c r="D138" s="8" t="s">
        <v>865</v>
      </c>
      <c r="E138" s="8" t="s">
        <v>460</v>
      </c>
      <c r="F138" s="8" t="s">
        <v>1</v>
      </c>
      <c r="G138" s="8" t="s">
        <v>136</v>
      </c>
      <c r="H138" s="8" t="str">
        <f t="shared" si="8"/>
        <v>AA</v>
      </c>
      <c r="I138" s="40" t="str">
        <f>IF(B138="","",VLOOKUP(D138,加弹汇总表!C:E,3,FALSE))</f>
        <v>50网络</v>
      </c>
      <c r="M138" s="8">
        <v>672</v>
      </c>
      <c r="O138" s="73">
        <v>43750</v>
      </c>
      <c r="P138" s="72" t="str">
        <f>IF(B138="","",VLOOKUP(D138,setting!$C$2:$D$30,2,FALSE))</f>
        <v>喷水</v>
      </c>
      <c r="R138" s="30">
        <f t="shared" si="7"/>
        <v>10</v>
      </c>
    </row>
    <row r="139" spans="1:18" outlineLevel="1">
      <c r="A139" s="177" t="str">
        <f t="shared" si="6"/>
        <v>64009450D网络丝94/36黑喷水</v>
      </c>
      <c r="B139" s="39">
        <v>640094</v>
      </c>
      <c r="C139" s="8">
        <v>7</v>
      </c>
      <c r="D139" s="8" t="s">
        <v>865</v>
      </c>
      <c r="E139" s="8" t="s">
        <v>460</v>
      </c>
      <c r="F139" s="8" t="s">
        <v>1</v>
      </c>
      <c r="G139" s="8" t="s">
        <v>136</v>
      </c>
      <c r="H139" s="8" t="str">
        <f t="shared" si="8"/>
        <v>AA</v>
      </c>
      <c r="I139" s="40" t="str">
        <f>IF(B139="","",VLOOKUP(D139,加弹汇总表!C:E,3,FALSE))</f>
        <v>50网络</v>
      </c>
      <c r="M139" s="8">
        <v>579</v>
      </c>
      <c r="O139" s="73">
        <v>43750</v>
      </c>
      <c r="P139" s="72" t="str">
        <f>IF(B139="","",VLOOKUP(D139,setting!$C$2:$D$30,2,FALSE))</f>
        <v>喷水</v>
      </c>
      <c r="R139" s="30">
        <f t="shared" si="7"/>
        <v>10</v>
      </c>
    </row>
    <row r="140" spans="1:18" outlineLevel="1">
      <c r="A140" s="177" t="str">
        <f t="shared" si="6"/>
        <v>S2132575D网络丝130/48白喷水</v>
      </c>
      <c r="B140" s="39" t="s">
        <v>384</v>
      </c>
      <c r="C140" s="8">
        <v>2</v>
      </c>
      <c r="D140" s="8" t="s">
        <v>866</v>
      </c>
      <c r="E140" s="8" t="s">
        <v>381</v>
      </c>
      <c r="F140" s="8" t="s">
        <v>2</v>
      </c>
      <c r="G140" s="8" t="s">
        <v>158</v>
      </c>
      <c r="H140" s="8" t="str">
        <f t="shared" si="8"/>
        <v>AA</v>
      </c>
      <c r="I140" s="40" t="str">
        <f>IF(B140="","",VLOOKUP(D140,加弹汇总表!C:E,3,FALSE))</f>
        <v>75网络</v>
      </c>
      <c r="M140" s="8">
        <v>2470.2600000000002</v>
      </c>
      <c r="O140" s="73">
        <v>43750</v>
      </c>
      <c r="P140" s="72" t="str">
        <f>IF(B140="","",VLOOKUP(D140,setting!$C$2:$D$30,2,FALSE))</f>
        <v>喷水</v>
      </c>
      <c r="R140" s="30">
        <f t="shared" si="7"/>
        <v>10</v>
      </c>
    </row>
    <row r="141" spans="1:18" outlineLevel="1">
      <c r="A141" s="177" t="str">
        <f t="shared" si="6"/>
        <v>8413275D网络丝132/48黑喷水</v>
      </c>
      <c r="B141" s="39">
        <v>84132</v>
      </c>
      <c r="C141" s="8">
        <v>5</v>
      </c>
      <c r="D141" s="8" t="s">
        <v>866</v>
      </c>
      <c r="E141" s="8" t="s">
        <v>391</v>
      </c>
      <c r="F141" s="8" t="s">
        <v>1</v>
      </c>
      <c r="G141" s="8" t="s">
        <v>136</v>
      </c>
      <c r="H141" s="8" t="str">
        <f t="shared" si="8"/>
        <v>AA</v>
      </c>
      <c r="I141" s="40" t="str">
        <f>IF(B141="","",VLOOKUP(D141,加弹汇总表!C:E,3,FALSE))</f>
        <v>75网络</v>
      </c>
      <c r="M141" s="8">
        <v>1370</v>
      </c>
      <c r="O141" s="73">
        <v>43750</v>
      </c>
      <c r="P141" s="72" t="str">
        <f>IF(B141="","",VLOOKUP(D141,setting!$C$2:$D$30,2,FALSE))</f>
        <v>喷水</v>
      </c>
      <c r="R141" s="30">
        <f t="shared" si="7"/>
        <v>10</v>
      </c>
    </row>
    <row r="142" spans="1:18" outlineLevel="1">
      <c r="A142" s="177" t="str">
        <f t="shared" si="6"/>
        <v>8413275D网络丝132/48黑喷水</v>
      </c>
      <c r="B142" s="39">
        <v>84132</v>
      </c>
      <c r="C142" s="8">
        <v>7</v>
      </c>
      <c r="D142" s="8" t="s">
        <v>866</v>
      </c>
      <c r="E142" s="8" t="s">
        <v>391</v>
      </c>
      <c r="F142" s="8" t="s">
        <v>1</v>
      </c>
      <c r="G142" s="8" t="s">
        <v>136</v>
      </c>
      <c r="H142" s="8" t="str">
        <f t="shared" si="8"/>
        <v>AA</v>
      </c>
      <c r="I142" s="40" t="str">
        <f>IF(B142="","",VLOOKUP(D142,加弹汇总表!C:E,3,FALSE))</f>
        <v>75网络</v>
      </c>
      <c r="M142" s="8">
        <v>636</v>
      </c>
      <c r="O142" s="73">
        <v>43750</v>
      </c>
      <c r="P142" s="72" t="str">
        <f>IF(B142="","",VLOOKUP(D142,setting!$C$2:$D$30,2,FALSE))</f>
        <v>喷水</v>
      </c>
      <c r="R142" s="30">
        <f t="shared" si="7"/>
        <v>10</v>
      </c>
    </row>
    <row r="143" spans="1:18" outlineLevel="1">
      <c r="A143" s="177" t="str">
        <f t="shared" si="6"/>
        <v>S2121150D 135度有温丝89/48白圆机</v>
      </c>
      <c r="B143" s="39" t="s">
        <v>456</v>
      </c>
      <c r="C143" s="8">
        <v>4</v>
      </c>
      <c r="D143" s="8" t="s">
        <v>848</v>
      </c>
      <c r="E143" s="8" t="s">
        <v>455</v>
      </c>
      <c r="F143" s="8" t="s">
        <v>2</v>
      </c>
      <c r="G143" s="8" t="s">
        <v>158</v>
      </c>
      <c r="H143" s="8" t="str">
        <f t="shared" si="8"/>
        <v>AA</v>
      </c>
      <c r="I143" s="40">
        <f>IF(B143="","",VLOOKUP(D143,加弹汇总表!C:E,3,FALSE))</f>
        <v>50</v>
      </c>
      <c r="M143" s="8">
        <v>597</v>
      </c>
      <c r="O143" s="73">
        <v>43751</v>
      </c>
      <c r="P143" s="72" t="str">
        <f>IF(B143="","",VLOOKUP(D143,setting!$C$2:$D$30,2,FALSE))</f>
        <v>圆机</v>
      </c>
      <c r="R143" s="30">
        <f t="shared" si="7"/>
        <v>10</v>
      </c>
    </row>
    <row r="144" spans="1:18" outlineLevel="1">
      <c r="A144" s="177" t="str">
        <f t="shared" si="6"/>
        <v>S2132575D 135度低温丝130/48白圆机</v>
      </c>
      <c r="B144" s="39" t="s">
        <v>384</v>
      </c>
      <c r="C144" s="8">
        <v>4</v>
      </c>
      <c r="D144" s="8" t="s">
        <v>856</v>
      </c>
      <c r="E144" s="8" t="s">
        <v>381</v>
      </c>
      <c r="F144" s="8" t="s">
        <v>2</v>
      </c>
      <c r="G144" s="8" t="s">
        <v>158</v>
      </c>
      <c r="H144" s="8" t="str">
        <f t="shared" si="8"/>
        <v>AA</v>
      </c>
      <c r="I144" s="40">
        <f>IF(B144="","",VLOOKUP(D144,加弹汇总表!C:E,3,FALSE))</f>
        <v>75</v>
      </c>
      <c r="M144" s="8">
        <v>1220.5</v>
      </c>
      <c r="O144" s="73">
        <v>43751</v>
      </c>
      <c r="P144" s="72" t="str">
        <f>IF(B144="","",VLOOKUP(D144,setting!$C$2:$D$30,2,FALSE))</f>
        <v>圆机</v>
      </c>
      <c r="R144" s="30">
        <f t="shared" si="7"/>
        <v>10</v>
      </c>
    </row>
    <row r="145" spans="1:18" outlineLevel="1">
      <c r="A145" s="177" t="str">
        <f t="shared" si="6"/>
        <v>S21102P20D网络丝35/24白喷水</v>
      </c>
      <c r="B145" s="39" t="s">
        <v>438</v>
      </c>
      <c r="C145" s="8">
        <v>3</v>
      </c>
      <c r="D145" s="8" t="s">
        <v>861</v>
      </c>
      <c r="E145" s="8" t="s">
        <v>437</v>
      </c>
      <c r="F145" s="8" t="s">
        <v>2</v>
      </c>
      <c r="G145" s="8" t="s">
        <v>158</v>
      </c>
      <c r="H145" s="8" t="str">
        <f t="shared" si="8"/>
        <v>AA</v>
      </c>
      <c r="I145" s="40" t="str">
        <f>IF(B145="","",VLOOKUP(D145,加弹汇总表!C:E,3,FALSE))</f>
        <v>20网络</v>
      </c>
      <c r="M145" s="8">
        <v>597</v>
      </c>
      <c r="O145" s="73">
        <v>43751</v>
      </c>
      <c r="P145" s="72" t="str">
        <f>IF(B145="","",VLOOKUP(D145,setting!$C$2:$D$30,2,FALSE))</f>
        <v>喷水</v>
      </c>
      <c r="R145" s="30">
        <f t="shared" si="7"/>
        <v>10</v>
      </c>
    </row>
    <row r="146" spans="1:18" outlineLevel="1">
      <c r="A146" s="177" t="str">
        <f t="shared" si="6"/>
        <v>24005530D网络丝55/24黑喷水</v>
      </c>
      <c r="B146" s="39">
        <v>240055</v>
      </c>
      <c r="C146" s="8">
        <v>8</v>
      </c>
      <c r="D146" s="8" t="s">
        <v>863</v>
      </c>
      <c r="E146" s="8" t="s">
        <v>452</v>
      </c>
      <c r="F146" s="8" t="s">
        <v>1</v>
      </c>
      <c r="G146" s="8" t="s">
        <v>136</v>
      </c>
      <c r="H146" s="8" t="str">
        <f t="shared" si="8"/>
        <v>AA</v>
      </c>
      <c r="I146" s="40" t="str">
        <f>IF(B146="","",VLOOKUP(D146,加弹汇总表!C:E,3,FALSE))</f>
        <v>30网络</v>
      </c>
      <c r="M146" s="8">
        <v>359.65</v>
      </c>
      <c r="O146" s="73">
        <v>43751</v>
      </c>
      <c r="P146" s="72" t="str">
        <f>IF(B146="","",VLOOKUP(D146,setting!$C$2:$D$30,2,FALSE))</f>
        <v>喷水</v>
      </c>
      <c r="R146" s="30">
        <f t="shared" si="7"/>
        <v>10</v>
      </c>
    </row>
    <row r="147" spans="1:18" outlineLevel="1">
      <c r="A147" s="177" t="str">
        <f t="shared" si="6"/>
        <v>S2121150D网络丝89/48白喷水</v>
      </c>
      <c r="B147" s="39" t="s">
        <v>456</v>
      </c>
      <c r="C147" s="8">
        <v>1</v>
      </c>
      <c r="D147" s="8" t="s">
        <v>865</v>
      </c>
      <c r="E147" s="8" t="s">
        <v>455</v>
      </c>
      <c r="F147" s="8" t="s">
        <v>2</v>
      </c>
      <c r="G147" s="8" t="s">
        <v>158</v>
      </c>
      <c r="H147" s="8" t="str">
        <f t="shared" si="8"/>
        <v>AA</v>
      </c>
      <c r="I147" s="40" t="str">
        <f>IF(B147="","",VLOOKUP(D147,加弹汇总表!C:E,3,FALSE))</f>
        <v>50网络</v>
      </c>
      <c r="M147" s="8">
        <v>1259</v>
      </c>
      <c r="O147" s="73">
        <v>43751</v>
      </c>
      <c r="P147" s="72" t="str">
        <f>IF(B147="","",VLOOKUP(D147,setting!$C$2:$D$30,2,FALSE))</f>
        <v>喷水</v>
      </c>
      <c r="R147" s="30">
        <f t="shared" si="7"/>
        <v>10</v>
      </c>
    </row>
    <row r="148" spans="1:18" outlineLevel="1">
      <c r="A148" s="177" t="str">
        <f t="shared" si="6"/>
        <v>64009450D网络丝94/36黑喷水</v>
      </c>
      <c r="B148" s="39">
        <v>640094</v>
      </c>
      <c r="C148" s="8">
        <v>6</v>
      </c>
      <c r="D148" s="8" t="s">
        <v>865</v>
      </c>
      <c r="E148" s="8" t="s">
        <v>460</v>
      </c>
      <c r="F148" s="8" t="s">
        <v>1</v>
      </c>
      <c r="G148" s="8" t="s">
        <v>136</v>
      </c>
      <c r="H148" s="8" t="str">
        <f t="shared" si="8"/>
        <v>AA</v>
      </c>
      <c r="I148" s="40" t="str">
        <f>IF(B148="","",VLOOKUP(D148,加弹汇总表!C:E,3,FALSE))</f>
        <v>50网络</v>
      </c>
      <c r="M148" s="8">
        <v>576</v>
      </c>
      <c r="O148" s="73">
        <v>43751</v>
      </c>
      <c r="P148" s="72" t="str">
        <f>IF(B148="","",VLOOKUP(D148,setting!$C$2:$D$30,2,FALSE))</f>
        <v>喷水</v>
      </c>
      <c r="R148" s="30">
        <f t="shared" si="7"/>
        <v>10</v>
      </c>
    </row>
    <row r="149" spans="1:18" outlineLevel="1">
      <c r="A149" s="177" t="str">
        <f t="shared" si="6"/>
        <v>64009450D网络丝94/36黑喷水</v>
      </c>
      <c r="B149" s="39">
        <v>640094</v>
      </c>
      <c r="C149" s="8">
        <v>7</v>
      </c>
      <c r="D149" s="8" t="s">
        <v>865</v>
      </c>
      <c r="E149" s="8" t="s">
        <v>460</v>
      </c>
      <c r="F149" s="8" t="s">
        <v>1</v>
      </c>
      <c r="G149" s="8" t="s">
        <v>136</v>
      </c>
      <c r="H149" s="8" t="str">
        <f t="shared" si="8"/>
        <v>AA</v>
      </c>
      <c r="I149" s="40" t="str">
        <f>IF(B149="","",VLOOKUP(D149,加弹汇总表!C:E,3,FALSE))</f>
        <v>50网络</v>
      </c>
      <c r="M149" s="8">
        <v>590</v>
      </c>
      <c r="O149" s="73">
        <v>43751</v>
      </c>
      <c r="P149" s="72" t="str">
        <f>IF(B149="","",VLOOKUP(D149,setting!$C$2:$D$30,2,FALSE))</f>
        <v>喷水</v>
      </c>
      <c r="R149" s="30">
        <f t="shared" si="7"/>
        <v>10</v>
      </c>
    </row>
    <row r="150" spans="1:18" outlineLevel="1">
      <c r="A150" s="177" t="str">
        <f t="shared" si="6"/>
        <v>S2132575D网络丝130/48白喷水</v>
      </c>
      <c r="B150" s="39" t="s">
        <v>384</v>
      </c>
      <c r="C150" s="8">
        <v>2</v>
      </c>
      <c r="D150" s="8" t="s">
        <v>866</v>
      </c>
      <c r="E150" s="8" t="s">
        <v>381</v>
      </c>
      <c r="F150" s="8" t="s">
        <v>2</v>
      </c>
      <c r="G150" s="8" t="s">
        <v>158</v>
      </c>
      <c r="H150" s="8" t="str">
        <f t="shared" si="8"/>
        <v>AA</v>
      </c>
      <c r="I150" s="40" t="str">
        <f>IF(B150="","",VLOOKUP(D150,加弹汇总表!C:E,3,FALSE))</f>
        <v>75网络</v>
      </c>
      <c r="M150" s="8">
        <v>1886.12</v>
      </c>
      <c r="O150" s="73">
        <v>43751</v>
      </c>
      <c r="P150" s="72" t="str">
        <f>IF(B150="","",VLOOKUP(D150,setting!$C$2:$D$30,2,FALSE))</f>
        <v>喷水</v>
      </c>
      <c r="R150" s="30">
        <f t="shared" si="7"/>
        <v>10</v>
      </c>
    </row>
    <row r="151" spans="1:18" outlineLevel="1">
      <c r="A151" s="177" t="str">
        <f t="shared" si="6"/>
        <v>8413275D网络丝132/48黑喷水</v>
      </c>
      <c r="B151" s="39">
        <v>84132</v>
      </c>
      <c r="C151" s="8">
        <v>5</v>
      </c>
      <c r="D151" s="8" t="s">
        <v>866</v>
      </c>
      <c r="E151" s="8" t="s">
        <v>391</v>
      </c>
      <c r="F151" s="8" t="s">
        <v>1</v>
      </c>
      <c r="G151" s="8" t="s">
        <v>136</v>
      </c>
      <c r="H151" s="8" t="str">
        <f t="shared" si="8"/>
        <v>AA</v>
      </c>
      <c r="I151" s="40" t="str">
        <f>IF(B151="","",VLOOKUP(D151,加弹汇总表!C:E,3,FALSE))</f>
        <v>75网络</v>
      </c>
      <c r="M151" s="8">
        <v>1862</v>
      </c>
      <c r="O151" s="73">
        <v>43751</v>
      </c>
      <c r="P151" s="72" t="str">
        <f>IF(B151="","",VLOOKUP(D151,setting!$C$2:$D$30,2,FALSE))</f>
        <v>喷水</v>
      </c>
      <c r="R151" s="30">
        <f t="shared" si="7"/>
        <v>10</v>
      </c>
    </row>
    <row r="152" spans="1:18" outlineLevel="1">
      <c r="A152" s="177" t="str">
        <f t="shared" si="6"/>
        <v>8413275D网络丝132/48黑喷水</v>
      </c>
      <c r="B152" s="39">
        <v>84132</v>
      </c>
      <c r="C152" s="8">
        <v>7</v>
      </c>
      <c r="D152" s="8" t="s">
        <v>866</v>
      </c>
      <c r="E152" s="8" t="s">
        <v>391</v>
      </c>
      <c r="F152" s="8" t="s">
        <v>1</v>
      </c>
      <c r="G152" s="8" t="s">
        <v>136</v>
      </c>
      <c r="H152" s="8" t="str">
        <f t="shared" si="8"/>
        <v>AA</v>
      </c>
      <c r="I152" s="40" t="str">
        <f>IF(B152="","",VLOOKUP(D152,加弹汇总表!C:E,3,FALSE))</f>
        <v>75网络</v>
      </c>
      <c r="M152" s="8">
        <v>615</v>
      </c>
      <c r="O152" s="73">
        <v>43751</v>
      </c>
      <c r="P152" s="72" t="str">
        <f>IF(B152="","",VLOOKUP(D152,setting!$C$2:$D$30,2,FALSE))</f>
        <v>喷水</v>
      </c>
      <c r="R152" s="30">
        <f t="shared" si="7"/>
        <v>10</v>
      </c>
    </row>
    <row r="153" spans="1:18" outlineLevel="1">
      <c r="A153" s="177" t="str">
        <f t="shared" si="6"/>
        <v>S2121150D 135度有温丝89/48白圆机</v>
      </c>
      <c r="B153" s="39" t="s">
        <v>456</v>
      </c>
      <c r="C153" s="8">
        <v>4</v>
      </c>
      <c r="D153" s="8" t="s">
        <v>848</v>
      </c>
      <c r="E153" s="8" t="s">
        <v>455</v>
      </c>
      <c r="F153" s="8" t="s">
        <v>2</v>
      </c>
      <c r="G153" s="8" t="s">
        <v>158</v>
      </c>
      <c r="H153" s="8" t="str">
        <f t="shared" si="8"/>
        <v>AA</v>
      </c>
      <c r="I153" s="40">
        <f>IF(B153="","",VLOOKUP(D153,加弹汇总表!C:E,3,FALSE))</f>
        <v>50</v>
      </c>
      <c r="M153" s="8">
        <v>725</v>
      </c>
      <c r="O153" s="73">
        <v>43752</v>
      </c>
      <c r="P153" s="72" t="str">
        <f>IF(B153="","",VLOOKUP(D153,setting!$C$2:$D$30,2,FALSE))</f>
        <v>圆机</v>
      </c>
      <c r="R153" s="30">
        <f t="shared" si="7"/>
        <v>10</v>
      </c>
    </row>
    <row r="154" spans="1:18" outlineLevel="1">
      <c r="A154" s="177" t="str">
        <f t="shared" si="6"/>
        <v>64009450D94/36黑圆机</v>
      </c>
      <c r="B154" s="39">
        <v>640094</v>
      </c>
      <c r="C154" s="8">
        <v>6</v>
      </c>
      <c r="D154" s="8" t="s">
        <v>850</v>
      </c>
      <c r="E154" s="8" t="s">
        <v>460</v>
      </c>
      <c r="F154" s="8" t="s">
        <v>1</v>
      </c>
      <c r="G154" s="8" t="s">
        <v>136</v>
      </c>
      <c r="H154" s="8" t="str">
        <f t="shared" si="8"/>
        <v>AA</v>
      </c>
      <c r="I154" s="40">
        <f>IF(B154="","",VLOOKUP(D154,加弹汇总表!C:E,3,FALSE))</f>
        <v>50</v>
      </c>
      <c r="M154" s="8">
        <v>685</v>
      </c>
      <c r="O154" s="73">
        <v>43752</v>
      </c>
      <c r="P154" s="72" t="str">
        <f>IF(B154="","",VLOOKUP(D154,setting!$C$2:$D$30,2,FALSE))</f>
        <v>圆机</v>
      </c>
      <c r="R154" s="30">
        <f t="shared" si="7"/>
        <v>10</v>
      </c>
    </row>
    <row r="155" spans="1:18" outlineLevel="1">
      <c r="A155" s="177" t="str">
        <f t="shared" si="6"/>
        <v>S2132575D 135度低温丝130/48白圆机</v>
      </c>
      <c r="B155" s="39" t="s">
        <v>384</v>
      </c>
      <c r="C155" s="8">
        <v>4</v>
      </c>
      <c r="D155" s="8" t="s">
        <v>856</v>
      </c>
      <c r="E155" s="8" t="s">
        <v>381</v>
      </c>
      <c r="F155" s="8" t="s">
        <v>2</v>
      </c>
      <c r="G155" s="8" t="s">
        <v>158</v>
      </c>
      <c r="H155" s="8" t="str">
        <f t="shared" si="8"/>
        <v>AA</v>
      </c>
      <c r="I155" s="40">
        <f>IF(B155="","",VLOOKUP(D155,加弹汇总表!C:E,3,FALSE))</f>
        <v>75</v>
      </c>
      <c r="M155" s="8">
        <v>594</v>
      </c>
      <c r="O155" s="73">
        <v>43752</v>
      </c>
      <c r="P155" s="72" t="str">
        <f>IF(B155="","",VLOOKUP(D155,setting!$C$2:$D$30,2,FALSE))</f>
        <v>圆机</v>
      </c>
      <c r="R155" s="30">
        <f t="shared" si="7"/>
        <v>10</v>
      </c>
    </row>
    <row r="156" spans="1:18" outlineLevel="1">
      <c r="A156" s="177" t="str">
        <f t="shared" si="6"/>
        <v>S21102P20D网络丝35/24白喷水</v>
      </c>
      <c r="B156" s="39" t="s">
        <v>438</v>
      </c>
      <c r="C156" s="8">
        <v>3</v>
      </c>
      <c r="D156" s="8" t="s">
        <v>861</v>
      </c>
      <c r="E156" s="8" t="s">
        <v>437</v>
      </c>
      <c r="F156" s="8" t="s">
        <v>2</v>
      </c>
      <c r="G156" s="8" t="s">
        <v>158</v>
      </c>
      <c r="H156" s="8" t="str">
        <f t="shared" si="8"/>
        <v>AA</v>
      </c>
      <c r="I156" s="40" t="str">
        <f>IF(B156="","",VLOOKUP(D156,加弹汇总表!C:E,3,FALSE))</f>
        <v>20网络</v>
      </c>
      <c r="M156" s="8">
        <v>359</v>
      </c>
      <c r="O156" s="73">
        <v>43752</v>
      </c>
      <c r="P156" s="72" t="str">
        <f>IF(B156="","",VLOOKUP(D156,setting!$C$2:$D$30,2,FALSE))</f>
        <v>喷水</v>
      </c>
      <c r="R156" s="30">
        <f t="shared" si="7"/>
        <v>10</v>
      </c>
    </row>
    <row r="157" spans="1:18" outlineLevel="1">
      <c r="A157" s="177" t="str">
        <f t="shared" si="6"/>
        <v>24003620D网络丝36/24黑喷水</v>
      </c>
      <c r="B157" s="39">
        <v>240036</v>
      </c>
      <c r="C157" s="8">
        <v>8</v>
      </c>
      <c r="D157" s="8" t="s">
        <v>861</v>
      </c>
      <c r="E157" s="8" t="s">
        <v>447</v>
      </c>
      <c r="F157" s="8" t="s">
        <v>1</v>
      </c>
      <c r="G157" s="8" t="s">
        <v>136</v>
      </c>
      <c r="H157" s="8" t="str">
        <f t="shared" si="8"/>
        <v>AA</v>
      </c>
      <c r="I157" s="40" t="str">
        <f>IF(B157="","",VLOOKUP(D157,加弹汇总表!C:E,3,FALSE))</f>
        <v>20网络</v>
      </c>
      <c r="M157" s="8">
        <v>287</v>
      </c>
      <c r="O157" s="73">
        <v>43752</v>
      </c>
      <c r="P157" s="72" t="str">
        <f>IF(B157="","",VLOOKUP(D157,setting!$C$2:$D$30,2,FALSE))</f>
        <v>喷水</v>
      </c>
      <c r="R157" s="30">
        <f t="shared" si="7"/>
        <v>10</v>
      </c>
    </row>
    <row r="158" spans="1:18" outlineLevel="1">
      <c r="A158" s="177" t="str">
        <f t="shared" si="6"/>
        <v>24005530D网络丝55/24黑喷水</v>
      </c>
      <c r="B158" s="39">
        <v>240055</v>
      </c>
      <c r="C158" s="8">
        <v>8</v>
      </c>
      <c r="D158" s="8" t="s">
        <v>863</v>
      </c>
      <c r="E158" s="8" t="s">
        <v>452</v>
      </c>
      <c r="F158" s="8" t="s">
        <v>1</v>
      </c>
      <c r="G158" s="8" t="s">
        <v>136</v>
      </c>
      <c r="H158" s="8" t="str">
        <f t="shared" si="8"/>
        <v>AA</v>
      </c>
      <c r="I158" s="40" t="str">
        <f>IF(B158="","",VLOOKUP(D158,加弹汇总表!C:E,3,FALSE))</f>
        <v>30网络</v>
      </c>
      <c r="M158" s="8">
        <v>325.81</v>
      </c>
      <c r="O158" s="73">
        <v>43752</v>
      </c>
      <c r="P158" s="72" t="str">
        <f>IF(B158="","",VLOOKUP(D158,setting!$C$2:$D$30,2,FALSE))</f>
        <v>喷水</v>
      </c>
      <c r="R158" s="30">
        <f t="shared" si="7"/>
        <v>10</v>
      </c>
    </row>
    <row r="159" spans="1:18" outlineLevel="1">
      <c r="A159" s="177" t="str">
        <f t="shared" si="6"/>
        <v>S2121150D网络丝89/48白喷水</v>
      </c>
      <c r="B159" s="39" t="s">
        <v>456</v>
      </c>
      <c r="C159" s="8">
        <v>1</v>
      </c>
      <c r="D159" s="8" t="s">
        <v>865</v>
      </c>
      <c r="E159" s="8" t="s">
        <v>455</v>
      </c>
      <c r="F159" s="8" t="s">
        <v>2</v>
      </c>
      <c r="G159" s="8" t="s">
        <v>158</v>
      </c>
      <c r="H159" s="8" t="str">
        <f t="shared" si="8"/>
        <v>AA</v>
      </c>
      <c r="I159" s="40" t="str">
        <f>IF(B159="","",VLOOKUP(D159,加弹汇总表!C:E,3,FALSE))</f>
        <v>50网络</v>
      </c>
      <c r="M159" s="8">
        <v>1265</v>
      </c>
      <c r="O159" s="73">
        <v>43752</v>
      </c>
      <c r="P159" s="72" t="str">
        <f>IF(B159="","",VLOOKUP(D159,setting!$C$2:$D$30,2,FALSE))</f>
        <v>喷水</v>
      </c>
      <c r="R159" s="30">
        <f t="shared" si="7"/>
        <v>10</v>
      </c>
    </row>
    <row r="160" spans="1:18" outlineLevel="1">
      <c r="A160" s="177" t="str">
        <f t="shared" si="6"/>
        <v>64009450D网络丝94/36黑喷水</v>
      </c>
      <c r="B160" s="39">
        <v>640094</v>
      </c>
      <c r="C160" s="8">
        <v>6</v>
      </c>
      <c r="D160" s="8" t="s">
        <v>865</v>
      </c>
      <c r="E160" s="8" t="s">
        <v>460</v>
      </c>
      <c r="F160" s="8" t="s">
        <v>1</v>
      </c>
      <c r="G160" s="8" t="s">
        <v>136</v>
      </c>
      <c r="H160" s="8" t="str">
        <f t="shared" si="8"/>
        <v>AA</v>
      </c>
      <c r="I160" s="40" t="str">
        <f>IF(B160="","",VLOOKUP(D160,加弹汇总表!C:E,3,FALSE))</f>
        <v>50网络</v>
      </c>
      <c r="M160" s="8">
        <v>671</v>
      </c>
      <c r="O160" s="73">
        <v>43752</v>
      </c>
      <c r="P160" s="72" t="str">
        <f>IF(B160="","",VLOOKUP(D160,setting!$C$2:$D$30,2,FALSE))</f>
        <v>喷水</v>
      </c>
      <c r="R160" s="30">
        <f t="shared" si="7"/>
        <v>10</v>
      </c>
    </row>
    <row r="161" spans="1:18" outlineLevel="1">
      <c r="A161" s="177" t="str">
        <f t="shared" si="6"/>
        <v>64009450D网络丝94/36黑喷水</v>
      </c>
      <c r="B161" s="39">
        <v>640094</v>
      </c>
      <c r="C161" s="8">
        <v>7</v>
      </c>
      <c r="D161" s="8" t="s">
        <v>865</v>
      </c>
      <c r="E161" s="8" t="s">
        <v>460</v>
      </c>
      <c r="F161" s="8" t="s">
        <v>1</v>
      </c>
      <c r="G161" s="8" t="s">
        <v>136</v>
      </c>
      <c r="H161" s="8" t="str">
        <f t="shared" si="8"/>
        <v>AA</v>
      </c>
      <c r="I161" s="40" t="str">
        <f>IF(B161="","",VLOOKUP(D161,加弹汇总表!C:E,3,FALSE))</f>
        <v>50网络</v>
      </c>
      <c r="M161" s="8">
        <v>679</v>
      </c>
      <c r="O161" s="73">
        <v>43752</v>
      </c>
      <c r="P161" s="72" t="str">
        <f>IF(B161="","",VLOOKUP(D161,setting!$C$2:$D$30,2,FALSE))</f>
        <v>喷水</v>
      </c>
      <c r="R161" s="30">
        <f t="shared" si="7"/>
        <v>10</v>
      </c>
    </row>
    <row r="162" spans="1:18" outlineLevel="1">
      <c r="A162" s="177" t="str">
        <f t="shared" si="6"/>
        <v>S2132575D网络丝130/48白喷水</v>
      </c>
      <c r="B162" s="39" t="s">
        <v>384</v>
      </c>
      <c r="C162" s="8">
        <v>2</v>
      </c>
      <c r="D162" s="8" t="s">
        <v>866</v>
      </c>
      <c r="E162" s="8" t="s">
        <v>381</v>
      </c>
      <c r="F162" s="8" t="s">
        <v>2</v>
      </c>
      <c r="G162" s="8" t="s">
        <v>158</v>
      </c>
      <c r="H162" s="8" t="str">
        <f t="shared" si="8"/>
        <v>AA</v>
      </c>
      <c r="I162" s="40" t="str">
        <f>IF(B162="","",VLOOKUP(D162,加弹汇总表!C:E,3,FALSE))</f>
        <v>75网络</v>
      </c>
      <c r="M162" s="8">
        <v>644.07000000000005</v>
      </c>
      <c r="O162" s="73">
        <v>43752</v>
      </c>
      <c r="P162" s="72" t="str">
        <f>IF(B162="","",VLOOKUP(D162,setting!$C$2:$D$30,2,FALSE))</f>
        <v>喷水</v>
      </c>
      <c r="R162" s="30">
        <f t="shared" si="7"/>
        <v>10</v>
      </c>
    </row>
    <row r="163" spans="1:18" outlineLevel="1">
      <c r="A163" s="177" t="str">
        <f t="shared" si="6"/>
        <v>S2132575D网络丝130/48白喷水</v>
      </c>
      <c r="B163" s="39" t="s">
        <v>384</v>
      </c>
      <c r="C163" s="8">
        <v>7</v>
      </c>
      <c r="D163" s="8" t="s">
        <v>866</v>
      </c>
      <c r="E163" s="8" t="s">
        <v>381</v>
      </c>
      <c r="F163" s="8" t="s">
        <v>2</v>
      </c>
      <c r="G163" s="8" t="s">
        <v>158</v>
      </c>
      <c r="H163" s="8" t="str">
        <f t="shared" si="8"/>
        <v>AA</v>
      </c>
      <c r="I163" s="40" t="str">
        <f>IF(B163="","",VLOOKUP(D163,加弹汇总表!C:E,3,FALSE))</f>
        <v>75网络</v>
      </c>
      <c r="M163" s="8">
        <v>618</v>
      </c>
      <c r="O163" s="73">
        <v>43752</v>
      </c>
      <c r="P163" s="72" t="str">
        <f>IF(B163="","",VLOOKUP(D163,setting!$C$2:$D$30,2,FALSE))</f>
        <v>喷水</v>
      </c>
      <c r="R163" s="30">
        <f t="shared" si="7"/>
        <v>10</v>
      </c>
    </row>
    <row r="164" spans="1:18" outlineLevel="1">
      <c r="A164" s="177" t="str">
        <f t="shared" si="6"/>
        <v>8413275D网络丝132/48黑喷水</v>
      </c>
      <c r="B164" s="39">
        <v>84132</v>
      </c>
      <c r="C164" s="8">
        <v>5</v>
      </c>
      <c r="D164" s="8" t="s">
        <v>866</v>
      </c>
      <c r="E164" s="8" t="s">
        <v>391</v>
      </c>
      <c r="F164" s="8" t="s">
        <v>1</v>
      </c>
      <c r="G164" s="8" t="s">
        <v>136</v>
      </c>
      <c r="H164" s="8" t="str">
        <f t="shared" si="8"/>
        <v>AA</v>
      </c>
      <c r="I164" s="40" t="str">
        <f>IF(B164="","",VLOOKUP(D164,加弹汇总表!C:E,3,FALSE))</f>
        <v>75网络</v>
      </c>
      <c r="M164" s="8">
        <v>1833</v>
      </c>
      <c r="O164" s="73">
        <v>43752</v>
      </c>
      <c r="P164" s="72" t="str">
        <f>IF(B164="","",VLOOKUP(D164,setting!$C$2:$D$30,2,FALSE))</f>
        <v>喷水</v>
      </c>
      <c r="R164" s="30">
        <f t="shared" si="7"/>
        <v>10</v>
      </c>
    </row>
    <row r="165" spans="1:18" outlineLevel="1">
      <c r="A165" s="177" t="str">
        <f t="shared" si="6"/>
        <v>S2121150D 135度有温丝89/48白圆机</v>
      </c>
      <c r="B165" s="39" t="s">
        <v>456</v>
      </c>
      <c r="C165" s="8">
        <v>4</v>
      </c>
      <c r="D165" s="8" t="s">
        <v>848</v>
      </c>
      <c r="E165" s="8" t="s">
        <v>455</v>
      </c>
      <c r="F165" s="8" t="s">
        <v>2</v>
      </c>
      <c r="G165" s="8" t="s">
        <v>158</v>
      </c>
      <c r="H165" s="8" t="str">
        <f t="shared" si="8"/>
        <v>AA</v>
      </c>
      <c r="I165" s="40">
        <f>IF(B165="","",VLOOKUP(D165,加弹汇总表!C:E,3,FALSE))</f>
        <v>50</v>
      </c>
      <c r="M165" s="8">
        <v>609</v>
      </c>
      <c r="O165" s="73">
        <v>43753</v>
      </c>
      <c r="P165" s="72" t="str">
        <f>IF(B165="","",VLOOKUP(D165,setting!$C$2:$D$30,2,FALSE))</f>
        <v>圆机</v>
      </c>
      <c r="R165" s="30">
        <f t="shared" si="7"/>
        <v>10</v>
      </c>
    </row>
    <row r="166" spans="1:18" outlineLevel="1">
      <c r="A166" s="177" t="str">
        <f t="shared" si="6"/>
        <v>S2121150D 135度有温丝89/48白圆机</v>
      </c>
      <c r="B166" s="39" t="s">
        <v>456</v>
      </c>
      <c r="C166" s="8">
        <v>2</v>
      </c>
      <c r="D166" s="8" t="s">
        <v>848</v>
      </c>
      <c r="E166" s="8" t="s">
        <v>455</v>
      </c>
      <c r="F166" s="8" t="s">
        <v>2</v>
      </c>
      <c r="G166" s="8" t="s">
        <v>158</v>
      </c>
      <c r="H166" s="8" t="str">
        <f t="shared" si="8"/>
        <v>AA</v>
      </c>
      <c r="I166" s="40">
        <f>IF(B166="","",VLOOKUP(D166,加弹汇总表!C:E,3,FALSE))</f>
        <v>50</v>
      </c>
      <c r="M166" s="8">
        <v>610</v>
      </c>
      <c r="O166" s="73">
        <v>43753</v>
      </c>
      <c r="P166" s="72" t="str">
        <f>IF(B166="","",VLOOKUP(D166,setting!$C$2:$D$30,2,FALSE))</f>
        <v>圆机</v>
      </c>
      <c r="R166" s="30">
        <f t="shared" si="7"/>
        <v>10</v>
      </c>
    </row>
    <row r="167" spans="1:18" outlineLevel="1">
      <c r="A167" s="177" t="str">
        <f t="shared" si="6"/>
        <v>64009450D94/36黑圆机</v>
      </c>
      <c r="B167" s="39">
        <v>640094</v>
      </c>
      <c r="C167" s="8">
        <v>6</v>
      </c>
      <c r="D167" s="8" t="s">
        <v>850</v>
      </c>
      <c r="E167" s="8" t="s">
        <v>460</v>
      </c>
      <c r="F167" s="8" t="s">
        <v>1</v>
      </c>
      <c r="G167" s="8" t="s">
        <v>136</v>
      </c>
      <c r="H167" s="8" t="str">
        <f t="shared" si="8"/>
        <v>AA</v>
      </c>
      <c r="I167" s="40">
        <f>IF(B167="","",VLOOKUP(D167,加弹汇总表!C:E,3,FALSE))</f>
        <v>50</v>
      </c>
      <c r="M167" s="8">
        <v>589.5</v>
      </c>
      <c r="O167" s="73">
        <v>43753</v>
      </c>
      <c r="P167" s="72" t="str">
        <f>IF(B167="","",VLOOKUP(D167,setting!$C$2:$D$30,2,FALSE))</f>
        <v>圆机</v>
      </c>
      <c r="R167" s="30">
        <f t="shared" si="7"/>
        <v>10</v>
      </c>
    </row>
    <row r="168" spans="1:18" outlineLevel="1">
      <c r="A168" s="177" t="str">
        <f t="shared" si="6"/>
        <v>S2132575D 135度低温丝130/48白圆机</v>
      </c>
      <c r="B168" s="39" t="s">
        <v>384</v>
      </c>
      <c r="C168" s="8">
        <v>4</v>
      </c>
      <c r="D168" s="8" t="s">
        <v>856</v>
      </c>
      <c r="E168" s="8" t="s">
        <v>381</v>
      </c>
      <c r="F168" s="8" t="s">
        <v>2</v>
      </c>
      <c r="G168" s="8" t="s">
        <v>158</v>
      </c>
      <c r="H168" s="8" t="str">
        <f t="shared" si="8"/>
        <v>AA</v>
      </c>
      <c r="I168" s="40">
        <f>IF(B168="","",VLOOKUP(D168,加弹汇总表!C:E,3,FALSE))</f>
        <v>75</v>
      </c>
      <c r="M168" s="8">
        <v>1190</v>
      </c>
      <c r="O168" s="73">
        <v>43753</v>
      </c>
      <c r="P168" s="72" t="str">
        <f>IF(B168="","",VLOOKUP(D168,setting!$C$2:$D$30,2,FALSE))</f>
        <v>圆机</v>
      </c>
      <c r="R168" s="30">
        <f t="shared" si="7"/>
        <v>10</v>
      </c>
    </row>
    <row r="169" spans="1:18" outlineLevel="1">
      <c r="A169" s="177" t="str">
        <f t="shared" si="6"/>
        <v>S21102P20D网络丝35/24白喷水</v>
      </c>
      <c r="B169" s="39" t="s">
        <v>438</v>
      </c>
      <c r="C169" s="8">
        <v>3</v>
      </c>
      <c r="D169" s="8" t="s">
        <v>861</v>
      </c>
      <c r="E169" s="8" t="s">
        <v>437</v>
      </c>
      <c r="F169" s="8" t="s">
        <v>2</v>
      </c>
      <c r="G169" s="8" t="s">
        <v>158</v>
      </c>
      <c r="H169" s="8" t="str">
        <f t="shared" si="8"/>
        <v>AA</v>
      </c>
      <c r="I169" s="40" t="str">
        <f>IF(B169="","",VLOOKUP(D169,加弹汇总表!C:E,3,FALSE))</f>
        <v>20网络</v>
      </c>
      <c r="M169" s="8">
        <v>414</v>
      </c>
      <c r="O169" s="73">
        <v>43753</v>
      </c>
      <c r="P169" s="72" t="str">
        <f>IF(B169="","",VLOOKUP(D169,setting!$C$2:$D$30,2,FALSE))</f>
        <v>喷水</v>
      </c>
      <c r="R169" s="30">
        <f t="shared" si="7"/>
        <v>10</v>
      </c>
    </row>
    <row r="170" spans="1:18" outlineLevel="1">
      <c r="A170" s="177" t="str">
        <f t="shared" si="6"/>
        <v>24003620D网络丝36/24黑喷水</v>
      </c>
      <c r="B170" s="39">
        <v>240036</v>
      </c>
      <c r="C170" s="8">
        <v>8</v>
      </c>
      <c r="D170" s="8" t="s">
        <v>861</v>
      </c>
      <c r="E170" s="8" t="s">
        <v>447</v>
      </c>
      <c r="F170" s="8" t="s">
        <v>1</v>
      </c>
      <c r="G170" s="8" t="s">
        <v>136</v>
      </c>
      <c r="H170" s="8" t="str">
        <f t="shared" si="8"/>
        <v>AA</v>
      </c>
      <c r="I170" s="40" t="str">
        <f>IF(B170="","",VLOOKUP(D170,加弹汇总表!C:E,3,FALSE))</f>
        <v>20网络</v>
      </c>
      <c r="M170" s="8">
        <v>226</v>
      </c>
      <c r="O170" s="73">
        <v>43753</v>
      </c>
      <c r="P170" s="72" t="str">
        <f>IF(B170="","",VLOOKUP(D170,setting!$C$2:$D$30,2,FALSE))</f>
        <v>喷水</v>
      </c>
      <c r="R170" s="30">
        <f t="shared" si="7"/>
        <v>10</v>
      </c>
    </row>
    <row r="171" spans="1:18" outlineLevel="1">
      <c r="A171" s="177" t="str">
        <f t="shared" si="6"/>
        <v>24005530D网络丝55/24黑喷水</v>
      </c>
      <c r="B171" s="39">
        <v>240055</v>
      </c>
      <c r="C171" s="8">
        <v>8</v>
      </c>
      <c r="D171" s="8" t="s">
        <v>863</v>
      </c>
      <c r="E171" s="8" t="s">
        <v>452</v>
      </c>
      <c r="F171" s="8" t="s">
        <v>1</v>
      </c>
      <c r="G171" s="8" t="s">
        <v>136</v>
      </c>
      <c r="H171" s="8" t="str">
        <f t="shared" si="8"/>
        <v>AA</v>
      </c>
      <c r="I171" s="40" t="str">
        <f>IF(B171="","",VLOOKUP(D171,加弹汇总表!C:E,3,FALSE))</f>
        <v>30网络</v>
      </c>
      <c r="M171" s="8">
        <v>145.54</v>
      </c>
      <c r="O171" s="73">
        <v>43753</v>
      </c>
      <c r="P171" s="72" t="str">
        <f>IF(B171="","",VLOOKUP(D171,setting!$C$2:$D$30,2,FALSE))</f>
        <v>喷水</v>
      </c>
      <c r="R171" s="30">
        <f t="shared" si="7"/>
        <v>10</v>
      </c>
    </row>
    <row r="172" spans="1:18" outlineLevel="1">
      <c r="A172" s="177" t="str">
        <f t="shared" si="6"/>
        <v>S2121150D网络丝89/48白喷水</v>
      </c>
      <c r="B172" s="39" t="s">
        <v>456</v>
      </c>
      <c r="C172" s="8">
        <v>1</v>
      </c>
      <c r="D172" s="8" t="s">
        <v>865</v>
      </c>
      <c r="E172" s="8" t="s">
        <v>455</v>
      </c>
      <c r="F172" s="8" t="s">
        <v>2</v>
      </c>
      <c r="G172" s="8" t="s">
        <v>158</v>
      </c>
      <c r="H172" s="8" t="str">
        <f t="shared" si="8"/>
        <v>AA</v>
      </c>
      <c r="I172" s="40" t="str">
        <f>IF(B172="","",VLOOKUP(D172,加弹汇总表!C:E,3,FALSE))</f>
        <v>50网络</v>
      </c>
      <c r="M172" s="8">
        <v>1203</v>
      </c>
      <c r="O172" s="73">
        <v>43753</v>
      </c>
      <c r="P172" s="72" t="str">
        <f>IF(B172="","",VLOOKUP(D172,setting!$C$2:$D$30,2,FALSE))</f>
        <v>喷水</v>
      </c>
      <c r="R172" s="30">
        <f t="shared" si="7"/>
        <v>10</v>
      </c>
    </row>
    <row r="173" spans="1:18" outlineLevel="1">
      <c r="A173" s="177" t="str">
        <f t="shared" si="6"/>
        <v>64009450D网络丝94/36黑喷水</v>
      </c>
      <c r="B173" s="39">
        <v>640094</v>
      </c>
      <c r="C173" s="8">
        <v>6</v>
      </c>
      <c r="D173" s="8" t="s">
        <v>865</v>
      </c>
      <c r="E173" s="8" t="s">
        <v>460</v>
      </c>
      <c r="F173" s="8" t="s">
        <v>1</v>
      </c>
      <c r="G173" s="8" t="s">
        <v>136</v>
      </c>
      <c r="H173" s="8" t="str">
        <f t="shared" si="8"/>
        <v>AA</v>
      </c>
      <c r="I173" s="40" t="str">
        <f>IF(B173="","",VLOOKUP(D173,加弹汇总表!C:E,3,FALSE))</f>
        <v>50网络</v>
      </c>
      <c r="M173" s="8">
        <v>624</v>
      </c>
      <c r="O173" s="73">
        <v>43753</v>
      </c>
      <c r="P173" s="72" t="str">
        <f>IF(B173="","",VLOOKUP(D173,setting!$C$2:$D$30,2,FALSE))</f>
        <v>喷水</v>
      </c>
      <c r="R173" s="30">
        <f t="shared" si="7"/>
        <v>10</v>
      </c>
    </row>
    <row r="174" spans="1:18" outlineLevel="1">
      <c r="A174" s="177" t="str">
        <f t="shared" si="6"/>
        <v>8413275D网络丝132/48黑喷水</v>
      </c>
      <c r="B174" s="39">
        <v>84132</v>
      </c>
      <c r="C174" s="8">
        <v>5</v>
      </c>
      <c r="D174" s="8" t="s">
        <v>866</v>
      </c>
      <c r="E174" s="8" t="s">
        <v>391</v>
      </c>
      <c r="F174" s="8" t="s">
        <v>1</v>
      </c>
      <c r="G174" s="8" t="s">
        <v>136</v>
      </c>
      <c r="H174" s="8" t="str">
        <f t="shared" si="8"/>
        <v>AA</v>
      </c>
      <c r="I174" s="40" t="str">
        <f>IF(B174="","",VLOOKUP(D174,加弹汇总表!C:E,3,FALSE))</f>
        <v>75网络</v>
      </c>
      <c r="M174" s="8">
        <v>1346</v>
      </c>
      <c r="O174" s="73">
        <v>43753</v>
      </c>
      <c r="P174" s="72" t="str">
        <f>IF(B174="","",VLOOKUP(D174,setting!$C$2:$D$30,2,FALSE))</f>
        <v>喷水</v>
      </c>
      <c r="R174" s="30">
        <f t="shared" si="7"/>
        <v>10</v>
      </c>
    </row>
    <row r="175" spans="1:18" outlineLevel="1">
      <c r="A175" s="177" t="str">
        <f t="shared" si="6"/>
        <v>8413275D网络丝132/48黑喷水</v>
      </c>
      <c r="B175" s="39">
        <v>84132</v>
      </c>
      <c r="C175" s="8">
        <v>7</v>
      </c>
      <c r="D175" s="8" t="s">
        <v>866</v>
      </c>
      <c r="E175" s="8" t="s">
        <v>391</v>
      </c>
      <c r="F175" s="8" t="s">
        <v>1</v>
      </c>
      <c r="G175" s="8" t="s">
        <v>136</v>
      </c>
      <c r="H175" s="8" t="str">
        <f t="shared" si="8"/>
        <v>AA</v>
      </c>
      <c r="I175" s="40" t="str">
        <f>IF(B175="","",VLOOKUP(D175,加弹汇总表!C:E,3,FALSE))</f>
        <v>75网络</v>
      </c>
      <c r="M175" s="8">
        <v>1780.18</v>
      </c>
      <c r="O175" s="73">
        <v>43753</v>
      </c>
      <c r="P175" s="72" t="str">
        <f>IF(B175="","",VLOOKUP(D175,setting!$C$2:$D$30,2,FALSE))</f>
        <v>喷水</v>
      </c>
      <c r="R175" s="30">
        <f t="shared" si="7"/>
        <v>10</v>
      </c>
    </row>
    <row r="176" spans="1:18" outlineLevel="1">
      <c r="A176" s="177" t="str">
        <f t="shared" si="6"/>
        <v>S2121150D 135度有温丝89/48白圆机</v>
      </c>
      <c r="B176" s="39" t="s">
        <v>456</v>
      </c>
      <c r="C176" s="8">
        <v>4</v>
      </c>
      <c r="D176" s="8" t="s">
        <v>848</v>
      </c>
      <c r="E176" s="8" t="s">
        <v>455</v>
      </c>
      <c r="F176" s="8" t="s">
        <v>2</v>
      </c>
      <c r="G176" s="8" t="s">
        <v>158</v>
      </c>
      <c r="H176" s="8" t="str">
        <f t="shared" si="8"/>
        <v>AA</v>
      </c>
      <c r="I176" s="40">
        <f>IF(B176="","",VLOOKUP(D176,加弹汇总表!C:E,3,FALSE))</f>
        <v>50</v>
      </c>
      <c r="M176" s="8">
        <v>594</v>
      </c>
      <c r="O176" s="73">
        <v>43754</v>
      </c>
      <c r="P176" s="72" t="str">
        <f>IF(B176="","",VLOOKUP(D176,setting!$C$2:$D$30,2,FALSE))</f>
        <v>圆机</v>
      </c>
      <c r="R176" s="30">
        <f t="shared" si="7"/>
        <v>10</v>
      </c>
    </row>
    <row r="177" spans="1:18" outlineLevel="1">
      <c r="A177" s="177" t="str">
        <f t="shared" si="6"/>
        <v>S2121150D 135度有温丝89/48白圆机</v>
      </c>
      <c r="B177" s="39" t="s">
        <v>456</v>
      </c>
      <c r="C177" s="8">
        <v>2</v>
      </c>
      <c r="D177" s="8" t="s">
        <v>848</v>
      </c>
      <c r="E177" s="8" t="s">
        <v>455</v>
      </c>
      <c r="F177" s="8" t="s">
        <v>2</v>
      </c>
      <c r="G177" s="8" t="s">
        <v>158</v>
      </c>
      <c r="H177" s="8" t="str">
        <f t="shared" si="8"/>
        <v>AA</v>
      </c>
      <c r="I177" s="40">
        <f>IF(B177="","",VLOOKUP(D177,加弹汇总表!C:E,3,FALSE))</f>
        <v>50</v>
      </c>
      <c r="M177" s="8">
        <v>1183.5</v>
      </c>
      <c r="O177" s="73">
        <v>43754</v>
      </c>
      <c r="P177" s="72" t="str">
        <f>IF(B177="","",VLOOKUP(D177,setting!$C$2:$D$30,2,FALSE))</f>
        <v>圆机</v>
      </c>
      <c r="R177" s="30">
        <f t="shared" si="7"/>
        <v>10</v>
      </c>
    </row>
    <row r="178" spans="1:18" outlineLevel="1">
      <c r="A178" s="177" t="str">
        <f t="shared" si="6"/>
        <v>64009450D94/36黑圆机</v>
      </c>
      <c r="B178" s="39">
        <v>640094</v>
      </c>
      <c r="C178" s="8">
        <v>6</v>
      </c>
      <c r="D178" s="8" t="s">
        <v>850</v>
      </c>
      <c r="E178" s="8" t="s">
        <v>460</v>
      </c>
      <c r="F178" s="8" t="s">
        <v>1</v>
      </c>
      <c r="G178" s="8" t="s">
        <v>136</v>
      </c>
      <c r="H178" s="8" t="str">
        <f t="shared" si="8"/>
        <v>AA</v>
      </c>
      <c r="I178" s="40">
        <f>IF(B178="","",VLOOKUP(D178,加弹汇总表!C:E,3,FALSE))</f>
        <v>50</v>
      </c>
      <c r="M178" s="8">
        <v>655.5</v>
      </c>
      <c r="O178" s="73">
        <v>43754</v>
      </c>
      <c r="P178" s="72" t="str">
        <f>IF(B178="","",VLOOKUP(D178,setting!$C$2:$D$30,2,FALSE))</f>
        <v>圆机</v>
      </c>
      <c r="R178" s="30">
        <f t="shared" si="7"/>
        <v>10</v>
      </c>
    </row>
    <row r="179" spans="1:18" outlineLevel="1">
      <c r="A179" s="177" t="str">
        <f t="shared" si="6"/>
        <v>S2132575D 135度低温丝130/48白圆机</v>
      </c>
      <c r="B179" s="39" t="s">
        <v>384</v>
      </c>
      <c r="C179" s="8">
        <v>4</v>
      </c>
      <c r="D179" s="8" t="s">
        <v>856</v>
      </c>
      <c r="E179" s="8" t="s">
        <v>381</v>
      </c>
      <c r="F179" s="8" t="s">
        <v>2</v>
      </c>
      <c r="G179" s="8" t="s">
        <v>158</v>
      </c>
      <c r="H179" s="8" t="str">
        <f t="shared" si="8"/>
        <v>AA</v>
      </c>
      <c r="I179" s="40">
        <f>IF(B179="","",VLOOKUP(D179,加弹汇总表!C:E,3,FALSE))</f>
        <v>75</v>
      </c>
      <c r="M179" s="8">
        <v>1190.5</v>
      </c>
      <c r="O179" s="73">
        <v>43754</v>
      </c>
      <c r="P179" s="72" t="str">
        <f>IF(B179="","",VLOOKUP(D179,setting!$C$2:$D$30,2,FALSE))</f>
        <v>圆机</v>
      </c>
      <c r="R179" s="30">
        <f t="shared" si="7"/>
        <v>10</v>
      </c>
    </row>
    <row r="180" spans="1:18" outlineLevel="1">
      <c r="A180" s="177" t="str">
        <f t="shared" si="6"/>
        <v>S21102P20D网络丝35/24白喷水</v>
      </c>
      <c r="B180" s="39" t="s">
        <v>438</v>
      </c>
      <c r="C180" s="8">
        <v>3</v>
      </c>
      <c r="D180" s="8" t="s">
        <v>861</v>
      </c>
      <c r="E180" s="8" t="s">
        <v>437</v>
      </c>
      <c r="F180" s="8" t="s">
        <v>2</v>
      </c>
      <c r="G180" s="8" t="s">
        <v>158</v>
      </c>
      <c r="H180" s="8" t="str">
        <f t="shared" si="8"/>
        <v>AA</v>
      </c>
      <c r="I180" s="40" t="str">
        <f>IF(B180="","",VLOOKUP(D180,加弹汇总表!C:E,3,FALSE))</f>
        <v>20网络</v>
      </c>
      <c r="M180" s="8">
        <v>615</v>
      </c>
      <c r="O180" s="73">
        <v>43754</v>
      </c>
      <c r="P180" s="72" t="str">
        <f>IF(B180="","",VLOOKUP(D180,setting!$C$2:$D$30,2,FALSE))</f>
        <v>喷水</v>
      </c>
      <c r="R180" s="30">
        <f t="shared" si="7"/>
        <v>10</v>
      </c>
    </row>
    <row r="181" spans="1:18" outlineLevel="1">
      <c r="A181" s="177" t="str">
        <f t="shared" si="6"/>
        <v>24003620D网络丝36/24黑喷水</v>
      </c>
      <c r="B181" s="39">
        <v>240036</v>
      </c>
      <c r="C181" s="8">
        <v>8</v>
      </c>
      <c r="D181" s="8" t="s">
        <v>861</v>
      </c>
      <c r="E181" s="8" t="s">
        <v>447</v>
      </c>
      <c r="F181" s="8" t="s">
        <v>1</v>
      </c>
      <c r="G181" s="8" t="s">
        <v>136</v>
      </c>
      <c r="H181" s="8" t="str">
        <f t="shared" si="8"/>
        <v>AA</v>
      </c>
      <c r="I181" s="40" t="str">
        <f>IF(B181="","",VLOOKUP(D181,加弹汇总表!C:E,3,FALSE))</f>
        <v>20网络</v>
      </c>
      <c r="M181" s="8">
        <v>165</v>
      </c>
      <c r="O181" s="73">
        <v>43754</v>
      </c>
      <c r="P181" s="72" t="str">
        <f>IF(B181="","",VLOOKUP(D181,setting!$C$2:$D$30,2,FALSE))</f>
        <v>喷水</v>
      </c>
      <c r="R181" s="30">
        <f t="shared" si="7"/>
        <v>10</v>
      </c>
    </row>
    <row r="182" spans="1:18" outlineLevel="1">
      <c r="A182" s="177" t="str">
        <f t="shared" si="6"/>
        <v>24005530D网络丝55/24黑喷水</v>
      </c>
      <c r="B182" s="39">
        <v>240055</v>
      </c>
      <c r="C182" s="8">
        <v>8</v>
      </c>
      <c r="D182" s="8" t="s">
        <v>863</v>
      </c>
      <c r="E182" s="8" t="s">
        <v>452</v>
      </c>
      <c r="F182" s="8" t="s">
        <v>1</v>
      </c>
      <c r="G182" s="8" t="s">
        <v>136</v>
      </c>
      <c r="H182" s="8" t="str">
        <f t="shared" si="8"/>
        <v>AA</v>
      </c>
      <c r="I182" s="40" t="str">
        <f>IF(B182="","",VLOOKUP(D182,加弹汇总表!C:E,3,FALSE))</f>
        <v>30网络</v>
      </c>
      <c r="M182" s="8">
        <v>467.39</v>
      </c>
      <c r="O182" s="73">
        <v>43754</v>
      </c>
      <c r="P182" s="72" t="str">
        <f>IF(B182="","",VLOOKUP(D182,setting!$C$2:$D$30,2,FALSE))</f>
        <v>喷水</v>
      </c>
      <c r="R182" s="30">
        <f t="shared" si="7"/>
        <v>10</v>
      </c>
    </row>
    <row r="183" spans="1:18" outlineLevel="1">
      <c r="A183" s="177" t="str">
        <f t="shared" si="6"/>
        <v>S2121150D网络丝89/48白喷水</v>
      </c>
      <c r="B183" s="39" t="s">
        <v>456</v>
      </c>
      <c r="C183" s="8">
        <v>1</v>
      </c>
      <c r="D183" s="8" t="s">
        <v>865</v>
      </c>
      <c r="E183" s="8" t="s">
        <v>455</v>
      </c>
      <c r="F183" s="8" t="s">
        <v>2</v>
      </c>
      <c r="G183" s="8" t="s">
        <v>158</v>
      </c>
      <c r="H183" s="8" t="str">
        <f t="shared" si="8"/>
        <v>AA</v>
      </c>
      <c r="I183" s="40" t="str">
        <f>IF(B183="","",VLOOKUP(D183,加弹汇总表!C:E,3,FALSE))</f>
        <v>50网络</v>
      </c>
      <c r="M183" s="8">
        <v>1203</v>
      </c>
      <c r="O183" s="73">
        <v>43754</v>
      </c>
      <c r="P183" s="72" t="str">
        <f>IF(B183="","",VLOOKUP(D183,setting!$C$2:$D$30,2,FALSE))</f>
        <v>喷水</v>
      </c>
      <c r="R183" s="30">
        <f t="shared" si="7"/>
        <v>10</v>
      </c>
    </row>
    <row r="184" spans="1:18" outlineLevel="1">
      <c r="A184" s="177" t="str">
        <f t="shared" si="6"/>
        <v>64009450D网络丝94/36黑喷水</v>
      </c>
      <c r="B184" s="39">
        <v>640094</v>
      </c>
      <c r="C184" s="8">
        <v>6</v>
      </c>
      <c r="D184" s="8" t="s">
        <v>865</v>
      </c>
      <c r="E184" s="8" t="s">
        <v>460</v>
      </c>
      <c r="F184" s="8" t="s">
        <v>1</v>
      </c>
      <c r="G184" s="8" t="s">
        <v>136</v>
      </c>
      <c r="H184" s="8" t="str">
        <f t="shared" si="8"/>
        <v>AA</v>
      </c>
      <c r="I184" s="40" t="str">
        <f>IF(B184="","",VLOOKUP(D184,加弹汇总表!C:E,3,FALSE))</f>
        <v>50网络</v>
      </c>
      <c r="M184" s="8">
        <v>622.02</v>
      </c>
      <c r="O184" s="73">
        <v>43754</v>
      </c>
      <c r="P184" s="72" t="str">
        <f>IF(B184="","",VLOOKUP(D184,setting!$C$2:$D$30,2,FALSE))</f>
        <v>喷水</v>
      </c>
      <c r="R184" s="30">
        <f t="shared" si="7"/>
        <v>10</v>
      </c>
    </row>
    <row r="185" spans="1:18" outlineLevel="1">
      <c r="A185" s="177" t="str">
        <f t="shared" si="6"/>
        <v>8413275D网络丝132/48黑喷水</v>
      </c>
      <c r="B185" s="39">
        <v>84132</v>
      </c>
      <c r="C185" s="8">
        <v>5</v>
      </c>
      <c r="D185" s="8" t="s">
        <v>866</v>
      </c>
      <c r="E185" s="8" t="s">
        <v>391</v>
      </c>
      <c r="F185" s="8" t="s">
        <v>1</v>
      </c>
      <c r="G185" s="8" t="s">
        <v>136</v>
      </c>
      <c r="H185" s="8" t="str">
        <f t="shared" si="8"/>
        <v>AA</v>
      </c>
      <c r="I185" s="40" t="str">
        <f>IF(B185="","",VLOOKUP(D185,加弹汇总表!C:E,3,FALSE))</f>
        <v>75网络</v>
      </c>
      <c r="M185" s="8">
        <v>1219</v>
      </c>
      <c r="O185" s="73">
        <v>43754</v>
      </c>
      <c r="P185" s="72" t="str">
        <f>IF(B185="","",VLOOKUP(D185,setting!$C$2:$D$30,2,FALSE))</f>
        <v>喷水</v>
      </c>
      <c r="R185" s="30">
        <f t="shared" si="7"/>
        <v>10</v>
      </c>
    </row>
    <row r="186" spans="1:18" outlineLevel="1">
      <c r="A186" s="177" t="str">
        <f t="shared" si="6"/>
        <v>8413275D网络丝132/48黑喷水</v>
      </c>
      <c r="B186" s="39">
        <v>84132</v>
      </c>
      <c r="C186" s="8">
        <v>7</v>
      </c>
      <c r="D186" s="8" t="s">
        <v>866</v>
      </c>
      <c r="E186" s="8" t="s">
        <v>391</v>
      </c>
      <c r="F186" s="8" t="s">
        <v>1</v>
      </c>
      <c r="G186" s="8" t="s">
        <v>136</v>
      </c>
      <c r="H186" s="8" t="str">
        <f t="shared" si="8"/>
        <v>AA</v>
      </c>
      <c r="I186" s="40" t="str">
        <f>IF(B186="","",VLOOKUP(D186,加弹汇总表!C:E,3,FALSE))</f>
        <v>75网络</v>
      </c>
      <c r="M186" s="8">
        <v>1359.21</v>
      </c>
      <c r="O186" s="73">
        <v>43754</v>
      </c>
      <c r="P186" s="72" t="str">
        <f>IF(B186="","",VLOOKUP(D186,setting!$C$2:$D$30,2,FALSE))</f>
        <v>喷水</v>
      </c>
      <c r="R186" s="30">
        <f t="shared" si="7"/>
        <v>10</v>
      </c>
    </row>
    <row r="187" spans="1:18" outlineLevel="1">
      <c r="A187" s="177" t="str">
        <f t="shared" si="6"/>
        <v>S2121150D 135度有温丝89/48白圆机</v>
      </c>
      <c r="B187" s="39" t="s">
        <v>456</v>
      </c>
      <c r="C187" s="8">
        <v>4</v>
      </c>
      <c r="D187" s="8" t="s">
        <v>848</v>
      </c>
      <c r="E187" s="8" t="s">
        <v>455</v>
      </c>
      <c r="F187" s="8" t="s">
        <v>2</v>
      </c>
      <c r="G187" s="8" t="s">
        <v>158</v>
      </c>
      <c r="H187" s="8" t="str">
        <f t="shared" si="8"/>
        <v>AA</v>
      </c>
      <c r="I187" s="40">
        <f>IF(B187="","",VLOOKUP(D187,加弹汇总表!C:E,3,FALSE))</f>
        <v>50</v>
      </c>
      <c r="M187" s="8">
        <v>580.5</v>
      </c>
      <c r="O187" s="73">
        <v>43755</v>
      </c>
      <c r="P187" s="72" t="str">
        <f>IF(B187="","",VLOOKUP(D187,setting!$C$2:$D$30,2,FALSE))</f>
        <v>圆机</v>
      </c>
      <c r="R187" s="30">
        <f t="shared" si="7"/>
        <v>10</v>
      </c>
    </row>
    <row r="188" spans="1:18" outlineLevel="1">
      <c r="A188" s="177" t="str">
        <f t="shared" si="6"/>
        <v>S2121150D 135度有温丝89/48白圆机</v>
      </c>
      <c r="B188" s="39" t="s">
        <v>456</v>
      </c>
      <c r="C188" s="8">
        <v>2</v>
      </c>
      <c r="D188" s="8" t="s">
        <v>848</v>
      </c>
      <c r="E188" s="8" t="s">
        <v>455</v>
      </c>
      <c r="F188" s="8" t="s">
        <v>2</v>
      </c>
      <c r="G188" s="8" t="s">
        <v>158</v>
      </c>
      <c r="H188" s="8" t="str">
        <f t="shared" si="8"/>
        <v>AA</v>
      </c>
      <c r="I188" s="40">
        <f>IF(B188="","",VLOOKUP(D188,加弹汇总表!C:E,3,FALSE))</f>
        <v>50</v>
      </c>
      <c r="M188" s="8">
        <v>1238.5</v>
      </c>
      <c r="O188" s="73">
        <v>43755</v>
      </c>
      <c r="P188" s="72" t="str">
        <f>IF(B188="","",VLOOKUP(D188,setting!$C$2:$D$30,2,FALSE))</f>
        <v>圆机</v>
      </c>
      <c r="R188" s="30">
        <f t="shared" si="7"/>
        <v>10</v>
      </c>
    </row>
    <row r="189" spans="1:18" outlineLevel="1">
      <c r="A189" s="177" t="str">
        <f t="shared" si="6"/>
        <v>64009450D94/36黑圆机</v>
      </c>
      <c r="B189" s="39">
        <v>640094</v>
      </c>
      <c r="C189" s="8">
        <v>6</v>
      </c>
      <c r="D189" s="8" t="s">
        <v>850</v>
      </c>
      <c r="E189" s="8" t="s">
        <v>460</v>
      </c>
      <c r="F189" s="8" t="s">
        <v>1</v>
      </c>
      <c r="G189" s="8" t="s">
        <v>136</v>
      </c>
      <c r="H189" s="8" t="str">
        <f t="shared" si="8"/>
        <v>AA</v>
      </c>
      <c r="I189" s="40">
        <f>IF(B189="","",VLOOKUP(D189,加弹汇总表!C:E,3,FALSE))</f>
        <v>50</v>
      </c>
      <c r="M189" s="8">
        <v>566.5</v>
      </c>
      <c r="O189" s="73">
        <v>43755</v>
      </c>
      <c r="P189" s="72" t="str">
        <f>IF(B189="","",VLOOKUP(D189,setting!$C$2:$D$30,2,FALSE))</f>
        <v>圆机</v>
      </c>
      <c r="R189" s="30">
        <f t="shared" si="7"/>
        <v>10</v>
      </c>
    </row>
    <row r="190" spans="1:18" outlineLevel="1">
      <c r="A190" s="177" t="str">
        <f t="shared" si="6"/>
        <v>S2132575D 135度低温丝130/48白圆机</v>
      </c>
      <c r="B190" s="39" t="s">
        <v>384</v>
      </c>
      <c r="C190" s="8">
        <v>4</v>
      </c>
      <c r="D190" s="8" t="s">
        <v>856</v>
      </c>
      <c r="E190" s="8" t="s">
        <v>381</v>
      </c>
      <c r="F190" s="8" t="s">
        <v>2</v>
      </c>
      <c r="G190" s="8" t="s">
        <v>158</v>
      </c>
      <c r="H190" s="8" t="str">
        <f t="shared" si="8"/>
        <v>AA</v>
      </c>
      <c r="I190" s="40">
        <f>IF(B190="","",VLOOKUP(D190,加弹汇总表!C:E,3,FALSE))</f>
        <v>75</v>
      </c>
      <c r="M190" s="8">
        <v>581</v>
      </c>
      <c r="O190" s="73">
        <v>43755</v>
      </c>
      <c r="P190" s="72" t="str">
        <f>IF(B190="","",VLOOKUP(D190,setting!$C$2:$D$30,2,FALSE))</f>
        <v>圆机</v>
      </c>
      <c r="R190" s="30">
        <f t="shared" si="7"/>
        <v>10</v>
      </c>
    </row>
    <row r="191" spans="1:18" outlineLevel="1">
      <c r="A191" s="177" t="str">
        <f t="shared" si="6"/>
        <v>S21102P20D网络丝35/24白喷水</v>
      </c>
      <c r="B191" s="39" t="s">
        <v>438</v>
      </c>
      <c r="C191" s="8">
        <v>3</v>
      </c>
      <c r="D191" s="8" t="s">
        <v>861</v>
      </c>
      <c r="E191" s="8" t="s">
        <v>437</v>
      </c>
      <c r="F191" s="8" t="s">
        <v>2</v>
      </c>
      <c r="G191" s="8" t="s">
        <v>158</v>
      </c>
      <c r="H191" s="8" t="str">
        <f t="shared" si="8"/>
        <v>AA</v>
      </c>
      <c r="I191" s="40" t="str">
        <f>IF(B191="","",VLOOKUP(D191,加弹汇总表!C:E,3,FALSE))</f>
        <v>20网络</v>
      </c>
      <c r="M191" s="8">
        <v>533</v>
      </c>
      <c r="O191" s="73">
        <v>43755</v>
      </c>
      <c r="P191" s="72" t="str">
        <f>IF(B191="","",VLOOKUP(D191,setting!$C$2:$D$30,2,FALSE))</f>
        <v>喷水</v>
      </c>
      <c r="R191" s="30">
        <f t="shared" si="7"/>
        <v>10</v>
      </c>
    </row>
    <row r="192" spans="1:18" outlineLevel="1">
      <c r="A192" s="177" t="str">
        <f t="shared" si="6"/>
        <v>24003620D网络丝36/24黑喷水</v>
      </c>
      <c r="B192" s="39">
        <v>240036</v>
      </c>
      <c r="C192" s="8">
        <v>8</v>
      </c>
      <c r="D192" s="8" t="s">
        <v>861</v>
      </c>
      <c r="E192" s="8" t="s">
        <v>447</v>
      </c>
      <c r="F192" s="8" t="s">
        <v>1</v>
      </c>
      <c r="G192" s="8" t="s">
        <v>136</v>
      </c>
      <c r="H192" s="8" t="str">
        <f t="shared" si="8"/>
        <v>AA</v>
      </c>
      <c r="I192" s="40" t="str">
        <f>IF(B192="","",VLOOKUP(D192,加弹汇总表!C:E,3,FALSE))</f>
        <v>20网络</v>
      </c>
      <c r="M192" s="8">
        <v>297</v>
      </c>
      <c r="O192" s="73">
        <v>43755</v>
      </c>
      <c r="P192" s="72" t="str">
        <f>IF(B192="","",VLOOKUP(D192,setting!$C$2:$D$30,2,FALSE))</f>
        <v>喷水</v>
      </c>
      <c r="R192" s="30">
        <f t="shared" si="7"/>
        <v>10</v>
      </c>
    </row>
    <row r="193" spans="1:18" outlineLevel="1">
      <c r="A193" s="177" t="str">
        <f t="shared" si="6"/>
        <v>24005530D网络丝55/24黑喷水</v>
      </c>
      <c r="B193" s="39">
        <v>240055</v>
      </c>
      <c r="C193" s="8">
        <v>8</v>
      </c>
      <c r="D193" s="8" t="s">
        <v>863</v>
      </c>
      <c r="E193" s="8" t="s">
        <v>452</v>
      </c>
      <c r="F193" s="8" t="s">
        <v>1</v>
      </c>
      <c r="G193" s="8" t="s">
        <v>136</v>
      </c>
      <c r="H193" s="8" t="str">
        <f t="shared" si="8"/>
        <v>AA</v>
      </c>
      <c r="I193" s="40" t="str">
        <f>IF(B193="","",VLOOKUP(D193,加弹汇总表!C:E,3,FALSE))</f>
        <v>30网络</v>
      </c>
      <c r="M193" s="8">
        <v>350.83</v>
      </c>
      <c r="O193" s="73">
        <v>43755</v>
      </c>
      <c r="P193" s="72" t="str">
        <f>IF(B193="","",VLOOKUP(D193,setting!$C$2:$D$30,2,FALSE))</f>
        <v>喷水</v>
      </c>
      <c r="R193" s="30">
        <f t="shared" si="7"/>
        <v>10</v>
      </c>
    </row>
    <row r="194" spans="1:18" outlineLevel="1">
      <c r="A194" s="177" t="str">
        <f t="shared" ref="A194:A257" si="9">B194&amp;D194&amp;E194&amp;F194&amp;P194</f>
        <v>S2121150D网络丝89/48白喷水</v>
      </c>
      <c r="B194" s="39" t="s">
        <v>456</v>
      </c>
      <c r="C194" s="8">
        <v>1</v>
      </c>
      <c r="D194" s="8" t="s">
        <v>865</v>
      </c>
      <c r="E194" s="8" t="s">
        <v>455</v>
      </c>
      <c r="F194" s="8" t="s">
        <v>2</v>
      </c>
      <c r="G194" s="8" t="s">
        <v>158</v>
      </c>
      <c r="H194" s="8" t="str">
        <f t="shared" si="8"/>
        <v>AA</v>
      </c>
      <c r="I194" s="40" t="str">
        <f>IF(B194="","",VLOOKUP(D194,加弹汇总表!C:E,3,FALSE))</f>
        <v>50网络</v>
      </c>
      <c r="M194" s="8">
        <v>1827</v>
      </c>
      <c r="O194" s="73">
        <v>43755</v>
      </c>
      <c r="P194" s="72" t="str">
        <f>IF(B194="","",VLOOKUP(D194,setting!$C$2:$D$30,2,FALSE))</f>
        <v>喷水</v>
      </c>
      <c r="R194" s="30">
        <f t="shared" ref="R194:R257" si="10">IF(O194="","",MONTH(O194))</f>
        <v>10</v>
      </c>
    </row>
    <row r="195" spans="1:18" outlineLevel="1">
      <c r="A195" s="177" t="str">
        <f t="shared" si="9"/>
        <v>64009450D网络丝94/36黑喷水</v>
      </c>
      <c r="B195" s="39">
        <v>640094</v>
      </c>
      <c r="C195" s="8">
        <v>6</v>
      </c>
      <c r="D195" s="8" t="s">
        <v>865</v>
      </c>
      <c r="E195" s="8" t="s">
        <v>460</v>
      </c>
      <c r="F195" s="8" t="s">
        <v>1</v>
      </c>
      <c r="G195" s="8" t="s">
        <v>136</v>
      </c>
      <c r="H195" s="8" t="str">
        <f t="shared" si="8"/>
        <v>AA</v>
      </c>
      <c r="I195" s="40" t="str">
        <f>IF(B195="","",VLOOKUP(D195,加弹汇总表!C:E,3,FALSE))</f>
        <v>50网络</v>
      </c>
      <c r="M195" s="8">
        <v>676.79</v>
      </c>
      <c r="O195" s="73">
        <v>43755</v>
      </c>
      <c r="P195" s="72" t="str">
        <f>IF(B195="","",VLOOKUP(D195,setting!$C$2:$D$30,2,FALSE))</f>
        <v>喷水</v>
      </c>
      <c r="R195" s="30">
        <f t="shared" si="10"/>
        <v>10</v>
      </c>
    </row>
    <row r="196" spans="1:18" outlineLevel="1">
      <c r="A196" s="177" t="str">
        <f t="shared" si="9"/>
        <v>8413275D网络丝132/48黑喷水</v>
      </c>
      <c r="B196" s="39">
        <v>84132</v>
      </c>
      <c r="C196" s="8">
        <v>5</v>
      </c>
      <c r="D196" s="8" t="s">
        <v>866</v>
      </c>
      <c r="E196" s="8" t="s">
        <v>391</v>
      </c>
      <c r="F196" s="8" t="s">
        <v>1</v>
      </c>
      <c r="G196" s="8" t="s">
        <v>136</v>
      </c>
      <c r="H196" s="8" t="str">
        <f t="shared" ref="H196:H259" si="11">IF(B196="","","AA")</f>
        <v>AA</v>
      </c>
      <c r="I196" s="40" t="str">
        <f>IF(B196="","",VLOOKUP(D196,加弹汇总表!C:E,3,FALSE))</f>
        <v>75网络</v>
      </c>
      <c r="M196" s="8">
        <v>1890</v>
      </c>
      <c r="O196" s="73">
        <v>43755</v>
      </c>
      <c r="P196" s="72" t="str">
        <f>IF(B196="","",VLOOKUP(D196,setting!$C$2:$D$30,2,FALSE))</f>
        <v>喷水</v>
      </c>
      <c r="R196" s="30">
        <f t="shared" si="10"/>
        <v>10</v>
      </c>
    </row>
    <row r="197" spans="1:18" outlineLevel="1">
      <c r="A197" s="177" t="str">
        <f t="shared" si="9"/>
        <v>8413275D网络丝132/48黑喷水</v>
      </c>
      <c r="B197" s="39">
        <v>84132</v>
      </c>
      <c r="C197" s="8">
        <v>7</v>
      </c>
      <c r="D197" s="8" t="s">
        <v>866</v>
      </c>
      <c r="E197" s="8" t="s">
        <v>391</v>
      </c>
      <c r="F197" s="8" t="s">
        <v>1</v>
      </c>
      <c r="G197" s="8" t="s">
        <v>136</v>
      </c>
      <c r="H197" s="8" t="str">
        <f t="shared" si="11"/>
        <v>AA</v>
      </c>
      <c r="I197" s="40" t="str">
        <f>IF(B197="","",VLOOKUP(D197,加弹汇总表!C:E,3,FALSE))</f>
        <v>75网络</v>
      </c>
      <c r="M197" s="8">
        <v>1332.25</v>
      </c>
      <c r="O197" s="73">
        <v>43755</v>
      </c>
      <c r="P197" s="72" t="str">
        <f>IF(B197="","",VLOOKUP(D197,setting!$C$2:$D$30,2,FALSE))</f>
        <v>喷水</v>
      </c>
      <c r="R197" s="30">
        <f t="shared" si="10"/>
        <v>10</v>
      </c>
    </row>
    <row r="198" spans="1:18" outlineLevel="1">
      <c r="A198" s="177" t="str">
        <f t="shared" si="9"/>
        <v>S2121150D 135度有温丝89/48白圆机</v>
      </c>
      <c r="B198" s="39" t="s">
        <v>456</v>
      </c>
      <c r="C198" s="8">
        <v>4</v>
      </c>
      <c r="D198" s="8" t="s">
        <v>848</v>
      </c>
      <c r="E198" s="8" t="s">
        <v>455</v>
      </c>
      <c r="F198" s="8" t="s">
        <v>2</v>
      </c>
      <c r="G198" s="8" t="s">
        <v>158</v>
      </c>
      <c r="H198" s="8" t="str">
        <f t="shared" si="11"/>
        <v>AA</v>
      </c>
      <c r="I198" s="40">
        <f>IF(B198="","",VLOOKUP(D198,加弹汇总表!C:E,3,FALSE))</f>
        <v>50</v>
      </c>
      <c r="M198" s="8">
        <v>585.5</v>
      </c>
      <c r="O198" s="73">
        <v>43756</v>
      </c>
      <c r="P198" s="72" t="str">
        <f>IF(B198="","",VLOOKUP(D198,setting!$C$2:$D$30,2,FALSE))</f>
        <v>圆机</v>
      </c>
      <c r="R198" s="30">
        <f t="shared" si="10"/>
        <v>10</v>
      </c>
    </row>
    <row r="199" spans="1:18" outlineLevel="1">
      <c r="A199" s="177" t="str">
        <f t="shared" si="9"/>
        <v>S2121150D 135度有温丝89/48白圆机</v>
      </c>
      <c r="B199" s="39" t="s">
        <v>456</v>
      </c>
      <c r="C199" s="8">
        <v>2</v>
      </c>
      <c r="D199" s="8" t="s">
        <v>848</v>
      </c>
      <c r="E199" s="8" t="s">
        <v>455</v>
      </c>
      <c r="F199" s="8" t="s">
        <v>2</v>
      </c>
      <c r="G199" s="8" t="s">
        <v>158</v>
      </c>
      <c r="H199" s="8" t="str">
        <f t="shared" si="11"/>
        <v>AA</v>
      </c>
      <c r="I199" s="40">
        <f>IF(B199="","",VLOOKUP(D199,加弹汇总表!C:E,3,FALSE))</f>
        <v>50</v>
      </c>
      <c r="M199" s="8">
        <v>1797</v>
      </c>
      <c r="O199" s="73">
        <v>43756</v>
      </c>
      <c r="P199" s="72" t="str">
        <f>IF(B199="","",VLOOKUP(D199,setting!$C$2:$D$30,2,FALSE))</f>
        <v>圆机</v>
      </c>
      <c r="R199" s="30">
        <f t="shared" si="10"/>
        <v>10</v>
      </c>
    </row>
    <row r="200" spans="1:18" outlineLevel="1">
      <c r="A200" s="177" t="str">
        <f t="shared" si="9"/>
        <v>64009450D94/36黑圆机</v>
      </c>
      <c r="B200" s="39">
        <v>640094</v>
      </c>
      <c r="C200" s="8">
        <v>6</v>
      </c>
      <c r="D200" s="8" t="s">
        <v>850</v>
      </c>
      <c r="E200" s="8" t="s">
        <v>460</v>
      </c>
      <c r="F200" s="8" t="s">
        <v>1</v>
      </c>
      <c r="G200" s="8" t="s">
        <v>136</v>
      </c>
      <c r="H200" s="8" t="str">
        <f t="shared" si="11"/>
        <v>AA</v>
      </c>
      <c r="I200" s="40">
        <f>IF(B200="","",VLOOKUP(D200,加弹汇总表!C:E,3,FALSE))</f>
        <v>50</v>
      </c>
      <c r="M200" s="8">
        <v>619.5</v>
      </c>
      <c r="O200" s="73">
        <v>43756</v>
      </c>
      <c r="P200" s="72" t="str">
        <f>IF(B200="","",VLOOKUP(D200,setting!$C$2:$D$30,2,FALSE))</f>
        <v>圆机</v>
      </c>
      <c r="R200" s="30">
        <f t="shared" si="10"/>
        <v>10</v>
      </c>
    </row>
    <row r="201" spans="1:18" outlineLevel="1">
      <c r="A201" s="177" t="str">
        <f t="shared" si="9"/>
        <v>S2132575D 135度低温丝130/48白圆机</v>
      </c>
      <c r="B201" s="39" t="s">
        <v>384</v>
      </c>
      <c r="C201" s="8">
        <v>4</v>
      </c>
      <c r="D201" s="8" t="s">
        <v>856</v>
      </c>
      <c r="E201" s="8" t="s">
        <v>381</v>
      </c>
      <c r="F201" s="8" t="s">
        <v>2</v>
      </c>
      <c r="G201" s="8" t="s">
        <v>158</v>
      </c>
      <c r="H201" s="8" t="str">
        <f t="shared" si="11"/>
        <v>AA</v>
      </c>
      <c r="I201" s="40">
        <f>IF(B201="","",VLOOKUP(D201,加弹汇总表!C:E,3,FALSE))</f>
        <v>75</v>
      </c>
      <c r="M201" s="8">
        <v>1316</v>
      </c>
      <c r="O201" s="73">
        <v>43756</v>
      </c>
      <c r="P201" s="72" t="str">
        <f>IF(B201="","",VLOOKUP(D201,setting!$C$2:$D$30,2,FALSE))</f>
        <v>圆机</v>
      </c>
      <c r="R201" s="30">
        <f t="shared" si="10"/>
        <v>10</v>
      </c>
    </row>
    <row r="202" spans="1:18" outlineLevel="1">
      <c r="A202" s="177" t="str">
        <f t="shared" si="9"/>
        <v>S21102P20D网络丝35/24白喷水</v>
      </c>
      <c r="B202" s="39" t="s">
        <v>438</v>
      </c>
      <c r="C202" s="8">
        <v>3</v>
      </c>
      <c r="D202" s="8" t="s">
        <v>861</v>
      </c>
      <c r="E202" s="8" t="s">
        <v>437</v>
      </c>
      <c r="F202" s="8" t="s">
        <v>2</v>
      </c>
      <c r="G202" s="8" t="s">
        <v>158</v>
      </c>
      <c r="H202" s="8" t="str">
        <f t="shared" si="11"/>
        <v>AA</v>
      </c>
      <c r="I202" s="40" t="str">
        <f>IF(B202="","",VLOOKUP(D202,加弹汇总表!C:E,3,FALSE))</f>
        <v>20网络</v>
      </c>
      <c r="M202" s="8">
        <v>490</v>
      </c>
      <c r="O202" s="73">
        <v>43756</v>
      </c>
      <c r="P202" s="72" t="str">
        <f>IF(B202="","",VLOOKUP(D202,setting!$C$2:$D$30,2,FALSE))</f>
        <v>喷水</v>
      </c>
      <c r="R202" s="30">
        <f t="shared" si="10"/>
        <v>10</v>
      </c>
    </row>
    <row r="203" spans="1:18" outlineLevel="1">
      <c r="A203" s="177" t="str">
        <f t="shared" si="9"/>
        <v>24003620D网络丝36/24黑喷水</v>
      </c>
      <c r="B203" s="39">
        <v>240036</v>
      </c>
      <c r="C203" s="8">
        <v>8</v>
      </c>
      <c r="D203" s="8" t="s">
        <v>861</v>
      </c>
      <c r="E203" s="8" t="s">
        <v>447</v>
      </c>
      <c r="F203" s="8" t="s">
        <v>1</v>
      </c>
      <c r="G203" s="8" t="s">
        <v>136</v>
      </c>
      <c r="H203" s="8" t="str">
        <f t="shared" si="11"/>
        <v>AA</v>
      </c>
      <c r="I203" s="40" t="str">
        <f>IF(B203="","",VLOOKUP(D203,加弹汇总表!C:E,3,FALSE))</f>
        <v>20网络</v>
      </c>
      <c r="M203" s="8">
        <v>219</v>
      </c>
      <c r="O203" s="73">
        <v>43756</v>
      </c>
      <c r="P203" s="72" t="str">
        <f>IF(B203="","",VLOOKUP(D203,setting!$C$2:$D$30,2,FALSE))</f>
        <v>喷水</v>
      </c>
      <c r="R203" s="30">
        <f t="shared" si="10"/>
        <v>10</v>
      </c>
    </row>
    <row r="204" spans="1:18" outlineLevel="1">
      <c r="A204" s="177" t="str">
        <f t="shared" si="9"/>
        <v>24005530D网络丝55/24黑喷水</v>
      </c>
      <c r="B204" s="39">
        <v>240055</v>
      </c>
      <c r="C204" s="8">
        <v>8</v>
      </c>
      <c r="D204" s="8" t="s">
        <v>863</v>
      </c>
      <c r="E204" s="8" t="s">
        <v>452</v>
      </c>
      <c r="F204" s="8" t="s">
        <v>1</v>
      </c>
      <c r="G204" s="8" t="s">
        <v>136</v>
      </c>
      <c r="H204" s="8" t="str">
        <f t="shared" si="11"/>
        <v>AA</v>
      </c>
      <c r="I204" s="40" t="str">
        <f>IF(B204="","",VLOOKUP(D204,加弹汇总表!C:E,3,FALSE))</f>
        <v>30网络</v>
      </c>
      <c r="M204" s="8">
        <v>349.28</v>
      </c>
      <c r="O204" s="73">
        <v>43756</v>
      </c>
      <c r="P204" s="72" t="str">
        <f>IF(B204="","",VLOOKUP(D204,setting!$C$2:$D$30,2,FALSE))</f>
        <v>喷水</v>
      </c>
      <c r="R204" s="30">
        <f t="shared" si="10"/>
        <v>10</v>
      </c>
    </row>
    <row r="205" spans="1:18" outlineLevel="1">
      <c r="A205" s="177" t="str">
        <f t="shared" si="9"/>
        <v>S2121150D网络丝89/48白喷水</v>
      </c>
      <c r="B205" s="39" t="s">
        <v>456</v>
      </c>
      <c r="C205" s="8">
        <v>1</v>
      </c>
      <c r="D205" s="8" t="s">
        <v>865</v>
      </c>
      <c r="E205" s="8" t="s">
        <v>455</v>
      </c>
      <c r="F205" s="8" t="s">
        <v>2</v>
      </c>
      <c r="G205" s="8" t="s">
        <v>158</v>
      </c>
      <c r="H205" s="8" t="str">
        <f t="shared" si="11"/>
        <v>AA</v>
      </c>
      <c r="I205" s="40" t="str">
        <f>IF(B205="","",VLOOKUP(D205,加弹汇总表!C:E,3,FALSE))</f>
        <v>50网络</v>
      </c>
      <c r="M205" s="8">
        <v>1326.42</v>
      </c>
      <c r="O205" s="73">
        <v>43756</v>
      </c>
      <c r="P205" s="72" t="str">
        <f>IF(B205="","",VLOOKUP(D205,setting!$C$2:$D$30,2,FALSE))</f>
        <v>喷水</v>
      </c>
      <c r="R205" s="30">
        <f t="shared" si="10"/>
        <v>10</v>
      </c>
    </row>
    <row r="206" spans="1:18" outlineLevel="1">
      <c r="A206" s="177" t="str">
        <f t="shared" si="9"/>
        <v>64009450D网络丝94/36黑喷水</v>
      </c>
      <c r="B206" s="39">
        <v>640094</v>
      </c>
      <c r="C206" s="8">
        <v>6</v>
      </c>
      <c r="D206" s="8" t="s">
        <v>865</v>
      </c>
      <c r="E206" s="8" t="s">
        <v>460</v>
      </c>
      <c r="F206" s="8" t="s">
        <v>1</v>
      </c>
      <c r="G206" s="8" t="s">
        <v>136</v>
      </c>
      <c r="H206" s="8" t="str">
        <f t="shared" si="11"/>
        <v>AA</v>
      </c>
      <c r="I206" s="40" t="str">
        <f>IF(B206="","",VLOOKUP(D206,加弹汇总表!C:E,3,FALSE))</f>
        <v>50网络</v>
      </c>
      <c r="M206" s="8">
        <v>571.84</v>
      </c>
      <c r="O206" s="73">
        <v>43756</v>
      </c>
      <c r="P206" s="72" t="str">
        <f>IF(B206="","",VLOOKUP(D206,setting!$C$2:$D$30,2,FALSE))</f>
        <v>喷水</v>
      </c>
      <c r="R206" s="30">
        <f t="shared" si="10"/>
        <v>10</v>
      </c>
    </row>
    <row r="207" spans="1:18" outlineLevel="1">
      <c r="A207" s="177" t="str">
        <f t="shared" si="9"/>
        <v>8413275D网络丝132/48黑喷水</v>
      </c>
      <c r="B207" s="39">
        <v>84132</v>
      </c>
      <c r="C207" s="8">
        <v>5</v>
      </c>
      <c r="D207" s="8" t="s">
        <v>866</v>
      </c>
      <c r="E207" s="8" t="s">
        <v>391</v>
      </c>
      <c r="F207" s="8" t="s">
        <v>1</v>
      </c>
      <c r="G207" s="8" t="s">
        <v>136</v>
      </c>
      <c r="H207" s="8" t="str">
        <f t="shared" si="11"/>
        <v>AA</v>
      </c>
      <c r="I207" s="40" t="str">
        <f>IF(B207="","",VLOOKUP(D207,加弹汇总表!C:E,3,FALSE))</f>
        <v>75网络</v>
      </c>
      <c r="M207" s="8">
        <v>1981</v>
      </c>
      <c r="O207" s="73">
        <v>43756</v>
      </c>
      <c r="P207" s="72" t="str">
        <f>IF(B207="","",VLOOKUP(D207,setting!$C$2:$D$30,2,FALSE))</f>
        <v>喷水</v>
      </c>
      <c r="R207" s="30">
        <f t="shared" si="10"/>
        <v>10</v>
      </c>
    </row>
    <row r="208" spans="1:18" outlineLevel="1">
      <c r="A208" s="177" t="str">
        <f t="shared" si="9"/>
        <v>8413275D网络丝132/48黑喷水</v>
      </c>
      <c r="B208" s="39">
        <v>84132</v>
      </c>
      <c r="C208" s="8">
        <v>7</v>
      </c>
      <c r="D208" s="8" t="s">
        <v>866</v>
      </c>
      <c r="E208" s="8" t="s">
        <v>391</v>
      </c>
      <c r="F208" s="8" t="s">
        <v>1</v>
      </c>
      <c r="G208" s="8" t="s">
        <v>136</v>
      </c>
      <c r="H208" s="8" t="str">
        <f t="shared" si="11"/>
        <v>AA</v>
      </c>
      <c r="I208" s="40" t="str">
        <f>IF(B208="","",VLOOKUP(D208,加弹汇总表!C:E,3,FALSE))</f>
        <v>75网络</v>
      </c>
      <c r="M208" s="8">
        <v>1784.21</v>
      </c>
      <c r="O208" s="73">
        <v>43756</v>
      </c>
      <c r="P208" s="72" t="str">
        <f>IF(B208="","",VLOOKUP(D208,setting!$C$2:$D$30,2,FALSE))</f>
        <v>喷水</v>
      </c>
      <c r="R208" s="30">
        <f t="shared" si="10"/>
        <v>10</v>
      </c>
    </row>
    <row r="209" spans="1:18" outlineLevel="1">
      <c r="A209" s="177" t="str">
        <f t="shared" si="9"/>
        <v>S2121150D 135度有温丝89/48白圆机</v>
      </c>
      <c r="B209" s="177" t="s">
        <v>456</v>
      </c>
      <c r="C209" s="177">
        <v>4</v>
      </c>
      <c r="D209" s="177" t="s">
        <v>848</v>
      </c>
      <c r="E209" s="177" t="s">
        <v>455</v>
      </c>
      <c r="F209" s="177" t="s">
        <v>2</v>
      </c>
      <c r="G209" s="177" t="s">
        <v>158</v>
      </c>
      <c r="H209" s="8" t="str">
        <f t="shared" si="11"/>
        <v>AA</v>
      </c>
      <c r="I209" s="40">
        <f>IF(B209="","",VLOOKUP(D209,加弹汇总表!C:E,3,FALSE))</f>
        <v>50</v>
      </c>
      <c r="M209" s="177">
        <v>573</v>
      </c>
      <c r="O209" s="191">
        <v>43757</v>
      </c>
      <c r="P209" s="72" t="str">
        <f>IF(B209="","",VLOOKUP(D209,setting!$C$2:$D$30,2,FALSE))</f>
        <v>圆机</v>
      </c>
      <c r="R209" s="30">
        <f t="shared" si="10"/>
        <v>10</v>
      </c>
    </row>
    <row r="210" spans="1:18" outlineLevel="1">
      <c r="A210" s="177" t="str">
        <f t="shared" si="9"/>
        <v>S2121150D 135度有温丝89/48白圆机</v>
      </c>
      <c r="B210" s="177" t="s">
        <v>456</v>
      </c>
      <c r="C210" s="177">
        <v>2</v>
      </c>
      <c r="D210" s="177" t="s">
        <v>848</v>
      </c>
      <c r="E210" s="177" t="s">
        <v>455</v>
      </c>
      <c r="F210" s="177" t="s">
        <v>2</v>
      </c>
      <c r="G210" s="177" t="s">
        <v>158</v>
      </c>
      <c r="H210" s="8" t="str">
        <f t="shared" si="11"/>
        <v>AA</v>
      </c>
      <c r="I210" s="40">
        <f>IF(B210="","",VLOOKUP(D210,加弹汇总表!C:E,3,FALSE))</f>
        <v>50</v>
      </c>
      <c r="M210" s="177">
        <v>1178</v>
      </c>
      <c r="O210" s="191">
        <v>43757</v>
      </c>
      <c r="P210" s="72" t="str">
        <f>IF(B210="","",VLOOKUP(D210,setting!$C$2:$D$30,2,FALSE))</f>
        <v>圆机</v>
      </c>
      <c r="R210" s="30">
        <f t="shared" si="10"/>
        <v>10</v>
      </c>
    </row>
    <row r="211" spans="1:18" outlineLevel="1">
      <c r="A211" s="177" t="str">
        <f t="shared" si="9"/>
        <v>64009450D94/36黑圆机</v>
      </c>
      <c r="B211" s="177">
        <v>640094</v>
      </c>
      <c r="C211" s="177">
        <v>6</v>
      </c>
      <c r="D211" s="177" t="s">
        <v>850</v>
      </c>
      <c r="E211" s="177" t="s">
        <v>460</v>
      </c>
      <c r="F211" s="177" t="s">
        <v>1</v>
      </c>
      <c r="G211" s="177" t="s">
        <v>136</v>
      </c>
      <c r="H211" s="8" t="str">
        <f t="shared" si="11"/>
        <v>AA</v>
      </c>
      <c r="I211" s="40">
        <f>IF(B211="","",VLOOKUP(D211,加弹汇总表!C:E,3,FALSE))</f>
        <v>50</v>
      </c>
      <c r="M211" s="177">
        <v>618</v>
      </c>
      <c r="O211" s="191">
        <v>43757</v>
      </c>
      <c r="P211" s="72" t="str">
        <f>IF(B211="","",VLOOKUP(D211,setting!$C$2:$D$30,2,FALSE))</f>
        <v>圆机</v>
      </c>
      <c r="R211" s="30">
        <f t="shared" si="10"/>
        <v>10</v>
      </c>
    </row>
    <row r="212" spans="1:18" outlineLevel="1">
      <c r="A212" s="177" t="str">
        <f t="shared" si="9"/>
        <v>S2132575D 135度低温丝130/48白圆机</v>
      </c>
      <c r="B212" s="177" t="s">
        <v>384</v>
      </c>
      <c r="C212" s="177">
        <v>4</v>
      </c>
      <c r="D212" s="177" t="s">
        <v>856</v>
      </c>
      <c r="E212" s="177" t="s">
        <v>381</v>
      </c>
      <c r="F212" s="177" t="s">
        <v>2</v>
      </c>
      <c r="G212" s="177" t="s">
        <v>158</v>
      </c>
      <c r="H212" s="8" t="str">
        <f t="shared" si="11"/>
        <v>AA</v>
      </c>
      <c r="I212" s="40">
        <f>IF(B212="","",VLOOKUP(D212,加弹汇总表!C:E,3,FALSE))</f>
        <v>75</v>
      </c>
      <c r="M212" s="177">
        <v>1145.5</v>
      </c>
      <c r="O212" s="191">
        <v>43757</v>
      </c>
      <c r="P212" s="72" t="str">
        <f>IF(B212="","",VLOOKUP(D212,setting!$C$2:$D$30,2,FALSE))</f>
        <v>圆机</v>
      </c>
      <c r="R212" s="30">
        <f t="shared" si="10"/>
        <v>10</v>
      </c>
    </row>
    <row r="213" spans="1:18" outlineLevel="1">
      <c r="A213" s="177" t="str">
        <f t="shared" si="9"/>
        <v>S21102P20D网络丝35/24白喷水</v>
      </c>
      <c r="B213" s="177" t="s">
        <v>438</v>
      </c>
      <c r="C213" s="177">
        <v>3</v>
      </c>
      <c r="D213" s="177" t="s">
        <v>861</v>
      </c>
      <c r="E213" s="177" t="s">
        <v>437</v>
      </c>
      <c r="F213" s="177" t="s">
        <v>2</v>
      </c>
      <c r="G213" s="177" t="s">
        <v>158</v>
      </c>
      <c r="H213" s="8" t="str">
        <f t="shared" si="11"/>
        <v>AA</v>
      </c>
      <c r="I213" s="40" t="str">
        <f>IF(B213="","",VLOOKUP(D213,加弹汇总表!C:E,3,FALSE))</f>
        <v>20网络</v>
      </c>
      <c r="M213" s="177">
        <v>517</v>
      </c>
      <c r="O213" s="191">
        <v>43757</v>
      </c>
      <c r="P213" s="72" t="str">
        <f>IF(B213="","",VLOOKUP(D213,setting!$C$2:$D$30,2,FALSE))</f>
        <v>喷水</v>
      </c>
      <c r="R213" s="30">
        <f t="shared" si="10"/>
        <v>10</v>
      </c>
    </row>
    <row r="214" spans="1:18" outlineLevel="1">
      <c r="A214" s="177" t="str">
        <f t="shared" si="9"/>
        <v>24003620D网络丝36/24黑喷水</v>
      </c>
      <c r="B214" s="177">
        <v>240036</v>
      </c>
      <c r="C214" s="177">
        <v>8</v>
      </c>
      <c r="D214" s="177" t="s">
        <v>861</v>
      </c>
      <c r="E214" s="177" t="s">
        <v>447</v>
      </c>
      <c r="F214" s="177" t="s">
        <v>1</v>
      </c>
      <c r="G214" s="177" t="s">
        <v>136</v>
      </c>
      <c r="H214" s="8" t="str">
        <f t="shared" si="11"/>
        <v>AA</v>
      </c>
      <c r="I214" s="40" t="str">
        <f>IF(B214="","",VLOOKUP(D214,加弹汇总表!C:E,3,FALSE))</f>
        <v>20网络</v>
      </c>
      <c r="M214" s="177">
        <v>157</v>
      </c>
      <c r="O214" s="191">
        <v>43757</v>
      </c>
      <c r="P214" s="72" t="str">
        <f>IF(B214="","",VLOOKUP(D214,setting!$C$2:$D$30,2,FALSE))</f>
        <v>喷水</v>
      </c>
      <c r="R214" s="30">
        <f t="shared" si="10"/>
        <v>10</v>
      </c>
    </row>
    <row r="215" spans="1:18" outlineLevel="1">
      <c r="A215" s="177" t="str">
        <f t="shared" si="9"/>
        <v>24005530D网络丝55/24黑喷水</v>
      </c>
      <c r="B215" s="177">
        <v>240055</v>
      </c>
      <c r="C215" s="177">
        <v>8</v>
      </c>
      <c r="D215" s="177" t="s">
        <v>863</v>
      </c>
      <c r="E215" s="177" t="s">
        <v>452</v>
      </c>
      <c r="F215" s="177" t="s">
        <v>1</v>
      </c>
      <c r="G215" s="177" t="s">
        <v>136</v>
      </c>
      <c r="H215" s="8" t="str">
        <f t="shared" si="11"/>
        <v>AA</v>
      </c>
      <c r="I215" s="40" t="str">
        <f>IF(B215="","",VLOOKUP(D215,加弹汇总表!C:E,3,FALSE))</f>
        <v>30网络</v>
      </c>
      <c r="M215" s="177">
        <v>353.14</v>
      </c>
      <c r="O215" s="191">
        <v>43757</v>
      </c>
      <c r="P215" s="72" t="str">
        <f>IF(B215="","",VLOOKUP(D215,setting!$C$2:$D$30,2,FALSE))</f>
        <v>喷水</v>
      </c>
      <c r="R215" s="30">
        <f t="shared" si="10"/>
        <v>10</v>
      </c>
    </row>
    <row r="216" spans="1:18" outlineLevel="1">
      <c r="A216" s="177" t="str">
        <f t="shared" si="9"/>
        <v>S2121150D网络丝89/48白喷水</v>
      </c>
      <c r="B216" s="177" t="s">
        <v>456</v>
      </c>
      <c r="C216" s="177">
        <v>1</v>
      </c>
      <c r="D216" s="177" t="s">
        <v>865</v>
      </c>
      <c r="E216" s="177" t="s">
        <v>455</v>
      </c>
      <c r="F216" s="177" t="s">
        <v>2</v>
      </c>
      <c r="G216" s="177" t="s">
        <v>158</v>
      </c>
      <c r="H216" s="8" t="str">
        <f t="shared" si="11"/>
        <v>AA</v>
      </c>
      <c r="I216" s="40" t="str">
        <f>IF(B216="","",VLOOKUP(D216,加弹汇总表!C:E,3,FALSE))</f>
        <v>50网络</v>
      </c>
      <c r="M216" s="177">
        <v>1781.03</v>
      </c>
      <c r="O216" s="191">
        <v>43757</v>
      </c>
      <c r="P216" s="72" t="str">
        <f>IF(B216="","",VLOOKUP(D216,setting!$C$2:$D$30,2,FALSE))</f>
        <v>喷水</v>
      </c>
      <c r="R216" s="30">
        <f t="shared" si="10"/>
        <v>10</v>
      </c>
    </row>
    <row r="217" spans="1:18" outlineLevel="1">
      <c r="A217" s="177" t="str">
        <f t="shared" si="9"/>
        <v>8413275D网络丝132/48黑喷水</v>
      </c>
      <c r="B217" s="177">
        <v>84132</v>
      </c>
      <c r="C217" s="177">
        <v>5</v>
      </c>
      <c r="D217" s="177" t="s">
        <v>866</v>
      </c>
      <c r="E217" s="177" t="s">
        <v>391</v>
      </c>
      <c r="F217" s="177" t="s">
        <v>1</v>
      </c>
      <c r="G217" s="177" t="s">
        <v>136</v>
      </c>
      <c r="H217" s="8" t="str">
        <f t="shared" si="11"/>
        <v>AA</v>
      </c>
      <c r="I217" s="40" t="str">
        <f>IF(B217="","",VLOOKUP(D217,加弹汇总表!C:E,3,FALSE))</f>
        <v>75网络</v>
      </c>
      <c r="M217" s="177">
        <v>1198.0999999999999</v>
      </c>
      <c r="O217" s="191">
        <v>43757</v>
      </c>
      <c r="P217" s="72" t="str">
        <f>IF(B217="","",VLOOKUP(D217,setting!$C$2:$D$30,2,FALSE))</f>
        <v>喷水</v>
      </c>
      <c r="R217" s="30">
        <f t="shared" si="10"/>
        <v>10</v>
      </c>
    </row>
    <row r="218" spans="1:18" outlineLevel="1">
      <c r="A218" s="177" t="str">
        <f t="shared" si="9"/>
        <v>8413275D网络丝132/48黑喷水</v>
      </c>
      <c r="B218" s="177">
        <v>84132</v>
      </c>
      <c r="C218" s="177">
        <v>7</v>
      </c>
      <c r="D218" s="177" t="s">
        <v>866</v>
      </c>
      <c r="E218" s="177" t="s">
        <v>391</v>
      </c>
      <c r="F218" s="177" t="s">
        <v>1</v>
      </c>
      <c r="G218" s="177" t="s">
        <v>136</v>
      </c>
      <c r="H218" s="8" t="str">
        <f t="shared" si="11"/>
        <v>AA</v>
      </c>
      <c r="I218" s="40" t="str">
        <f>IF(B218="","",VLOOKUP(D218,加弹汇总表!C:E,3,FALSE))</f>
        <v>75网络</v>
      </c>
      <c r="M218" s="177">
        <v>1842.57</v>
      </c>
      <c r="O218" s="191">
        <v>43757</v>
      </c>
      <c r="P218" s="72" t="str">
        <f>IF(B218="","",VLOOKUP(D218,setting!$C$2:$D$30,2,FALSE))</f>
        <v>喷水</v>
      </c>
      <c r="R218" s="30">
        <f t="shared" si="10"/>
        <v>10</v>
      </c>
    </row>
    <row r="219" spans="1:18" outlineLevel="1">
      <c r="A219" s="177" t="str">
        <f t="shared" si="9"/>
        <v>S2121150D 135度有温丝89/48白圆机</v>
      </c>
      <c r="B219" s="177" t="s">
        <v>456</v>
      </c>
      <c r="C219" s="177">
        <v>4</v>
      </c>
      <c r="D219" s="177" t="s">
        <v>848</v>
      </c>
      <c r="E219" s="177" t="s">
        <v>455</v>
      </c>
      <c r="F219" s="177" t="s">
        <v>2</v>
      </c>
      <c r="G219" s="177" t="s">
        <v>158</v>
      </c>
      <c r="H219" s="8" t="str">
        <f t="shared" si="11"/>
        <v>AA</v>
      </c>
      <c r="I219" s="40">
        <f>IF(B219="","",VLOOKUP(D219,加弹汇总表!C:E,3,FALSE))</f>
        <v>50</v>
      </c>
      <c r="M219" s="177">
        <v>1168.5</v>
      </c>
      <c r="O219" s="191">
        <v>43758</v>
      </c>
      <c r="P219" s="72" t="str">
        <f>IF(B219="","",VLOOKUP(D219,setting!$C$2:$D$30,2,FALSE))</f>
        <v>圆机</v>
      </c>
      <c r="R219" s="30">
        <f t="shared" si="10"/>
        <v>10</v>
      </c>
    </row>
    <row r="220" spans="1:18" outlineLevel="1">
      <c r="A220" s="177" t="str">
        <f t="shared" si="9"/>
        <v>S2121150D 135度有温丝89/48白圆机</v>
      </c>
      <c r="B220" s="177" t="s">
        <v>456</v>
      </c>
      <c r="C220" s="177">
        <v>2</v>
      </c>
      <c r="D220" s="177" t="s">
        <v>848</v>
      </c>
      <c r="E220" s="177" t="s">
        <v>455</v>
      </c>
      <c r="F220" s="177" t="s">
        <v>2</v>
      </c>
      <c r="G220" s="177" t="s">
        <v>158</v>
      </c>
      <c r="H220" s="8" t="str">
        <f t="shared" si="11"/>
        <v>AA</v>
      </c>
      <c r="I220" s="40">
        <f>IF(B220="","",VLOOKUP(D220,加弹汇总表!C:E,3,FALSE))</f>
        <v>50</v>
      </c>
      <c r="M220" s="177">
        <v>1139</v>
      </c>
      <c r="O220" s="191">
        <v>43758</v>
      </c>
      <c r="P220" s="72" t="str">
        <f>IF(B220="","",VLOOKUP(D220,setting!$C$2:$D$30,2,FALSE))</f>
        <v>圆机</v>
      </c>
      <c r="R220" s="30">
        <f t="shared" si="10"/>
        <v>10</v>
      </c>
    </row>
    <row r="221" spans="1:18" outlineLevel="1">
      <c r="A221" s="177" t="str">
        <f t="shared" si="9"/>
        <v>64009450D94/36黑圆机</v>
      </c>
      <c r="B221" s="177">
        <v>640094</v>
      </c>
      <c r="C221" s="177">
        <v>6</v>
      </c>
      <c r="D221" s="177" t="s">
        <v>850</v>
      </c>
      <c r="E221" s="177" t="s">
        <v>460</v>
      </c>
      <c r="F221" s="177" t="s">
        <v>1</v>
      </c>
      <c r="G221" s="177" t="s">
        <v>136</v>
      </c>
      <c r="H221" s="8" t="str">
        <f t="shared" si="11"/>
        <v>AA</v>
      </c>
      <c r="I221" s="40">
        <f>IF(B221="","",VLOOKUP(D221,加弹汇总表!C:E,3,FALSE))</f>
        <v>50</v>
      </c>
      <c r="M221" s="177">
        <v>614.5</v>
      </c>
      <c r="O221" s="191">
        <v>43758</v>
      </c>
      <c r="P221" s="72" t="str">
        <f>IF(B221="","",VLOOKUP(D221,setting!$C$2:$D$30,2,FALSE))</f>
        <v>圆机</v>
      </c>
      <c r="R221" s="30">
        <f t="shared" si="10"/>
        <v>10</v>
      </c>
    </row>
    <row r="222" spans="1:18" outlineLevel="1">
      <c r="A222" s="177" t="str">
        <f t="shared" si="9"/>
        <v>S2132575D 135度低温丝130/48白圆机</v>
      </c>
      <c r="B222" s="177" t="s">
        <v>384</v>
      </c>
      <c r="C222" s="177">
        <v>4</v>
      </c>
      <c r="D222" s="177" t="s">
        <v>856</v>
      </c>
      <c r="E222" s="177" t="s">
        <v>381</v>
      </c>
      <c r="F222" s="177" t="s">
        <v>2</v>
      </c>
      <c r="G222" s="177" t="s">
        <v>158</v>
      </c>
      <c r="H222" s="8" t="str">
        <f t="shared" si="11"/>
        <v>AA</v>
      </c>
      <c r="I222" s="40">
        <f>IF(B222="","",VLOOKUP(D222,加弹汇总表!C:E,3,FALSE))</f>
        <v>75</v>
      </c>
      <c r="M222" s="177">
        <v>604</v>
      </c>
      <c r="O222" s="191">
        <v>43758</v>
      </c>
      <c r="P222" s="72" t="str">
        <f>IF(B222="","",VLOOKUP(D222,setting!$C$2:$D$30,2,FALSE))</f>
        <v>圆机</v>
      </c>
      <c r="R222" s="30">
        <f t="shared" si="10"/>
        <v>10</v>
      </c>
    </row>
    <row r="223" spans="1:18" outlineLevel="1">
      <c r="A223" s="177" t="str">
        <f t="shared" si="9"/>
        <v>S21102P20D网络丝35/24白喷水</v>
      </c>
      <c r="B223" s="177" t="s">
        <v>438</v>
      </c>
      <c r="C223" s="177">
        <v>3</v>
      </c>
      <c r="D223" s="177" t="s">
        <v>861</v>
      </c>
      <c r="E223" s="177" t="s">
        <v>437</v>
      </c>
      <c r="F223" s="177" t="s">
        <v>2</v>
      </c>
      <c r="G223" s="177" t="s">
        <v>158</v>
      </c>
      <c r="H223" s="8" t="str">
        <f t="shared" si="11"/>
        <v>AA</v>
      </c>
      <c r="I223" s="40" t="str">
        <f>IF(B223="","",VLOOKUP(D223,加弹汇总表!C:E,3,FALSE))</f>
        <v>20网络</v>
      </c>
      <c r="M223" s="177">
        <v>492</v>
      </c>
      <c r="O223" s="191">
        <v>43758</v>
      </c>
      <c r="P223" s="72" t="str">
        <f>IF(B223="","",VLOOKUP(D223,setting!$C$2:$D$30,2,FALSE))</f>
        <v>喷水</v>
      </c>
      <c r="R223" s="30">
        <f t="shared" si="10"/>
        <v>10</v>
      </c>
    </row>
    <row r="224" spans="1:18" outlineLevel="1">
      <c r="A224" s="177" t="str">
        <f t="shared" si="9"/>
        <v>24003620D网络丝36/24黑喷水</v>
      </c>
      <c r="B224" s="177">
        <v>240036</v>
      </c>
      <c r="C224" s="177">
        <v>8</v>
      </c>
      <c r="D224" s="177" t="s">
        <v>861</v>
      </c>
      <c r="E224" s="177" t="s">
        <v>447</v>
      </c>
      <c r="F224" s="177" t="s">
        <v>1</v>
      </c>
      <c r="G224" s="177" t="s">
        <v>136</v>
      </c>
      <c r="H224" s="8" t="str">
        <f t="shared" si="11"/>
        <v>AA</v>
      </c>
      <c r="I224" s="40" t="str">
        <f>IF(B224="","",VLOOKUP(D224,加弹汇总表!C:E,3,FALSE))</f>
        <v>20网络</v>
      </c>
      <c r="M224" s="177">
        <v>296</v>
      </c>
      <c r="O224" s="191">
        <v>43758</v>
      </c>
      <c r="P224" s="72" t="str">
        <f>IF(B224="","",VLOOKUP(D224,setting!$C$2:$D$30,2,FALSE))</f>
        <v>喷水</v>
      </c>
      <c r="R224" s="30">
        <f t="shared" si="10"/>
        <v>10</v>
      </c>
    </row>
    <row r="225" spans="1:18" outlineLevel="1">
      <c r="A225" s="177" t="str">
        <f t="shared" si="9"/>
        <v>24005530D网络丝55/24黑喷水</v>
      </c>
      <c r="B225" s="177">
        <v>240055</v>
      </c>
      <c r="C225" s="177">
        <v>8</v>
      </c>
      <c r="D225" s="177" t="s">
        <v>863</v>
      </c>
      <c r="E225" s="177" t="s">
        <v>452</v>
      </c>
      <c r="F225" s="177" t="s">
        <v>1</v>
      </c>
      <c r="G225" s="177" t="s">
        <v>136</v>
      </c>
      <c r="H225" s="8" t="str">
        <f t="shared" si="11"/>
        <v>AA</v>
      </c>
      <c r="I225" s="40" t="str">
        <f>IF(B225="","",VLOOKUP(D225,加弹汇总表!C:E,3,FALSE))</f>
        <v>30网络</v>
      </c>
      <c r="M225" s="177">
        <v>359.52</v>
      </c>
      <c r="O225" s="191">
        <v>43758</v>
      </c>
      <c r="P225" s="72" t="str">
        <f>IF(B225="","",VLOOKUP(D225,setting!$C$2:$D$30,2,FALSE))</f>
        <v>喷水</v>
      </c>
      <c r="R225" s="30">
        <f t="shared" si="10"/>
        <v>10</v>
      </c>
    </row>
    <row r="226" spans="1:18" outlineLevel="1">
      <c r="A226" s="177" t="str">
        <f t="shared" si="9"/>
        <v>S2121150D网络丝89/48白喷水</v>
      </c>
      <c r="B226" s="177" t="s">
        <v>456</v>
      </c>
      <c r="C226" s="177">
        <v>1</v>
      </c>
      <c r="D226" s="177" t="s">
        <v>865</v>
      </c>
      <c r="E226" s="177" t="s">
        <v>455</v>
      </c>
      <c r="F226" s="177" t="s">
        <v>2</v>
      </c>
      <c r="G226" s="177" t="s">
        <v>158</v>
      </c>
      <c r="H226" s="8" t="str">
        <f t="shared" si="11"/>
        <v>AA</v>
      </c>
      <c r="I226" s="40" t="str">
        <f>IF(B226="","",VLOOKUP(D226,加弹汇总表!C:E,3,FALSE))</f>
        <v>50网络</v>
      </c>
      <c r="M226" s="177">
        <v>1229.2</v>
      </c>
      <c r="O226" s="191">
        <v>43758</v>
      </c>
      <c r="P226" s="72" t="str">
        <f>IF(B226="","",VLOOKUP(D226,setting!$C$2:$D$30,2,FALSE))</f>
        <v>喷水</v>
      </c>
      <c r="R226" s="30">
        <f t="shared" si="10"/>
        <v>10</v>
      </c>
    </row>
    <row r="227" spans="1:18" outlineLevel="1">
      <c r="A227" s="177" t="str">
        <f t="shared" si="9"/>
        <v>64009450D网络丝94/36黑喷水</v>
      </c>
      <c r="B227" s="177">
        <v>640094</v>
      </c>
      <c r="C227" s="177">
        <v>6</v>
      </c>
      <c r="D227" s="177" t="s">
        <v>865</v>
      </c>
      <c r="E227" s="177" t="s">
        <v>460</v>
      </c>
      <c r="F227" s="177" t="s">
        <v>1</v>
      </c>
      <c r="G227" s="177" t="s">
        <v>136</v>
      </c>
      <c r="H227" s="8" t="str">
        <f t="shared" si="11"/>
        <v>AA</v>
      </c>
      <c r="I227" s="40" t="str">
        <f>IF(B227="","",VLOOKUP(D227,加弹汇总表!C:E,3,FALSE))</f>
        <v>50网络</v>
      </c>
      <c r="M227" s="177">
        <v>685.24</v>
      </c>
      <c r="O227" s="191">
        <v>43758</v>
      </c>
      <c r="P227" s="72" t="str">
        <f>IF(B227="","",VLOOKUP(D227,setting!$C$2:$D$30,2,FALSE))</f>
        <v>喷水</v>
      </c>
      <c r="R227" s="30">
        <f t="shared" si="10"/>
        <v>10</v>
      </c>
    </row>
    <row r="228" spans="1:18" outlineLevel="1">
      <c r="A228" s="177" t="str">
        <f t="shared" si="9"/>
        <v>8413275D网络丝132/48黑喷水</v>
      </c>
      <c r="B228" s="177">
        <v>84132</v>
      </c>
      <c r="C228" s="177">
        <v>5</v>
      </c>
      <c r="D228" s="177" t="s">
        <v>866</v>
      </c>
      <c r="E228" s="177" t="s">
        <v>391</v>
      </c>
      <c r="F228" s="177" t="s">
        <v>1</v>
      </c>
      <c r="G228" s="177" t="s">
        <v>136</v>
      </c>
      <c r="H228" s="8" t="str">
        <f t="shared" si="11"/>
        <v>AA</v>
      </c>
      <c r="I228" s="40" t="str">
        <f>IF(B228="","",VLOOKUP(D228,加弹汇总表!C:E,3,FALSE))</f>
        <v>75网络</v>
      </c>
      <c r="M228" s="177">
        <v>1353</v>
      </c>
      <c r="O228" s="191">
        <v>43758</v>
      </c>
      <c r="P228" s="72" t="str">
        <f>IF(B228="","",VLOOKUP(D228,setting!$C$2:$D$30,2,FALSE))</f>
        <v>喷水</v>
      </c>
      <c r="R228" s="30">
        <f t="shared" si="10"/>
        <v>10</v>
      </c>
    </row>
    <row r="229" spans="1:18" outlineLevel="1">
      <c r="A229" s="177" t="str">
        <f t="shared" si="9"/>
        <v>8413275D网络丝132/48黑喷水</v>
      </c>
      <c r="B229" s="177">
        <v>84132</v>
      </c>
      <c r="C229" s="177">
        <v>7</v>
      </c>
      <c r="D229" s="177" t="s">
        <v>866</v>
      </c>
      <c r="E229" s="177" t="s">
        <v>391</v>
      </c>
      <c r="F229" s="177" t="s">
        <v>1</v>
      </c>
      <c r="G229" s="177" t="s">
        <v>136</v>
      </c>
      <c r="H229" s="8" t="str">
        <f t="shared" si="11"/>
        <v>AA</v>
      </c>
      <c r="I229" s="40" t="str">
        <f>IF(B229="","",VLOOKUP(D229,加弹汇总表!C:E,3,FALSE))</f>
        <v>75网络</v>
      </c>
      <c r="M229" s="177">
        <v>1382.52</v>
      </c>
      <c r="O229" s="191">
        <v>43758</v>
      </c>
      <c r="P229" s="72" t="str">
        <f>IF(B229="","",VLOOKUP(D229,setting!$C$2:$D$30,2,FALSE))</f>
        <v>喷水</v>
      </c>
      <c r="R229" s="30">
        <f t="shared" si="10"/>
        <v>10</v>
      </c>
    </row>
    <row r="230" spans="1:18" outlineLevel="1">
      <c r="A230" s="177" t="str">
        <f t="shared" si="9"/>
        <v>S2121150D 135度有温丝89/48白圆机</v>
      </c>
      <c r="B230" s="177" t="s">
        <v>456</v>
      </c>
      <c r="C230" s="177">
        <v>4</v>
      </c>
      <c r="D230" s="177" t="s">
        <v>848</v>
      </c>
      <c r="E230" s="177" t="s">
        <v>455</v>
      </c>
      <c r="F230" s="177" t="s">
        <v>2</v>
      </c>
      <c r="G230" s="177" t="s">
        <v>158</v>
      </c>
      <c r="H230" s="8" t="str">
        <f t="shared" si="11"/>
        <v>AA</v>
      </c>
      <c r="I230" s="40">
        <f>IF(B230="","",VLOOKUP(D230,加弹汇总表!C:E,3,FALSE))</f>
        <v>50</v>
      </c>
      <c r="M230" s="177">
        <v>593</v>
      </c>
      <c r="O230" s="191">
        <v>43759</v>
      </c>
      <c r="P230" s="72" t="str">
        <f>IF(B230="","",VLOOKUP(D230,setting!$C$2:$D$30,2,FALSE))</f>
        <v>圆机</v>
      </c>
      <c r="R230" s="30">
        <f t="shared" si="10"/>
        <v>10</v>
      </c>
    </row>
    <row r="231" spans="1:18" outlineLevel="1">
      <c r="A231" s="177" t="str">
        <f t="shared" si="9"/>
        <v>S2121150D 135度有温丝89/48白圆机</v>
      </c>
      <c r="B231" s="177" t="s">
        <v>456</v>
      </c>
      <c r="C231" s="177">
        <v>2</v>
      </c>
      <c r="D231" s="177" t="s">
        <v>848</v>
      </c>
      <c r="E231" s="177" t="s">
        <v>455</v>
      </c>
      <c r="F231" s="177" t="s">
        <v>2</v>
      </c>
      <c r="G231" s="177" t="s">
        <v>158</v>
      </c>
      <c r="H231" s="8" t="str">
        <f t="shared" si="11"/>
        <v>AA</v>
      </c>
      <c r="I231" s="40">
        <f>IF(B231="","",VLOOKUP(D231,加弹汇总表!C:E,3,FALSE))</f>
        <v>50</v>
      </c>
      <c r="M231" s="177">
        <v>1199.5</v>
      </c>
      <c r="O231" s="191">
        <v>43759</v>
      </c>
      <c r="P231" s="72" t="str">
        <f>IF(B231="","",VLOOKUP(D231,setting!$C$2:$D$30,2,FALSE))</f>
        <v>圆机</v>
      </c>
      <c r="R231" s="30">
        <f t="shared" si="10"/>
        <v>10</v>
      </c>
    </row>
    <row r="232" spans="1:18" outlineLevel="1">
      <c r="A232" s="177" t="str">
        <f t="shared" si="9"/>
        <v>64009450D94/36黑圆机</v>
      </c>
      <c r="B232" s="177">
        <v>640094</v>
      </c>
      <c r="C232" s="177">
        <v>6</v>
      </c>
      <c r="D232" s="177" t="s">
        <v>850</v>
      </c>
      <c r="E232" s="177" t="s">
        <v>460</v>
      </c>
      <c r="F232" s="177" t="s">
        <v>1</v>
      </c>
      <c r="G232" s="177" t="s">
        <v>136</v>
      </c>
      <c r="H232" s="8" t="str">
        <f t="shared" si="11"/>
        <v>AA</v>
      </c>
      <c r="I232" s="40">
        <f>IF(B232="","",VLOOKUP(D232,加弹汇总表!C:E,3,FALSE))</f>
        <v>50</v>
      </c>
      <c r="M232" s="177">
        <v>690.5</v>
      </c>
      <c r="O232" s="191">
        <v>43759</v>
      </c>
      <c r="P232" s="72" t="str">
        <f>IF(B232="","",VLOOKUP(D232,setting!$C$2:$D$30,2,FALSE))</f>
        <v>圆机</v>
      </c>
      <c r="R232" s="30">
        <f t="shared" si="10"/>
        <v>10</v>
      </c>
    </row>
    <row r="233" spans="1:18" outlineLevel="1">
      <c r="A233" s="177" t="str">
        <f t="shared" si="9"/>
        <v>S2132575D 135度低温丝130/48白圆机</v>
      </c>
      <c r="B233" s="177" t="s">
        <v>384</v>
      </c>
      <c r="C233" s="177">
        <v>4</v>
      </c>
      <c r="D233" s="177" t="s">
        <v>856</v>
      </c>
      <c r="E233" s="177" t="s">
        <v>381</v>
      </c>
      <c r="F233" s="177" t="s">
        <v>2</v>
      </c>
      <c r="G233" s="177" t="s">
        <v>158</v>
      </c>
      <c r="H233" s="8" t="str">
        <f t="shared" si="11"/>
        <v>AA</v>
      </c>
      <c r="I233" s="40">
        <f>IF(B233="","",VLOOKUP(D233,加弹汇总表!C:E,3,FALSE))</f>
        <v>75</v>
      </c>
      <c r="M233" s="177">
        <v>1177.5</v>
      </c>
      <c r="O233" s="191">
        <v>43759</v>
      </c>
      <c r="P233" s="72" t="str">
        <f>IF(B233="","",VLOOKUP(D233,setting!$C$2:$D$30,2,FALSE))</f>
        <v>圆机</v>
      </c>
      <c r="R233" s="30">
        <f t="shared" si="10"/>
        <v>10</v>
      </c>
    </row>
    <row r="234" spans="1:18" outlineLevel="1">
      <c r="A234" s="177" t="str">
        <f t="shared" si="9"/>
        <v>S21102P20D网络丝35/24白喷水</v>
      </c>
      <c r="B234" s="177" t="s">
        <v>438</v>
      </c>
      <c r="C234" s="177">
        <v>3</v>
      </c>
      <c r="D234" s="177" t="s">
        <v>861</v>
      </c>
      <c r="E234" s="177" t="s">
        <v>437</v>
      </c>
      <c r="F234" s="177" t="s">
        <v>2</v>
      </c>
      <c r="G234" s="177" t="s">
        <v>158</v>
      </c>
      <c r="H234" s="8" t="str">
        <f t="shared" si="11"/>
        <v>AA</v>
      </c>
      <c r="I234" s="40" t="str">
        <f>IF(B234="","",VLOOKUP(D234,加弹汇总表!C:E,3,FALSE))</f>
        <v>20网络</v>
      </c>
      <c r="M234" s="177">
        <v>385</v>
      </c>
      <c r="O234" s="191">
        <v>43759</v>
      </c>
      <c r="P234" s="72" t="str">
        <f>IF(B234="","",VLOOKUP(D234,setting!$C$2:$D$30,2,FALSE))</f>
        <v>喷水</v>
      </c>
      <c r="R234" s="30">
        <f t="shared" si="10"/>
        <v>10</v>
      </c>
    </row>
    <row r="235" spans="1:18" outlineLevel="1">
      <c r="A235" s="177" t="str">
        <f t="shared" si="9"/>
        <v>24003620D网络丝36/24黑喷水</v>
      </c>
      <c r="B235" s="177">
        <v>240036</v>
      </c>
      <c r="C235" s="177">
        <v>8</v>
      </c>
      <c r="D235" s="177" t="s">
        <v>861</v>
      </c>
      <c r="E235" s="177" t="s">
        <v>447</v>
      </c>
      <c r="F235" s="177" t="s">
        <v>1</v>
      </c>
      <c r="G235" s="177" t="s">
        <v>136</v>
      </c>
      <c r="H235" s="8" t="str">
        <f t="shared" si="11"/>
        <v>AA</v>
      </c>
      <c r="I235" s="40" t="str">
        <f>IF(B235="","",VLOOKUP(D235,加弹汇总表!C:E,3,FALSE))</f>
        <v>20网络</v>
      </c>
      <c r="M235" s="177">
        <v>56</v>
      </c>
      <c r="O235" s="191">
        <v>43759</v>
      </c>
      <c r="P235" s="72" t="str">
        <f>IF(B235="","",VLOOKUP(D235,setting!$C$2:$D$30,2,FALSE))</f>
        <v>喷水</v>
      </c>
      <c r="R235" s="30">
        <f t="shared" si="10"/>
        <v>10</v>
      </c>
    </row>
    <row r="236" spans="1:18" outlineLevel="1">
      <c r="A236" s="177" t="str">
        <f t="shared" si="9"/>
        <v>24005530D网络丝55/24黑喷水</v>
      </c>
      <c r="B236" s="177">
        <v>240055</v>
      </c>
      <c r="C236" s="177">
        <v>8</v>
      </c>
      <c r="D236" s="177" t="s">
        <v>863</v>
      </c>
      <c r="E236" s="177" t="s">
        <v>452</v>
      </c>
      <c r="F236" s="177" t="s">
        <v>1</v>
      </c>
      <c r="G236" s="177" t="s">
        <v>136</v>
      </c>
      <c r="H236" s="8" t="str">
        <f t="shared" si="11"/>
        <v>AA</v>
      </c>
      <c r="I236" s="40" t="str">
        <f>IF(B236="","",VLOOKUP(D236,加弹汇总表!C:E,3,FALSE))</f>
        <v>30网络</v>
      </c>
      <c r="M236" s="177">
        <v>169</v>
      </c>
      <c r="O236" s="191">
        <v>43759</v>
      </c>
      <c r="P236" s="72" t="str">
        <f>IF(B236="","",VLOOKUP(D236,setting!$C$2:$D$30,2,FALSE))</f>
        <v>喷水</v>
      </c>
      <c r="R236" s="30">
        <f t="shared" si="10"/>
        <v>10</v>
      </c>
    </row>
    <row r="237" spans="1:18" outlineLevel="1">
      <c r="A237" s="177" t="str">
        <f t="shared" si="9"/>
        <v>S2121150D网络丝89/48白喷水</v>
      </c>
      <c r="B237" s="177" t="s">
        <v>456</v>
      </c>
      <c r="C237" s="177">
        <v>1</v>
      </c>
      <c r="D237" s="177" t="s">
        <v>865</v>
      </c>
      <c r="E237" s="177" t="s">
        <v>455</v>
      </c>
      <c r="F237" s="177" t="s">
        <v>2</v>
      </c>
      <c r="G237" s="177" t="s">
        <v>158</v>
      </c>
      <c r="H237" s="8" t="str">
        <f t="shared" si="11"/>
        <v>AA</v>
      </c>
      <c r="I237" s="40" t="str">
        <f>IF(B237="","",VLOOKUP(D237,加弹汇总表!C:E,3,FALSE))</f>
        <v>50网络</v>
      </c>
      <c r="M237" s="177">
        <v>1341.27</v>
      </c>
      <c r="O237" s="191">
        <v>43759</v>
      </c>
      <c r="P237" s="72" t="str">
        <f>IF(B237="","",VLOOKUP(D237,setting!$C$2:$D$30,2,FALSE))</f>
        <v>喷水</v>
      </c>
      <c r="R237" s="30">
        <f t="shared" si="10"/>
        <v>10</v>
      </c>
    </row>
    <row r="238" spans="1:18" outlineLevel="1">
      <c r="A238" s="177" t="str">
        <f t="shared" si="9"/>
        <v>64009450D网络丝94/36黑喷水</v>
      </c>
      <c r="B238" s="177">
        <v>640094</v>
      </c>
      <c r="C238" s="177">
        <v>6</v>
      </c>
      <c r="D238" s="177" t="s">
        <v>865</v>
      </c>
      <c r="E238" s="177" t="s">
        <v>460</v>
      </c>
      <c r="F238" s="177" t="s">
        <v>1</v>
      </c>
      <c r="G238" s="177" t="s">
        <v>136</v>
      </c>
      <c r="H238" s="8" t="str">
        <f t="shared" si="11"/>
        <v>AA</v>
      </c>
      <c r="I238" s="40" t="str">
        <f>IF(B238="","",VLOOKUP(D238,加弹汇总表!C:E,3,FALSE))</f>
        <v>50网络</v>
      </c>
      <c r="M238" s="177">
        <v>534.51</v>
      </c>
      <c r="O238" s="191">
        <v>43759</v>
      </c>
      <c r="P238" s="72" t="str">
        <f>IF(B238="","",VLOOKUP(D238,setting!$C$2:$D$30,2,FALSE))</f>
        <v>喷水</v>
      </c>
      <c r="R238" s="30">
        <f t="shared" si="10"/>
        <v>10</v>
      </c>
    </row>
    <row r="239" spans="1:18" outlineLevel="1">
      <c r="A239" s="177" t="str">
        <f t="shared" si="9"/>
        <v>8413275D网络丝132/48黑喷水</v>
      </c>
      <c r="B239" s="177">
        <v>84132</v>
      </c>
      <c r="C239" s="177">
        <v>5</v>
      </c>
      <c r="D239" s="177" t="s">
        <v>866</v>
      </c>
      <c r="E239" s="177" t="s">
        <v>391</v>
      </c>
      <c r="F239" s="177" t="s">
        <v>1</v>
      </c>
      <c r="G239" s="177" t="s">
        <v>136</v>
      </c>
      <c r="H239" s="8" t="str">
        <f t="shared" si="11"/>
        <v>AA</v>
      </c>
      <c r="I239" s="40" t="str">
        <f>IF(B239="","",VLOOKUP(D239,加弹汇总表!C:E,3,FALSE))</f>
        <v>75网络</v>
      </c>
      <c r="M239" s="177">
        <v>1829</v>
      </c>
      <c r="O239" s="191">
        <v>43759</v>
      </c>
      <c r="P239" s="72" t="str">
        <f>IF(B239="","",VLOOKUP(D239,setting!$C$2:$D$30,2,FALSE))</f>
        <v>喷水</v>
      </c>
      <c r="R239" s="30">
        <f t="shared" si="10"/>
        <v>10</v>
      </c>
    </row>
    <row r="240" spans="1:18" outlineLevel="1">
      <c r="A240" s="177" t="str">
        <f t="shared" si="9"/>
        <v>8413275D网络丝132/48黑喷水</v>
      </c>
      <c r="B240" s="177">
        <v>84132</v>
      </c>
      <c r="C240" s="177">
        <v>7</v>
      </c>
      <c r="D240" s="177" t="s">
        <v>866</v>
      </c>
      <c r="E240" s="177" t="s">
        <v>391</v>
      </c>
      <c r="F240" s="177" t="s">
        <v>1</v>
      </c>
      <c r="G240" s="177" t="s">
        <v>136</v>
      </c>
      <c r="H240" s="8" t="str">
        <f t="shared" si="11"/>
        <v>AA</v>
      </c>
      <c r="I240" s="40" t="str">
        <f>IF(B240="","",VLOOKUP(D240,加弹汇总表!C:E,3,FALSE))</f>
        <v>75网络</v>
      </c>
      <c r="M240" s="177">
        <v>1324.93</v>
      </c>
      <c r="O240" s="191">
        <v>43759</v>
      </c>
      <c r="P240" s="72" t="str">
        <f>IF(B240="","",VLOOKUP(D240,setting!$C$2:$D$30,2,FALSE))</f>
        <v>喷水</v>
      </c>
      <c r="R240" s="30">
        <f t="shared" si="10"/>
        <v>10</v>
      </c>
    </row>
    <row r="241" spans="1:18" outlineLevel="1">
      <c r="A241" s="177" t="str">
        <f t="shared" si="9"/>
        <v>S2121150D 135度有温丝89/48白圆机</v>
      </c>
      <c r="B241" s="177" t="s">
        <v>456</v>
      </c>
      <c r="C241" s="177">
        <v>4</v>
      </c>
      <c r="D241" s="177" t="s">
        <v>848</v>
      </c>
      <c r="E241" s="177" t="s">
        <v>455</v>
      </c>
      <c r="F241" s="177" t="s">
        <v>2</v>
      </c>
      <c r="G241" s="177" t="s">
        <v>158</v>
      </c>
      <c r="H241" s="8" t="str">
        <f t="shared" si="11"/>
        <v>AA</v>
      </c>
      <c r="I241" s="40">
        <f>IF(B241="","",VLOOKUP(D241,加弹汇总表!C:E,3,FALSE))</f>
        <v>50</v>
      </c>
      <c r="M241" s="177">
        <v>609</v>
      </c>
      <c r="O241" s="191">
        <v>43760</v>
      </c>
      <c r="P241" s="72" t="str">
        <f>IF(B241="","",VLOOKUP(D241,setting!$C$2:$D$30,2,FALSE))</f>
        <v>圆机</v>
      </c>
      <c r="R241" s="30">
        <f t="shared" si="10"/>
        <v>10</v>
      </c>
    </row>
    <row r="242" spans="1:18" outlineLevel="1">
      <c r="A242" s="177" t="str">
        <f t="shared" si="9"/>
        <v>S2121150D 135度有温丝89/48白圆机</v>
      </c>
      <c r="B242" s="177" t="s">
        <v>456</v>
      </c>
      <c r="C242" s="177">
        <v>2</v>
      </c>
      <c r="D242" s="177" t="s">
        <v>848</v>
      </c>
      <c r="E242" s="177" t="s">
        <v>455</v>
      </c>
      <c r="F242" s="177" t="s">
        <v>2</v>
      </c>
      <c r="G242" s="177" t="s">
        <v>158</v>
      </c>
      <c r="H242" s="8" t="str">
        <f t="shared" si="11"/>
        <v>AA</v>
      </c>
      <c r="I242" s="40">
        <f>IF(B242="","",VLOOKUP(D242,加弹汇总表!C:E,3,FALSE))</f>
        <v>50</v>
      </c>
      <c r="M242" s="177">
        <v>1779</v>
      </c>
      <c r="O242" s="191">
        <v>43760</v>
      </c>
      <c r="P242" s="72" t="str">
        <f>IF(B242="","",VLOOKUP(D242,setting!$C$2:$D$30,2,FALSE))</f>
        <v>圆机</v>
      </c>
      <c r="R242" s="30">
        <f t="shared" si="10"/>
        <v>10</v>
      </c>
    </row>
    <row r="243" spans="1:18" outlineLevel="1">
      <c r="A243" s="177" t="str">
        <f t="shared" si="9"/>
        <v>64009450D94/36黑圆机</v>
      </c>
      <c r="B243" s="177">
        <v>640094</v>
      </c>
      <c r="C243" s="177">
        <v>6</v>
      </c>
      <c r="D243" s="177" t="s">
        <v>850</v>
      </c>
      <c r="E243" s="177" t="s">
        <v>460</v>
      </c>
      <c r="F243" s="177" t="s">
        <v>1</v>
      </c>
      <c r="G243" s="177" t="s">
        <v>136</v>
      </c>
      <c r="H243" s="8" t="str">
        <f t="shared" si="11"/>
        <v>AA</v>
      </c>
      <c r="I243" s="40">
        <f>IF(B243="","",VLOOKUP(D243,加弹汇总表!C:E,3,FALSE))</f>
        <v>50</v>
      </c>
      <c r="M243" s="177">
        <v>603</v>
      </c>
      <c r="O243" s="191">
        <v>43760</v>
      </c>
      <c r="P243" s="72" t="str">
        <f>IF(B243="","",VLOOKUP(D243,setting!$C$2:$D$30,2,FALSE))</f>
        <v>圆机</v>
      </c>
      <c r="R243" s="30">
        <f t="shared" si="10"/>
        <v>10</v>
      </c>
    </row>
    <row r="244" spans="1:18" outlineLevel="1">
      <c r="A244" s="177" t="str">
        <f t="shared" si="9"/>
        <v>S2132575D 135度低温丝130/48白圆机</v>
      </c>
      <c r="B244" s="177" t="s">
        <v>384</v>
      </c>
      <c r="C244" s="177">
        <v>4</v>
      </c>
      <c r="D244" s="177" t="s">
        <v>856</v>
      </c>
      <c r="E244" s="177" t="s">
        <v>381</v>
      </c>
      <c r="F244" s="177" t="s">
        <v>2</v>
      </c>
      <c r="G244" s="177" t="s">
        <v>158</v>
      </c>
      <c r="H244" s="8" t="str">
        <f t="shared" si="11"/>
        <v>AA</v>
      </c>
      <c r="I244" s="40">
        <f>IF(B244="","",VLOOKUP(D244,加弹汇总表!C:E,3,FALSE))</f>
        <v>75</v>
      </c>
      <c r="M244" s="177">
        <v>1191</v>
      </c>
      <c r="O244" s="191">
        <v>43760</v>
      </c>
      <c r="P244" s="72" t="str">
        <f>IF(B244="","",VLOOKUP(D244,setting!$C$2:$D$30,2,FALSE))</f>
        <v>圆机</v>
      </c>
      <c r="R244" s="30">
        <f t="shared" si="10"/>
        <v>10</v>
      </c>
    </row>
    <row r="245" spans="1:18" outlineLevel="1">
      <c r="A245" s="177" t="str">
        <f t="shared" si="9"/>
        <v>S21102P20D网络丝35/24白喷水</v>
      </c>
      <c r="B245" s="177" t="s">
        <v>438</v>
      </c>
      <c r="C245" s="177">
        <v>3</v>
      </c>
      <c r="D245" s="177" t="s">
        <v>861</v>
      </c>
      <c r="E245" s="177" t="s">
        <v>437</v>
      </c>
      <c r="F245" s="177" t="s">
        <v>2</v>
      </c>
      <c r="G245" s="177" t="s">
        <v>158</v>
      </c>
      <c r="H245" s="8" t="str">
        <f t="shared" si="11"/>
        <v>AA</v>
      </c>
      <c r="I245" s="40" t="str">
        <f>IF(B245="","",VLOOKUP(D245,加弹汇总表!C:E,3,FALSE))</f>
        <v>20网络</v>
      </c>
      <c r="M245" s="177">
        <v>656</v>
      </c>
      <c r="O245" s="191">
        <v>43760</v>
      </c>
      <c r="P245" s="72" t="str">
        <f>IF(B245="","",VLOOKUP(D245,setting!$C$2:$D$30,2,FALSE))</f>
        <v>喷水</v>
      </c>
      <c r="R245" s="30">
        <f t="shared" si="10"/>
        <v>10</v>
      </c>
    </row>
    <row r="246" spans="1:18" outlineLevel="1">
      <c r="A246" s="177" t="str">
        <f t="shared" si="9"/>
        <v>24003620D网络丝36/24黑喷水</v>
      </c>
      <c r="B246" s="177">
        <v>240036</v>
      </c>
      <c r="C246" s="177">
        <v>8</v>
      </c>
      <c r="D246" s="177" t="s">
        <v>861</v>
      </c>
      <c r="E246" s="177" t="s">
        <v>447</v>
      </c>
      <c r="F246" s="177" t="s">
        <v>1</v>
      </c>
      <c r="G246" s="177" t="s">
        <v>136</v>
      </c>
      <c r="H246" s="8" t="str">
        <f t="shared" si="11"/>
        <v>AA</v>
      </c>
      <c r="I246" s="40" t="str">
        <f>IF(B246="","",VLOOKUP(D246,加弹汇总表!C:E,3,FALSE))</f>
        <v>20网络</v>
      </c>
      <c r="M246" s="177">
        <v>313</v>
      </c>
      <c r="O246" s="191">
        <v>43760</v>
      </c>
      <c r="P246" s="72" t="str">
        <f>IF(B246="","",VLOOKUP(D246,setting!$C$2:$D$30,2,FALSE))</f>
        <v>喷水</v>
      </c>
      <c r="R246" s="30">
        <f t="shared" si="10"/>
        <v>10</v>
      </c>
    </row>
    <row r="247" spans="1:18" outlineLevel="1">
      <c r="A247" s="177" t="str">
        <f t="shared" si="9"/>
        <v>24005530D网络丝55/24黑喷水</v>
      </c>
      <c r="B247" s="177">
        <v>240055</v>
      </c>
      <c r="C247" s="177">
        <v>8</v>
      </c>
      <c r="D247" s="177" t="s">
        <v>863</v>
      </c>
      <c r="E247" s="177" t="s">
        <v>452</v>
      </c>
      <c r="F247" s="177" t="s">
        <v>1</v>
      </c>
      <c r="G247" s="177" t="s">
        <v>136</v>
      </c>
      <c r="H247" s="8" t="str">
        <f t="shared" si="11"/>
        <v>AA</v>
      </c>
      <c r="I247" s="40" t="str">
        <f>IF(B247="","",VLOOKUP(D247,加弹汇总表!C:E,3,FALSE))</f>
        <v>30网络</v>
      </c>
      <c r="M247" s="177">
        <v>431.59</v>
      </c>
      <c r="O247" s="191">
        <v>43760</v>
      </c>
      <c r="P247" s="72" t="str">
        <f>IF(B247="","",VLOOKUP(D247,setting!$C$2:$D$30,2,FALSE))</f>
        <v>喷水</v>
      </c>
      <c r="R247" s="30">
        <f t="shared" si="10"/>
        <v>10</v>
      </c>
    </row>
    <row r="248" spans="1:18" outlineLevel="1">
      <c r="A248" s="177" t="str">
        <f t="shared" si="9"/>
        <v>S2121150D网络丝89/48白喷水</v>
      </c>
      <c r="B248" s="177" t="s">
        <v>456</v>
      </c>
      <c r="C248" s="177">
        <v>1</v>
      </c>
      <c r="D248" s="177" t="s">
        <v>865</v>
      </c>
      <c r="E248" s="177" t="s">
        <v>455</v>
      </c>
      <c r="F248" s="177" t="s">
        <v>2</v>
      </c>
      <c r="G248" s="177" t="s">
        <v>158</v>
      </c>
      <c r="H248" s="8" t="str">
        <f t="shared" si="11"/>
        <v>AA</v>
      </c>
      <c r="I248" s="40" t="str">
        <f>IF(B248="","",VLOOKUP(D248,加弹汇总表!C:E,3,FALSE))</f>
        <v>50网络</v>
      </c>
      <c r="M248" s="177">
        <v>1117.79</v>
      </c>
      <c r="O248" s="191">
        <v>43760</v>
      </c>
      <c r="P248" s="72" t="str">
        <f>IF(B248="","",VLOOKUP(D248,setting!$C$2:$D$30,2,FALSE))</f>
        <v>喷水</v>
      </c>
      <c r="R248" s="30">
        <f t="shared" si="10"/>
        <v>10</v>
      </c>
    </row>
    <row r="249" spans="1:18" outlineLevel="1">
      <c r="A249" s="177" t="str">
        <f t="shared" si="9"/>
        <v>64009450D网络丝94/36黑喷水</v>
      </c>
      <c r="B249" s="177">
        <v>640094</v>
      </c>
      <c r="C249" s="177">
        <v>6</v>
      </c>
      <c r="D249" s="177" t="s">
        <v>865</v>
      </c>
      <c r="E249" s="177" t="s">
        <v>460</v>
      </c>
      <c r="F249" s="177" t="s">
        <v>1</v>
      </c>
      <c r="G249" s="177" t="s">
        <v>136</v>
      </c>
      <c r="H249" s="8" t="str">
        <f t="shared" si="11"/>
        <v>AA</v>
      </c>
      <c r="I249" s="40" t="str">
        <f>IF(B249="","",VLOOKUP(D249,加弹汇总表!C:E,3,FALSE))</f>
        <v>50网络</v>
      </c>
      <c r="M249" s="177">
        <v>710.09</v>
      </c>
      <c r="O249" s="191">
        <v>43760</v>
      </c>
      <c r="P249" s="72" t="str">
        <f>IF(B249="","",VLOOKUP(D249,setting!$C$2:$D$30,2,FALSE))</f>
        <v>喷水</v>
      </c>
      <c r="R249" s="30">
        <f t="shared" si="10"/>
        <v>10</v>
      </c>
    </row>
    <row r="250" spans="1:18" outlineLevel="1">
      <c r="A250" s="177" t="str">
        <f t="shared" si="9"/>
        <v>8413275D网络丝132/48黑喷水</v>
      </c>
      <c r="B250" s="177">
        <v>84132</v>
      </c>
      <c r="C250" s="177">
        <v>5</v>
      </c>
      <c r="D250" s="177" t="s">
        <v>866</v>
      </c>
      <c r="E250" s="177" t="s">
        <v>391</v>
      </c>
      <c r="F250" s="177" t="s">
        <v>1</v>
      </c>
      <c r="G250" s="177" t="s">
        <v>136</v>
      </c>
      <c r="H250" s="8" t="str">
        <f t="shared" si="11"/>
        <v>AA</v>
      </c>
      <c r="I250" s="40" t="str">
        <f>IF(B250="","",VLOOKUP(D250,加弹汇总表!C:E,3,FALSE))</f>
        <v>75网络</v>
      </c>
      <c r="M250" s="177">
        <v>1879</v>
      </c>
      <c r="O250" s="191">
        <v>43760</v>
      </c>
      <c r="P250" s="72" t="str">
        <f>IF(B250="","",VLOOKUP(D250,setting!$C$2:$D$30,2,FALSE))</f>
        <v>喷水</v>
      </c>
      <c r="R250" s="30">
        <f t="shared" si="10"/>
        <v>10</v>
      </c>
    </row>
    <row r="251" spans="1:18" outlineLevel="1">
      <c r="A251" s="177" t="str">
        <f t="shared" si="9"/>
        <v>8413275D网络丝132/48黑喷水</v>
      </c>
      <c r="B251" s="177">
        <v>84132</v>
      </c>
      <c r="C251" s="177">
        <v>7</v>
      </c>
      <c r="D251" s="177" t="s">
        <v>866</v>
      </c>
      <c r="E251" s="177" t="s">
        <v>391</v>
      </c>
      <c r="F251" s="177" t="s">
        <v>1</v>
      </c>
      <c r="G251" s="177" t="s">
        <v>136</v>
      </c>
      <c r="H251" s="8" t="str">
        <f t="shared" si="11"/>
        <v>AA</v>
      </c>
      <c r="I251" s="40" t="str">
        <f>IF(B251="","",VLOOKUP(D251,加弹汇总表!C:E,3,FALSE))</f>
        <v>75网络</v>
      </c>
      <c r="M251" s="177">
        <v>1735</v>
      </c>
      <c r="O251" s="191">
        <v>43760</v>
      </c>
      <c r="P251" s="72" t="str">
        <f>IF(B251="","",VLOOKUP(D251,setting!$C$2:$D$30,2,FALSE))</f>
        <v>喷水</v>
      </c>
      <c r="R251" s="30">
        <f t="shared" si="10"/>
        <v>10</v>
      </c>
    </row>
    <row r="252" spans="1:18" outlineLevel="1">
      <c r="A252" s="177" t="str">
        <f t="shared" si="9"/>
        <v>S2121150D 135度有温丝89/48白圆机</v>
      </c>
      <c r="B252" s="177" t="s">
        <v>456</v>
      </c>
      <c r="C252" s="177">
        <v>4</v>
      </c>
      <c r="D252" s="177" t="s">
        <v>848</v>
      </c>
      <c r="E252" s="177" t="s">
        <v>455</v>
      </c>
      <c r="F252" s="177" t="s">
        <v>2</v>
      </c>
      <c r="G252" s="177" t="s">
        <v>158</v>
      </c>
      <c r="H252" s="8" t="str">
        <f t="shared" si="11"/>
        <v>AA</v>
      </c>
      <c r="I252" s="40">
        <f>IF(B252="","",VLOOKUP(D252,加弹汇总表!C:E,3,FALSE))</f>
        <v>50</v>
      </c>
      <c r="M252" s="177">
        <v>600</v>
      </c>
      <c r="O252" s="191">
        <v>43761</v>
      </c>
      <c r="P252" s="72" t="str">
        <f>IF(B252="","",VLOOKUP(D252,setting!$C$2:$D$30,2,FALSE))</f>
        <v>圆机</v>
      </c>
      <c r="R252" s="30">
        <f t="shared" si="10"/>
        <v>10</v>
      </c>
    </row>
    <row r="253" spans="1:18" outlineLevel="1">
      <c r="A253" s="177" t="str">
        <f t="shared" si="9"/>
        <v>S2121150D 135度有温丝89/48白圆机</v>
      </c>
      <c r="B253" s="177" t="s">
        <v>456</v>
      </c>
      <c r="C253" s="177">
        <v>2</v>
      </c>
      <c r="D253" s="177" t="s">
        <v>848</v>
      </c>
      <c r="E253" s="177" t="s">
        <v>455</v>
      </c>
      <c r="F253" s="177" t="s">
        <v>2</v>
      </c>
      <c r="G253" s="177" t="s">
        <v>158</v>
      </c>
      <c r="H253" s="8" t="str">
        <f t="shared" si="11"/>
        <v>AA</v>
      </c>
      <c r="I253" s="40">
        <f>IF(B253="","",VLOOKUP(D253,加弹汇总表!C:E,3,FALSE))</f>
        <v>50</v>
      </c>
      <c r="M253" s="177">
        <v>1300</v>
      </c>
      <c r="O253" s="191">
        <v>43761</v>
      </c>
      <c r="P253" s="72" t="str">
        <f>IF(B253="","",VLOOKUP(D253,setting!$C$2:$D$30,2,FALSE))</f>
        <v>圆机</v>
      </c>
      <c r="R253" s="30">
        <f t="shared" si="10"/>
        <v>10</v>
      </c>
    </row>
    <row r="254" spans="1:18" outlineLevel="1">
      <c r="A254" s="177" t="str">
        <f t="shared" si="9"/>
        <v>3260550D104/36白无温圆机</v>
      </c>
      <c r="B254" s="177">
        <v>32605</v>
      </c>
      <c r="C254" s="177">
        <v>1</v>
      </c>
      <c r="D254" s="206" t="s">
        <v>2346</v>
      </c>
      <c r="E254" s="177" t="s">
        <v>368</v>
      </c>
      <c r="F254" s="206" t="s">
        <v>2344</v>
      </c>
      <c r="G254" s="177" t="s">
        <v>146</v>
      </c>
      <c r="H254" s="8" t="str">
        <f t="shared" si="11"/>
        <v>AA</v>
      </c>
      <c r="I254" s="40">
        <f>IF(B254="","",VLOOKUP(D254,加弹汇总表!C:E,3,FALSE))</f>
        <v>50</v>
      </c>
      <c r="M254" s="177">
        <v>583</v>
      </c>
      <c r="O254" s="191">
        <v>43761</v>
      </c>
      <c r="P254" s="72" t="str">
        <f>IF(B254="","",VLOOKUP(D254,setting!$C$2:$D$30,2,FALSE))</f>
        <v>圆机</v>
      </c>
      <c r="R254" s="30">
        <f t="shared" si="10"/>
        <v>10</v>
      </c>
    </row>
    <row r="255" spans="1:18" outlineLevel="1">
      <c r="A255" s="177" t="str">
        <f t="shared" si="9"/>
        <v>64009450D94/36黑圆机</v>
      </c>
      <c r="B255" s="177">
        <v>640094</v>
      </c>
      <c r="C255" s="177">
        <v>6</v>
      </c>
      <c r="D255" s="177" t="s">
        <v>850</v>
      </c>
      <c r="E255" s="177" t="s">
        <v>460</v>
      </c>
      <c r="F255" s="177" t="s">
        <v>1</v>
      </c>
      <c r="G255" s="177" t="s">
        <v>136</v>
      </c>
      <c r="H255" s="8" t="str">
        <f t="shared" si="11"/>
        <v>AA</v>
      </c>
      <c r="I255" s="40">
        <f>IF(B255="","",VLOOKUP(D255,加弹汇总表!C:E,3,FALSE))</f>
        <v>50</v>
      </c>
      <c r="M255" s="177">
        <v>570</v>
      </c>
      <c r="O255" s="191">
        <v>43761</v>
      </c>
      <c r="P255" s="72" t="str">
        <f>IF(B255="","",VLOOKUP(D255,setting!$C$2:$D$30,2,FALSE))</f>
        <v>圆机</v>
      </c>
      <c r="R255" s="30">
        <f t="shared" si="10"/>
        <v>10</v>
      </c>
    </row>
    <row r="256" spans="1:18" outlineLevel="1">
      <c r="A256" s="177" t="str">
        <f t="shared" si="9"/>
        <v>S2132575D 135度低温丝130/48白圆机</v>
      </c>
      <c r="B256" s="177" t="s">
        <v>384</v>
      </c>
      <c r="C256" s="177">
        <v>4</v>
      </c>
      <c r="D256" s="177" t="s">
        <v>856</v>
      </c>
      <c r="E256" s="177" t="s">
        <v>381</v>
      </c>
      <c r="F256" s="177" t="s">
        <v>2</v>
      </c>
      <c r="G256" s="177" t="s">
        <v>158</v>
      </c>
      <c r="H256" s="8" t="str">
        <f t="shared" si="11"/>
        <v>AA</v>
      </c>
      <c r="I256" s="40">
        <f>IF(B256="","",VLOOKUP(D256,加弹汇总表!C:E,3,FALSE))</f>
        <v>75</v>
      </c>
      <c r="M256" s="177">
        <v>1188.5</v>
      </c>
      <c r="O256" s="191">
        <v>43761</v>
      </c>
      <c r="P256" s="72" t="str">
        <f>IF(B256="","",VLOOKUP(D256,setting!$C$2:$D$30,2,FALSE))</f>
        <v>圆机</v>
      </c>
      <c r="R256" s="30">
        <f t="shared" si="10"/>
        <v>10</v>
      </c>
    </row>
    <row r="257" spans="1:18" outlineLevel="1">
      <c r="A257" s="177" t="str">
        <f t="shared" si="9"/>
        <v>S21102P20D网络丝35/24白喷水</v>
      </c>
      <c r="B257" s="177" t="s">
        <v>438</v>
      </c>
      <c r="C257" s="177">
        <v>3</v>
      </c>
      <c r="D257" s="177" t="s">
        <v>861</v>
      </c>
      <c r="E257" s="177" t="s">
        <v>437</v>
      </c>
      <c r="F257" s="177" t="s">
        <v>2</v>
      </c>
      <c r="G257" s="177" t="s">
        <v>158</v>
      </c>
      <c r="H257" s="8" t="str">
        <f t="shared" si="11"/>
        <v>AA</v>
      </c>
      <c r="I257" s="40" t="str">
        <f>IF(B257="","",VLOOKUP(D257,加弹汇总表!C:E,3,FALSE))</f>
        <v>20网络</v>
      </c>
      <c r="M257" s="177">
        <v>379</v>
      </c>
      <c r="O257" s="191">
        <v>43761</v>
      </c>
      <c r="P257" s="72" t="str">
        <f>IF(B257="","",VLOOKUP(D257,setting!$C$2:$D$30,2,FALSE))</f>
        <v>喷水</v>
      </c>
      <c r="R257" s="30">
        <f t="shared" si="10"/>
        <v>10</v>
      </c>
    </row>
    <row r="258" spans="1:18" outlineLevel="1">
      <c r="A258" s="177" t="str">
        <f t="shared" ref="A258:A321" si="12">B258&amp;D258&amp;E258&amp;F258&amp;P258</f>
        <v>24003620D网络丝36/24黑喷水</v>
      </c>
      <c r="B258" s="177">
        <v>240036</v>
      </c>
      <c r="C258" s="177">
        <v>8</v>
      </c>
      <c r="D258" s="177" t="s">
        <v>861</v>
      </c>
      <c r="E258" s="177" t="s">
        <v>447</v>
      </c>
      <c r="F258" s="177" t="s">
        <v>1</v>
      </c>
      <c r="G258" s="177" t="s">
        <v>136</v>
      </c>
      <c r="H258" s="8" t="str">
        <f t="shared" si="11"/>
        <v>AA</v>
      </c>
      <c r="I258" s="40" t="str">
        <f>IF(B258="","",VLOOKUP(D258,加弹汇总表!C:E,3,FALSE))</f>
        <v>20网络</v>
      </c>
      <c r="M258" s="177">
        <v>227</v>
      </c>
      <c r="O258" s="191">
        <v>43761</v>
      </c>
      <c r="P258" s="72" t="str">
        <f>IF(B258="","",VLOOKUP(D258,setting!$C$2:$D$30,2,FALSE))</f>
        <v>喷水</v>
      </c>
      <c r="R258" s="30">
        <f t="shared" ref="R258:R321" si="13">IF(O258="","",MONTH(O258))</f>
        <v>10</v>
      </c>
    </row>
    <row r="259" spans="1:18" outlineLevel="1">
      <c r="A259" s="177" t="str">
        <f t="shared" si="12"/>
        <v>24005530D网络丝55/24黑喷水</v>
      </c>
      <c r="B259" s="177">
        <v>240055</v>
      </c>
      <c r="C259" s="177">
        <v>8</v>
      </c>
      <c r="D259" s="177" t="s">
        <v>863</v>
      </c>
      <c r="E259" s="177" t="s">
        <v>452</v>
      </c>
      <c r="F259" s="177" t="s">
        <v>1</v>
      </c>
      <c r="G259" s="177" t="s">
        <v>136</v>
      </c>
      <c r="H259" s="8" t="str">
        <f t="shared" si="11"/>
        <v>AA</v>
      </c>
      <c r="I259" s="40" t="str">
        <f>IF(B259="","",VLOOKUP(D259,加弹汇总表!C:E,3,FALSE))</f>
        <v>30网络</v>
      </c>
      <c r="M259" s="177">
        <v>160</v>
      </c>
      <c r="O259" s="191">
        <v>43761</v>
      </c>
      <c r="P259" s="72" t="str">
        <f>IF(B259="","",VLOOKUP(D259,setting!$C$2:$D$30,2,FALSE))</f>
        <v>喷水</v>
      </c>
      <c r="R259" s="30">
        <f t="shared" si="13"/>
        <v>10</v>
      </c>
    </row>
    <row r="260" spans="1:18" outlineLevel="1">
      <c r="A260" s="177" t="str">
        <f t="shared" si="12"/>
        <v>S2121150D网络丝89/48白喷水</v>
      </c>
      <c r="B260" s="177" t="s">
        <v>456</v>
      </c>
      <c r="C260" s="177">
        <v>1</v>
      </c>
      <c r="D260" s="177" t="s">
        <v>865</v>
      </c>
      <c r="E260" s="177" t="s">
        <v>455</v>
      </c>
      <c r="F260" s="177" t="s">
        <v>2</v>
      </c>
      <c r="G260" s="177" t="s">
        <v>158</v>
      </c>
      <c r="H260" s="8" t="str">
        <f t="shared" ref="H260:H323" si="14">IF(B260="","","AA")</f>
        <v>AA</v>
      </c>
      <c r="I260" s="40" t="str">
        <f>IF(B260="","",VLOOKUP(D260,加弹汇总表!C:E,3,FALSE))</f>
        <v>50网络</v>
      </c>
      <c r="M260" s="177">
        <v>626.35</v>
      </c>
      <c r="O260" s="191">
        <v>43761</v>
      </c>
      <c r="P260" s="72" t="str">
        <f>IF(B260="","",VLOOKUP(D260,setting!$C$2:$D$30,2,FALSE))</f>
        <v>喷水</v>
      </c>
      <c r="R260" s="30">
        <f t="shared" si="13"/>
        <v>10</v>
      </c>
    </row>
    <row r="261" spans="1:18" outlineLevel="1">
      <c r="A261" s="177" t="str">
        <f t="shared" si="12"/>
        <v>64009450D网络丝94/36黑喷水</v>
      </c>
      <c r="B261" s="177">
        <v>640094</v>
      </c>
      <c r="C261" s="177">
        <v>6</v>
      </c>
      <c r="D261" s="177" t="s">
        <v>865</v>
      </c>
      <c r="E261" s="177" t="s">
        <v>460</v>
      </c>
      <c r="F261" s="177" t="s">
        <v>1</v>
      </c>
      <c r="G261" s="177" t="s">
        <v>136</v>
      </c>
      <c r="H261" s="8" t="str">
        <f t="shared" si="14"/>
        <v>AA</v>
      </c>
      <c r="I261" s="40" t="str">
        <f>IF(B261="","",VLOOKUP(D261,加弹汇总表!C:E,3,FALSE))</f>
        <v>50网络</v>
      </c>
      <c r="M261" s="177">
        <v>565.84</v>
      </c>
      <c r="O261" s="191">
        <v>43761</v>
      </c>
      <c r="P261" s="72" t="str">
        <f>IF(B261="","",VLOOKUP(D261,setting!$C$2:$D$30,2,FALSE))</f>
        <v>喷水</v>
      </c>
      <c r="R261" s="30">
        <f t="shared" si="13"/>
        <v>10</v>
      </c>
    </row>
    <row r="262" spans="1:18" outlineLevel="1">
      <c r="A262" s="177" t="str">
        <f t="shared" si="12"/>
        <v>8413275D网络丝132/48黑喷水</v>
      </c>
      <c r="B262" s="177">
        <v>84132</v>
      </c>
      <c r="C262" s="177">
        <v>5</v>
      </c>
      <c r="D262" s="177" t="s">
        <v>866</v>
      </c>
      <c r="E262" s="177" t="s">
        <v>391</v>
      </c>
      <c r="F262" s="177" t="s">
        <v>1</v>
      </c>
      <c r="G262" s="177" t="s">
        <v>136</v>
      </c>
      <c r="H262" s="8" t="str">
        <f t="shared" si="14"/>
        <v>AA</v>
      </c>
      <c r="I262" s="40" t="str">
        <f>IF(B262="","",VLOOKUP(D262,加弹汇总表!C:E,3,FALSE))</f>
        <v>75网络</v>
      </c>
      <c r="M262" s="177">
        <v>1218</v>
      </c>
      <c r="O262" s="191">
        <v>43761</v>
      </c>
      <c r="P262" s="72" t="str">
        <f>IF(B262="","",VLOOKUP(D262,setting!$C$2:$D$30,2,FALSE))</f>
        <v>喷水</v>
      </c>
      <c r="R262" s="30">
        <f t="shared" si="13"/>
        <v>10</v>
      </c>
    </row>
    <row r="263" spans="1:18" outlineLevel="1">
      <c r="A263" s="177" t="str">
        <f t="shared" si="12"/>
        <v>8413275D网络丝132/48黑喷水</v>
      </c>
      <c r="B263" s="177">
        <v>84132</v>
      </c>
      <c r="C263" s="177">
        <v>7</v>
      </c>
      <c r="D263" s="177" t="s">
        <v>866</v>
      </c>
      <c r="E263" s="177" t="s">
        <v>391</v>
      </c>
      <c r="F263" s="177" t="s">
        <v>1</v>
      </c>
      <c r="G263" s="177" t="s">
        <v>136</v>
      </c>
      <c r="H263" s="8" t="str">
        <f t="shared" si="14"/>
        <v>AA</v>
      </c>
      <c r="I263" s="40" t="str">
        <f>IF(B263="","",VLOOKUP(D263,加弹汇总表!C:E,3,FALSE))</f>
        <v>75网络</v>
      </c>
      <c r="M263" s="177">
        <v>1948.23</v>
      </c>
      <c r="O263" s="191">
        <v>43761</v>
      </c>
      <c r="P263" s="72" t="str">
        <f>IF(B263="","",VLOOKUP(D263,setting!$C$2:$D$30,2,FALSE))</f>
        <v>喷水</v>
      </c>
      <c r="R263" s="30">
        <f t="shared" si="13"/>
        <v>10</v>
      </c>
    </row>
    <row r="264" spans="1:18" outlineLevel="1">
      <c r="A264" s="177" t="str">
        <f t="shared" si="12"/>
        <v>S2121150D 135度有温丝89/48白圆机</v>
      </c>
      <c r="B264" s="177" t="s">
        <v>456</v>
      </c>
      <c r="C264" s="177">
        <v>4</v>
      </c>
      <c r="D264" s="177" t="s">
        <v>848</v>
      </c>
      <c r="E264" s="177" t="s">
        <v>455</v>
      </c>
      <c r="F264" s="177" t="s">
        <v>2</v>
      </c>
      <c r="G264" s="177" t="s">
        <v>158</v>
      </c>
      <c r="H264" s="8" t="str">
        <f t="shared" si="14"/>
        <v>AA</v>
      </c>
      <c r="I264" s="40">
        <f>IF(B264="","",VLOOKUP(D264,加弹汇总表!C:E,3,FALSE))</f>
        <v>50</v>
      </c>
      <c r="M264" s="177">
        <v>578</v>
      </c>
      <c r="O264" s="191">
        <v>43762</v>
      </c>
      <c r="P264" s="72" t="str">
        <f>IF(B264="","",VLOOKUP(D264,setting!$C$2:$D$30,2,FALSE))</f>
        <v>圆机</v>
      </c>
      <c r="R264" s="30">
        <f t="shared" si="13"/>
        <v>10</v>
      </c>
    </row>
    <row r="265" spans="1:18" outlineLevel="1">
      <c r="A265" s="177" t="str">
        <f t="shared" si="12"/>
        <v>S2121150D 135度有温丝89/48白圆机</v>
      </c>
      <c r="B265" s="177" t="s">
        <v>456</v>
      </c>
      <c r="C265" s="177">
        <v>2</v>
      </c>
      <c r="D265" s="177" t="s">
        <v>848</v>
      </c>
      <c r="E265" s="177" t="s">
        <v>455</v>
      </c>
      <c r="F265" s="177" t="s">
        <v>2</v>
      </c>
      <c r="G265" s="177" t="s">
        <v>158</v>
      </c>
      <c r="H265" s="8" t="str">
        <f t="shared" si="14"/>
        <v>AA</v>
      </c>
      <c r="I265" s="40">
        <f>IF(B265="","",VLOOKUP(D265,加弹汇总表!C:E,3,FALSE))</f>
        <v>50</v>
      </c>
      <c r="M265" s="177">
        <v>1204.5</v>
      </c>
      <c r="O265" s="191">
        <v>43762</v>
      </c>
      <c r="P265" s="72" t="str">
        <f>IF(B265="","",VLOOKUP(D265,setting!$C$2:$D$30,2,FALSE))</f>
        <v>圆机</v>
      </c>
      <c r="R265" s="30">
        <f t="shared" si="13"/>
        <v>10</v>
      </c>
    </row>
    <row r="266" spans="1:18" outlineLevel="1">
      <c r="A266" s="177" t="str">
        <f t="shared" si="12"/>
        <v>3260550D无温丝104/36白无温圆机</v>
      </c>
      <c r="B266" s="177">
        <v>32605</v>
      </c>
      <c r="C266" s="177">
        <v>1</v>
      </c>
      <c r="D266" s="177" t="s">
        <v>871</v>
      </c>
      <c r="E266" s="177" t="s">
        <v>368</v>
      </c>
      <c r="F266" s="206" t="s">
        <v>2344</v>
      </c>
      <c r="G266" s="177" t="s">
        <v>146</v>
      </c>
      <c r="H266" s="8" t="str">
        <f t="shared" si="14"/>
        <v>AA</v>
      </c>
      <c r="I266" s="40">
        <f>IF(B266="","",VLOOKUP(D266,加弹汇总表!C:E,3,FALSE))</f>
        <v>50</v>
      </c>
      <c r="M266" s="177">
        <v>643.5</v>
      </c>
      <c r="O266" s="191">
        <v>43762</v>
      </c>
      <c r="P266" s="72" t="str">
        <f>IF(B266="","",VLOOKUP(D266,setting!$C$2:$D$30,2,FALSE))</f>
        <v>圆机</v>
      </c>
      <c r="R266" s="30">
        <f t="shared" si="13"/>
        <v>10</v>
      </c>
    </row>
    <row r="267" spans="1:18" outlineLevel="1">
      <c r="A267" s="177" t="str">
        <f t="shared" si="12"/>
        <v>64009450D94/36黑圆机</v>
      </c>
      <c r="B267" s="177">
        <v>640094</v>
      </c>
      <c r="C267" s="177">
        <v>6</v>
      </c>
      <c r="D267" s="177" t="s">
        <v>850</v>
      </c>
      <c r="E267" s="177" t="s">
        <v>460</v>
      </c>
      <c r="F267" s="177" t="s">
        <v>1</v>
      </c>
      <c r="G267" s="177" t="s">
        <v>136</v>
      </c>
      <c r="H267" s="8" t="str">
        <f t="shared" si="14"/>
        <v>AA</v>
      </c>
      <c r="I267" s="40">
        <f>IF(B267="","",VLOOKUP(D267,加弹汇总表!C:E,3,FALSE))</f>
        <v>50</v>
      </c>
      <c r="M267" s="177">
        <v>595</v>
      </c>
      <c r="O267" s="191">
        <v>43762</v>
      </c>
      <c r="P267" s="72" t="str">
        <f>IF(B267="","",VLOOKUP(D267,setting!$C$2:$D$30,2,FALSE))</f>
        <v>圆机</v>
      </c>
      <c r="R267" s="30">
        <f t="shared" si="13"/>
        <v>10</v>
      </c>
    </row>
    <row r="268" spans="1:18" outlineLevel="1">
      <c r="A268" s="177" t="str">
        <f t="shared" si="12"/>
        <v>S2132575D 135度低温丝130/48白圆机</v>
      </c>
      <c r="B268" s="177" t="s">
        <v>384</v>
      </c>
      <c r="C268" s="177">
        <v>4</v>
      </c>
      <c r="D268" s="177" t="s">
        <v>856</v>
      </c>
      <c r="E268" s="177" t="s">
        <v>381</v>
      </c>
      <c r="F268" s="177" t="s">
        <v>2</v>
      </c>
      <c r="G268" s="177" t="s">
        <v>158</v>
      </c>
      <c r="H268" s="8" t="str">
        <f t="shared" si="14"/>
        <v>AA</v>
      </c>
      <c r="I268" s="40">
        <f>IF(B268="","",VLOOKUP(D268,加弹汇总表!C:E,3,FALSE))</f>
        <v>75</v>
      </c>
      <c r="M268" s="177">
        <v>584</v>
      </c>
      <c r="O268" s="191">
        <v>43762</v>
      </c>
      <c r="P268" s="72" t="str">
        <f>IF(B268="","",VLOOKUP(D268,setting!$C$2:$D$30,2,FALSE))</f>
        <v>圆机</v>
      </c>
      <c r="R268" s="30">
        <f t="shared" si="13"/>
        <v>10</v>
      </c>
    </row>
    <row r="269" spans="1:18" outlineLevel="1">
      <c r="A269" s="177" t="str">
        <f t="shared" si="12"/>
        <v>S21102P20D网络丝35/24白喷水</v>
      </c>
      <c r="B269" s="177" t="s">
        <v>438</v>
      </c>
      <c r="C269" s="177">
        <v>3</v>
      </c>
      <c r="D269" s="177" t="s">
        <v>861</v>
      </c>
      <c r="E269" s="177" t="s">
        <v>437</v>
      </c>
      <c r="F269" s="177" t="s">
        <v>2</v>
      </c>
      <c r="G269" s="177" t="s">
        <v>158</v>
      </c>
      <c r="H269" s="8" t="str">
        <f t="shared" si="14"/>
        <v>AA</v>
      </c>
      <c r="I269" s="40" t="str">
        <f>IF(B269="","",VLOOKUP(D269,加弹汇总表!C:E,3,FALSE))</f>
        <v>20网络</v>
      </c>
      <c r="M269" s="177">
        <v>598</v>
      </c>
      <c r="O269" s="191">
        <v>43762</v>
      </c>
      <c r="P269" s="72" t="str">
        <f>IF(B269="","",VLOOKUP(D269,setting!$C$2:$D$30,2,FALSE))</f>
        <v>喷水</v>
      </c>
      <c r="R269" s="30">
        <f t="shared" si="13"/>
        <v>10</v>
      </c>
    </row>
    <row r="270" spans="1:18" outlineLevel="1">
      <c r="A270" s="177" t="str">
        <f t="shared" si="12"/>
        <v>24003620D网络丝36/24黑喷水</v>
      </c>
      <c r="B270" s="177">
        <v>240036</v>
      </c>
      <c r="C270" s="177">
        <v>8</v>
      </c>
      <c r="D270" s="177" t="s">
        <v>861</v>
      </c>
      <c r="E270" s="177" t="s">
        <v>447</v>
      </c>
      <c r="F270" s="177" t="s">
        <v>1</v>
      </c>
      <c r="G270" s="177" t="s">
        <v>136</v>
      </c>
      <c r="H270" s="8" t="str">
        <f t="shared" si="14"/>
        <v>AA</v>
      </c>
      <c r="I270" s="40" t="str">
        <f>IF(B270="","",VLOOKUP(D270,加弹汇总表!C:E,3,FALSE))</f>
        <v>20网络</v>
      </c>
      <c r="M270" s="177">
        <v>368.1</v>
      </c>
      <c r="O270" s="191">
        <v>43762</v>
      </c>
      <c r="P270" s="72" t="str">
        <f>IF(B270="","",VLOOKUP(D270,setting!$C$2:$D$30,2,FALSE))</f>
        <v>喷水</v>
      </c>
      <c r="R270" s="30">
        <f t="shared" si="13"/>
        <v>10</v>
      </c>
    </row>
    <row r="271" spans="1:18" outlineLevel="1">
      <c r="A271" s="177" t="str">
        <f t="shared" si="12"/>
        <v>64009450D网络丝94/36黑喷水</v>
      </c>
      <c r="B271" s="177">
        <v>640094</v>
      </c>
      <c r="C271" s="177">
        <v>6</v>
      </c>
      <c r="D271" s="177" t="s">
        <v>865</v>
      </c>
      <c r="E271" s="177" t="s">
        <v>460</v>
      </c>
      <c r="F271" s="177" t="s">
        <v>1</v>
      </c>
      <c r="G271" s="177" t="s">
        <v>136</v>
      </c>
      <c r="H271" s="8" t="str">
        <f t="shared" si="14"/>
        <v>AA</v>
      </c>
      <c r="I271" s="40" t="str">
        <f>IF(B271="","",VLOOKUP(D271,加弹汇总表!C:E,3,FALSE))</f>
        <v>50网络</v>
      </c>
      <c r="M271" s="177">
        <v>694.28</v>
      </c>
      <c r="O271" s="191">
        <v>43762</v>
      </c>
      <c r="P271" s="72" t="str">
        <f>IF(B271="","",VLOOKUP(D271,setting!$C$2:$D$30,2,FALSE))</f>
        <v>喷水</v>
      </c>
      <c r="R271" s="30">
        <f t="shared" si="13"/>
        <v>10</v>
      </c>
    </row>
    <row r="272" spans="1:18" outlineLevel="1">
      <c r="A272" s="177" t="str">
        <f t="shared" si="12"/>
        <v>8413275D网络丝132/48黑喷水</v>
      </c>
      <c r="B272" s="177">
        <v>84132</v>
      </c>
      <c r="C272" s="177">
        <v>5</v>
      </c>
      <c r="D272" s="177" t="s">
        <v>866</v>
      </c>
      <c r="E272" s="177" t="s">
        <v>391</v>
      </c>
      <c r="F272" s="177" t="s">
        <v>1</v>
      </c>
      <c r="G272" s="177" t="s">
        <v>136</v>
      </c>
      <c r="H272" s="8" t="str">
        <f t="shared" si="14"/>
        <v>AA</v>
      </c>
      <c r="I272" s="40" t="str">
        <f>IF(B272="","",VLOOKUP(D272,加弹汇总表!C:E,3,FALSE))</f>
        <v>75网络</v>
      </c>
      <c r="M272" s="177">
        <v>1957</v>
      </c>
      <c r="O272" s="191">
        <v>43762</v>
      </c>
      <c r="P272" s="72" t="str">
        <f>IF(B272="","",VLOOKUP(D272,setting!$C$2:$D$30,2,FALSE))</f>
        <v>喷水</v>
      </c>
      <c r="R272" s="30">
        <f t="shared" si="13"/>
        <v>10</v>
      </c>
    </row>
    <row r="273" spans="1:18" outlineLevel="1">
      <c r="A273" s="177" t="str">
        <f t="shared" si="12"/>
        <v>8413275D网络丝132/48黑喷水</v>
      </c>
      <c r="B273" s="177">
        <v>84132</v>
      </c>
      <c r="C273" s="177">
        <v>7</v>
      </c>
      <c r="D273" s="177" t="s">
        <v>866</v>
      </c>
      <c r="E273" s="177" t="s">
        <v>391</v>
      </c>
      <c r="F273" s="177" t="s">
        <v>1</v>
      </c>
      <c r="G273" s="177" t="s">
        <v>136</v>
      </c>
      <c r="H273" s="8" t="str">
        <f t="shared" si="14"/>
        <v>AA</v>
      </c>
      <c r="I273" s="40" t="str">
        <f>IF(B273="","",VLOOKUP(D273,加弹汇总表!C:E,3,FALSE))</f>
        <v>75网络</v>
      </c>
      <c r="M273" s="177">
        <v>1307.5999999999999</v>
      </c>
      <c r="O273" s="191">
        <v>43762</v>
      </c>
      <c r="P273" s="72" t="str">
        <f>IF(B273="","",VLOOKUP(D273,setting!$C$2:$D$30,2,FALSE))</f>
        <v>喷水</v>
      </c>
      <c r="R273" s="30">
        <f t="shared" si="13"/>
        <v>10</v>
      </c>
    </row>
    <row r="274" spans="1:18" outlineLevel="1">
      <c r="A274" s="177" t="str">
        <f t="shared" si="12"/>
        <v>73003100D网络丝172/48白喷水</v>
      </c>
      <c r="B274" s="177">
        <v>73003</v>
      </c>
      <c r="C274" s="177">
        <v>6</v>
      </c>
      <c r="D274" s="177" t="s">
        <v>867</v>
      </c>
      <c r="E274" s="177" t="s">
        <v>404</v>
      </c>
      <c r="F274" s="177" t="s">
        <v>2</v>
      </c>
      <c r="G274" s="177" t="s">
        <v>146</v>
      </c>
      <c r="H274" s="8" t="str">
        <f t="shared" si="14"/>
        <v>AA</v>
      </c>
      <c r="I274" s="40" t="str">
        <f>IF(B274="","",VLOOKUP(D274,加弹汇总表!C:E,3,FALSE))</f>
        <v>100网络</v>
      </c>
      <c r="M274" s="177">
        <v>1153</v>
      </c>
      <c r="O274" s="191">
        <v>43762</v>
      </c>
      <c r="P274" s="72" t="str">
        <f>IF(B274="","",VLOOKUP(D274,setting!$C$2:$D$30,2,FALSE))</f>
        <v>喷水</v>
      </c>
      <c r="R274" s="30">
        <f t="shared" si="13"/>
        <v>10</v>
      </c>
    </row>
    <row r="275" spans="1:18" outlineLevel="1">
      <c r="A275" s="177" t="str">
        <f t="shared" si="12"/>
        <v>S2121150D 135度有温丝89/48白圆机</v>
      </c>
      <c r="B275" s="177" t="s">
        <v>456</v>
      </c>
      <c r="C275" s="177">
        <v>4</v>
      </c>
      <c r="D275" s="177" t="s">
        <v>848</v>
      </c>
      <c r="E275" s="177" t="s">
        <v>455</v>
      </c>
      <c r="F275" s="177" t="s">
        <v>2</v>
      </c>
      <c r="G275" s="177" t="s">
        <v>158</v>
      </c>
      <c r="H275" s="8" t="str">
        <f t="shared" si="14"/>
        <v>AA</v>
      </c>
      <c r="I275" s="40">
        <f>IF(B275="","",VLOOKUP(D275,加弹汇总表!C:E,3,FALSE))</f>
        <v>50</v>
      </c>
      <c r="M275" s="177">
        <v>582.5</v>
      </c>
      <c r="O275" s="191">
        <v>43763</v>
      </c>
      <c r="P275" s="72" t="str">
        <f>IF(B275="","",VLOOKUP(D275,setting!$C$2:$D$30,2,FALSE))</f>
        <v>圆机</v>
      </c>
      <c r="R275" s="30">
        <f t="shared" si="13"/>
        <v>10</v>
      </c>
    </row>
    <row r="276" spans="1:18" outlineLevel="1">
      <c r="A276" s="177" t="str">
        <f t="shared" si="12"/>
        <v>S2121150D 135度有温丝89/48白圆机</v>
      </c>
      <c r="B276" s="177" t="s">
        <v>456</v>
      </c>
      <c r="C276" s="177">
        <v>2</v>
      </c>
      <c r="D276" s="177" t="s">
        <v>848</v>
      </c>
      <c r="E276" s="177" t="s">
        <v>455</v>
      </c>
      <c r="F276" s="177" t="s">
        <v>2</v>
      </c>
      <c r="G276" s="177" t="s">
        <v>158</v>
      </c>
      <c r="H276" s="8" t="str">
        <f t="shared" si="14"/>
        <v>AA</v>
      </c>
      <c r="I276" s="40">
        <f>IF(B276="","",VLOOKUP(D276,加弹汇总表!C:E,3,FALSE))</f>
        <v>50</v>
      </c>
      <c r="M276" s="177">
        <v>1180.5</v>
      </c>
      <c r="O276" s="191">
        <v>43763</v>
      </c>
      <c r="P276" s="72" t="str">
        <f>IF(B276="","",VLOOKUP(D276,setting!$C$2:$D$30,2,FALSE))</f>
        <v>圆机</v>
      </c>
      <c r="R276" s="30">
        <f t="shared" si="13"/>
        <v>10</v>
      </c>
    </row>
    <row r="277" spans="1:18" outlineLevel="1">
      <c r="A277" s="177" t="str">
        <f t="shared" si="12"/>
        <v>3260550D无温丝104/36白无温圆机</v>
      </c>
      <c r="B277" s="177">
        <v>32605</v>
      </c>
      <c r="C277" s="177">
        <v>1</v>
      </c>
      <c r="D277" s="177" t="s">
        <v>871</v>
      </c>
      <c r="E277" s="177" t="s">
        <v>368</v>
      </c>
      <c r="F277" s="206" t="s">
        <v>2344</v>
      </c>
      <c r="G277" s="177" t="s">
        <v>146</v>
      </c>
      <c r="H277" s="8" t="str">
        <f t="shared" si="14"/>
        <v>AA</v>
      </c>
      <c r="I277" s="40">
        <f>IF(B277="","",VLOOKUP(D277,加弹汇总表!C:E,3,FALSE))</f>
        <v>50</v>
      </c>
      <c r="M277" s="177">
        <v>1183</v>
      </c>
      <c r="O277" s="191">
        <v>43763</v>
      </c>
      <c r="P277" s="72" t="str">
        <f>IF(B277="","",VLOOKUP(D277,setting!$C$2:$D$30,2,FALSE))</f>
        <v>圆机</v>
      </c>
      <c r="R277" s="30">
        <f t="shared" si="13"/>
        <v>10</v>
      </c>
    </row>
    <row r="278" spans="1:18" outlineLevel="1">
      <c r="A278" s="177" t="str">
        <f t="shared" si="12"/>
        <v>64009450D94/36黑圆机</v>
      </c>
      <c r="B278" s="177">
        <v>640094</v>
      </c>
      <c r="C278" s="177">
        <v>6</v>
      </c>
      <c r="D278" s="177" t="s">
        <v>850</v>
      </c>
      <c r="E278" s="177" t="s">
        <v>460</v>
      </c>
      <c r="F278" s="177" t="s">
        <v>1</v>
      </c>
      <c r="G278" s="177" t="s">
        <v>136</v>
      </c>
      <c r="H278" s="8" t="str">
        <f t="shared" si="14"/>
        <v>AA</v>
      </c>
      <c r="I278" s="40">
        <f>IF(B278="","",VLOOKUP(D278,加弹汇总表!C:E,3,FALSE))</f>
        <v>50</v>
      </c>
      <c r="M278" s="177">
        <v>90</v>
      </c>
      <c r="O278" s="191">
        <v>43763</v>
      </c>
      <c r="P278" s="72" t="str">
        <f>IF(B278="","",VLOOKUP(D278,setting!$C$2:$D$30,2,FALSE))</f>
        <v>圆机</v>
      </c>
      <c r="R278" s="30">
        <f t="shared" si="13"/>
        <v>10</v>
      </c>
    </row>
    <row r="279" spans="1:18" outlineLevel="1">
      <c r="A279" s="177" t="str">
        <f t="shared" si="12"/>
        <v>S2132575D 135度低温丝130/48白圆机</v>
      </c>
      <c r="B279" s="177" t="s">
        <v>384</v>
      </c>
      <c r="C279" s="177">
        <v>4</v>
      </c>
      <c r="D279" s="177" t="s">
        <v>856</v>
      </c>
      <c r="E279" s="177" t="s">
        <v>381</v>
      </c>
      <c r="F279" s="177" t="s">
        <v>2</v>
      </c>
      <c r="G279" s="177" t="s">
        <v>158</v>
      </c>
      <c r="H279" s="8" t="str">
        <f t="shared" si="14"/>
        <v>AA</v>
      </c>
      <c r="I279" s="40">
        <f>IF(B279="","",VLOOKUP(D279,加弹汇总表!C:E,3,FALSE))</f>
        <v>75</v>
      </c>
      <c r="M279" s="177">
        <v>1196</v>
      </c>
      <c r="O279" s="191">
        <v>43763</v>
      </c>
      <c r="P279" s="72" t="str">
        <f>IF(B279="","",VLOOKUP(D279,setting!$C$2:$D$30,2,FALSE))</f>
        <v>圆机</v>
      </c>
      <c r="R279" s="30">
        <f t="shared" si="13"/>
        <v>10</v>
      </c>
    </row>
    <row r="280" spans="1:18" outlineLevel="1">
      <c r="A280" s="177" t="str">
        <f t="shared" si="12"/>
        <v>S21102P20D网络丝35/24白喷水</v>
      </c>
      <c r="B280" s="177" t="s">
        <v>438</v>
      </c>
      <c r="C280" s="177">
        <v>3</v>
      </c>
      <c r="D280" s="177" t="s">
        <v>861</v>
      </c>
      <c r="E280" s="177" t="s">
        <v>437</v>
      </c>
      <c r="F280" s="177" t="s">
        <v>2</v>
      </c>
      <c r="G280" s="177" t="s">
        <v>158</v>
      </c>
      <c r="H280" s="8" t="str">
        <f t="shared" si="14"/>
        <v>AA</v>
      </c>
      <c r="I280" s="40" t="str">
        <f>IF(B280="","",VLOOKUP(D280,加弹汇总表!C:E,3,FALSE))</f>
        <v>20网络</v>
      </c>
      <c r="M280" s="177">
        <v>479</v>
      </c>
      <c r="O280" s="191">
        <v>43763</v>
      </c>
      <c r="P280" s="72" t="str">
        <f>IF(B280="","",VLOOKUP(D280,setting!$C$2:$D$30,2,FALSE))</f>
        <v>喷水</v>
      </c>
      <c r="R280" s="30">
        <f t="shared" si="13"/>
        <v>10</v>
      </c>
    </row>
    <row r="281" spans="1:18" outlineLevel="1">
      <c r="A281" s="177" t="str">
        <f t="shared" si="12"/>
        <v>24003620D网络丝36/24黑喷水</v>
      </c>
      <c r="B281" s="177">
        <v>240036</v>
      </c>
      <c r="C281" s="177">
        <v>8</v>
      </c>
      <c r="D281" s="177" t="s">
        <v>861</v>
      </c>
      <c r="E281" s="177" t="s">
        <v>447</v>
      </c>
      <c r="F281" s="177" t="s">
        <v>1</v>
      </c>
      <c r="G281" s="177" t="s">
        <v>136</v>
      </c>
      <c r="H281" s="8" t="str">
        <f t="shared" si="14"/>
        <v>AA</v>
      </c>
      <c r="I281" s="40" t="str">
        <f>IF(B281="","",VLOOKUP(D281,加弹汇总表!C:E,3,FALSE))</f>
        <v>20网络</v>
      </c>
      <c r="M281" s="177">
        <v>389</v>
      </c>
      <c r="O281" s="191">
        <v>43763</v>
      </c>
      <c r="P281" s="72" t="str">
        <f>IF(B281="","",VLOOKUP(D281,setting!$C$2:$D$30,2,FALSE))</f>
        <v>喷水</v>
      </c>
      <c r="R281" s="30">
        <f t="shared" si="13"/>
        <v>10</v>
      </c>
    </row>
    <row r="282" spans="1:18" outlineLevel="1">
      <c r="A282" s="177" t="str">
        <f t="shared" si="12"/>
        <v>24005530D网络丝55/24黑喷水</v>
      </c>
      <c r="B282" s="177">
        <v>240055</v>
      </c>
      <c r="C282" s="177">
        <v>8</v>
      </c>
      <c r="D282" s="177" t="s">
        <v>863</v>
      </c>
      <c r="E282" s="177" t="s">
        <v>452</v>
      </c>
      <c r="F282" s="177" t="s">
        <v>1</v>
      </c>
      <c r="G282" s="177" t="s">
        <v>136</v>
      </c>
      <c r="H282" s="8" t="str">
        <f t="shared" si="14"/>
        <v>AA</v>
      </c>
      <c r="I282" s="40" t="str">
        <f>IF(B282="","",VLOOKUP(D282,加弹汇总表!C:E,3,FALSE))</f>
        <v>30网络</v>
      </c>
      <c r="M282" s="177">
        <v>357.41</v>
      </c>
      <c r="O282" s="191">
        <v>43763</v>
      </c>
      <c r="P282" s="72" t="str">
        <f>IF(B282="","",VLOOKUP(D282,setting!$C$2:$D$30,2,FALSE))</f>
        <v>喷水</v>
      </c>
      <c r="R282" s="30">
        <f t="shared" si="13"/>
        <v>10</v>
      </c>
    </row>
    <row r="283" spans="1:18" outlineLevel="1">
      <c r="A283" s="177" t="str">
        <f t="shared" si="12"/>
        <v>64009450D网络丝94/36黑喷水</v>
      </c>
      <c r="B283" s="177">
        <v>640094</v>
      </c>
      <c r="C283" s="177">
        <v>6</v>
      </c>
      <c r="D283" s="177" t="s">
        <v>865</v>
      </c>
      <c r="E283" s="177" t="s">
        <v>460</v>
      </c>
      <c r="F283" s="177" t="s">
        <v>1</v>
      </c>
      <c r="G283" s="177" t="s">
        <v>136</v>
      </c>
      <c r="H283" s="8" t="str">
        <f t="shared" si="14"/>
        <v>AA</v>
      </c>
      <c r="I283" s="40" t="str">
        <f>IF(B283="","",VLOOKUP(D283,加弹汇总表!C:E,3,FALSE))</f>
        <v>50网络</v>
      </c>
      <c r="M283" s="177">
        <v>655</v>
      </c>
      <c r="O283" s="191">
        <v>43763</v>
      </c>
      <c r="P283" s="72" t="str">
        <f>IF(B283="","",VLOOKUP(D283,setting!$C$2:$D$30,2,FALSE))</f>
        <v>喷水</v>
      </c>
      <c r="R283" s="30">
        <f t="shared" si="13"/>
        <v>10</v>
      </c>
    </row>
    <row r="284" spans="1:18" outlineLevel="1">
      <c r="A284" s="177" t="str">
        <f t="shared" si="12"/>
        <v>8413275D网络丝132/48黑喷水</v>
      </c>
      <c r="B284" s="177">
        <v>84132</v>
      </c>
      <c r="C284" s="177">
        <v>5</v>
      </c>
      <c r="D284" s="177" t="s">
        <v>866</v>
      </c>
      <c r="E284" s="177" t="s">
        <v>391</v>
      </c>
      <c r="F284" s="177" t="s">
        <v>1</v>
      </c>
      <c r="G284" s="177" t="s">
        <v>136</v>
      </c>
      <c r="H284" s="8" t="str">
        <f t="shared" si="14"/>
        <v>AA</v>
      </c>
      <c r="I284" s="40" t="str">
        <f>IF(B284="","",VLOOKUP(D284,加弹汇总表!C:E,3,FALSE))</f>
        <v>75网络</v>
      </c>
      <c r="M284" s="177">
        <v>1171</v>
      </c>
      <c r="O284" s="191">
        <v>43763</v>
      </c>
      <c r="P284" s="72" t="str">
        <f>IF(B284="","",VLOOKUP(D284,setting!$C$2:$D$30,2,FALSE))</f>
        <v>喷水</v>
      </c>
      <c r="R284" s="30">
        <f t="shared" si="13"/>
        <v>10</v>
      </c>
    </row>
    <row r="285" spans="1:18" outlineLevel="1">
      <c r="A285" s="177" t="str">
        <f t="shared" si="12"/>
        <v>8413275D网络丝132/48黑喷水</v>
      </c>
      <c r="B285" s="177">
        <v>84132</v>
      </c>
      <c r="C285" s="177">
        <v>7</v>
      </c>
      <c r="D285" s="177" t="s">
        <v>866</v>
      </c>
      <c r="E285" s="177" t="s">
        <v>391</v>
      </c>
      <c r="F285" s="177" t="s">
        <v>1</v>
      </c>
      <c r="G285" s="177" t="s">
        <v>136</v>
      </c>
      <c r="H285" s="8" t="str">
        <f t="shared" si="14"/>
        <v>AA</v>
      </c>
      <c r="I285" s="40" t="str">
        <f>IF(B285="","",VLOOKUP(D285,加弹汇总表!C:E,3,FALSE))</f>
        <v>75网络</v>
      </c>
      <c r="M285" s="177">
        <v>1207.54</v>
      </c>
      <c r="O285" s="191">
        <v>43763</v>
      </c>
      <c r="P285" s="72" t="str">
        <f>IF(B285="","",VLOOKUP(D285,setting!$C$2:$D$30,2,FALSE))</f>
        <v>喷水</v>
      </c>
      <c r="R285" s="30">
        <f t="shared" si="13"/>
        <v>10</v>
      </c>
    </row>
    <row r="286" spans="1:18" outlineLevel="1">
      <c r="A286" s="177" t="str">
        <f t="shared" si="12"/>
        <v>73003100D网络丝172/48白喷水</v>
      </c>
      <c r="B286" s="177">
        <v>73003</v>
      </c>
      <c r="C286" s="177">
        <v>6</v>
      </c>
      <c r="D286" s="177" t="s">
        <v>867</v>
      </c>
      <c r="E286" s="177" t="s">
        <v>404</v>
      </c>
      <c r="F286" s="177" t="s">
        <v>2</v>
      </c>
      <c r="G286" s="177" t="s">
        <v>146</v>
      </c>
      <c r="H286" s="8" t="str">
        <f t="shared" si="14"/>
        <v>AA</v>
      </c>
      <c r="I286" s="40" t="str">
        <f>IF(B286="","",VLOOKUP(D286,加弹汇总表!C:E,3,FALSE))</f>
        <v>100网络</v>
      </c>
      <c r="M286" s="177">
        <v>1188</v>
      </c>
      <c r="O286" s="191">
        <v>43763</v>
      </c>
      <c r="P286" s="72" t="str">
        <f>IF(B286="","",VLOOKUP(D286,setting!$C$2:$D$30,2,FALSE))</f>
        <v>喷水</v>
      </c>
      <c r="R286" s="30">
        <f t="shared" si="13"/>
        <v>10</v>
      </c>
    </row>
    <row r="287" spans="1:18" outlineLevel="1">
      <c r="A287" s="177" t="str">
        <f t="shared" si="12"/>
        <v>S2121150D 135度有温丝89/48白圆机</v>
      </c>
      <c r="B287" s="177" t="s">
        <v>456</v>
      </c>
      <c r="C287" s="177">
        <v>4</v>
      </c>
      <c r="D287" s="177" t="s">
        <v>848</v>
      </c>
      <c r="E287" s="177" t="s">
        <v>455</v>
      </c>
      <c r="F287" s="177" t="s">
        <v>2</v>
      </c>
      <c r="G287" s="177" t="s">
        <v>158</v>
      </c>
      <c r="H287" s="8" t="str">
        <f t="shared" si="14"/>
        <v>AA</v>
      </c>
      <c r="I287" s="40">
        <f>IF(B287="","",VLOOKUP(D287,加弹汇总表!C:E,3,FALSE))</f>
        <v>50</v>
      </c>
      <c r="M287" s="177">
        <v>706.5</v>
      </c>
      <c r="O287" s="191">
        <v>43764</v>
      </c>
      <c r="P287" s="72" t="str">
        <f>IF(B287="","",VLOOKUP(D287,setting!$C$2:$D$30,2,FALSE))</f>
        <v>圆机</v>
      </c>
      <c r="R287" s="30">
        <f t="shared" si="13"/>
        <v>10</v>
      </c>
    </row>
    <row r="288" spans="1:18" outlineLevel="1">
      <c r="A288" s="177" t="str">
        <f t="shared" si="12"/>
        <v>S2121150D 135度有温丝89/48白圆机</v>
      </c>
      <c r="B288" s="177" t="s">
        <v>456</v>
      </c>
      <c r="C288" s="177">
        <v>2</v>
      </c>
      <c r="D288" s="177" t="s">
        <v>848</v>
      </c>
      <c r="E288" s="177" t="s">
        <v>455</v>
      </c>
      <c r="F288" s="177" t="s">
        <v>2</v>
      </c>
      <c r="G288" s="177" t="s">
        <v>158</v>
      </c>
      <c r="H288" s="8" t="str">
        <f t="shared" si="14"/>
        <v>AA</v>
      </c>
      <c r="I288" s="40">
        <f>IF(B288="","",VLOOKUP(D288,加弹汇总表!C:E,3,FALSE))</f>
        <v>50</v>
      </c>
      <c r="M288" s="177">
        <v>1753</v>
      </c>
      <c r="O288" s="191">
        <v>43764</v>
      </c>
      <c r="P288" s="72" t="str">
        <f>IF(B288="","",VLOOKUP(D288,setting!$C$2:$D$30,2,FALSE))</f>
        <v>圆机</v>
      </c>
      <c r="R288" s="30">
        <f t="shared" si="13"/>
        <v>10</v>
      </c>
    </row>
    <row r="289" spans="1:18" outlineLevel="1">
      <c r="A289" s="177" t="str">
        <f t="shared" si="12"/>
        <v>3260550D104/36白无温圆机</v>
      </c>
      <c r="B289" s="177">
        <v>32605</v>
      </c>
      <c r="C289" s="177">
        <v>1</v>
      </c>
      <c r="D289" s="206" t="s">
        <v>2346</v>
      </c>
      <c r="E289" s="177" t="s">
        <v>368</v>
      </c>
      <c r="F289" s="206" t="s">
        <v>2344</v>
      </c>
      <c r="G289" s="177" t="s">
        <v>146</v>
      </c>
      <c r="H289" s="8" t="str">
        <f t="shared" si="14"/>
        <v>AA</v>
      </c>
      <c r="I289" s="40">
        <f>IF(B289="","",VLOOKUP(D289,加弹汇总表!C:E,3,FALSE))</f>
        <v>50</v>
      </c>
      <c r="M289" s="177">
        <v>573</v>
      </c>
      <c r="O289" s="191">
        <v>43764</v>
      </c>
      <c r="P289" s="72" t="str">
        <f>IF(B289="","",VLOOKUP(D289,setting!$C$2:$D$30,2,FALSE))</f>
        <v>圆机</v>
      </c>
      <c r="R289" s="30">
        <f t="shared" si="13"/>
        <v>10</v>
      </c>
    </row>
    <row r="290" spans="1:18" outlineLevel="1">
      <c r="A290" s="177" t="str">
        <f t="shared" si="12"/>
        <v>64009450D94/36黑圆机</v>
      </c>
      <c r="B290" s="177">
        <v>640094</v>
      </c>
      <c r="C290" s="177">
        <v>6</v>
      </c>
      <c r="D290" s="206" t="s">
        <v>2346</v>
      </c>
      <c r="E290" s="177" t="s">
        <v>460</v>
      </c>
      <c r="F290" s="177" t="s">
        <v>1</v>
      </c>
      <c r="G290" s="177" t="s">
        <v>136</v>
      </c>
      <c r="H290" s="8" t="str">
        <f t="shared" si="14"/>
        <v>AA</v>
      </c>
      <c r="I290" s="40">
        <f>IF(B290="","",VLOOKUP(D290,加弹汇总表!C:E,3,FALSE))</f>
        <v>50</v>
      </c>
      <c r="M290" s="177">
        <v>448</v>
      </c>
      <c r="O290" s="191">
        <v>43764</v>
      </c>
      <c r="P290" s="72" t="str">
        <f>IF(B290="","",VLOOKUP(D290,setting!$C$2:$D$30,2,FALSE))</f>
        <v>圆机</v>
      </c>
      <c r="R290" s="30">
        <f t="shared" si="13"/>
        <v>10</v>
      </c>
    </row>
    <row r="291" spans="1:18" outlineLevel="1">
      <c r="A291" s="177" t="str">
        <f t="shared" si="12"/>
        <v>S2132575D 135度低温丝130/48白圆机</v>
      </c>
      <c r="B291" s="177" t="s">
        <v>384</v>
      </c>
      <c r="C291" s="177">
        <v>4</v>
      </c>
      <c r="D291" s="177" t="s">
        <v>856</v>
      </c>
      <c r="E291" s="206" t="s">
        <v>2350</v>
      </c>
      <c r="F291" s="177" t="s">
        <v>2</v>
      </c>
      <c r="G291" s="177" t="s">
        <v>158</v>
      </c>
      <c r="H291" s="8" t="str">
        <f t="shared" si="14"/>
        <v>AA</v>
      </c>
      <c r="I291" s="40">
        <f>IF(B291="","",VLOOKUP(D291,加弹汇总表!C:E,3,FALSE))</f>
        <v>75</v>
      </c>
      <c r="M291" s="177">
        <v>1200.5</v>
      </c>
      <c r="O291" s="191">
        <v>43764</v>
      </c>
      <c r="P291" s="72" t="str">
        <f>IF(B291="","",VLOOKUP(D291,setting!$C$2:$D$30,2,FALSE))</f>
        <v>圆机</v>
      </c>
      <c r="R291" s="30">
        <f t="shared" si="13"/>
        <v>10</v>
      </c>
    </row>
    <row r="292" spans="1:18" outlineLevel="1">
      <c r="A292" s="177" t="str">
        <f t="shared" si="12"/>
        <v>S21102P20D网络丝35/24白喷水</v>
      </c>
      <c r="B292" s="177" t="s">
        <v>438</v>
      </c>
      <c r="C292" s="177">
        <v>3</v>
      </c>
      <c r="D292" s="177" t="s">
        <v>861</v>
      </c>
      <c r="E292" s="177" t="s">
        <v>437</v>
      </c>
      <c r="F292" s="177" t="s">
        <v>2</v>
      </c>
      <c r="G292" s="177" t="s">
        <v>158</v>
      </c>
      <c r="H292" s="8" t="str">
        <f t="shared" si="14"/>
        <v>AA</v>
      </c>
      <c r="I292" s="40" t="str">
        <f>IF(B292="","",VLOOKUP(D292,加弹汇总表!C:E,3,FALSE))</f>
        <v>20网络</v>
      </c>
      <c r="M292" s="177">
        <v>460</v>
      </c>
      <c r="O292" s="191">
        <v>43764</v>
      </c>
      <c r="P292" s="72" t="str">
        <f>IF(B292="","",VLOOKUP(D292,setting!$C$2:$D$30,2,FALSE))</f>
        <v>喷水</v>
      </c>
      <c r="R292" s="30">
        <f t="shared" si="13"/>
        <v>10</v>
      </c>
    </row>
    <row r="293" spans="1:18" outlineLevel="1">
      <c r="A293" s="177" t="str">
        <f t="shared" si="12"/>
        <v>24005530D网络丝55/24黑喷水</v>
      </c>
      <c r="B293" s="177">
        <v>240055</v>
      </c>
      <c r="C293" s="177">
        <v>8</v>
      </c>
      <c r="D293" s="177" t="s">
        <v>863</v>
      </c>
      <c r="E293" s="177" t="s">
        <v>452</v>
      </c>
      <c r="F293" s="177" t="s">
        <v>1</v>
      </c>
      <c r="G293" s="177" t="s">
        <v>136</v>
      </c>
      <c r="H293" s="8" t="str">
        <f t="shared" si="14"/>
        <v>AA</v>
      </c>
      <c r="I293" s="40" t="str">
        <f>IF(B293="","",VLOOKUP(D293,加弹汇总表!C:E,3,FALSE))</f>
        <v>30网络</v>
      </c>
      <c r="M293" s="177">
        <v>322.55</v>
      </c>
      <c r="O293" s="191">
        <v>43764</v>
      </c>
      <c r="P293" s="72" t="str">
        <f>IF(B293="","",VLOOKUP(D293,setting!$C$2:$D$30,2,FALSE))</f>
        <v>喷水</v>
      </c>
      <c r="R293" s="30">
        <f t="shared" si="13"/>
        <v>10</v>
      </c>
    </row>
    <row r="294" spans="1:18" outlineLevel="1">
      <c r="A294" s="177" t="str">
        <f t="shared" si="12"/>
        <v>64009450D网络丝94/36黑喷水</v>
      </c>
      <c r="B294" s="177">
        <v>640094</v>
      </c>
      <c r="C294" s="177">
        <v>6</v>
      </c>
      <c r="D294" s="177" t="s">
        <v>865</v>
      </c>
      <c r="E294" s="177" t="s">
        <v>460</v>
      </c>
      <c r="F294" s="177" t="s">
        <v>1</v>
      </c>
      <c r="G294" s="177" t="s">
        <v>136</v>
      </c>
      <c r="H294" s="8" t="str">
        <f t="shared" si="14"/>
        <v>AA</v>
      </c>
      <c r="I294" s="40" t="str">
        <f>IF(B294="","",VLOOKUP(D294,加弹汇总表!C:E,3,FALSE))</f>
        <v>50网络</v>
      </c>
      <c r="M294" s="177">
        <v>586</v>
      </c>
      <c r="O294" s="191">
        <v>43764</v>
      </c>
      <c r="P294" s="72" t="str">
        <f>IF(B294="","",VLOOKUP(D294,setting!$C$2:$D$30,2,FALSE))</f>
        <v>喷水</v>
      </c>
      <c r="R294" s="30">
        <f t="shared" si="13"/>
        <v>10</v>
      </c>
    </row>
    <row r="295" spans="1:18" outlineLevel="1">
      <c r="A295" s="177" t="str">
        <f t="shared" si="12"/>
        <v>8413275D网络丝132/48黑喷水</v>
      </c>
      <c r="B295" s="177">
        <v>84132</v>
      </c>
      <c r="C295" s="177">
        <v>5</v>
      </c>
      <c r="D295" s="177" t="s">
        <v>866</v>
      </c>
      <c r="E295" s="177" t="s">
        <v>391</v>
      </c>
      <c r="F295" s="177" t="s">
        <v>1</v>
      </c>
      <c r="G295" s="177" t="s">
        <v>136</v>
      </c>
      <c r="H295" s="8" t="str">
        <f t="shared" si="14"/>
        <v>AA</v>
      </c>
      <c r="I295" s="40" t="str">
        <f>IF(B295="","",VLOOKUP(D295,加弹汇总表!C:E,3,FALSE))</f>
        <v>75网络</v>
      </c>
      <c r="M295" s="177">
        <v>1952</v>
      </c>
      <c r="O295" s="191">
        <v>43764</v>
      </c>
      <c r="P295" s="72" t="str">
        <f>IF(B295="","",VLOOKUP(D295,setting!$C$2:$D$30,2,FALSE))</f>
        <v>喷水</v>
      </c>
      <c r="R295" s="30">
        <f t="shared" si="13"/>
        <v>10</v>
      </c>
    </row>
    <row r="296" spans="1:18" outlineLevel="1">
      <c r="A296" s="177" t="str">
        <f t="shared" si="12"/>
        <v>8413275D网络丝132/48黑喷水</v>
      </c>
      <c r="B296" s="177">
        <v>84132</v>
      </c>
      <c r="C296" s="177">
        <v>7</v>
      </c>
      <c r="D296" s="177" t="s">
        <v>866</v>
      </c>
      <c r="E296" s="177" t="s">
        <v>391</v>
      </c>
      <c r="F296" s="177" t="s">
        <v>1</v>
      </c>
      <c r="G296" s="177" t="s">
        <v>136</v>
      </c>
      <c r="H296" s="8" t="str">
        <f t="shared" si="14"/>
        <v>AA</v>
      </c>
      <c r="I296" s="40" t="str">
        <f>IF(B296="","",VLOOKUP(D296,加弹汇总表!C:E,3,FALSE))</f>
        <v>75网络</v>
      </c>
      <c r="M296" s="177">
        <v>2415.46</v>
      </c>
      <c r="O296" s="191">
        <v>43764</v>
      </c>
      <c r="P296" s="72" t="str">
        <f>IF(B296="","",VLOOKUP(D296,setting!$C$2:$D$30,2,FALSE))</f>
        <v>喷水</v>
      </c>
      <c r="R296" s="30">
        <f t="shared" si="13"/>
        <v>10</v>
      </c>
    </row>
    <row r="297" spans="1:18" outlineLevel="1">
      <c r="A297" s="177" t="str">
        <f t="shared" si="12"/>
        <v>73003100D网络丝172/48白喷水</v>
      </c>
      <c r="B297" s="177">
        <v>73003</v>
      </c>
      <c r="C297" s="177">
        <v>6</v>
      </c>
      <c r="D297" s="177" t="s">
        <v>867</v>
      </c>
      <c r="E297" s="177" t="s">
        <v>404</v>
      </c>
      <c r="F297" s="177" t="s">
        <v>2</v>
      </c>
      <c r="G297" s="177" t="s">
        <v>146</v>
      </c>
      <c r="H297" s="8" t="str">
        <f t="shared" si="14"/>
        <v>AA</v>
      </c>
      <c r="I297" s="40" t="str">
        <f>IF(B297="","",VLOOKUP(D297,加弹汇总表!C:E,3,FALSE))</f>
        <v>100网络</v>
      </c>
      <c r="M297" s="177">
        <v>1328</v>
      </c>
      <c r="O297" s="191">
        <v>43764</v>
      </c>
      <c r="P297" s="72" t="str">
        <f>IF(B297="","",VLOOKUP(D297,setting!$C$2:$D$30,2,FALSE))</f>
        <v>喷水</v>
      </c>
      <c r="R297" s="30">
        <f t="shared" si="13"/>
        <v>10</v>
      </c>
    </row>
    <row r="298" spans="1:18" outlineLevel="1">
      <c r="A298" s="177" t="str">
        <f t="shared" si="12"/>
        <v>S2121150D 135度有温丝89/48白圆机</v>
      </c>
      <c r="B298" s="177" t="s">
        <v>456</v>
      </c>
      <c r="C298" s="177">
        <v>4</v>
      </c>
      <c r="D298" s="177" t="s">
        <v>848</v>
      </c>
      <c r="E298" s="177" t="s">
        <v>455</v>
      </c>
      <c r="F298" s="177" t="s">
        <v>2</v>
      </c>
      <c r="G298" s="177" t="s">
        <v>158</v>
      </c>
      <c r="H298" s="8" t="str">
        <f t="shared" si="14"/>
        <v>AA</v>
      </c>
      <c r="I298" s="40">
        <f>IF(B298="","",VLOOKUP(D298,加弹汇总表!C:E,3,FALSE))</f>
        <v>50</v>
      </c>
      <c r="M298" s="177">
        <v>601</v>
      </c>
      <c r="O298" s="191">
        <v>43765</v>
      </c>
      <c r="P298" s="72" t="str">
        <f>IF(B298="","",VLOOKUP(D298,setting!$C$2:$D$30,2,FALSE))</f>
        <v>圆机</v>
      </c>
      <c r="R298" s="30">
        <f t="shared" si="13"/>
        <v>10</v>
      </c>
    </row>
    <row r="299" spans="1:18" outlineLevel="1">
      <c r="A299" s="177" t="str">
        <f t="shared" si="12"/>
        <v>S2121150D 135度有温丝89/48白圆机</v>
      </c>
      <c r="B299" s="177" t="s">
        <v>456</v>
      </c>
      <c r="C299" s="177">
        <v>2</v>
      </c>
      <c r="D299" s="177" t="s">
        <v>848</v>
      </c>
      <c r="E299" s="177" t="s">
        <v>455</v>
      </c>
      <c r="F299" s="177" t="s">
        <v>2</v>
      </c>
      <c r="G299" s="177" t="s">
        <v>158</v>
      </c>
      <c r="H299" s="8" t="str">
        <f t="shared" si="14"/>
        <v>AA</v>
      </c>
      <c r="I299" s="40">
        <f>IF(B299="","",VLOOKUP(D299,加弹汇总表!C:E,3,FALSE))</f>
        <v>50</v>
      </c>
      <c r="M299" s="177">
        <v>1205.5</v>
      </c>
      <c r="O299" s="191">
        <v>43765</v>
      </c>
      <c r="P299" s="72" t="str">
        <f>IF(B299="","",VLOOKUP(D299,setting!$C$2:$D$30,2,FALSE))</f>
        <v>圆机</v>
      </c>
      <c r="R299" s="30">
        <f t="shared" si="13"/>
        <v>10</v>
      </c>
    </row>
    <row r="300" spans="1:18" outlineLevel="1">
      <c r="A300" s="177" t="str">
        <f t="shared" si="12"/>
        <v>3260550D无温丝104/36白无温圆机</v>
      </c>
      <c r="B300" s="177">
        <v>32605</v>
      </c>
      <c r="C300" s="177">
        <v>1</v>
      </c>
      <c r="D300" s="177" t="s">
        <v>871</v>
      </c>
      <c r="E300" s="177" t="s">
        <v>368</v>
      </c>
      <c r="F300" s="250" t="s">
        <v>2344</v>
      </c>
      <c r="G300" s="177" t="s">
        <v>146</v>
      </c>
      <c r="H300" s="8" t="str">
        <f t="shared" si="14"/>
        <v>AA</v>
      </c>
      <c r="I300" s="40">
        <f>IF(B300="","",VLOOKUP(D300,加弹汇总表!C:E,3,FALSE))</f>
        <v>50</v>
      </c>
      <c r="M300" s="177">
        <v>605.5</v>
      </c>
      <c r="O300" s="191">
        <v>43765</v>
      </c>
      <c r="P300" s="72" t="str">
        <f>IF(B300="","",VLOOKUP(D300,setting!$C$2:$D$30,2,FALSE))</f>
        <v>圆机</v>
      </c>
      <c r="R300" s="30">
        <f t="shared" si="13"/>
        <v>10</v>
      </c>
    </row>
    <row r="301" spans="1:18" outlineLevel="1">
      <c r="A301" s="177" t="str">
        <f t="shared" si="12"/>
        <v>64009450D94/36黑圆机</v>
      </c>
      <c r="B301" s="177">
        <v>640094</v>
      </c>
      <c r="C301" s="177">
        <v>6</v>
      </c>
      <c r="D301" s="177" t="s">
        <v>850</v>
      </c>
      <c r="E301" s="177" t="s">
        <v>460</v>
      </c>
      <c r="F301" s="177" t="s">
        <v>1</v>
      </c>
      <c r="G301" s="177" t="s">
        <v>136</v>
      </c>
      <c r="H301" s="8" t="str">
        <f t="shared" si="14"/>
        <v>AA</v>
      </c>
      <c r="I301" s="40">
        <f>IF(B301="","",VLOOKUP(D301,加弹汇总表!C:E,3,FALSE))</f>
        <v>50</v>
      </c>
      <c r="M301" s="177">
        <v>595.5</v>
      </c>
      <c r="O301" s="191">
        <v>43765</v>
      </c>
      <c r="P301" s="72" t="str">
        <f>IF(B301="","",VLOOKUP(D301,setting!$C$2:$D$30,2,FALSE))</f>
        <v>圆机</v>
      </c>
      <c r="R301" s="30">
        <f t="shared" si="13"/>
        <v>10</v>
      </c>
    </row>
    <row r="302" spans="1:18" outlineLevel="1">
      <c r="A302" s="177" t="str">
        <f t="shared" si="12"/>
        <v>S2132575D 135度低温丝130/48白圆机</v>
      </c>
      <c r="B302" s="177" t="s">
        <v>384</v>
      </c>
      <c r="C302" s="177">
        <v>4</v>
      </c>
      <c r="D302" s="177" t="s">
        <v>856</v>
      </c>
      <c r="E302" s="177" t="s">
        <v>381</v>
      </c>
      <c r="F302" s="177" t="s">
        <v>2</v>
      </c>
      <c r="G302" s="177" t="s">
        <v>158</v>
      </c>
      <c r="H302" s="8" t="str">
        <f t="shared" si="14"/>
        <v>AA</v>
      </c>
      <c r="I302" s="40">
        <f>IF(B302="","",VLOOKUP(D302,加弹汇总表!C:E,3,FALSE))</f>
        <v>75</v>
      </c>
      <c r="M302" s="177">
        <v>599</v>
      </c>
      <c r="O302" s="191">
        <v>43765</v>
      </c>
      <c r="P302" s="72" t="str">
        <f>IF(B302="","",VLOOKUP(D302,setting!$C$2:$D$30,2,FALSE))</f>
        <v>圆机</v>
      </c>
      <c r="R302" s="30">
        <f t="shared" si="13"/>
        <v>10</v>
      </c>
    </row>
    <row r="303" spans="1:18" outlineLevel="1">
      <c r="A303" s="177" t="str">
        <f t="shared" si="12"/>
        <v>S21102P20D网络丝35/24白喷水</v>
      </c>
      <c r="B303" s="177" t="s">
        <v>438</v>
      </c>
      <c r="C303" s="177">
        <v>3</v>
      </c>
      <c r="D303" s="177" t="s">
        <v>861</v>
      </c>
      <c r="E303" s="177" t="s">
        <v>437</v>
      </c>
      <c r="F303" s="177" t="s">
        <v>2</v>
      </c>
      <c r="G303" s="177" t="s">
        <v>158</v>
      </c>
      <c r="H303" s="8" t="str">
        <f t="shared" si="14"/>
        <v>AA</v>
      </c>
      <c r="I303" s="40" t="str">
        <f>IF(B303="","",VLOOKUP(D303,加弹汇总表!C:E,3,FALSE))</f>
        <v>20网络</v>
      </c>
      <c r="M303" s="177">
        <v>453</v>
      </c>
      <c r="O303" s="191">
        <v>43765</v>
      </c>
      <c r="P303" s="72" t="str">
        <f>IF(B303="","",VLOOKUP(D303,setting!$C$2:$D$30,2,FALSE))</f>
        <v>喷水</v>
      </c>
      <c r="R303" s="30">
        <f t="shared" si="13"/>
        <v>10</v>
      </c>
    </row>
    <row r="304" spans="1:18" outlineLevel="1">
      <c r="A304" s="177" t="str">
        <f t="shared" si="12"/>
        <v>24003620D网络丝36/24黑喷水</v>
      </c>
      <c r="B304" s="177">
        <v>240036</v>
      </c>
      <c r="C304" s="177">
        <v>8</v>
      </c>
      <c r="D304" s="177" t="s">
        <v>861</v>
      </c>
      <c r="E304" s="177" t="s">
        <v>447</v>
      </c>
      <c r="F304" s="177" t="s">
        <v>1</v>
      </c>
      <c r="G304" s="177" t="s">
        <v>136</v>
      </c>
      <c r="H304" s="8" t="str">
        <f t="shared" si="14"/>
        <v>AA</v>
      </c>
      <c r="I304" s="40" t="str">
        <f>IF(B304="","",VLOOKUP(D304,加弹汇总表!C:E,3,FALSE))</f>
        <v>20网络</v>
      </c>
      <c r="M304" s="177">
        <v>390</v>
      </c>
      <c r="O304" s="191">
        <v>43765</v>
      </c>
      <c r="P304" s="72" t="str">
        <f>IF(B304="","",VLOOKUP(D304,setting!$C$2:$D$30,2,FALSE))</f>
        <v>喷水</v>
      </c>
      <c r="R304" s="30">
        <f t="shared" si="13"/>
        <v>10</v>
      </c>
    </row>
    <row r="305" spans="1:18" outlineLevel="1">
      <c r="A305" s="177" t="str">
        <f t="shared" si="12"/>
        <v>24005530D网络丝55/24黑喷水</v>
      </c>
      <c r="B305" s="177">
        <v>240055</v>
      </c>
      <c r="C305" s="177">
        <v>8</v>
      </c>
      <c r="D305" s="177" t="s">
        <v>863</v>
      </c>
      <c r="E305" s="177" t="s">
        <v>452</v>
      </c>
      <c r="F305" s="177" t="s">
        <v>1</v>
      </c>
      <c r="G305" s="177" t="s">
        <v>136</v>
      </c>
      <c r="H305" s="8" t="str">
        <f t="shared" si="14"/>
        <v>AA</v>
      </c>
      <c r="I305" s="40" t="str">
        <f>IF(B305="","",VLOOKUP(D305,加弹汇总表!C:E,3,FALSE))</f>
        <v>30网络</v>
      </c>
      <c r="M305" s="177">
        <v>360.07</v>
      </c>
      <c r="O305" s="191">
        <v>43765</v>
      </c>
      <c r="P305" s="72" t="str">
        <f>IF(B305="","",VLOOKUP(D305,setting!$C$2:$D$30,2,FALSE))</f>
        <v>喷水</v>
      </c>
      <c r="R305" s="30">
        <f t="shared" si="13"/>
        <v>10</v>
      </c>
    </row>
    <row r="306" spans="1:18" outlineLevel="1">
      <c r="A306" s="177" t="str">
        <f t="shared" si="12"/>
        <v>64009450D网络丝94/36黑喷水</v>
      </c>
      <c r="B306" s="177">
        <v>640094</v>
      </c>
      <c r="C306" s="177">
        <v>6</v>
      </c>
      <c r="D306" s="177" t="s">
        <v>865</v>
      </c>
      <c r="E306" s="177" t="s">
        <v>460</v>
      </c>
      <c r="F306" s="177" t="s">
        <v>1</v>
      </c>
      <c r="G306" s="177" t="s">
        <v>136</v>
      </c>
      <c r="H306" s="8" t="str">
        <f t="shared" si="14"/>
        <v>AA</v>
      </c>
      <c r="I306" s="40" t="str">
        <f>IF(B306="","",VLOOKUP(D306,加弹汇总表!C:E,3,FALSE))</f>
        <v>50网络</v>
      </c>
      <c r="M306" s="177">
        <v>697</v>
      </c>
      <c r="O306" s="191">
        <v>43765</v>
      </c>
      <c r="P306" s="72" t="str">
        <f>IF(B306="","",VLOOKUP(D306,setting!$C$2:$D$30,2,FALSE))</f>
        <v>喷水</v>
      </c>
      <c r="R306" s="30">
        <f t="shared" si="13"/>
        <v>10</v>
      </c>
    </row>
    <row r="307" spans="1:18" outlineLevel="1">
      <c r="A307" s="177" t="str">
        <f t="shared" si="12"/>
        <v>8413275D网络丝132/48黑喷水</v>
      </c>
      <c r="B307" s="177">
        <v>84132</v>
      </c>
      <c r="C307" s="177">
        <v>5</v>
      </c>
      <c r="D307" s="177" t="s">
        <v>866</v>
      </c>
      <c r="E307" s="177" t="s">
        <v>391</v>
      </c>
      <c r="F307" s="177" t="s">
        <v>1</v>
      </c>
      <c r="G307" s="177" t="s">
        <v>136</v>
      </c>
      <c r="H307" s="8" t="str">
        <f t="shared" si="14"/>
        <v>AA</v>
      </c>
      <c r="I307" s="40" t="str">
        <f>IF(B307="","",VLOOKUP(D307,加弹汇总表!C:E,3,FALSE))</f>
        <v>75网络</v>
      </c>
      <c r="M307" s="177">
        <v>1311</v>
      </c>
      <c r="O307" s="191">
        <v>43765</v>
      </c>
      <c r="P307" s="72" t="str">
        <f>IF(B307="","",VLOOKUP(D307,setting!$C$2:$D$30,2,FALSE))</f>
        <v>喷水</v>
      </c>
      <c r="R307" s="30">
        <f t="shared" si="13"/>
        <v>10</v>
      </c>
    </row>
    <row r="308" spans="1:18" outlineLevel="1">
      <c r="A308" s="177" t="str">
        <f t="shared" si="12"/>
        <v>8413275D网络丝132/48黑喷水</v>
      </c>
      <c r="B308" s="177">
        <v>84132</v>
      </c>
      <c r="C308" s="177">
        <v>7</v>
      </c>
      <c r="D308" s="177" t="s">
        <v>866</v>
      </c>
      <c r="E308" s="177" t="s">
        <v>391</v>
      </c>
      <c r="F308" s="177" t="s">
        <v>1</v>
      </c>
      <c r="G308" s="177" t="s">
        <v>136</v>
      </c>
      <c r="H308" s="8" t="str">
        <f t="shared" si="14"/>
        <v>AA</v>
      </c>
      <c r="I308" s="40" t="str">
        <f>IF(B308="","",VLOOKUP(D308,加弹汇总表!C:E,3,FALSE))</f>
        <v>75网络</v>
      </c>
      <c r="M308" s="177">
        <v>748.45</v>
      </c>
      <c r="O308" s="191">
        <v>43765</v>
      </c>
      <c r="P308" s="72" t="str">
        <f>IF(B308="","",VLOOKUP(D308,setting!$C$2:$D$30,2,FALSE))</f>
        <v>喷水</v>
      </c>
      <c r="R308" s="30">
        <f t="shared" si="13"/>
        <v>10</v>
      </c>
    </row>
    <row r="309" spans="1:18" outlineLevel="1">
      <c r="A309" s="177" t="str">
        <f t="shared" si="12"/>
        <v>73003100D网络丝172/48白喷水</v>
      </c>
      <c r="B309" s="177">
        <v>73003</v>
      </c>
      <c r="C309" s="177">
        <v>6</v>
      </c>
      <c r="D309" s="177" t="s">
        <v>867</v>
      </c>
      <c r="E309" s="177" t="s">
        <v>404</v>
      </c>
      <c r="F309" s="177" t="s">
        <v>2</v>
      </c>
      <c r="G309" s="177" t="s">
        <v>146</v>
      </c>
      <c r="H309" s="8" t="str">
        <f t="shared" si="14"/>
        <v>AA</v>
      </c>
      <c r="I309" s="40" t="str">
        <f>IF(B309="","",VLOOKUP(D309,加弹汇总表!C:E,3,FALSE))</f>
        <v>100网络</v>
      </c>
      <c r="M309" s="177">
        <v>1797</v>
      </c>
      <c r="O309" s="191">
        <v>43765</v>
      </c>
      <c r="P309" s="72" t="str">
        <f>IF(B309="","",VLOOKUP(D309,setting!$C$2:$D$30,2,FALSE))</f>
        <v>喷水</v>
      </c>
      <c r="R309" s="30">
        <f t="shared" si="13"/>
        <v>10</v>
      </c>
    </row>
    <row r="310" spans="1:18" outlineLevel="1">
      <c r="A310" s="177" t="str">
        <f t="shared" si="12"/>
        <v>HP06074-1200D网络丝355/96黑喷水</v>
      </c>
      <c r="B310" s="177" t="s">
        <v>2458</v>
      </c>
      <c r="C310" s="177">
        <v>5</v>
      </c>
      <c r="D310" s="177" t="s">
        <v>868</v>
      </c>
      <c r="E310" s="177" t="s">
        <v>441</v>
      </c>
      <c r="F310" s="177" t="s">
        <v>1</v>
      </c>
      <c r="G310" s="177" t="s">
        <v>443</v>
      </c>
      <c r="H310" s="8" t="str">
        <f t="shared" si="14"/>
        <v>AA</v>
      </c>
      <c r="I310" s="40" t="str">
        <f>IF(B310="","",VLOOKUP(D310,加弹汇总表!C:E,3,FALSE))</f>
        <v>200网络</v>
      </c>
      <c r="M310" s="177">
        <v>1969</v>
      </c>
      <c r="O310" s="191">
        <v>43765</v>
      </c>
      <c r="P310" s="72" t="str">
        <f>IF(B310="","",VLOOKUP(D310,setting!$C$2:$D$30,2,FALSE))</f>
        <v>喷水</v>
      </c>
      <c r="R310" s="30">
        <f t="shared" si="13"/>
        <v>10</v>
      </c>
    </row>
    <row r="311" spans="1:18" outlineLevel="1">
      <c r="A311" s="177" t="str">
        <f t="shared" si="12"/>
        <v>S2121150D 135度有温丝89/48白圆机</v>
      </c>
      <c r="B311" s="177" t="s">
        <v>456</v>
      </c>
      <c r="C311" s="177">
        <v>4</v>
      </c>
      <c r="D311" s="177" t="s">
        <v>848</v>
      </c>
      <c r="E311" s="177" t="s">
        <v>455</v>
      </c>
      <c r="F311" s="177" t="s">
        <v>2</v>
      </c>
      <c r="G311" s="177" t="s">
        <v>158</v>
      </c>
      <c r="H311" s="8" t="str">
        <f t="shared" si="14"/>
        <v>AA</v>
      </c>
      <c r="I311" s="40">
        <f>IF(B311="","",VLOOKUP(D311,加弹汇总表!C:E,3,FALSE))</f>
        <v>50</v>
      </c>
      <c r="M311" s="177">
        <v>1162.5</v>
      </c>
      <c r="O311" s="191">
        <v>43766</v>
      </c>
      <c r="P311" s="72" t="str">
        <f>IF(B311="","",VLOOKUP(D311,setting!$C$2:$D$30,2,FALSE))</f>
        <v>圆机</v>
      </c>
      <c r="R311" s="30">
        <f t="shared" si="13"/>
        <v>10</v>
      </c>
    </row>
    <row r="312" spans="1:18" outlineLevel="1">
      <c r="A312" s="177" t="str">
        <f t="shared" si="12"/>
        <v>S2121150D 135度有温丝89/48白圆机</v>
      </c>
      <c r="B312" s="177" t="s">
        <v>456</v>
      </c>
      <c r="C312" s="177">
        <v>2</v>
      </c>
      <c r="D312" s="177" t="s">
        <v>848</v>
      </c>
      <c r="E312" s="177" t="s">
        <v>455</v>
      </c>
      <c r="F312" s="177" t="s">
        <v>2</v>
      </c>
      <c r="G312" s="177" t="s">
        <v>158</v>
      </c>
      <c r="H312" s="8" t="str">
        <f t="shared" si="14"/>
        <v>AA</v>
      </c>
      <c r="I312" s="40">
        <f>IF(B312="","",VLOOKUP(D312,加弹汇总表!C:E,3,FALSE))</f>
        <v>50</v>
      </c>
      <c r="M312" s="177">
        <v>1136</v>
      </c>
      <c r="O312" s="191">
        <v>43766</v>
      </c>
      <c r="P312" s="72" t="str">
        <f>IF(B312="","",VLOOKUP(D312,setting!$C$2:$D$30,2,FALSE))</f>
        <v>圆机</v>
      </c>
      <c r="R312" s="30">
        <f t="shared" si="13"/>
        <v>10</v>
      </c>
    </row>
    <row r="313" spans="1:18" outlineLevel="1">
      <c r="A313" s="177" t="str">
        <f t="shared" si="12"/>
        <v>3260550D无温丝104/36白无温圆机</v>
      </c>
      <c r="B313" s="177">
        <v>32605</v>
      </c>
      <c r="C313" s="177">
        <v>1</v>
      </c>
      <c r="D313" s="177" t="s">
        <v>871</v>
      </c>
      <c r="E313" s="177" t="s">
        <v>368</v>
      </c>
      <c r="F313" s="250" t="s">
        <v>2344</v>
      </c>
      <c r="G313" s="177" t="s">
        <v>146</v>
      </c>
      <c r="H313" s="8" t="str">
        <f t="shared" si="14"/>
        <v>AA</v>
      </c>
      <c r="I313" s="40">
        <f>IF(B313="","",VLOOKUP(D313,加弹汇总表!C:E,3,FALSE))</f>
        <v>50</v>
      </c>
      <c r="M313" s="177">
        <v>1166.5</v>
      </c>
      <c r="O313" s="191">
        <v>43766</v>
      </c>
      <c r="P313" s="72" t="str">
        <f>IF(B313="","",VLOOKUP(D313,setting!$C$2:$D$30,2,FALSE))</f>
        <v>圆机</v>
      </c>
      <c r="R313" s="30">
        <f t="shared" si="13"/>
        <v>10</v>
      </c>
    </row>
    <row r="314" spans="1:18" outlineLevel="1">
      <c r="A314" s="177" t="str">
        <f t="shared" si="12"/>
        <v>64009450D94/36黑圆机</v>
      </c>
      <c r="B314" s="177">
        <v>640094</v>
      </c>
      <c r="C314" s="177">
        <v>6</v>
      </c>
      <c r="D314" s="177" t="s">
        <v>850</v>
      </c>
      <c r="E314" s="177" t="s">
        <v>460</v>
      </c>
      <c r="F314" s="177" t="s">
        <v>1</v>
      </c>
      <c r="G314" s="177" t="s">
        <v>136</v>
      </c>
      <c r="H314" s="8" t="str">
        <f t="shared" si="14"/>
        <v>AA</v>
      </c>
      <c r="I314" s="40">
        <f>IF(B314="","",VLOOKUP(D314,加弹汇总表!C:E,3,FALSE))</f>
        <v>50</v>
      </c>
      <c r="M314" s="177">
        <v>803</v>
      </c>
      <c r="O314" s="191">
        <v>43766</v>
      </c>
      <c r="P314" s="72" t="str">
        <f>IF(B314="","",VLOOKUP(D314,setting!$C$2:$D$30,2,FALSE))</f>
        <v>圆机</v>
      </c>
      <c r="R314" s="30">
        <f t="shared" si="13"/>
        <v>10</v>
      </c>
    </row>
    <row r="315" spans="1:18" outlineLevel="1">
      <c r="A315" s="177" t="str">
        <f t="shared" si="12"/>
        <v>S2132575D 135度低温丝130/48白圆机</v>
      </c>
      <c r="B315" s="177" t="s">
        <v>384</v>
      </c>
      <c r="C315" s="177">
        <v>4</v>
      </c>
      <c r="D315" s="177" t="s">
        <v>856</v>
      </c>
      <c r="E315" s="177" t="s">
        <v>381</v>
      </c>
      <c r="F315" s="177" t="s">
        <v>2</v>
      </c>
      <c r="G315" s="177" t="s">
        <v>158</v>
      </c>
      <c r="H315" s="8" t="str">
        <f t="shared" si="14"/>
        <v>AA</v>
      </c>
      <c r="I315" s="40">
        <f>IF(B315="","",VLOOKUP(D315,加弹汇总表!C:E,3,FALSE))</f>
        <v>75</v>
      </c>
      <c r="M315" s="177">
        <v>1261</v>
      </c>
      <c r="O315" s="191">
        <v>43766</v>
      </c>
      <c r="P315" s="72" t="str">
        <f>IF(B315="","",VLOOKUP(D315,setting!$C$2:$D$30,2,FALSE))</f>
        <v>圆机</v>
      </c>
      <c r="R315" s="30">
        <f t="shared" si="13"/>
        <v>10</v>
      </c>
    </row>
    <row r="316" spans="1:18" outlineLevel="1">
      <c r="A316" s="177" t="str">
        <f t="shared" si="12"/>
        <v>S21102P20D网络丝35/24白喷水</v>
      </c>
      <c r="B316" s="177" t="s">
        <v>438</v>
      </c>
      <c r="C316" s="177">
        <v>3</v>
      </c>
      <c r="D316" s="177" t="s">
        <v>861</v>
      </c>
      <c r="E316" s="177" t="s">
        <v>437</v>
      </c>
      <c r="F316" s="177" t="s">
        <v>2</v>
      </c>
      <c r="G316" s="177" t="s">
        <v>158</v>
      </c>
      <c r="H316" s="8" t="str">
        <f t="shared" si="14"/>
        <v>AA</v>
      </c>
      <c r="I316" s="40" t="str">
        <f>IF(B316="","",VLOOKUP(D316,加弹汇总表!C:E,3,FALSE))</f>
        <v>20网络</v>
      </c>
      <c r="M316" s="177">
        <v>553</v>
      </c>
      <c r="O316" s="191">
        <v>43766</v>
      </c>
      <c r="P316" s="72" t="str">
        <f>IF(B316="","",VLOOKUP(D316,setting!$C$2:$D$30,2,FALSE))</f>
        <v>喷水</v>
      </c>
      <c r="R316" s="30">
        <f t="shared" si="13"/>
        <v>10</v>
      </c>
    </row>
    <row r="317" spans="1:18" outlineLevel="1">
      <c r="A317" s="177" t="str">
        <f t="shared" si="12"/>
        <v>24003620D网络丝36/24黑喷水</v>
      </c>
      <c r="B317" s="177">
        <v>240036</v>
      </c>
      <c r="C317" s="177">
        <v>8</v>
      </c>
      <c r="D317" s="177" t="s">
        <v>861</v>
      </c>
      <c r="E317" s="177" t="s">
        <v>447</v>
      </c>
      <c r="F317" s="177" t="s">
        <v>1</v>
      </c>
      <c r="G317" s="177" t="s">
        <v>136</v>
      </c>
      <c r="H317" s="8" t="str">
        <f t="shared" si="14"/>
        <v>AA</v>
      </c>
      <c r="I317" s="40" t="str">
        <f>IF(B317="","",VLOOKUP(D317,加弹汇总表!C:E,3,FALSE))</f>
        <v>20网络</v>
      </c>
      <c r="M317" s="177">
        <v>170</v>
      </c>
      <c r="O317" s="191">
        <v>43766</v>
      </c>
      <c r="P317" s="72" t="str">
        <f>IF(B317="","",VLOOKUP(D317,setting!$C$2:$D$30,2,FALSE))</f>
        <v>喷水</v>
      </c>
      <c r="R317" s="30">
        <f t="shared" si="13"/>
        <v>10</v>
      </c>
    </row>
    <row r="318" spans="1:18" outlineLevel="1">
      <c r="A318" s="177" t="str">
        <f t="shared" si="12"/>
        <v>24005530D网络丝55/24黑喷水</v>
      </c>
      <c r="B318" s="177">
        <v>240055</v>
      </c>
      <c r="C318" s="177">
        <v>8</v>
      </c>
      <c r="D318" s="177" t="s">
        <v>863</v>
      </c>
      <c r="E318" s="177" t="s">
        <v>452</v>
      </c>
      <c r="F318" s="177" t="s">
        <v>1</v>
      </c>
      <c r="G318" s="177" t="s">
        <v>136</v>
      </c>
      <c r="H318" s="8" t="str">
        <f t="shared" si="14"/>
        <v>AA</v>
      </c>
      <c r="I318" s="40" t="str">
        <f>IF(B318="","",VLOOKUP(D318,加弹汇总表!C:E,3,FALSE))</f>
        <v>30网络</v>
      </c>
      <c r="M318" s="177">
        <v>358.01</v>
      </c>
      <c r="O318" s="191">
        <v>43766</v>
      </c>
      <c r="P318" s="72" t="str">
        <f>IF(B318="","",VLOOKUP(D318,setting!$C$2:$D$30,2,FALSE))</f>
        <v>喷水</v>
      </c>
      <c r="R318" s="30">
        <f t="shared" si="13"/>
        <v>10</v>
      </c>
    </row>
    <row r="319" spans="1:18" outlineLevel="1">
      <c r="A319" s="177" t="str">
        <f t="shared" si="12"/>
        <v>64009450D网络丝94/36黑喷水</v>
      </c>
      <c r="B319" s="177">
        <v>640094</v>
      </c>
      <c r="C319" s="177">
        <v>6</v>
      </c>
      <c r="D319" s="177" t="s">
        <v>865</v>
      </c>
      <c r="E319" s="177" t="s">
        <v>460</v>
      </c>
      <c r="F319" s="177" t="s">
        <v>1</v>
      </c>
      <c r="G319" s="177" t="s">
        <v>136</v>
      </c>
      <c r="H319" s="8" t="str">
        <f t="shared" si="14"/>
        <v>AA</v>
      </c>
      <c r="I319" s="40" t="str">
        <f>IF(B319="","",VLOOKUP(D319,加弹汇总表!C:E,3,FALSE))</f>
        <v>50网络</v>
      </c>
      <c r="M319" s="177">
        <v>566</v>
      </c>
      <c r="O319" s="191">
        <v>43766</v>
      </c>
      <c r="P319" s="72" t="str">
        <f>IF(B319="","",VLOOKUP(D319,setting!$C$2:$D$30,2,FALSE))</f>
        <v>喷水</v>
      </c>
      <c r="R319" s="30">
        <f t="shared" si="13"/>
        <v>10</v>
      </c>
    </row>
    <row r="320" spans="1:18" outlineLevel="1">
      <c r="A320" s="177" t="str">
        <f t="shared" si="12"/>
        <v>8413275D网络丝132/48黑喷水</v>
      </c>
      <c r="B320" s="177">
        <v>84132</v>
      </c>
      <c r="C320" s="177">
        <v>5</v>
      </c>
      <c r="D320" s="177" t="s">
        <v>866</v>
      </c>
      <c r="E320" s="177" t="s">
        <v>391</v>
      </c>
      <c r="F320" s="177" t="s">
        <v>1</v>
      </c>
      <c r="G320" s="177" t="s">
        <v>136</v>
      </c>
      <c r="H320" s="8" t="str">
        <f t="shared" si="14"/>
        <v>AA</v>
      </c>
      <c r="I320" s="40" t="str">
        <f>IF(B320="","",VLOOKUP(D320,加弹汇总表!C:E,3,FALSE))</f>
        <v>75网络</v>
      </c>
      <c r="M320" s="177">
        <v>1853</v>
      </c>
      <c r="O320" s="191">
        <v>43766</v>
      </c>
      <c r="P320" s="72" t="str">
        <f>IF(B320="","",VLOOKUP(D320,setting!$C$2:$D$30,2,FALSE))</f>
        <v>喷水</v>
      </c>
      <c r="R320" s="30">
        <f t="shared" si="13"/>
        <v>10</v>
      </c>
    </row>
    <row r="321" spans="1:18" outlineLevel="1">
      <c r="A321" s="177" t="str">
        <f t="shared" si="12"/>
        <v>8413275D网络丝132/48黑喷水</v>
      </c>
      <c r="B321" s="177">
        <v>84132</v>
      </c>
      <c r="C321" s="177">
        <v>7</v>
      </c>
      <c r="D321" s="177" t="s">
        <v>866</v>
      </c>
      <c r="E321" s="177" t="s">
        <v>391</v>
      </c>
      <c r="F321" s="177" t="s">
        <v>1</v>
      </c>
      <c r="G321" s="177" t="s">
        <v>136</v>
      </c>
      <c r="H321" s="8" t="str">
        <f t="shared" si="14"/>
        <v>AA</v>
      </c>
      <c r="I321" s="40" t="str">
        <f>IF(B321="","",VLOOKUP(D321,加弹汇总表!C:E,3,FALSE))</f>
        <v>75网络</v>
      </c>
      <c r="M321" s="177">
        <v>591.66999999999996</v>
      </c>
      <c r="O321" s="191">
        <v>43766</v>
      </c>
      <c r="P321" s="72" t="str">
        <f>IF(B321="","",VLOOKUP(D321,setting!$C$2:$D$30,2,FALSE))</f>
        <v>喷水</v>
      </c>
      <c r="R321" s="30">
        <f t="shared" si="13"/>
        <v>10</v>
      </c>
    </row>
    <row r="322" spans="1:18" outlineLevel="1">
      <c r="A322" s="177" t="str">
        <f t="shared" ref="A322:A385" si="15">B322&amp;D322&amp;E322&amp;F322&amp;P322</f>
        <v>73003100D网络丝172/48白喷水</v>
      </c>
      <c r="B322" s="177">
        <v>73003</v>
      </c>
      <c r="C322" s="177">
        <v>1</v>
      </c>
      <c r="D322" s="177" t="s">
        <v>867</v>
      </c>
      <c r="E322" s="177" t="s">
        <v>404</v>
      </c>
      <c r="F322" s="177" t="s">
        <v>2</v>
      </c>
      <c r="G322" s="177" t="s">
        <v>146</v>
      </c>
      <c r="H322" s="8" t="str">
        <f t="shared" si="14"/>
        <v>AA</v>
      </c>
      <c r="I322" s="40" t="str">
        <f>IF(B322="","",VLOOKUP(D322,加弹汇总表!C:E,3,FALSE))</f>
        <v>100网络</v>
      </c>
      <c r="M322" s="177">
        <v>1160</v>
      </c>
      <c r="O322" s="191">
        <v>43766</v>
      </c>
      <c r="P322" s="72" t="str">
        <f>IF(B322="","",VLOOKUP(D322,setting!$C$2:$D$30,2,FALSE))</f>
        <v>喷水</v>
      </c>
      <c r="R322" s="30">
        <f t="shared" ref="R322:R385" si="16">IF(O322="","",MONTH(O322))</f>
        <v>10</v>
      </c>
    </row>
    <row r="323" spans="1:18" outlineLevel="1">
      <c r="A323" s="177" t="str">
        <f t="shared" si="15"/>
        <v>HP06074-1200D网络丝355/96黑喷水</v>
      </c>
      <c r="B323" s="177" t="s">
        <v>2458</v>
      </c>
      <c r="C323" s="177">
        <v>7</v>
      </c>
      <c r="D323" s="177" t="s">
        <v>868</v>
      </c>
      <c r="E323" s="177" t="s">
        <v>441</v>
      </c>
      <c r="F323" s="177" t="s">
        <v>1</v>
      </c>
      <c r="G323" s="177" t="s">
        <v>443</v>
      </c>
      <c r="H323" s="8" t="str">
        <f t="shared" si="14"/>
        <v>AA</v>
      </c>
      <c r="I323" s="40" t="str">
        <f>IF(B323="","",VLOOKUP(D323,加弹汇总表!C:E,3,FALSE))</f>
        <v>200网络</v>
      </c>
      <c r="M323" s="177">
        <v>1815</v>
      </c>
      <c r="O323" s="191">
        <v>43766</v>
      </c>
      <c r="P323" s="72" t="str">
        <f>IF(B323="","",VLOOKUP(D323,setting!$C$2:$D$30,2,FALSE))</f>
        <v>喷水</v>
      </c>
      <c r="R323" s="30">
        <f t="shared" si="16"/>
        <v>10</v>
      </c>
    </row>
    <row r="324" spans="1:18" outlineLevel="1">
      <c r="A324" s="177" t="str">
        <f t="shared" si="15"/>
        <v>S2121150D 135度有温丝89/48白圆机</v>
      </c>
      <c r="B324" s="177" t="s">
        <v>456</v>
      </c>
      <c r="C324" s="177">
        <v>4</v>
      </c>
      <c r="D324" s="177" t="s">
        <v>848</v>
      </c>
      <c r="E324" s="177" t="s">
        <v>455</v>
      </c>
      <c r="F324" s="177" t="s">
        <v>2</v>
      </c>
      <c r="G324" s="177" t="s">
        <v>158</v>
      </c>
      <c r="H324" s="8" t="str">
        <f t="shared" ref="H324:H387" si="17">IF(B324="","","AA")</f>
        <v>AA</v>
      </c>
      <c r="I324" s="40">
        <f>IF(B324="","",VLOOKUP(D324,加弹汇总表!C:E,3,FALSE))</f>
        <v>50</v>
      </c>
      <c r="M324" s="177">
        <v>593</v>
      </c>
      <c r="O324" s="191">
        <v>43767</v>
      </c>
      <c r="P324" s="72" t="str">
        <f>IF(B324="","",VLOOKUP(D324,setting!$C$2:$D$30,2,FALSE))</f>
        <v>圆机</v>
      </c>
      <c r="R324" s="30">
        <f t="shared" si="16"/>
        <v>10</v>
      </c>
    </row>
    <row r="325" spans="1:18" outlineLevel="1">
      <c r="A325" s="177" t="str">
        <f t="shared" si="15"/>
        <v>S2121150D 135度有温丝89/48白圆机</v>
      </c>
      <c r="B325" s="177" t="s">
        <v>456</v>
      </c>
      <c r="C325" s="177">
        <v>2</v>
      </c>
      <c r="D325" s="177" t="s">
        <v>848</v>
      </c>
      <c r="E325" s="177" t="s">
        <v>455</v>
      </c>
      <c r="F325" s="177" t="s">
        <v>2</v>
      </c>
      <c r="G325" s="177" t="s">
        <v>158</v>
      </c>
      <c r="H325" s="8" t="str">
        <f t="shared" si="17"/>
        <v>AA</v>
      </c>
      <c r="I325" s="40">
        <f>IF(B325="","",VLOOKUP(D325,加弹汇总表!C:E,3,FALSE))</f>
        <v>50</v>
      </c>
      <c r="M325" s="177">
        <v>1316</v>
      </c>
      <c r="O325" s="191">
        <v>43767</v>
      </c>
      <c r="P325" s="72" t="str">
        <f>IF(B325="","",VLOOKUP(D325,setting!$C$2:$D$30,2,FALSE))</f>
        <v>圆机</v>
      </c>
      <c r="R325" s="30">
        <f t="shared" si="16"/>
        <v>10</v>
      </c>
    </row>
    <row r="326" spans="1:18" outlineLevel="1">
      <c r="A326" s="177" t="str">
        <f t="shared" si="15"/>
        <v>3260550D无温丝104/36白无温圆机</v>
      </c>
      <c r="B326" s="177">
        <v>32605</v>
      </c>
      <c r="C326" s="177">
        <v>1</v>
      </c>
      <c r="D326" s="177" t="s">
        <v>871</v>
      </c>
      <c r="E326" s="177" t="s">
        <v>368</v>
      </c>
      <c r="F326" s="250" t="s">
        <v>2344</v>
      </c>
      <c r="G326" s="177" t="s">
        <v>146</v>
      </c>
      <c r="H326" s="8" t="str">
        <f t="shared" si="17"/>
        <v>AA</v>
      </c>
      <c r="I326" s="40">
        <f>IF(B326="","",VLOOKUP(D326,加弹汇总表!C:E,3,FALSE))</f>
        <v>50</v>
      </c>
      <c r="M326" s="177">
        <v>582</v>
      </c>
      <c r="O326" s="191">
        <v>43767</v>
      </c>
      <c r="P326" s="72" t="str">
        <f>IF(B326="","",VLOOKUP(D326,setting!$C$2:$D$30,2,FALSE))</f>
        <v>圆机</v>
      </c>
      <c r="R326" s="30">
        <f t="shared" si="16"/>
        <v>10</v>
      </c>
    </row>
    <row r="327" spans="1:18" outlineLevel="1">
      <c r="A327" s="177" t="str">
        <f t="shared" si="15"/>
        <v>64009450D94/36黑圆机</v>
      </c>
      <c r="B327" s="177">
        <v>640094</v>
      </c>
      <c r="C327" s="177">
        <v>6</v>
      </c>
      <c r="D327" s="177" t="s">
        <v>850</v>
      </c>
      <c r="E327" s="177" t="s">
        <v>460</v>
      </c>
      <c r="F327" s="177" t="s">
        <v>1</v>
      </c>
      <c r="G327" s="177" t="s">
        <v>136</v>
      </c>
      <c r="H327" s="8" t="str">
        <f t="shared" si="17"/>
        <v>AA</v>
      </c>
      <c r="I327" s="40">
        <f>IF(B327="","",VLOOKUP(D327,加弹汇总表!C:E,3,FALSE))</f>
        <v>50</v>
      </c>
      <c r="M327" s="177">
        <v>578</v>
      </c>
      <c r="O327" s="191">
        <v>43767</v>
      </c>
      <c r="P327" s="72" t="str">
        <f>IF(B327="","",VLOOKUP(D327,setting!$C$2:$D$30,2,FALSE))</f>
        <v>圆机</v>
      </c>
      <c r="R327" s="30">
        <f t="shared" si="16"/>
        <v>10</v>
      </c>
    </row>
    <row r="328" spans="1:18" outlineLevel="1">
      <c r="A328" s="177" t="str">
        <f t="shared" si="15"/>
        <v>S2132575D 135度低温丝130/48白圆机</v>
      </c>
      <c r="B328" s="177" t="s">
        <v>384</v>
      </c>
      <c r="C328" s="177">
        <v>4</v>
      </c>
      <c r="D328" s="177" t="s">
        <v>856</v>
      </c>
      <c r="E328" s="177" t="s">
        <v>381</v>
      </c>
      <c r="F328" s="177" t="s">
        <v>2</v>
      </c>
      <c r="G328" s="177" t="s">
        <v>158</v>
      </c>
      <c r="H328" s="8" t="str">
        <f t="shared" si="17"/>
        <v>AA</v>
      </c>
      <c r="I328" s="40">
        <f>IF(B328="","",VLOOKUP(D328,加弹汇总表!C:E,3,FALSE))</f>
        <v>75</v>
      </c>
      <c r="M328" s="177">
        <v>1203</v>
      </c>
      <c r="O328" s="191">
        <v>43767</v>
      </c>
      <c r="P328" s="72" t="str">
        <f>IF(B328="","",VLOOKUP(D328,setting!$C$2:$D$30,2,FALSE))</f>
        <v>圆机</v>
      </c>
      <c r="R328" s="30">
        <f t="shared" si="16"/>
        <v>10</v>
      </c>
    </row>
    <row r="329" spans="1:18" outlineLevel="1">
      <c r="A329" s="177" t="str">
        <f t="shared" si="15"/>
        <v>S21102P20D网络丝35/24白喷水</v>
      </c>
      <c r="B329" s="177" t="s">
        <v>438</v>
      </c>
      <c r="C329" s="177">
        <v>3</v>
      </c>
      <c r="D329" s="177" t="s">
        <v>861</v>
      </c>
      <c r="E329" s="177" t="s">
        <v>437</v>
      </c>
      <c r="F329" s="177" t="s">
        <v>2</v>
      </c>
      <c r="G329" s="177" t="s">
        <v>158</v>
      </c>
      <c r="H329" s="8" t="str">
        <f t="shared" si="17"/>
        <v>AA</v>
      </c>
      <c r="I329" s="40" t="str">
        <f>IF(B329="","",VLOOKUP(D329,加弹汇总表!C:E,3,FALSE))</f>
        <v>20网络</v>
      </c>
      <c r="M329" s="177">
        <v>410</v>
      </c>
      <c r="O329" s="191">
        <v>43767</v>
      </c>
      <c r="P329" s="72" t="str">
        <f>IF(B329="","",VLOOKUP(D329,setting!$C$2:$D$30,2,FALSE))</f>
        <v>喷水</v>
      </c>
      <c r="R329" s="30">
        <f t="shared" si="16"/>
        <v>10</v>
      </c>
    </row>
    <row r="330" spans="1:18" outlineLevel="1">
      <c r="A330" s="177" t="str">
        <f t="shared" si="15"/>
        <v>24003620D网络丝36/24黑喷水</v>
      </c>
      <c r="B330" s="177">
        <v>240036</v>
      </c>
      <c r="C330" s="177">
        <v>8</v>
      </c>
      <c r="D330" s="177" t="s">
        <v>861</v>
      </c>
      <c r="E330" s="177" t="s">
        <v>447</v>
      </c>
      <c r="F330" s="177" t="s">
        <v>1</v>
      </c>
      <c r="G330" s="177" t="s">
        <v>136</v>
      </c>
      <c r="H330" s="8" t="str">
        <f t="shared" si="17"/>
        <v>AA</v>
      </c>
      <c r="I330" s="40" t="str">
        <f>IF(B330="","",VLOOKUP(D330,加弹汇总表!C:E,3,FALSE))</f>
        <v>20网络</v>
      </c>
      <c r="M330" s="177">
        <v>240</v>
      </c>
      <c r="O330" s="191">
        <v>43767</v>
      </c>
      <c r="P330" s="72" t="str">
        <f>IF(B330="","",VLOOKUP(D330,setting!$C$2:$D$30,2,FALSE))</f>
        <v>喷水</v>
      </c>
      <c r="R330" s="30">
        <f t="shared" si="16"/>
        <v>10</v>
      </c>
    </row>
    <row r="331" spans="1:18" outlineLevel="1">
      <c r="A331" s="177" t="str">
        <f t="shared" si="15"/>
        <v>24005530D网络丝55/24黑喷水</v>
      </c>
      <c r="B331" s="177">
        <v>240055</v>
      </c>
      <c r="C331" s="177">
        <v>8</v>
      </c>
      <c r="D331" s="177" t="s">
        <v>863</v>
      </c>
      <c r="E331" s="177" t="s">
        <v>452</v>
      </c>
      <c r="F331" s="177" t="s">
        <v>1</v>
      </c>
      <c r="G331" s="177" t="s">
        <v>136</v>
      </c>
      <c r="H331" s="8" t="str">
        <f t="shared" si="17"/>
        <v>AA</v>
      </c>
      <c r="I331" s="40" t="str">
        <f>IF(B331="","",VLOOKUP(D331,加弹汇总表!C:E,3,FALSE))</f>
        <v>30网络</v>
      </c>
      <c r="M331" s="177">
        <v>219.27</v>
      </c>
      <c r="O331" s="191">
        <v>43767</v>
      </c>
      <c r="P331" s="72" t="str">
        <f>IF(B331="","",VLOOKUP(D331,setting!$C$2:$D$30,2,FALSE))</f>
        <v>喷水</v>
      </c>
      <c r="R331" s="30">
        <f t="shared" si="16"/>
        <v>10</v>
      </c>
    </row>
    <row r="332" spans="1:18" outlineLevel="1">
      <c r="A332" s="177" t="str">
        <f t="shared" si="15"/>
        <v>64009450D网络丝94/36黑喷水</v>
      </c>
      <c r="B332" s="177">
        <v>640094</v>
      </c>
      <c r="C332" s="177">
        <v>6</v>
      </c>
      <c r="D332" s="177" t="s">
        <v>865</v>
      </c>
      <c r="E332" s="177" t="s">
        <v>460</v>
      </c>
      <c r="F332" s="177" t="s">
        <v>1</v>
      </c>
      <c r="G332" s="177" t="s">
        <v>136</v>
      </c>
      <c r="H332" s="8" t="str">
        <f t="shared" si="17"/>
        <v>AA</v>
      </c>
      <c r="I332" s="40" t="str">
        <f>IF(B332="","",VLOOKUP(D332,加弹汇总表!C:E,3,FALSE))</f>
        <v>50网络</v>
      </c>
      <c r="M332" s="177">
        <v>656</v>
      </c>
      <c r="O332" s="191">
        <v>43767</v>
      </c>
      <c r="P332" s="72" t="str">
        <f>IF(B332="","",VLOOKUP(D332,setting!$C$2:$D$30,2,FALSE))</f>
        <v>喷水</v>
      </c>
      <c r="R332" s="30">
        <f t="shared" si="16"/>
        <v>10</v>
      </c>
    </row>
    <row r="333" spans="1:18" outlineLevel="1">
      <c r="A333" s="177" t="str">
        <f t="shared" si="15"/>
        <v>8413275D网络丝132/48黑喷水</v>
      </c>
      <c r="B333" s="177">
        <v>84132</v>
      </c>
      <c r="C333" s="177">
        <v>5</v>
      </c>
      <c r="D333" s="177" t="s">
        <v>866</v>
      </c>
      <c r="E333" s="177" t="s">
        <v>391</v>
      </c>
      <c r="F333" s="177" t="s">
        <v>1</v>
      </c>
      <c r="G333" s="177" t="s">
        <v>136</v>
      </c>
      <c r="H333" s="8" t="str">
        <f t="shared" si="17"/>
        <v>AA</v>
      </c>
      <c r="I333" s="40" t="str">
        <f>IF(B333="","",VLOOKUP(D333,加弹汇总表!C:E,3,FALSE))</f>
        <v>75网络</v>
      </c>
      <c r="M333" s="177">
        <v>1950</v>
      </c>
      <c r="O333" s="191">
        <v>43767</v>
      </c>
      <c r="P333" s="72" t="str">
        <f>IF(B333="","",VLOOKUP(D333,setting!$C$2:$D$30,2,FALSE))</f>
        <v>喷水</v>
      </c>
      <c r="R333" s="30">
        <f t="shared" si="16"/>
        <v>10</v>
      </c>
    </row>
    <row r="334" spans="1:18" outlineLevel="1">
      <c r="A334" s="177" t="str">
        <f t="shared" si="15"/>
        <v>8413275D网络丝132/48黑喷水</v>
      </c>
      <c r="B334" s="177">
        <v>84132</v>
      </c>
      <c r="C334" s="177">
        <v>7</v>
      </c>
      <c r="D334" s="177" t="s">
        <v>866</v>
      </c>
      <c r="E334" s="177" t="s">
        <v>391</v>
      </c>
      <c r="F334" s="177" t="s">
        <v>1</v>
      </c>
      <c r="G334" s="177" t="s">
        <v>136</v>
      </c>
      <c r="H334" s="8" t="str">
        <f t="shared" si="17"/>
        <v>AA</v>
      </c>
      <c r="I334" s="40" t="str">
        <f>IF(B334="","",VLOOKUP(D334,加弹汇总表!C:E,3,FALSE))</f>
        <v>75网络</v>
      </c>
      <c r="M334" s="177">
        <v>589.37</v>
      </c>
      <c r="O334" s="191">
        <v>43767</v>
      </c>
      <c r="P334" s="72" t="str">
        <f>IF(B334="","",VLOOKUP(D334,setting!$C$2:$D$30,2,FALSE))</f>
        <v>喷水</v>
      </c>
      <c r="R334" s="30">
        <f t="shared" si="16"/>
        <v>10</v>
      </c>
    </row>
    <row r="335" spans="1:18" outlineLevel="1">
      <c r="A335" s="177" t="str">
        <f t="shared" si="15"/>
        <v>73003100D网络丝172/48白喷水</v>
      </c>
      <c r="B335" s="177">
        <v>73003</v>
      </c>
      <c r="C335" s="177">
        <v>1</v>
      </c>
      <c r="D335" s="177" t="s">
        <v>867</v>
      </c>
      <c r="E335" s="177" t="s">
        <v>404</v>
      </c>
      <c r="F335" s="177" t="s">
        <v>2</v>
      </c>
      <c r="G335" s="177" t="s">
        <v>146</v>
      </c>
      <c r="H335" s="8" t="str">
        <f t="shared" si="17"/>
        <v>AA</v>
      </c>
      <c r="I335" s="40" t="str">
        <f>IF(B335="","",VLOOKUP(D335,加弹汇总表!C:E,3,FALSE))</f>
        <v>100网络</v>
      </c>
      <c r="M335" s="177">
        <v>1200</v>
      </c>
      <c r="O335" s="191">
        <v>43767</v>
      </c>
      <c r="P335" s="72" t="str">
        <f>IF(B335="","",VLOOKUP(D335,setting!$C$2:$D$30,2,FALSE))</f>
        <v>喷水</v>
      </c>
      <c r="R335" s="30">
        <f t="shared" si="16"/>
        <v>10</v>
      </c>
    </row>
    <row r="336" spans="1:18" outlineLevel="1">
      <c r="A336" s="177" t="str">
        <f t="shared" si="15"/>
        <v>HP06074-1200D网络丝355/96黑喷水</v>
      </c>
      <c r="B336" s="206" t="s">
        <v>2459</v>
      </c>
      <c r="C336" s="177">
        <v>7</v>
      </c>
      <c r="D336" s="177" t="s">
        <v>868</v>
      </c>
      <c r="E336" s="177" t="s">
        <v>441</v>
      </c>
      <c r="F336" s="177" t="s">
        <v>1</v>
      </c>
      <c r="G336" s="177" t="s">
        <v>443</v>
      </c>
      <c r="H336" s="8" t="str">
        <f t="shared" si="17"/>
        <v>AA</v>
      </c>
      <c r="I336" s="40" t="str">
        <f>IF(B336="","",VLOOKUP(D336,加弹汇总表!C:E,3,FALSE))</f>
        <v>200网络</v>
      </c>
      <c r="M336" s="177">
        <v>2562</v>
      </c>
      <c r="O336" s="191">
        <v>43767</v>
      </c>
      <c r="P336" s="72" t="str">
        <f>IF(B336="","",VLOOKUP(D336,setting!$C$2:$D$30,2,FALSE))</f>
        <v>喷水</v>
      </c>
      <c r="R336" s="30">
        <f t="shared" si="16"/>
        <v>10</v>
      </c>
    </row>
    <row r="337" spans="1:18" outlineLevel="1">
      <c r="A337" s="177" t="str">
        <f t="shared" si="15"/>
        <v>S2121150D 135度有温丝89/48白圆机</v>
      </c>
      <c r="B337" s="177" t="s">
        <v>456</v>
      </c>
      <c r="C337" s="177">
        <v>4</v>
      </c>
      <c r="D337" s="177" t="s">
        <v>848</v>
      </c>
      <c r="E337" s="177" t="s">
        <v>455</v>
      </c>
      <c r="F337" s="177" t="s">
        <v>2</v>
      </c>
      <c r="G337" s="177" t="s">
        <v>158</v>
      </c>
      <c r="H337" s="8" t="str">
        <f t="shared" si="17"/>
        <v>AA</v>
      </c>
      <c r="I337" s="40">
        <f>IF(B337="","",VLOOKUP(D337,加弹汇总表!C:E,3,FALSE))</f>
        <v>50</v>
      </c>
      <c r="M337" s="177">
        <v>576</v>
      </c>
      <c r="O337" s="191">
        <v>43768</v>
      </c>
      <c r="P337" s="72" t="str">
        <f>IF(B337="","",VLOOKUP(D337,setting!$C$2:$D$30,2,FALSE))</f>
        <v>圆机</v>
      </c>
      <c r="R337" s="30">
        <f t="shared" si="16"/>
        <v>10</v>
      </c>
    </row>
    <row r="338" spans="1:18" outlineLevel="1">
      <c r="A338" s="177" t="str">
        <f t="shared" si="15"/>
        <v>S2121150D 135度有温丝89/48白圆机</v>
      </c>
      <c r="B338" s="177" t="s">
        <v>456</v>
      </c>
      <c r="C338" s="177">
        <v>2</v>
      </c>
      <c r="D338" s="177" t="s">
        <v>848</v>
      </c>
      <c r="E338" s="177" t="s">
        <v>455</v>
      </c>
      <c r="F338" s="177" t="s">
        <v>2</v>
      </c>
      <c r="G338" s="177" t="s">
        <v>158</v>
      </c>
      <c r="H338" s="8" t="str">
        <f t="shared" si="17"/>
        <v>AA</v>
      </c>
      <c r="I338" s="40">
        <f>IF(B338="","",VLOOKUP(D338,加弹汇总表!C:E,3,FALSE))</f>
        <v>50</v>
      </c>
      <c r="M338" s="177">
        <v>1188.5</v>
      </c>
      <c r="O338" s="191">
        <v>43768</v>
      </c>
      <c r="P338" s="72" t="str">
        <f>IF(B338="","",VLOOKUP(D338,setting!$C$2:$D$30,2,FALSE))</f>
        <v>圆机</v>
      </c>
      <c r="R338" s="30">
        <f t="shared" si="16"/>
        <v>10</v>
      </c>
    </row>
    <row r="339" spans="1:18" outlineLevel="1">
      <c r="A339" s="177" t="str">
        <f t="shared" si="15"/>
        <v>3260550D无温丝104/36白无温圆机</v>
      </c>
      <c r="B339" s="177">
        <v>32605</v>
      </c>
      <c r="C339" s="177">
        <v>1</v>
      </c>
      <c r="D339" s="177" t="s">
        <v>871</v>
      </c>
      <c r="E339" s="177" t="s">
        <v>368</v>
      </c>
      <c r="F339" s="250" t="s">
        <v>2344</v>
      </c>
      <c r="G339" s="177" t="s">
        <v>146</v>
      </c>
      <c r="H339" s="8" t="str">
        <f t="shared" si="17"/>
        <v>AA</v>
      </c>
      <c r="I339" s="40">
        <f>IF(B339="","",VLOOKUP(D339,加弹汇总表!C:E,3,FALSE))</f>
        <v>50</v>
      </c>
      <c r="M339" s="177">
        <v>609.5</v>
      </c>
      <c r="O339" s="191">
        <v>43768</v>
      </c>
      <c r="P339" s="72" t="str">
        <f>IF(B339="","",VLOOKUP(D339,setting!$C$2:$D$30,2,FALSE))</f>
        <v>圆机</v>
      </c>
      <c r="R339" s="30">
        <f t="shared" si="16"/>
        <v>10</v>
      </c>
    </row>
    <row r="340" spans="1:18" outlineLevel="1">
      <c r="A340" s="177" t="str">
        <f t="shared" si="15"/>
        <v>64009450D94/36黑圆机</v>
      </c>
      <c r="B340" s="177">
        <v>640094</v>
      </c>
      <c r="C340" s="177">
        <v>6</v>
      </c>
      <c r="D340" s="177" t="s">
        <v>850</v>
      </c>
      <c r="E340" s="177" t="s">
        <v>460</v>
      </c>
      <c r="F340" s="177" t="s">
        <v>1</v>
      </c>
      <c r="G340" s="177" t="s">
        <v>136</v>
      </c>
      <c r="H340" s="8" t="str">
        <f t="shared" si="17"/>
        <v>AA</v>
      </c>
      <c r="I340" s="40">
        <f>IF(B340="","",VLOOKUP(D340,加弹汇总表!C:E,3,FALSE))</f>
        <v>50</v>
      </c>
      <c r="M340" s="177">
        <v>699</v>
      </c>
      <c r="O340" s="191">
        <v>43768</v>
      </c>
      <c r="P340" s="72" t="str">
        <f>IF(B340="","",VLOOKUP(D340,setting!$C$2:$D$30,2,FALSE))</f>
        <v>圆机</v>
      </c>
      <c r="R340" s="30">
        <f t="shared" si="16"/>
        <v>10</v>
      </c>
    </row>
    <row r="341" spans="1:18" outlineLevel="1">
      <c r="A341" s="177" t="str">
        <f t="shared" si="15"/>
        <v>S2132575D 135度低温丝130/48白圆机</v>
      </c>
      <c r="B341" s="177" t="s">
        <v>384</v>
      </c>
      <c r="C341" s="177">
        <v>4</v>
      </c>
      <c r="D341" s="177" t="s">
        <v>856</v>
      </c>
      <c r="E341" s="177" t="s">
        <v>381</v>
      </c>
      <c r="F341" s="177" t="s">
        <v>2</v>
      </c>
      <c r="G341" s="177" t="s">
        <v>158</v>
      </c>
      <c r="H341" s="8" t="str">
        <f t="shared" si="17"/>
        <v>AA</v>
      </c>
      <c r="I341" s="40">
        <f>IF(B341="","",VLOOKUP(D341,加弹汇总表!C:E,3,FALSE))</f>
        <v>75</v>
      </c>
      <c r="M341" s="177">
        <v>609</v>
      </c>
      <c r="O341" s="191">
        <v>43768</v>
      </c>
      <c r="P341" s="72" t="str">
        <f>IF(B341="","",VLOOKUP(D341,setting!$C$2:$D$30,2,FALSE))</f>
        <v>圆机</v>
      </c>
      <c r="R341" s="30">
        <f t="shared" si="16"/>
        <v>10</v>
      </c>
    </row>
    <row r="342" spans="1:18" outlineLevel="1">
      <c r="A342" s="177" t="str">
        <f t="shared" si="15"/>
        <v>S21102P20D网络丝35/24白喷水</v>
      </c>
      <c r="B342" s="177" t="s">
        <v>438</v>
      </c>
      <c r="C342" s="177">
        <v>3</v>
      </c>
      <c r="D342" s="177" t="s">
        <v>861</v>
      </c>
      <c r="E342" s="177" t="s">
        <v>437</v>
      </c>
      <c r="F342" s="177" t="s">
        <v>2</v>
      </c>
      <c r="G342" s="177" t="s">
        <v>158</v>
      </c>
      <c r="H342" s="8" t="str">
        <f t="shared" si="17"/>
        <v>AA</v>
      </c>
      <c r="I342" s="40" t="str">
        <f>IF(B342="","",VLOOKUP(D342,加弹汇总表!C:E,3,FALSE))</f>
        <v>20网络</v>
      </c>
      <c r="M342" s="177">
        <v>362</v>
      </c>
      <c r="O342" s="191">
        <v>43768</v>
      </c>
      <c r="P342" s="72" t="str">
        <f>IF(B342="","",VLOOKUP(D342,setting!$C$2:$D$30,2,FALSE))</f>
        <v>喷水</v>
      </c>
      <c r="R342" s="30">
        <f t="shared" si="16"/>
        <v>10</v>
      </c>
    </row>
    <row r="343" spans="1:18" outlineLevel="1">
      <c r="A343" s="177" t="str">
        <f t="shared" si="15"/>
        <v>24003620D网络丝36/24黑喷水</v>
      </c>
      <c r="B343" s="177">
        <v>240036</v>
      </c>
      <c r="C343" s="177">
        <v>8</v>
      </c>
      <c r="D343" s="177" t="s">
        <v>861</v>
      </c>
      <c r="E343" s="177" t="s">
        <v>447</v>
      </c>
      <c r="F343" s="177" t="s">
        <v>1</v>
      </c>
      <c r="G343" s="177" t="s">
        <v>136</v>
      </c>
      <c r="H343" s="8" t="str">
        <f t="shared" si="17"/>
        <v>AA</v>
      </c>
      <c r="I343" s="40" t="str">
        <f>IF(B343="","",VLOOKUP(D343,加弹汇总表!C:E,3,FALSE))</f>
        <v>20网络</v>
      </c>
      <c r="M343" s="177">
        <v>320</v>
      </c>
      <c r="O343" s="191">
        <v>43768</v>
      </c>
      <c r="P343" s="72" t="str">
        <f>IF(B343="","",VLOOKUP(D343,setting!$C$2:$D$30,2,FALSE))</f>
        <v>喷水</v>
      </c>
      <c r="R343" s="30">
        <f t="shared" si="16"/>
        <v>10</v>
      </c>
    </row>
    <row r="344" spans="1:18" outlineLevel="1">
      <c r="A344" s="177" t="str">
        <f t="shared" si="15"/>
        <v>24005530D网络丝55/24黑喷水</v>
      </c>
      <c r="B344" s="177">
        <v>240055</v>
      </c>
      <c r="C344" s="177">
        <v>8</v>
      </c>
      <c r="D344" s="177" t="s">
        <v>863</v>
      </c>
      <c r="E344" s="177" t="s">
        <v>452</v>
      </c>
      <c r="F344" s="177" t="s">
        <v>1</v>
      </c>
      <c r="G344" s="177" t="s">
        <v>136</v>
      </c>
      <c r="H344" s="8" t="str">
        <f t="shared" si="17"/>
        <v>AA</v>
      </c>
      <c r="I344" s="40" t="str">
        <f>IF(B344="","",VLOOKUP(D344,加弹汇总表!C:E,3,FALSE))</f>
        <v>30网络</v>
      </c>
      <c r="M344" s="177">
        <v>161.6</v>
      </c>
      <c r="O344" s="191">
        <v>43768</v>
      </c>
      <c r="P344" s="72" t="str">
        <f>IF(B344="","",VLOOKUP(D344,setting!$C$2:$D$30,2,FALSE))</f>
        <v>喷水</v>
      </c>
      <c r="R344" s="30">
        <f t="shared" si="16"/>
        <v>10</v>
      </c>
    </row>
    <row r="345" spans="1:18" outlineLevel="1">
      <c r="A345" s="177" t="str">
        <f t="shared" si="15"/>
        <v>64009450D网络丝94/36黑喷水</v>
      </c>
      <c r="B345" s="177">
        <v>640094</v>
      </c>
      <c r="C345" s="177">
        <v>6</v>
      </c>
      <c r="D345" s="177" t="s">
        <v>865</v>
      </c>
      <c r="E345" s="177" t="s">
        <v>460</v>
      </c>
      <c r="F345" s="177" t="s">
        <v>1</v>
      </c>
      <c r="G345" s="177" t="s">
        <v>136</v>
      </c>
      <c r="H345" s="8" t="str">
        <f t="shared" si="17"/>
        <v>AA</v>
      </c>
      <c r="I345" s="40" t="str">
        <f>IF(B345="","",VLOOKUP(D345,加弹汇总表!C:E,3,FALSE))</f>
        <v>50网络</v>
      </c>
      <c r="M345" s="177">
        <v>115</v>
      </c>
      <c r="O345" s="191">
        <v>43768</v>
      </c>
      <c r="P345" s="72" t="str">
        <f>IF(B345="","",VLOOKUP(D345,setting!$C$2:$D$30,2,FALSE))</f>
        <v>喷水</v>
      </c>
      <c r="R345" s="30">
        <f t="shared" si="16"/>
        <v>10</v>
      </c>
    </row>
    <row r="346" spans="1:18" outlineLevel="1">
      <c r="A346" s="177" t="str">
        <f t="shared" si="15"/>
        <v>8413275D网络丝132/48黑喷水</v>
      </c>
      <c r="B346" s="177">
        <v>84132</v>
      </c>
      <c r="C346" s="177">
        <v>5</v>
      </c>
      <c r="D346" s="177" t="s">
        <v>866</v>
      </c>
      <c r="E346" s="177" t="s">
        <v>391</v>
      </c>
      <c r="F346" s="177" t="s">
        <v>1</v>
      </c>
      <c r="G346" s="177" t="s">
        <v>136</v>
      </c>
      <c r="H346" s="8" t="str">
        <f t="shared" si="17"/>
        <v>AA</v>
      </c>
      <c r="I346" s="40" t="str">
        <f>IF(B346="","",VLOOKUP(D346,加弹汇总表!C:E,3,FALSE))</f>
        <v>75网络</v>
      </c>
      <c r="M346" s="177">
        <v>1223</v>
      </c>
      <c r="O346" s="191">
        <v>43768</v>
      </c>
      <c r="P346" s="72" t="str">
        <f>IF(B346="","",VLOOKUP(D346,setting!$C$2:$D$30,2,FALSE))</f>
        <v>喷水</v>
      </c>
      <c r="R346" s="30">
        <f t="shared" si="16"/>
        <v>10</v>
      </c>
    </row>
    <row r="347" spans="1:18" outlineLevel="1">
      <c r="A347" s="177" t="str">
        <f t="shared" si="15"/>
        <v>8413275D网络丝132/48黑喷水</v>
      </c>
      <c r="B347" s="177">
        <v>84132</v>
      </c>
      <c r="C347" s="177">
        <v>7</v>
      </c>
      <c r="D347" s="177" t="s">
        <v>866</v>
      </c>
      <c r="E347" s="177" t="s">
        <v>391</v>
      </c>
      <c r="F347" s="177" t="s">
        <v>1</v>
      </c>
      <c r="G347" s="177" t="s">
        <v>136</v>
      </c>
      <c r="H347" s="8" t="str">
        <f t="shared" si="17"/>
        <v>AA</v>
      </c>
      <c r="I347" s="40" t="str">
        <f>IF(B347="","",VLOOKUP(D347,加弹汇总表!C:E,3,FALSE))</f>
        <v>75网络</v>
      </c>
      <c r="M347" s="177">
        <v>594.35</v>
      </c>
      <c r="O347" s="191">
        <v>43768</v>
      </c>
      <c r="P347" s="72" t="str">
        <f>IF(B347="","",VLOOKUP(D347,setting!$C$2:$D$30,2,FALSE))</f>
        <v>喷水</v>
      </c>
      <c r="R347" s="30">
        <f t="shared" si="16"/>
        <v>10</v>
      </c>
    </row>
    <row r="348" spans="1:18" outlineLevel="1">
      <c r="A348" s="177" t="str">
        <f t="shared" si="15"/>
        <v>73003100D网络丝172/48白喷水</v>
      </c>
      <c r="B348" s="177">
        <v>73003</v>
      </c>
      <c r="C348" s="177">
        <v>1</v>
      </c>
      <c r="D348" s="177" t="s">
        <v>867</v>
      </c>
      <c r="E348" s="177" t="s">
        <v>404</v>
      </c>
      <c r="F348" s="177" t="s">
        <v>2</v>
      </c>
      <c r="G348" s="177" t="s">
        <v>146</v>
      </c>
      <c r="H348" s="8" t="str">
        <f t="shared" si="17"/>
        <v>AA</v>
      </c>
      <c r="I348" s="40" t="str">
        <f>IF(B348="","",VLOOKUP(D348,加弹汇总表!C:E,3,FALSE))</f>
        <v>100网络</v>
      </c>
      <c r="M348" s="177">
        <v>1296</v>
      </c>
      <c r="O348" s="191">
        <v>43768</v>
      </c>
      <c r="P348" s="72" t="str">
        <f>IF(B348="","",VLOOKUP(D348,setting!$C$2:$D$30,2,FALSE))</f>
        <v>喷水</v>
      </c>
      <c r="R348" s="30">
        <f t="shared" si="16"/>
        <v>10</v>
      </c>
    </row>
    <row r="349" spans="1:18" outlineLevel="1">
      <c r="A349" s="177" t="str">
        <f t="shared" si="15"/>
        <v>HP06074-1200D网络丝355/96黑喷水</v>
      </c>
      <c r="B349" s="177" t="s">
        <v>2458</v>
      </c>
      <c r="C349" s="177">
        <v>7</v>
      </c>
      <c r="D349" s="177" t="s">
        <v>868</v>
      </c>
      <c r="E349" s="177" t="s">
        <v>441</v>
      </c>
      <c r="F349" s="177" t="s">
        <v>1</v>
      </c>
      <c r="G349" s="177" t="s">
        <v>443</v>
      </c>
      <c r="H349" s="8" t="str">
        <f t="shared" si="17"/>
        <v>AA</v>
      </c>
      <c r="I349" s="40" t="str">
        <f>IF(B349="","",VLOOKUP(D349,加弹汇总表!C:E,3,FALSE))</f>
        <v>200网络</v>
      </c>
      <c r="M349" s="177">
        <v>1967</v>
      </c>
      <c r="O349" s="191">
        <v>43768</v>
      </c>
      <c r="P349" s="72" t="str">
        <f>IF(B349="","",VLOOKUP(D349,setting!$C$2:$D$30,2,FALSE))</f>
        <v>喷水</v>
      </c>
      <c r="R349" s="30">
        <f t="shared" si="16"/>
        <v>10</v>
      </c>
    </row>
    <row r="350" spans="1:18" outlineLevel="1">
      <c r="A350" s="177" t="str">
        <f t="shared" si="15"/>
        <v>S2121150D 135度有温丝89/48白圆机</v>
      </c>
      <c r="B350" s="177" t="s">
        <v>456</v>
      </c>
      <c r="C350" s="177">
        <v>4</v>
      </c>
      <c r="D350" s="177" t="s">
        <v>848</v>
      </c>
      <c r="E350" s="177" t="s">
        <v>455</v>
      </c>
      <c r="F350" s="177" t="s">
        <v>2</v>
      </c>
      <c r="G350" s="177" t="s">
        <v>158</v>
      </c>
      <c r="H350" s="8" t="str">
        <f t="shared" si="17"/>
        <v>AA</v>
      </c>
      <c r="I350" s="40">
        <f>IF(B350="","",VLOOKUP(D350,加弹汇总表!C:E,3,FALSE))</f>
        <v>50</v>
      </c>
      <c r="M350" s="177">
        <v>584.5</v>
      </c>
      <c r="O350" s="191">
        <v>43769</v>
      </c>
      <c r="P350" s="72" t="str">
        <f>IF(B350="","",VLOOKUP(D350,setting!$C$2:$D$30,2,FALSE))</f>
        <v>圆机</v>
      </c>
      <c r="R350" s="30">
        <f t="shared" si="16"/>
        <v>10</v>
      </c>
    </row>
    <row r="351" spans="1:18" outlineLevel="1">
      <c r="A351" s="177" t="str">
        <f t="shared" si="15"/>
        <v>S2121150D 135度有温丝89/48白圆机</v>
      </c>
      <c r="B351" s="177" t="s">
        <v>456</v>
      </c>
      <c r="C351" s="177">
        <v>2</v>
      </c>
      <c r="D351" s="177" t="s">
        <v>848</v>
      </c>
      <c r="E351" s="177" t="s">
        <v>455</v>
      </c>
      <c r="F351" s="177" t="s">
        <v>2</v>
      </c>
      <c r="G351" s="177" t="s">
        <v>158</v>
      </c>
      <c r="H351" s="8" t="str">
        <f t="shared" si="17"/>
        <v>AA</v>
      </c>
      <c r="I351" s="40">
        <f>IF(B351="","",VLOOKUP(D351,加弹汇总表!C:E,3,FALSE))</f>
        <v>50</v>
      </c>
      <c r="M351" s="177">
        <v>1735</v>
      </c>
      <c r="O351" s="191">
        <v>43769</v>
      </c>
      <c r="P351" s="72" t="str">
        <f>IF(B351="","",VLOOKUP(D351,setting!$C$2:$D$30,2,FALSE))</f>
        <v>圆机</v>
      </c>
      <c r="R351" s="30">
        <f t="shared" si="16"/>
        <v>10</v>
      </c>
    </row>
    <row r="352" spans="1:18" outlineLevel="1">
      <c r="A352" s="177" t="str">
        <f t="shared" si="15"/>
        <v>3260550D无温丝104/36白无温圆机</v>
      </c>
      <c r="B352" s="177">
        <v>32605</v>
      </c>
      <c r="C352" s="177">
        <v>1</v>
      </c>
      <c r="D352" s="177" t="s">
        <v>871</v>
      </c>
      <c r="E352" s="177" t="s">
        <v>368</v>
      </c>
      <c r="F352" s="250" t="s">
        <v>2344</v>
      </c>
      <c r="G352" s="177" t="s">
        <v>146</v>
      </c>
      <c r="H352" s="8" t="str">
        <f t="shared" si="17"/>
        <v>AA</v>
      </c>
      <c r="I352" s="40">
        <f>IF(B352="","",VLOOKUP(D352,加弹汇总表!C:E,3,FALSE))</f>
        <v>50</v>
      </c>
      <c r="M352" s="177">
        <v>1160.5</v>
      </c>
      <c r="O352" s="191">
        <v>43769</v>
      </c>
      <c r="P352" s="72" t="str">
        <f>IF(B352="","",VLOOKUP(D352,setting!$C$2:$D$30,2,FALSE))</f>
        <v>圆机</v>
      </c>
      <c r="R352" s="30">
        <f t="shared" si="16"/>
        <v>10</v>
      </c>
    </row>
    <row r="353" spans="1:18" outlineLevel="1">
      <c r="A353" s="177" t="str">
        <f t="shared" si="15"/>
        <v>64009450D94/36黑圆机</v>
      </c>
      <c r="B353" s="177">
        <v>640094</v>
      </c>
      <c r="C353" s="177">
        <v>6</v>
      </c>
      <c r="D353" s="177" t="s">
        <v>850</v>
      </c>
      <c r="E353" s="177" t="s">
        <v>460</v>
      </c>
      <c r="F353" s="177" t="s">
        <v>1</v>
      </c>
      <c r="G353" s="177" t="s">
        <v>136</v>
      </c>
      <c r="H353" s="8" t="str">
        <f t="shared" si="17"/>
        <v>AA</v>
      </c>
      <c r="I353" s="40">
        <f>IF(B353="","",VLOOKUP(D353,加弹汇总表!C:E,3,FALSE))</f>
        <v>50</v>
      </c>
      <c r="M353" s="177">
        <v>609</v>
      </c>
      <c r="O353" s="191">
        <v>43769</v>
      </c>
      <c r="P353" s="72" t="str">
        <f>IF(B353="","",VLOOKUP(D353,setting!$C$2:$D$30,2,FALSE))</f>
        <v>圆机</v>
      </c>
      <c r="R353" s="30">
        <f t="shared" si="16"/>
        <v>10</v>
      </c>
    </row>
    <row r="354" spans="1:18" outlineLevel="1">
      <c r="A354" s="177" t="str">
        <f t="shared" si="15"/>
        <v>S2132575D 135度低温丝130/48白圆机</v>
      </c>
      <c r="B354" s="177" t="s">
        <v>384</v>
      </c>
      <c r="C354" s="177">
        <v>4</v>
      </c>
      <c r="D354" s="177" t="s">
        <v>856</v>
      </c>
      <c r="E354" s="177" t="s">
        <v>381</v>
      </c>
      <c r="F354" s="177" t="s">
        <v>2</v>
      </c>
      <c r="G354" s="177" t="s">
        <v>158</v>
      </c>
      <c r="H354" s="8" t="str">
        <f t="shared" si="17"/>
        <v>AA</v>
      </c>
      <c r="I354" s="40">
        <f>IF(B354="","",VLOOKUP(D354,加弹汇总表!C:E,3,FALSE))</f>
        <v>75</v>
      </c>
      <c r="M354" s="177">
        <v>1181.5</v>
      </c>
      <c r="O354" s="191">
        <v>43769</v>
      </c>
      <c r="P354" s="72" t="str">
        <f>IF(B354="","",VLOOKUP(D354,setting!$C$2:$D$30,2,FALSE))</f>
        <v>圆机</v>
      </c>
      <c r="R354" s="30">
        <f t="shared" si="16"/>
        <v>10</v>
      </c>
    </row>
    <row r="355" spans="1:18" outlineLevel="1">
      <c r="A355" s="177" t="str">
        <f t="shared" si="15"/>
        <v>PE61552430D网络丝55/24白喷水</v>
      </c>
      <c r="B355" s="177" t="s">
        <v>2524</v>
      </c>
      <c r="C355" s="177">
        <v>8</v>
      </c>
      <c r="D355" s="177" t="s">
        <v>863</v>
      </c>
      <c r="E355" s="177" t="s">
        <v>452</v>
      </c>
      <c r="F355" s="177" t="s">
        <v>2</v>
      </c>
      <c r="G355" s="177" t="s">
        <v>134</v>
      </c>
      <c r="H355" s="8" t="str">
        <f t="shared" si="17"/>
        <v>AA</v>
      </c>
      <c r="I355" s="40" t="str">
        <f>IF(B355="","",VLOOKUP(D355,加弹汇总表!C:E,3,FALSE))</f>
        <v>30网络</v>
      </c>
      <c r="M355" s="177">
        <v>400</v>
      </c>
      <c r="O355" s="191">
        <v>43769</v>
      </c>
      <c r="P355" s="72" t="str">
        <f>IF(B355="","",VLOOKUP(D355,setting!$C$2:$D$30,2,FALSE))</f>
        <v>喷水</v>
      </c>
      <c r="R355" s="30">
        <f t="shared" si="16"/>
        <v>10</v>
      </c>
    </row>
    <row r="356" spans="1:18" outlineLevel="1">
      <c r="A356" s="177" t="str">
        <f t="shared" si="15"/>
        <v>24005530D网络丝55/24黑喷水</v>
      </c>
      <c r="B356" s="177">
        <v>240055</v>
      </c>
      <c r="C356" s="177">
        <v>8</v>
      </c>
      <c r="D356" s="177" t="s">
        <v>863</v>
      </c>
      <c r="E356" s="177" t="s">
        <v>452</v>
      </c>
      <c r="F356" s="177" t="s">
        <v>1</v>
      </c>
      <c r="G356" s="177" t="s">
        <v>136</v>
      </c>
      <c r="H356" s="8" t="str">
        <f t="shared" si="17"/>
        <v>AA</v>
      </c>
      <c r="I356" s="40" t="str">
        <f>IF(B356="","",VLOOKUP(D356,加弹汇总表!C:E,3,FALSE))</f>
        <v>30网络</v>
      </c>
      <c r="M356" s="177">
        <v>726.45</v>
      </c>
      <c r="O356" s="191">
        <v>43769</v>
      </c>
      <c r="P356" s="72" t="str">
        <f>IF(B356="","",VLOOKUP(D356,setting!$C$2:$D$30,2,FALSE))</f>
        <v>喷水</v>
      </c>
      <c r="R356" s="30">
        <f t="shared" si="16"/>
        <v>10</v>
      </c>
    </row>
    <row r="357" spans="1:18" outlineLevel="1">
      <c r="A357" s="177" t="str">
        <f t="shared" si="15"/>
        <v>64009450D网络丝94/36黑喷水</v>
      </c>
      <c r="B357" s="177">
        <v>640094</v>
      </c>
      <c r="C357" s="177">
        <v>6</v>
      </c>
      <c r="D357" s="177" t="s">
        <v>865</v>
      </c>
      <c r="E357" s="177" t="s">
        <v>460</v>
      </c>
      <c r="F357" s="177" t="s">
        <v>1</v>
      </c>
      <c r="G357" s="177" t="s">
        <v>136</v>
      </c>
      <c r="H357" s="8" t="str">
        <f t="shared" si="17"/>
        <v>AA</v>
      </c>
      <c r="I357" s="40" t="str">
        <f>IF(B357="","",VLOOKUP(D357,加弹汇总表!C:E,3,FALSE))</f>
        <v>50网络</v>
      </c>
      <c r="M357" s="177">
        <v>543</v>
      </c>
      <c r="O357" s="191">
        <v>43769</v>
      </c>
      <c r="P357" s="72" t="str">
        <f>IF(B357="","",VLOOKUP(D357,setting!$C$2:$D$30,2,FALSE))</f>
        <v>喷水</v>
      </c>
      <c r="R357" s="30">
        <f t="shared" si="16"/>
        <v>10</v>
      </c>
    </row>
    <row r="358" spans="1:18" outlineLevel="1">
      <c r="A358" s="177" t="str">
        <f t="shared" si="15"/>
        <v>8413275D网络丝132/48黑喷水</v>
      </c>
      <c r="B358" s="177">
        <v>84132</v>
      </c>
      <c r="C358" s="177">
        <v>5</v>
      </c>
      <c r="D358" s="177" t="s">
        <v>866</v>
      </c>
      <c r="E358" s="177" t="s">
        <v>391</v>
      </c>
      <c r="F358" s="177" t="s">
        <v>1</v>
      </c>
      <c r="G358" s="177" t="s">
        <v>136</v>
      </c>
      <c r="H358" s="8" t="str">
        <f t="shared" si="17"/>
        <v>AA</v>
      </c>
      <c r="I358" s="40" t="str">
        <f>IF(B358="","",VLOOKUP(D358,加弹汇总表!C:E,3,FALSE))</f>
        <v>75网络</v>
      </c>
      <c r="M358" s="177">
        <v>1310</v>
      </c>
      <c r="O358" s="191">
        <v>43769</v>
      </c>
      <c r="P358" s="72" t="str">
        <f>IF(B358="","",VLOOKUP(D358,setting!$C$2:$D$30,2,FALSE))</f>
        <v>喷水</v>
      </c>
      <c r="R358" s="30">
        <f t="shared" si="16"/>
        <v>10</v>
      </c>
    </row>
    <row r="359" spans="1:18" outlineLevel="1">
      <c r="A359" s="177" t="str">
        <f t="shared" si="15"/>
        <v>8413275D网络丝132/48黑喷水</v>
      </c>
      <c r="B359" s="177">
        <v>84132</v>
      </c>
      <c r="C359" s="177">
        <v>7</v>
      </c>
      <c r="D359" s="177" t="s">
        <v>866</v>
      </c>
      <c r="E359" s="177" t="s">
        <v>391</v>
      </c>
      <c r="F359" s="177" t="s">
        <v>1</v>
      </c>
      <c r="G359" s="177" t="s">
        <v>136</v>
      </c>
      <c r="H359" s="8" t="str">
        <f t="shared" si="17"/>
        <v>AA</v>
      </c>
      <c r="I359" s="40" t="str">
        <f>IF(B359="","",VLOOKUP(D359,加弹汇总表!C:E,3,FALSE))</f>
        <v>75网络</v>
      </c>
      <c r="M359" s="177">
        <v>1227.8699999999999</v>
      </c>
      <c r="O359" s="191">
        <v>43769</v>
      </c>
      <c r="P359" s="72" t="str">
        <f>IF(B359="","",VLOOKUP(D359,setting!$C$2:$D$30,2,FALSE))</f>
        <v>喷水</v>
      </c>
      <c r="R359" s="30">
        <f t="shared" si="16"/>
        <v>10</v>
      </c>
    </row>
    <row r="360" spans="1:18" outlineLevel="1">
      <c r="A360" s="177" t="str">
        <f t="shared" si="15"/>
        <v>73003100D网络丝172/48白喷水</v>
      </c>
      <c r="B360" s="177">
        <v>73003</v>
      </c>
      <c r="C360" s="177">
        <v>1</v>
      </c>
      <c r="D360" s="177" t="s">
        <v>867</v>
      </c>
      <c r="E360" s="177" t="s">
        <v>404</v>
      </c>
      <c r="F360" s="177" t="s">
        <v>2</v>
      </c>
      <c r="G360" s="177" t="s">
        <v>146</v>
      </c>
      <c r="H360" s="8" t="str">
        <f t="shared" si="17"/>
        <v>AA</v>
      </c>
      <c r="I360" s="40" t="str">
        <f>IF(B360="","",VLOOKUP(D360,加弹汇总表!C:E,3,FALSE))</f>
        <v>100网络</v>
      </c>
      <c r="M360" s="177">
        <v>1802</v>
      </c>
      <c r="O360" s="191">
        <v>43769</v>
      </c>
      <c r="P360" s="72" t="str">
        <f>IF(B360="","",VLOOKUP(D360,setting!$C$2:$D$30,2,FALSE))</f>
        <v>喷水</v>
      </c>
      <c r="R360" s="30">
        <f t="shared" si="16"/>
        <v>10</v>
      </c>
    </row>
    <row r="361" spans="1:18" outlineLevel="1">
      <c r="A361" s="177" t="str">
        <f t="shared" si="15"/>
        <v>HP06074-1200D网络丝355/96黑喷水</v>
      </c>
      <c r="B361" s="177" t="s">
        <v>2458</v>
      </c>
      <c r="C361" s="177">
        <v>7</v>
      </c>
      <c r="D361" s="177" t="s">
        <v>868</v>
      </c>
      <c r="E361" s="177" t="s">
        <v>441</v>
      </c>
      <c r="F361" s="177" t="s">
        <v>1</v>
      </c>
      <c r="G361" s="177" t="s">
        <v>443</v>
      </c>
      <c r="H361" s="8" t="str">
        <f t="shared" si="17"/>
        <v>AA</v>
      </c>
      <c r="I361" s="40" t="str">
        <f>IF(B361="","",VLOOKUP(D361,加弹汇总表!C:E,3,FALSE))</f>
        <v>200网络</v>
      </c>
      <c r="M361" s="177">
        <v>2613</v>
      </c>
      <c r="O361" s="191">
        <v>43769</v>
      </c>
      <c r="P361" s="72" t="str">
        <f>IF(B361="","",VLOOKUP(D361,setting!$C$2:$D$30,2,FALSE))</f>
        <v>喷水</v>
      </c>
      <c r="R361" s="30">
        <f t="shared" si="16"/>
        <v>10</v>
      </c>
    </row>
    <row r="362" spans="1:18">
      <c r="A362" s="177" t="str">
        <f t="shared" si="15"/>
        <v>S2121150D 135度有温丝89/48白圆机</v>
      </c>
      <c r="B362" s="177" t="s">
        <v>456</v>
      </c>
      <c r="C362" s="177">
        <v>4</v>
      </c>
      <c r="D362" s="177" t="s">
        <v>848</v>
      </c>
      <c r="E362" s="177" t="s">
        <v>455</v>
      </c>
      <c r="F362" s="177" t="s">
        <v>2</v>
      </c>
      <c r="G362" s="177" t="s">
        <v>158</v>
      </c>
      <c r="H362" s="8" t="str">
        <f t="shared" si="17"/>
        <v>AA</v>
      </c>
      <c r="I362" s="40">
        <f>IF(B362="","",VLOOKUP(D362,加弹汇总表!C:E,3,FALSE))</f>
        <v>50</v>
      </c>
      <c r="M362" s="177">
        <v>583</v>
      </c>
      <c r="O362" s="191">
        <v>43770</v>
      </c>
      <c r="P362" s="72" t="str">
        <f>IF(B362="","",VLOOKUP(D362,setting!$C$2:$D$30,2,FALSE))</f>
        <v>圆机</v>
      </c>
      <c r="R362" s="30">
        <f t="shared" si="16"/>
        <v>11</v>
      </c>
    </row>
    <row r="363" spans="1:18">
      <c r="A363" s="177" t="str">
        <f t="shared" si="15"/>
        <v>S2121150D 135度有温丝89/48白圆机</v>
      </c>
      <c r="B363" s="177" t="s">
        <v>456</v>
      </c>
      <c r="C363" s="177">
        <v>2</v>
      </c>
      <c r="D363" s="177" t="s">
        <v>848</v>
      </c>
      <c r="E363" s="177" t="s">
        <v>455</v>
      </c>
      <c r="F363" s="177" t="s">
        <v>2</v>
      </c>
      <c r="G363" s="177" t="s">
        <v>158</v>
      </c>
      <c r="H363" s="8" t="str">
        <f t="shared" si="17"/>
        <v>AA</v>
      </c>
      <c r="I363" s="40">
        <f>IF(B363="","",VLOOKUP(D363,加弹汇总表!C:E,3,FALSE))</f>
        <v>50</v>
      </c>
      <c r="M363" s="177">
        <v>1185</v>
      </c>
      <c r="O363" s="191">
        <v>43770</v>
      </c>
      <c r="P363" s="72" t="str">
        <f>IF(B363="","",VLOOKUP(D363,setting!$C$2:$D$30,2,FALSE))</f>
        <v>圆机</v>
      </c>
      <c r="R363" s="30">
        <f t="shared" si="16"/>
        <v>11</v>
      </c>
    </row>
    <row r="364" spans="1:18">
      <c r="A364" s="177" t="str">
        <f t="shared" si="15"/>
        <v>3260550D无温丝104/36白无温圆机</v>
      </c>
      <c r="B364" s="177">
        <v>32605</v>
      </c>
      <c r="C364" s="177">
        <v>1</v>
      </c>
      <c r="D364" s="177" t="s">
        <v>871</v>
      </c>
      <c r="E364" s="177" t="s">
        <v>368</v>
      </c>
      <c r="F364" s="250" t="s">
        <v>2344</v>
      </c>
      <c r="G364" s="177" t="s">
        <v>146</v>
      </c>
      <c r="H364" s="8" t="str">
        <f t="shared" si="17"/>
        <v>AA</v>
      </c>
      <c r="I364" s="40">
        <f>IF(B364="","",VLOOKUP(D364,加弹汇总表!C:E,3,FALSE))</f>
        <v>50</v>
      </c>
      <c r="M364" s="177">
        <v>682.5</v>
      </c>
      <c r="O364" s="191">
        <v>43770</v>
      </c>
      <c r="P364" s="72" t="str">
        <f>IF(B364="","",VLOOKUP(D364,setting!$C$2:$D$30,2,FALSE))</f>
        <v>圆机</v>
      </c>
      <c r="R364" s="30">
        <f t="shared" si="16"/>
        <v>11</v>
      </c>
    </row>
    <row r="365" spans="1:18">
      <c r="A365" s="177" t="str">
        <f t="shared" si="15"/>
        <v>64009450D94/36黑圆机</v>
      </c>
      <c r="B365" s="177">
        <v>640094</v>
      </c>
      <c r="C365" s="177">
        <v>6</v>
      </c>
      <c r="D365" s="177" t="s">
        <v>850</v>
      </c>
      <c r="E365" s="177" t="s">
        <v>460</v>
      </c>
      <c r="F365" s="177" t="s">
        <v>1</v>
      </c>
      <c r="G365" s="177" t="s">
        <v>136</v>
      </c>
      <c r="H365" s="8" t="str">
        <f t="shared" si="17"/>
        <v>AA</v>
      </c>
      <c r="I365" s="40">
        <f>IF(B365="","",VLOOKUP(D365,加弹汇总表!C:E,3,FALSE))</f>
        <v>50</v>
      </c>
      <c r="M365" s="177">
        <v>580.5</v>
      </c>
      <c r="O365" s="191">
        <v>43770</v>
      </c>
      <c r="P365" s="72" t="str">
        <f>IF(B365="","",VLOOKUP(D365,setting!$C$2:$D$30,2,FALSE))</f>
        <v>圆机</v>
      </c>
      <c r="R365" s="30">
        <f t="shared" si="16"/>
        <v>11</v>
      </c>
    </row>
    <row r="366" spans="1:18">
      <c r="A366" s="177" t="str">
        <f t="shared" si="15"/>
        <v>S2132575D 135度低温丝130/48白圆机</v>
      </c>
      <c r="B366" s="177" t="s">
        <v>384</v>
      </c>
      <c r="C366" s="177">
        <v>4</v>
      </c>
      <c r="D366" s="177" t="s">
        <v>856</v>
      </c>
      <c r="E366" s="177" t="s">
        <v>381</v>
      </c>
      <c r="F366" s="177" t="s">
        <v>2</v>
      </c>
      <c r="G366" s="177" t="s">
        <v>158</v>
      </c>
      <c r="H366" s="8" t="str">
        <f t="shared" si="17"/>
        <v>AA</v>
      </c>
      <c r="I366" s="40">
        <f>IF(B366="","",VLOOKUP(D366,加弹汇总表!C:E,3,FALSE))</f>
        <v>75</v>
      </c>
      <c r="M366" s="177">
        <v>1163.5</v>
      </c>
      <c r="O366" s="191">
        <v>43770</v>
      </c>
      <c r="P366" s="72" t="str">
        <f>IF(B366="","",VLOOKUP(D366,setting!$C$2:$D$30,2,FALSE))</f>
        <v>圆机</v>
      </c>
      <c r="R366" s="30">
        <f t="shared" si="16"/>
        <v>11</v>
      </c>
    </row>
    <row r="367" spans="1:18">
      <c r="A367" s="177" t="str">
        <f t="shared" si="15"/>
        <v>PE61552430D网络丝55/24白喷水</v>
      </c>
      <c r="B367" s="177" t="s">
        <v>2524</v>
      </c>
      <c r="C367" s="177">
        <v>3</v>
      </c>
      <c r="D367" s="177" t="s">
        <v>863</v>
      </c>
      <c r="E367" s="177" t="s">
        <v>452</v>
      </c>
      <c r="F367" s="177" t="s">
        <v>2</v>
      </c>
      <c r="G367" s="177" t="s">
        <v>134</v>
      </c>
      <c r="H367" s="8" t="str">
        <f t="shared" si="17"/>
        <v>AA</v>
      </c>
      <c r="I367" s="40" t="str">
        <f>IF(B367="","",VLOOKUP(D367,加弹汇总表!C:E,3,FALSE))</f>
        <v>30网络</v>
      </c>
      <c r="M367" s="177">
        <v>396</v>
      </c>
      <c r="O367" s="191">
        <v>43770</v>
      </c>
      <c r="P367" s="72" t="str">
        <f>IF(B367="","",VLOOKUP(D367,setting!$C$2:$D$30,2,FALSE))</f>
        <v>喷水</v>
      </c>
      <c r="R367" s="30">
        <f t="shared" si="16"/>
        <v>11</v>
      </c>
    </row>
    <row r="368" spans="1:18">
      <c r="A368" s="177" t="str">
        <f t="shared" si="15"/>
        <v>24005530D网络丝55/24黑喷水</v>
      </c>
      <c r="B368" s="177">
        <v>240055</v>
      </c>
      <c r="C368" s="177">
        <v>8</v>
      </c>
      <c r="D368" s="177" t="s">
        <v>863</v>
      </c>
      <c r="E368" s="177" t="s">
        <v>452</v>
      </c>
      <c r="F368" s="177" t="s">
        <v>1</v>
      </c>
      <c r="G368" s="177" t="s">
        <v>136</v>
      </c>
      <c r="H368" s="8" t="str">
        <f t="shared" si="17"/>
        <v>AA</v>
      </c>
      <c r="I368" s="40" t="str">
        <f>IF(B368="","",VLOOKUP(D368,加弹汇总表!C:E,3,FALSE))</f>
        <v>30网络</v>
      </c>
      <c r="M368" s="177">
        <v>357.99</v>
      </c>
      <c r="O368" s="191">
        <v>43770</v>
      </c>
      <c r="P368" s="72" t="str">
        <f>IF(B368="","",VLOOKUP(D368,setting!$C$2:$D$30,2,FALSE))</f>
        <v>喷水</v>
      </c>
      <c r="R368" s="30">
        <f t="shared" si="16"/>
        <v>11</v>
      </c>
    </row>
    <row r="369" spans="1:18">
      <c r="A369" s="177" t="str">
        <f t="shared" si="15"/>
        <v>64009450D网络丝94/36黑喷水</v>
      </c>
      <c r="B369" s="177">
        <v>640094</v>
      </c>
      <c r="C369" s="177">
        <v>6</v>
      </c>
      <c r="D369" s="177" t="s">
        <v>865</v>
      </c>
      <c r="E369" s="177" t="s">
        <v>460</v>
      </c>
      <c r="F369" s="177" t="s">
        <v>1</v>
      </c>
      <c r="G369" s="177" t="s">
        <v>136</v>
      </c>
      <c r="H369" s="8" t="str">
        <f t="shared" si="17"/>
        <v>AA</v>
      </c>
      <c r="I369" s="40" t="str">
        <f>IF(B369="","",VLOOKUP(D369,加弹汇总表!C:E,3,FALSE))</f>
        <v>50网络</v>
      </c>
      <c r="M369" s="177">
        <v>652</v>
      </c>
      <c r="O369" s="191">
        <v>43770</v>
      </c>
      <c r="P369" s="72" t="str">
        <f>IF(B369="","",VLOOKUP(D369,setting!$C$2:$D$30,2,FALSE))</f>
        <v>喷水</v>
      </c>
      <c r="R369" s="30">
        <f t="shared" si="16"/>
        <v>11</v>
      </c>
    </row>
    <row r="370" spans="1:18">
      <c r="A370" s="177" t="str">
        <f t="shared" si="15"/>
        <v>8413275D网络丝132/48黑喷水</v>
      </c>
      <c r="B370" s="177">
        <v>84132</v>
      </c>
      <c r="C370" s="177">
        <v>5</v>
      </c>
      <c r="D370" s="177" t="s">
        <v>866</v>
      </c>
      <c r="E370" s="177" t="s">
        <v>391</v>
      </c>
      <c r="F370" s="177" t="s">
        <v>1</v>
      </c>
      <c r="G370" s="177" t="s">
        <v>136</v>
      </c>
      <c r="H370" s="8" t="str">
        <f t="shared" si="17"/>
        <v>AA</v>
      </c>
      <c r="I370" s="40" t="str">
        <f>IF(B370="","",VLOOKUP(D370,加弹汇总表!C:E,3,FALSE))</f>
        <v>75网络</v>
      </c>
      <c r="M370" s="177">
        <v>1850</v>
      </c>
      <c r="O370" s="191">
        <v>43770</v>
      </c>
      <c r="P370" s="72" t="str">
        <f>IF(B370="","",VLOOKUP(D370,setting!$C$2:$D$30,2,FALSE))</f>
        <v>喷水</v>
      </c>
      <c r="R370" s="30">
        <f t="shared" si="16"/>
        <v>11</v>
      </c>
    </row>
    <row r="371" spans="1:18">
      <c r="A371" s="177" t="str">
        <f t="shared" si="15"/>
        <v>8413275D网络丝132/48黑喷水</v>
      </c>
      <c r="B371" s="177">
        <v>84132</v>
      </c>
      <c r="C371" s="177">
        <v>7</v>
      </c>
      <c r="D371" s="177" t="s">
        <v>866</v>
      </c>
      <c r="E371" s="177" t="s">
        <v>391</v>
      </c>
      <c r="F371" s="177" t="s">
        <v>1</v>
      </c>
      <c r="G371" s="177" t="s">
        <v>136</v>
      </c>
      <c r="H371" s="8" t="str">
        <f t="shared" si="17"/>
        <v>AA</v>
      </c>
      <c r="I371" s="40" t="str">
        <f>IF(B371="","",VLOOKUP(D371,加弹汇总表!C:E,3,FALSE))</f>
        <v>75网络</v>
      </c>
      <c r="M371" s="177">
        <v>759.68</v>
      </c>
      <c r="O371" s="191">
        <v>43770</v>
      </c>
      <c r="P371" s="72" t="str">
        <f>IF(B371="","",VLOOKUP(D371,setting!$C$2:$D$30,2,FALSE))</f>
        <v>喷水</v>
      </c>
      <c r="R371" s="30">
        <f t="shared" si="16"/>
        <v>11</v>
      </c>
    </row>
    <row r="372" spans="1:18">
      <c r="A372" s="177" t="str">
        <f t="shared" si="15"/>
        <v>73003100D网络丝172/48白喷水</v>
      </c>
      <c r="B372" s="177">
        <v>73003</v>
      </c>
      <c r="C372" s="177">
        <v>1</v>
      </c>
      <c r="D372" s="177" t="s">
        <v>867</v>
      </c>
      <c r="E372" s="177" t="s">
        <v>404</v>
      </c>
      <c r="F372" s="177" t="s">
        <v>2</v>
      </c>
      <c r="G372" s="177" t="s">
        <v>146</v>
      </c>
      <c r="H372" s="8" t="str">
        <f t="shared" si="17"/>
        <v>AA</v>
      </c>
      <c r="I372" s="40" t="str">
        <f>IF(B372="","",VLOOKUP(D372,加弹汇总表!C:E,3,FALSE))</f>
        <v>100网络</v>
      </c>
      <c r="M372" s="177">
        <v>1192</v>
      </c>
      <c r="O372" s="191">
        <v>43770</v>
      </c>
      <c r="P372" s="72" t="str">
        <f>IF(B372="","",VLOOKUP(D372,setting!$C$2:$D$30,2,FALSE))</f>
        <v>喷水</v>
      </c>
      <c r="R372" s="30">
        <f t="shared" si="16"/>
        <v>11</v>
      </c>
    </row>
    <row r="373" spans="1:18">
      <c r="A373" s="177" t="str">
        <f t="shared" si="15"/>
        <v>HP06074-1200D网络丝355/96黑喷水</v>
      </c>
      <c r="B373" s="177" t="s">
        <v>2458</v>
      </c>
      <c r="C373" s="177">
        <v>7</v>
      </c>
      <c r="D373" s="177" t="s">
        <v>868</v>
      </c>
      <c r="E373" s="177" t="s">
        <v>441</v>
      </c>
      <c r="F373" s="177" t="s">
        <v>1</v>
      </c>
      <c r="G373" s="177" t="s">
        <v>443</v>
      </c>
      <c r="H373" s="8" t="str">
        <f t="shared" si="17"/>
        <v>AA</v>
      </c>
      <c r="I373" s="40" t="str">
        <f>IF(B373="","",VLOOKUP(D373,加弹汇总表!C:E,3,FALSE))</f>
        <v>200网络</v>
      </c>
      <c r="M373" s="177">
        <v>1922</v>
      </c>
      <c r="O373" s="191">
        <v>43770</v>
      </c>
      <c r="P373" s="72" t="str">
        <f>IF(B373="","",VLOOKUP(D373,setting!$C$2:$D$30,2,FALSE))</f>
        <v>喷水</v>
      </c>
      <c r="R373" s="30">
        <f t="shared" si="16"/>
        <v>11</v>
      </c>
    </row>
    <row r="374" spans="1:18">
      <c r="A374" s="177" t="str">
        <f t="shared" si="15"/>
        <v>S2121150D 135度有温丝89/48白圆机</v>
      </c>
      <c r="B374" s="177" t="s">
        <v>456</v>
      </c>
      <c r="C374" s="177">
        <v>4</v>
      </c>
      <c r="D374" s="177" t="s">
        <v>848</v>
      </c>
      <c r="E374" s="177" t="s">
        <v>455</v>
      </c>
      <c r="F374" s="177" t="s">
        <v>2</v>
      </c>
      <c r="G374" s="177" t="s">
        <v>158</v>
      </c>
      <c r="H374" s="8" t="str">
        <f t="shared" si="17"/>
        <v>AA</v>
      </c>
      <c r="I374" s="40">
        <f>IF(B374="","",VLOOKUP(D374,加弹汇总表!C:E,3,FALSE))</f>
        <v>50</v>
      </c>
      <c r="M374" s="177">
        <v>596.5</v>
      </c>
      <c r="O374" s="191">
        <v>43771</v>
      </c>
      <c r="P374" s="72" t="str">
        <f>IF(B374="","",VLOOKUP(D374,setting!$C$2:$D$30,2,FALSE))</f>
        <v>圆机</v>
      </c>
      <c r="R374" s="30">
        <f t="shared" si="16"/>
        <v>11</v>
      </c>
    </row>
    <row r="375" spans="1:18">
      <c r="A375" s="177" t="str">
        <f t="shared" si="15"/>
        <v>S2121150D 135度有温丝89/48白圆机</v>
      </c>
      <c r="B375" s="177" t="s">
        <v>456</v>
      </c>
      <c r="C375" s="177">
        <v>2</v>
      </c>
      <c r="D375" s="177" t="s">
        <v>848</v>
      </c>
      <c r="E375" s="177" t="s">
        <v>455</v>
      </c>
      <c r="F375" s="177" t="s">
        <v>2</v>
      </c>
      <c r="G375" s="177" t="s">
        <v>158</v>
      </c>
      <c r="H375" s="8" t="str">
        <f t="shared" si="17"/>
        <v>AA</v>
      </c>
      <c r="I375" s="40">
        <f>IF(B375="","",VLOOKUP(D375,加弹汇总表!C:E,3,FALSE))</f>
        <v>50</v>
      </c>
      <c r="M375" s="177">
        <v>1146.5</v>
      </c>
      <c r="O375" s="191">
        <v>43771</v>
      </c>
      <c r="P375" s="72" t="str">
        <f>IF(B375="","",VLOOKUP(D375,setting!$C$2:$D$30,2,FALSE))</f>
        <v>圆机</v>
      </c>
      <c r="R375" s="30">
        <f t="shared" si="16"/>
        <v>11</v>
      </c>
    </row>
    <row r="376" spans="1:18">
      <c r="A376" s="177" t="str">
        <f t="shared" si="15"/>
        <v>3260550D无温丝104/36白无温圆机</v>
      </c>
      <c r="B376" s="177">
        <v>32605</v>
      </c>
      <c r="C376" s="177">
        <v>1</v>
      </c>
      <c r="D376" s="177" t="s">
        <v>871</v>
      </c>
      <c r="E376" s="177" t="s">
        <v>368</v>
      </c>
      <c r="F376" s="250" t="s">
        <v>2344</v>
      </c>
      <c r="G376" s="177" t="s">
        <v>146</v>
      </c>
      <c r="H376" s="8" t="str">
        <f t="shared" si="17"/>
        <v>AA</v>
      </c>
      <c r="I376" s="40">
        <f>IF(B376="","",VLOOKUP(D376,加弹汇总表!C:E,3,FALSE))</f>
        <v>50</v>
      </c>
      <c r="M376" s="177">
        <v>622</v>
      </c>
      <c r="O376" s="191">
        <v>43771</v>
      </c>
      <c r="P376" s="72" t="str">
        <f>IF(B376="","",VLOOKUP(D376,setting!$C$2:$D$30,2,FALSE))</f>
        <v>圆机</v>
      </c>
      <c r="R376" s="30">
        <f t="shared" si="16"/>
        <v>11</v>
      </c>
    </row>
    <row r="377" spans="1:18">
      <c r="A377" s="177" t="str">
        <f t="shared" si="15"/>
        <v>64009450D94/36黑圆机</v>
      </c>
      <c r="B377" s="177">
        <v>640094</v>
      </c>
      <c r="C377" s="177">
        <v>6</v>
      </c>
      <c r="D377" s="177" t="s">
        <v>850</v>
      </c>
      <c r="E377" s="177" t="s">
        <v>460</v>
      </c>
      <c r="F377" s="177" t="s">
        <v>1</v>
      </c>
      <c r="G377" s="177" t="s">
        <v>136</v>
      </c>
      <c r="H377" s="8" t="str">
        <f t="shared" si="17"/>
        <v>AA</v>
      </c>
      <c r="I377" s="40">
        <f>IF(B377="","",VLOOKUP(D377,加弹汇总表!C:E,3,FALSE))</f>
        <v>50</v>
      </c>
      <c r="M377" s="177">
        <v>607</v>
      </c>
      <c r="O377" s="191">
        <v>43771</v>
      </c>
      <c r="P377" s="72" t="str">
        <f>IF(B377="","",VLOOKUP(D377,setting!$C$2:$D$30,2,FALSE))</f>
        <v>圆机</v>
      </c>
      <c r="R377" s="30">
        <f t="shared" si="16"/>
        <v>11</v>
      </c>
    </row>
    <row r="378" spans="1:18">
      <c r="A378" s="177" t="str">
        <f t="shared" si="15"/>
        <v>S2132575D 135度低温丝130/48白圆机</v>
      </c>
      <c r="B378" s="177" t="s">
        <v>384</v>
      </c>
      <c r="C378" s="177">
        <v>4</v>
      </c>
      <c r="D378" s="177" t="s">
        <v>856</v>
      </c>
      <c r="E378" s="177" t="s">
        <v>381</v>
      </c>
      <c r="F378" s="177" t="s">
        <v>2</v>
      </c>
      <c r="G378" s="177" t="s">
        <v>158</v>
      </c>
      <c r="H378" s="8" t="str">
        <f t="shared" si="17"/>
        <v>AA</v>
      </c>
      <c r="I378" s="40">
        <f>IF(B378="","",VLOOKUP(D378,加弹汇总表!C:E,3,FALSE))</f>
        <v>75</v>
      </c>
      <c r="M378" s="177">
        <v>613</v>
      </c>
      <c r="O378" s="191">
        <v>43771</v>
      </c>
      <c r="P378" s="72" t="str">
        <f>IF(B378="","",VLOOKUP(D378,setting!$C$2:$D$30,2,FALSE))</f>
        <v>圆机</v>
      </c>
      <c r="R378" s="30">
        <f t="shared" si="16"/>
        <v>11</v>
      </c>
    </row>
    <row r="379" spans="1:18">
      <c r="A379" s="177" t="str">
        <f t="shared" si="15"/>
        <v>24005530D网络丝55/24黑喷水</v>
      </c>
      <c r="B379" s="177">
        <v>240055</v>
      </c>
      <c r="C379" s="177">
        <v>8</v>
      </c>
      <c r="D379" s="177" t="s">
        <v>863</v>
      </c>
      <c r="E379" s="177" t="s">
        <v>452</v>
      </c>
      <c r="F379" s="177" t="s">
        <v>1</v>
      </c>
      <c r="G379" s="177" t="s">
        <v>136</v>
      </c>
      <c r="H379" s="8" t="str">
        <f t="shared" si="17"/>
        <v>AA</v>
      </c>
      <c r="I379" s="40" t="str">
        <f>IF(B379="","",VLOOKUP(D379,加弹汇总表!C:E,3,FALSE))</f>
        <v>30网络</v>
      </c>
      <c r="M379" s="177">
        <v>590.28</v>
      </c>
      <c r="O379" s="191">
        <v>43771</v>
      </c>
      <c r="P379" s="72" t="str">
        <f>IF(B379="","",VLOOKUP(D379,setting!$C$2:$D$30,2,FALSE))</f>
        <v>喷水</v>
      </c>
      <c r="R379" s="30">
        <f t="shared" si="16"/>
        <v>11</v>
      </c>
    </row>
    <row r="380" spans="1:18">
      <c r="A380" s="177" t="str">
        <f t="shared" si="15"/>
        <v>64009450D网络丝94/36黑喷水</v>
      </c>
      <c r="B380" s="177">
        <v>640094</v>
      </c>
      <c r="C380" s="177">
        <v>6</v>
      </c>
      <c r="D380" s="177" t="s">
        <v>865</v>
      </c>
      <c r="E380" s="177" t="s">
        <v>460</v>
      </c>
      <c r="F380" s="177" t="s">
        <v>1</v>
      </c>
      <c r="G380" s="177" t="s">
        <v>136</v>
      </c>
      <c r="H380" s="8" t="str">
        <f t="shared" si="17"/>
        <v>AA</v>
      </c>
      <c r="I380" s="40" t="str">
        <f>IF(B380="","",VLOOKUP(D380,加弹汇总表!C:E,3,FALSE))</f>
        <v>50网络</v>
      </c>
      <c r="M380" s="177">
        <v>629</v>
      </c>
      <c r="O380" s="191">
        <v>43771</v>
      </c>
      <c r="P380" s="72" t="str">
        <f>IF(B380="","",VLOOKUP(D380,setting!$C$2:$D$30,2,FALSE))</f>
        <v>喷水</v>
      </c>
      <c r="R380" s="30">
        <f t="shared" si="16"/>
        <v>11</v>
      </c>
    </row>
    <row r="381" spans="1:18">
      <c r="A381" s="177" t="str">
        <f t="shared" si="15"/>
        <v>8413275D网络丝132/48黑喷水</v>
      </c>
      <c r="B381" s="177">
        <v>84132</v>
      </c>
      <c r="C381" s="177">
        <v>5</v>
      </c>
      <c r="D381" s="177" t="s">
        <v>866</v>
      </c>
      <c r="E381" s="177" t="s">
        <v>391</v>
      </c>
      <c r="F381" s="177" t="s">
        <v>1</v>
      </c>
      <c r="G381" s="177" t="s">
        <v>136</v>
      </c>
      <c r="H381" s="8" t="str">
        <f t="shared" si="17"/>
        <v>AA</v>
      </c>
      <c r="I381" s="40" t="str">
        <f>IF(B381="","",VLOOKUP(D381,加弹汇总表!C:E,3,FALSE))</f>
        <v>75网络</v>
      </c>
      <c r="M381" s="177">
        <v>1834</v>
      </c>
      <c r="O381" s="191">
        <v>43771</v>
      </c>
      <c r="P381" s="72" t="str">
        <f>IF(B381="","",VLOOKUP(D381,setting!$C$2:$D$30,2,FALSE))</f>
        <v>喷水</v>
      </c>
      <c r="R381" s="30">
        <f t="shared" si="16"/>
        <v>11</v>
      </c>
    </row>
    <row r="382" spans="1:18">
      <c r="A382" s="177" t="str">
        <f t="shared" si="15"/>
        <v>8413275D网络丝132/48黑喷水</v>
      </c>
      <c r="B382" s="177">
        <v>84132</v>
      </c>
      <c r="C382" s="177">
        <v>7</v>
      </c>
      <c r="D382" s="177" t="s">
        <v>866</v>
      </c>
      <c r="E382" s="177" t="s">
        <v>391</v>
      </c>
      <c r="F382" s="177" t="s">
        <v>1</v>
      </c>
      <c r="G382" s="177" t="s">
        <v>136</v>
      </c>
      <c r="H382" s="8" t="str">
        <f t="shared" si="17"/>
        <v>AA</v>
      </c>
      <c r="I382" s="40" t="str">
        <f>IF(B382="","",VLOOKUP(D382,加弹汇总表!C:E,3,FALSE))</f>
        <v>75网络</v>
      </c>
      <c r="M382" s="177">
        <v>606.07000000000005</v>
      </c>
      <c r="O382" s="191">
        <v>43771</v>
      </c>
      <c r="P382" s="72" t="str">
        <f>IF(B382="","",VLOOKUP(D382,setting!$C$2:$D$30,2,FALSE))</f>
        <v>喷水</v>
      </c>
      <c r="R382" s="30">
        <f t="shared" si="16"/>
        <v>11</v>
      </c>
    </row>
    <row r="383" spans="1:18">
      <c r="A383" s="177" t="str">
        <f t="shared" si="15"/>
        <v>73003100D网络丝172/48白喷水</v>
      </c>
      <c r="B383" s="177">
        <v>73003</v>
      </c>
      <c r="C383" s="177">
        <v>1</v>
      </c>
      <c r="D383" s="177" t="s">
        <v>867</v>
      </c>
      <c r="E383" s="177" t="s">
        <v>404</v>
      </c>
      <c r="F383" s="177" t="s">
        <v>2</v>
      </c>
      <c r="G383" s="177" t="s">
        <v>146</v>
      </c>
      <c r="H383" s="8" t="str">
        <f t="shared" si="17"/>
        <v>AA</v>
      </c>
      <c r="I383" s="40" t="str">
        <f>IF(B383="","",VLOOKUP(D383,加弹汇总表!C:E,3,FALSE))</f>
        <v>100网络</v>
      </c>
      <c r="M383" s="177">
        <v>1205</v>
      </c>
      <c r="O383" s="191">
        <v>43771</v>
      </c>
      <c r="P383" s="72" t="str">
        <f>IF(B383="","",VLOOKUP(D383,setting!$C$2:$D$30,2,FALSE))</f>
        <v>喷水</v>
      </c>
      <c r="R383" s="30">
        <f t="shared" si="16"/>
        <v>11</v>
      </c>
    </row>
    <row r="384" spans="1:18">
      <c r="A384" s="177" t="str">
        <f t="shared" si="15"/>
        <v>HP06074-1200D网络丝355/96黑喷水</v>
      </c>
      <c r="B384" s="177" t="s">
        <v>2458</v>
      </c>
      <c r="C384" s="177">
        <v>7</v>
      </c>
      <c r="D384" s="177" t="s">
        <v>868</v>
      </c>
      <c r="E384" s="177" t="s">
        <v>441</v>
      </c>
      <c r="F384" s="177" t="s">
        <v>1</v>
      </c>
      <c r="G384" s="177" t="s">
        <v>443</v>
      </c>
      <c r="H384" s="8" t="str">
        <f t="shared" si="17"/>
        <v>AA</v>
      </c>
      <c r="I384" s="40" t="str">
        <f>IF(B384="","",VLOOKUP(D384,加弹汇总表!C:E,3,FALSE))</f>
        <v>200网络</v>
      </c>
      <c r="M384" s="177">
        <v>1464</v>
      </c>
      <c r="O384" s="191">
        <v>43771</v>
      </c>
      <c r="P384" s="72" t="str">
        <f>IF(B384="","",VLOOKUP(D384,setting!$C$2:$D$30,2,FALSE))</f>
        <v>喷水</v>
      </c>
      <c r="R384" s="30">
        <f t="shared" si="16"/>
        <v>11</v>
      </c>
    </row>
    <row r="385" spans="1:18">
      <c r="A385" s="177" t="str">
        <f t="shared" si="15"/>
        <v>H-H5563550961200D网络丝355/96黑喷水</v>
      </c>
      <c r="B385" s="177" t="s">
        <v>2751</v>
      </c>
      <c r="C385" s="177">
        <v>7</v>
      </c>
      <c r="D385" s="177" t="s">
        <v>868</v>
      </c>
      <c r="E385" s="177" t="s">
        <v>441</v>
      </c>
      <c r="F385" s="177" t="s">
        <v>1</v>
      </c>
      <c r="G385" s="177" t="s">
        <v>411</v>
      </c>
      <c r="H385" s="8" t="str">
        <f t="shared" si="17"/>
        <v>AA</v>
      </c>
      <c r="I385" s="40" t="str">
        <f>IF(B385="","",VLOOKUP(D385,加弹汇总表!C:E,3,FALSE))</f>
        <v>200网络</v>
      </c>
      <c r="M385" s="177">
        <v>612</v>
      </c>
      <c r="O385" s="191">
        <v>43771</v>
      </c>
      <c r="P385" s="72" t="str">
        <f>IF(B385="","",VLOOKUP(D385,setting!$C$2:$D$30,2,FALSE))</f>
        <v>喷水</v>
      </c>
      <c r="R385" s="30">
        <f t="shared" si="16"/>
        <v>11</v>
      </c>
    </row>
    <row r="386" spans="1:18">
      <c r="A386" s="177" t="str">
        <f t="shared" ref="A386:A449" si="18">B386&amp;D386&amp;E386&amp;F386&amp;P386</f>
        <v>S2121150D 135度有温丝89/48白圆机</v>
      </c>
      <c r="B386" s="177" t="s">
        <v>456</v>
      </c>
      <c r="C386" s="177">
        <v>4</v>
      </c>
      <c r="D386" s="177" t="s">
        <v>848</v>
      </c>
      <c r="E386" s="177" t="s">
        <v>455</v>
      </c>
      <c r="F386" s="177" t="s">
        <v>2</v>
      </c>
      <c r="G386" s="177" t="s">
        <v>158</v>
      </c>
      <c r="H386" s="8" t="str">
        <f t="shared" si="17"/>
        <v>AA</v>
      </c>
      <c r="I386" s="40">
        <f>IF(B386="","",VLOOKUP(D386,加弹汇总表!C:E,3,FALSE))</f>
        <v>50</v>
      </c>
      <c r="M386" s="177">
        <v>588.5</v>
      </c>
      <c r="O386" s="191">
        <v>43772</v>
      </c>
      <c r="P386" s="72" t="str">
        <f>IF(B386="","",VLOOKUP(D386,setting!$C$2:$D$30,2,FALSE))</f>
        <v>圆机</v>
      </c>
      <c r="R386" s="30">
        <f t="shared" ref="R386:R449" si="19">IF(O386="","",MONTH(O386))</f>
        <v>11</v>
      </c>
    </row>
    <row r="387" spans="1:18">
      <c r="A387" s="177" t="str">
        <f t="shared" si="18"/>
        <v>S2121150D 135度有温丝89/48白圆机</v>
      </c>
      <c r="B387" s="177" t="s">
        <v>456</v>
      </c>
      <c r="C387" s="177">
        <v>2</v>
      </c>
      <c r="D387" s="177" t="s">
        <v>848</v>
      </c>
      <c r="E387" s="177" t="s">
        <v>455</v>
      </c>
      <c r="F387" s="177" t="s">
        <v>2</v>
      </c>
      <c r="G387" s="177" t="s">
        <v>158</v>
      </c>
      <c r="H387" s="8" t="str">
        <f t="shared" si="17"/>
        <v>AA</v>
      </c>
      <c r="I387" s="40">
        <f>IF(B387="","",VLOOKUP(D387,加弹汇总表!C:E,3,FALSE))</f>
        <v>50</v>
      </c>
      <c r="M387" s="177">
        <v>1315</v>
      </c>
      <c r="O387" s="191">
        <v>43772</v>
      </c>
      <c r="P387" s="72" t="str">
        <f>IF(B387="","",VLOOKUP(D387,setting!$C$2:$D$30,2,FALSE))</f>
        <v>圆机</v>
      </c>
      <c r="R387" s="30">
        <f t="shared" si="19"/>
        <v>11</v>
      </c>
    </row>
    <row r="388" spans="1:18">
      <c r="A388" s="177" t="str">
        <f t="shared" si="18"/>
        <v>3260550D无温丝104/36白无温圆机</v>
      </c>
      <c r="B388" s="177">
        <v>32605</v>
      </c>
      <c r="C388" s="177">
        <v>1</v>
      </c>
      <c r="D388" s="177" t="s">
        <v>871</v>
      </c>
      <c r="E388" s="177" t="s">
        <v>368</v>
      </c>
      <c r="F388" s="250" t="s">
        <v>2344</v>
      </c>
      <c r="G388" s="177" t="s">
        <v>146</v>
      </c>
      <c r="H388" s="8" t="str">
        <f t="shared" ref="H388:H451" si="20">IF(B388="","","AA")</f>
        <v>AA</v>
      </c>
      <c r="I388" s="40">
        <f>IF(B388="","",VLOOKUP(D388,加弹汇总表!C:E,3,FALSE))</f>
        <v>50</v>
      </c>
      <c r="M388" s="177">
        <v>1183</v>
      </c>
      <c r="O388" s="191">
        <v>43772</v>
      </c>
      <c r="P388" s="72" t="str">
        <f>IF(B388="","",VLOOKUP(D388,setting!$C$2:$D$30,2,FALSE))</f>
        <v>圆机</v>
      </c>
      <c r="R388" s="30">
        <f t="shared" si="19"/>
        <v>11</v>
      </c>
    </row>
    <row r="389" spans="1:18">
      <c r="A389" s="177" t="str">
        <f t="shared" si="18"/>
        <v>64009450D94/36黑圆机</v>
      </c>
      <c r="B389" s="177">
        <v>640094</v>
      </c>
      <c r="C389" s="177">
        <v>6</v>
      </c>
      <c r="D389" s="177" t="s">
        <v>850</v>
      </c>
      <c r="E389" s="177" t="s">
        <v>460</v>
      </c>
      <c r="F389" s="177" t="s">
        <v>1</v>
      </c>
      <c r="G389" s="177" t="s">
        <v>136</v>
      </c>
      <c r="H389" s="8" t="str">
        <f t="shared" si="20"/>
        <v>AA</v>
      </c>
      <c r="I389" s="40">
        <f>IF(B389="","",VLOOKUP(D389,加弹汇总表!C:E,3,FALSE))</f>
        <v>50</v>
      </c>
      <c r="M389" s="177">
        <v>678.5</v>
      </c>
      <c r="O389" s="191">
        <v>43772</v>
      </c>
      <c r="P389" s="72" t="str">
        <f>IF(B389="","",VLOOKUP(D389,setting!$C$2:$D$30,2,FALSE))</f>
        <v>圆机</v>
      </c>
      <c r="R389" s="30">
        <f t="shared" si="19"/>
        <v>11</v>
      </c>
    </row>
    <row r="390" spans="1:18">
      <c r="A390" s="177" t="str">
        <f t="shared" si="18"/>
        <v>S2132575D 135度低温丝130/48白圆机</v>
      </c>
      <c r="B390" s="177" t="s">
        <v>384</v>
      </c>
      <c r="C390" s="177">
        <v>4</v>
      </c>
      <c r="D390" s="177" t="s">
        <v>856</v>
      </c>
      <c r="E390" s="177" t="s">
        <v>381</v>
      </c>
      <c r="F390" s="177" t="s">
        <v>2</v>
      </c>
      <c r="G390" s="177" t="s">
        <v>158</v>
      </c>
      <c r="H390" s="8" t="str">
        <f t="shared" si="20"/>
        <v>AA</v>
      </c>
      <c r="I390" s="40">
        <f>IF(B390="","",VLOOKUP(D390,加弹汇总表!C:E,3,FALSE))</f>
        <v>75</v>
      </c>
      <c r="M390" s="177">
        <v>1195</v>
      </c>
      <c r="O390" s="191">
        <v>43772</v>
      </c>
      <c r="P390" s="72" t="str">
        <f>IF(B390="","",VLOOKUP(D390,setting!$C$2:$D$30,2,FALSE))</f>
        <v>圆机</v>
      </c>
      <c r="R390" s="30">
        <f t="shared" si="19"/>
        <v>11</v>
      </c>
    </row>
    <row r="391" spans="1:18">
      <c r="A391" s="177" t="str">
        <f t="shared" si="18"/>
        <v>PE61552430D网络丝55/24白喷水</v>
      </c>
      <c r="B391" s="177" t="s">
        <v>2524</v>
      </c>
      <c r="C391" s="177">
        <v>3</v>
      </c>
      <c r="D391" s="177" t="s">
        <v>863</v>
      </c>
      <c r="E391" s="177" t="s">
        <v>452</v>
      </c>
      <c r="F391" s="177" t="s">
        <v>2</v>
      </c>
      <c r="G391" s="177" t="s">
        <v>134</v>
      </c>
      <c r="H391" s="8" t="str">
        <f t="shared" si="20"/>
        <v>AA</v>
      </c>
      <c r="I391" s="40" t="str">
        <f>IF(B391="","",VLOOKUP(D391,加弹汇总表!C:E,3,FALSE))</f>
        <v>30网络</v>
      </c>
      <c r="M391" s="177">
        <v>649</v>
      </c>
      <c r="O391" s="191">
        <v>43772</v>
      </c>
      <c r="P391" s="72" t="str">
        <f>IF(B391="","",VLOOKUP(D391,setting!$C$2:$D$30,2,FALSE))</f>
        <v>喷水</v>
      </c>
      <c r="R391" s="30">
        <f t="shared" si="19"/>
        <v>11</v>
      </c>
    </row>
    <row r="392" spans="1:18">
      <c r="A392" s="177" t="str">
        <f t="shared" si="18"/>
        <v>24005530D网络丝55/24黑喷水</v>
      </c>
      <c r="B392" s="177">
        <v>240055</v>
      </c>
      <c r="C392" s="177">
        <v>8</v>
      </c>
      <c r="D392" s="177" t="s">
        <v>863</v>
      </c>
      <c r="E392" s="177" t="s">
        <v>452</v>
      </c>
      <c r="F392" s="177" t="s">
        <v>1</v>
      </c>
      <c r="G392" s="177" t="s">
        <v>136</v>
      </c>
      <c r="H392" s="8" t="str">
        <f t="shared" si="20"/>
        <v>AA</v>
      </c>
      <c r="I392" s="40" t="str">
        <f>IF(B392="","",VLOOKUP(D392,加弹汇总表!C:E,3,FALSE))</f>
        <v>30网络</v>
      </c>
      <c r="M392" s="177">
        <v>687.64</v>
      </c>
      <c r="O392" s="191">
        <v>43772</v>
      </c>
      <c r="P392" s="72" t="str">
        <f>IF(B392="","",VLOOKUP(D392,setting!$C$2:$D$30,2,FALSE))</f>
        <v>喷水</v>
      </c>
      <c r="R392" s="30">
        <f t="shared" si="19"/>
        <v>11</v>
      </c>
    </row>
    <row r="393" spans="1:18">
      <c r="A393" s="177" t="str">
        <f t="shared" si="18"/>
        <v>64009450D网络丝94/36黑喷水</v>
      </c>
      <c r="B393" s="177">
        <v>640094</v>
      </c>
      <c r="C393" s="177">
        <v>6</v>
      </c>
      <c r="D393" s="177" t="s">
        <v>865</v>
      </c>
      <c r="E393" s="177" t="s">
        <v>460</v>
      </c>
      <c r="F393" s="177" t="s">
        <v>1</v>
      </c>
      <c r="G393" s="177" t="s">
        <v>136</v>
      </c>
      <c r="H393" s="8" t="str">
        <f t="shared" si="20"/>
        <v>AA</v>
      </c>
      <c r="I393" s="40" t="str">
        <f>IF(B393="","",VLOOKUP(D393,加弹汇总表!C:E,3,FALSE))</f>
        <v>50网络</v>
      </c>
      <c r="M393" s="177">
        <v>671</v>
      </c>
      <c r="O393" s="191">
        <v>43772</v>
      </c>
      <c r="P393" s="72" t="str">
        <f>IF(B393="","",VLOOKUP(D393,setting!$C$2:$D$30,2,FALSE))</f>
        <v>喷水</v>
      </c>
      <c r="R393" s="30">
        <f t="shared" si="19"/>
        <v>11</v>
      </c>
    </row>
    <row r="394" spans="1:18">
      <c r="A394" s="177" t="str">
        <f t="shared" si="18"/>
        <v>8413275D网络丝132/48黑喷水</v>
      </c>
      <c r="B394" s="177">
        <v>84132</v>
      </c>
      <c r="C394" s="177">
        <v>5</v>
      </c>
      <c r="D394" s="177" t="s">
        <v>866</v>
      </c>
      <c r="E394" s="177" t="s">
        <v>391</v>
      </c>
      <c r="F394" s="177" t="s">
        <v>1</v>
      </c>
      <c r="G394" s="177" t="s">
        <v>136</v>
      </c>
      <c r="H394" s="8" t="str">
        <f t="shared" si="20"/>
        <v>AA</v>
      </c>
      <c r="I394" s="40" t="str">
        <f>IF(B394="","",VLOOKUP(D394,加弹汇总表!C:E,3,FALSE))</f>
        <v>75网络</v>
      </c>
      <c r="M394" s="177">
        <v>1350</v>
      </c>
      <c r="O394" s="191">
        <v>43772</v>
      </c>
      <c r="P394" s="72" t="str">
        <f>IF(B394="","",VLOOKUP(D394,setting!$C$2:$D$30,2,FALSE))</f>
        <v>喷水</v>
      </c>
      <c r="R394" s="30">
        <f t="shared" si="19"/>
        <v>11</v>
      </c>
    </row>
    <row r="395" spans="1:18">
      <c r="A395" s="177" t="str">
        <f t="shared" si="18"/>
        <v>8413275D网络丝132/48黑喷水</v>
      </c>
      <c r="B395" s="177">
        <v>84132</v>
      </c>
      <c r="C395" s="177">
        <v>7</v>
      </c>
      <c r="D395" s="177" t="s">
        <v>866</v>
      </c>
      <c r="E395" s="177" t="s">
        <v>391</v>
      </c>
      <c r="F395" s="177" t="s">
        <v>1</v>
      </c>
      <c r="G395" s="177" t="s">
        <v>136</v>
      </c>
      <c r="H395" s="8" t="str">
        <f t="shared" si="20"/>
        <v>AA</v>
      </c>
      <c r="I395" s="40" t="str">
        <f>IF(B395="","",VLOOKUP(D395,加弹汇总表!C:E,3,FALSE))</f>
        <v>75网络</v>
      </c>
      <c r="M395" s="177">
        <v>1202.8900000000001</v>
      </c>
      <c r="O395" s="191">
        <v>43772</v>
      </c>
      <c r="P395" s="72" t="str">
        <f>IF(B395="","",VLOOKUP(D395,setting!$C$2:$D$30,2,FALSE))</f>
        <v>喷水</v>
      </c>
      <c r="R395" s="30">
        <f t="shared" si="19"/>
        <v>11</v>
      </c>
    </row>
    <row r="396" spans="1:18">
      <c r="A396" s="177" t="str">
        <f t="shared" si="18"/>
        <v>73003100D网络丝172/48白喷水</v>
      </c>
      <c r="B396" s="177">
        <v>73003</v>
      </c>
      <c r="C396" s="177">
        <v>1</v>
      </c>
      <c r="D396" s="177" t="s">
        <v>867</v>
      </c>
      <c r="E396" s="177" t="s">
        <v>404</v>
      </c>
      <c r="F396" s="177" t="s">
        <v>2</v>
      </c>
      <c r="G396" s="177" t="s">
        <v>146</v>
      </c>
      <c r="H396" s="8" t="str">
        <f t="shared" si="20"/>
        <v>AA</v>
      </c>
      <c r="I396" s="40" t="str">
        <f>IF(B396="","",VLOOKUP(D396,加弹汇总表!C:E,3,FALSE))</f>
        <v>100网络</v>
      </c>
      <c r="M396" s="177">
        <v>1125</v>
      </c>
      <c r="O396" s="191">
        <v>43772</v>
      </c>
      <c r="P396" s="72" t="str">
        <f>IF(B396="","",VLOOKUP(D396,setting!$C$2:$D$30,2,FALSE))</f>
        <v>喷水</v>
      </c>
      <c r="R396" s="30">
        <f t="shared" si="19"/>
        <v>11</v>
      </c>
    </row>
    <row r="397" spans="1:18">
      <c r="A397" s="177" t="str">
        <f t="shared" si="18"/>
        <v>H-H5563550961200D网络丝355/96黑喷水</v>
      </c>
      <c r="B397" s="177" t="s">
        <v>2751</v>
      </c>
      <c r="C397" s="177">
        <v>7</v>
      </c>
      <c r="D397" s="177" t="s">
        <v>868</v>
      </c>
      <c r="E397" s="177" t="s">
        <v>441</v>
      </c>
      <c r="F397" s="177" t="s">
        <v>1</v>
      </c>
      <c r="G397" s="177" t="s">
        <v>411</v>
      </c>
      <c r="H397" s="8" t="str">
        <f t="shared" si="20"/>
        <v>AA</v>
      </c>
      <c r="I397" s="40" t="str">
        <f>IF(B397="","",VLOOKUP(D397,加弹汇总表!C:E,3,FALSE))</f>
        <v>200网络</v>
      </c>
      <c r="M397" s="177">
        <v>1967</v>
      </c>
      <c r="O397" s="191">
        <v>43772</v>
      </c>
      <c r="P397" s="72" t="str">
        <f>IF(B397="","",VLOOKUP(D397,setting!$C$2:$D$30,2,FALSE))</f>
        <v>喷水</v>
      </c>
      <c r="R397" s="30">
        <f t="shared" si="19"/>
        <v>11</v>
      </c>
    </row>
    <row r="398" spans="1:18">
      <c r="A398" s="177" t="str">
        <f t="shared" si="18"/>
        <v>S2121150D 135度有温丝89/48白圆机</v>
      </c>
      <c r="B398" s="177" t="s">
        <v>456</v>
      </c>
      <c r="C398" s="177">
        <v>4</v>
      </c>
      <c r="D398" s="177" t="s">
        <v>848</v>
      </c>
      <c r="E398" s="177" t="s">
        <v>455</v>
      </c>
      <c r="F398" s="177" t="s">
        <v>2</v>
      </c>
      <c r="G398" s="177" t="s">
        <v>158</v>
      </c>
      <c r="H398" s="8" t="str">
        <f t="shared" si="20"/>
        <v>AA</v>
      </c>
      <c r="I398" s="40">
        <f>IF(B398="","",VLOOKUP(D398,加弹汇总表!C:E,3,FALSE))</f>
        <v>50</v>
      </c>
      <c r="M398" s="177">
        <v>582</v>
      </c>
      <c r="O398" s="191">
        <v>43773</v>
      </c>
      <c r="P398" s="72" t="str">
        <f>IF(B398="","",VLOOKUP(D398,setting!$C$2:$D$30,2,FALSE))</f>
        <v>圆机</v>
      </c>
      <c r="R398" s="30">
        <f t="shared" si="19"/>
        <v>11</v>
      </c>
    </row>
    <row r="399" spans="1:18">
      <c r="A399" s="177" t="str">
        <f t="shared" si="18"/>
        <v>S2121150D 135度有温丝89/48白圆机</v>
      </c>
      <c r="B399" s="177" t="s">
        <v>456</v>
      </c>
      <c r="C399" s="177">
        <v>2</v>
      </c>
      <c r="D399" s="177" t="s">
        <v>848</v>
      </c>
      <c r="E399" s="177" t="s">
        <v>455</v>
      </c>
      <c r="F399" s="177" t="s">
        <v>2</v>
      </c>
      <c r="G399" s="177" t="s">
        <v>158</v>
      </c>
      <c r="H399" s="8" t="str">
        <f t="shared" si="20"/>
        <v>AA</v>
      </c>
      <c r="I399" s="40">
        <f>IF(B399="","",VLOOKUP(D399,加弹汇总表!C:E,3,FALSE))</f>
        <v>50</v>
      </c>
      <c r="M399" s="177">
        <v>1778</v>
      </c>
      <c r="O399" s="191">
        <v>43773</v>
      </c>
      <c r="P399" s="72" t="str">
        <f>IF(B399="","",VLOOKUP(D399,setting!$C$2:$D$30,2,FALSE))</f>
        <v>圆机</v>
      </c>
      <c r="R399" s="30">
        <f t="shared" si="19"/>
        <v>11</v>
      </c>
    </row>
    <row r="400" spans="1:18">
      <c r="A400" s="177" t="str">
        <f t="shared" si="18"/>
        <v>3260550D无温丝104/36白无温圆机</v>
      </c>
      <c r="B400" s="177">
        <v>32605</v>
      </c>
      <c r="C400" s="177">
        <v>1</v>
      </c>
      <c r="D400" s="177" t="s">
        <v>871</v>
      </c>
      <c r="E400" s="177" t="s">
        <v>368</v>
      </c>
      <c r="F400" s="250" t="s">
        <v>2344</v>
      </c>
      <c r="G400" s="177" t="s">
        <v>146</v>
      </c>
      <c r="H400" s="8" t="str">
        <f t="shared" si="20"/>
        <v>AA</v>
      </c>
      <c r="I400" s="40">
        <f>IF(B400="","",VLOOKUP(D400,加弹汇总表!C:E,3,FALSE))</f>
        <v>50</v>
      </c>
      <c r="M400" s="177">
        <v>573</v>
      </c>
      <c r="O400" s="191">
        <v>43773</v>
      </c>
      <c r="P400" s="72" t="str">
        <f>IF(B400="","",VLOOKUP(D400,setting!$C$2:$D$30,2,FALSE))</f>
        <v>圆机</v>
      </c>
      <c r="R400" s="30">
        <f t="shared" si="19"/>
        <v>11</v>
      </c>
    </row>
    <row r="401" spans="1:18">
      <c r="A401" s="177" t="str">
        <f t="shared" si="18"/>
        <v>64009450D94/36黑圆机</v>
      </c>
      <c r="B401" s="177">
        <v>640094</v>
      </c>
      <c r="C401" s="177">
        <v>6</v>
      </c>
      <c r="D401" s="177" t="s">
        <v>850</v>
      </c>
      <c r="E401" s="177" t="s">
        <v>460</v>
      </c>
      <c r="F401" s="177" t="s">
        <v>1</v>
      </c>
      <c r="G401" s="177" t="s">
        <v>136</v>
      </c>
      <c r="H401" s="8" t="str">
        <f t="shared" si="20"/>
        <v>AA</v>
      </c>
      <c r="I401" s="40">
        <f>IF(B401="","",VLOOKUP(D401,加弹汇总表!C:E,3,FALSE))</f>
        <v>50</v>
      </c>
      <c r="M401" s="177">
        <v>629</v>
      </c>
      <c r="O401" s="191">
        <v>43773</v>
      </c>
      <c r="P401" s="72" t="str">
        <f>IF(B401="","",VLOOKUP(D401,setting!$C$2:$D$30,2,FALSE))</f>
        <v>圆机</v>
      </c>
      <c r="R401" s="30">
        <f t="shared" si="19"/>
        <v>11</v>
      </c>
    </row>
    <row r="402" spans="1:18">
      <c r="A402" s="177" t="str">
        <f t="shared" si="18"/>
        <v>S2132575D 135度低温丝130/48白圆机</v>
      </c>
      <c r="B402" s="177" t="s">
        <v>384</v>
      </c>
      <c r="C402" s="177">
        <v>4</v>
      </c>
      <c r="D402" s="177" t="s">
        <v>856</v>
      </c>
      <c r="E402" s="177" t="s">
        <v>381</v>
      </c>
      <c r="F402" s="177" t="s">
        <v>2</v>
      </c>
      <c r="G402" s="177" t="s">
        <v>158</v>
      </c>
      <c r="H402" s="8" t="str">
        <f t="shared" si="20"/>
        <v>AA</v>
      </c>
      <c r="I402" s="40">
        <f>IF(B402="","",VLOOKUP(D402,加弹汇总表!C:E,3,FALSE))</f>
        <v>75</v>
      </c>
      <c r="M402" s="177">
        <v>1163.5</v>
      </c>
      <c r="O402" s="191">
        <v>43773</v>
      </c>
      <c r="P402" s="72" t="str">
        <f>IF(B402="","",VLOOKUP(D402,setting!$C$2:$D$30,2,FALSE))</f>
        <v>圆机</v>
      </c>
      <c r="R402" s="30">
        <f t="shared" si="19"/>
        <v>11</v>
      </c>
    </row>
    <row r="403" spans="1:18">
      <c r="A403" s="177" t="str">
        <f t="shared" si="18"/>
        <v>PE61552430D网络丝55/24白喷水</v>
      </c>
      <c r="B403" s="177" t="s">
        <v>2524</v>
      </c>
      <c r="C403" s="177">
        <v>3</v>
      </c>
      <c r="D403" s="177" t="s">
        <v>863</v>
      </c>
      <c r="E403" s="177" t="s">
        <v>452</v>
      </c>
      <c r="F403" s="177" t="s">
        <v>2</v>
      </c>
      <c r="G403" s="177" t="s">
        <v>134</v>
      </c>
      <c r="H403" s="8" t="str">
        <f t="shared" si="20"/>
        <v>AA</v>
      </c>
      <c r="I403" s="40" t="str">
        <f>IF(B403="","",VLOOKUP(D403,加弹汇总表!C:E,3,FALSE))</f>
        <v>30网络</v>
      </c>
      <c r="M403" s="177">
        <v>802</v>
      </c>
      <c r="O403" s="191">
        <v>43773</v>
      </c>
      <c r="P403" s="72" t="str">
        <f>IF(B403="","",VLOOKUP(D403,setting!$C$2:$D$30,2,FALSE))</f>
        <v>喷水</v>
      </c>
      <c r="R403" s="30">
        <f t="shared" si="19"/>
        <v>11</v>
      </c>
    </row>
    <row r="404" spans="1:18">
      <c r="A404" s="177" t="str">
        <f t="shared" si="18"/>
        <v>24005530D网络丝55/24黑喷水</v>
      </c>
      <c r="B404" s="177">
        <v>240055</v>
      </c>
      <c r="C404" s="177">
        <v>8</v>
      </c>
      <c r="D404" s="177" t="s">
        <v>863</v>
      </c>
      <c r="E404" s="177" t="s">
        <v>452</v>
      </c>
      <c r="F404" s="177" t="s">
        <v>1</v>
      </c>
      <c r="G404" s="177" t="s">
        <v>136</v>
      </c>
      <c r="H404" s="8" t="str">
        <f t="shared" si="20"/>
        <v>AA</v>
      </c>
      <c r="I404" s="40" t="str">
        <f>IF(B404="","",VLOOKUP(D404,加弹汇总表!C:E,3,FALSE))</f>
        <v>30网络</v>
      </c>
      <c r="M404" s="177">
        <v>751.82</v>
      </c>
      <c r="O404" s="191">
        <v>43773</v>
      </c>
      <c r="P404" s="72" t="str">
        <f>IF(B404="","",VLOOKUP(D404,setting!$C$2:$D$30,2,FALSE))</f>
        <v>喷水</v>
      </c>
      <c r="R404" s="30">
        <f t="shared" si="19"/>
        <v>11</v>
      </c>
    </row>
    <row r="405" spans="1:18">
      <c r="A405" s="177" t="str">
        <f t="shared" si="18"/>
        <v>64009450D网络丝94/36黑喷水</v>
      </c>
      <c r="B405" s="177">
        <v>640094</v>
      </c>
      <c r="C405" s="177">
        <v>6</v>
      </c>
      <c r="D405" s="177" t="s">
        <v>865</v>
      </c>
      <c r="E405" s="177" t="s">
        <v>460</v>
      </c>
      <c r="F405" s="177" t="s">
        <v>1</v>
      </c>
      <c r="G405" s="177" t="s">
        <v>136</v>
      </c>
      <c r="H405" s="8" t="str">
        <f t="shared" si="20"/>
        <v>AA</v>
      </c>
      <c r="I405" s="40" t="str">
        <f>IF(B405="","",VLOOKUP(D405,加弹汇总表!C:E,3,FALSE))</f>
        <v>50网络</v>
      </c>
      <c r="M405" s="177">
        <v>569</v>
      </c>
      <c r="O405" s="191">
        <v>43773</v>
      </c>
      <c r="P405" s="72" t="str">
        <f>IF(B405="","",VLOOKUP(D405,setting!$C$2:$D$30,2,FALSE))</f>
        <v>喷水</v>
      </c>
      <c r="R405" s="30">
        <f t="shared" si="19"/>
        <v>11</v>
      </c>
    </row>
    <row r="406" spans="1:18">
      <c r="A406" s="177" t="str">
        <f t="shared" si="18"/>
        <v>8413275D网络丝132/48黑喷水</v>
      </c>
      <c r="B406" s="177">
        <v>84132</v>
      </c>
      <c r="C406" s="177">
        <v>5</v>
      </c>
      <c r="D406" s="177" t="s">
        <v>866</v>
      </c>
      <c r="E406" s="177" t="s">
        <v>391</v>
      </c>
      <c r="F406" s="177" t="s">
        <v>1</v>
      </c>
      <c r="G406" s="177" t="s">
        <v>136</v>
      </c>
      <c r="H406" s="8" t="str">
        <f t="shared" si="20"/>
        <v>AA</v>
      </c>
      <c r="I406" s="40" t="str">
        <f>IF(B406="","",VLOOKUP(D406,加弹汇总表!C:E,3,FALSE))</f>
        <v>75网络</v>
      </c>
      <c r="M406" s="177">
        <v>1829</v>
      </c>
      <c r="O406" s="191">
        <v>43773</v>
      </c>
      <c r="P406" s="72" t="str">
        <f>IF(B406="","",VLOOKUP(D406,setting!$C$2:$D$30,2,FALSE))</f>
        <v>喷水</v>
      </c>
      <c r="R406" s="30">
        <f t="shared" si="19"/>
        <v>11</v>
      </c>
    </row>
    <row r="407" spans="1:18">
      <c r="A407" s="177" t="str">
        <f t="shared" si="18"/>
        <v>8413275D网络丝132/48黑喷水</v>
      </c>
      <c r="B407" s="177">
        <v>84132</v>
      </c>
      <c r="C407" s="177">
        <v>7</v>
      </c>
      <c r="D407" s="177" t="s">
        <v>866</v>
      </c>
      <c r="E407" s="177" t="s">
        <v>391</v>
      </c>
      <c r="F407" s="177" t="s">
        <v>1</v>
      </c>
      <c r="G407" s="177" t="s">
        <v>136</v>
      </c>
      <c r="H407" s="8" t="str">
        <f t="shared" si="20"/>
        <v>AA</v>
      </c>
      <c r="I407" s="40" t="str">
        <f>IF(B407="","",VLOOKUP(D407,加弹汇总表!C:E,3,FALSE))</f>
        <v>75网络</v>
      </c>
      <c r="M407" s="177">
        <v>627.1</v>
      </c>
      <c r="O407" s="191">
        <v>43773</v>
      </c>
      <c r="P407" s="72" t="str">
        <f>IF(B407="","",VLOOKUP(D407,setting!$C$2:$D$30,2,FALSE))</f>
        <v>喷水</v>
      </c>
      <c r="R407" s="30">
        <f t="shared" si="19"/>
        <v>11</v>
      </c>
    </row>
    <row r="408" spans="1:18">
      <c r="A408" s="177" t="str">
        <f t="shared" si="18"/>
        <v>73003100D网络丝172/48白喷水</v>
      </c>
      <c r="B408" s="177">
        <v>73003</v>
      </c>
      <c r="C408" s="177">
        <v>1</v>
      </c>
      <c r="D408" s="177" t="s">
        <v>867</v>
      </c>
      <c r="E408" s="177" t="s">
        <v>404</v>
      </c>
      <c r="F408" s="177" t="s">
        <v>2</v>
      </c>
      <c r="G408" s="177" t="s">
        <v>146</v>
      </c>
      <c r="H408" s="8" t="str">
        <f t="shared" si="20"/>
        <v>AA</v>
      </c>
      <c r="I408" s="40" t="str">
        <f>IF(B408="","",VLOOKUP(D408,加弹汇总表!C:E,3,FALSE))</f>
        <v>100网络</v>
      </c>
      <c r="M408" s="177">
        <v>1340</v>
      </c>
      <c r="O408" s="191">
        <v>43773</v>
      </c>
      <c r="P408" s="72" t="str">
        <f>IF(B408="","",VLOOKUP(D408,setting!$C$2:$D$30,2,FALSE))</f>
        <v>喷水</v>
      </c>
      <c r="R408" s="30">
        <f t="shared" si="19"/>
        <v>11</v>
      </c>
    </row>
    <row r="409" spans="1:18">
      <c r="A409" s="177" t="str">
        <f t="shared" si="18"/>
        <v>H-H5563550961200D网络丝355/96黑喷水</v>
      </c>
      <c r="B409" s="177" t="s">
        <v>2751</v>
      </c>
      <c r="C409" s="177">
        <v>7</v>
      </c>
      <c r="D409" s="177" t="s">
        <v>868</v>
      </c>
      <c r="E409" s="177" t="s">
        <v>441</v>
      </c>
      <c r="F409" s="177" t="s">
        <v>1</v>
      </c>
      <c r="G409" s="177" t="s">
        <v>411</v>
      </c>
      <c r="H409" s="8" t="str">
        <f t="shared" si="20"/>
        <v>AA</v>
      </c>
      <c r="I409" s="40" t="str">
        <f>IF(B409="","",VLOOKUP(D409,加弹汇总表!C:E,3,FALSE))</f>
        <v>200网络</v>
      </c>
      <c r="M409" s="177">
        <v>2560</v>
      </c>
      <c r="O409" s="191">
        <v>43773</v>
      </c>
      <c r="P409" s="72" t="str">
        <f>IF(B409="","",VLOOKUP(D409,setting!$C$2:$D$30,2,FALSE))</f>
        <v>喷水</v>
      </c>
      <c r="R409" s="30">
        <f t="shared" si="19"/>
        <v>11</v>
      </c>
    </row>
    <row r="410" spans="1:18">
      <c r="A410" s="177" t="str">
        <f t="shared" si="18"/>
        <v>S2121150D 135度有温丝89/48白圆机</v>
      </c>
      <c r="B410" s="177" t="s">
        <v>456</v>
      </c>
      <c r="C410" s="177">
        <v>4</v>
      </c>
      <c r="D410" s="177" t="s">
        <v>848</v>
      </c>
      <c r="E410" s="177" t="s">
        <v>455</v>
      </c>
      <c r="F410" s="177" t="s">
        <v>2</v>
      </c>
      <c r="G410" s="177" t="s">
        <v>158</v>
      </c>
      <c r="H410" s="8" t="str">
        <f t="shared" si="20"/>
        <v>AA</v>
      </c>
      <c r="I410" s="40">
        <f>IF(B410="","",VLOOKUP(D410,加弹汇总表!C:E,3,FALSE))</f>
        <v>50</v>
      </c>
      <c r="M410" s="177">
        <v>646</v>
      </c>
      <c r="O410" s="191">
        <v>43774</v>
      </c>
      <c r="P410" s="72" t="str">
        <f>IF(B410="","",VLOOKUP(D410,setting!$C$2:$D$30,2,FALSE))</f>
        <v>圆机</v>
      </c>
      <c r="R410" s="30">
        <f t="shared" si="19"/>
        <v>11</v>
      </c>
    </row>
    <row r="411" spans="1:18">
      <c r="A411" s="177" t="str">
        <f t="shared" si="18"/>
        <v>S2121150D 135度有温丝89/48白圆机</v>
      </c>
      <c r="B411" s="177" t="s">
        <v>456</v>
      </c>
      <c r="C411" s="177">
        <v>2</v>
      </c>
      <c r="D411" s="177" t="s">
        <v>848</v>
      </c>
      <c r="E411" s="177" t="s">
        <v>455</v>
      </c>
      <c r="F411" s="177" t="s">
        <v>2</v>
      </c>
      <c r="G411" s="177" t="s">
        <v>158</v>
      </c>
      <c r="H411" s="8" t="str">
        <f t="shared" si="20"/>
        <v>AA</v>
      </c>
      <c r="I411" s="40">
        <f>IF(B411="","",VLOOKUP(D411,加弹汇总表!C:E,3,FALSE))</f>
        <v>50</v>
      </c>
      <c r="M411" s="177">
        <v>1144</v>
      </c>
      <c r="O411" s="191">
        <v>43774</v>
      </c>
      <c r="P411" s="72" t="str">
        <f>IF(B411="","",VLOOKUP(D411,setting!$C$2:$D$30,2,FALSE))</f>
        <v>圆机</v>
      </c>
      <c r="R411" s="30">
        <f t="shared" si="19"/>
        <v>11</v>
      </c>
    </row>
    <row r="412" spans="1:18">
      <c r="A412" s="177" t="str">
        <f t="shared" si="18"/>
        <v>3260550D无温丝104/36白无温圆机</v>
      </c>
      <c r="B412" s="177">
        <v>32605</v>
      </c>
      <c r="C412" s="177">
        <v>1</v>
      </c>
      <c r="D412" s="177" t="s">
        <v>871</v>
      </c>
      <c r="E412" s="177" t="s">
        <v>368</v>
      </c>
      <c r="F412" s="250" t="s">
        <v>2344</v>
      </c>
      <c r="G412" s="177" t="s">
        <v>146</v>
      </c>
      <c r="H412" s="8" t="str">
        <f t="shared" si="20"/>
        <v>AA</v>
      </c>
      <c r="I412" s="40">
        <f>IF(B412="","",VLOOKUP(D412,加弹汇总表!C:E,3,FALSE))</f>
        <v>50</v>
      </c>
      <c r="M412" s="177">
        <v>1222</v>
      </c>
      <c r="O412" s="191">
        <v>43774</v>
      </c>
      <c r="P412" s="72" t="str">
        <f>IF(B412="","",VLOOKUP(D412,setting!$C$2:$D$30,2,FALSE))</f>
        <v>圆机</v>
      </c>
      <c r="R412" s="30">
        <f t="shared" si="19"/>
        <v>11</v>
      </c>
    </row>
    <row r="413" spans="1:18">
      <c r="A413" s="177" t="str">
        <f t="shared" si="18"/>
        <v>64009450D94/36黑圆机</v>
      </c>
      <c r="B413" s="177">
        <v>640094</v>
      </c>
      <c r="C413" s="177">
        <v>6</v>
      </c>
      <c r="D413" s="177" t="s">
        <v>850</v>
      </c>
      <c r="E413" s="177" t="s">
        <v>460</v>
      </c>
      <c r="F413" s="177" t="s">
        <v>1</v>
      </c>
      <c r="G413" s="177" t="s">
        <v>136</v>
      </c>
      <c r="H413" s="8" t="str">
        <f t="shared" si="20"/>
        <v>AA</v>
      </c>
      <c r="I413" s="40">
        <f>IF(B413="","",VLOOKUP(D413,加弹汇总表!C:E,3,FALSE))</f>
        <v>50</v>
      </c>
      <c r="M413" s="177">
        <v>526.5</v>
      </c>
      <c r="O413" s="191">
        <v>43774</v>
      </c>
      <c r="P413" s="72" t="str">
        <f>IF(B413="","",VLOOKUP(D413,setting!$C$2:$D$30,2,FALSE))</f>
        <v>圆机</v>
      </c>
      <c r="R413" s="30">
        <f t="shared" si="19"/>
        <v>11</v>
      </c>
    </row>
    <row r="414" spans="1:18">
      <c r="A414" s="177" t="str">
        <f t="shared" si="18"/>
        <v>S2132575D 175度高温丝130/48白高温圆机</v>
      </c>
      <c r="B414" s="177" t="s">
        <v>384</v>
      </c>
      <c r="C414" s="177">
        <v>3</v>
      </c>
      <c r="D414" s="250" t="s">
        <v>3127</v>
      </c>
      <c r="E414" s="177" t="s">
        <v>381</v>
      </c>
      <c r="F414" s="250" t="s">
        <v>3126</v>
      </c>
      <c r="G414" s="177" t="s">
        <v>158</v>
      </c>
      <c r="H414" s="8" t="str">
        <f t="shared" si="20"/>
        <v>AA</v>
      </c>
      <c r="I414" s="40">
        <f>IF(B414="","",VLOOKUP(D414,加弹汇总表!C:E,3,FALSE))</f>
        <v>75</v>
      </c>
      <c r="M414" s="177">
        <v>580</v>
      </c>
      <c r="O414" s="191">
        <v>43774</v>
      </c>
      <c r="P414" s="72" t="str">
        <f>IF(B414="","",VLOOKUP(D414,setting!$C$2:$D$30,2,FALSE))</f>
        <v>圆机</v>
      </c>
      <c r="R414" s="30">
        <f t="shared" si="19"/>
        <v>11</v>
      </c>
    </row>
    <row r="415" spans="1:18">
      <c r="A415" s="177" t="str">
        <f t="shared" si="18"/>
        <v>S2132575D 135度低温丝130/48白圆机</v>
      </c>
      <c r="B415" s="177" t="s">
        <v>384</v>
      </c>
      <c r="C415" s="177">
        <v>4</v>
      </c>
      <c r="D415" s="177" t="s">
        <v>856</v>
      </c>
      <c r="E415" s="177" t="s">
        <v>381</v>
      </c>
      <c r="F415" s="177" t="s">
        <v>2</v>
      </c>
      <c r="G415" s="177" t="s">
        <v>158</v>
      </c>
      <c r="H415" s="8" t="str">
        <f t="shared" si="20"/>
        <v>AA</v>
      </c>
      <c r="I415" s="40">
        <f>IF(B415="","",VLOOKUP(D415,加弹汇总表!C:E,3,FALSE))</f>
        <v>75</v>
      </c>
      <c r="M415" s="177">
        <v>1198.5</v>
      </c>
      <c r="O415" s="191">
        <v>43774</v>
      </c>
      <c r="P415" s="72" t="str">
        <f>IF(B415="","",VLOOKUP(D415,setting!$C$2:$D$30,2,FALSE))</f>
        <v>圆机</v>
      </c>
      <c r="R415" s="30">
        <f t="shared" si="19"/>
        <v>11</v>
      </c>
    </row>
    <row r="416" spans="1:18">
      <c r="A416" s="177" t="str">
        <f t="shared" si="18"/>
        <v>24005530D网络丝55/24黑喷水</v>
      </c>
      <c r="B416" s="177">
        <v>240055</v>
      </c>
      <c r="C416" s="177">
        <v>8</v>
      </c>
      <c r="D416" s="177" t="s">
        <v>863</v>
      </c>
      <c r="E416" s="177" t="s">
        <v>452</v>
      </c>
      <c r="F416" s="177" t="s">
        <v>1</v>
      </c>
      <c r="G416" s="177" t="s">
        <v>136</v>
      </c>
      <c r="H416" s="8" t="str">
        <f t="shared" si="20"/>
        <v>AA</v>
      </c>
      <c r="I416" s="40" t="str">
        <f>IF(B416="","",VLOOKUP(D416,加弹汇总表!C:E,3,FALSE))</f>
        <v>30网络</v>
      </c>
      <c r="M416" s="177">
        <v>717.85</v>
      </c>
      <c r="O416" s="191">
        <v>43774</v>
      </c>
      <c r="P416" s="72" t="str">
        <f>IF(B416="","",VLOOKUP(D416,setting!$C$2:$D$30,2,FALSE))</f>
        <v>喷水</v>
      </c>
      <c r="R416" s="30">
        <f t="shared" si="19"/>
        <v>11</v>
      </c>
    </row>
    <row r="417" spans="1:18">
      <c r="A417" s="177" t="str">
        <f t="shared" si="18"/>
        <v>64009450D网络丝94/36黑喷水</v>
      </c>
      <c r="B417" s="177">
        <v>640094</v>
      </c>
      <c r="C417" s="177">
        <v>6</v>
      </c>
      <c r="D417" s="177" t="s">
        <v>865</v>
      </c>
      <c r="E417" s="177" t="s">
        <v>460</v>
      </c>
      <c r="F417" s="177" t="s">
        <v>1</v>
      </c>
      <c r="G417" s="177" t="s">
        <v>136</v>
      </c>
      <c r="H417" s="8" t="str">
        <f t="shared" si="20"/>
        <v>AA</v>
      </c>
      <c r="I417" s="40" t="str">
        <f>IF(B417="","",VLOOKUP(D417,加弹汇总表!C:E,3,FALSE))</f>
        <v>50网络</v>
      </c>
      <c r="M417" s="177">
        <v>622</v>
      </c>
      <c r="O417" s="191">
        <v>43774</v>
      </c>
      <c r="P417" s="72" t="str">
        <f>IF(B417="","",VLOOKUP(D417,setting!$C$2:$D$30,2,FALSE))</f>
        <v>喷水</v>
      </c>
      <c r="R417" s="30">
        <f t="shared" si="19"/>
        <v>11</v>
      </c>
    </row>
    <row r="418" spans="1:18">
      <c r="A418" s="177" t="str">
        <f t="shared" si="18"/>
        <v>8413275D网络丝132/48黑喷水</v>
      </c>
      <c r="B418" s="177">
        <v>84132</v>
      </c>
      <c r="C418" s="177">
        <v>5</v>
      </c>
      <c r="D418" s="177" t="s">
        <v>866</v>
      </c>
      <c r="E418" s="177" t="s">
        <v>391</v>
      </c>
      <c r="F418" s="177" t="s">
        <v>1</v>
      </c>
      <c r="G418" s="177" t="s">
        <v>136</v>
      </c>
      <c r="H418" s="8" t="str">
        <f t="shared" si="20"/>
        <v>AA</v>
      </c>
      <c r="I418" s="40" t="str">
        <f>IF(B418="","",VLOOKUP(D418,加弹汇总表!C:E,3,FALSE))</f>
        <v>75网络</v>
      </c>
      <c r="M418" s="177">
        <v>1950</v>
      </c>
      <c r="O418" s="191">
        <v>43774</v>
      </c>
      <c r="P418" s="72" t="str">
        <f>IF(B418="","",VLOOKUP(D418,setting!$C$2:$D$30,2,FALSE))</f>
        <v>喷水</v>
      </c>
      <c r="R418" s="30">
        <f t="shared" si="19"/>
        <v>11</v>
      </c>
    </row>
    <row r="419" spans="1:18">
      <c r="A419" s="177" t="str">
        <f t="shared" si="18"/>
        <v>8413275D网络丝132/48黑喷水</v>
      </c>
      <c r="B419" s="177">
        <v>84132</v>
      </c>
      <c r="C419" s="177">
        <v>7</v>
      </c>
      <c r="D419" s="177" t="s">
        <v>866</v>
      </c>
      <c r="E419" s="177" t="s">
        <v>391</v>
      </c>
      <c r="F419" s="177" t="s">
        <v>1</v>
      </c>
      <c r="G419" s="177" t="s">
        <v>136</v>
      </c>
      <c r="H419" s="8" t="str">
        <f t="shared" si="20"/>
        <v>AA</v>
      </c>
      <c r="I419" s="40" t="str">
        <f>IF(B419="","",VLOOKUP(D419,加弹汇总表!C:E,3,FALSE))</f>
        <v>75网络</v>
      </c>
      <c r="M419" s="177">
        <v>735.82</v>
      </c>
      <c r="O419" s="191">
        <v>43774</v>
      </c>
      <c r="P419" s="72" t="str">
        <f>IF(B419="","",VLOOKUP(D419,setting!$C$2:$D$30,2,FALSE))</f>
        <v>喷水</v>
      </c>
      <c r="R419" s="30">
        <f t="shared" si="19"/>
        <v>11</v>
      </c>
    </row>
    <row r="420" spans="1:18">
      <c r="A420" s="177" t="str">
        <f t="shared" si="18"/>
        <v>73003100D网络丝172/48白喷水</v>
      </c>
      <c r="B420" s="177">
        <v>73003</v>
      </c>
      <c r="C420" s="177">
        <v>1</v>
      </c>
      <c r="D420" s="177" t="s">
        <v>867</v>
      </c>
      <c r="E420" s="177" t="s">
        <v>404</v>
      </c>
      <c r="F420" s="177" t="s">
        <v>2</v>
      </c>
      <c r="G420" s="177" t="s">
        <v>146</v>
      </c>
      <c r="H420" s="8" t="str">
        <f t="shared" si="20"/>
        <v>AA</v>
      </c>
      <c r="I420" s="40" t="str">
        <f>IF(B420="","",VLOOKUP(D420,加弹汇总表!C:E,3,FALSE))</f>
        <v>100网络</v>
      </c>
      <c r="M420" s="177">
        <v>1795</v>
      </c>
      <c r="O420" s="191">
        <v>43774</v>
      </c>
      <c r="P420" s="72" t="str">
        <f>IF(B420="","",VLOOKUP(D420,setting!$C$2:$D$30,2,FALSE))</f>
        <v>喷水</v>
      </c>
      <c r="R420" s="30">
        <f t="shared" si="19"/>
        <v>11</v>
      </c>
    </row>
    <row r="421" spans="1:18">
      <c r="A421" s="177" t="str">
        <f t="shared" si="18"/>
        <v>H-H5563550961200D网络丝355/96黑喷水</v>
      </c>
      <c r="B421" s="177" t="s">
        <v>2751</v>
      </c>
      <c r="C421" s="177">
        <v>7</v>
      </c>
      <c r="D421" s="177" t="s">
        <v>868</v>
      </c>
      <c r="E421" s="177" t="s">
        <v>441</v>
      </c>
      <c r="F421" s="177" t="s">
        <v>1</v>
      </c>
      <c r="G421" s="177" t="s">
        <v>411</v>
      </c>
      <c r="H421" s="8" t="str">
        <f t="shared" si="20"/>
        <v>AA</v>
      </c>
      <c r="I421" s="40" t="str">
        <f>IF(B421="","",VLOOKUP(D421,加弹汇总表!C:E,3,FALSE))</f>
        <v>200网络</v>
      </c>
      <c r="M421" s="177">
        <v>1902</v>
      </c>
      <c r="O421" s="191">
        <v>43774</v>
      </c>
      <c r="P421" s="72" t="str">
        <f>IF(B421="","",VLOOKUP(D421,setting!$C$2:$D$30,2,FALSE))</f>
        <v>喷水</v>
      </c>
      <c r="R421" s="30">
        <f t="shared" si="19"/>
        <v>11</v>
      </c>
    </row>
    <row r="422" spans="1:18">
      <c r="A422" s="177" t="str">
        <f t="shared" si="18"/>
        <v/>
      </c>
      <c r="H422" s="8" t="str">
        <f t="shared" si="20"/>
        <v/>
      </c>
      <c r="I422" s="40" t="str">
        <f>IF(B422="","",VLOOKUP(D422,加弹汇总表!C:E,3,FALSE))</f>
        <v/>
      </c>
      <c r="P422" s="72" t="str">
        <f>IF(B422="","",VLOOKUP(D422,setting!$C$2:$D$30,2,FALSE))</f>
        <v/>
      </c>
      <c r="R422" s="30" t="str">
        <f t="shared" si="19"/>
        <v/>
      </c>
    </row>
    <row r="423" spans="1:18">
      <c r="A423" s="177" t="str">
        <f t="shared" si="18"/>
        <v/>
      </c>
      <c r="H423" s="8" t="str">
        <f t="shared" si="20"/>
        <v/>
      </c>
      <c r="I423" s="40" t="str">
        <f>IF(B423="","",VLOOKUP(D423,加弹汇总表!C:E,3,FALSE))</f>
        <v/>
      </c>
      <c r="P423" s="72" t="str">
        <f>IF(B423="","",VLOOKUP(D423,setting!$C$2:$D$30,2,FALSE))</f>
        <v/>
      </c>
      <c r="R423" s="30" t="str">
        <f t="shared" si="19"/>
        <v/>
      </c>
    </row>
    <row r="424" spans="1:18">
      <c r="A424" s="177" t="str">
        <f t="shared" si="18"/>
        <v/>
      </c>
      <c r="H424" s="8" t="str">
        <f t="shared" si="20"/>
        <v/>
      </c>
      <c r="I424" s="40" t="str">
        <f>IF(B424="","",VLOOKUP(D424,加弹汇总表!C:E,3,FALSE))</f>
        <v/>
      </c>
      <c r="P424" s="72" t="str">
        <f>IF(B424="","",VLOOKUP(D424,setting!$C$2:$D$30,2,FALSE))</f>
        <v/>
      </c>
      <c r="R424" s="30" t="str">
        <f t="shared" si="19"/>
        <v/>
      </c>
    </row>
    <row r="425" spans="1:18">
      <c r="A425" s="177" t="str">
        <f t="shared" si="18"/>
        <v/>
      </c>
      <c r="H425" s="8" t="str">
        <f t="shared" si="20"/>
        <v/>
      </c>
      <c r="I425" s="40" t="str">
        <f>IF(B425="","",VLOOKUP(D425,加弹汇总表!C:E,3,FALSE))</f>
        <v/>
      </c>
      <c r="P425" s="72" t="str">
        <f>IF(B425="","",VLOOKUP(D425,setting!$C$2:$D$30,2,FALSE))</f>
        <v/>
      </c>
      <c r="R425" s="30" t="str">
        <f t="shared" si="19"/>
        <v/>
      </c>
    </row>
    <row r="426" spans="1:18">
      <c r="A426" s="177" t="str">
        <f t="shared" si="18"/>
        <v/>
      </c>
      <c r="H426" s="8" t="str">
        <f t="shared" si="20"/>
        <v/>
      </c>
      <c r="I426" s="40" t="str">
        <f>IF(B426="","",VLOOKUP(D426,加弹汇总表!C:E,3,FALSE))</f>
        <v/>
      </c>
      <c r="P426" s="72" t="str">
        <f>IF(B426="","",VLOOKUP(D426,setting!$C$2:$D$30,2,FALSE))</f>
        <v/>
      </c>
      <c r="R426" s="30" t="str">
        <f t="shared" si="19"/>
        <v/>
      </c>
    </row>
    <row r="427" spans="1:18">
      <c r="A427" s="177" t="str">
        <f t="shared" si="18"/>
        <v/>
      </c>
      <c r="H427" s="8" t="str">
        <f t="shared" si="20"/>
        <v/>
      </c>
      <c r="I427" s="40" t="str">
        <f>IF(B427="","",VLOOKUP(D427,加弹汇总表!C:E,3,FALSE))</f>
        <v/>
      </c>
      <c r="P427" s="72" t="str">
        <f>IF(B427="","",VLOOKUP(D427,setting!$C$2:$D$30,2,FALSE))</f>
        <v/>
      </c>
      <c r="R427" s="30" t="str">
        <f t="shared" si="19"/>
        <v/>
      </c>
    </row>
    <row r="428" spans="1:18">
      <c r="A428" s="177" t="str">
        <f t="shared" si="18"/>
        <v/>
      </c>
      <c r="H428" s="8" t="str">
        <f t="shared" si="20"/>
        <v/>
      </c>
      <c r="I428" s="40" t="str">
        <f>IF(B428="","",VLOOKUP(D428,加弹汇总表!C:E,3,FALSE))</f>
        <v/>
      </c>
      <c r="P428" s="72" t="str">
        <f>IF(B428="","",VLOOKUP(D428,setting!$C$2:$D$30,2,FALSE))</f>
        <v/>
      </c>
      <c r="R428" s="30" t="str">
        <f t="shared" si="19"/>
        <v/>
      </c>
    </row>
    <row r="429" spans="1:18">
      <c r="A429" s="177" t="str">
        <f t="shared" si="18"/>
        <v/>
      </c>
      <c r="H429" s="8" t="str">
        <f t="shared" si="20"/>
        <v/>
      </c>
      <c r="I429" s="40" t="str">
        <f>IF(B429="","",VLOOKUP(D429,加弹汇总表!C:E,3,FALSE))</f>
        <v/>
      </c>
      <c r="P429" s="72" t="str">
        <f>IF(B429="","",VLOOKUP(D429,setting!$C$2:$D$30,2,FALSE))</f>
        <v/>
      </c>
      <c r="R429" s="30" t="str">
        <f t="shared" si="19"/>
        <v/>
      </c>
    </row>
    <row r="430" spans="1:18">
      <c r="A430" s="177" t="str">
        <f t="shared" si="18"/>
        <v/>
      </c>
      <c r="H430" s="8" t="str">
        <f t="shared" si="20"/>
        <v/>
      </c>
      <c r="I430" s="40" t="str">
        <f>IF(B430="","",VLOOKUP(D430,加弹汇总表!C:E,3,FALSE))</f>
        <v/>
      </c>
      <c r="P430" s="72" t="str">
        <f>IF(B430="","",VLOOKUP(D430,setting!$C$2:$D$30,2,FALSE))</f>
        <v/>
      </c>
      <c r="R430" s="30" t="str">
        <f t="shared" si="19"/>
        <v/>
      </c>
    </row>
    <row r="431" spans="1:18">
      <c r="A431" s="177" t="str">
        <f t="shared" si="18"/>
        <v/>
      </c>
      <c r="H431" s="8" t="str">
        <f t="shared" si="20"/>
        <v/>
      </c>
      <c r="I431" s="40" t="str">
        <f>IF(B431="","",VLOOKUP(D431,加弹汇总表!C:E,3,FALSE))</f>
        <v/>
      </c>
      <c r="P431" s="72" t="str">
        <f>IF(B431="","",VLOOKUP(D431,setting!$C$2:$D$30,2,FALSE))</f>
        <v/>
      </c>
      <c r="R431" s="30" t="str">
        <f t="shared" si="19"/>
        <v/>
      </c>
    </row>
    <row r="432" spans="1:18">
      <c r="A432" s="177" t="str">
        <f t="shared" si="18"/>
        <v/>
      </c>
      <c r="H432" s="8" t="str">
        <f t="shared" si="20"/>
        <v/>
      </c>
      <c r="I432" s="40" t="str">
        <f>IF(B432="","",VLOOKUP(D432,加弹汇总表!C:E,3,FALSE))</f>
        <v/>
      </c>
      <c r="P432" s="72" t="str">
        <f>IF(B432="","",VLOOKUP(D432,setting!$C$2:$D$30,2,FALSE))</f>
        <v/>
      </c>
      <c r="R432" s="30" t="str">
        <f t="shared" si="19"/>
        <v/>
      </c>
    </row>
    <row r="433" spans="1:18">
      <c r="A433" s="177" t="str">
        <f t="shared" si="18"/>
        <v/>
      </c>
      <c r="H433" s="8" t="str">
        <f t="shared" si="20"/>
        <v/>
      </c>
      <c r="I433" s="40" t="str">
        <f>IF(B433="","",VLOOKUP(D433,加弹汇总表!C:E,3,FALSE))</f>
        <v/>
      </c>
      <c r="P433" s="72" t="str">
        <f>IF(B433="","",VLOOKUP(D433,setting!$C$2:$D$30,2,FALSE))</f>
        <v/>
      </c>
      <c r="R433" s="30" t="str">
        <f t="shared" si="19"/>
        <v/>
      </c>
    </row>
    <row r="434" spans="1:18">
      <c r="A434" s="177" t="str">
        <f t="shared" si="18"/>
        <v/>
      </c>
      <c r="H434" s="8" t="str">
        <f t="shared" si="20"/>
        <v/>
      </c>
      <c r="I434" s="40" t="str">
        <f>IF(B434="","",VLOOKUP(D434,加弹汇总表!C:E,3,FALSE))</f>
        <v/>
      </c>
      <c r="P434" s="72" t="str">
        <f>IF(B434="","",VLOOKUP(D434,setting!$C$2:$D$30,2,FALSE))</f>
        <v/>
      </c>
      <c r="R434" s="30" t="str">
        <f t="shared" si="19"/>
        <v/>
      </c>
    </row>
    <row r="435" spans="1:18">
      <c r="A435" s="177" t="str">
        <f t="shared" si="18"/>
        <v/>
      </c>
      <c r="H435" s="8" t="str">
        <f t="shared" si="20"/>
        <v/>
      </c>
      <c r="I435" s="40" t="str">
        <f>IF(B435="","",VLOOKUP(D435,加弹汇总表!C:E,3,FALSE))</f>
        <v/>
      </c>
      <c r="P435" s="72" t="str">
        <f>IF(B435="","",VLOOKUP(D435,setting!$C$2:$D$30,2,FALSE))</f>
        <v/>
      </c>
      <c r="R435" s="30" t="str">
        <f t="shared" si="19"/>
        <v/>
      </c>
    </row>
    <row r="436" spans="1:18">
      <c r="A436" s="177" t="str">
        <f t="shared" si="18"/>
        <v/>
      </c>
      <c r="H436" s="8" t="str">
        <f t="shared" si="20"/>
        <v/>
      </c>
      <c r="I436" s="40" t="str">
        <f>IF(B436="","",VLOOKUP(D436,加弹汇总表!C:E,3,FALSE))</f>
        <v/>
      </c>
      <c r="P436" s="72" t="str">
        <f>IF(B436="","",VLOOKUP(D436,setting!$C$2:$D$30,2,FALSE))</f>
        <v/>
      </c>
      <c r="R436" s="30" t="str">
        <f t="shared" si="19"/>
        <v/>
      </c>
    </row>
    <row r="437" spans="1:18">
      <c r="A437" s="177" t="str">
        <f t="shared" si="18"/>
        <v/>
      </c>
      <c r="H437" s="8" t="str">
        <f t="shared" si="20"/>
        <v/>
      </c>
      <c r="I437" s="40" t="str">
        <f>IF(B437="","",VLOOKUP(D437,加弹汇总表!C:E,3,FALSE))</f>
        <v/>
      </c>
      <c r="P437" s="72" t="str">
        <f>IF(B437="","",VLOOKUP(D437,setting!$C$2:$D$30,2,FALSE))</f>
        <v/>
      </c>
      <c r="R437" s="30" t="str">
        <f t="shared" si="19"/>
        <v/>
      </c>
    </row>
    <row r="438" spans="1:18">
      <c r="A438" s="177" t="str">
        <f t="shared" si="18"/>
        <v/>
      </c>
      <c r="H438" s="8" t="str">
        <f t="shared" si="20"/>
        <v/>
      </c>
      <c r="I438" s="40" t="str">
        <f>IF(B438="","",VLOOKUP(D438,加弹汇总表!C:E,3,FALSE))</f>
        <v/>
      </c>
      <c r="P438" s="72" t="str">
        <f>IF(B438="","",VLOOKUP(D438,setting!$C$2:$D$30,2,FALSE))</f>
        <v/>
      </c>
      <c r="R438" s="30" t="str">
        <f t="shared" si="19"/>
        <v/>
      </c>
    </row>
    <row r="439" spans="1:18">
      <c r="A439" s="177" t="str">
        <f t="shared" si="18"/>
        <v/>
      </c>
      <c r="H439" s="8" t="str">
        <f t="shared" si="20"/>
        <v/>
      </c>
      <c r="I439" s="40" t="str">
        <f>IF(B439="","",VLOOKUP(D439,加弹汇总表!C:E,3,FALSE))</f>
        <v/>
      </c>
      <c r="P439" s="72" t="str">
        <f>IF(B439="","",VLOOKUP(D439,setting!$C$2:$D$30,2,FALSE))</f>
        <v/>
      </c>
      <c r="R439" s="30" t="str">
        <f t="shared" si="19"/>
        <v/>
      </c>
    </row>
    <row r="440" spans="1:18">
      <c r="A440" s="177" t="str">
        <f t="shared" si="18"/>
        <v/>
      </c>
      <c r="H440" s="8" t="str">
        <f t="shared" si="20"/>
        <v/>
      </c>
      <c r="I440" s="40" t="str">
        <f>IF(B440="","",VLOOKUP(D440,加弹汇总表!C:E,3,FALSE))</f>
        <v/>
      </c>
      <c r="P440" s="72" t="str">
        <f>IF(B440="","",VLOOKUP(D440,setting!$C$2:$D$30,2,FALSE))</f>
        <v/>
      </c>
      <c r="R440" s="30" t="str">
        <f t="shared" si="19"/>
        <v/>
      </c>
    </row>
    <row r="441" spans="1:18">
      <c r="A441" s="177" t="str">
        <f t="shared" si="18"/>
        <v/>
      </c>
      <c r="H441" s="8" t="str">
        <f t="shared" si="20"/>
        <v/>
      </c>
      <c r="I441" s="40" t="str">
        <f>IF(B441="","",VLOOKUP(D441,加弹汇总表!C:E,3,FALSE))</f>
        <v/>
      </c>
      <c r="P441" s="72" t="str">
        <f>IF(B441="","",VLOOKUP(D441,setting!$C$2:$D$30,2,FALSE))</f>
        <v/>
      </c>
      <c r="R441" s="30" t="str">
        <f t="shared" si="19"/>
        <v/>
      </c>
    </row>
    <row r="442" spans="1:18">
      <c r="A442" s="177" t="str">
        <f t="shared" si="18"/>
        <v/>
      </c>
      <c r="H442" s="8" t="str">
        <f t="shared" si="20"/>
        <v/>
      </c>
      <c r="I442" s="40" t="str">
        <f>IF(B442="","",VLOOKUP(D442,加弹汇总表!C:E,3,FALSE))</f>
        <v/>
      </c>
      <c r="P442" s="72" t="str">
        <f>IF(B442="","",VLOOKUP(D442,setting!$C$2:$D$30,2,FALSE))</f>
        <v/>
      </c>
      <c r="R442" s="30" t="str">
        <f t="shared" si="19"/>
        <v/>
      </c>
    </row>
    <row r="443" spans="1:18">
      <c r="A443" s="177" t="str">
        <f t="shared" si="18"/>
        <v/>
      </c>
      <c r="H443" s="8" t="str">
        <f t="shared" si="20"/>
        <v/>
      </c>
      <c r="I443" s="40" t="str">
        <f>IF(B443="","",VLOOKUP(D443,加弹汇总表!C:E,3,FALSE))</f>
        <v/>
      </c>
      <c r="P443" s="72" t="str">
        <f>IF(B443="","",VLOOKUP(D443,setting!$C$2:$D$30,2,FALSE))</f>
        <v/>
      </c>
      <c r="R443" s="30" t="str">
        <f t="shared" si="19"/>
        <v/>
      </c>
    </row>
    <row r="444" spans="1:18">
      <c r="A444" s="177" t="str">
        <f t="shared" si="18"/>
        <v/>
      </c>
      <c r="H444" s="8" t="str">
        <f t="shared" si="20"/>
        <v/>
      </c>
      <c r="I444" s="40" t="str">
        <f>IF(B444="","",VLOOKUP(D444,加弹汇总表!C:E,3,FALSE))</f>
        <v/>
      </c>
      <c r="P444" s="72" t="str">
        <f>IF(B444="","",VLOOKUP(D444,setting!$C$2:$D$30,2,FALSE))</f>
        <v/>
      </c>
      <c r="R444" s="30" t="str">
        <f t="shared" si="19"/>
        <v/>
      </c>
    </row>
    <row r="445" spans="1:18">
      <c r="A445" s="177" t="str">
        <f t="shared" si="18"/>
        <v/>
      </c>
      <c r="H445" s="8" t="str">
        <f t="shared" si="20"/>
        <v/>
      </c>
      <c r="I445" s="40" t="str">
        <f>IF(B445="","",VLOOKUP(D445,加弹汇总表!C:E,3,FALSE))</f>
        <v/>
      </c>
      <c r="P445" s="72" t="str">
        <f>IF(B445="","",VLOOKUP(D445,setting!$C$2:$D$30,2,FALSE))</f>
        <v/>
      </c>
      <c r="R445" s="30" t="str">
        <f t="shared" si="19"/>
        <v/>
      </c>
    </row>
    <row r="446" spans="1:18">
      <c r="A446" s="177" t="str">
        <f t="shared" si="18"/>
        <v/>
      </c>
      <c r="H446" s="8" t="str">
        <f t="shared" si="20"/>
        <v/>
      </c>
      <c r="I446" s="40" t="str">
        <f>IF(B446="","",VLOOKUP(D446,加弹汇总表!C:E,3,FALSE))</f>
        <v/>
      </c>
      <c r="P446" s="72" t="str">
        <f>IF(B446="","",VLOOKUP(D446,setting!$C$2:$D$30,2,FALSE))</f>
        <v/>
      </c>
      <c r="R446" s="30" t="str">
        <f t="shared" si="19"/>
        <v/>
      </c>
    </row>
    <row r="447" spans="1:18">
      <c r="A447" s="177" t="str">
        <f t="shared" si="18"/>
        <v/>
      </c>
      <c r="H447" s="8" t="str">
        <f t="shared" si="20"/>
        <v/>
      </c>
      <c r="I447" s="40" t="str">
        <f>IF(B447="","",VLOOKUP(D447,加弹汇总表!C:E,3,FALSE))</f>
        <v/>
      </c>
      <c r="P447" s="72" t="str">
        <f>IF(B447="","",VLOOKUP(D447,setting!$C$2:$D$30,2,FALSE))</f>
        <v/>
      </c>
      <c r="R447" s="30" t="str">
        <f t="shared" si="19"/>
        <v/>
      </c>
    </row>
    <row r="448" spans="1:18">
      <c r="A448" s="177" t="str">
        <f t="shared" si="18"/>
        <v/>
      </c>
      <c r="H448" s="8" t="str">
        <f t="shared" si="20"/>
        <v/>
      </c>
      <c r="I448" s="40" t="str">
        <f>IF(B448="","",VLOOKUP(D448,加弹汇总表!C:E,3,FALSE))</f>
        <v/>
      </c>
      <c r="P448" s="72" t="str">
        <f>IF(B448="","",VLOOKUP(D448,setting!$C$2:$D$30,2,FALSE))</f>
        <v/>
      </c>
      <c r="R448" s="30" t="str">
        <f t="shared" si="19"/>
        <v/>
      </c>
    </row>
    <row r="449" spans="1:18">
      <c r="A449" s="177" t="str">
        <f t="shared" si="18"/>
        <v/>
      </c>
      <c r="H449" s="8" t="str">
        <f t="shared" si="20"/>
        <v/>
      </c>
      <c r="I449" s="40" t="str">
        <f>IF(B449="","",VLOOKUP(D449,加弹汇总表!C:E,3,FALSE))</f>
        <v/>
      </c>
      <c r="P449" s="72" t="str">
        <f>IF(B449="","",VLOOKUP(D449,setting!$C$2:$D$30,2,FALSE))</f>
        <v/>
      </c>
      <c r="R449" s="30" t="str">
        <f t="shared" si="19"/>
        <v/>
      </c>
    </row>
    <row r="450" spans="1:18">
      <c r="A450" s="177" t="str">
        <f t="shared" ref="A450:A513" si="21">B450&amp;D450&amp;E450&amp;F450&amp;P450</f>
        <v/>
      </c>
      <c r="H450" s="8" t="str">
        <f t="shared" si="20"/>
        <v/>
      </c>
      <c r="I450" s="40" t="str">
        <f>IF(B450="","",VLOOKUP(D450,加弹汇总表!C:E,3,FALSE))</f>
        <v/>
      </c>
      <c r="P450" s="72" t="str">
        <f>IF(B450="","",VLOOKUP(D450,setting!$C$2:$D$30,2,FALSE))</f>
        <v/>
      </c>
      <c r="R450" s="30" t="str">
        <f t="shared" ref="R450:R513" si="22">IF(O450="","",MONTH(O450))</f>
        <v/>
      </c>
    </row>
    <row r="451" spans="1:18">
      <c r="A451" s="177" t="str">
        <f t="shared" si="21"/>
        <v/>
      </c>
      <c r="H451" s="8" t="str">
        <f t="shared" si="20"/>
        <v/>
      </c>
      <c r="I451" s="40" t="str">
        <f>IF(B451="","",VLOOKUP(D451,加弹汇总表!C:E,3,FALSE))</f>
        <v/>
      </c>
      <c r="P451" s="72" t="str">
        <f>IF(B451="","",VLOOKUP(D451,setting!$C$2:$D$30,2,FALSE))</f>
        <v/>
      </c>
      <c r="R451" s="30" t="str">
        <f t="shared" si="22"/>
        <v/>
      </c>
    </row>
    <row r="452" spans="1:18">
      <c r="A452" s="177" t="str">
        <f t="shared" si="21"/>
        <v/>
      </c>
      <c r="H452" s="8" t="str">
        <f t="shared" ref="H452:H515" si="23">IF(B452="","","AA")</f>
        <v/>
      </c>
      <c r="I452" s="40" t="str">
        <f>IF(B452="","",VLOOKUP(D452,加弹汇总表!C:E,3,FALSE))</f>
        <v/>
      </c>
      <c r="P452" s="72" t="str">
        <f>IF(B452="","",VLOOKUP(D452,setting!$C$2:$D$30,2,FALSE))</f>
        <v/>
      </c>
      <c r="R452" s="30" t="str">
        <f t="shared" si="22"/>
        <v/>
      </c>
    </row>
    <row r="453" spans="1:18">
      <c r="A453" s="177" t="str">
        <f t="shared" si="21"/>
        <v/>
      </c>
      <c r="H453" s="8" t="str">
        <f t="shared" si="23"/>
        <v/>
      </c>
      <c r="I453" s="40" t="str">
        <f>IF(B453="","",VLOOKUP(D453,加弹汇总表!C:E,3,FALSE))</f>
        <v/>
      </c>
      <c r="P453" s="72" t="str">
        <f>IF(B453="","",VLOOKUP(D453,setting!$C$2:$D$30,2,FALSE))</f>
        <v/>
      </c>
      <c r="R453" s="30" t="str">
        <f t="shared" si="22"/>
        <v/>
      </c>
    </row>
    <row r="454" spans="1:18">
      <c r="A454" s="177" t="str">
        <f t="shared" si="21"/>
        <v/>
      </c>
      <c r="H454" s="8" t="str">
        <f t="shared" si="23"/>
        <v/>
      </c>
      <c r="I454" s="40" t="str">
        <f>IF(B454="","",VLOOKUP(D454,加弹汇总表!C:E,3,FALSE))</f>
        <v/>
      </c>
      <c r="P454" s="72" t="str">
        <f>IF(B454="","",VLOOKUP(D454,setting!$C$2:$D$30,2,FALSE))</f>
        <v/>
      </c>
      <c r="R454" s="30" t="str">
        <f t="shared" si="22"/>
        <v/>
      </c>
    </row>
    <row r="455" spans="1:18">
      <c r="A455" s="177" t="str">
        <f t="shared" si="21"/>
        <v/>
      </c>
      <c r="H455" s="8" t="str">
        <f t="shared" si="23"/>
        <v/>
      </c>
      <c r="I455" s="40" t="str">
        <f>IF(B455="","",VLOOKUP(D455,加弹汇总表!C:E,3,FALSE))</f>
        <v/>
      </c>
      <c r="P455" s="72" t="str">
        <f>IF(B455="","",VLOOKUP(D455,setting!$C$2:$D$30,2,FALSE))</f>
        <v/>
      </c>
      <c r="R455" s="30" t="str">
        <f t="shared" si="22"/>
        <v/>
      </c>
    </row>
    <row r="456" spans="1:18">
      <c r="A456" s="177" t="str">
        <f t="shared" si="21"/>
        <v/>
      </c>
      <c r="H456" s="8" t="str">
        <f t="shared" si="23"/>
        <v/>
      </c>
      <c r="I456" s="40" t="str">
        <f>IF(B456="","",VLOOKUP(D456,加弹汇总表!C:E,3,FALSE))</f>
        <v/>
      </c>
      <c r="P456" s="72" t="str">
        <f>IF(B456="","",VLOOKUP(D456,setting!$C$2:$D$30,2,FALSE))</f>
        <v/>
      </c>
      <c r="R456" s="30" t="str">
        <f t="shared" si="22"/>
        <v/>
      </c>
    </row>
    <row r="457" spans="1:18">
      <c r="A457" s="177" t="str">
        <f t="shared" si="21"/>
        <v/>
      </c>
      <c r="H457" s="8" t="str">
        <f t="shared" si="23"/>
        <v/>
      </c>
      <c r="I457" s="40" t="str">
        <f>IF(B457="","",VLOOKUP(D457,加弹汇总表!C:E,3,FALSE))</f>
        <v/>
      </c>
      <c r="P457" s="72" t="str">
        <f>IF(B457="","",VLOOKUP(D457,setting!$C$2:$D$30,2,FALSE))</f>
        <v/>
      </c>
      <c r="R457" s="30" t="str">
        <f t="shared" si="22"/>
        <v/>
      </c>
    </row>
    <row r="458" spans="1:18">
      <c r="A458" s="177" t="str">
        <f t="shared" si="21"/>
        <v/>
      </c>
      <c r="H458" s="8" t="str">
        <f t="shared" si="23"/>
        <v/>
      </c>
      <c r="I458" s="40" t="str">
        <f>IF(B458="","",VLOOKUP(D458,加弹汇总表!C:E,3,FALSE))</f>
        <v/>
      </c>
      <c r="P458" s="72" t="str">
        <f>IF(B458="","",VLOOKUP(D458,setting!$C$2:$D$30,2,FALSE))</f>
        <v/>
      </c>
      <c r="R458" s="30" t="str">
        <f t="shared" si="22"/>
        <v/>
      </c>
    </row>
    <row r="459" spans="1:18">
      <c r="A459" s="177" t="str">
        <f t="shared" si="21"/>
        <v/>
      </c>
      <c r="H459" s="8" t="str">
        <f t="shared" si="23"/>
        <v/>
      </c>
      <c r="I459" s="40" t="str">
        <f>IF(B459="","",VLOOKUP(D459,加弹汇总表!C:E,3,FALSE))</f>
        <v/>
      </c>
      <c r="P459" s="72" t="str">
        <f>IF(B459="","",VLOOKUP(D459,setting!$C$2:$D$30,2,FALSE))</f>
        <v/>
      </c>
      <c r="R459" s="30" t="str">
        <f t="shared" si="22"/>
        <v/>
      </c>
    </row>
    <row r="460" spans="1:18">
      <c r="A460" s="177" t="str">
        <f t="shared" si="21"/>
        <v/>
      </c>
      <c r="H460" s="8" t="str">
        <f t="shared" si="23"/>
        <v/>
      </c>
      <c r="I460" s="40" t="str">
        <f>IF(B460="","",VLOOKUP(D460,加弹汇总表!C:E,3,FALSE))</f>
        <v/>
      </c>
      <c r="P460" s="72" t="str">
        <f>IF(B460="","",VLOOKUP(D460,setting!$C$2:$D$30,2,FALSE))</f>
        <v/>
      </c>
      <c r="R460" s="30" t="str">
        <f t="shared" si="22"/>
        <v/>
      </c>
    </row>
    <row r="461" spans="1:18">
      <c r="A461" s="177" t="str">
        <f t="shared" si="21"/>
        <v/>
      </c>
      <c r="H461" s="8" t="str">
        <f t="shared" si="23"/>
        <v/>
      </c>
      <c r="I461" s="40" t="str">
        <f>IF(B461="","",VLOOKUP(D461,加弹汇总表!C:E,3,FALSE))</f>
        <v/>
      </c>
      <c r="P461" s="72" t="str">
        <f>IF(B461="","",VLOOKUP(D461,setting!$C$2:$D$30,2,FALSE))</f>
        <v/>
      </c>
      <c r="R461" s="30" t="str">
        <f t="shared" si="22"/>
        <v/>
      </c>
    </row>
    <row r="462" spans="1:18">
      <c r="A462" s="177" t="str">
        <f t="shared" si="21"/>
        <v/>
      </c>
      <c r="H462" s="8" t="str">
        <f t="shared" si="23"/>
        <v/>
      </c>
      <c r="I462" s="40" t="str">
        <f>IF(B462="","",VLOOKUP(D462,加弹汇总表!C:E,3,FALSE))</f>
        <v/>
      </c>
      <c r="P462" s="72" t="str">
        <f>IF(B462="","",VLOOKUP(D462,setting!$C$2:$D$30,2,FALSE))</f>
        <v/>
      </c>
      <c r="R462" s="30" t="str">
        <f t="shared" si="22"/>
        <v/>
      </c>
    </row>
    <row r="463" spans="1:18">
      <c r="A463" s="177" t="str">
        <f t="shared" si="21"/>
        <v/>
      </c>
      <c r="H463" s="8" t="str">
        <f t="shared" si="23"/>
        <v/>
      </c>
      <c r="I463" s="40" t="str">
        <f>IF(B463="","",VLOOKUP(D463,加弹汇总表!C:E,3,FALSE))</f>
        <v/>
      </c>
      <c r="P463" s="72" t="str">
        <f>IF(B463="","",VLOOKUP(D463,setting!$C$2:$D$30,2,FALSE))</f>
        <v/>
      </c>
      <c r="R463" s="30" t="str">
        <f t="shared" si="22"/>
        <v/>
      </c>
    </row>
    <row r="464" spans="1:18">
      <c r="A464" s="177" t="str">
        <f t="shared" si="21"/>
        <v/>
      </c>
      <c r="H464" s="8" t="str">
        <f t="shared" si="23"/>
        <v/>
      </c>
      <c r="I464" s="40" t="str">
        <f>IF(B464="","",VLOOKUP(D464,加弹汇总表!C:E,3,FALSE))</f>
        <v/>
      </c>
      <c r="P464" s="72" t="str">
        <f>IF(B464="","",VLOOKUP(D464,setting!$C$2:$D$30,2,FALSE))</f>
        <v/>
      </c>
      <c r="R464" s="30" t="str">
        <f t="shared" si="22"/>
        <v/>
      </c>
    </row>
    <row r="465" spans="1:18">
      <c r="A465" s="177" t="str">
        <f t="shared" si="21"/>
        <v/>
      </c>
      <c r="H465" s="8" t="str">
        <f t="shared" si="23"/>
        <v/>
      </c>
      <c r="I465" s="40" t="str">
        <f>IF(B465="","",VLOOKUP(D465,加弹汇总表!C:E,3,FALSE))</f>
        <v/>
      </c>
      <c r="P465" s="72" t="str">
        <f>IF(B465="","",VLOOKUP(D465,setting!$C$2:$D$30,2,FALSE))</f>
        <v/>
      </c>
      <c r="R465" s="30" t="str">
        <f t="shared" si="22"/>
        <v/>
      </c>
    </row>
    <row r="466" spans="1:18">
      <c r="A466" s="177" t="str">
        <f t="shared" si="21"/>
        <v/>
      </c>
      <c r="H466" s="8" t="str">
        <f t="shared" si="23"/>
        <v/>
      </c>
      <c r="I466" s="40" t="str">
        <f>IF(B466="","",VLOOKUP(D466,加弹汇总表!C:E,3,FALSE))</f>
        <v/>
      </c>
      <c r="P466" s="72" t="str">
        <f>IF(B466="","",VLOOKUP(D466,setting!$C$2:$D$30,2,FALSE))</f>
        <v/>
      </c>
      <c r="R466" s="30" t="str">
        <f t="shared" si="22"/>
        <v/>
      </c>
    </row>
    <row r="467" spans="1:18">
      <c r="A467" s="177" t="str">
        <f t="shared" si="21"/>
        <v/>
      </c>
      <c r="H467" s="8" t="str">
        <f t="shared" si="23"/>
        <v/>
      </c>
      <c r="I467" s="40" t="str">
        <f>IF(B467="","",VLOOKUP(D467,加弹汇总表!C:E,3,FALSE))</f>
        <v/>
      </c>
      <c r="P467" s="72" t="str">
        <f>IF(B467="","",VLOOKUP(D467,setting!$C$2:$D$30,2,FALSE))</f>
        <v/>
      </c>
      <c r="R467" s="30" t="str">
        <f t="shared" si="22"/>
        <v/>
      </c>
    </row>
    <row r="468" spans="1:18">
      <c r="A468" s="177" t="str">
        <f t="shared" si="21"/>
        <v/>
      </c>
      <c r="H468" s="8" t="str">
        <f t="shared" si="23"/>
        <v/>
      </c>
      <c r="I468" s="40" t="str">
        <f>IF(B468="","",VLOOKUP(D468,加弹汇总表!C:E,3,FALSE))</f>
        <v/>
      </c>
      <c r="P468" s="72" t="str">
        <f>IF(B468="","",VLOOKUP(D468,setting!$C$2:$D$30,2,FALSE))</f>
        <v/>
      </c>
      <c r="R468" s="30" t="str">
        <f t="shared" si="22"/>
        <v/>
      </c>
    </row>
    <row r="469" spans="1:18">
      <c r="A469" s="177" t="str">
        <f t="shared" si="21"/>
        <v/>
      </c>
      <c r="H469" s="8" t="str">
        <f t="shared" si="23"/>
        <v/>
      </c>
      <c r="I469" s="40" t="str">
        <f>IF(B469="","",VLOOKUP(D469,加弹汇总表!C:E,3,FALSE))</f>
        <v/>
      </c>
      <c r="P469" s="72" t="str">
        <f>IF(B469="","",VLOOKUP(D469,setting!$C$2:$D$30,2,FALSE))</f>
        <v/>
      </c>
      <c r="R469" s="30" t="str">
        <f t="shared" si="22"/>
        <v/>
      </c>
    </row>
    <row r="470" spans="1:18">
      <c r="A470" s="177" t="str">
        <f t="shared" si="21"/>
        <v/>
      </c>
      <c r="H470" s="8" t="str">
        <f t="shared" si="23"/>
        <v/>
      </c>
      <c r="I470" s="40" t="str">
        <f>IF(B470="","",VLOOKUP(D470,加弹汇总表!C:E,3,FALSE))</f>
        <v/>
      </c>
      <c r="P470" s="72" t="str">
        <f>IF(B470="","",VLOOKUP(D470,setting!$C$2:$D$30,2,FALSE))</f>
        <v/>
      </c>
      <c r="R470" s="30" t="str">
        <f t="shared" si="22"/>
        <v/>
      </c>
    </row>
    <row r="471" spans="1:18">
      <c r="A471" s="177" t="str">
        <f t="shared" si="21"/>
        <v/>
      </c>
      <c r="H471" s="8" t="str">
        <f t="shared" si="23"/>
        <v/>
      </c>
      <c r="I471" s="40" t="str">
        <f>IF(B471="","",VLOOKUP(D471,加弹汇总表!C:E,3,FALSE))</f>
        <v/>
      </c>
      <c r="P471" s="72" t="str">
        <f>IF(B471="","",VLOOKUP(D471,setting!$C$2:$D$30,2,FALSE))</f>
        <v/>
      </c>
      <c r="R471" s="30" t="str">
        <f t="shared" si="22"/>
        <v/>
      </c>
    </row>
    <row r="472" spans="1:18">
      <c r="A472" s="177" t="str">
        <f t="shared" si="21"/>
        <v/>
      </c>
      <c r="H472" s="8" t="str">
        <f t="shared" si="23"/>
        <v/>
      </c>
      <c r="I472" s="40" t="str">
        <f>IF(B472="","",VLOOKUP(D472,加弹汇总表!C:E,3,FALSE))</f>
        <v/>
      </c>
      <c r="P472" s="72" t="str">
        <f>IF(B472="","",VLOOKUP(D472,setting!$C$2:$D$30,2,FALSE))</f>
        <v/>
      </c>
      <c r="R472" s="30" t="str">
        <f t="shared" si="22"/>
        <v/>
      </c>
    </row>
    <row r="473" spans="1:18">
      <c r="A473" s="177" t="str">
        <f t="shared" si="21"/>
        <v/>
      </c>
      <c r="H473" s="8" t="str">
        <f t="shared" si="23"/>
        <v/>
      </c>
      <c r="I473" s="40" t="str">
        <f>IF(B473="","",VLOOKUP(D473,加弹汇总表!C:E,3,FALSE))</f>
        <v/>
      </c>
      <c r="P473" s="72" t="str">
        <f>IF(B473="","",VLOOKUP(D473,setting!$C$2:$D$30,2,FALSE))</f>
        <v/>
      </c>
      <c r="R473" s="30" t="str">
        <f t="shared" si="22"/>
        <v/>
      </c>
    </row>
    <row r="474" spans="1:18">
      <c r="A474" s="177" t="str">
        <f t="shared" si="21"/>
        <v/>
      </c>
      <c r="H474" s="8" t="str">
        <f t="shared" si="23"/>
        <v/>
      </c>
      <c r="I474" s="40" t="str">
        <f>IF(B474="","",VLOOKUP(D474,加弹汇总表!C:E,3,FALSE))</f>
        <v/>
      </c>
      <c r="P474" s="72" t="str">
        <f>IF(B474="","",VLOOKUP(D474,setting!$C$2:$D$30,2,FALSE))</f>
        <v/>
      </c>
      <c r="R474" s="30" t="str">
        <f t="shared" si="22"/>
        <v/>
      </c>
    </row>
    <row r="475" spans="1:18">
      <c r="A475" s="177" t="str">
        <f t="shared" si="21"/>
        <v/>
      </c>
      <c r="H475" s="8" t="str">
        <f t="shared" si="23"/>
        <v/>
      </c>
      <c r="I475" s="40" t="str">
        <f>IF(B475="","",VLOOKUP(D475,加弹汇总表!C:E,3,FALSE))</f>
        <v/>
      </c>
      <c r="P475" s="72" t="str">
        <f>IF(B475="","",VLOOKUP(D475,setting!$C$2:$D$30,2,FALSE))</f>
        <v/>
      </c>
      <c r="R475" s="30" t="str">
        <f t="shared" si="22"/>
        <v/>
      </c>
    </row>
    <row r="476" spans="1:18">
      <c r="A476" s="177" t="str">
        <f t="shared" si="21"/>
        <v/>
      </c>
      <c r="H476" s="8" t="str">
        <f t="shared" si="23"/>
        <v/>
      </c>
      <c r="I476" s="40" t="str">
        <f>IF(B476="","",VLOOKUP(D476,加弹汇总表!C:E,3,FALSE))</f>
        <v/>
      </c>
      <c r="P476" s="72" t="str">
        <f>IF(B476="","",VLOOKUP(D476,setting!$C$2:$D$30,2,FALSE))</f>
        <v/>
      </c>
      <c r="R476" s="30" t="str">
        <f t="shared" si="22"/>
        <v/>
      </c>
    </row>
    <row r="477" spans="1:18">
      <c r="A477" s="177" t="str">
        <f t="shared" si="21"/>
        <v/>
      </c>
      <c r="H477" s="8" t="str">
        <f t="shared" si="23"/>
        <v/>
      </c>
      <c r="I477" s="40" t="str">
        <f>IF(B477="","",VLOOKUP(D477,加弹汇总表!C:E,3,FALSE))</f>
        <v/>
      </c>
      <c r="P477" s="72" t="str">
        <f>IF(B477="","",VLOOKUP(D477,setting!$C$2:$D$30,2,FALSE))</f>
        <v/>
      </c>
      <c r="R477" s="30" t="str">
        <f t="shared" si="22"/>
        <v/>
      </c>
    </row>
    <row r="478" spans="1:18">
      <c r="A478" s="177" t="str">
        <f t="shared" si="21"/>
        <v/>
      </c>
      <c r="H478" s="8" t="str">
        <f t="shared" si="23"/>
        <v/>
      </c>
      <c r="I478" s="40" t="str">
        <f>IF(B478="","",VLOOKUP(D478,加弹汇总表!C:E,3,FALSE))</f>
        <v/>
      </c>
      <c r="P478" s="72" t="str">
        <f>IF(B478="","",VLOOKUP(D478,setting!$C$2:$D$30,2,FALSE))</f>
        <v/>
      </c>
      <c r="R478" s="30" t="str">
        <f t="shared" si="22"/>
        <v/>
      </c>
    </row>
    <row r="479" spans="1:18">
      <c r="A479" s="177" t="str">
        <f t="shared" si="21"/>
        <v/>
      </c>
      <c r="H479" s="8" t="str">
        <f t="shared" si="23"/>
        <v/>
      </c>
      <c r="I479" s="40" t="str">
        <f>IF(B479="","",VLOOKUP(D479,加弹汇总表!C:E,3,FALSE))</f>
        <v/>
      </c>
      <c r="P479" s="72" t="str">
        <f>IF(B479="","",VLOOKUP(D479,setting!$C$2:$D$30,2,FALSE))</f>
        <v/>
      </c>
      <c r="R479" s="30" t="str">
        <f t="shared" si="22"/>
        <v/>
      </c>
    </row>
    <row r="480" spans="1:18">
      <c r="A480" s="177" t="str">
        <f t="shared" si="21"/>
        <v/>
      </c>
      <c r="H480" s="8" t="str">
        <f t="shared" si="23"/>
        <v/>
      </c>
      <c r="I480" s="40" t="str">
        <f>IF(B480="","",VLOOKUP(D480,加弹汇总表!C:E,3,FALSE))</f>
        <v/>
      </c>
      <c r="P480" s="72" t="str">
        <f>IF(B480="","",VLOOKUP(D480,setting!$C$2:$D$30,2,FALSE))</f>
        <v/>
      </c>
      <c r="R480" s="30" t="str">
        <f t="shared" si="22"/>
        <v/>
      </c>
    </row>
    <row r="481" spans="1:18">
      <c r="A481" s="177" t="str">
        <f t="shared" si="21"/>
        <v/>
      </c>
      <c r="H481" s="8" t="str">
        <f t="shared" si="23"/>
        <v/>
      </c>
      <c r="I481" s="40" t="str">
        <f>IF(B481="","",VLOOKUP(D481,加弹汇总表!C:E,3,FALSE))</f>
        <v/>
      </c>
      <c r="P481" s="72" t="str">
        <f>IF(B481="","",VLOOKUP(D481,setting!$C$2:$D$30,2,FALSE))</f>
        <v/>
      </c>
      <c r="R481" s="30" t="str">
        <f t="shared" si="22"/>
        <v/>
      </c>
    </row>
    <row r="482" spans="1:18">
      <c r="A482" s="177" t="str">
        <f t="shared" si="21"/>
        <v/>
      </c>
      <c r="H482" s="8" t="str">
        <f t="shared" si="23"/>
        <v/>
      </c>
      <c r="I482" s="40" t="str">
        <f>IF(B482="","",VLOOKUP(D482,加弹汇总表!C:E,3,FALSE))</f>
        <v/>
      </c>
      <c r="P482" s="72" t="str">
        <f>IF(B482="","",VLOOKUP(D482,setting!$C$2:$D$30,2,FALSE))</f>
        <v/>
      </c>
      <c r="R482" s="30" t="str">
        <f t="shared" si="22"/>
        <v/>
      </c>
    </row>
    <row r="483" spans="1:18">
      <c r="A483" s="177" t="str">
        <f t="shared" si="21"/>
        <v/>
      </c>
      <c r="H483" s="8" t="str">
        <f t="shared" si="23"/>
        <v/>
      </c>
      <c r="I483" s="40" t="str">
        <f>IF(B483="","",VLOOKUP(D483,加弹汇总表!C:E,3,FALSE))</f>
        <v/>
      </c>
      <c r="P483" s="72" t="str">
        <f>IF(B483="","",VLOOKUP(D483,setting!$C$2:$D$30,2,FALSE))</f>
        <v/>
      </c>
      <c r="R483" s="30" t="str">
        <f t="shared" si="22"/>
        <v/>
      </c>
    </row>
    <row r="484" spans="1:18">
      <c r="A484" s="177" t="str">
        <f t="shared" si="21"/>
        <v/>
      </c>
      <c r="H484" s="8" t="str">
        <f t="shared" si="23"/>
        <v/>
      </c>
      <c r="I484" s="40" t="str">
        <f>IF(B484="","",VLOOKUP(D484,加弹汇总表!C:E,3,FALSE))</f>
        <v/>
      </c>
      <c r="P484" s="72" t="str">
        <f>IF(B484="","",VLOOKUP(D484,setting!$C$2:$D$30,2,FALSE))</f>
        <v/>
      </c>
      <c r="R484" s="30" t="str">
        <f t="shared" si="22"/>
        <v/>
      </c>
    </row>
    <row r="485" spans="1:18">
      <c r="A485" s="177" t="str">
        <f t="shared" si="21"/>
        <v/>
      </c>
      <c r="H485" s="8" t="str">
        <f t="shared" si="23"/>
        <v/>
      </c>
      <c r="I485" s="40" t="str">
        <f>IF(B485="","",VLOOKUP(D485,加弹汇总表!C:E,3,FALSE))</f>
        <v/>
      </c>
      <c r="P485" s="72" t="str">
        <f>IF(B485="","",VLOOKUP(D485,setting!$C$2:$D$30,2,FALSE))</f>
        <v/>
      </c>
      <c r="R485" s="30" t="str">
        <f t="shared" si="22"/>
        <v/>
      </c>
    </row>
    <row r="486" spans="1:18">
      <c r="A486" s="177" t="str">
        <f t="shared" si="21"/>
        <v/>
      </c>
      <c r="H486" s="8" t="str">
        <f t="shared" si="23"/>
        <v/>
      </c>
      <c r="I486" s="40" t="str">
        <f>IF(B486="","",VLOOKUP(D486,加弹汇总表!C:E,3,FALSE))</f>
        <v/>
      </c>
      <c r="P486" s="72" t="str">
        <f>IF(B486="","",VLOOKUP(D486,setting!$C$2:$D$30,2,FALSE))</f>
        <v/>
      </c>
      <c r="R486" s="30" t="str">
        <f t="shared" si="22"/>
        <v/>
      </c>
    </row>
    <row r="487" spans="1:18">
      <c r="A487" s="177" t="str">
        <f t="shared" si="21"/>
        <v/>
      </c>
      <c r="H487" s="8" t="str">
        <f t="shared" si="23"/>
        <v/>
      </c>
      <c r="I487" s="40" t="str">
        <f>IF(B487="","",VLOOKUP(D487,加弹汇总表!C:E,3,FALSE))</f>
        <v/>
      </c>
      <c r="P487" s="72" t="str">
        <f>IF(B487="","",VLOOKUP(D487,setting!$C$2:$D$30,2,FALSE))</f>
        <v/>
      </c>
      <c r="R487" s="30" t="str">
        <f t="shared" si="22"/>
        <v/>
      </c>
    </row>
    <row r="488" spans="1:18">
      <c r="A488" s="177" t="str">
        <f t="shared" si="21"/>
        <v/>
      </c>
      <c r="H488" s="8" t="str">
        <f t="shared" si="23"/>
        <v/>
      </c>
      <c r="I488" s="40" t="str">
        <f>IF(B488="","",VLOOKUP(D488,加弹汇总表!C:E,3,FALSE))</f>
        <v/>
      </c>
      <c r="P488" s="72" t="str">
        <f>IF(B488="","",VLOOKUP(D488,setting!$C$2:$D$30,2,FALSE))</f>
        <v/>
      </c>
      <c r="R488" s="30" t="str">
        <f t="shared" si="22"/>
        <v/>
      </c>
    </row>
    <row r="489" spans="1:18">
      <c r="A489" s="177" t="str">
        <f t="shared" si="21"/>
        <v/>
      </c>
      <c r="H489" s="8" t="str">
        <f t="shared" si="23"/>
        <v/>
      </c>
      <c r="I489" s="40" t="str">
        <f>IF(B489="","",VLOOKUP(D489,加弹汇总表!C:E,3,FALSE))</f>
        <v/>
      </c>
      <c r="P489" s="72" t="str">
        <f>IF(B489="","",VLOOKUP(D489,setting!$C$2:$D$30,2,FALSE))</f>
        <v/>
      </c>
      <c r="R489" s="30" t="str">
        <f t="shared" si="22"/>
        <v/>
      </c>
    </row>
    <row r="490" spans="1:18">
      <c r="A490" s="177" t="str">
        <f t="shared" si="21"/>
        <v/>
      </c>
      <c r="H490" s="8" t="str">
        <f t="shared" si="23"/>
        <v/>
      </c>
      <c r="I490" s="40" t="str">
        <f>IF(B490="","",VLOOKUP(D490,加弹汇总表!C:E,3,FALSE))</f>
        <v/>
      </c>
      <c r="P490" s="72" t="str">
        <f>IF(B490="","",VLOOKUP(D490,setting!$C$2:$D$30,2,FALSE))</f>
        <v/>
      </c>
      <c r="R490" s="30" t="str">
        <f t="shared" si="22"/>
        <v/>
      </c>
    </row>
    <row r="491" spans="1:18">
      <c r="A491" s="177" t="str">
        <f t="shared" si="21"/>
        <v/>
      </c>
      <c r="H491" s="8" t="str">
        <f t="shared" si="23"/>
        <v/>
      </c>
      <c r="I491" s="40" t="str">
        <f>IF(B491="","",VLOOKUP(D491,加弹汇总表!C:E,3,FALSE))</f>
        <v/>
      </c>
      <c r="P491" s="72" t="str">
        <f>IF(B491="","",VLOOKUP(D491,setting!$C$2:$D$30,2,FALSE))</f>
        <v/>
      </c>
      <c r="R491" s="30" t="str">
        <f t="shared" si="22"/>
        <v/>
      </c>
    </row>
    <row r="492" spans="1:18">
      <c r="A492" s="177" t="str">
        <f t="shared" si="21"/>
        <v/>
      </c>
      <c r="H492" s="8" t="str">
        <f t="shared" si="23"/>
        <v/>
      </c>
      <c r="I492" s="40" t="str">
        <f>IF(B492="","",VLOOKUP(D492,加弹汇总表!C:E,3,FALSE))</f>
        <v/>
      </c>
      <c r="P492" s="72" t="str">
        <f>IF(B492="","",VLOOKUP(D492,setting!$C$2:$D$30,2,FALSE))</f>
        <v/>
      </c>
      <c r="R492" s="30" t="str">
        <f t="shared" si="22"/>
        <v/>
      </c>
    </row>
    <row r="493" spans="1:18">
      <c r="A493" s="177" t="str">
        <f t="shared" si="21"/>
        <v/>
      </c>
      <c r="H493" s="8" t="str">
        <f t="shared" si="23"/>
        <v/>
      </c>
      <c r="I493" s="40" t="str">
        <f>IF(B493="","",VLOOKUP(D493,加弹汇总表!C:E,3,FALSE))</f>
        <v/>
      </c>
      <c r="P493" s="72" t="str">
        <f>IF(B493="","",VLOOKUP(D493,setting!$C$2:$D$30,2,FALSE))</f>
        <v/>
      </c>
      <c r="R493" s="30" t="str">
        <f t="shared" si="22"/>
        <v/>
      </c>
    </row>
    <row r="494" spans="1:18">
      <c r="A494" s="177" t="str">
        <f t="shared" si="21"/>
        <v/>
      </c>
      <c r="H494" s="8" t="str">
        <f t="shared" si="23"/>
        <v/>
      </c>
      <c r="I494" s="40" t="str">
        <f>IF(B494="","",VLOOKUP(D494,加弹汇总表!C:E,3,FALSE))</f>
        <v/>
      </c>
      <c r="P494" s="72" t="str">
        <f>IF(B494="","",VLOOKUP(D494,setting!$C$2:$D$30,2,FALSE))</f>
        <v/>
      </c>
      <c r="R494" s="30" t="str">
        <f t="shared" si="22"/>
        <v/>
      </c>
    </row>
    <row r="495" spans="1:18">
      <c r="A495" s="177" t="str">
        <f t="shared" si="21"/>
        <v/>
      </c>
      <c r="H495" s="8" t="str">
        <f t="shared" si="23"/>
        <v/>
      </c>
      <c r="I495" s="40" t="str">
        <f>IF(B495="","",VLOOKUP(D495,加弹汇总表!C:E,3,FALSE))</f>
        <v/>
      </c>
      <c r="P495" s="72" t="str">
        <f>IF(B495="","",VLOOKUP(D495,setting!$C$2:$D$30,2,FALSE))</f>
        <v/>
      </c>
      <c r="R495" s="30" t="str">
        <f t="shared" si="22"/>
        <v/>
      </c>
    </row>
    <row r="496" spans="1:18">
      <c r="A496" s="177" t="str">
        <f t="shared" si="21"/>
        <v/>
      </c>
      <c r="H496" s="8" t="str">
        <f t="shared" si="23"/>
        <v/>
      </c>
      <c r="I496" s="40" t="str">
        <f>IF(B496="","",VLOOKUP(D496,加弹汇总表!C:E,3,FALSE))</f>
        <v/>
      </c>
      <c r="P496" s="72" t="str">
        <f>IF(B496="","",VLOOKUP(D496,setting!$C$2:$D$30,2,FALSE))</f>
        <v/>
      </c>
      <c r="R496" s="30" t="str">
        <f t="shared" si="22"/>
        <v/>
      </c>
    </row>
    <row r="497" spans="1:18">
      <c r="A497" s="177" t="str">
        <f t="shared" si="21"/>
        <v/>
      </c>
      <c r="H497" s="8" t="str">
        <f t="shared" si="23"/>
        <v/>
      </c>
      <c r="I497" s="40" t="str">
        <f>IF(B497="","",VLOOKUP(D497,加弹汇总表!C:E,3,FALSE))</f>
        <v/>
      </c>
      <c r="P497" s="72" t="str">
        <f>IF(B497="","",VLOOKUP(D497,setting!$C$2:$D$30,2,FALSE))</f>
        <v/>
      </c>
      <c r="R497" s="30" t="str">
        <f t="shared" si="22"/>
        <v/>
      </c>
    </row>
    <row r="498" spans="1:18">
      <c r="A498" s="177" t="str">
        <f t="shared" si="21"/>
        <v/>
      </c>
      <c r="H498" s="8" t="str">
        <f t="shared" si="23"/>
        <v/>
      </c>
      <c r="I498" s="40" t="str">
        <f>IF(B498="","",VLOOKUP(D498,加弹汇总表!C:E,3,FALSE))</f>
        <v/>
      </c>
      <c r="P498" s="72" t="str">
        <f>IF(B498="","",VLOOKUP(D498,setting!$C$2:$D$30,2,FALSE))</f>
        <v/>
      </c>
      <c r="R498" s="30" t="str">
        <f t="shared" si="22"/>
        <v/>
      </c>
    </row>
    <row r="499" spans="1:18">
      <c r="A499" s="177" t="str">
        <f t="shared" si="21"/>
        <v/>
      </c>
      <c r="H499" s="8" t="str">
        <f t="shared" si="23"/>
        <v/>
      </c>
      <c r="I499" s="40" t="str">
        <f>IF(B499="","",VLOOKUP(D499,加弹汇总表!C:E,3,FALSE))</f>
        <v/>
      </c>
      <c r="P499" s="72" t="str">
        <f>IF(B499="","",VLOOKUP(D499,setting!$C$2:$D$30,2,FALSE))</f>
        <v/>
      </c>
      <c r="R499" s="30" t="str">
        <f t="shared" si="22"/>
        <v/>
      </c>
    </row>
    <row r="500" spans="1:18">
      <c r="A500" s="177" t="str">
        <f t="shared" si="21"/>
        <v/>
      </c>
      <c r="H500" s="8" t="str">
        <f t="shared" si="23"/>
        <v/>
      </c>
      <c r="I500" s="40" t="str">
        <f>IF(B500="","",VLOOKUP(D500,加弹汇总表!C:E,3,FALSE))</f>
        <v/>
      </c>
      <c r="P500" s="72" t="str">
        <f>IF(B500="","",VLOOKUP(D500,setting!$C$2:$D$30,2,FALSE))</f>
        <v/>
      </c>
      <c r="R500" s="30" t="str">
        <f t="shared" si="22"/>
        <v/>
      </c>
    </row>
    <row r="501" spans="1:18">
      <c r="A501" s="177" t="str">
        <f t="shared" si="21"/>
        <v/>
      </c>
      <c r="H501" s="8" t="str">
        <f t="shared" si="23"/>
        <v/>
      </c>
      <c r="I501" s="40" t="str">
        <f>IF(B501="","",VLOOKUP(D501,加弹汇总表!C:E,3,FALSE))</f>
        <v/>
      </c>
      <c r="P501" s="72" t="str">
        <f>IF(B501="","",VLOOKUP(D501,setting!$C$2:$D$30,2,FALSE))</f>
        <v/>
      </c>
      <c r="R501" s="30" t="str">
        <f t="shared" si="22"/>
        <v/>
      </c>
    </row>
    <row r="502" spans="1:18">
      <c r="A502" s="177" t="str">
        <f t="shared" si="21"/>
        <v/>
      </c>
      <c r="H502" s="8" t="str">
        <f t="shared" si="23"/>
        <v/>
      </c>
      <c r="I502" s="40" t="str">
        <f>IF(B502="","",VLOOKUP(D502,加弹汇总表!C:E,3,FALSE))</f>
        <v/>
      </c>
      <c r="P502" s="72" t="str">
        <f>IF(B502="","",VLOOKUP(D502,setting!$C$2:$D$30,2,FALSE))</f>
        <v/>
      </c>
      <c r="R502" s="30" t="str">
        <f t="shared" si="22"/>
        <v/>
      </c>
    </row>
    <row r="503" spans="1:18">
      <c r="A503" s="177" t="str">
        <f t="shared" si="21"/>
        <v/>
      </c>
      <c r="H503" s="8" t="str">
        <f t="shared" si="23"/>
        <v/>
      </c>
      <c r="I503" s="40" t="str">
        <f>IF(B503="","",VLOOKUP(D503,加弹汇总表!C:E,3,FALSE))</f>
        <v/>
      </c>
      <c r="P503" s="72" t="str">
        <f>IF(B503="","",VLOOKUP(D503,setting!$C$2:$D$30,2,FALSE))</f>
        <v/>
      </c>
      <c r="R503" s="30" t="str">
        <f t="shared" si="22"/>
        <v/>
      </c>
    </row>
    <row r="504" spans="1:18">
      <c r="A504" s="177" t="str">
        <f t="shared" si="21"/>
        <v/>
      </c>
      <c r="H504" s="8" t="str">
        <f t="shared" si="23"/>
        <v/>
      </c>
      <c r="I504" s="40" t="str">
        <f>IF(B504="","",VLOOKUP(D504,加弹汇总表!C:E,3,FALSE))</f>
        <v/>
      </c>
      <c r="P504" s="72" t="str">
        <f>IF(B504="","",VLOOKUP(D504,setting!$C$2:$D$30,2,FALSE))</f>
        <v/>
      </c>
      <c r="R504" s="30" t="str">
        <f t="shared" si="22"/>
        <v/>
      </c>
    </row>
    <row r="505" spans="1:18">
      <c r="A505" s="177" t="str">
        <f t="shared" si="21"/>
        <v/>
      </c>
      <c r="H505" s="8" t="str">
        <f t="shared" si="23"/>
        <v/>
      </c>
      <c r="I505" s="40" t="str">
        <f>IF(B505="","",VLOOKUP(D505,加弹汇总表!C:E,3,FALSE))</f>
        <v/>
      </c>
      <c r="P505" s="72" t="str">
        <f>IF(B505="","",VLOOKUP(D505,setting!$C$2:$D$30,2,FALSE))</f>
        <v/>
      </c>
      <c r="R505" s="30" t="str">
        <f t="shared" si="22"/>
        <v/>
      </c>
    </row>
    <row r="506" spans="1:18">
      <c r="A506" s="177" t="str">
        <f t="shared" si="21"/>
        <v/>
      </c>
      <c r="H506" s="8" t="str">
        <f t="shared" si="23"/>
        <v/>
      </c>
      <c r="I506" s="40" t="str">
        <f>IF(B506="","",VLOOKUP(D506,加弹汇总表!C:E,3,FALSE))</f>
        <v/>
      </c>
      <c r="P506" s="72" t="str">
        <f>IF(B506="","",VLOOKUP(D506,setting!$C$2:$D$30,2,FALSE))</f>
        <v/>
      </c>
      <c r="R506" s="30" t="str">
        <f t="shared" si="22"/>
        <v/>
      </c>
    </row>
    <row r="507" spans="1:18">
      <c r="A507" s="177" t="str">
        <f t="shared" si="21"/>
        <v/>
      </c>
      <c r="H507" s="8" t="str">
        <f t="shared" si="23"/>
        <v/>
      </c>
      <c r="I507" s="40" t="str">
        <f>IF(B507="","",VLOOKUP(D507,加弹汇总表!C:E,3,FALSE))</f>
        <v/>
      </c>
      <c r="P507" s="72" t="str">
        <f>IF(B507="","",VLOOKUP(D507,setting!$C$2:$D$30,2,FALSE))</f>
        <v/>
      </c>
      <c r="R507" s="30" t="str">
        <f t="shared" si="22"/>
        <v/>
      </c>
    </row>
    <row r="508" spans="1:18">
      <c r="A508" s="177" t="str">
        <f t="shared" si="21"/>
        <v/>
      </c>
      <c r="H508" s="8" t="str">
        <f t="shared" si="23"/>
        <v/>
      </c>
      <c r="I508" s="40" t="str">
        <f>IF(B508="","",VLOOKUP(D508,加弹汇总表!C:E,3,FALSE))</f>
        <v/>
      </c>
      <c r="P508" s="72" t="str">
        <f>IF(B508="","",VLOOKUP(D508,setting!$C$2:$D$30,2,FALSE))</f>
        <v/>
      </c>
      <c r="R508" s="30" t="str">
        <f t="shared" si="22"/>
        <v/>
      </c>
    </row>
    <row r="509" spans="1:18">
      <c r="A509" s="177" t="str">
        <f t="shared" si="21"/>
        <v/>
      </c>
      <c r="H509" s="8" t="str">
        <f t="shared" si="23"/>
        <v/>
      </c>
      <c r="I509" s="40" t="str">
        <f>IF(B509="","",VLOOKUP(D509,加弹汇总表!C:E,3,FALSE))</f>
        <v/>
      </c>
      <c r="P509" s="72" t="str">
        <f>IF(B509="","",VLOOKUP(D509,setting!$C$2:$D$30,2,FALSE))</f>
        <v/>
      </c>
      <c r="R509" s="30" t="str">
        <f t="shared" si="22"/>
        <v/>
      </c>
    </row>
    <row r="510" spans="1:18">
      <c r="A510" s="177" t="str">
        <f t="shared" si="21"/>
        <v/>
      </c>
      <c r="H510" s="8" t="str">
        <f t="shared" si="23"/>
        <v/>
      </c>
      <c r="I510" s="40" t="str">
        <f>IF(B510="","",VLOOKUP(D510,加弹汇总表!C:E,3,FALSE))</f>
        <v/>
      </c>
      <c r="P510" s="72" t="str">
        <f>IF(B510="","",VLOOKUP(D510,setting!$C$2:$D$30,2,FALSE))</f>
        <v/>
      </c>
      <c r="R510" s="30" t="str">
        <f t="shared" si="22"/>
        <v/>
      </c>
    </row>
    <row r="511" spans="1:18">
      <c r="A511" s="177" t="str">
        <f t="shared" si="21"/>
        <v/>
      </c>
      <c r="H511" s="8" t="str">
        <f t="shared" si="23"/>
        <v/>
      </c>
      <c r="I511" s="40" t="str">
        <f>IF(B511="","",VLOOKUP(D511,加弹汇总表!C:E,3,FALSE))</f>
        <v/>
      </c>
      <c r="P511" s="72" t="str">
        <f>IF(B511="","",VLOOKUP(D511,setting!$C$2:$D$30,2,FALSE))</f>
        <v/>
      </c>
      <c r="R511" s="30" t="str">
        <f t="shared" si="22"/>
        <v/>
      </c>
    </row>
    <row r="512" spans="1:18">
      <c r="A512" s="177" t="str">
        <f t="shared" si="21"/>
        <v/>
      </c>
      <c r="H512" s="8" t="str">
        <f t="shared" si="23"/>
        <v/>
      </c>
      <c r="I512" s="40" t="str">
        <f>IF(B512="","",VLOOKUP(D512,加弹汇总表!C:E,3,FALSE))</f>
        <v/>
      </c>
      <c r="P512" s="72" t="str">
        <f>IF(B512="","",VLOOKUP(D512,setting!$C$2:$D$30,2,FALSE))</f>
        <v/>
      </c>
      <c r="R512" s="30" t="str">
        <f t="shared" si="22"/>
        <v/>
      </c>
    </row>
    <row r="513" spans="1:18">
      <c r="A513" s="177" t="str">
        <f t="shared" si="21"/>
        <v/>
      </c>
      <c r="H513" s="8" t="str">
        <f t="shared" si="23"/>
        <v/>
      </c>
      <c r="I513" s="40" t="str">
        <f>IF(B513="","",VLOOKUP(D513,加弹汇总表!C:E,3,FALSE))</f>
        <v/>
      </c>
      <c r="P513" s="72" t="str">
        <f>IF(B513="","",VLOOKUP(D513,setting!$C$2:$D$30,2,FALSE))</f>
        <v/>
      </c>
      <c r="R513" s="30" t="str">
        <f t="shared" si="22"/>
        <v/>
      </c>
    </row>
    <row r="514" spans="1:18">
      <c r="A514" s="177" t="str">
        <f t="shared" ref="A514:A577" si="24">B514&amp;D514&amp;E514&amp;F514&amp;P514</f>
        <v/>
      </c>
      <c r="H514" s="8" t="str">
        <f t="shared" si="23"/>
        <v/>
      </c>
      <c r="I514" s="40" t="str">
        <f>IF(B514="","",VLOOKUP(D514,加弹汇总表!C:E,3,FALSE))</f>
        <v/>
      </c>
      <c r="P514" s="72" t="str">
        <f>IF(B514="","",VLOOKUP(D514,setting!$C$2:$D$30,2,FALSE))</f>
        <v/>
      </c>
      <c r="R514" s="30" t="str">
        <f t="shared" ref="R514:R577" si="25">IF(O514="","",MONTH(O514))</f>
        <v/>
      </c>
    </row>
    <row r="515" spans="1:18">
      <c r="A515" s="177" t="str">
        <f t="shared" si="24"/>
        <v/>
      </c>
      <c r="H515" s="8" t="str">
        <f t="shared" si="23"/>
        <v/>
      </c>
      <c r="I515" s="40" t="str">
        <f>IF(B515="","",VLOOKUP(D515,加弹汇总表!C:E,3,FALSE))</f>
        <v/>
      </c>
      <c r="P515" s="72" t="str">
        <f>IF(B515="","",VLOOKUP(D515,setting!$C$2:$D$30,2,FALSE))</f>
        <v/>
      </c>
      <c r="R515" s="30" t="str">
        <f t="shared" si="25"/>
        <v/>
      </c>
    </row>
    <row r="516" spans="1:18">
      <c r="A516" s="177" t="str">
        <f t="shared" si="24"/>
        <v/>
      </c>
      <c r="H516" s="8" t="str">
        <f t="shared" ref="H516:H569" si="26">IF(B516="","","AA")</f>
        <v/>
      </c>
      <c r="I516" s="40" t="str">
        <f>IF(B516="","",VLOOKUP(D516,加弹汇总表!C:E,3,FALSE))</f>
        <v/>
      </c>
      <c r="P516" s="72" t="str">
        <f>IF(B516="","",VLOOKUP(D516,setting!$C$2:$D$30,2,FALSE))</f>
        <v/>
      </c>
      <c r="R516" s="30" t="str">
        <f t="shared" si="25"/>
        <v/>
      </c>
    </row>
    <row r="517" spans="1:18">
      <c r="A517" s="177" t="str">
        <f t="shared" si="24"/>
        <v/>
      </c>
      <c r="H517" s="8" t="str">
        <f t="shared" si="26"/>
        <v/>
      </c>
      <c r="I517" s="40" t="str">
        <f>IF(B517="","",VLOOKUP(D517,加弹汇总表!C:E,3,FALSE))</f>
        <v/>
      </c>
      <c r="P517" s="72" t="str">
        <f>IF(B517="","",VLOOKUP(D517,setting!$C$2:$D$30,2,FALSE))</f>
        <v/>
      </c>
      <c r="R517" s="30" t="str">
        <f t="shared" si="25"/>
        <v/>
      </c>
    </row>
    <row r="518" spans="1:18">
      <c r="A518" s="177" t="str">
        <f t="shared" si="24"/>
        <v/>
      </c>
      <c r="H518" s="8" t="str">
        <f t="shared" si="26"/>
        <v/>
      </c>
      <c r="I518" s="40" t="str">
        <f>IF(B518="","",VLOOKUP(D518,加弹汇总表!C:E,3,FALSE))</f>
        <v/>
      </c>
      <c r="P518" s="72" t="str">
        <f>IF(B518="","",VLOOKUP(D518,setting!$C$2:$D$30,2,FALSE))</f>
        <v/>
      </c>
      <c r="R518" s="30" t="str">
        <f t="shared" si="25"/>
        <v/>
      </c>
    </row>
    <row r="519" spans="1:18">
      <c r="A519" s="177" t="str">
        <f t="shared" si="24"/>
        <v/>
      </c>
      <c r="H519" s="8" t="str">
        <f t="shared" si="26"/>
        <v/>
      </c>
      <c r="I519" s="40" t="str">
        <f>IF(B519="","",VLOOKUP(D519,加弹汇总表!C:E,3,FALSE))</f>
        <v/>
      </c>
      <c r="P519" s="72" t="str">
        <f>IF(B519="","",VLOOKUP(D519,setting!$C$2:$D$30,2,FALSE))</f>
        <v/>
      </c>
      <c r="R519" s="30" t="str">
        <f t="shared" si="25"/>
        <v/>
      </c>
    </row>
    <row r="520" spans="1:18">
      <c r="A520" s="177" t="str">
        <f t="shared" si="24"/>
        <v/>
      </c>
      <c r="H520" s="8" t="str">
        <f t="shared" si="26"/>
        <v/>
      </c>
      <c r="I520" s="40" t="str">
        <f>IF(B520="","",VLOOKUP(D520,加弹汇总表!C:E,3,FALSE))</f>
        <v/>
      </c>
      <c r="P520" s="72" t="str">
        <f>IF(B520="","",VLOOKUP(D520,setting!$C$2:$D$30,2,FALSE))</f>
        <v/>
      </c>
      <c r="R520" s="30" t="str">
        <f t="shared" si="25"/>
        <v/>
      </c>
    </row>
    <row r="521" spans="1:18">
      <c r="A521" s="177" t="str">
        <f t="shared" si="24"/>
        <v/>
      </c>
      <c r="H521" s="8" t="str">
        <f t="shared" si="26"/>
        <v/>
      </c>
      <c r="I521" s="40" t="str">
        <f>IF(B521="","",VLOOKUP(D521,加弹汇总表!C:E,3,FALSE))</f>
        <v/>
      </c>
      <c r="P521" s="72" t="str">
        <f>IF(B521="","",VLOOKUP(D521,setting!$C$2:$D$30,2,FALSE))</f>
        <v/>
      </c>
      <c r="R521" s="30" t="str">
        <f t="shared" si="25"/>
        <v/>
      </c>
    </row>
    <row r="522" spans="1:18">
      <c r="A522" s="177" t="str">
        <f t="shared" si="24"/>
        <v/>
      </c>
      <c r="H522" s="8" t="str">
        <f t="shared" si="26"/>
        <v/>
      </c>
      <c r="I522" s="40" t="str">
        <f>IF(B522="","",VLOOKUP(D522,加弹汇总表!C:E,3,FALSE))</f>
        <v/>
      </c>
      <c r="P522" s="72" t="str">
        <f>IF(B522="","",VLOOKUP(D522,setting!$C$2:$D$30,2,FALSE))</f>
        <v/>
      </c>
      <c r="R522" s="30" t="str">
        <f t="shared" si="25"/>
        <v/>
      </c>
    </row>
    <row r="523" spans="1:18">
      <c r="A523" s="177" t="str">
        <f t="shared" si="24"/>
        <v/>
      </c>
      <c r="H523" s="8" t="str">
        <f t="shared" si="26"/>
        <v/>
      </c>
      <c r="I523" s="40" t="str">
        <f>IF(B523="","",VLOOKUP(D523,加弹汇总表!C:E,3,FALSE))</f>
        <v/>
      </c>
      <c r="P523" s="72" t="str">
        <f>IF(B523="","",VLOOKUP(D523,setting!$C$2:$D$30,2,FALSE))</f>
        <v/>
      </c>
      <c r="R523" s="30" t="str">
        <f t="shared" si="25"/>
        <v/>
      </c>
    </row>
    <row r="524" spans="1:18">
      <c r="A524" s="177" t="str">
        <f t="shared" si="24"/>
        <v/>
      </c>
      <c r="H524" s="8" t="str">
        <f t="shared" si="26"/>
        <v/>
      </c>
      <c r="I524" s="40" t="str">
        <f>IF(B524="","",VLOOKUP(D524,加弹汇总表!C:E,3,FALSE))</f>
        <v/>
      </c>
      <c r="P524" s="72" t="str">
        <f>IF(B524="","",VLOOKUP(D524,setting!$C$2:$D$30,2,FALSE))</f>
        <v/>
      </c>
      <c r="R524" s="30" t="str">
        <f t="shared" si="25"/>
        <v/>
      </c>
    </row>
    <row r="525" spans="1:18">
      <c r="A525" s="177" t="str">
        <f t="shared" si="24"/>
        <v/>
      </c>
      <c r="H525" s="8" t="str">
        <f t="shared" si="26"/>
        <v/>
      </c>
      <c r="I525" s="40" t="str">
        <f>IF(B525="","",VLOOKUP(D525,加弹汇总表!C:E,3,FALSE))</f>
        <v/>
      </c>
      <c r="P525" s="72" t="str">
        <f>IF(B525="","",VLOOKUP(D525,setting!$C$2:$D$30,2,FALSE))</f>
        <v/>
      </c>
      <c r="R525" s="30" t="str">
        <f t="shared" si="25"/>
        <v/>
      </c>
    </row>
    <row r="526" spans="1:18">
      <c r="A526" s="177" t="str">
        <f t="shared" si="24"/>
        <v/>
      </c>
      <c r="H526" s="8" t="str">
        <f t="shared" si="26"/>
        <v/>
      </c>
      <c r="I526" s="40" t="str">
        <f>IF(B526="","",VLOOKUP(D526,加弹汇总表!C:E,3,FALSE))</f>
        <v/>
      </c>
      <c r="P526" s="72" t="str">
        <f>IF(B526="","",VLOOKUP(D526,setting!$C$2:$D$30,2,FALSE))</f>
        <v/>
      </c>
      <c r="R526" s="30" t="str">
        <f t="shared" si="25"/>
        <v/>
      </c>
    </row>
    <row r="527" spans="1:18">
      <c r="A527" s="177" t="str">
        <f t="shared" si="24"/>
        <v/>
      </c>
      <c r="H527" s="8" t="str">
        <f t="shared" si="26"/>
        <v/>
      </c>
      <c r="I527" s="40" t="str">
        <f>IF(B527="","",VLOOKUP(D527,加弹汇总表!C:E,3,FALSE))</f>
        <v/>
      </c>
      <c r="P527" s="72" t="str">
        <f>IF(B527="","",VLOOKUP(D527,setting!$C$2:$D$30,2,FALSE))</f>
        <v/>
      </c>
      <c r="R527" s="30" t="str">
        <f t="shared" si="25"/>
        <v/>
      </c>
    </row>
    <row r="528" spans="1:18">
      <c r="A528" s="177" t="str">
        <f t="shared" si="24"/>
        <v/>
      </c>
      <c r="H528" s="8" t="str">
        <f t="shared" si="26"/>
        <v/>
      </c>
      <c r="I528" s="40" t="str">
        <f>IF(B528="","",VLOOKUP(D528,加弹汇总表!C:E,3,FALSE))</f>
        <v/>
      </c>
      <c r="P528" s="72" t="str">
        <f>IF(B528="","",VLOOKUP(D528,setting!$C$2:$D$30,2,FALSE))</f>
        <v/>
      </c>
      <c r="R528" s="30" t="str">
        <f t="shared" si="25"/>
        <v/>
      </c>
    </row>
    <row r="529" spans="1:18">
      <c r="A529" s="177" t="str">
        <f t="shared" si="24"/>
        <v/>
      </c>
      <c r="H529" s="8" t="str">
        <f t="shared" si="26"/>
        <v/>
      </c>
      <c r="I529" s="40" t="str">
        <f>IF(B529="","",VLOOKUP(D529,加弹汇总表!C:E,3,FALSE))</f>
        <v/>
      </c>
      <c r="P529" s="72" t="str">
        <f>IF(B529="","",VLOOKUP(D529,setting!$C$2:$D$30,2,FALSE))</f>
        <v/>
      </c>
      <c r="R529" s="30" t="str">
        <f t="shared" si="25"/>
        <v/>
      </c>
    </row>
    <row r="530" spans="1:18">
      <c r="A530" s="177" t="str">
        <f t="shared" si="24"/>
        <v/>
      </c>
      <c r="H530" s="8" t="str">
        <f t="shared" si="26"/>
        <v/>
      </c>
      <c r="I530" s="40" t="str">
        <f>IF(B530="","",VLOOKUP(D530,加弹汇总表!C:E,3,FALSE))</f>
        <v/>
      </c>
      <c r="P530" s="72" t="str">
        <f>IF(B530="","",VLOOKUP(D530,setting!$C$2:$D$30,2,FALSE))</f>
        <v/>
      </c>
      <c r="R530" s="30" t="str">
        <f t="shared" si="25"/>
        <v/>
      </c>
    </row>
    <row r="531" spans="1:18">
      <c r="A531" s="177" t="str">
        <f t="shared" si="24"/>
        <v/>
      </c>
      <c r="H531" s="8" t="str">
        <f t="shared" si="26"/>
        <v/>
      </c>
      <c r="I531" s="40" t="str">
        <f>IF(B531="","",VLOOKUP(D531,加弹汇总表!C:E,3,FALSE))</f>
        <v/>
      </c>
      <c r="P531" s="72" t="str">
        <f>IF(B531="","",VLOOKUP(D531,setting!$C$2:$D$30,2,FALSE))</f>
        <v/>
      </c>
      <c r="R531" s="30" t="str">
        <f t="shared" si="25"/>
        <v/>
      </c>
    </row>
    <row r="532" spans="1:18">
      <c r="A532" s="177" t="str">
        <f t="shared" si="24"/>
        <v/>
      </c>
      <c r="H532" s="8" t="str">
        <f t="shared" si="26"/>
        <v/>
      </c>
      <c r="I532" s="40" t="str">
        <f>IF(B532="","",VLOOKUP(D532,加弹汇总表!C:E,3,FALSE))</f>
        <v/>
      </c>
      <c r="P532" s="72" t="str">
        <f>IF(B532="","",VLOOKUP(D532,setting!$C$2:$D$30,2,FALSE))</f>
        <v/>
      </c>
      <c r="R532" s="30" t="str">
        <f t="shared" si="25"/>
        <v/>
      </c>
    </row>
    <row r="533" spans="1:18">
      <c r="A533" s="177" t="str">
        <f t="shared" si="24"/>
        <v/>
      </c>
      <c r="H533" s="8" t="str">
        <f t="shared" si="26"/>
        <v/>
      </c>
      <c r="I533" s="40" t="str">
        <f>IF(B533="","",VLOOKUP(D533,加弹汇总表!C:E,3,FALSE))</f>
        <v/>
      </c>
      <c r="P533" s="72" t="str">
        <f>IF(B533="","",VLOOKUP(D533,setting!$C$2:$D$30,2,FALSE))</f>
        <v/>
      </c>
      <c r="R533" s="30" t="str">
        <f t="shared" si="25"/>
        <v/>
      </c>
    </row>
    <row r="534" spans="1:18">
      <c r="A534" s="177" t="str">
        <f t="shared" si="24"/>
        <v/>
      </c>
      <c r="H534" s="8" t="str">
        <f t="shared" si="26"/>
        <v/>
      </c>
      <c r="I534" s="40" t="str">
        <f>IF(B534="","",VLOOKUP(D534,加弹汇总表!C:E,3,FALSE))</f>
        <v/>
      </c>
      <c r="P534" s="72" t="str">
        <f>IF(B534="","",VLOOKUP(D534,setting!$C$2:$D$30,2,FALSE))</f>
        <v/>
      </c>
      <c r="R534" s="30" t="str">
        <f t="shared" si="25"/>
        <v/>
      </c>
    </row>
    <row r="535" spans="1:18">
      <c r="A535" s="177" t="str">
        <f t="shared" si="24"/>
        <v/>
      </c>
      <c r="H535" s="8" t="str">
        <f t="shared" si="26"/>
        <v/>
      </c>
      <c r="I535" s="40" t="str">
        <f>IF(B535="","",VLOOKUP(D535,加弹汇总表!C:E,3,FALSE))</f>
        <v/>
      </c>
      <c r="P535" s="72" t="str">
        <f>IF(B535="","",VLOOKUP(D535,setting!$C$2:$D$30,2,FALSE))</f>
        <v/>
      </c>
      <c r="R535" s="30" t="str">
        <f t="shared" si="25"/>
        <v/>
      </c>
    </row>
    <row r="536" spans="1:18">
      <c r="A536" s="177" t="str">
        <f t="shared" si="24"/>
        <v/>
      </c>
      <c r="H536" s="8" t="str">
        <f t="shared" si="26"/>
        <v/>
      </c>
      <c r="I536" s="40" t="str">
        <f>IF(B536="","",VLOOKUP(D536,加弹汇总表!C:E,3,FALSE))</f>
        <v/>
      </c>
      <c r="P536" s="72" t="str">
        <f>IF(B536="","",VLOOKUP(D536,setting!$C$2:$D$30,2,FALSE))</f>
        <v/>
      </c>
      <c r="R536" s="30" t="str">
        <f t="shared" si="25"/>
        <v/>
      </c>
    </row>
    <row r="537" spans="1:18">
      <c r="A537" s="177" t="str">
        <f t="shared" si="24"/>
        <v/>
      </c>
      <c r="H537" s="8" t="str">
        <f t="shared" si="26"/>
        <v/>
      </c>
      <c r="I537" s="40" t="str">
        <f>IF(B537="","",VLOOKUP(D537,加弹汇总表!C:E,3,FALSE))</f>
        <v/>
      </c>
      <c r="P537" s="72" t="str">
        <f>IF(B537="","",VLOOKUP(D537,setting!$C$2:$D$30,2,FALSE))</f>
        <v/>
      </c>
      <c r="R537" s="30" t="str">
        <f t="shared" si="25"/>
        <v/>
      </c>
    </row>
    <row r="538" spans="1:18">
      <c r="A538" s="177" t="str">
        <f t="shared" si="24"/>
        <v/>
      </c>
      <c r="H538" s="8" t="str">
        <f t="shared" si="26"/>
        <v/>
      </c>
      <c r="I538" s="40" t="str">
        <f>IF(B538="","",VLOOKUP(D538,加弹汇总表!C:E,3,FALSE))</f>
        <v/>
      </c>
      <c r="P538" s="72" t="str">
        <f>IF(B538="","",VLOOKUP(D538,setting!$C$2:$D$30,2,FALSE))</f>
        <v/>
      </c>
      <c r="R538" s="30" t="str">
        <f t="shared" si="25"/>
        <v/>
      </c>
    </row>
    <row r="539" spans="1:18">
      <c r="A539" s="177" t="str">
        <f t="shared" si="24"/>
        <v/>
      </c>
      <c r="H539" s="8" t="str">
        <f t="shared" si="26"/>
        <v/>
      </c>
      <c r="I539" s="40" t="str">
        <f>IF(B539="","",VLOOKUP(D539,加弹汇总表!C:E,3,FALSE))</f>
        <v/>
      </c>
      <c r="P539" s="72" t="str">
        <f>IF(B539="","",VLOOKUP(D539,setting!$C$2:$D$30,2,FALSE))</f>
        <v/>
      </c>
      <c r="R539" s="30" t="str">
        <f t="shared" si="25"/>
        <v/>
      </c>
    </row>
    <row r="540" spans="1:18">
      <c r="A540" s="177" t="str">
        <f t="shared" si="24"/>
        <v/>
      </c>
      <c r="H540" s="8" t="str">
        <f t="shared" si="26"/>
        <v/>
      </c>
      <c r="I540" s="40" t="str">
        <f>IF(B540="","",VLOOKUP(D540,加弹汇总表!C:E,3,FALSE))</f>
        <v/>
      </c>
      <c r="P540" s="72" t="str">
        <f>IF(B540="","",VLOOKUP(D540,setting!$C$2:$D$30,2,FALSE))</f>
        <v/>
      </c>
      <c r="R540" s="30" t="str">
        <f t="shared" si="25"/>
        <v/>
      </c>
    </row>
    <row r="541" spans="1:18">
      <c r="A541" s="177" t="str">
        <f t="shared" si="24"/>
        <v/>
      </c>
      <c r="H541" s="8" t="str">
        <f t="shared" si="26"/>
        <v/>
      </c>
      <c r="I541" s="40" t="str">
        <f>IF(B541="","",VLOOKUP(D541,加弹汇总表!C:E,3,FALSE))</f>
        <v/>
      </c>
      <c r="P541" s="72" t="str">
        <f>IF(B541="","",VLOOKUP(D541,setting!$C$2:$D$30,2,FALSE))</f>
        <v/>
      </c>
      <c r="R541" s="30" t="str">
        <f t="shared" si="25"/>
        <v/>
      </c>
    </row>
    <row r="542" spans="1:18">
      <c r="A542" s="177" t="str">
        <f t="shared" si="24"/>
        <v/>
      </c>
      <c r="H542" s="8" t="str">
        <f t="shared" si="26"/>
        <v/>
      </c>
      <c r="I542" s="40" t="str">
        <f>IF(B542="","",VLOOKUP(D542,加弹汇总表!C:E,3,FALSE))</f>
        <v/>
      </c>
      <c r="P542" s="72" t="str">
        <f>IF(B542="","",VLOOKUP(D542,setting!$C$2:$D$30,2,FALSE))</f>
        <v/>
      </c>
      <c r="R542" s="30" t="str">
        <f t="shared" si="25"/>
        <v/>
      </c>
    </row>
    <row r="543" spans="1:18">
      <c r="A543" s="177" t="str">
        <f t="shared" si="24"/>
        <v/>
      </c>
      <c r="H543" s="8" t="str">
        <f t="shared" si="26"/>
        <v/>
      </c>
      <c r="I543" s="40" t="str">
        <f>IF(B543="","",VLOOKUP(D543,加弹汇总表!C:E,3,FALSE))</f>
        <v/>
      </c>
      <c r="P543" s="72" t="str">
        <f>IF(B543="","",VLOOKUP(D543,setting!$C$2:$D$30,2,FALSE))</f>
        <v/>
      </c>
      <c r="R543" s="30" t="str">
        <f t="shared" si="25"/>
        <v/>
      </c>
    </row>
    <row r="544" spans="1:18">
      <c r="A544" s="177" t="str">
        <f t="shared" si="24"/>
        <v/>
      </c>
      <c r="H544" s="8" t="str">
        <f t="shared" si="26"/>
        <v/>
      </c>
      <c r="I544" s="40" t="str">
        <f>IF(B544="","",VLOOKUP(D544,加弹汇总表!C:E,3,FALSE))</f>
        <v/>
      </c>
      <c r="P544" s="72" t="str">
        <f>IF(B544="","",VLOOKUP(D544,setting!$C$2:$D$30,2,FALSE))</f>
        <v/>
      </c>
      <c r="R544" s="30" t="str">
        <f t="shared" si="25"/>
        <v/>
      </c>
    </row>
    <row r="545" spans="1:18">
      <c r="A545" s="177" t="str">
        <f t="shared" si="24"/>
        <v/>
      </c>
      <c r="H545" s="8" t="str">
        <f t="shared" si="26"/>
        <v/>
      </c>
      <c r="I545" s="40" t="str">
        <f>IF(B545="","",VLOOKUP(D545,加弹汇总表!C:E,3,FALSE))</f>
        <v/>
      </c>
      <c r="P545" s="72" t="str">
        <f>IF(B545="","",VLOOKUP(D545,setting!$C$2:$D$30,2,FALSE))</f>
        <v/>
      </c>
      <c r="R545" s="30" t="str">
        <f t="shared" si="25"/>
        <v/>
      </c>
    </row>
    <row r="546" spans="1:18">
      <c r="A546" s="177" t="str">
        <f t="shared" si="24"/>
        <v/>
      </c>
      <c r="H546" s="8" t="str">
        <f t="shared" si="26"/>
        <v/>
      </c>
      <c r="I546" s="40" t="str">
        <f>IF(B546="","",VLOOKUP(D546,加弹汇总表!C:E,3,FALSE))</f>
        <v/>
      </c>
      <c r="P546" s="72" t="str">
        <f>IF(B546="","",VLOOKUP(D546,setting!$C$2:$D$30,2,FALSE))</f>
        <v/>
      </c>
      <c r="R546" s="30" t="str">
        <f t="shared" si="25"/>
        <v/>
      </c>
    </row>
    <row r="547" spans="1:18">
      <c r="A547" s="177" t="str">
        <f t="shared" si="24"/>
        <v/>
      </c>
      <c r="H547" s="8" t="str">
        <f t="shared" si="26"/>
        <v/>
      </c>
      <c r="I547" s="40" t="str">
        <f>IF(B547="","",VLOOKUP(D547,加弹汇总表!C:E,3,FALSE))</f>
        <v/>
      </c>
      <c r="P547" s="72" t="str">
        <f>IF(B547="","",VLOOKUP(D547,setting!$C$2:$D$30,2,FALSE))</f>
        <v/>
      </c>
      <c r="R547" s="30" t="str">
        <f t="shared" si="25"/>
        <v/>
      </c>
    </row>
    <row r="548" spans="1:18">
      <c r="A548" s="177" t="str">
        <f t="shared" si="24"/>
        <v/>
      </c>
      <c r="H548" s="8" t="str">
        <f t="shared" si="26"/>
        <v/>
      </c>
      <c r="I548" s="40" t="str">
        <f>IF(B548="","",VLOOKUP(D548,加弹汇总表!C:E,3,FALSE))</f>
        <v/>
      </c>
      <c r="P548" s="72" t="str">
        <f>IF(B548="","",VLOOKUP(D548,setting!$C$2:$D$30,2,FALSE))</f>
        <v/>
      </c>
      <c r="R548" s="30" t="str">
        <f t="shared" si="25"/>
        <v/>
      </c>
    </row>
    <row r="549" spans="1:18">
      <c r="A549" s="177" t="str">
        <f t="shared" si="24"/>
        <v/>
      </c>
      <c r="H549" s="8" t="str">
        <f t="shared" si="26"/>
        <v/>
      </c>
      <c r="I549" s="40" t="str">
        <f>IF(B549="","",VLOOKUP(D549,加弹汇总表!C:E,3,FALSE))</f>
        <v/>
      </c>
      <c r="P549" s="72" t="str">
        <f>IF(B549="","",VLOOKUP(D549,setting!$C$2:$D$30,2,FALSE))</f>
        <v/>
      </c>
      <c r="R549" s="30" t="str">
        <f t="shared" si="25"/>
        <v/>
      </c>
    </row>
    <row r="550" spans="1:18">
      <c r="A550" s="177" t="str">
        <f t="shared" si="24"/>
        <v/>
      </c>
      <c r="H550" s="8" t="str">
        <f t="shared" si="26"/>
        <v/>
      </c>
      <c r="I550" s="40" t="str">
        <f>IF(B550="","",VLOOKUP(D550,加弹汇总表!C:E,3,FALSE))</f>
        <v/>
      </c>
      <c r="P550" s="72" t="str">
        <f>IF(B550="","",VLOOKUP(D550,setting!$C$2:$D$30,2,FALSE))</f>
        <v/>
      </c>
      <c r="R550" s="30" t="str">
        <f t="shared" si="25"/>
        <v/>
      </c>
    </row>
    <row r="551" spans="1:18">
      <c r="A551" s="177" t="str">
        <f t="shared" si="24"/>
        <v/>
      </c>
      <c r="H551" s="8" t="str">
        <f t="shared" si="26"/>
        <v/>
      </c>
      <c r="I551" s="40" t="str">
        <f>IF(B551="","",VLOOKUP(D551,加弹汇总表!C:E,3,FALSE))</f>
        <v/>
      </c>
      <c r="P551" s="72" t="str">
        <f>IF(B551="","",VLOOKUP(D551,setting!$C$2:$D$30,2,FALSE))</f>
        <v/>
      </c>
      <c r="R551" s="30" t="str">
        <f t="shared" si="25"/>
        <v/>
      </c>
    </row>
    <row r="552" spans="1:18">
      <c r="A552" s="177" t="str">
        <f t="shared" si="24"/>
        <v/>
      </c>
      <c r="H552" s="8" t="str">
        <f t="shared" si="26"/>
        <v/>
      </c>
      <c r="I552" s="40" t="str">
        <f>IF(B552="","",VLOOKUP(D552,加弹汇总表!C:E,3,FALSE))</f>
        <v/>
      </c>
      <c r="P552" s="72" t="str">
        <f>IF(B552="","",VLOOKUP(D552,setting!$C$2:$D$30,2,FALSE))</f>
        <v/>
      </c>
      <c r="R552" s="30" t="str">
        <f t="shared" si="25"/>
        <v/>
      </c>
    </row>
    <row r="553" spans="1:18">
      <c r="A553" s="177" t="str">
        <f t="shared" si="24"/>
        <v/>
      </c>
      <c r="H553" s="8" t="str">
        <f t="shared" si="26"/>
        <v/>
      </c>
      <c r="I553" s="40" t="str">
        <f>IF(B553="","",VLOOKUP(D553,加弹汇总表!C:E,3,FALSE))</f>
        <v/>
      </c>
      <c r="P553" s="72" t="str">
        <f>IF(B553="","",VLOOKUP(D553,setting!$C$2:$D$30,2,FALSE))</f>
        <v/>
      </c>
      <c r="R553" s="30" t="str">
        <f t="shared" si="25"/>
        <v/>
      </c>
    </row>
    <row r="554" spans="1:18">
      <c r="A554" s="177" t="str">
        <f t="shared" si="24"/>
        <v/>
      </c>
      <c r="H554" s="8" t="str">
        <f t="shared" si="26"/>
        <v/>
      </c>
      <c r="I554" s="40" t="str">
        <f>IF(B554="","",VLOOKUP(D554,加弹汇总表!C:E,3,FALSE))</f>
        <v/>
      </c>
      <c r="P554" s="72" t="str">
        <f>IF(B554="","",VLOOKUP(D554,setting!$C$2:$D$30,2,FALSE))</f>
        <v/>
      </c>
      <c r="R554" s="30" t="str">
        <f t="shared" si="25"/>
        <v/>
      </c>
    </row>
    <row r="555" spans="1:18">
      <c r="A555" s="177" t="str">
        <f t="shared" si="24"/>
        <v/>
      </c>
      <c r="H555" s="8" t="str">
        <f t="shared" si="26"/>
        <v/>
      </c>
      <c r="I555" s="40" t="str">
        <f>IF(B555="","",VLOOKUP(D555,加弹汇总表!C:E,3,FALSE))</f>
        <v/>
      </c>
      <c r="P555" s="72" t="str">
        <f>IF(B555="","",VLOOKUP(D555,setting!$C$2:$D$30,2,FALSE))</f>
        <v/>
      </c>
      <c r="R555" s="30" t="str">
        <f t="shared" si="25"/>
        <v/>
      </c>
    </row>
    <row r="556" spans="1:18">
      <c r="A556" s="177" t="str">
        <f t="shared" si="24"/>
        <v/>
      </c>
      <c r="H556" s="8" t="str">
        <f t="shared" si="26"/>
        <v/>
      </c>
      <c r="I556" s="40" t="str">
        <f>IF(B556="","",VLOOKUP(D556,加弹汇总表!C:E,3,FALSE))</f>
        <v/>
      </c>
      <c r="P556" s="72" t="str">
        <f>IF(B556="","",VLOOKUP(D556,setting!$C$2:$D$30,2,FALSE))</f>
        <v/>
      </c>
      <c r="R556" s="30" t="str">
        <f t="shared" si="25"/>
        <v/>
      </c>
    </row>
    <row r="557" spans="1:18">
      <c r="A557" s="177" t="str">
        <f t="shared" si="24"/>
        <v/>
      </c>
      <c r="H557" s="8" t="str">
        <f t="shared" si="26"/>
        <v/>
      </c>
      <c r="I557" s="40" t="str">
        <f>IF(B557="","",VLOOKUP(D557,加弹汇总表!C:E,3,FALSE))</f>
        <v/>
      </c>
      <c r="P557" s="72" t="str">
        <f>IF(B557="","",VLOOKUP(D557,setting!$C$2:$D$30,2,FALSE))</f>
        <v/>
      </c>
      <c r="R557" s="30" t="str">
        <f t="shared" si="25"/>
        <v/>
      </c>
    </row>
    <row r="558" spans="1:18">
      <c r="A558" s="177" t="str">
        <f t="shared" si="24"/>
        <v/>
      </c>
      <c r="H558" s="8" t="str">
        <f t="shared" si="26"/>
        <v/>
      </c>
      <c r="I558" s="40" t="str">
        <f>IF(B558="","",VLOOKUP(D558,加弹汇总表!C:E,3,FALSE))</f>
        <v/>
      </c>
      <c r="P558" s="72" t="str">
        <f>IF(B558="","",VLOOKUP(D558,setting!$C$2:$D$30,2,FALSE))</f>
        <v/>
      </c>
      <c r="R558" s="30" t="str">
        <f t="shared" si="25"/>
        <v/>
      </c>
    </row>
    <row r="559" spans="1:18">
      <c r="A559" s="177" t="str">
        <f t="shared" si="24"/>
        <v/>
      </c>
      <c r="H559" s="8" t="str">
        <f t="shared" si="26"/>
        <v/>
      </c>
      <c r="I559" s="40" t="str">
        <f>IF(B559="","",VLOOKUP(D559,加弹汇总表!C:E,3,FALSE))</f>
        <v/>
      </c>
      <c r="P559" s="72" t="str">
        <f>IF(B559="","",VLOOKUP(D559,setting!$C$2:$D$30,2,FALSE))</f>
        <v/>
      </c>
      <c r="R559" s="30" t="str">
        <f t="shared" si="25"/>
        <v/>
      </c>
    </row>
    <row r="560" spans="1:18">
      <c r="A560" s="177" t="str">
        <f t="shared" si="24"/>
        <v/>
      </c>
      <c r="H560" s="8" t="str">
        <f t="shared" si="26"/>
        <v/>
      </c>
      <c r="I560" s="40" t="str">
        <f>IF(B560="","",VLOOKUP(D560,加弹汇总表!C:E,3,FALSE))</f>
        <v/>
      </c>
      <c r="P560" s="72" t="str">
        <f>IF(B560="","",VLOOKUP(D560,setting!$C$2:$D$30,2,FALSE))</f>
        <v/>
      </c>
      <c r="R560" s="30" t="str">
        <f t="shared" si="25"/>
        <v/>
      </c>
    </row>
    <row r="561" spans="1:18">
      <c r="A561" s="177" t="str">
        <f t="shared" si="24"/>
        <v/>
      </c>
      <c r="H561" s="8" t="str">
        <f t="shared" si="26"/>
        <v/>
      </c>
      <c r="I561" s="40" t="str">
        <f>IF(B561="","",VLOOKUP(D561,加弹汇总表!C:E,3,FALSE))</f>
        <v/>
      </c>
      <c r="P561" s="72" t="str">
        <f>IF(B561="","",VLOOKUP(D561,setting!$C$2:$D$30,2,FALSE))</f>
        <v/>
      </c>
      <c r="R561" s="30" t="str">
        <f t="shared" si="25"/>
        <v/>
      </c>
    </row>
    <row r="562" spans="1:18">
      <c r="A562" s="177" t="str">
        <f t="shared" si="24"/>
        <v/>
      </c>
      <c r="H562" s="8" t="str">
        <f t="shared" si="26"/>
        <v/>
      </c>
      <c r="I562" s="40" t="str">
        <f>IF(B562="","",VLOOKUP(D562,加弹汇总表!C:E,3,FALSE))</f>
        <v/>
      </c>
      <c r="P562" s="72" t="str">
        <f>IF(B562="","",VLOOKUP(D562,setting!$C$2:$D$30,2,FALSE))</f>
        <v/>
      </c>
      <c r="R562" s="30" t="str">
        <f t="shared" si="25"/>
        <v/>
      </c>
    </row>
    <row r="563" spans="1:18">
      <c r="A563" s="177" t="str">
        <f t="shared" si="24"/>
        <v/>
      </c>
      <c r="H563" s="8" t="str">
        <f t="shared" si="26"/>
        <v/>
      </c>
      <c r="I563" s="40" t="str">
        <f>IF(B563="","",VLOOKUP(D563,加弹汇总表!C:E,3,FALSE))</f>
        <v/>
      </c>
      <c r="P563" s="72" t="str">
        <f>IF(B563="","",VLOOKUP(D563,setting!$C$2:$D$30,2,FALSE))</f>
        <v/>
      </c>
      <c r="R563" s="30" t="str">
        <f t="shared" si="25"/>
        <v/>
      </c>
    </row>
    <row r="564" spans="1:18">
      <c r="A564" s="177" t="str">
        <f t="shared" si="24"/>
        <v/>
      </c>
      <c r="H564" s="8" t="str">
        <f t="shared" si="26"/>
        <v/>
      </c>
      <c r="I564" s="40" t="str">
        <f>IF(B564="","",VLOOKUP(D564,加弹汇总表!C:E,3,FALSE))</f>
        <v/>
      </c>
      <c r="P564" s="72" t="str">
        <f>IF(B564="","",VLOOKUP(D564,setting!$C$2:$D$30,2,FALSE))</f>
        <v/>
      </c>
      <c r="R564" s="30" t="str">
        <f t="shared" si="25"/>
        <v/>
      </c>
    </row>
    <row r="565" spans="1:18">
      <c r="A565" s="177" t="str">
        <f t="shared" si="24"/>
        <v/>
      </c>
      <c r="H565" s="8" t="str">
        <f t="shared" si="26"/>
        <v/>
      </c>
      <c r="I565" s="40" t="str">
        <f>IF(B565="","",VLOOKUP(D565,加弹汇总表!C:E,3,FALSE))</f>
        <v/>
      </c>
      <c r="P565" s="72" t="str">
        <f>IF(B565="","",VLOOKUP(D565,setting!$C$2:$D$30,2,FALSE))</f>
        <v/>
      </c>
      <c r="R565" s="30" t="str">
        <f t="shared" si="25"/>
        <v/>
      </c>
    </row>
    <row r="566" spans="1:18">
      <c r="A566" s="177" t="str">
        <f t="shared" si="24"/>
        <v/>
      </c>
      <c r="H566" s="8" t="str">
        <f t="shared" si="26"/>
        <v/>
      </c>
      <c r="I566" s="40" t="str">
        <f>IF(B566="","",VLOOKUP(D566,加弹汇总表!C:E,3,FALSE))</f>
        <v/>
      </c>
      <c r="P566" s="72" t="str">
        <f>IF(B566="","",VLOOKUP(D566,setting!$C$2:$D$30,2,FALSE))</f>
        <v/>
      </c>
      <c r="R566" s="30" t="str">
        <f t="shared" si="25"/>
        <v/>
      </c>
    </row>
    <row r="567" spans="1:18">
      <c r="A567" s="177" t="str">
        <f t="shared" si="24"/>
        <v/>
      </c>
      <c r="H567" s="8" t="str">
        <f t="shared" si="26"/>
        <v/>
      </c>
      <c r="I567" s="40" t="str">
        <f>IF(B567="","",VLOOKUP(D567,加弹汇总表!C:E,3,FALSE))</f>
        <v/>
      </c>
      <c r="P567" s="72" t="str">
        <f>IF(B567="","",VLOOKUP(D567,setting!$C$2:$D$30,2,FALSE))</f>
        <v/>
      </c>
      <c r="R567" s="30" t="str">
        <f t="shared" si="25"/>
        <v/>
      </c>
    </row>
    <row r="568" spans="1:18">
      <c r="A568" s="177" t="str">
        <f t="shared" si="24"/>
        <v/>
      </c>
      <c r="H568" s="8" t="str">
        <f t="shared" si="26"/>
        <v/>
      </c>
      <c r="I568" s="40" t="str">
        <f>IF(B568="","",VLOOKUP(D568,加弹汇总表!C:E,3,FALSE))</f>
        <v/>
      </c>
      <c r="P568" s="72" t="str">
        <f>IF(B568="","",VLOOKUP(D568,setting!$C$2:$D$30,2,FALSE))</f>
        <v/>
      </c>
      <c r="R568" s="30" t="str">
        <f t="shared" si="25"/>
        <v/>
      </c>
    </row>
    <row r="569" spans="1:18">
      <c r="A569" s="177" t="str">
        <f t="shared" si="24"/>
        <v/>
      </c>
      <c r="H569" s="8" t="str">
        <f t="shared" si="26"/>
        <v/>
      </c>
      <c r="I569" s="40" t="str">
        <f>IF(B569="","",VLOOKUP(D569,加弹汇总表!C:E,3,FALSE))</f>
        <v/>
      </c>
      <c r="P569" s="72" t="str">
        <f>IF(B569="","",VLOOKUP(D569,setting!$C$2:$D$30,2,FALSE))</f>
        <v/>
      </c>
      <c r="R569" s="30" t="str">
        <f t="shared" si="25"/>
        <v/>
      </c>
    </row>
    <row r="570" spans="1:18">
      <c r="A570" s="177" t="str">
        <f t="shared" si="24"/>
        <v/>
      </c>
      <c r="P570" s="72" t="str">
        <f>IF(B570="","",VLOOKUP(D570,setting!$C$2:$D$30,2,FALSE))</f>
        <v/>
      </c>
      <c r="R570" s="30" t="str">
        <f t="shared" si="25"/>
        <v/>
      </c>
    </row>
    <row r="571" spans="1:18">
      <c r="A571" s="177" t="str">
        <f t="shared" si="24"/>
        <v/>
      </c>
      <c r="P571" s="72" t="str">
        <f>IF(B571="","",VLOOKUP(D571,setting!$C$2:$D$30,2,FALSE))</f>
        <v/>
      </c>
      <c r="R571" s="30" t="str">
        <f t="shared" si="25"/>
        <v/>
      </c>
    </row>
    <row r="572" spans="1:18">
      <c r="A572" s="177" t="str">
        <f t="shared" si="24"/>
        <v/>
      </c>
      <c r="P572" s="72" t="str">
        <f>IF(B572="","",VLOOKUP(D572,setting!$C$2:$D$30,2,FALSE))</f>
        <v/>
      </c>
      <c r="R572" s="30" t="str">
        <f t="shared" si="25"/>
        <v/>
      </c>
    </row>
    <row r="573" spans="1:18">
      <c r="A573" s="177" t="str">
        <f t="shared" si="24"/>
        <v/>
      </c>
      <c r="P573" s="72" t="str">
        <f>IF(B573="","",VLOOKUP(D573,setting!$C$2:$D$30,2,FALSE))</f>
        <v/>
      </c>
      <c r="R573" s="30" t="str">
        <f t="shared" si="25"/>
        <v/>
      </c>
    </row>
    <row r="574" spans="1:18">
      <c r="A574" s="177" t="str">
        <f t="shared" si="24"/>
        <v/>
      </c>
      <c r="P574" s="72" t="str">
        <f>IF(B574="","",VLOOKUP(D574,setting!$C$2:$D$30,2,FALSE))</f>
        <v/>
      </c>
      <c r="R574" s="30" t="str">
        <f t="shared" si="25"/>
        <v/>
      </c>
    </row>
    <row r="575" spans="1:18">
      <c r="A575" s="177" t="str">
        <f t="shared" si="24"/>
        <v/>
      </c>
      <c r="P575" s="72" t="str">
        <f>IF(B575="","",VLOOKUP(D575,setting!$C$2:$D$30,2,FALSE))</f>
        <v/>
      </c>
      <c r="R575" s="30" t="str">
        <f t="shared" si="25"/>
        <v/>
      </c>
    </row>
    <row r="576" spans="1:18">
      <c r="A576" s="177" t="str">
        <f t="shared" si="24"/>
        <v/>
      </c>
      <c r="P576" s="72" t="str">
        <f>IF(B576="","",VLOOKUP(D576,setting!$C$2:$D$30,2,FALSE))</f>
        <v/>
      </c>
      <c r="R576" s="30" t="str">
        <f t="shared" si="25"/>
        <v/>
      </c>
    </row>
    <row r="577" spans="1:18">
      <c r="A577" s="177" t="str">
        <f t="shared" si="24"/>
        <v/>
      </c>
      <c r="P577" s="72" t="str">
        <f>IF(B577="","",VLOOKUP(D577,setting!$C$2:$D$30,2,FALSE))</f>
        <v/>
      </c>
      <c r="R577" s="30" t="str">
        <f t="shared" si="25"/>
        <v/>
      </c>
    </row>
    <row r="578" spans="1:18">
      <c r="A578" s="177" t="str">
        <f t="shared" ref="A578:A641" si="27">B578&amp;D578&amp;E578&amp;F578&amp;P578</f>
        <v/>
      </c>
      <c r="P578" s="72" t="str">
        <f>IF(B578="","",VLOOKUP(D578,setting!$C$2:$D$30,2,FALSE))</f>
        <v/>
      </c>
      <c r="R578" s="30" t="str">
        <f t="shared" ref="R578:R641" si="28">IF(O578="","",MONTH(O578))</f>
        <v/>
      </c>
    </row>
    <row r="579" spans="1:18">
      <c r="A579" s="177" t="str">
        <f t="shared" si="27"/>
        <v/>
      </c>
      <c r="P579" s="72" t="str">
        <f>IF(B579="","",VLOOKUP(D579,setting!$C$2:$D$30,2,FALSE))</f>
        <v/>
      </c>
      <c r="R579" s="30" t="str">
        <f t="shared" si="28"/>
        <v/>
      </c>
    </row>
    <row r="580" spans="1:18">
      <c r="A580" s="177" t="str">
        <f t="shared" si="27"/>
        <v/>
      </c>
      <c r="P580" s="72" t="str">
        <f>IF(B580="","",VLOOKUP(D580,setting!$C$2:$D$30,2,FALSE))</f>
        <v/>
      </c>
      <c r="R580" s="30" t="str">
        <f t="shared" si="28"/>
        <v/>
      </c>
    </row>
    <row r="581" spans="1:18">
      <c r="A581" s="177" t="str">
        <f t="shared" si="27"/>
        <v/>
      </c>
      <c r="P581" s="72" t="str">
        <f>IF(B581="","",VLOOKUP(D581,setting!$C$2:$D$30,2,FALSE))</f>
        <v/>
      </c>
      <c r="R581" s="30" t="str">
        <f t="shared" si="28"/>
        <v/>
      </c>
    </row>
    <row r="582" spans="1:18">
      <c r="A582" s="177" t="str">
        <f t="shared" si="27"/>
        <v/>
      </c>
      <c r="P582" s="72" t="str">
        <f>IF(B582="","",VLOOKUP(D582,setting!$C$2:$D$30,2,FALSE))</f>
        <v/>
      </c>
      <c r="R582" s="30" t="str">
        <f t="shared" si="28"/>
        <v/>
      </c>
    </row>
    <row r="583" spans="1:18">
      <c r="A583" s="177" t="str">
        <f t="shared" si="27"/>
        <v/>
      </c>
      <c r="P583" s="72" t="str">
        <f>IF(B583="","",VLOOKUP(D583,setting!$C$2:$D$30,2,FALSE))</f>
        <v/>
      </c>
      <c r="R583" s="30" t="str">
        <f t="shared" si="28"/>
        <v/>
      </c>
    </row>
    <row r="584" spans="1:18">
      <c r="A584" s="177" t="str">
        <f t="shared" si="27"/>
        <v/>
      </c>
      <c r="P584" s="72" t="str">
        <f>IF(B584="","",VLOOKUP(D584,setting!$C$2:$D$30,2,FALSE))</f>
        <v/>
      </c>
      <c r="R584" s="30" t="str">
        <f t="shared" si="28"/>
        <v/>
      </c>
    </row>
    <row r="585" spans="1:18">
      <c r="A585" s="177" t="str">
        <f t="shared" si="27"/>
        <v/>
      </c>
      <c r="P585" s="72" t="str">
        <f>IF(B585="","",VLOOKUP(D585,setting!$C$2:$D$30,2,FALSE))</f>
        <v/>
      </c>
      <c r="R585" s="30" t="str">
        <f t="shared" si="28"/>
        <v/>
      </c>
    </row>
    <row r="586" spans="1:18">
      <c r="A586" s="177" t="str">
        <f t="shared" si="27"/>
        <v/>
      </c>
      <c r="P586" s="72" t="str">
        <f>IF(B586="","",VLOOKUP(D586,setting!$C$2:$D$30,2,FALSE))</f>
        <v/>
      </c>
      <c r="R586" s="30" t="str">
        <f t="shared" si="28"/>
        <v/>
      </c>
    </row>
    <row r="587" spans="1:18">
      <c r="A587" s="177" t="str">
        <f t="shared" si="27"/>
        <v/>
      </c>
      <c r="P587" s="72" t="str">
        <f>IF(B587="","",VLOOKUP(D587,setting!$C$2:$D$30,2,FALSE))</f>
        <v/>
      </c>
      <c r="R587" s="30" t="str">
        <f t="shared" si="28"/>
        <v/>
      </c>
    </row>
    <row r="588" spans="1:18">
      <c r="A588" s="177" t="str">
        <f t="shared" si="27"/>
        <v/>
      </c>
      <c r="P588" s="72" t="str">
        <f>IF(B588="","",VLOOKUP(D588,setting!$C$2:$D$30,2,FALSE))</f>
        <v/>
      </c>
      <c r="R588" s="30" t="str">
        <f t="shared" si="28"/>
        <v/>
      </c>
    </row>
    <row r="589" spans="1:18">
      <c r="A589" s="177" t="str">
        <f t="shared" si="27"/>
        <v/>
      </c>
      <c r="P589" s="72" t="str">
        <f>IF(B589="","",VLOOKUP(D589,setting!$C$2:$D$30,2,FALSE))</f>
        <v/>
      </c>
      <c r="R589" s="30" t="str">
        <f t="shared" si="28"/>
        <v/>
      </c>
    </row>
    <row r="590" spans="1:18">
      <c r="A590" s="177" t="str">
        <f t="shared" si="27"/>
        <v/>
      </c>
      <c r="P590" s="72" t="str">
        <f>IF(B590="","",VLOOKUP(D590,setting!$C$2:$D$30,2,FALSE))</f>
        <v/>
      </c>
      <c r="R590" s="30" t="str">
        <f t="shared" si="28"/>
        <v/>
      </c>
    </row>
    <row r="591" spans="1:18">
      <c r="A591" s="177" t="str">
        <f t="shared" si="27"/>
        <v/>
      </c>
      <c r="P591" s="72" t="str">
        <f>IF(B591="","",VLOOKUP(D591,setting!$C$2:$D$30,2,FALSE))</f>
        <v/>
      </c>
      <c r="R591" s="30" t="str">
        <f t="shared" si="28"/>
        <v/>
      </c>
    </row>
    <row r="592" spans="1:18">
      <c r="A592" s="177" t="str">
        <f t="shared" si="27"/>
        <v/>
      </c>
      <c r="P592" s="72" t="str">
        <f>IF(B592="","",VLOOKUP(D592,setting!$C$2:$D$30,2,FALSE))</f>
        <v/>
      </c>
      <c r="R592" s="30" t="str">
        <f t="shared" si="28"/>
        <v/>
      </c>
    </row>
    <row r="593" spans="1:18">
      <c r="A593" s="177" t="str">
        <f t="shared" si="27"/>
        <v/>
      </c>
      <c r="P593" s="72" t="str">
        <f>IF(B593="","",VLOOKUP(D593,setting!$C$2:$D$30,2,FALSE))</f>
        <v/>
      </c>
      <c r="R593" s="30" t="str">
        <f t="shared" si="28"/>
        <v/>
      </c>
    </row>
    <row r="594" spans="1:18">
      <c r="A594" s="177" t="str">
        <f t="shared" si="27"/>
        <v/>
      </c>
      <c r="P594" s="72" t="str">
        <f>IF(B594="","",VLOOKUP(D594,setting!$C$2:$D$30,2,FALSE))</f>
        <v/>
      </c>
      <c r="R594" s="30" t="str">
        <f t="shared" si="28"/>
        <v/>
      </c>
    </row>
    <row r="595" spans="1:18">
      <c r="A595" s="177" t="str">
        <f t="shared" si="27"/>
        <v/>
      </c>
      <c r="P595" s="72" t="str">
        <f>IF(B595="","",VLOOKUP(D595,setting!$C$2:$D$30,2,FALSE))</f>
        <v/>
      </c>
      <c r="R595" s="30" t="str">
        <f t="shared" si="28"/>
        <v/>
      </c>
    </row>
    <row r="596" spans="1:18">
      <c r="A596" s="177" t="str">
        <f t="shared" si="27"/>
        <v/>
      </c>
      <c r="P596" s="72" t="str">
        <f>IF(B596="","",VLOOKUP(D596,setting!$C$2:$D$30,2,FALSE))</f>
        <v/>
      </c>
      <c r="R596" s="30" t="str">
        <f t="shared" si="28"/>
        <v/>
      </c>
    </row>
    <row r="597" spans="1:18">
      <c r="A597" s="177" t="str">
        <f t="shared" si="27"/>
        <v/>
      </c>
      <c r="P597" s="72" t="str">
        <f>IF(B597="","",VLOOKUP(D597,setting!$C$2:$D$30,2,FALSE))</f>
        <v/>
      </c>
      <c r="R597" s="30" t="str">
        <f t="shared" si="28"/>
        <v/>
      </c>
    </row>
    <row r="598" spans="1:18">
      <c r="A598" s="177" t="str">
        <f t="shared" si="27"/>
        <v/>
      </c>
      <c r="P598" s="72" t="str">
        <f>IF(B598="","",VLOOKUP(D598,setting!$C$2:$D$30,2,FALSE))</f>
        <v/>
      </c>
      <c r="R598" s="30" t="str">
        <f t="shared" si="28"/>
        <v/>
      </c>
    </row>
    <row r="599" spans="1:18">
      <c r="A599" s="177" t="str">
        <f t="shared" si="27"/>
        <v/>
      </c>
      <c r="P599" s="72" t="str">
        <f>IF(B599="","",VLOOKUP(D599,setting!$C$2:$D$30,2,FALSE))</f>
        <v/>
      </c>
      <c r="R599" s="30" t="str">
        <f t="shared" si="28"/>
        <v/>
      </c>
    </row>
    <row r="600" spans="1:18">
      <c r="A600" s="177" t="str">
        <f t="shared" si="27"/>
        <v/>
      </c>
      <c r="P600" s="72" t="str">
        <f>IF(B600="","",VLOOKUP(D600,setting!$C$2:$D$30,2,FALSE))</f>
        <v/>
      </c>
      <c r="R600" s="30" t="str">
        <f t="shared" si="28"/>
        <v/>
      </c>
    </row>
    <row r="601" spans="1:18">
      <c r="A601" s="177" t="str">
        <f t="shared" si="27"/>
        <v/>
      </c>
      <c r="P601" s="72" t="str">
        <f>IF(B601="","",VLOOKUP(D601,setting!$C$2:$D$30,2,FALSE))</f>
        <v/>
      </c>
      <c r="R601" s="30" t="str">
        <f t="shared" si="28"/>
        <v/>
      </c>
    </row>
    <row r="602" spans="1:18">
      <c r="A602" s="177" t="str">
        <f t="shared" si="27"/>
        <v/>
      </c>
      <c r="P602" s="72" t="str">
        <f>IF(B602="","",VLOOKUP(D602,setting!$C$2:$D$30,2,FALSE))</f>
        <v/>
      </c>
      <c r="R602" s="30" t="str">
        <f t="shared" si="28"/>
        <v/>
      </c>
    </row>
    <row r="603" spans="1:18">
      <c r="A603" s="177" t="str">
        <f t="shared" si="27"/>
        <v/>
      </c>
      <c r="P603" s="72" t="str">
        <f>IF(B603="","",VLOOKUP(D603,setting!$C$2:$D$30,2,FALSE))</f>
        <v/>
      </c>
      <c r="R603" s="30" t="str">
        <f t="shared" si="28"/>
        <v/>
      </c>
    </row>
    <row r="604" spans="1:18">
      <c r="A604" s="177" t="str">
        <f t="shared" si="27"/>
        <v/>
      </c>
      <c r="P604" s="72" t="str">
        <f>IF(B604="","",VLOOKUP(D604,setting!$C$2:$D$30,2,FALSE))</f>
        <v/>
      </c>
      <c r="R604" s="30" t="str">
        <f t="shared" si="28"/>
        <v/>
      </c>
    </row>
    <row r="605" spans="1:18">
      <c r="A605" s="177" t="str">
        <f t="shared" si="27"/>
        <v/>
      </c>
      <c r="P605" s="72" t="str">
        <f>IF(B605="","",VLOOKUP(D605,setting!$C$2:$D$30,2,FALSE))</f>
        <v/>
      </c>
      <c r="R605" s="30" t="str">
        <f t="shared" si="28"/>
        <v/>
      </c>
    </row>
    <row r="606" spans="1:18">
      <c r="A606" s="177" t="str">
        <f t="shared" si="27"/>
        <v/>
      </c>
      <c r="P606" s="72" t="str">
        <f>IF(B606="","",VLOOKUP(D606,setting!$C$2:$D$30,2,FALSE))</f>
        <v/>
      </c>
      <c r="R606" s="30" t="str">
        <f t="shared" si="28"/>
        <v/>
      </c>
    </row>
    <row r="607" spans="1:18">
      <c r="A607" s="177" t="str">
        <f t="shared" si="27"/>
        <v/>
      </c>
      <c r="P607" s="72" t="str">
        <f>IF(B607="","",VLOOKUP(D607,setting!$C$2:$D$30,2,FALSE))</f>
        <v/>
      </c>
      <c r="R607" s="30" t="str">
        <f t="shared" si="28"/>
        <v/>
      </c>
    </row>
    <row r="608" spans="1:18">
      <c r="A608" s="177" t="str">
        <f t="shared" si="27"/>
        <v/>
      </c>
      <c r="P608" s="72" t="str">
        <f>IF(B608="","",VLOOKUP(D608,setting!$C$2:$D$30,2,FALSE))</f>
        <v/>
      </c>
      <c r="R608" s="30" t="str">
        <f t="shared" si="28"/>
        <v/>
      </c>
    </row>
    <row r="609" spans="1:18">
      <c r="A609" s="177" t="str">
        <f t="shared" si="27"/>
        <v/>
      </c>
      <c r="P609" s="72" t="str">
        <f>IF(B609="","",VLOOKUP(D609,setting!$C$2:$D$30,2,FALSE))</f>
        <v/>
      </c>
      <c r="R609" s="30" t="str">
        <f t="shared" si="28"/>
        <v/>
      </c>
    </row>
    <row r="610" spans="1:18">
      <c r="A610" s="177" t="str">
        <f t="shared" si="27"/>
        <v/>
      </c>
      <c r="P610" s="72" t="str">
        <f>IF(B610="","",VLOOKUP(D610,setting!$C$2:$D$30,2,FALSE))</f>
        <v/>
      </c>
      <c r="R610" s="30" t="str">
        <f t="shared" si="28"/>
        <v/>
      </c>
    </row>
    <row r="611" spans="1:18">
      <c r="A611" s="177" t="str">
        <f t="shared" si="27"/>
        <v/>
      </c>
      <c r="P611" s="72" t="str">
        <f>IF(B611="","",VLOOKUP(D611,setting!$C$2:$D$30,2,FALSE))</f>
        <v/>
      </c>
      <c r="R611" s="30" t="str">
        <f t="shared" si="28"/>
        <v/>
      </c>
    </row>
    <row r="612" spans="1:18">
      <c r="A612" s="177" t="str">
        <f t="shared" si="27"/>
        <v/>
      </c>
      <c r="P612" s="72" t="str">
        <f>IF(B612="","",VLOOKUP(D612,setting!$C$2:$D$30,2,FALSE))</f>
        <v/>
      </c>
      <c r="R612" s="30" t="str">
        <f t="shared" si="28"/>
        <v/>
      </c>
    </row>
    <row r="613" spans="1:18">
      <c r="A613" s="177" t="str">
        <f t="shared" si="27"/>
        <v/>
      </c>
      <c r="P613" s="72" t="str">
        <f>IF(B613="","",VLOOKUP(D613,setting!$C$2:$D$30,2,FALSE))</f>
        <v/>
      </c>
      <c r="R613" s="30" t="str">
        <f t="shared" si="28"/>
        <v/>
      </c>
    </row>
    <row r="614" spans="1:18">
      <c r="A614" s="177" t="str">
        <f t="shared" si="27"/>
        <v/>
      </c>
      <c r="P614" s="72" t="str">
        <f>IF(B614="","",VLOOKUP(D614,setting!$C$2:$D$30,2,FALSE))</f>
        <v/>
      </c>
      <c r="R614" s="30" t="str">
        <f t="shared" si="28"/>
        <v/>
      </c>
    </row>
    <row r="615" spans="1:18">
      <c r="A615" s="177" t="str">
        <f t="shared" si="27"/>
        <v/>
      </c>
      <c r="P615" s="72" t="str">
        <f>IF(B615="","",VLOOKUP(D615,setting!$C$2:$D$30,2,FALSE))</f>
        <v/>
      </c>
      <c r="R615" s="30" t="str">
        <f t="shared" si="28"/>
        <v/>
      </c>
    </row>
    <row r="616" spans="1:18">
      <c r="A616" s="177" t="str">
        <f t="shared" si="27"/>
        <v/>
      </c>
      <c r="P616" s="72" t="str">
        <f>IF(B616="","",VLOOKUP(D616,setting!$C$2:$D$30,2,FALSE))</f>
        <v/>
      </c>
      <c r="R616" s="30" t="str">
        <f t="shared" si="28"/>
        <v/>
      </c>
    </row>
    <row r="617" spans="1:18">
      <c r="A617" s="177" t="str">
        <f t="shared" si="27"/>
        <v/>
      </c>
      <c r="P617" s="72" t="str">
        <f>IF(B617="","",VLOOKUP(D617,setting!$C$2:$D$30,2,FALSE))</f>
        <v/>
      </c>
      <c r="R617" s="30" t="str">
        <f t="shared" si="28"/>
        <v/>
      </c>
    </row>
    <row r="618" spans="1:18">
      <c r="A618" s="177" t="str">
        <f t="shared" si="27"/>
        <v/>
      </c>
      <c r="P618" s="72" t="str">
        <f>IF(B618="","",VLOOKUP(D618,setting!$C$2:$D$30,2,FALSE))</f>
        <v/>
      </c>
      <c r="R618" s="30" t="str">
        <f t="shared" si="28"/>
        <v/>
      </c>
    </row>
    <row r="619" spans="1:18">
      <c r="A619" s="177" t="str">
        <f t="shared" si="27"/>
        <v/>
      </c>
      <c r="P619" s="72" t="str">
        <f>IF(B619="","",VLOOKUP(D619,setting!$C$2:$D$30,2,FALSE))</f>
        <v/>
      </c>
      <c r="R619" s="30" t="str">
        <f t="shared" si="28"/>
        <v/>
      </c>
    </row>
    <row r="620" spans="1:18">
      <c r="A620" s="177" t="str">
        <f t="shared" si="27"/>
        <v/>
      </c>
      <c r="P620" s="72" t="str">
        <f>IF(B620="","",VLOOKUP(D620,setting!$C$2:$D$30,2,FALSE))</f>
        <v/>
      </c>
      <c r="R620" s="30" t="str">
        <f t="shared" si="28"/>
        <v/>
      </c>
    </row>
    <row r="621" spans="1:18">
      <c r="A621" s="177" t="str">
        <f t="shared" si="27"/>
        <v/>
      </c>
      <c r="P621" s="72" t="str">
        <f>IF(B621="","",VLOOKUP(D621,setting!$C$2:$D$30,2,FALSE))</f>
        <v/>
      </c>
      <c r="R621" s="30" t="str">
        <f t="shared" si="28"/>
        <v/>
      </c>
    </row>
    <row r="622" spans="1:18">
      <c r="A622" s="177" t="str">
        <f t="shared" si="27"/>
        <v/>
      </c>
      <c r="P622" s="72" t="str">
        <f>IF(B622="","",VLOOKUP(D622,setting!$C$2:$D$30,2,FALSE))</f>
        <v/>
      </c>
      <c r="R622" s="30" t="str">
        <f t="shared" si="28"/>
        <v/>
      </c>
    </row>
    <row r="623" spans="1:18">
      <c r="A623" s="177" t="str">
        <f t="shared" si="27"/>
        <v/>
      </c>
      <c r="P623" s="72" t="str">
        <f>IF(B623="","",VLOOKUP(D623,setting!$C$2:$D$30,2,FALSE))</f>
        <v/>
      </c>
      <c r="R623" s="30" t="str">
        <f t="shared" si="28"/>
        <v/>
      </c>
    </row>
    <row r="624" spans="1:18">
      <c r="A624" s="177" t="str">
        <f t="shared" si="27"/>
        <v/>
      </c>
      <c r="P624" s="72" t="str">
        <f>IF(B624="","",VLOOKUP(D624,setting!$C$2:$D$30,2,FALSE))</f>
        <v/>
      </c>
      <c r="R624" s="30" t="str">
        <f t="shared" si="28"/>
        <v/>
      </c>
    </row>
    <row r="625" spans="1:18">
      <c r="A625" s="177" t="str">
        <f t="shared" si="27"/>
        <v/>
      </c>
      <c r="P625" s="72" t="str">
        <f>IF(B625="","",VLOOKUP(D625,setting!$C$2:$D$30,2,FALSE))</f>
        <v/>
      </c>
      <c r="R625" s="30" t="str">
        <f t="shared" si="28"/>
        <v/>
      </c>
    </row>
    <row r="626" spans="1:18">
      <c r="A626" s="177" t="str">
        <f t="shared" si="27"/>
        <v/>
      </c>
      <c r="P626" s="72" t="str">
        <f>IF(B626="","",VLOOKUP(D626,setting!$C$2:$D$30,2,FALSE))</f>
        <v/>
      </c>
      <c r="R626" s="30" t="str">
        <f t="shared" si="28"/>
        <v/>
      </c>
    </row>
    <row r="627" spans="1:18">
      <c r="A627" s="177" t="str">
        <f t="shared" si="27"/>
        <v/>
      </c>
      <c r="P627" s="72" t="str">
        <f>IF(B627="","",VLOOKUP(D627,setting!$C$2:$D$30,2,FALSE))</f>
        <v/>
      </c>
      <c r="R627" s="30" t="str">
        <f t="shared" si="28"/>
        <v/>
      </c>
    </row>
    <row r="628" spans="1:18">
      <c r="A628" s="177" t="str">
        <f t="shared" si="27"/>
        <v/>
      </c>
      <c r="P628" s="72" t="str">
        <f>IF(B628="","",VLOOKUP(D628,setting!$C$2:$D$30,2,FALSE))</f>
        <v/>
      </c>
      <c r="R628" s="30" t="str">
        <f t="shared" si="28"/>
        <v/>
      </c>
    </row>
    <row r="629" spans="1:18">
      <c r="A629" s="177" t="str">
        <f t="shared" si="27"/>
        <v/>
      </c>
      <c r="P629" s="72" t="str">
        <f>IF(B629="","",VLOOKUP(D629,setting!$C$2:$D$30,2,FALSE))</f>
        <v/>
      </c>
      <c r="R629" s="30" t="str">
        <f t="shared" si="28"/>
        <v/>
      </c>
    </row>
    <row r="630" spans="1:18">
      <c r="A630" s="177" t="str">
        <f t="shared" si="27"/>
        <v/>
      </c>
      <c r="P630" s="72" t="str">
        <f>IF(B630="","",VLOOKUP(D630,setting!$C$2:$D$30,2,FALSE))</f>
        <v/>
      </c>
      <c r="R630" s="30" t="str">
        <f t="shared" si="28"/>
        <v/>
      </c>
    </row>
    <row r="631" spans="1:18">
      <c r="A631" s="177" t="str">
        <f t="shared" si="27"/>
        <v/>
      </c>
      <c r="P631" s="72" t="str">
        <f>IF(B631="","",VLOOKUP(D631,setting!$C$2:$D$30,2,FALSE))</f>
        <v/>
      </c>
      <c r="R631" s="30" t="str">
        <f t="shared" si="28"/>
        <v/>
      </c>
    </row>
    <row r="632" spans="1:18">
      <c r="A632" s="177" t="str">
        <f t="shared" si="27"/>
        <v/>
      </c>
      <c r="P632" s="72" t="str">
        <f>IF(B632="","",VLOOKUP(D632,setting!$C$2:$D$30,2,FALSE))</f>
        <v/>
      </c>
      <c r="R632" s="30" t="str">
        <f t="shared" si="28"/>
        <v/>
      </c>
    </row>
    <row r="633" spans="1:18">
      <c r="A633" s="177" t="str">
        <f t="shared" si="27"/>
        <v/>
      </c>
      <c r="P633" s="72" t="str">
        <f>IF(B633="","",VLOOKUP(D633,setting!$C$2:$D$30,2,FALSE))</f>
        <v/>
      </c>
      <c r="R633" s="30" t="str">
        <f t="shared" si="28"/>
        <v/>
      </c>
    </row>
    <row r="634" spans="1:18">
      <c r="A634" s="177" t="str">
        <f t="shared" si="27"/>
        <v/>
      </c>
      <c r="P634" s="72" t="str">
        <f>IF(B634="","",VLOOKUP(D634,setting!$C$2:$D$30,2,FALSE))</f>
        <v/>
      </c>
      <c r="R634" s="30" t="str">
        <f t="shared" si="28"/>
        <v/>
      </c>
    </row>
    <row r="635" spans="1:18">
      <c r="A635" s="177" t="str">
        <f t="shared" si="27"/>
        <v/>
      </c>
      <c r="P635" s="72" t="str">
        <f>IF(B635="","",VLOOKUP(D635,setting!$C$2:$D$30,2,FALSE))</f>
        <v/>
      </c>
      <c r="R635" s="30" t="str">
        <f t="shared" si="28"/>
        <v/>
      </c>
    </row>
    <row r="636" spans="1:18">
      <c r="A636" s="177" t="str">
        <f t="shared" si="27"/>
        <v/>
      </c>
      <c r="P636" s="72" t="str">
        <f>IF(B636="","",VLOOKUP(D636,setting!$C$2:$D$30,2,FALSE))</f>
        <v/>
      </c>
      <c r="R636" s="30" t="str">
        <f t="shared" si="28"/>
        <v/>
      </c>
    </row>
    <row r="637" spans="1:18">
      <c r="A637" s="177" t="str">
        <f t="shared" si="27"/>
        <v/>
      </c>
      <c r="P637" s="72" t="str">
        <f>IF(B637="","",VLOOKUP(D637,setting!$C$2:$D$30,2,FALSE))</f>
        <v/>
      </c>
      <c r="R637" s="30" t="str">
        <f t="shared" si="28"/>
        <v/>
      </c>
    </row>
    <row r="638" spans="1:18">
      <c r="A638" s="177" t="str">
        <f t="shared" si="27"/>
        <v/>
      </c>
      <c r="P638" s="72" t="str">
        <f>IF(B638="","",VLOOKUP(D638,setting!$C$2:$D$30,2,FALSE))</f>
        <v/>
      </c>
      <c r="R638" s="30" t="str">
        <f t="shared" si="28"/>
        <v/>
      </c>
    </row>
    <row r="639" spans="1:18">
      <c r="A639" s="177" t="str">
        <f t="shared" si="27"/>
        <v/>
      </c>
      <c r="P639" s="72" t="str">
        <f>IF(B639="","",VLOOKUP(D639,setting!$C$2:$D$30,2,FALSE))</f>
        <v/>
      </c>
      <c r="R639" s="30" t="str">
        <f t="shared" si="28"/>
        <v/>
      </c>
    </row>
    <row r="640" spans="1:18">
      <c r="A640" s="177" t="str">
        <f t="shared" si="27"/>
        <v/>
      </c>
      <c r="P640" s="72" t="str">
        <f>IF(B640="","",VLOOKUP(D640,setting!$C$2:$D$30,2,FALSE))</f>
        <v/>
      </c>
      <c r="R640" s="30" t="str">
        <f t="shared" si="28"/>
        <v/>
      </c>
    </row>
    <row r="641" spans="1:18">
      <c r="A641" s="177" t="str">
        <f t="shared" si="27"/>
        <v/>
      </c>
      <c r="P641" s="72" t="str">
        <f>IF(B641="","",VLOOKUP(D641,setting!$C$2:$D$30,2,FALSE))</f>
        <v/>
      </c>
      <c r="R641" s="30" t="str">
        <f t="shared" si="28"/>
        <v/>
      </c>
    </row>
    <row r="642" spans="1:18">
      <c r="A642" s="177" t="str">
        <f t="shared" ref="A642:A705" si="29">B642&amp;D642&amp;E642&amp;F642&amp;P642</f>
        <v/>
      </c>
      <c r="P642" s="72" t="str">
        <f>IF(B642="","",VLOOKUP(D642,setting!$C$2:$D$30,2,FALSE))</f>
        <v/>
      </c>
      <c r="R642" s="30" t="str">
        <f t="shared" ref="R642:R653" si="30">IF(O642="","",MONTH(O642))</f>
        <v/>
      </c>
    </row>
    <row r="643" spans="1:18">
      <c r="A643" s="177" t="str">
        <f t="shared" si="29"/>
        <v/>
      </c>
      <c r="P643" s="72" t="str">
        <f>IF(B643="","",VLOOKUP(D643,setting!$C$2:$D$30,2,FALSE))</f>
        <v/>
      </c>
      <c r="R643" s="30" t="str">
        <f t="shared" si="30"/>
        <v/>
      </c>
    </row>
    <row r="644" spans="1:18">
      <c r="A644" s="177" t="str">
        <f t="shared" si="29"/>
        <v/>
      </c>
      <c r="P644" s="72" t="str">
        <f>IF(B644="","",VLOOKUP(D644,setting!$C$2:$D$30,2,FALSE))</f>
        <v/>
      </c>
      <c r="R644" s="30" t="str">
        <f t="shared" si="30"/>
        <v/>
      </c>
    </row>
    <row r="645" spans="1:18">
      <c r="A645" s="177" t="str">
        <f t="shared" si="29"/>
        <v/>
      </c>
      <c r="P645" s="72" t="str">
        <f>IF(B645="","",VLOOKUP(D645,setting!$C$2:$D$30,2,FALSE))</f>
        <v/>
      </c>
      <c r="R645" s="30" t="str">
        <f t="shared" si="30"/>
        <v/>
      </c>
    </row>
    <row r="646" spans="1:18">
      <c r="A646" s="177" t="str">
        <f t="shared" si="29"/>
        <v/>
      </c>
      <c r="P646" s="72" t="str">
        <f>IF(B646="","",VLOOKUP(D646,setting!$C$2:$D$30,2,FALSE))</f>
        <v/>
      </c>
      <c r="R646" s="30" t="str">
        <f t="shared" si="30"/>
        <v/>
      </c>
    </row>
    <row r="647" spans="1:18">
      <c r="A647" s="177" t="str">
        <f t="shared" si="29"/>
        <v/>
      </c>
      <c r="P647" s="72" t="str">
        <f>IF(B647="","",VLOOKUP(D647,setting!$C$2:$D$30,2,FALSE))</f>
        <v/>
      </c>
      <c r="R647" s="30" t="str">
        <f t="shared" si="30"/>
        <v/>
      </c>
    </row>
    <row r="648" spans="1:18">
      <c r="A648" s="177" t="str">
        <f t="shared" si="29"/>
        <v/>
      </c>
      <c r="P648" s="72" t="str">
        <f>IF(B648="","",VLOOKUP(D648,setting!$C$2:$D$30,2,FALSE))</f>
        <v/>
      </c>
      <c r="R648" s="30" t="str">
        <f t="shared" si="30"/>
        <v/>
      </c>
    </row>
    <row r="649" spans="1:18">
      <c r="A649" s="177" t="str">
        <f t="shared" si="29"/>
        <v/>
      </c>
      <c r="P649" s="72" t="str">
        <f>IF(B649="","",VLOOKUP(D649,setting!$C$2:$D$30,2,FALSE))</f>
        <v/>
      </c>
      <c r="R649" s="30" t="str">
        <f t="shared" si="30"/>
        <v/>
      </c>
    </row>
    <row r="650" spans="1:18">
      <c r="A650" s="177" t="str">
        <f t="shared" si="29"/>
        <v/>
      </c>
      <c r="P650" s="72" t="str">
        <f>IF(B650="","",VLOOKUP(D650,setting!$C$2:$D$30,2,FALSE))</f>
        <v/>
      </c>
      <c r="R650" s="30" t="str">
        <f t="shared" si="30"/>
        <v/>
      </c>
    </row>
    <row r="651" spans="1:18">
      <c r="A651" s="177" t="str">
        <f t="shared" si="29"/>
        <v/>
      </c>
      <c r="P651" s="72" t="str">
        <f>IF(B651="","",VLOOKUP(D651,setting!$C$2:$D$30,2,FALSE))</f>
        <v/>
      </c>
      <c r="R651" s="30" t="str">
        <f t="shared" si="30"/>
        <v/>
      </c>
    </row>
    <row r="652" spans="1:18">
      <c r="A652" s="177" t="str">
        <f t="shared" si="29"/>
        <v/>
      </c>
      <c r="P652" s="72" t="str">
        <f>IF(B652="","",VLOOKUP(D652,setting!$C$2:$D$30,2,FALSE))</f>
        <v/>
      </c>
      <c r="R652" s="30" t="str">
        <f t="shared" si="30"/>
        <v/>
      </c>
    </row>
    <row r="653" spans="1:18">
      <c r="A653" s="177" t="str">
        <f t="shared" si="29"/>
        <v/>
      </c>
      <c r="P653" s="72" t="str">
        <f>IF(B653="","",VLOOKUP(D653,setting!$C$2:$D$30,2,FALSE))</f>
        <v/>
      </c>
      <c r="R653" s="30" t="str">
        <f t="shared" si="30"/>
        <v/>
      </c>
    </row>
    <row r="654" spans="1:18">
      <c r="A654" s="177" t="str">
        <f t="shared" si="29"/>
        <v/>
      </c>
      <c r="P654" s="72" t="str">
        <f>IF(B654="","",VLOOKUP(D654,setting!$C$2:$D$30,2,FALSE))</f>
        <v/>
      </c>
    </row>
    <row r="655" spans="1:18">
      <c r="A655" s="177" t="str">
        <f t="shared" si="29"/>
        <v/>
      </c>
      <c r="P655" s="72" t="str">
        <f>IF(B655="","",VLOOKUP(D655,setting!$C$2:$D$30,2,FALSE))</f>
        <v/>
      </c>
    </row>
    <row r="656" spans="1:18">
      <c r="A656" s="177" t="str">
        <f t="shared" si="29"/>
        <v/>
      </c>
      <c r="P656" s="72" t="str">
        <f>IF(B656="","",VLOOKUP(D656,setting!$C$2:$D$30,2,FALSE))</f>
        <v/>
      </c>
    </row>
    <row r="657" spans="1:16">
      <c r="A657" s="177" t="str">
        <f t="shared" si="29"/>
        <v/>
      </c>
      <c r="P657" s="72" t="str">
        <f>IF(B657="","",VLOOKUP(D657,setting!$C$2:$D$30,2,FALSE))</f>
        <v/>
      </c>
    </row>
    <row r="658" spans="1:16">
      <c r="A658" s="177" t="str">
        <f t="shared" si="29"/>
        <v/>
      </c>
      <c r="P658" s="72" t="str">
        <f>IF(B658="","",VLOOKUP(D658,setting!$C$2:$D$30,2,FALSE))</f>
        <v/>
      </c>
    </row>
    <row r="659" spans="1:16">
      <c r="A659" s="177" t="str">
        <f t="shared" si="29"/>
        <v/>
      </c>
      <c r="P659" s="72" t="str">
        <f>IF(B659="","",VLOOKUP(D659,setting!$C$2:$D$30,2,FALSE))</f>
        <v/>
      </c>
    </row>
    <row r="660" spans="1:16">
      <c r="A660" s="177" t="str">
        <f t="shared" si="29"/>
        <v/>
      </c>
      <c r="P660" s="72" t="str">
        <f>IF(B660="","",VLOOKUP(D660,setting!$C$2:$D$30,2,FALSE))</f>
        <v/>
      </c>
    </row>
    <row r="661" spans="1:16">
      <c r="A661" s="177" t="str">
        <f t="shared" si="29"/>
        <v/>
      </c>
      <c r="P661" s="72" t="str">
        <f>IF(B661="","",VLOOKUP(D661,setting!$C$2:$D$30,2,FALSE))</f>
        <v/>
      </c>
    </row>
    <row r="662" spans="1:16">
      <c r="A662" s="177" t="str">
        <f t="shared" si="29"/>
        <v/>
      </c>
      <c r="P662" s="72" t="str">
        <f>IF(B662="","",VLOOKUP(D662,setting!$C$2:$D$30,2,FALSE))</f>
        <v/>
      </c>
    </row>
    <row r="663" spans="1:16">
      <c r="A663" s="177" t="str">
        <f t="shared" si="29"/>
        <v/>
      </c>
      <c r="P663" s="72" t="str">
        <f>IF(B663="","",VLOOKUP(D663,setting!$C$2:$D$30,2,FALSE))</f>
        <v/>
      </c>
    </row>
    <row r="664" spans="1:16">
      <c r="A664" s="177" t="str">
        <f t="shared" si="29"/>
        <v/>
      </c>
      <c r="P664" s="72" t="str">
        <f>IF(B664="","",VLOOKUP(D664,setting!$C$2:$D$30,2,FALSE))</f>
        <v/>
      </c>
    </row>
    <row r="665" spans="1:16">
      <c r="A665" s="177" t="str">
        <f t="shared" si="29"/>
        <v/>
      </c>
      <c r="P665" s="72" t="str">
        <f>IF(B665="","",VLOOKUP(D665,setting!$C$2:$D$30,2,FALSE))</f>
        <v/>
      </c>
    </row>
    <row r="666" spans="1:16">
      <c r="A666" s="177" t="str">
        <f t="shared" si="29"/>
        <v/>
      </c>
      <c r="P666" s="72" t="str">
        <f>IF(B666="","",VLOOKUP(D666,setting!$C$2:$D$30,2,FALSE))</f>
        <v/>
      </c>
    </row>
    <row r="667" spans="1:16">
      <c r="A667" s="177" t="str">
        <f t="shared" si="29"/>
        <v/>
      </c>
      <c r="P667" s="72" t="str">
        <f>IF(B667="","",VLOOKUP(D667,setting!$C$2:$D$30,2,FALSE))</f>
        <v/>
      </c>
    </row>
    <row r="668" spans="1:16">
      <c r="A668" s="177" t="str">
        <f t="shared" si="29"/>
        <v/>
      </c>
      <c r="P668" s="72" t="str">
        <f>IF(B668="","",VLOOKUP(D668,setting!$C$2:$D$30,2,FALSE))</f>
        <v/>
      </c>
    </row>
    <row r="669" spans="1:16">
      <c r="A669" s="177" t="str">
        <f t="shared" si="29"/>
        <v/>
      </c>
      <c r="P669" s="72" t="str">
        <f>IF(B669="","",VLOOKUP(D669,setting!$C$2:$D$30,2,FALSE))</f>
        <v/>
      </c>
    </row>
    <row r="670" spans="1:16">
      <c r="A670" s="177" t="str">
        <f t="shared" si="29"/>
        <v/>
      </c>
      <c r="P670" s="72" t="str">
        <f>IF(B670="","",VLOOKUP(D670,setting!$C$2:$D$30,2,FALSE))</f>
        <v/>
      </c>
    </row>
    <row r="671" spans="1:16">
      <c r="A671" s="177" t="str">
        <f t="shared" si="29"/>
        <v/>
      </c>
      <c r="P671" s="72" t="str">
        <f>IF(B671="","",VLOOKUP(D671,setting!$C$2:$D$30,2,FALSE))</f>
        <v/>
      </c>
    </row>
    <row r="672" spans="1:16">
      <c r="A672" s="177" t="str">
        <f t="shared" si="29"/>
        <v/>
      </c>
      <c r="P672" s="72" t="str">
        <f>IF(B672="","",VLOOKUP(D672,setting!$C$2:$D$30,2,FALSE))</f>
        <v/>
      </c>
    </row>
    <row r="673" spans="1:16">
      <c r="A673" s="177" t="str">
        <f t="shared" si="29"/>
        <v/>
      </c>
      <c r="P673" s="72" t="str">
        <f>IF(B673="","",VLOOKUP(D673,setting!$C$2:$D$30,2,FALSE))</f>
        <v/>
      </c>
    </row>
    <row r="674" spans="1:16">
      <c r="A674" s="177" t="str">
        <f t="shared" si="29"/>
        <v/>
      </c>
      <c r="P674" s="72" t="str">
        <f>IF(B674="","",VLOOKUP(D674,setting!$C$2:$D$30,2,FALSE))</f>
        <v/>
      </c>
    </row>
    <row r="675" spans="1:16">
      <c r="A675" s="177" t="str">
        <f t="shared" si="29"/>
        <v/>
      </c>
      <c r="P675" s="72" t="str">
        <f>IF(B675="","",VLOOKUP(D675,setting!$C$2:$D$30,2,FALSE))</f>
        <v/>
      </c>
    </row>
    <row r="676" spans="1:16">
      <c r="A676" s="177" t="str">
        <f t="shared" si="29"/>
        <v/>
      </c>
      <c r="P676" s="72" t="str">
        <f>IF(B676="","",VLOOKUP(D676,setting!$C$2:$D$30,2,FALSE))</f>
        <v/>
      </c>
    </row>
    <row r="677" spans="1:16">
      <c r="A677" s="177" t="str">
        <f t="shared" si="29"/>
        <v/>
      </c>
      <c r="P677" s="72" t="str">
        <f>IF(B677="","",VLOOKUP(D677,setting!$C$2:$D$30,2,FALSE))</f>
        <v/>
      </c>
    </row>
    <row r="678" spans="1:16">
      <c r="A678" s="177" t="str">
        <f t="shared" si="29"/>
        <v/>
      </c>
      <c r="P678" s="72" t="str">
        <f>IF(B678="","",VLOOKUP(D678,setting!$C$2:$D$30,2,FALSE))</f>
        <v/>
      </c>
    </row>
    <row r="679" spans="1:16">
      <c r="A679" s="177" t="str">
        <f t="shared" si="29"/>
        <v/>
      </c>
      <c r="P679" s="72" t="str">
        <f>IF(B679="","",VLOOKUP(D679,setting!$C$2:$D$30,2,FALSE))</f>
        <v/>
      </c>
    </row>
    <row r="680" spans="1:16">
      <c r="A680" s="177" t="str">
        <f t="shared" si="29"/>
        <v/>
      </c>
      <c r="P680" s="72" t="str">
        <f>IF(B680="","",VLOOKUP(D680,setting!$C$2:$D$30,2,FALSE))</f>
        <v/>
      </c>
    </row>
    <row r="681" spans="1:16">
      <c r="A681" s="177" t="str">
        <f t="shared" si="29"/>
        <v/>
      </c>
      <c r="P681" s="72" t="str">
        <f>IF(B681="","",VLOOKUP(D681,setting!$C$2:$D$30,2,FALSE))</f>
        <v/>
      </c>
    </row>
    <row r="682" spans="1:16">
      <c r="A682" s="177" t="str">
        <f t="shared" si="29"/>
        <v/>
      </c>
      <c r="P682" s="72" t="str">
        <f>IF(B682="","",VLOOKUP(D682,setting!$C$2:$D$30,2,FALSE))</f>
        <v/>
      </c>
    </row>
    <row r="683" spans="1:16">
      <c r="A683" s="177" t="str">
        <f t="shared" si="29"/>
        <v/>
      </c>
      <c r="P683" s="72" t="str">
        <f>IF(B683="","",VLOOKUP(D683,setting!$C$2:$D$30,2,FALSE))</f>
        <v/>
      </c>
    </row>
    <row r="684" spans="1:16">
      <c r="A684" s="177" t="str">
        <f t="shared" si="29"/>
        <v/>
      </c>
      <c r="P684" s="72" t="str">
        <f>IF(B684="","",VLOOKUP(D684,setting!$C$2:$D$30,2,FALSE))</f>
        <v/>
      </c>
    </row>
    <row r="685" spans="1:16">
      <c r="A685" s="177" t="str">
        <f t="shared" si="29"/>
        <v/>
      </c>
      <c r="P685" s="72" t="str">
        <f>IF(B685="","",VLOOKUP(D685,setting!$C$2:$D$30,2,FALSE))</f>
        <v/>
      </c>
    </row>
    <row r="686" spans="1:16">
      <c r="A686" s="177" t="str">
        <f t="shared" si="29"/>
        <v/>
      </c>
      <c r="P686" s="72" t="str">
        <f>IF(B686="","",VLOOKUP(D686,setting!$C$2:$D$30,2,FALSE))</f>
        <v/>
      </c>
    </row>
    <row r="687" spans="1:16">
      <c r="A687" s="177" t="str">
        <f t="shared" si="29"/>
        <v/>
      </c>
      <c r="P687" s="72" t="str">
        <f>IF(B687="","",VLOOKUP(D687,setting!$C$2:$D$30,2,FALSE))</f>
        <v/>
      </c>
    </row>
    <row r="688" spans="1:16">
      <c r="A688" s="177" t="str">
        <f t="shared" si="29"/>
        <v/>
      </c>
      <c r="P688" s="72" t="str">
        <f>IF(B688="","",VLOOKUP(D688,setting!$C$2:$D$30,2,FALSE))</f>
        <v/>
      </c>
    </row>
    <row r="689" spans="1:16">
      <c r="A689" s="177" t="str">
        <f t="shared" si="29"/>
        <v/>
      </c>
      <c r="P689" s="72" t="str">
        <f>IF(B689="","",VLOOKUP(D689,setting!$C$2:$D$30,2,FALSE))</f>
        <v/>
      </c>
    </row>
    <row r="690" spans="1:16">
      <c r="A690" s="177" t="str">
        <f t="shared" si="29"/>
        <v/>
      </c>
      <c r="P690" s="72" t="str">
        <f>IF(B690="","",VLOOKUP(D690,setting!$C$2:$D$30,2,FALSE))</f>
        <v/>
      </c>
    </row>
    <row r="691" spans="1:16">
      <c r="A691" s="177" t="str">
        <f t="shared" si="29"/>
        <v/>
      </c>
      <c r="P691" s="72" t="str">
        <f>IF(B691="","",VLOOKUP(D691,setting!$C$2:$D$30,2,FALSE))</f>
        <v/>
      </c>
    </row>
    <row r="692" spans="1:16">
      <c r="A692" s="177" t="str">
        <f t="shared" si="29"/>
        <v/>
      </c>
      <c r="P692" s="72" t="str">
        <f>IF(B692="","",VLOOKUP(D692,setting!$C$2:$D$30,2,FALSE))</f>
        <v/>
      </c>
    </row>
    <row r="693" spans="1:16">
      <c r="A693" s="177" t="str">
        <f t="shared" si="29"/>
        <v/>
      </c>
      <c r="P693" s="72" t="str">
        <f>IF(B693="","",VLOOKUP(D693,setting!$C$2:$D$30,2,FALSE))</f>
        <v/>
      </c>
    </row>
    <row r="694" spans="1:16">
      <c r="A694" s="177" t="str">
        <f t="shared" si="29"/>
        <v/>
      </c>
      <c r="P694" s="72" t="str">
        <f>IF(B694="","",VLOOKUP(D694,setting!$C$2:$D$30,2,FALSE))</f>
        <v/>
      </c>
    </row>
    <row r="695" spans="1:16">
      <c r="A695" s="177" t="str">
        <f t="shared" si="29"/>
        <v/>
      </c>
      <c r="P695" s="72" t="str">
        <f>IF(B695="","",VLOOKUP(D695,setting!$C$2:$D$30,2,FALSE))</f>
        <v/>
      </c>
    </row>
    <row r="696" spans="1:16">
      <c r="A696" s="177" t="str">
        <f t="shared" si="29"/>
        <v/>
      </c>
      <c r="P696" s="72" t="str">
        <f>IF(B696="","",VLOOKUP(D696,setting!$C$2:$D$30,2,FALSE))</f>
        <v/>
      </c>
    </row>
    <row r="697" spans="1:16">
      <c r="A697" s="177" t="str">
        <f t="shared" si="29"/>
        <v/>
      </c>
      <c r="P697" s="72" t="str">
        <f>IF(B697="","",VLOOKUP(D697,setting!$C$2:$D$30,2,FALSE))</f>
        <v/>
      </c>
    </row>
    <row r="698" spans="1:16">
      <c r="A698" s="177" t="str">
        <f t="shared" si="29"/>
        <v/>
      </c>
      <c r="P698" s="72" t="str">
        <f>IF(B698="","",VLOOKUP(D698,setting!$C$2:$D$30,2,FALSE))</f>
        <v/>
      </c>
    </row>
    <row r="699" spans="1:16">
      <c r="A699" s="177" t="str">
        <f t="shared" si="29"/>
        <v/>
      </c>
      <c r="P699" s="72" t="str">
        <f>IF(B699="","",VLOOKUP(D699,setting!$C$2:$D$30,2,FALSE))</f>
        <v/>
      </c>
    </row>
    <row r="700" spans="1:16">
      <c r="A700" s="177" t="str">
        <f t="shared" si="29"/>
        <v/>
      </c>
      <c r="P700" s="72" t="str">
        <f>IF(B700="","",VLOOKUP(D700,setting!$C$2:$D$30,2,FALSE))</f>
        <v/>
      </c>
    </row>
    <row r="701" spans="1:16">
      <c r="A701" s="177" t="str">
        <f t="shared" si="29"/>
        <v/>
      </c>
      <c r="P701" s="72" t="str">
        <f>IF(B701="","",VLOOKUP(D701,setting!$C$2:$D$30,2,FALSE))</f>
        <v/>
      </c>
    </row>
    <row r="702" spans="1:16">
      <c r="A702" s="177" t="str">
        <f t="shared" si="29"/>
        <v/>
      </c>
      <c r="P702" s="72" t="str">
        <f>IF(B702="","",VLOOKUP(D702,setting!$C$2:$D$30,2,FALSE))</f>
        <v/>
      </c>
    </row>
    <row r="703" spans="1:16">
      <c r="A703" s="177" t="str">
        <f t="shared" si="29"/>
        <v/>
      </c>
      <c r="P703" s="72" t="str">
        <f>IF(B703="","",VLOOKUP(D703,setting!$C$2:$D$30,2,FALSE))</f>
        <v/>
      </c>
    </row>
    <row r="704" spans="1:16">
      <c r="A704" s="177" t="str">
        <f t="shared" si="29"/>
        <v/>
      </c>
      <c r="P704" s="72" t="str">
        <f>IF(B704="","",VLOOKUP(D704,setting!$C$2:$D$30,2,FALSE))</f>
        <v/>
      </c>
    </row>
    <row r="705" spans="1:16">
      <c r="A705" s="177" t="str">
        <f t="shared" si="29"/>
        <v/>
      </c>
      <c r="P705" s="72" t="str">
        <f>IF(B705="","",VLOOKUP(D705,setting!$C$2:$D$30,2,FALSE))</f>
        <v/>
      </c>
    </row>
    <row r="706" spans="1:16">
      <c r="A706" s="177" t="str">
        <f t="shared" ref="A706:A769" si="31">B706&amp;D706&amp;E706&amp;F706&amp;P706</f>
        <v/>
      </c>
      <c r="P706" s="72" t="str">
        <f>IF(B706="","",VLOOKUP(D706,setting!$C$2:$D$30,2,FALSE))</f>
        <v/>
      </c>
    </row>
    <row r="707" spans="1:16">
      <c r="A707" s="177" t="str">
        <f t="shared" si="31"/>
        <v/>
      </c>
      <c r="P707" s="72" t="str">
        <f>IF(B707="","",VLOOKUP(D707,setting!$C$2:$D$30,2,FALSE))</f>
        <v/>
      </c>
    </row>
    <row r="708" spans="1:16">
      <c r="A708" s="177" t="str">
        <f t="shared" si="31"/>
        <v/>
      </c>
      <c r="P708" s="72" t="str">
        <f>IF(B708="","",VLOOKUP(D708,setting!$C$2:$D$30,2,FALSE))</f>
        <v/>
      </c>
    </row>
    <row r="709" spans="1:16">
      <c r="A709" s="177" t="str">
        <f t="shared" si="31"/>
        <v/>
      </c>
      <c r="P709" s="72" t="str">
        <f>IF(B709="","",VLOOKUP(D709,setting!$C$2:$D$30,2,FALSE))</f>
        <v/>
      </c>
    </row>
    <row r="710" spans="1:16">
      <c r="A710" s="177" t="str">
        <f t="shared" si="31"/>
        <v/>
      </c>
      <c r="P710" s="72" t="str">
        <f>IF(B710="","",VLOOKUP(D710,setting!$C$2:$D$30,2,FALSE))</f>
        <v/>
      </c>
    </row>
    <row r="711" spans="1:16">
      <c r="A711" s="177" t="str">
        <f t="shared" si="31"/>
        <v/>
      </c>
      <c r="P711" s="72" t="str">
        <f>IF(B711="","",VLOOKUP(D711,setting!$C$2:$D$30,2,FALSE))</f>
        <v/>
      </c>
    </row>
    <row r="712" spans="1:16">
      <c r="A712" s="177" t="str">
        <f t="shared" si="31"/>
        <v/>
      </c>
      <c r="P712" s="72" t="str">
        <f>IF(B712="","",VLOOKUP(D712,setting!$C$2:$D$30,2,FALSE))</f>
        <v/>
      </c>
    </row>
    <row r="713" spans="1:16">
      <c r="A713" s="177" t="str">
        <f t="shared" si="31"/>
        <v/>
      </c>
      <c r="P713" s="72" t="str">
        <f>IF(B713="","",VLOOKUP(D713,setting!$C$2:$D$30,2,FALSE))</f>
        <v/>
      </c>
    </row>
    <row r="714" spans="1:16">
      <c r="A714" s="177" t="str">
        <f t="shared" si="31"/>
        <v/>
      </c>
      <c r="P714" s="72" t="str">
        <f>IF(B714="","",VLOOKUP(D714,setting!$C$2:$D$30,2,FALSE))</f>
        <v/>
      </c>
    </row>
    <row r="715" spans="1:16">
      <c r="A715" s="177" t="str">
        <f t="shared" si="31"/>
        <v/>
      </c>
      <c r="P715" s="72" t="str">
        <f>IF(B715="","",VLOOKUP(D715,setting!$C$2:$D$30,2,FALSE))</f>
        <v/>
      </c>
    </row>
    <row r="716" spans="1:16">
      <c r="A716" s="177" t="str">
        <f t="shared" si="31"/>
        <v/>
      </c>
      <c r="P716" s="72" t="str">
        <f>IF(B716="","",VLOOKUP(D716,setting!$C$2:$D$30,2,FALSE))</f>
        <v/>
      </c>
    </row>
    <row r="717" spans="1:16">
      <c r="A717" s="177" t="str">
        <f t="shared" si="31"/>
        <v/>
      </c>
      <c r="P717" s="72" t="str">
        <f>IF(B717="","",VLOOKUP(D717,setting!$C$2:$D$30,2,FALSE))</f>
        <v/>
      </c>
    </row>
    <row r="718" spans="1:16">
      <c r="A718" s="177" t="str">
        <f t="shared" si="31"/>
        <v/>
      </c>
      <c r="P718" s="72" t="str">
        <f>IF(B718="","",VLOOKUP(D718,setting!$C$2:$D$30,2,FALSE))</f>
        <v/>
      </c>
    </row>
    <row r="719" spans="1:16">
      <c r="A719" s="177" t="str">
        <f t="shared" si="31"/>
        <v/>
      </c>
      <c r="P719" s="72" t="str">
        <f>IF(B719="","",VLOOKUP(D719,setting!$C$2:$D$30,2,FALSE))</f>
        <v/>
      </c>
    </row>
    <row r="720" spans="1:16">
      <c r="A720" s="177" t="str">
        <f t="shared" si="31"/>
        <v/>
      </c>
      <c r="P720" s="72" t="str">
        <f>IF(B720="","",VLOOKUP(D720,setting!$C$2:$D$30,2,FALSE))</f>
        <v/>
      </c>
    </row>
    <row r="721" spans="1:16">
      <c r="A721" s="177" t="str">
        <f t="shared" si="31"/>
        <v/>
      </c>
      <c r="P721" s="72" t="str">
        <f>IF(B721="","",VLOOKUP(D721,setting!$C$2:$D$30,2,FALSE))</f>
        <v/>
      </c>
    </row>
    <row r="722" spans="1:16">
      <c r="A722" s="177" t="str">
        <f t="shared" si="31"/>
        <v/>
      </c>
      <c r="P722" s="72" t="str">
        <f>IF(B722="","",VLOOKUP(D722,setting!$C$2:$D$30,2,FALSE))</f>
        <v/>
      </c>
    </row>
    <row r="723" spans="1:16">
      <c r="A723" s="177" t="str">
        <f t="shared" si="31"/>
        <v/>
      </c>
      <c r="P723" s="72" t="str">
        <f>IF(B723="","",VLOOKUP(D723,setting!$C$2:$D$30,2,FALSE))</f>
        <v/>
      </c>
    </row>
    <row r="724" spans="1:16">
      <c r="A724" s="177" t="str">
        <f t="shared" si="31"/>
        <v/>
      </c>
      <c r="P724" s="72" t="str">
        <f>IF(B724="","",VLOOKUP(D724,setting!$C$2:$D$30,2,FALSE))</f>
        <v/>
      </c>
    </row>
    <row r="725" spans="1:16">
      <c r="A725" s="177" t="str">
        <f t="shared" si="31"/>
        <v/>
      </c>
      <c r="P725" s="72" t="str">
        <f>IF(B725="","",VLOOKUP(D725,setting!$C$2:$D$30,2,FALSE))</f>
        <v/>
      </c>
    </row>
    <row r="726" spans="1:16">
      <c r="A726" s="177" t="str">
        <f t="shared" si="31"/>
        <v/>
      </c>
      <c r="P726" s="72" t="str">
        <f>IF(B726="","",VLOOKUP(D726,setting!$C$2:$D$30,2,FALSE))</f>
        <v/>
      </c>
    </row>
    <row r="727" spans="1:16">
      <c r="A727" s="177" t="str">
        <f t="shared" si="31"/>
        <v/>
      </c>
      <c r="P727" s="72" t="str">
        <f>IF(B727="","",VLOOKUP(D727,setting!$C$2:$D$30,2,FALSE))</f>
        <v/>
      </c>
    </row>
    <row r="728" spans="1:16">
      <c r="A728" s="177" t="str">
        <f t="shared" si="31"/>
        <v/>
      </c>
      <c r="P728" s="72" t="str">
        <f>IF(B728="","",VLOOKUP(D728,setting!$C$2:$D$30,2,FALSE))</f>
        <v/>
      </c>
    </row>
    <row r="729" spans="1:16">
      <c r="A729" s="177" t="str">
        <f t="shared" si="31"/>
        <v/>
      </c>
      <c r="P729" s="72" t="str">
        <f>IF(B729="","",VLOOKUP(D729,setting!$C$2:$D$30,2,FALSE))</f>
        <v/>
      </c>
    </row>
    <row r="730" spans="1:16">
      <c r="A730" s="177" t="str">
        <f t="shared" si="31"/>
        <v/>
      </c>
      <c r="P730" s="72" t="str">
        <f>IF(B730="","",VLOOKUP(D730,setting!$C$2:$D$30,2,FALSE))</f>
        <v/>
      </c>
    </row>
    <row r="731" spans="1:16">
      <c r="A731" s="177" t="str">
        <f t="shared" si="31"/>
        <v/>
      </c>
      <c r="P731" s="72" t="str">
        <f>IF(B731="","",VLOOKUP(D731,setting!$C$2:$D$30,2,FALSE))</f>
        <v/>
      </c>
    </row>
    <row r="732" spans="1:16">
      <c r="A732" s="177" t="str">
        <f t="shared" si="31"/>
        <v/>
      </c>
      <c r="P732" s="72" t="str">
        <f>IF(B732="","",VLOOKUP(D732,setting!$C$2:$D$30,2,FALSE))</f>
        <v/>
      </c>
    </row>
    <row r="733" spans="1:16">
      <c r="A733" s="177" t="str">
        <f t="shared" si="31"/>
        <v/>
      </c>
      <c r="P733" s="72" t="str">
        <f>IF(B733="","",VLOOKUP(D733,setting!$C$2:$D$30,2,FALSE))</f>
        <v/>
      </c>
    </row>
    <row r="734" spans="1:16">
      <c r="A734" s="177" t="str">
        <f t="shared" si="31"/>
        <v/>
      </c>
      <c r="P734" s="72" t="str">
        <f>IF(B734="","",VLOOKUP(D734,setting!$C$2:$D$30,2,FALSE))</f>
        <v/>
      </c>
    </row>
    <row r="735" spans="1:16">
      <c r="A735" s="177" t="str">
        <f t="shared" si="31"/>
        <v/>
      </c>
      <c r="P735" s="72" t="str">
        <f>IF(B735="","",VLOOKUP(D735,setting!$C$2:$D$30,2,FALSE))</f>
        <v/>
      </c>
    </row>
    <row r="736" spans="1:16">
      <c r="A736" s="177" t="str">
        <f t="shared" si="31"/>
        <v/>
      </c>
      <c r="P736" s="72" t="str">
        <f>IF(B736="","",VLOOKUP(D736,setting!$C$2:$D$30,2,FALSE))</f>
        <v/>
      </c>
    </row>
    <row r="737" spans="1:16">
      <c r="A737" s="177" t="str">
        <f t="shared" si="31"/>
        <v/>
      </c>
      <c r="P737" s="72" t="str">
        <f>IF(B737="","",VLOOKUP(D737,setting!$C$2:$D$30,2,FALSE))</f>
        <v/>
      </c>
    </row>
    <row r="738" spans="1:16">
      <c r="A738" s="177" t="str">
        <f t="shared" si="31"/>
        <v/>
      </c>
      <c r="P738" s="72" t="str">
        <f>IF(B738="","",VLOOKUP(D738,setting!$C$2:$D$30,2,FALSE))</f>
        <v/>
      </c>
    </row>
    <row r="739" spans="1:16">
      <c r="A739" s="177" t="str">
        <f t="shared" si="31"/>
        <v/>
      </c>
      <c r="P739" s="72" t="str">
        <f>IF(B739="","",VLOOKUP(D739,setting!$C$2:$D$30,2,FALSE))</f>
        <v/>
      </c>
    </row>
    <row r="740" spans="1:16">
      <c r="A740" s="177" t="str">
        <f t="shared" si="31"/>
        <v/>
      </c>
      <c r="P740" s="72" t="str">
        <f>IF(B740="","",VLOOKUP(D740,setting!$C$2:$D$30,2,FALSE))</f>
        <v/>
      </c>
    </row>
    <row r="741" spans="1:16">
      <c r="A741" s="177" t="str">
        <f t="shared" si="31"/>
        <v/>
      </c>
    </row>
    <row r="742" spans="1:16">
      <c r="A742" s="177" t="str">
        <f t="shared" si="31"/>
        <v/>
      </c>
    </row>
    <row r="743" spans="1:16">
      <c r="A743" s="177" t="str">
        <f t="shared" si="31"/>
        <v/>
      </c>
    </row>
    <row r="744" spans="1:16">
      <c r="A744" s="177" t="str">
        <f t="shared" si="31"/>
        <v/>
      </c>
    </row>
    <row r="745" spans="1:16">
      <c r="A745" s="177" t="str">
        <f t="shared" si="31"/>
        <v/>
      </c>
    </row>
    <row r="746" spans="1:16">
      <c r="A746" s="177" t="str">
        <f t="shared" si="31"/>
        <v/>
      </c>
    </row>
    <row r="747" spans="1:16">
      <c r="A747" s="177" t="str">
        <f t="shared" si="31"/>
        <v/>
      </c>
    </row>
    <row r="748" spans="1:16">
      <c r="A748" s="177" t="str">
        <f t="shared" si="31"/>
        <v/>
      </c>
    </row>
    <row r="749" spans="1:16">
      <c r="A749" s="177" t="str">
        <f t="shared" si="31"/>
        <v/>
      </c>
    </row>
    <row r="750" spans="1:16">
      <c r="A750" s="177" t="str">
        <f t="shared" si="31"/>
        <v/>
      </c>
    </row>
    <row r="751" spans="1:16">
      <c r="A751" s="177" t="str">
        <f t="shared" si="31"/>
        <v/>
      </c>
    </row>
    <row r="752" spans="1:16">
      <c r="A752" s="177" t="str">
        <f t="shared" si="31"/>
        <v/>
      </c>
    </row>
    <row r="753" spans="1:1">
      <c r="A753" s="177" t="str">
        <f t="shared" si="31"/>
        <v/>
      </c>
    </row>
    <row r="754" spans="1:1">
      <c r="A754" s="177" t="str">
        <f t="shared" si="31"/>
        <v/>
      </c>
    </row>
    <row r="755" spans="1:1">
      <c r="A755" s="177" t="str">
        <f t="shared" si="31"/>
        <v/>
      </c>
    </row>
    <row r="756" spans="1:1">
      <c r="A756" s="177" t="str">
        <f t="shared" si="31"/>
        <v/>
      </c>
    </row>
    <row r="757" spans="1:1">
      <c r="A757" s="177" t="str">
        <f t="shared" si="31"/>
        <v/>
      </c>
    </row>
    <row r="758" spans="1:1">
      <c r="A758" s="177" t="str">
        <f t="shared" si="31"/>
        <v/>
      </c>
    </row>
    <row r="759" spans="1:1">
      <c r="A759" s="177" t="str">
        <f t="shared" si="31"/>
        <v/>
      </c>
    </row>
    <row r="760" spans="1:1">
      <c r="A760" s="177" t="str">
        <f t="shared" si="31"/>
        <v/>
      </c>
    </row>
    <row r="761" spans="1:1">
      <c r="A761" s="177" t="str">
        <f t="shared" si="31"/>
        <v/>
      </c>
    </row>
    <row r="762" spans="1:1">
      <c r="A762" s="177" t="str">
        <f t="shared" si="31"/>
        <v/>
      </c>
    </row>
    <row r="763" spans="1:1">
      <c r="A763" s="177" t="str">
        <f t="shared" si="31"/>
        <v/>
      </c>
    </row>
    <row r="764" spans="1:1">
      <c r="A764" s="177" t="str">
        <f t="shared" si="31"/>
        <v/>
      </c>
    </row>
    <row r="765" spans="1:1">
      <c r="A765" s="177" t="str">
        <f t="shared" si="31"/>
        <v/>
      </c>
    </row>
    <row r="766" spans="1:1">
      <c r="A766" s="177" t="str">
        <f t="shared" si="31"/>
        <v/>
      </c>
    </row>
    <row r="767" spans="1:1">
      <c r="A767" s="177" t="str">
        <f t="shared" si="31"/>
        <v/>
      </c>
    </row>
    <row r="768" spans="1:1">
      <c r="A768" s="177" t="str">
        <f t="shared" si="31"/>
        <v/>
      </c>
    </row>
    <row r="769" spans="1:1">
      <c r="A769" s="177" t="str">
        <f t="shared" si="31"/>
        <v/>
      </c>
    </row>
    <row r="770" spans="1:1">
      <c r="A770" s="177" t="str">
        <f t="shared" ref="A770:A833" si="32">B770&amp;D770&amp;E770&amp;F770&amp;P770</f>
        <v/>
      </c>
    </row>
    <row r="771" spans="1:1">
      <c r="A771" s="177" t="str">
        <f t="shared" si="32"/>
        <v/>
      </c>
    </row>
    <row r="772" spans="1:1">
      <c r="A772" s="177" t="str">
        <f t="shared" si="32"/>
        <v/>
      </c>
    </row>
    <row r="773" spans="1:1">
      <c r="A773" s="177" t="str">
        <f t="shared" si="32"/>
        <v/>
      </c>
    </row>
    <row r="774" spans="1:1">
      <c r="A774" s="177" t="str">
        <f t="shared" si="32"/>
        <v/>
      </c>
    </row>
    <row r="775" spans="1:1">
      <c r="A775" s="177" t="str">
        <f t="shared" si="32"/>
        <v/>
      </c>
    </row>
    <row r="776" spans="1:1">
      <c r="A776" s="177" t="str">
        <f t="shared" si="32"/>
        <v/>
      </c>
    </row>
    <row r="777" spans="1:1">
      <c r="A777" s="177" t="str">
        <f t="shared" si="32"/>
        <v/>
      </c>
    </row>
    <row r="778" spans="1:1">
      <c r="A778" s="177" t="str">
        <f t="shared" si="32"/>
        <v/>
      </c>
    </row>
    <row r="779" spans="1:1">
      <c r="A779" s="177" t="str">
        <f t="shared" si="32"/>
        <v/>
      </c>
    </row>
    <row r="780" spans="1:1">
      <c r="A780" s="177" t="str">
        <f t="shared" si="32"/>
        <v/>
      </c>
    </row>
    <row r="781" spans="1:1">
      <c r="A781" s="177" t="str">
        <f t="shared" si="32"/>
        <v/>
      </c>
    </row>
    <row r="782" spans="1:1">
      <c r="A782" s="177" t="str">
        <f t="shared" si="32"/>
        <v/>
      </c>
    </row>
    <row r="783" spans="1:1">
      <c r="A783" s="177" t="str">
        <f t="shared" si="32"/>
        <v/>
      </c>
    </row>
    <row r="784" spans="1:1">
      <c r="A784" s="177" t="str">
        <f t="shared" si="32"/>
        <v/>
      </c>
    </row>
    <row r="785" spans="1:1">
      <c r="A785" s="177" t="str">
        <f t="shared" si="32"/>
        <v/>
      </c>
    </row>
    <row r="786" spans="1:1">
      <c r="A786" s="177" t="str">
        <f t="shared" si="32"/>
        <v/>
      </c>
    </row>
    <row r="787" spans="1:1">
      <c r="A787" s="177" t="str">
        <f t="shared" si="32"/>
        <v/>
      </c>
    </row>
    <row r="788" spans="1:1">
      <c r="A788" s="177" t="str">
        <f t="shared" si="32"/>
        <v/>
      </c>
    </row>
    <row r="789" spans="1:1">
      <c r="A789" s="177" t="str">
        <f t="shared" si="32"/>
        <v/>
      </c>
    </row>
    <row r="790" spans="1:1">
      <c r="A790" s="177" t="str">
        <f t="shared" si="32"/>
        <v/>
      </c>
    </row>
    <row r="791" spans="1:1">
      <c r="A791" s="177" t="str">
        <f t="shared" si="32"/>
        <v/>
      </c>
    </row>
    <row r="792" spans="1:1">
      <c r="A792" s="177" t="str">
        <f t="shared" si="32"/>
        <v/>
      </c>
    </row>
    <row r="793" spans="1:1">
      <c r="A793" s="177" t="str">
        <f t="shared" si="32"/>
        <v/>
      </c>
    </row>
    <row r="794" spans="1:1">
      <c r="A794" s="177" t="str">
        <f t="shared" si="32"/>
        <v/>
      </c>
    </row>
    <row r="795" spans="1:1">
      <c r="A795" s="177" t="str">
        <f t="shared" si="32"/>
        <v/>
      </c>
    </row>
    <row r="796" spans="1:1">
      <c r="A796" s="177" t="str">
        <f t="shared" si="32"/>
        <v/>
      </c>
    </row>
    <row r="797" spans="1:1">
      <c r="A797" s="177" t="str">
        <f t="shared" si="32"/>
        <v/>
      </c>
    </row>
    <row r="798" spans="1:1">
      <c r="A798" s="177" t="str">
        <f t="shared" si="32"/>
        <v/>
      </c>
    </row>
    <row r="799" spans="1:1">
      <c r="A799" s="177" t="str">
        <f t="shared" si="32"/>
        <v/>
      </c>
    </row>
    <row r="800" spans="1:1">
      <c r="A800" s="177" t="str">
        <f t="shared" si="32"/>
        <v/>
      </c>
    </row>
    <row r="801" spans="1:1">
      <c r="A801" s="177" t="str">
        <f t="shared" si="32"/>
        <v/>
      </c>
    </row>
    <row r="802" spans="1:1">
      <c r="A802" s="177" t="str">
        <f t="shared" si="32"/>
        <v/>
      </c>
    </row>
    <row r="803" spans="1:1">
      <c r="A803" s="177" t="str">
        <f t="shared" si="32"/>
        <v/>
      </c>
    </row>
    <row r="804" spans="1:1">
      <c r="A804" s="177" t="str">
        <f t="shared" si="32"/>
        <v/>
      </c>
    </row>
    <row r="805" spans="1:1">
      <c r="A805" s="177" t="str">
        <f t="shared" si="32"/>
        <v/>
      </c>
    </row>
    <row r="806" spans="1:1">
      <c r="A806" s="177" t="str">
        <f t="shared" si="32"/>
        <v/>
      </c>
    </row>
    <row r="807" spans="1:1">
      <c r="A807" s="177" t="str">
        <f t="shared" si="32"/>
        <v/>
      </c>
    </row>
    <row r="808" spans="1:1">
      <c r="A808" s="177" t="str">
        <f t="shared" si="32"/>
        <v/>
      </c>
    </row>
    <row r="809" spans="1:1">
      <c r="A809" s="177" t="str">
        <f t="shared" si="32"/>
        <v/>
      </c>
    </row>
    <row r="810" spans="1:1">
      <c r="A810" s="177" t="str">
        <f t="shared" si="32"/>
        <v/>
      </c>
    </row>
    <row r="811" spans="1:1">
      <c r="A811" s="177" t="str">
        <f t="shared" si="32"/>
        <v/>
      </c>
    </row>
    <row r="812" spans="1:1">
      <c r="A812" s="177" t="str">
        <f t="shared" si="32"/>
        <v/>
      </c>
    </row>
    <row r="813" spans="1:1">
      <c r="A813" s="177" t="str">
        <f t="shared" si="32"/>
        <v/>
      </c>
    </row>
    <row r="814" spans="1:1">
      <c r="A814" s="177" t="str">
        <f t="shared" si="32"/>
        <v/>
      </c>
    </row>
    <row r="815" spans="1:1">
      <c r="A815" s="177" t="str">
        <f t="shared" si="32"/>
        <v/>
      </c>
    </row>
    <row r="816" spans="1:1">
      <c r="A816" s="177" t="str">
        <f t="shared" si="32"/>
        <v/>
      </c>
    </row>
    <row r="817" spans="1:1">
      <c r="A817" s="177" t="str">
        <f t="shared" si="32"/>
        <v/>
      </c>
    </row>
    <row r="818" spans="1:1">
      <c r="A818" s="177" t="str">
        <f t="shared" si="32"/>
        <v/>
      </c>
    </row>
    <row r="819" spans="1:1">
      <c r="A819" s="177" t="str">
        <f t="shared" si="32"/>
        <v/>
      </c>
    </row>
    <row r="820" spans="1:1">
      <c r="A820" s="177" t="str">
        <f t="shared" si="32"/>
        <v/>
      </c>
    </row>
    <row r="821" spans="1:1">
      <c r="A821" s="177" t="str">
        <f t="shared" si="32"/>
        <v/>
      </c>
    </row>
    <row r="822" spans="1:1">
      <c r="A822" s="177" t="str">
        <f t="shared" si="32"/>
        <v/>
      </c>
    </row>
    <row r="823" spans="1:1">
      <c r="A823" s="177" t="str">
        <f t="shared" si="32"/>
        <v/>
      </c>
    </row>
    <row r="824" spans="1:1">
      <c r="A824" s="177" t="str">
        <f t="shared" si="32"/>
        <v/>
      </c>
    </row>
    <row r="825" spans="1:1">
      <c r="A825" s="177" t="str">
        <f t="shared" si="32"/>
        <v/>
      </c>
    </row>
    <row r="826" spans="1:1">
      <c r="A826" s="177" t="str">
        <f t="shared" si="32"/>
        <v/>
      </c>
    </row>
    <row r="827" spans="1:1">
      <c r="A827" s="177" t="str">
        <f t="shared" si="32"/>
        <v/>
      </c>
    </row>
    <row r="828" spans="1:1">
      <c r="A828" s="177" t="str">
        <f t="shared" si="32"/>
        <v/>
      </c>
    </row>
    <row r="829" spans="1:1">
      <c r="A829" s="177" t="str">
        <f t="shared" si="32"/>
        <v/>
      </c>
    </row>
    <row r="830" spans="1:1">
      <c r="A830" s="177" t="str">
        <f t="shared" si="32"/>
        <v/>
      </c>
    </row>
    <row r="831" spans="1:1">
      <c r="A831" s="177" t="str">
        <f t="shared" si="32"/>
        <v/>
      </c>
    </row>
    <row r="832" spans="1:1">
      <c r="A832" s="177" t="str">
        <f t="shared" si="32"/>
        <v/>
      </c>
    </row>
    <row r="833" spans="1:1">
      <c r="A833" s="177" t="str">
        <f t="shared" si="32"/>
        <v/>
      </c>
    </row>
    <row r="834" spans="1:1">
      <c r="A834" s="177" t="str">
        <f t="shared" ref="A834:A897" si="33">B834&amp;D834&amp;E834&amp;F834&amp;P834</f>
        <v/>
      </c>
    </row>
    <row r="835" spans="1:1">
      <c r="A835" s="177" t="str">
        <f t="shared" si="33"/>
        <v/>
      </c>
    </row>
    <row r="836" spans="1:1">
      <c r="A836" s="177" t="str">
        <f t="shared" si="33"/>
        <v/>
      </c>
    </row>
    <row r="837" spans="1:1">
      <c r="A837" s="177" t="str">
        <f t="shared" si="33"/>
        <v/>
      </c>
    </row>
    <row r="838" spans="1:1">
      <c r="A838" s="177" t="str">
        <f t="shared" si="33"/>
        <v/>
      </c>
    </row>
    <row r="839" spans="1:1">
      <c r="A839" s="177" t="str">
        <f t="shared" si="33"/>
        <v/>
      </c>
    </row>
    <row r="840" spans="1:1">
      <c r="A840" s="177" t="str">
        <f t="shared" si="33"/>
        <v/>
      </c>
    </row>
    <row r="841" spans="1:1">
      <c r="A841" s="177" t="str">
        <f t="shared" si="33"/>
        <v/>
      </c>
    </row>
    <row r="842" spans="1:1">
      <c r="A842" s="177" t="str">
        <f t="shared" si="33"/>
        <v/>
      </c>
    </row>
    <row r="843" spans="1:1">
      <c r="A843" s="177" t="str">
        <f t="shared" si="33"/>
        <v/>
      </c>
    </row>
    <row r="844" spans="1:1">
      <c r="A844" s="177" t="str">
        <f t="shared" si="33"/>
        <v/>
      </c>
    </row>
    <row r="845" spans="1:1">
      <c r="A845" s="177" t="str">
        <f t="shared" si="33"/>
        <v/>
      </c>
    </row>
    <row r="846" spans="1:1">
      <c r="A846" s="177" t="str">
        <f t="shared" si="33"/>
        <v/>
      </c>
    </row>
    <row r="847" spans="1:1">
      <c r="A847" s="177" t="str">
        <f t="shared" si="33"/>
        <v/>
      </c>
    </row>
    <row r="848" spans="1:1">
      <c r="A848" s="177" t="str">
        <f t="shared" si="33"/>
        <v/>
      </c>
    </row>
    <row r="849" spans="1:1">
      <c r="A849" s="177" t="str">
        <f t="shared" si="33"/>
        <v/>
      </c>
    </row>
    <row r="850" spans="1:1">
      <c r="A850" s="177" t="str">
        <f t="shared" si="33"/>
        <v/>
      </c>
    </row>
    <row r="851" spans="1:1">
      <c r="A851" s="177" t="str">
        <f t="shared" si="33"/>
        <v/>
      </c>
    </row>
    <row r="852" spans="1:1">
      <c r="A852" s="177" t="str">
        <f t="shared" si="33"/>
        <v/>
      </c>
    </row>
    <row r="853" spans="1:1">
      <c r="A853" s="177" t="str">
        <f t="shared" si="33"/>
        <v/>
      </c>
    </row>
    <row r="854" spans="1:1">
      <c r="A854" s="177" t="str">
        <f t="shared" si="33"/>
        <v/>
      </c>
    </row>
    <row r="855" spans="1:1">
      <c r="A855" s="177" t="str">
        <f t="shared" si="33"/>
        <v/>
      </c>
    </row>
    <row r="856" spans="1:1">
      <c r="A856" s="177" t="str">
        <f t="shared" si="33"/>
        <v/>
      </c>
    </row>
    <row r="857" spans="1:1">
      <c r="A857" s="177" t="str">
        <f t="shared" si="33"/>
        <v/>
      </c>
    </row>
    <row r="858" spans="1:1">
      <c r="A858" s="177" t="str">
        <f t="shared" si="33"/>
        <v/>
      </c>
    </row>
    <row r="859" spans="1:1">
      <c r="A859" s="177" t="str">
        <f t="shared" si="33"/>
        <v/>
      </c>
    </row>
    <row r="860" spans="1:1">
      <c r="A860" s="177" t="str">
        <f t="shared" si="33"/>
        <v/>
      </c>
    </row>
    <row r="861" spans="1:1">
      <c r="A861" s="177" t="str">
        <f t="shared" si="33"/>
        <v/>
      </c>
    </row>
    <row r="862" spans="1:1">
      <c r="A862" s="177" t="str">
        <f t="shared" si="33"/>
        <v/>
      </c>
    </row>
    <row r="863" spans="1:1">
      <c r="A863" s="177" t="str">
        <f t="shared" si="33"/>
        <v/>
      </c>
    </row>
    <row r="864" spans="1:1">
      <c r="A864" s="177" t="str">
        <f t="shared" si="33"/>
        <v/>
      </c>
    </row>
    <row r="865" spans="1:1">
      <c r="A865" s="177" t="str">
        <f t="shared" si="33"/>
        <v/>
      </c>
    </row>
    <row r="866" spans="1:1">
      <c r="A866" s="177" t="str">
        <f t="shared" si="33"/>
        <v/>
      </c>
    </row>
    <row r="867" spans="1:1">
      <c r="A867" s="177" t="str">
        <f t="shared" si="33"/>
        <v/>
      </c>
    </row>
    <row r="868" spans="1:1">
      <c r="A868" s="177" t="str">
        <f t="shared" si="33"/>
        <v/>
      </c>
    </row>
    <row r="869" spans="1:1">
      <c r="A869" s="177" t="str">
        <f t="shared" si="33"/>
        <v/>
      </c>
    </row>
    <row r="870" spans="1:1">
      <c r="A870" s="177" t="str">
        <f t="shared" si="33"/>
        <v/>
      </c>
    </row>
    <row r="871" spans="1:1">
      <c r="A871" s="177" t="str">
        <f t="shared" si="33"/>
        <v/>
      </c>
    </row>
    <row r="872" spans="1:1">
      <c r="A872" s="177" t="str">
        <f t="shared" si="33"/>
        <v/>
      </c>
    </row>
    <row r="873" spans="1:1">
      <c r="A873" s="177" t="str">
        <f t="shared" si="33"/>
        <v/>
      </c>
    </row>
    <row r="874" spans="1:1">
      <c r="A874" s="177" t="str">
        <f t="shared" si="33"/>
        <v/>
      </c>
    </row>
    <row r="875" spans="1:1">
      <c r="A875" s="177" t="str">
        <f t="shared" si="33"/>
        <v/>
      </c>
    </row>
    <row r="876" spans="1:1">
      <c r="A876" s="177" t="str">
        <f t="shared" si="33"/>
        <v/>
      </c>
    </row>
    <row r="877" spans="1:1">
      <c r="A877" s="177" t="str">
        <f t="shared" si="33"/>
        <v/>
      </c>
    </row>
    <row r="878" spans="1:1">
      <c r="A878" s="177" t="str">
        <f t="shared" si="33"/>
        <v/>
      </c>
    </row>
    <row r="879" spans="1:1">
      <c r="A879" s="177" t="str">
        <f t="shared" si="33"/>
        <v/>
      </c>
    </row>
    <row r="880" spans="1:1">
      <c r="A880" s="177" t="str">
        <f t="shared" si="33"/>
        <v/>
      </c>
    </row>
    <row r="881" spans="1:1">
      <c r="A881" s="177" t="str">
        <f t="shared" si="33"/>
        <v/>
      </c>
    </row>
    <row r="882" spans="1:1">
      <c r="A882" s="177" t="str">
        <f t="shared" si="33"/>
        <v/>
      </c>
    </row>
    <row r="883" spans="1:1">
      <c r="A883" s="177" t="str">
        <f t="shared" si="33"/>
        <v/>
      </c>
    </row>
    <row r="884" spans="1:1">
      <c r="A884" s="177" t="str">
        <f t="shared" si="33"/>
        <v/>
      </c>
    </row>
    <row r="885" spans="1:1">
      <c r="A885" s="177" t="str">
        <f t="shared" si="33"/>
        <v/>
      </c>
    </row>
    <row r="886" spans="1:1">
      <c r="A886" s="177" t="str">
        <f t="shared" si="33"/>
        <v/>
      </c>
    </row>
    <row r="887" spans="1:1">
      <c r="A887" s="177" t="str">
        <f t="shared" si="33"/>
        <v/>
      </c>
    </row>
    <row r="888" spans="1:1">
      <c r="A888" s="177" t="str">
        <f t="shared" si="33"/>
        <v/>
      </c>
    </row>
    <row r="889" spans="1:1">
      <c r="A889" s="177" t="str">
        <f t="shared" si="33"/>
        <v/>
      </c>
    </row>
    <row r="890" spans="1:1">
      <c r="A890" s="177" t="str">
        <f t="shared" si="33"/>
        <v/>
      </c>
    </row>
    <row r="891" spans="1:1">
      <c r="A891" s="177" t="str">
        <f t="shared" si="33"/>
        <v/>
      </c>
    </row>
    <row r="892" spans="1:1">
      <c r="A892" s="177" t="str">
        <f t="shared" si="33"/>
        <v/>
      </c>
    </row>
    <row r="893" spans="1:1">
      <c r="A893" s="177" t="str">
        <f t="shared" si="33"/>
        <v/>
      </c>
    </row>
    <row r="894" spans="1:1">
      <c r="A894" s="177" t="str">
        <f t="shared" si="33"/>
        <v/>
      </c>
    </row>
    <row r="895" spans="1:1">
      <c r="A895" s="177" t="str">
        <f t="shared" si="33"/>
        <v/>
      </c>
    </row>
    <row r="896" spans="1:1">
      <c r="A896" s="177" t="str">
        <f t="shared" si="33"/>
        <v/>
      </c>
    </row>
    <row r="897" spans="1:1">
      <c r="A897" s="177" t="str">
        <f t="shared" si="33"/>
        <v/>
      </c>
    </row>
    <row r="898" spans="1:1">
      <c r="A898" s="177" t="str">
        <f t="shared" ref="A898:A961" si="34">B898&amp;D898&amp;E898&amp;F898&amp;P898</f>
        <v/>
      </c>
    </row>
    <row r="899" spans="1:1">
      <c r="A899" s="177" t="str">
        <f t="shared" si="34"/>
        <v/>
      </c>
    </row>
    <row r="900" spans="1:1">
      <c r="A900" s="177" t="str">
        <f t="shared" si="34"/>
        <v/>
      </c>
    </row>
    <row r="901" spans="1:1">
      <c r="A901" s="177" t="str">
        <f t="shared" si="34"/>
        <v/>
      </c>
    </row>
    <row r="902" spans="1:1">
      <c r="A902" s="177" t="str">
        <f t="shared" si="34"/>
        <v/>
      </c>
    </row>
    <row r="903" spans="1:1">
      <c r="A903" s="177" t="str">
        <f t="shared" si="34"/>
        <v/>
      </c>
    </row>
    <row r="904" spans="1:1">
      <c r="A904" s="177" t="str">
        <f t="shared" si="34"/>
        <v/>
      </c>
    </row>
    <row r="905" spans="1:1">
      <c r="A905" s="177" t="str">
        <f t="shared" si="34"/>
        <v/>
      </c>
    </row>
    <row r="906" spans="1:1">
      <c r="A906" s="177" t="str">
        <f t="shared" si="34"/>
        <v/>
      </c>
    </row>
    <row r="907" spans="1:1">
      <c r="A907" s="177" t="str">
        <f t="shared" si="34"/>
        <v/>
      </c>
    </row>
    <row r="908" spans="1:1">
      <c r="A908" s="177" t="str">
        <f t="shared" si="34"/>
        <v/>
      </c>
    </row>
    <row r="909" spans="1:1">
      <c r="A909" s="177" t="str">
        <f t="shared" si="34"/>
        <v/>
      </c>
    </row>
    <row r="910" spans="1:1">
      <c r="A910" s="177" t="str">
        <f t="shared" si="34"/>
        <v/>
      </c>
    </row>
    <row r="911" spans="1:1">
      <c r="A911" s="177" t="str">
        <f t="shared" si="34"/>
        <v/>
      </c>
    </row>
    <row r="912" spans="1:1">
      <c r="A912" s="177" t="str">
        <f t="shared" si="34"/>
        <v/>
      </c>
    </row>
    <row r="913" spans="1:1">
      <c r="A913" s="177" t="str">
        <f t="shared" si="34"/>
        <v/>
      </c>
    </row>
    <row r="914" spans="1:1">
      <c r="A914" s="177" t="str">
        <f t="shared" si="34"/>
        <v/>
      </c>
    </row>
    <row r="915" spans="1:1">
      <c r="A915" s="177" t="str">
        <f t="shared" si="34"/>
        <v/>
      </c>
    </row>
    <row r="916" spans="1:1">
      <c r="A916" s="177" t="str">
        <f t="shared" si="34"/>
        <v/>
      </c>
    </row>
    <row r="917" spans="1:1">
      <c r="A917" s="177" t="str">
        <f t="shared" si="34"/>
        <v/>
      </c>
    </row>
    <row r="918" spans="1:1">
      <c r="A918" s="177" t="str">
        <f t="shared" si="34"/>
        <v/>
      </c>
    </row>
    <row r="919" spans="1:1">
      <c r="A919" s="177" t="str">
        <f t="shared" si="34"/>
        <v/>
      </c>
    </row>
    <row r="920" spans="1:1">
      <c r="A920" s="177" t="str">
        <f t="shared" si="34"/>
        <v/>
      </c>
    </row>
    <row r="921" spans="1:1">
      <c r="A921" s="177" t="str">
        <f t="shared" si="34"/>
        <v/>
      </c>
    </row>
    <row r="922" spans="1:1">
      <c r="A922" s="177" t="str">
        <f t="shared" si="34"/>
        <v/>
      </c>
    </row>
    <row r="923" spans="1:1">
      <c r="A923" s="177" t="str">
        <f t="shared" si="34"/>
        <v/>
      </c>
    </row>
    <row r="924" spans="1:1">
      <c r="A924" s="177" t="str">
        <f t="shared" si="34"/>
        <v/>
      </c>
    </row>
    <row r="925" spans="1:1">
      <c r="A925" s="177" t="str">
        <f t="shared" si="34"/>
        <v/>
      </c>
    </row>
    <row r="926" spans="1:1">
      <c r="A926" s="177" t="str">
        <f t="shared" si="34"/>
        <v/>
      </c>
    </row>
    <row r="927" spans="1:1">
      <c r="A927" s="177" t="str">
        <f t="shared" si="34"/>
        <v/>
      </c>
    </row>
    <row r="928" spans="1:1">
      <c r="A928" s="177" t="str">
        <f t="shared" si="34"/>
        <v/>
      </c>
    </row>
    <row r="929" spans="1:1">
      <c r="A929" s="177" t="str">
        <f t="shared" si="34"/>
        <v/>
      </c>
    </row>
    <row r="930" spans="1:1">
      <c r="A930" s="177" t="str">
        <f t="shared" si="34"/>
        <v/>
      </c>
    </row>
    <row r="931" spans="1:1">
      <c r="A931" s="177" t="str">
        <f t="shared" si="34"/>
        <v/>
      </c>
    </row>
    <row r="932" spans="1:1">
      <c r="A932" s="177" t="str">
        <f t="shared" si="34"/>
        <v/>
      </c>
    </row>
    <row r="933" spans="1:1">
      <c r="A933" s="177" t="str">
        <f t="shared" si="34"/>
        <v/>
      </c>
    </row>
    <row r="934" spans="1:1">
      <c r="A934" s="177" t="str">
        <f t="shared" si="34"/>
        <v/>
      </c>
    </row>
    <row r="935" spans="1:1">
      <c r="A935" s="177" t="str">
        <f t="shared" si="34"/>
        <v/>
      </c>
    </row>
    <row r="936" spans="1:1">
      <c r="A936" s="177" t="str">
        <f t="shared" si="34"/>
        <v/>
      </c>
    </row>
    <row r="937" spans="1:1">
      <c r="A937" s="177" t="str">
        <f t="shared" si="34"/>
        <v/>
      </c>
    </row>
    <row r="938" spans="1:1">
      <c r="A938" s="177" t="str">
        <f t="shared" si="34"/>
        <v/>
      </c>
    </row>
    <row r="939" spans="1:1">
      <c r="A939" s="177" t="str">
        <f t="shared" si="34"/>
        <v/>
      </c>
    </row>
    <row r="940" spans="1:1">
      <c r="A940" s="177" t="str">
        <f t="shared" si="34"/>
        <v/>
      </c>
    </row>
    <row r="941" spans="1:1">
      <c r="A941" s="177" t="str">
        <f t="shared" si="34"/>
        <v/>
      </c>
    </row>
    <row r="942" spans="1:1">
      <c r="A942" s="177" t="str">
        <f t="shared" si="34"/>
        <v/>
      </c>
    </row>
    <row r="943" spans="1:1">
      <c r="A943" s="177" t="str">
        <f t="shared" si="34"/>
        <v/>
      </c>
    </row>
    <row r="944" spans="1:1">
      <c r="A944" s="177" t="str">
        <f t="shared" si="34"/>
        <v/>
      </c>
    </row>
    <row r="945" spans="1:1">
      <c r="A945" s="177" t="str">
        <f t="shared" si="34"/>
        <v/>
      </c>
    </row>
    <row r="946" spans="1:1">
      <c r="A946" s="177" t="str">
        <f t="shared" si="34"/>
        <v/>
      </c>
    </row>
    <row r="947" spans="1:1">
      <c r="A947" s="177" t="str">
        <f t="shared" si="34"/>
        <v/>
      </c>
    </row>
    <row r="948" spans="1:1">
      <c r="A948" s="177" t="str">
        <f t="shared" si="34"/>
        <v/>
      </c>
    </row>
    <row r="949" spans="1:1">
      <c r="A949" s="177" t="str">
        <f t="shared" si="34"/>
        <v/>
      </c>
    </row>
    <row r="950" spans="1:1">
      <c r="A950" s="177" t="str">
        <f t="shared" si="34"/>
        <v/>
      </c>
    </row>
    <row r="951" spans="1:1">
      <c r="A951" s="177" t="str">
        <f t="shared" si="34"/>
        <v/>
      </c>
    </row>
    <row r="952" spans="1:1">
      <c r="A952" s="177" t="str">
        <f t="shared" si="34"/>
        <v/>
      </c>
    </row>
    <row r="953" spans="1:1">
      <c r="A953" s="177" t="str">
        <f t="shared" si="34"/>
        <v/>
      </c>
    </row>
    <row r="954" spans="1:1">
      <c r="A954" s="177" t="str">
        <f t="shared" si="34"/>
        <v/>
      </c>
    </row>
    <row r="955" spans="1:1">
      <c r="A955" s="177" t="str">
        <f t="shared" si="34"/>
        <v/>
      </c>
    </row>
    <row r="956" spans="1:1">
      <c r="A956" s="177" t="str">
        <f t="shared" si="34"/>
        <v/>
      </c>
    </row>
    <row r="957" spans="1:1">
      <c r="A957" s="177" t="str">
        <f t="shared" si="34"/>
        <v/>
      </c>
    </row>
    <row r="958" spans="1:1">
      <c r="A958" s="177" t="str">
        <f t="shared" si="34"/>
        <v/>
      </c>
    </row>
    <row r="959" spans="1:1">
      <c r="A959" s="177" t="str">
        <f t="shared" si="34"/>
        <v/>
      </c>
    </row>
    <row r="960" spans="1:1">
      <c r="A960" s="177" t="str">
        <f t="shared" si="34"/>
        <v/>
      </c>
    </row>
    <row r="961" spans="1:1">
      <c r="A961" s="177" t="str">
        <f t="shared" si="34"/>
        <v/>
      </c>
    </row>
    <row r="962" spans="1:1">
      <c r="A962" s="177" t="str">
        <f t="shared" ref="A962:A1025" si="35">B962&amp;D962&amp;E962&amp;F962&amp;P962</f>
        <v/>
      </c>
    </row>
    <row r="963" spans="1:1">
      <c r="A963" s="177" t="str">
        <f t="shared" si="35"/>
        <v/>
      </c>
    </row>
    <row r="964" spans="1:1">
      <c r="A964" s="177" t="str">
        <f t="shared" si="35"/>
        <v/>
      </c>
    </row>
    <row r="965" spans="1:1">
      <c r="A965" s="177" t="str">
        <f t="shared" si="35"/>
        <v/>
      </c>
    </row>
    <row r="966" spans="1:1">
      <c r="A966" s="177" t="str">
        <f t="shared" si="35"/>
        <v/>
      </c>
    </row>
    <row r="967" spans="1:1">
      <c r="A967" s="177" t="str">
        <f t="shared" si="35"/>
        <v/>
      </c>
    </row>
    <row r="968" spans="1:1">
      <c r="A968" s="177" t="str">
        <f t="shared" si="35"/>
        <v/>
      </c>
    </row>
    <row r="969" spans="1:1">
      <c r="A969" s="177" t="str">
        <f t="shared" si="35"/>
        <v/>
      </c>
    </row>
    <row r="970" spans="1:1">
      <c r="A970" s="177" t="str">
        <f t="shared" si="35"/>
        <v/>
      </c>
    </row>
    <row r="971" spans="1:1">
      <c r="A971" s="177" t="str">
        <f t="shared" si="35"/>
        <v/>
      </c>
    </row>
    <row r="972" spans="1:1">
      <c r="A972" s="177" t="str">
        <f t="shared" si="35"/>
        <v/>
      </c>
    </row>
    <row r="973" spans="1:1">
      <c r="A973" s="177" t="str">
        <f t="shared" si="35"/>
        <v/>
      </c>
    </row>
    <row r="974" spans="1:1">
      <c r="A974" s="177" t="str">
        <f t="shared" si="35"/>
        <v/>
      </c>
    </row>
    <row r="975" spans="1:1">
      <c r="A975" s="177" t="str">
        <f t="shared" si="35"/>
        <v/>
      </c>
    </row>
    <row r="976" spans="1:1">
      <c r="A976" s="177" t="str">
        <f t="shared" si="35"/>
        <v/>
      </c>
    </row>
    <row r="977" spans="1:1">
      <c r="A977" s="177" t="str">
        <f t="shared" si="35"/>
        <v/>
      </c>
    </row>
    <row r="978" spans="1:1">
      <c r="A978" s="177" t="str">
        <f t="shared" si="35"/>
        <v/>
      </c>
    </row>
    <row r="979" spans="1:1">
      <c r="A979" s="177" t="str">
        <f t="shared" si="35"/>
        <v/>
      </c>
    </row>
    <row r="980" spans="1:1">
      <c r="A980" s="177" t="str">
        <f t="shared" si="35"/>
        <v/>
      </c>
    </row>
    <row r="981" spans="1:1">
      <c r="A981" s="177" t="str">
        <f t="shared" si="35"/>
        <v/>
      </c>
    </row>
    <row r="982" spans="1:1">
      <c r="A982" s="177" t="str">
        <f t="shared" si="35"/>
        <v/>
      </c>
    </row>
    <row r="983" spans="1:1">
      <c r="A983" s="177" t="str">
        <f t="shared" si="35"/>
        <v/>
      </c>
    </row>
    <row r="984" spans="1:1">
      <c r="A984" s="177" t="str">
        <f t="shared" si="35"/>
        <v/>
      </c>
    </row>
    <row r="985" spans="1:1">
      <c r="A985" s="177" t="str">
        <f t="shared" si="35"/>
        <v/>
      </c>
    </row>
    <row r="986" spans="1:1">
      <c r="A986" s="177" t="str">
        <f t="shared" si="35"/>
        <v/>
      </c>
    </row>
    <row r="987" spans="1:1">
      <c r="A987" s="177" t="str">
        <f t="shared" si="35"/>
        <v/>
      </c>
    </row>
    <row r="988" spans="1:1">
      <c r="A988" s="177" t="str">
        <f t="shared" si="35"/>
        <v/>
      </c>
    </row>
    <row r="989" spans="1:1">
      <c r="A989" s="177" t="str">
        <f t="shared" si="35"/>
        <v/>
      </c>
    </row>
    <row r="990" spans="1:1">
      <c r="A990" s="177" t="str">
        <f t="shared" si="35"/>
        <v/>
      </c>
    </row>
    <row r="991" spans="1:1">
      <c r="A991" s="177" t="str">
        <f t="shared" si="35"/>
        <v/>
      </c>
    </row>
    <row r="992" spans="1:1">
      <c r="A992" s="177" t="str">
        <f t="shared" si="35"/>
        <v/>
      </c>
    </row>
    <row r="993" spans="1:1">
      <c r="A993" s="177" t="str">
        <f t="shared" si="35"/>
        <v/>
      </c>
    </row>
    <row r="994" spans="1:1">
      <c r="A994" s="177" t="str">
        <f t="shared" si="35"/>
        <v/>
      </c>
    </row>
    <row r="995" spans="1:1">
      <c r="A995" s="177" t="str">
        <f t="shared" si="35"/>
        <v/>
      </c>
    </row>
    <row r="996" spans="1:1">
      <c r="A996" s="177" t="str">
        <f t="shared" si="35"/>
        <v/>
      </c>
    </row>
    <row r="997" spans="1:1">
      <c r="A997" s="177" t="str">
        <f t="shared" si="35"/>
        <v/>
      </c>
    </row>
    <row r="998" spans="1:1">
      <c r="A998" s="177" t="str">
        <f t="shared" si="35"/>
        <v/>
      </c>
    </row>
    <row r="999" spans="1:1">
      <c r="A999" s="177" t="str">
        <f t="shared" si="35"/>
        <v/>
      </c>
    </row>
    <row r="1000" spans="1:1">
      <c r="A1000" s="177" t="str">
        <f t="shared" si="35"/>
        <v/>
      </c>
    </row>
    <row r="1001" spans="1:1">
      <c r="A1001" s="177" t="str">
        <f t="shared" si="35"/>
        <v/>
      </c>
    </row>
    <row r="1002" spans="1:1">
      <c r="A1002" s="177" t="str">
        <f t="shared" si="35"/>
        <v/>
      </c>
    </row>
    <row r="1003" spans="1:1">
      <c r="A1003" s="177" t="str">
        <f t="shared" si="35"/>
        <v/>
      </c>
    </row>
    <row r="1004" spans="1:1">
      <c r="A1004" s="177" t="str">
        <f t="shared" si="35"/>
        <v/>
      </c>
    </row>
    <row r="1005" spans="1:1">
      <c r="A1005" s="177" t="str">
        <f t="shared" si="35"/>
        <v/>
      </c>
    </row>
    <row r="1006" spans="1:1">
      <c r="A1006" s="177" t="str">
        <f t="shared" si="35"/>
        <v/>
      </c>
    </row>
    <row r="1007" spans="1:1">
      <c r="A1007" s="177" t="str">
        <f t="shared" si="35"/>
        <v/>
      </c>
    </row>
    <row r="1008" spans="1:1">
      <c r="A1008" s="177" t="str">
        <f t="shared" si="35"/>
        <v/>
      </c>
    </row>
    <row r="1009" spans="1:1">
      <c r="A1009" s="177" t="str">
        <f t="shared" si="35"/>
        <v/>
      </c>
    </row>
    <row r="1010" spans="1:1">
      <c r="A1010" s="177" t="str">
        <f t="shared" si="35"/>
        <v/>
      </c>
    </row>
    <row r="1011" spans="1:1">
      <c r="A1011" s="177" t="str">
        <f t="shared" si="35"/>
        <v/>
      </c>
    </row>
    <row r="1012" spans="1:1">
      <c r="A1012" s="177" t="str">
        <f t="shared" si="35"/>
        <v/>
      </c>
    </row>
    <row r="1013" spans="1:1">
      <c r="A1013" s="177" t="str">
        <f t="shared" si="35"/>
        <v/>
      </c>
    </row>
    <row r="1014" spans="1:1">
      <c r="A1014" s="177" t="str">
        <f t="shared" si="35"/>
        <v/>
      </c>
    </row>
    <row r="1015" spans="1:1">
      <c r="A1015" s="177" t="str">
        <f t="shared" si="35"/>
        <v/>
      </c>
    </row>
    <row r="1016" spans="1:1">
      <c r="A1016" s="177" t="str">
        <f t="shared" si="35"/>
        <v/>
      </c>
    </row>
    <row r="1017" spans="1:1">
      <c r="A1017" s="177" t="str">
        <f t="shared" si="35"/>
        <v/>
      </c>
    </row>
    <row r="1018" spans="1:1">
      <c r="A1018" s="177" t="str">
        <f t="shared" si="35"/>
        <v/>
      </c>
    </row>
    <row r="1019" spans="1:1">
      <c r="A1019" s="177" t="str">
        <f t="shared" si="35"/>
        <v/>
      </c>
    </row>
    <row r="1020" spans="1:1">
      <c r="A1020" s="177" t="str">
        <f t="shared" si="35"/>
        <v/>
      </c>
    </row>
    <row r="1021" spans="1:1">
      <c r="A1021" s="177" t="str">
        <f t="shared" si="35"/>
        <v/>
      </c>
    </row>
    <row r="1022" spans="1:1">
      <c r="A1022" s="177" t="str">
        <f t="shared" si="35"/>
        <v/>
      </c>
    </row>
    <row r="1023" spans="1:1">
      <c r="A1023" s="177" t="str">
        <f t="shared" si="35"/>
        <v/>
      </c>
    </row>
    <row r="1024" spans="1:1">
      <c r="A1024" s="177" t="str">
        <f t="shared" si="35"/>
        <v/>
      </c>
    </row>
    <row r="1025" spans="1:1">
      <c r="A1025" s="177" t="str">
        <f t="shared" si="35"/>
        <v/>
      </c>
    </row>
    <row r="1026" spans="1:1">
      <c r="A1026" s="177" t="str">
        <f t="shared" ref="A1026:A1089" si="36">B1026&amp;D1026&amp;E1026&amp;F1026&amp;P1026</f>
        <v/>
      </c>
    </row>
    <row r="1027" spans="1:1">
      <c r="A1027" s="177" t="str">
        <f t="shared" si="36"/>
        <v/>
      </c>
    </row>
    <row r="1028" spans="1:1">
      <c r="A1028" s="177" t="str">
        <f t="shared" si="36"/>
        <v/>
      </c>
    </row>
    <row r="1029" spans="1:1">
      <c r="A1029" s="177" t="str">
        <f t="shared" si="36"/>
        <v/>
      </c>
    </row>
    <row r="1030" spans="1:1">
      <c r="A1030" s="177" t="str">
        <f t="shared" si="36"/>
        <v/>
      </c>
    </row>
    <row r="1031" spans="1:1">
      <c r="A1031" s="177" t="str">
        <f t="shared" si="36"/>
        <v/>
      </c>
    </row>
    <row r="1032" spans="1:1">
      <c r="A1032" s="177" t="str">
        <f t="shared" si="36"/>
        <v/>
      </c>
    </row>
    <row r="1033" spans="1:1">
      <c r="A1033" s="177" t="str">
        <f t="shared" si="36"/>
        <v/>
      </c>
    </row>
    <row r="1034" spans="1:1">
      <c r="A1034" s="177" t="str">
        <f t="shared" si="36"/>
        <v/>
      </c>
    </row>
    <row r="1035" spans="1:1">
      <c r="A1035" s="177" t="str">
        <f t="shared" si="36"/>
        <v/>
      </c>
    </row>
    <row r="1036" spans="1:1">
      <c r="A1036" s="177" t="str">
        <f t="shared" si="36"/>
        <v/>
      </c>
    </row>
    <row r="1037" spans="1:1">
      <c r="A1037" s="177" t="str">
        <f t="shared" si="36"/>
        <v/>
      </c>
    </row>
    <row r="1038" spans="1:1">
      <c r="A1038" s="177" t="str">
        <f t="shared" si="36"/>
        <v/>
      </c>
    </row>
    <row r="1039" spans="1:1">
      <c r="A1039" s="177" t="str">
        <f t="shared" si="36"/>
        <v/>
      </c>
    </row>
    <row r="1040" spans="1:1">
      <c r="A1040" s="177" t="str">
        <f t="shared" si="36"/>
        <v/>
      </c>
    </row>
    <row r="1041" spans="1:1">
      <c r="A1041" s="177" t="str">
        <f t="shared" si="36"/>
        <v/>
      </c>
    </row>
    <row r="1042" spans="1:1">
      <c r="A1042" s="177" t="str">
        <f t="shared" si="36"/>
        <v/>
      </c>
    </row>
    <row r="1043" spans="1:1">
      <c r="A1043" s="177" t="str">
        <f t="shared" si="36"/>
        <v/>
      </c>
    </row>
    <row r="1044" spans="1:1">
      <c r="A1044" s="177" t="str">
        <f t="shared" si="36"/>
        <v/>
      </c>
    </row>
    <row r="1045" spans="1:1">
      <c r="A1045" s="177" t="str">
        <f t="shared" si="36"/>
        <v/>
      </c>
    </row>
    <row r="1046" spans="1:1">
      <c r="A1046" s="177" t="str">
        <f t="shared" si="36"/>
        <v/>
      </c>
    </row>
    <row r="1047" spans="1:1">
      <c r="A1047" s="177" t="str">
        <f t="shared" si="36"/>
        <v/>
      </c>
    </row>
    <row r="1048" spans="1:1">
      <c r="A1048" s="177" t="str">
        <f t="shared" si="36"/>
        <v/>
      </c>
    </row>
    <row r="1049" spans="1:1">
      <c r="A1049" s="177" t="str">
        <f t="shared" si="36"/>
        <v/>
      </c>
    </row>
    <row r="1050" spans="1:1">
      <c r="A1050" s="177" t="str">
        <f t="shared" si="36"/>
        <v/>
      </c>
    </row>
    <row r="1051" spans="1:1">
      <c r="A1051" s="177" t="str">
        <f t="shared" si="36"/>
        <v/>
      </c>
    </row>
    <row r="1052" spans="1:1">
      <c r="A1052" s="177" t="str">
        <f t="shared" si="36"/>
        <v/>
      </c>
    </row>
    <row r="1053" spans="1:1">
      <c r="A1053" s="177" t="str">
        <f t="shared" si="36"/>
        <v/>
      </c>
    </row>
    <row r="1054" spans="1:1">
      <c r="A1054" s="177" t="str">
        <f t="shared" si="36"/>
        <v/>
      </c>
    </row>
    <row r="1055" spans="1:1">
      <c r="A1055" s="177" t="str">
        <f t="shared" si="36"/>
        <v/>
      </c>
    </row>
    <row r="1056" spans="1:1">
      <c r="A1056" s="177" t="str">
        <f t="shared" si="36"/>
        <v/>
      </c>
    </row>
    <row r="1057" spans="1:1">
      <c r="A1057" s="177" t="str">
        <f t="shared" si="36"/>
        <v/>
      </c>
    </row>
    <row r="1058" spans="1:1">
      <c r="A1058" s="177" t="str">
        <f t="shared" si="36"/>
        <v/>
      </c>
    </row>
    <row r="1059" spans="1:1">
      <c r="A1059" s="177" t="str">
        <f t="shared" si="36"/>
        <v/>
      </c>
    </row>
    <row r="1060" spans="1:1">
      <c r="A1060" s="177" t="str">
        <f t="shared" si="36"/>
        <v/>
      </c>
    </row>
    <row r="1061" spans="1:1">
      <c r="A1061" s="177" t="str">
        <f t="shared" si="36"/>
        <v/>
      </c>
    </row>
    <row r="1062" spans="1:1">
      <c r="A1062" s="177" t="str">
        <f t="shared" si="36"/>
        <v/>
      </c>
    </row>
    <row r="1063" spans="1:1">
      <c r="A1063" s="177" t="str">
        <f t="shared" si="36"/>
        <v/>
      </c>
    </row>
    <row r="1064" spans="1:1">
      <c r="A1064" s="177" t="str">
        <f t="shared" si="36"/>
        <v/>
      </c>
    </row>
    <row r="1065" spans="1:1">
      <c r="A1065" s="177" t="str">
        <f t="shared" si="36"/>
        <v/>
      </c>
    </row>
    <row r="1066" spans="1:1">
      <c r="A1066" s="177" t="str">
        <f t="shared" si="36"/>
        <v/>
      </c>
    </row>
    <row r="1067" spans="1:1">
      <c r="A1067" s="177" t="str">
        <f t="shared" si="36"/>
        <v/>
      </c>
    </row>
    <row r="1068" spans="1:1">
      <c r="A1068" s="177" t="str">
        <f t="shared" si="36"/>
        <v/>
      </c>
    </row>
    <row r="1069" spans="1:1">
      <c r="A1069" s="177" t="str">
        <f t="shared" si="36"/>
        <v/>
      </c>
    </row>
    <row r="1070" spans="1:1">
      <c r="A1070" s="177" t="str">
        <f t="shared" si="36"/>
        <v/>
      </c>
    </row>
    <row r="1071" spans="1:1">
      <c r="A1071" s="177" t="str">
        <f t="shared" si="36"/>
        <v/>
      </c>
    </row>
    <row r="1072" spans="1:1">
      <c r="A1072" s="177" t="str">
        <f t="shared" si="36"/>
        <v/>
      </c>
    </row>
    <row r="1073" spans="1:1">
      <c r="A1073" s="177" t="str">
        <f t="shared" si="36"/>
        <v/>
      </c>
    </row>
    <row r="1074" spans="1:1">
      <c r="A1074" s="177" t="str">
        <f t="shared" si="36"/>
        <v/>
      </c>
    </row>
    <row r="1075" spans="1:1">
      <c r="A1075" s="177" t="str">
        <f t="shared" si="36"/>
        <v/>
      </c>
    </row>
    <row r="1076" spans="1:1">
      <c r="A1076" s="177" t="str">
        <f t="shared" si="36"/>
        <v/>
      </c>
    </row>
    <row r="1077" spans="1:1">
      <c r="A1077" s="177" t="str">
        <f t="shared" si="36"/>
        <v/>
      </c>
    </row>
    <row r="1078" spans="1:1">
      <c r="A1078" s="177" t="str">
        <f t="shared" si="36"/>
        <v/>
      </c>
    </row>
    <row r="1079" spans="1:1">
      <c r="A1079" s="177" t="str">
        <f t="shared" si="36"/>
        <v/>
      </c>
    </row>
    <row r="1080" spans="1:1">
      <c r="A1080" s="177" t="str">
        <f t="shared" si="36"/>
        <v/>
      </c>
    </row>
    <row r="1081" spans="1:1">
      <c r="A1081" s="177" t="str">
        <f t="shared" si="36"/>
        <v/>
      </c>
    </row>
    <row r="1082" spans="1:1">
      <c r="A1082" s="177" t="str">
        <f t="shared" si="36"/>
        <v/>
      </c>
    </row>
    <row r="1083" spans="1:1">
      <c r="A1083" s="177" t="str">
        <f t="shared" si="36"/>
        <v/>
      </c>
    </row>
    <row r="1084" spans="1:1">
      <c r="A1084" s="177" t="str">
        <f t="shared" si="36"/>
        <v/>
      </c>
    </row>
    <row r="1085" spans="1:1">
      <c r="A1085" s="177" t="str">
        <f t="shared" si="36"/>
        <v/>
      </c>
    </row>
    <row r="1086" spans="1:1">
      <c r="A1086" s="177" t="str">
        <f t="shared" si="36"/>
        <v/>
      </c>
    </row>
    <row r="1087" spans="1:1">
      <c r="A1087" s="177" t="str">
        <f t="shared" si="36"/>
        <v/>
      </c>
    </row>
    <row r="1088" spans="1:1">
      <c r="A1088" s="177" t="str">
        <f t="shared" si="36"/>
        <v/>
      </c>
    </row>
    <row r="1089" spans="1:1">
      <c r="A1089" s="177" t="str">
        <f t="shared" si="36"/>
        <v/>
      </c>
    </row>
    <row r="1090" spans="1:1">
      <c r="A1090" s="177" t="str">
        <f t="shared" ref="A1090:A1153" si="37">B1090&amp;D1090&amp;E1090&amp;F1090&amp;P1090</f>
        <v/>
      </c>
    </row>
    <row r="1091" spans="1:1">
      <c r="A1091" s="177" t="str">
        <f t="shared" si="37"/>
        <v/>
      </c>
    </row>
    <row r="1092" spans="1:1">
      <c r="A1092" s="177" t="str">
        <f t="shared" si="37"/>
        <v/>
      </c>
    </row>
    <row r="1093" spans="1:1">
      <c r="A1093" s="177" t="str">
        <f t="shared" si="37"/>
        <v/>
      </c>
    </row>
    <row r="1094" spans="1:1">
      <c r="A1094" s="177" t="str">
        <f t="shared" si="37"/>
        <v/>
      </c>
    </row>
    <row r="1095" spans="1:1">
      <c r="A1095" s="177" t="str">
        <f t="shared" si="37"/>
        <v/>
      </c>
    </row>
    <row r="1096" spans="1:1">
      <c r="A1096" s="177" t="str">
        <f t="shared" si="37"/>
        <v/>
      </c>
    </row>
    <row r="1097" spans="1:1">
      <c r="A1097" s="177" t="str">
        <f t="shared" si="37"/>
        <v/>
      </c>
    </row>
    <row r="1098" spans="1:1">
      <c r="A1098" s="177" t="str">
        <f t="shared" si="37"/>
        <v/>
      </c>
    </row>
    <row r="1099" spans="1:1">
      <c r="A1099" s="177" t="str">
        <f t="shared" si="37"/>
        <v/>
      </c>
    </row>
    <row r="1100" spans="1:1">
      <c r="A1100" s="177" t="str">
        <f t="shared" si="37"/>
        <v/>
      </c>
    </row>
    <row r="1101" spans="1:1">
      <c r="A1101" s="177" t="str">
        <f t="shared" si="37"/>
        <v/>
      </c>
    </row>
    <row r="1102" spans="1:1">
      <c r="A1102" s="177" t="str">
        <f t="shared" si="37"/>
        <v/>
      </c>
    </row>
    <row r="1103" spans="1:1">
      <c r="A1103" s="177" t="str">
        <f t="shared" si="37"/>
        <v/>
      </c>
    </row>
    <row r="1104" spans="1:1">
      <c r="A1104" s="177" t="str">
        <f t="shared" si="37"/>
        <v/>
      </c>
    </row>
    <row r="1105" spans="1:1">
      <c r="A1105" s="177" t="str">
        <f t="shared" si="37"/>
        <v/>
      </c>
    </row>
    <row r="1106" spans="1:1">
      <c r="A1106" s="177" t="str">
        <f t="shared" si="37"/>
        <v/>
      </c>
    </row>
    <row r="1107" spans="1:1">
      <c r="A1107" s="177" t="str">
        <f t="shared" si="37"/>
        <v/>
      </c>
    </row>
    <row r="1108" spans="1:1">
      <c r="A1108" s="177" t="str">
        <f t="shared" si="37"/>
        <v/>
      </c>
    </row>
    <row r="1109" spans="1:1">
      <c r="A1109" s="177" t="str">
        <f t="shared" si="37"/>
        <v/>
      </c>
    </row>
    <row r="1110" spans="1:1">
      <c r="A1110" s="177" t="str">
        <f t="shared" si="37"/>
        <v/>
      </c>
    </row>
    <row r="1111" spans="1:1">
      <c r="A1111" s="177" t="str">
        <f t="shared" si="37"/>
        <v/>
      </c>
    </row>
    <row r="1112" spans="1:1">
      <c r="A1112" s="177" t="str">
        <f t="shared" si="37"/>
        <v/>
      </c>
    </row>
    <row r="1113" spans="1:1">
      <c r="A1113" s="177" t="str">
        <f t="shared" si="37"/>
        <v/>
      </c>
    </row>
    <row r="1114" spans="1:1">
      <c r="A1114" s="177" t="str">
        <f t="shared" si="37"/>
        <v/>
      </c>
    </row>
    <row r="1115" spans="1:1">
      <c r="A1115" s="177" t="str">
        <f t="shared" si="37"/>
        <v/>
      </c>
    </row>
    <row r="1116" spans="1:1">
      <c r="A1116" s="177" t="str">
        <f t="shared" si="37"/>
        <v/>
      </c>
    </row>
    <row r="1117" spans="1:1">
      <c r="A1117" s="177" t="str">
        <f t="shared" si="37"/>
        <v/>
      </c>
    </row>
    <row r="1118" spans="1:1">
      <c r="A1118" s="177" t="str">
        <f t="shared" si="37"/>
        <v/>
      </c>
    </row>
    <row r="1119" spans="1:1">
      <c r="A1119" s="177" t="str">
        <f t="shared" si="37"/>
        <v/>
      </c>
    </row>
    <row r="1120" spans="1:1">
      <c r="A1120" s="177" t="str">
        <f t="shared" si="37"/>
        <v/>
      </c>
    </row>
    <row r="1121" spans="1:1">
      <c r="A1121" s="177" t="str">
        <f t="shared" si="37"/>
        <v/>
      </c>
    </row>
    <row r="1122" spans="1:1">
      <c r="A1122" s="177" t="str">
        <f t="shared" si="37"/>
        <v/>
      </c>
    </row>
    <row r="1123" spans="1:1">
      <c r="A1123" s="177" t="str">
        <f t="shared" si="37"/>
        <v/>
      </c>
    </row>
    <row r="1124" spans="1:1">
      <c r="A1124" s="177" t="str">
        <f t="shared" si="37"/>
        <v/>
      </c>
    </row>
    <row r="1125" spans="1:1">
      <c r="A1125" s="177" t="str">
        <f t="shared" si="37"/>
        <v/>
      </c>
    </row>
    <row r="1126" spans="1:1">
      <c r="A1126" s="177" t="str">
        <f t="shared" si="37"/>
        <v/>
      </c>
    </row>
    <row r="1127" spans="1:1">
      <c r="A1127" s="177" t="str">
        <f t="shared" si="37"/>
        <v/>
      </c>
    </row>
    <row r="1128" spans="1:1">
      <c r="A1128" s="177" t="str">
        <f t="shared" si="37"/>
        <v/>
      </c>
    </row>
    <row r="1129" spans="1:1">
      <c r="A1129" s="177" t="str">
        <f t="shared" si="37"/>
        <v/>
      </c>
    </row>
    <row r="1130" spans="1:1">
      <c r="A1130" s="177" t="str">
        <f t="shared" si="37"/>
        <v/>
      </c>
    </row>
    <row r="1131" spans="1:1">
      <c r="A1131" s="177" t="str">
        <f t="shared" si="37"/>
        <v/>
      </c>
    </row>
    <row r="1132" spans="1:1">
      <c r="A1132" s="177" t="str">
        <f t="shared" si="37"/>
        <v/>
      </c>
    </row>
    <row r="1133" spans="1:1">
      <c r="A1133" s="177" t="str">
        <f t="shared" si="37"/>
        <v/>
      </c>
    </row>
    <row r="1134" spans="1:1">
      <c r="A1134" s="177" t="str">
        <f t="shared" si="37"/>
        <v/>
      </c>
    </row>
    <row r="1135" spans="1:1">
      <c r="A1135" s="177" t="str">
        <f t="shared" si="37"/>
        <v/>
      </c>
    </row>
    <row r="1136" spans="1:1">
      <c r="A1136" s="177" t="str">
        <f t="shared" si="37"/>
        <v/>
      </c>
    </row>
    <row r="1137" spans="1:1">
      <c r="A1137" s="177" t="str">
        <f t="shared" si="37"/>
        <v/>
      </c>
    </row>
    <row r="1138" spans="1:1">
      <c r="A1138" s="177" t="str">
        <f t="shared" si="37"/>
        <v/>
      </c>
    </row>
    <row r="1139" spans="1:1">
      <c r="A1139" s="177" t="str">
        <f t="shared" si="37"/>
        <v/>
      </c>
    </row>
    <row r="1140" spans="1:1">
      <c r="A1140" s="177" t="str">
        <f t="shared" si="37"/>
        <v/>
      </c>
    </row>
    <row r="1141" spans="1:1">
      <c r="A1141" s="177" t="str">
        <f t="shared" si="37"/>
        <v/>
      </c>
    </row>
    <row r="1142" spans="1:1">
      <c r="A1142" s="177" t="str">
        <f t="shared" si="37"/>
        <v/>
      </c>
    </row>
    <row r="1143" spans="1:1">
      <c r="A1143" s="177" t="str">
        <f t="shared" si="37"/>
        <v/>
      </c>
    </row>
    <row r="1144" spans="1:1">
      <c r="A1144" s="177" t="str">
        <f t="shared" si="37"/>
        <v/>
      </c>
    </row>
    <row r="1145" spans="1:1">
      <c r="A1145" s="177" t="str">
        <f t="shared" si="37"/>
        <v/>
      </c>
    </row>
    <row r="1146" spans="1:1">
      <c r="A1146" s="177" t="str">
        <f t="shared" si="37"/>
        <v/>
      </c>
    </row>
    <row r="1147" spans="1:1">
      <c r="A1147" s="177" t="str">
        <f t="shared" si="37"/>
        <v/>
      </c>
    </row>
    <row r="1148" spans="1:1">
      <c r="A1148" s="177" t="str">
        <f t="shared" si="37"/>
        <v/>
      </c>
    </row>
    <row r="1149" spans="1:1">
      <c r="A1149" s="177" t="str">
        <f t="shared" si="37"/>
        <v/>
      </c>
    </row>
    <row r="1150" spans="1:1">
      <c r="A1150" s="177" t="str">
        <f t="shared" si="37"/>
        <v/>
      </c>
    </row>
    <row r="1151" spans="1:1">
      <c r="A1151" s="177" t="str">
        <f t="shared" si="37"/>
        <v/>
      </c>
    </row>
    <row r="1152" spans="1:1">
      <c r="A1152" s="177" t="str">
        <f t="shared" si="37"/>
        <v/>
      </c>
    </row>
    <row r="1153" spans="1:1">
      <c r="A1153" s="177" t="str">
        <f t="shared" si="37"/>
        <v/>
      </c>
    </row>
    <row r="1154" spans="1:1">
      <c r="A1154" s="177" t="str">
        <f t="shared" ref="A1154:A1169" si="38">B1154&amp;D1154&amp;E1154&amp;F1154&amp;P1154</f>
        <v/>
      </c>
    </row>
    <row r="1155" spans="1:1">
      <c r="A1155" s="177" t="str">
        <f t="shared" si="38"/>
        <v/>
      </c>
    </row>
    <row r="1156" spans="1:1">
      <c r="A1156" s="177" t="str">
        <f t="shared" si="38"/>
        <v/>
      </c>
    </row>
    <row r="1157" spans="1:1">
      <c r="A1157" s="177" t="str">
        <f t="shared" si="38"/>
        <v/>
      </c>
    </row>
    <row r="1158" spans="1:1">
      <c r="A1158" s="177" t="str">
        <f t="shared" si="38"/>
        <v/>
      </c>
    </row>
    <row r="1159" spans="1:1">
      <c r="A1159" s="177" t="str">
        <f t="shared" si="38"/>
        <v/>
      </c>
    </row>
    <row r="1160" spans="1:1">
      <c r="A1160" s="177" t="str">
        <f t="shared" si="38"/>
        <v/>
      </c>
    </row>
    <row r="1161" spans="1:1">
      <c r="A1161" s="177" t="str">
        <f t="shared" si="38"/>
        <v/>
      </c>
    </row>
    <row r="1162" spans="1:1">
      <c r="A1162" s="177" t="str">
        <f t="shared" si="38"/>
        <v/>
      </c>
    </row>
    <row r="1163" spans="1:1">
      <c r="A1163" s="177" t="str">
        <f t="shared" si="38"/>
        <v/>
      </c>
    </row>
    <row r="1164" spans="1:1">
      <c r="A1164" s="177" t="str">
        <f t="shared" si="38"/>
        <v/>
      </c>
    </row>
    <row r="1165" spans="1:1">
      <c r="A1165" s="177" t="str">
        <f t="shared" si="38"/>
        <v/>
      </c>
    </row>
    <row r="1166" spans="1:1">
      <c r="A1166" s="177" t="str">
        <f t="shared" si="38"/>
        <v/>
      </c>
    </row>
    <row r="1167" spans="1:1">
      <c r="A1167" s="177" t="str">
        <f t="shared" si="38"/>
        <v/>
      </c>
    </row>
    <row r="1168" spans="1:1">
      <c r="A1168" s="177" t="str">
        <f t="shared" si="38"/>
        <v/>
      </c>
    </row>
    <row r="1169" spans="1:1">
      <c r="A1169" s="177" t="str">
        <f t="shared" si="38"/>
        <v/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5"/>
  <dimension ref="A1:AF1915"/>
  <sheetViews>
    <sheetView workbookViewId="0">
      <pane xSplit="1" ySplit="1" topLeftCell="B596" activePane="bottomRight" state="frozen"/>
      <selection pane="topRight" activeCell="B1" sqref="B1"/>
      <selection pane="bottomLeft" activeCell="A2" sqref="A2"/>
      <selection pane="bottomRight" activeCell="F634" sqref="F634"/>
    </sheetView>
  </sheetViews>
  <sheetFormatPr defaultRowHeight="13.5" outlineLevelRow="1"/>
  <cols>
    <col min="1" max="1" width="5.5" style="8" bestFit="1" customWidth="1"/>
    <col min="2" max="2" width="9.5" style="8" bestFit="1" customWidth="1"/>
    <col min="3" max="3" width="20.625" style="8" bestFit="1" customWidth="1"/>
    <col min="4" max="4" width="5.25" style="8" bestFit="1" customWidth="1"/>
    <col min="5" max="5" width="7.125" style="8" bestFit="1" customWidth="1"/>
    <col min="6" max="6" width="13.125" style="8" bestFit="1" customWidth="1"/>
    <col min="7" max="7" width="11.625" style="23" bestFit="1" customWidth="1"/>
    <col min="8" max="8" width="7.5" style="8" bestFit="1" customWidth="1"/>
    <col min="9" max="9" width="5.25" style="8" bestFit="1" customWidth="1"/>
    <col min="10" max="10" width="9.375" style="8" hidden="1" customWidth="1"/>
    <col min="11" max="11" width="8.25" style="8" bestFit="1" customWidth="1"/>
    <col min="12" max="12" width="7.125" style="177" bestFit="1" customWidth="1"/>
    <col min="13" max="13" width="9" style="177"/>
    <col min="14" max="31" width="3.5" style="177" bestFit="1" customWidth="1"/>
    <col min="32" max="32" width="15.125" style="177" bestFit="1" customWidth="1"/>
    <col min="33" max="16384" width="9" style="177"/>
  </cols>
  <sheetData>
    <row r="1" spans="1:32" ht="27" customHeight="1">
      <c r="A1" s="4" t="s">
        <v>107</v>
      </c>
      <c r="B1" s="8" t="s">
        <v>3</v>
      </c>
      <c r="C1" s="8" t="s">
        <v>4</v>
      </c>
      <c r="D1" s="8" t="s">
        <v>11</v>
      </c>
      <c r="E1" s="8" t="s">
        <v>8</v>
      </c>
      <c r="F1" s="8" t="s">
        <v>12</v>
      </c>
      <c r="G1" s="23" t="s">
        <v>108</v>
      </c>
      <c r="H1" s="8" t="s">
        <v>14</v>
      </c>
      <c r="I1" s="8" t="s">
        <v>130</v>
      </c>
      <c r="J1" s="8" t="s">
        <v>109</v>
      </c>
      <c r="K1" s="8" t="s">
        <v>240</v>
      </c>
      <c r="L1" s="250" t="s">
        <v>733</v>
      </c>
      <c r="M1" s="250" t="s">
        <v>2580</v>
      </c>
      <c r="N1" s="177">
        <v>1</v>
      </c>
      <c r="O1" s="177">
        <v>4</v>
      </c>
      <c r="P1" s="177">
        <v>2</v>
      </c>
      <c r="Q1" s="177">
        <v>5</v>
      </c>
      <c r="R1" s="177">
        <v>3</v>
      </c>
      <c r="S1" s="177">
        <v>6</v>
      </c>
      <c r="T1" s="177">
        <v>46</v>
      </c>
      <c r="U1" s="177">
        <v>47</v>
      </c>
      <c r="V1" s="177">
        <v>48</v>
      </c>
      <c r="W1" s="177">
        <v>49</v>
      </c>
      <c r="X1" s="177">
        <v>66</v>
      </c>
      <c r="Y1" s="177">
        <v>67</v>
      </c>
      <c r="Z1" s="177">
        <v>9</v>
      </c>
      <c r="AA1" s="177">
        <v>8</v>
      </c>
      <c r="AB1" s="177">
        <v>7</v>
      </c>
      <c r="AC1" s="177">
        <v>33</v>
      </c>
      <c r="AD1" s="177">
        <v>32</v>
      </c>
      <c r="AE1" s="177">
        <v>31</v>
      </c>
      <c r="AF1" s="177" t="s">
        <v>110</v>
      </c>
    </row>
    <row r="2" spans="1:32" hidden="1" outlineLevel="1">
      <c r="A2" s="4">
        <v>1</v>
      </c>
      <c r="B2" s="8" t="s">
        <v>33</v>
      </c>
      <c r="C2" s="8" t="str">
        <f>IF(B2="","",VLOOKUP(B2,小圆机汇总表!A:AP,2,FALSE))</f>
        <v>B3029直平纹</v>
      </c>
      <c r="D2" s="8">
        <f>IF(B2="","",VLOOKUP(B2,小圆机汇总表!A:AP,7,FALSE))</f>
        <v>29</v>
      </c>
      <c r="E2" s="8" t="str">
        <f>IF(B2="","",VLOOKUP(B2,小圆机汇总表!A:AP,5,FALSE))</f>
        <v>白</v>
      </c>
      <c r="F2" s="8" t="str">
        <f>IF(B2="","",VLOOKUP(B2,小圆机汇总表!A:AP,8,FALSE))</f>
        <v>恒力</v>
      </c>
      <c r="G2" s="23">
        <v>43739</v>
      </c>
      <c r="H2" s="8">
        <v>159.19999999999999</v>
      </c>
      <c r="I2" s="8">
        <v>8</v>
      </c>
      <c r="K2" s="8" t="s">
        <v>242</v>
      </c>
      <c r="M2" s="177">
        <f>IF(B2="","",MONTH(G2))</f>
        <v>10</v>
      </c>
      <c r="N2" s="177">
        <v>38</v>
      </c>
      <c r="O2" s="177">
        <v>39</v>
      </c>
      <c r="P2" s="177">
        <v>25</v>
      </c>
      <c r="Q2" s="177">
        <v>28</v>
      </c>
      <c r="R2" s="177">
        <v>26</v>
      </c>
      <c r="S2" s="177">
        <v>29</v>
      </c>
      <c r="T2" s="177">
        <v>27</v>
      </c>
      <c r="U2" s="177">
        <v>30</v>
      </c>
      <c r="V2" s="177">
        <v>62</v>
      </c>
      <c r="W2" s="177">
        <v>64</v>
      </c>
      <c r="X2" s="177">
        <v>63</v>
      </c>
      <c r="Y2" s="177">
        <v>65</v>
      </c>
      <c r="Z2" s="177">
        <v>41</v>
      </c>
      <c r="AA2" s="177">
        <v>42</v>
      </c>
      <c r="AB2" s="177">
        <v>43</v>
      </c>
      <c r="AC2" s="177">
        <v>59</v>
      </c>
      <c r="AD2" s="177">
        <v>58</v>
      </c>
      <c r="AE2" s="177">
        <v>24</v>
      </c>
      <c r="AF2" s="177" t="s">
        <v>111</v>
      </c>
    </row>
    <row r="3" spans="1:32" hidden="1" outlineLevel="1">
      <c r="A3" s="4">
        <v>2</v>
      </c>
      <c r="B3" s="8" t="s">
        <v>121</v>
      </c>
      <c r="C3" s="8" t="str">
        <f>IF(B3="","",VLOOKUP(B3,小圆机汇总表!A:AP,2,FALSE))</f>
        <v>A5032w</v>
      </c>
      <c r="D3" s="8">
        <f>IF(B3="","",VLOOKUP(B3,小圆机汇总表!A:AP,7,FALSE))</f>
        <v>32</v>
      </c>
      <c r="E3" s="8" t="str">
        <f>IF(B3="","",VLOOKUP(B3,小圆机汇总表!A:AP,5,FALSE))</f>
        <v>白</v>
      </c>
      <c r="F3" s="8" t="str">
        <f>IF(B3="","",VLOOKUP(B3,小圆机汇总表!A:AP,8,FALSE))</f>
        <v>长乐</v>
      </c>
      <c r="G3" s="23">
        <v>43739</v>
      </c>
      <c r="H3" s="8">
        <v>818</v>
      </c>
      <c r="I3" s="8">
        <v>41</v>
      </c>
      <c r="K3" s="8" t="s">
        <v>243</v>
      </c>
      <c r="M3" s="250">
        <f t="shared" ref="M3:M66" si="0">IF(B3="","",MONTH(G3))</f>
        <v>10</v>
      </c>
      <c r="N3" s="177">
        <v>36</v>
      </c>
      <c r="O3" s="177">
        <v>37</v>
      </c>
      <c r="P3" s="177">
        <v>19</v>
      </c>
      <c r="Q3" s="177">
        <v>22</v>
      </c>
      <c r="R3" s="177">
        <v>20</v>
      </c>
      <c r="S3" s="177">
        <v>23</v>
      </c>
      <c r="T3" s="177">
        <v>21</v>
      </c>
      <c r="U3" s="177">
        <v>56</v>
      </c>
      <c r="V3" s="177">
        <v>57</v>
      </c>
      <c r="W3" s="177">
        <v>44</v>
      </c>
      <c r="X3" s="177">
        <v>45</v>
      </c>
      <c r="Y3" s="177">
        <v>55</v>
      </c>
      <c r="Z3" s="177">
        <v>54</v>
      </c>
      <c r="AA3" s="177">
        <v>18</v>
      </c>
      <c r="AB3" s="177">
        <v>17</v>
      </c>
      <c r="AC3" s="177">
        <v>16</v>
      </c>
      <c r="AD3" s="177">
        <v>40</v>
      </c>
      <c r="AF3" s="177" t="s">
        <v>113</v>
      </c>
    </row>
    <row r="4" spans="1:32" hidden="1" outlineLevel="1">
      <c r="A4" s="4">
        <v>3</v>
      </c>
      <c r="B4" s="8" t="s">
        <v>122</v>
      </c>
      <c r="C4" s="8" t="str">
        <f>IF(B4="","",VLOOKUP(B4,小圆机汇总表!A:AP,2,FALSE))</f>
        <v>B5034大W</v>
      </c>
      <c r="D4" s="8">
        <f>IF(B4="","",VLOOKUP(B4,小圆机汇总表!A:AP,7,FALSE))</f>
        <v>34</v>
      </c>
      <c r="E4" s="8" t="str">
        <f>IF(B4="","",VLOOKUP(B4,小圆机汇总表!A:AP,5,FALSE))</f>
        <v>白高温</v>
      </c>
      <c r="F4" s="8" t="str">
        <f>IF(B4="","",VLOOKUP(B4,小圆机汇总表!A:AP,8,FALSE))</f>
        <v>长乐</v>
      </c>
      <c r="G4" s="23">
        <v>43739</v>
      </c>
      <c r="H4" s="8">
        <v>1044.0999999999999</v>
      </c>
      <c r="I4" s="8">
        <v>52</v>
      </c>
      <c r="K4" s="8" t="s">
        <v>244</v>
      </c>
      <c r="M4" s="250">
        <f t="shared" si="0"/>
        <v>10</v>
      </c>
      <c r="N4" s="177">
        <v>34</v>
      </c>
      <c r="O4" s="177">
        <v>10</v>
      </c>
      <c r="P4" s="177">
        <v>11</v>
      </c>
      <c r="Q4" s="177">
        <v>12</v>
      </c>
      <c r="R4" s="177">
        <v>50</v>
      </c>
      <c r="S4" s="177">
        <v>52</v>
      </c>
      <c r="T4" s="177">
        <v>51</v>
      </c>
      <c r="U4" s="177">
        <v>53</v>
      </c>
      <c r="V4" s="177">
        <v>68</v>
      </c>
      <c r="W4" s="177">
        <v>69</v>
      </c>
      <c r="X4" s="177">
        <v>70</v>
      </c>
      <c r="Y4" s="177">
        <v>61</v>
      </c>
      <c r="Z4" s="177">
        <v>60</v>
      </c>
      <c r="AA4" s="177">
        <v>15</v>
      </c>
      <c r="AB4" s="177">
        <v>14</v>
      </c>
      <c r="AC4" s="177">
        <v>13</v>
      </c>
      <c r="AD4" s="177">
        <v>35</v>
      </c>
      <c r="AF4" s="177" t="s">
        <v>115</v>
      </c>
    </row>
    <row r="5" spans="1:32" hidden="1" outlineLevel="1">
      <c r="A5" s="4">
        <v>4</v>
      </c>
      <c r="B5" s="8" t="s">
        <v>123</v>
      </c>
      <c r="C5" s="8" t="str">
        <f>IF(B5="","",VLOOKUP(B5,小圆机汇总表!A:AP,2,FALSE))</f>
        <v>B7539斜乱平纹</v>
      </c>
      <c r="D5" s="8">
        <f>IF(B5="","",VLOOKUP(B5,小圆机汇总表!A:AP,7,FALSE))</f>
        <v>39</v>
      </c>
      <c r="E5" s="8" t="str">
        <f>IF(B5="","",VLOOKUP(B5,小圆机汇总表!A:AP,5,FALSE))</f>
        <v>白</v>
      </c>
      <c r="F5" s="8" t="str">
        <f>IF(B5="","",VLOOKUP(B5,小圆机汇总表!A:AP,8,FALSE))</f>
        <v>盛元</v>
      </c>
      <c r="G5" s="23">
        <v>43739</v>
      </c>
      <c r="H5" s="8">
        <v>429.8</v>
      </c>
      <c r="I5" s="8">
        <v>21</v>
      </c>
      <c r="K5" s="8" t="s">
        <v>245</v>
      </c>
      <c r="M5" s="250">
        <f t="shared" si="0"/>
        <v>10</v>
      </c>
    </row>
    <row r="6" spans="1:32" hidden="1" outlineLevel="1">
      <c r="A6" s="4">
        <v>5</v>
      </c>
      <c r="B6" s="8" t="s">
        <v>81</v>
      </c>
      <c r="C6" s="8" t="str">
        <f>IF(B6="","",VLOOKUP(B6,小圆机汇总表!A:AP,2,FALSE))</f>
        <v>C5034w</v>
      </c>
      <c r="D6" s="8">
        <f>IF(B6="","",VLOOKUP(B6,小圆机汇总表!A:AP,7,FALSE))</f>
        <v>34</v>
      </c>
      <c r="E6" s="8" t="str">
        <f>IF(B6="","",VLOOKUP(B6,小圆机汇总表!A:AP,5,FALSE))</f>
        <v>白</v>
      </c>
      <c r="F6" s="8" t="str">
        <f>IF(B6="","",VLOOKUP(B6,小圆机汇总表!A:AP,8,FALSE))</f>
        <v>长乐</v>
      </c>
      <c r="G6" s="23">
        <v>43739</v>
      </c>
      <c r="H6" s="8">
        <v>426.6</v>
      </c>
      <c r="I6" s="8">
        <v>22</v>
      </c>
      <c r="K6" s="8" t="s">
        <v>246</v>
      </c>
      <c r="M6" s="250">
        <f t="shared" si="0"/>
        <v>10</v>
      </c>
    </row>
    <row r="7" spans="1:32" hidden="1" outlineLevel="1">
      <c r="A7" s="4">
        <v>6</v>
      </c>
      <c r="B7" s="8" t="s">
        <v>112</v>
      </c>
      <c r="C7" s="8" t="str">
        <f>IF(B7="","",VLOOKUP(B7,小圆机汇总表!A:AP,2,FALSE))</f>
        <v>A5035w黑</v>
      </c>
      <c r="D7" s="8">
        <f>IF(B7="","",VLOOKUP(B7,小圆机汇总表!A:AP,7,FALSE))</f>
        <v>35</v>
      </c>
      <c r="E7" s="8" t="str">
        <f>IF(B7="","",VLOOKUP(B7,小圆机汇总表!A:AP,5,FALSE))</f>
        <v>黑</v>
      </c>
      <c r="F7" s="8" t="str">
        <f>IF(B7="","",VLOOKUP(B7,小圆机汇总表!A:AP,8,FALSE))</f>
        <v>固力</v>
      </c>
      <c r="G7" s="23">
        <v>43739</v>
      </c>
      <c r="H7" s="8">
        <v>673.9</v>
      </c>
      <c r="I7" s="8">
        <f>25+6</f>
        <v>31</v>
      </c>
      <c r="K7" s="8" t="s">
        <v>247</v>
      </c>
      <c r="M7" s="250">
        <f t="shared" si="0"/>
        <v>10</v>
      </c>
    </row>
    <row r="8" spans="1:32" hidden="1" outlineLevel="1">
      <c r="A8" s="4">
        <v>7</v>
      </c>
      <c r="B8" s="8" t="s">
        <v>47</v>
      </c>
      <c r="C8" s="8" t="str">
        <f>IF(B8="","",VLOOKUP(B8,小圆机汇总表!A:AP,2,FALSE))</f>
        <v>A5035w</v>
      </c>
      <c r="D8" s="8">
        <f>IF(B8="","",VLOOKUP(B8,小圆机汇总表!A:AP,7,FALSE))</f>
        <v>35</v>
      </c>
      <c r="E8" s="8" t="str">
        <f>IF(B8="","",VLOOKUP(B8,小圆机汇总表!A:AP,5,FALSE))</f>
        <v>白</v>
      </c>
      <c r="F8" s="8" t="str">
        <f>IF(B8="","",VLOOKUP(B8,小圆机汇总表!A:AP,8,FALSE))</f>
        <v>长乐</v>
      </c>
      <c r="G8" s="23">
        <v>43739</v>
      </c>
      <c r="H8" s="8">
        <v>447.5</v>
      </c>
      <c r="I8" s="8">
        <v>22</v>
      </c>
      <c r="K8" s="8" t="s">
        <v>248</v>
      </c>
      <c r="M8" s="250">
        <f t="shared" si="0"/>
        <v>10</v>
      </c>
    </row>
    <row r="9" spans="1:32" hidden="1" outlineLevel="1">
      <c r="A9" s="4">
        <v>8</v>
      </c>
      <c r="B9" s="8" t="s">
        <v>114</v>
      </c>
      <c r="C9" s="8" t="str">
        <f>IF(B9="","",VLOOKUP(B9,小圆机汇总表!A:AP,2,FALSE))</f>
        <v>A5035大W</v>
      </c>
      <c r="D9" s="8">
        <f>IF(B9="","",VLOOKUP(B9,小圆机汇总表!A:AP,7,FALSE))</f>
        <v>35</v>
      </c>
      <c r="E9" s="8" t="str">
        <f>IF(B9="","",VLOOKUP(B9,小圆机汇总表!A:AP,5,FALSE))</f>
        <v>白</v>
      </c>
      <c r="F9" s="8" t="str">
        <f>IF(B9="","",VLOOKUP(B9,小圆机汇总表!A:AP,8,FALSE))</f>
        <v>长乐</v>
      </c>
      <c r="G9" s="23">
        <v>43739</v>
      </c>
      <c r="H9" s="8">
        <v>525.20000000000005</v>
      </c>
      <c r="I9" s="8">
        <v>26</v>
      </c>
      <c r="K9" s="8" t="s">
        <v>242</v>
      </c>
      <c r="M9" s="250">
        <f t="shared" si="0"/>
        <v>10</v>
      </c>
    </row>
    <row r="10" spans="1:32" hidden="1" outlineLevel="1">
      <c r="A10" s="4">
        <v>9</v>
      </c>
      <c r="B10" s="8" t="s">
        <v>127</v>
      </c>
      <c r="C10" s="8" t="str">
        <f>IF(B10="","",VLOOKUP(B10,小圆机汇总表!A:AP,2,FALSE))</f>
        <v>A5036直平纹</v>
      </c>
      <c r="D10" s="8">
        <f>IF(B10="","",VLOOKUP(B10,小圆机汇总表!A:AP,7,FALSE))</f>
        <v>36</v>
      </c>
      <c r="E10" s="8" t="str">
        <f>IF(B10="","",VLOOKUP(B10,小圆机汇总表!A:AP,5,FALSE))</f>
        <v>白</v>
      </c>
      <c r="F10" s="8" t="str">
        <f>IF(B10="","",VLOOKUP(B10,小圆机汇总表!A:AP,8,FALSE))</f>
        <v>长乐</v>
      </c>
      <c r="G10" s="23">
        <v>43739</v>
      </c>
      <c r="H10" s="8">
        <v>19.5</v>
      </c>
      <c r="I10" s="8">
        <v>1</v>
      </c>
      <c r="K10" s="8" t="s">
        <v>242</v>
      </c>
      <c r="M10" s="250">
        <f t="shared" si="0"/>
        <v>10</v>
      </c>
    </row>
    <row r="11" spans="1:32" hidden="1" outlineLevel="1">
      <c r="A11" s="4">
        <v>10</v>
      </c>
      <c r="B11" s="8" t="s">
        <v>116</v>
      </c>
      <c r="C11" s="8" t="str">
        <f>IF(B11="","",VLOOKUP(B11,小圆机汇总表!A:AP,2,FALSE))</f>
        <v>B5036大W高温丝</v>
      </c>
      <c r="D11" s="8">
        <f>IF(B11="","",VLOOKUP(B11,小圆机汇总表!A:AP,7,FALSE))</f>
        <v>36</v>
      </c>
      <c r="E11" s="8" t="str">
        <f>IF(B11="","",VLOOKUP(B11,小圆机汇总表!A:AP,5,FALSE))</f>
        <v>白高温</v>
      </c>
      <c r="F11" s="8" t="str">
        <f>IF(B11="","",VLOOKUP(B11,小圆机汇总表!A:AP,8,FALSE))</f>
        <v>长乐</v>
      </c>
      <c r="G11" s="23">
        <v>43739</v>
      </c>
      <c r="H11" s="8">
        <v>304.2</v>
      </c>
      <c r="I11" s="8">
        <v>15</v>
      </c>
      <c r="K11" s="8" t="s">
        <v>244</v>
      </c>
      <c r="M11" s="250">
        <f t="shared" si="0"/>
        <v>10</v>
      </c>
    </row>
    <row r="12" spans="1:32" hidden="1" outlineLevel="1">
      <c r="A12" s="4">
        <v>11</v>
      </c>
      <c r="B12" s="8" t="s">
        <v>70</v>
      </c>
      <c r="C12" s="8" t="str">
        <f>IF(B12="","",VLOOKUP(B12,小圆机汇总表!A:AP,2,FALSE))</f>
        <v>A5038w</v>
      </c>
      <c r="D12" s="8">
        <f>IF(B12="","",VLOOKUP(B12,小圆机汇总表!A:AP,7,FALSE))</f>
        <v>38</v>
      </c>
      <c r="E12" s="8" t="str">
        <f>IF(B12="","",VLOOKUP(B12,小圆机汇总表!A:AP,5,FALSE))</f>
        <v>白</v>
      </c>
      <c r="F12" s="8" t="str">
        <f>IF(B12="","",VLOOKUP(B12,小圆机汇总表!A:AP,8,FALSE))</f>
        <v>长乐</v>
      </c>
      <c r="G12" s="23">
        <v>43739</v>
      </c>
      <c r="H12" s="8">
        <v>311.7</v>
      </c>
      <c r="I12" s="8">
        <v>15</v>
      </c>
      <c r="K12" s="8" t="s">
        <v>247</v>
      </c>
      <c r="M12" s="250">
        <f t="shared" si="0"/>
        <v>10</v>
      </c>
      <c r="S12" s="8"/>
    </row>
    <row r="13" spans="1:32" hidden="1" outlineLevel="1">
      <c r="A13" s="4">
        <v>12</v>
      </c>
      <c r="B13" s="8" t="s">
        <v>128</v>
      </c>
      <c r="C13" s="8" t="str">
        <f>IF(B13="","",VLOOKUP(B13,小圆机汇总表!A:AP,2,FALSE))</f>
        <v>A7545斜乱平纹</v>
      </c>
      <c r="D13" s="8">
        <f>IF(B13="","",VLOOKUP(B13,小圆机汇总表!A:AP,7,FALSE))</f>
        <v>45</v>
      </c>
      <c r="E13" s="8" t="str">
        <f>IF(B13="","",VLOOKUP(B13,小圆机汇总表!A:AP,5,FALSE))</f>
        <v>白</v>
      </c>
      <c r="F13" s="8" t="str">
        <f>IF(B13="","",VLOOKUP(B13,小圆机汇总表!A:AP,8,FALSE))</f>
        <v>长乐</v>
      </c>
      <c r="G13" s="23">
        <v>43739</v>
      </c>
      <c r="H13" s="8">
        <v>320</v>
      </c>
      <c r="I13" s="8">
        <v>16</v>
      </c>
      <c r="K13" s="8" t="s">
        <v>242</v>
      </c>
      <c r="M13" s="250">
        <f t="shared" si="0"/>
        <v>10</v>
      </c>
    </row>
    <row r="14" spans="1:32" hidden="1" outlineLevel="1">
      <c r="A14" s="4">
        <v>13</v>
      </c>
      <c r="B14" s="8" t="s">
        <v>83</v>
      </c>
      <c r="C14" s="8" t="str">
        <f>IF(B14="","",VLOOKUP(B14,小圆机汇总表!A:AP,2,FALSE))</f>
        <v>B7545w</v>
      </c>
      <c r="D14" s="8">
        <f>IF(B14="","",VLOOKUP(B14,小圆机汇总表!A:AP,7,FALSE))</f>
        <v>45</v>
      </c>
      <c r="E14" s="8" t="str">
        <f>IF(B14="","",VLOOKUP(B14,小圆机汇总表!A:AP,5,FALSE))</f>
        <v>白</v>
      </c>
      <c r="F14" s="8" t="str">
        <f>IF(B14="","",VLOOKUP(B14,小圆机汇总表!A:AP,8,FALSE))</f>
        <v>长乐</v>
      </c>
      <c r="G14" s="23">
        <v>43739</v>
      </c>
      <c r="H14" s="8">
        <v>392.1</v>
      </c>
      <c r="I14" s="8">
        <v>19</v>
      </c>
      <c r="K14" s="8" t="s">
        <v>249</v>
      </c>
      <c r="M14" s="250">
        <f t="shared" si="0"/>
        <v>10</v>
      </c>
    </row>
    <row r="15" spans="1:32" hidden="1" outlineLevel="1">
      <c r="A15" s="4">
        <v>14</v>
      </c>
      <c r="B15" s="8" t="s">
        <v>129</v>
      </c>
      <c r="C15" s="8" t="str">
        <f>IF(B15="","",VLOOKUP(B15,小圆机汇总表!A:AP,2,FALSE))</f>
        <v>A7548斜乱平纹</v>
      </c>
      <c r="D15" s="8">
        <f>IF(B15="","",VLOOKUP(B15,小圆机汇总表!A:AP,7,FALSE))</f>
        <v>48</v>
      </c>
      <c r="E15" s="8" t="str">
        <f>IF(B15="","",VLOOKUP(B15,小圆机汇总表!A:AP,5,FALSE))</f>
        <v>白高温</v>
      </c>
      <c r="F15" s="8" t="str">
        <f>IF(B15="","",VLOOKUP(B15,小圆机汇总表!A:AP,8,FALSE))</f>
        <v>长乐</v>
      </c>
      <c r="G15" s="23">
        <v>43739</v>
      </c>
      <c r="H15" s="8">
        <v>142.1</v>
      </c>
      <c r="I15" s="8">
        <v>7</v>
      </c>
      <c r="K15" s="8" t="s">
        <v>245</v>
      </c>
      <c r="M15" s="250">
        <f t="shared" si="0"/>
        <v>10</v>
      </c>
    </row>
    <row r="16" spans="1:32" hidden="1" outlineLevel="1">
      <c r="A16" s="4">
        <v>15</v>
      </c>
      <c r="B16" s="8" t="s">
        <v>33</v>
      </c>
      <c r="C16" s="8" t="str">
        <f>IF(B16="","",VLOOKUP(B16,小圆机汇总表!A:AP,2,FALSE))</f>
        <v>B3029直平纹</v>
      </c>
      <c r="D16" s="8">
        <f>IF(B16="","",VLOOKUP(B16,小圆机汇总表!A:AP,7,FALSE))</f>
        <v>29</v>
      </c>
      <c r="E16" s="8" t="str">
        <f>IF(B16="","",VLOOKUP(B16,小圆机汇总表!A:AP,5,FALSE))</f>
        <v>白</v>
      </c>
      <c r="F16" s="8" t="str">
        <f>IF(B16="","",VLOOKUP(B16,小圆机汇总表!A:AP,8,FALSE))</f>
        <v>恒力</v>
      </c>
      <c r="G16" s="23">
        <v>43740</v>
      </c>
      <c r="H16" s="8">
        <v>139.30000000000001</v>
      </c>
      <c r="I16" s="8">
        <v>7</v>
      </c>
      <c r="K16" s="8" t="s">
        <v>242</v>
      </c>
      <c r="M16" s="250">
        <f t="shared" si="0"/>
        <v>10</v>
      </c>
    </row>
    <row r="17" spans="1:13" hidden="1" outlineLevel="1">
      <c r="A17" s="4">
        <v>16</v>
      </c>
      <c r="B17" s="8" t="s">
        <v>121</v>
      </c>
      <c r="C17" s="8" t="str">
        <f>IF(B17="","",VLOOKUP(B17,小圆机汇总表!A:AP,2,FALSE))</f>
        <v>A5032w</v>
      </c>
      <c r="D17" s="8">
        <f>IF(B17="","",VLOOKUP(B17,小圆机汇总表!A:AP,7,FALSE))</f>
        <v>32</v>
      </c>
      <c r="E17" s="8" t="str">
        <f>IF(B17="","",VLOOKUP(B17,小圆机汇总表!A:AP,5,FALSE))</f>
        <v>白</v>
      </c>
      <c r="F17" s="8" t="str">
        <f>IF(B17="","",VLOOKUP(B17,小圆机汇总表!A:AP,8,FALSE))</f>
        <v>长乐</v>
      </c>
      <c r="G17" s="23">
        <v>43740</v>
      </c>
      <c r="H17" s="8">
        <v>837.4</v>
      </c>
      <c r="I17" s="8">
        <v>42</v>
      </c>
      <c r="K17" s="8" t="s">
        <v>243</v>
      </c>
      <c r="M17" s="250">
        <f t="shared" si="0"/>
        <v>10</v>
      </c>
    </row>
    <row r="18" spans="1:13" hidden="1" outlineLevel="1">
      <c r="A18" s="4">
        <v>17</v>
      </c>
      <c r="B18" s="8" t="s">
        <v>122</v>
      </c>
      <c r="C18" s="8" t="str">
        <f>IF(B18="","",VLOOKUP(B18,小圆机汇总表!A:AP,2,FALSE))</f>
        <v>B5034大W</v>
      </c>
      <c r="D18" s="8">
        <f>IF(B18="","",VLOOKUP(B18,小圆机汇总表!A:AP,7,FALSE))</f>
        <v>34</v>
      </c>
      <c r="E18" s="8" t="str">
        <f>IF(B18="","",VLOOKUP(B18,小圆机汇总表!A:AP,5,FALSE))</f>
        <v>白高温</v>
      </c>
      <c r="F18" s="8" t="str">
        <f>IF(B18="","",VLOOKUP(B18,小圆机汇总表!A:AP,8,FALSE))</f>
        <v>长乐</v>
      </c>
      <c r="G18" s="23">
        <v>43740</v>
      </c>
      <c r="H18" s="8">
        <v>905.6</v>
      </c>
      <c r="I18" s="8">
        <v>45</v>
      </c>
      <c r="K18" s="8" t="s">
        <v>244</v>
      </c>
      <c r="M18" s="250">
        <f t="shared" si="0"/>
        <v>10</v>
      </c>
    </row>
    <row r="19" spans="1:13" hidden="1" outlineLevel="1">
      <c r="A19" s="4">
        <v>18</v>
      </c>
      <c r="B19" s="8" t="s">
        <v>123</v>
      </c>
      <c r="C19" s="8" t="str">
        <f>IF(B19="","",VLOOKUP(B19,小圆机汇总表!A:AP,2,FALSE))</f>
        <v>B7539斜乱平纹</v>
      </c>
      <c r="D19" s="8">
        <f>IF(B19="","",VLOOKUP(B19,小圆机汇总表!A:AP,7,FALSE))</f>
        <v>39</v>
      </c>
      <c r="E19" s="8" t="str">
        <f>IF(B19="","",VLOOKUP(B19,小圆机汇总表!A:AP,5,FALSE))</f>
        <v>白</v>
      </c>
      <c r="F19" s="8" t="str">
        <f>IF(B19="","",VLOOKUP(B19,小圆机汇总表!A:AP,8,FALSE))</f>
        <v>盛元</v>
      </c>
      <c r="G19" s="23">
        <v>43740</v>
      </c>
      <c r="H19" s="8">
        <v>450.2</v>
      </c>
      <c r="I19" s="8">
        <v>22</v>
      </c>
      <c r="K19" s="8" t="s">
        <v>245</v>
      </c>
      <c r="M19" s="250">
        <f t="shared" si="0"/>
        <v>10</v>
      </c>
    </row>
    <row r="20" spans="1:13" hidden="1" outlineLevel="1">
      <c r="A20" s="4">
        <v>19</v>
      </c>
      <c r="B20" s="8" t="s">
        <v>81</v>
      </c>
      <c r="C20" s="8" t="str">
        <f>IF(B20="","",VLOOKUP(B20,小圆机汇总表!A:AP,2,FALSE))</f>
        <v>C5034w</v>
      </c>
      <c r="D20" s="8">
        <f>IF(B20="","",VLOOKUP(B20,小圆机汇总表!A:AP,7,FALSE))</f>
        <v>34</v>
      </c>
      <c r="E20" s="8" t="str">
        <f>IF(B20="","",VLOOKUP(B20,小圆机汇总表!A:AP,5,FALSE))</f>
        <v>白</v>
      </c>
      <c r="F20" s="8" t="str">
        <f>IF(B20="","",VLOOKUP(B20,小圆机汇总表!A:AP,8,FALSE))</f>
        <v>长乐</v>
      </c>
      <c r="G20" s="23">
        <v>43740</v>
      </c>
      <c r="H20" s="8">
        <v>368.1</v>
      </c>
      <c r="I20" s="8">
        <v>19</v>
      </c>
      <c r="K20" s="8" t="s">
        <v>246</v>
      </c>
      <c r="M20" s="250">
        <f t="shared" si="0"/>
        <v>10</v>
      </c>
    </row>
    <row r="21" spans="1:13" hidden="1" outlineLevel="1">
      <c r="A21" s="4">
        <v>20</v>
      </c>
      <c r="B21" s="8" t="s">
        <v>112</v>
      </c>
      <c r="C21" s="8" t="str">
        <f>IF(B21="","",VLOOKUP(B21,小圆机汇总表!A:AP,2,FALSE))</f>
        <v>A5035w黑</v>
      </c>
      <c r="D21" s="8">
        <f>IF(B21="","",VLOOKUP(B21,小圆机汇总表!A:AP,7,FALSE))</f>
        <v>35</v>
      </c>
      <c r="E21" s="8" t="str">
        <f>IF(B21="","",VLOOKUP(B21,小圆机汇总表!A:AP,5,FALSE))</f>
        <v>黑</v>
      </c>
      <c r="F21" s="8" t="str">
        <f>IF(B21="","",VLOOKUP(B21,小圆机汇总表!A:AP,8,FALSE))</f>
        <v>固力</v>
      </c>
      <c r="G21" s="23">
        <v>43740</v>
      </c>
      <c r="H21" s="8">
        <v>704.8</v>
      </c>
      <c r="I21" s="8">
        <f>27+5</f>
        <v>32</v>
      </c>
      <c r="K21" s="8" t="s">
        <v>247</v>
      </c>
      <c r="M21" s="250">
        <f t="shared" si="0"/>
        <v>10</v>
      </c>
    </row>
    <row r="22" spans="1:13" hidden="1" outlineLevel="1">
      <c r="A22" s="4">
        <v>21</v>
      </c>
      <c r="B22" s="8" t="s">
        <v>47</v>
      </c>
      <c r="C22" s="8" t="str">
        <f>IF(B22="","",VLOOKUP(B22,小圆机汇总表!A:AP,2,FALSE))</f>
        <v>A5035w</v>
      </c>
      <c r="D22" s="8">
        <f>IF(B22="","",VLOOKUP(B22,小圆机汇总表!A:AP,7,FALSE))</f>
        <v>35</v>
      </c>
      <c r="E22" s="8" t="str">
        <f>IF(B22="","",VLOOKUP(B22,小圆机汇总表!A:AP,5,FALSE))</f>
        <v>白</v>
      </c>
      <c r="F22" s="8" t="str">
        <f>IF(B22="","",VLOOKUP(B22,小圆机汇总表!A:AP,8,FALSE))</f>
        <v>长乐</v>
      </c>
      <c r="G22" s="23">
        <v>43740</v>
      </c>
      <c r="H22" s="8">
        <v>406.8</v>
      </c>
      <c r="I22" s="8">
        <v>20</v>
      </c>
      <c r="K22" s="8" t="s">
        <v>248</v>
      </c>
      <c r="M22" s="250">
        <f t="shared" si="0"/>
        <v>10</v>
      </c>
    </row>
    <row r="23" spans="1:13" hidden="1" outlineLevel="1">
      <c r="A23" s="4">
        <v>22</v>
      </c>
      <c r="B23" s="8" t="s">
        <v>114</v>
      </c>
      <c r="C23" s="8" t="str">
        <f>IF(B23="","",VLOOKUP(B23,小圆机汇总表!A:AP,2,FALSE))</f>
        <v>A5035大W</v>
      </c>
      <c r="D23" s="8">
        <f>IF(B23="","",VLOOKUP(B23,小圆机汇总表!A:AP,7,FALSE))</f>
        <v>35</v>
      </c>
      <c r="E23" s="8" t="str">
        <f>IF(B23="","",VLOOKUP(B23,小圆机汇总表!A:AP,5,FALSE))</f>
        <v>白</v>
      </c>
      <c r="F23" s="8" t="str">
        <f>IF(B23="","",VLOOKUP(B23,小圆机汇总表!A:AP,8,FALSE))</f>
        <v>长乐</v>
      </c>
      <c r="G23" s="23">
        <v>43740</v>
      </c>
      <c r="H23" s="8">
        <v>484.8</v>
      </c>
      <c r="I23" s="8">
        <v>24</v>
      </c>
      <c r="K23" s="8" t="s">
        <v>242</v>
      </c>
      <c r="M23" s="250">
        <f t="shared" si="0"/>
        <v>10</v>
      </c>
    </row>
    <row r="24" spans="1:13" hidden="1" outlineLevel="1">
      <c r="A24" s="4">
        <v>24</v>
      </c>
      <c r="B24" s="8" t="s">
        <v>116</v>
      </c>
      <c r="C24" s="8" t="str">
        <f>IF(B24="","",VLOOKUP(B24,小圆机汇总表!A:AP,2,FALSE))</f>
        <v>B5036大W高温丝</v>
      </c>
      <c r="D24" s="8">
        <f>IF(B24="","",VLOOKUP(B24,小圆机汇总表!A:AP,7,FALSE))</f>
        <v>36</v>
      </c>
      <c r="E24" s="8" t="str">
        <f>IF(B24="","",VLOOKUP(B24,小圆机汇总表!A:AP,5,FALSE))</f>
        <v>白高温</v>
      </c>
      <c r="F24" s="8" t="str">
        <f>IF(B24="","",VLOOKUP(B24,小圆机汇总表!A:AP,8,FALSE))</f>
        <v>长乐</v>
      </c>
      <c r="G24" s="23">
        <v>43740</v>
      </c>
      <c r="H24" s="8">
        <v>324.60000000000002</v>
      </c>
      <c r="I24" s="8">
        <v>16</v>
      </c>
      <c r="K24" s="8" t="s">
        <v>244</v>
      </c>
      <c r="M24" s="250">
        <f t="shared" si="0"/>
        <v>10</v>
      </c>
    </row>
    <row r="25" spans="1:13" hidden="1" outlineLevel="1">
      <c r="A25" s="4">
        <v>25</v>
      </c>
      <c r="B25" s="8" t="s">
        <v>70</v>
      </c>
      <c r="C25" s="8" t="str">
        <f>IF(B25="","",VLOOKUP(B25,小圆机汇总表!A:AP,2,FALSE))</f>
        <v>A5038w</v>
      </c>
      <c r="D25" s="8">
        <f>IF(B25="","",VLOOKUP(B25,小圆机汇总表!A:AP,7,FALSE))</f>
        <v>38</v>
      </c>
      <c r="E25" s="8" t="str">
        <f>IF(B25="","",VLOOKUP(B25,小圆机汇总表!A:AP,5,FALSE))</f>
        <v>白</v>
      </c>
      <c r="F25" s="8" t="str">
        <f>IF(B25="","",VLOOKUP(B25,小圆机汇总表!A:AP,8,FALSE))</f>
        <v>长乐</v>
      </c>
      <c r="G25" s="23">
        <v>43740</v>
      </c>
      <c r="H25" s="8">
        <v>269.8</v>
      </c>
      <c r="I25" s="8">
        <v>13</v>
      </c>
      <c r="K25" s="8" t="s">
        <v>247</v>
      </c>
      <c r="M25" s="250">
        <f t="shared" si="0"/>
        <v>10</v>
      </c>
    </row>
    <row r="26" spans="1:13" hidden="1" outlineLevel="1">
      <c r="A26" s="4">
        <v>26</v>
      </c>
      <c r="B26" s="8" t="s">
        <v>128</v>
      </c>
      <c r="C26" s="8" t="str">
        <f>IF(B26="","",VLOOKUP(B26,小圆机汇总表!A:AP,2,FALSE))</f>
        <v>A7545斜乱平纹</v>
      </c>
      <c r="D26" s="8">
        <f>IF(B26="","",VLOOKUP(B26,小圆机汇总表!A:AP,7,FALSE))</f>
        <v>45</v>
      </c>
      <c r="E26" s="8" t="str">
        <f>IF(B26="","",VLOOKUP(B26,小圆机汇总表!A:AP,5,FALSE))</f>
        <v>白</v>
      </c>
      <c r="F26" s="8" t="str">
        <f>IF(B26="","",VLOOKUP(B26,小圆机汇总表!A:AP,8,FALSE))</f>
        <v>长乐</v>
      </c>
      <c r="G26" s="23">
        <v>43740</v>
      </c>
      <c r="H26" s="8">
        <v>300</v>
      </c>
      <c r="I26" s="8">
        <v>15</v>
      </c>
      <c r="K26" s="8" t="s">
        <v>242</v>
      </c>
      <c r="M26" s="250">
        <f t="shared" si="0"/>
        <v>10</v>
      </c>
    </row>
    <row r="27" spans="1:13" hidden="1" outlineLevel="1">
      <c r="A27" s="4">
        <v>27</v>
      </c>
      <c r="B27" s="8" t="s">
        <v>83</v>
      </c>
      <c r="C27" s="8" t="str">
        <f>IF(B27="","",VLOOKUP(B27,小圆机汇总表!A:AP,2,FALSE))</f>
        <v>B7545w</v>
      </c>
      <c r="D27" s="8">
        <f>IF(B27="","",VLOOKUP(B27,小圆机汇总表!A:AP,7,FALSE))</f>
        <v>45</v>
      </c>
      <c r="E27" s="8" t="str">
        <f>IF(B27="","",VLOOKUP(B27,小圆机汇总表!A:AP,5,FALSE))</f>
        <v>白</v>
      </c>
      <c r="F27" s="8" t="str">
        <f>IF(B27="","",VLOOKUP(B27,小圆机汇总表!A:AP,8,FALSE))</f>
        <v>长乐</v>
      </c>
      <c r="G27" s="23">
        <v>43740</v>
      </c>
      <c r="H27" s="8">
        <v>412.6</v>
      </c>
      <c r="I27" s="8">
        <v>20</v>
      </c>
      <c r="K27" s="8" t="s">
        <v>249</v>
      </c>
      <c r="M27" s="250">
        <f t="shared" si="0"/>
        <v>10</v>
      </c>
    </row>
    <row r="28" spans="1:13" hidden="1" outlineLevel="1">
      <c r="A28" s="4">
        <v>28</v>
      </c>
      <c r="B28" s="8" t="s">
        <v>129</v>
      </c>
      <c r="C28" s="8" t="str">
        <f>IF(B28="","",VLOOKUP(B28,小圆机汇总表!A:AP,2,FALSE))</f>
        <v>A7548斜乱平纹</v>
      </c>
      <c r="D28" s="8">
        <f>IF(B28="","",VLOOKUP(B28,小圆机汇总表!A:AP,7,FALSE))</f>
        <v>48</v>
      </c>
      <c r="E28" s="8" t="str">
        <f>IF(B28="","",VLOOKUP(B28,小圆机汇总表!A:AP,5,FALSE))</f>
        <v>白高温</v>
      </c>
      <c r="F28" s="8" t="str">
        <f>IF(B28="","",VLOOKUP(B28,小圆机汇总表!A:AP,8,FALSE))</f>
        <v>长乐</v>
      </c>
      <c r="G28" s="23">
        <v>43740</v>
      </c>
      <c r="H28" s="8">
        <v>121.8</v>
      </c>
      <c r="I28" s="8">
        <v>6</v>
      </c>
      <c r="K28" s="8" t="s">
        <v>245</v>
      </c>
      <c r="M28" s="250">
        <f t="shared" si="0"/>
        <v>10</v>
      </c>
    </row>
    <row r="29" spans="1:13" hidden="1" outlineLevel="1">
      <c r="A29" s="4">
        <v>29</v>
      </c>
      <c r="B29" s="8" t="s">
        <v>33</v>
      </c>
      <c r="C29" s="8" t="str">
        <f>IF(B29="","",VLOOKUP(B29,小圆机汇总表!A:AP,2,FALSE))</f>
        <v>B3029直平纹</v>
      </c>
      <c r="D29" s="8">
        <f>IF(B29="","",VLOOKUP(B29,小圆机汇总表!A:AP,7,FALSE))</f>
        <v>29</v>
      </c>
      <c r="E29" s="8" t="str">
        <f>IF(B29="","",VLOOKUP(B29,小圆机汇总表!A:AP,5,FALSE))</f>
        <v>白</v>
      </c>
      <c r="F29" s="8" t="str">
        <f>IF(B29="","",VLOOKUP(B29,小圆机汇总表!A:AP,8,FALSE))</f>
        <v>恒力</v>
      </c>
      <c r="G29" s="23">
        <v>43741</v>
      </c>
      <c r="H29" s="8">
        <v>149</v>
      </c>
      <c r="I29" s="8">
        <v>8</v>
      </c>
      <c r="K29" s="8" t="s">
        <v>242</v>
      </c>
      <c r="M29" s="250">
        <f t="shared" si="0"/>
        <v>10</v>
      </c>
    </row>
    <row r="30" spans="1:13" hidden="1" outlineLevel="1">
      <c r="A30" s="4">
        <v>30</v>
      </c>
      <c r="B30" s="8" t="s">
        <v>121</v>
      </c>
      <c r="C30" s="8" t="str">
        <f>IF(B30="","",VLOOKUP(B30,小圆机汇总表!A:AP,2,FALSE))</f>
        <v>A5032w</v>
      </c>
      <c r="D30" s="8">
        <f>IF(B30="","",VLOOKUP(B30,小圆机汇总表!A:AP,7,FALSE))</f>
        <v>32</v>
      </c>
      <c r="E30" s="8" t="str">
        <f>IF(B30="","",VLOOKUP(B30,小圆机汇总表!A:AP,5,FALSE))</f>
        <v>白</v>
      </c>
      <c r="F30" s="8" t="str">
        <f>IF(B30="","",VLOOKUP(B30,小圆机汇总表!A:AP,8,FALSE))</f>
        <v>长乐</v>
      </c>
      <c r="G30" s="23">
        <v>43741</v>
      </c>
      <c r="H30" s="8">
        <f>818.6+20.5</f>
        <v>839.1</v>
      </c>
      <c r="I30" s="8">
        <v>43</v>
      </c>
      <c r="J30" s="8" t="s">
        <v>117</v>
      </c>
      <c r="K30" s="8" t="s">
        <v>243</v>
      </c>
      <c r="M30" s="250">
        <f t="shared" si="0"/>
        <v>10</v>
      </c>
    </row>
    <row r="31" spans="1:13" hidden="1" outlineLevel="1">
      <c r="A31" s="4">
        <v>31</v>
      </c>
      <c r="B31" s="8" t="s">
        <v>122</v>
      </c>
      <c r="C31" s="8" t="str">
        <f>IF(B31="","",VLOOKUP(B31,小圆机汇总表!A:AP,2,FALSE))</f>
        <v>B5034大W</v>
      </c>
      <c r="D31" s="8">
        <f>IF(B31="","",VLOOKUP(B31,小圆机汇总表!A:AP,7,FALSE))</f>
        <v>34</v>
      </c>
      <c r="E31" s="8" t="str">
        <f>IF(B31="","",VLOOKUP(B31,小圆机汇总表!A:AP,5,FALSE))</f>
        <v>白高温</v>
      </c>
      <c r="F31" s="8" t="str">
        <f>IF(B31="","",VLOOKUP(B31,小圆机汇总表!A:AP,8,FALSE))</f>
        <v>长乐</v>
      </c>
      <c r="G31" s="23">
        <v>43741</v>
      </c>
      <c r="H31" s="8">
        <v>1047.9000000000001</v>
      </c>
      <c r="I31" s="8">
        <v>52</v>
      </c>
      <c r="K31" s="8" t="s">
        <v>244</v>
      </c>
      <c r="M31" s="250">
        <f t="shared" si="0"/>
        <v>10</v>
      </c>
    </row>
    <row r="32" spans="1:13" hidden="1" outlineLevel="1">
      <c r="A32" s="4">
        <v>32</v>
      </c>
      <c r="B32" s="8" t="s">
        <v>123</v>
      </c>
      <c r="C32" s="8" t="str">
        <f>IF(B32="","",VLOOKUP(B32,小圆机汇总表!A:AP,2,FALSE))</f>
        <v>B7539斜乱平纹</v>
      </c>
      <c r="D32" s="8">
        <f>IF(B32="","",VLOOKUP(B32,小圆机汇总表!A:AP,7,FALSE))</f>
        <v>39</v>
      </c>
      <c r="E32" s="8" t="str">
        <f>IF(B32="","",VLOOKUP(B32,小圆机汇总表!A:AP,5,FALSE))</f>
        <v>白</v>
      </c>
      <c r="F32" s="8" t="str">
        <f>IF(B32="","",VLOOKUP(B32,小圆机汇总表!A:AP,8,FALSE))</f>
        <v>盛元</v>
      </c>
      <c r="G32" s="23">
        <v>43741</v>
      </c>
      <c r="H32" s="8">
        <v>450.3</v>
      </c>
      <c r="I32" s="8">
        <v>22</v>
      </c>
      <c r="K32" s="8" t="s">
        <v>245</v>
      </c>
      <c r="M32" s="250">
        <f t="shared" si="0"/>
        <v>10</v>
      </c>
    </row>
    <row r="33" spans="1:13" hidden="1" outlineLevel="1">
      <c r="A33" s="4">
        <v>33</v>
      </c>
      <c r="B33" s="8" t="s">
        <v>81</v>
      </c>
      <c r="C33" s="8" t="str">
        <f>IF(B33="","",VLOOKUP(B33,小圆机汇总表!A:AP,2,FALSE))</f>
        <v>C5034w</v>
      </c>
      <c r="D33" s="8">
        <f>IF(B33="","",VLOOKUP(B33,小圆机汇总表!A:AP,7,FALSE))</f>
        <v>34</v>
      </c>
      <c r="E33" s="8" t="str">
        <f>IF(B33="","",VLOOKUP(B33,小圆机汇总表!A:AP,5,FALSE))</f>
        <v>白</v>
      </c>
      <c r="F33" s="8" t="str">
        <f>IF(B33="","",VLOOKUP(B33,小圆机汇总表!A:AP,8,FALSE))</f>
        <v>长乐</v>
      </c>
      <c r="G33" s="23">
        <v>43741</v>
      </c>
      <c r="H33" s="8">
        <v>406.1</v>
      </c>
      <c r="I33" s="8">
        <v>21</v>
      </c>
      <c r="K33" s="8" t="s">
        <v>246</v>
      </c>
      <c r="M33" s="250">
        <f t="shared" si="0"/>
        <v>10</v>
      </c>
    </row>
    <row r="34" spans="1:13" hidden="1" outlineLevel="1">
      <c r="A34" s="4">
        <v>34</v>
      </c>
      <c r="B34" s="8" t="s">
        <v>112</v>
      </c>
      <c r="C34" s="8" t="str">
        <f>IF(B34="","",VLOOKUP(B34,小圆机汇总表!A:AP,2,FALSE))</f>
        <v>A5035w黑</v>
      </c>
      <c r="D34" s="8">
        <f>IF(B34="","",VLOOKUP(B34,小圆机汇总表!A:AP,7,FALSE))</f>
        <v>35</v>
      </c>
      <c r="E34" s="8" t="str">
        <f>IF(B34="","",VLOOKUP(B34,小圆机汇总表!A:AP,5,FALSE))</f>
        <v>黑</v>
      </c>
      <c r="F34" s="8" t="str">
        <f>IF(B34="","",VLOOKUP(B34,小圆机汇总表!A:AP,8,FALSE))</f>
        <v>固力</v>
      </c>
      <c r="G34" s="23">
        <v>43741</v>
      </c>
      <c r="H34" s="8">
        <v>717.6</v>
      </c>
      <c r="I34" s="8">
        <v>33</v>
      </c>
      <c r="K34" s="8" t="s">
        <v>247</v>
      </c>
      <c r="M34" s="250">
        <f t="shared" si="0"/>
        <v>10</v>
      </c>
    </row>
    <row r="35" spans="1:13" hidden="1" outlineLevel="1">
      <c r="A35" s="4">
        <v>35</v>
      </c>
      <c r="B35" s="8" t="s">
        <v>47</v>
      </c>
      <c r="C35" s="8" t="str">
        <f>IF(B35="","",VLOOKUP(B35,小圆机汇总表!A:AP,2,FALSE))</f>
        <v>A5035w</v>
      </c>
      <c r="D35" s="8">
        <f>IF(B35="","",VLOOKUP(B35,小圆机汇总表!A:AP,7,FALSE))</f>
        <v>35</v>
      </c>
      <c r="E35" s="8" t="str">
        <f>IF(B35="","",VLOOKUP(B35,小圆机汇总表!A:AP,5,FALSE))</f>
        <v>白</v>
      </c>
      <c r="F35" s="8" t="str">
        <f>IF(B35="","",VLOOKUP(B35,小圆机汇总表!A:AP,8,FALSE))</f>
        <v>长乐</v>
      </c>
      <c r="G35" s="23">
        <v>43741</v>
      </c>
      <c r="H35" s="8">
        <v>406.8</v>
      </c>
      <c r="I35" s="8">
        <v>20</v>
      </c>
      <c r="K35" s="8" t="s">
        <v>248</v>
      </c>
      <c r="M35" s="250">
        <f t="shared" si="0"/>
        <v>10</v>
      </c>
    </row>
    <row r="36" spans="1:13" hidden="1" outlineLevel="1">
      <c r="A36" s="4">
        <v>36</v>
      </c>
      <c r="B36" s="8" t="s">
        <v>114</v>
      </c>
      <c r="C36" s="8" t="str">
        <f>IF(B36="","",VLOOKUP(B36,小圆机汇总表!A:AP,2,FALSE))</f>
        <v>A5035大W</v>
      </c>
      <c r="D36" s="8">
        <f>IF(B36="","",VLOOKUP(B36,小圆机汇总表!A:AP,7,FALSE))</f>
        <v>35</v>
      </c>
      <c r="E36" s="8" t="str">
        <f>IF(B36="","",VLOOKUP(B36,小圆机汇总表!A:AP,5,FALSE))</f>
        <v>白</v>
      </c>
      <c r="F36" s="8" t="str">
        <f>IF(B36="","",VLOOKUP(B36,小圆机汇总表!A:AP,8,FALSE))</f>
        <v>长乐</v>
      </c>
      <c r="G36" s="23">
        <v>43741</v>
      </c>
      <c r="H36" s="8">
        <v>484.8</v>
      </c>
      <c r="I36" s="8">
        <v>24</v>
      </c>
      <c r="K36" s="8" t="s">
        <v>242</v>
      </c>
      <c r="M36" s="250">
        <f t="shared" si="0"/>
        <v>10</v>
      </c>
    </row>
    <row r="37" spans="1:13" hidden="1" outlineLevel="1">
      <c r="A37" s="4">
        <v>37</v>
      </c>
      <c r="B37" s="8" t="s">
        <v>116</v>
      </c>
      <c r="C37" s="8" t="str">
        <f>IF(B37="","",VLOOKUP(B37,小圆机汇总表!A:AP,2,FALSE))</f>
        <v>B5036大W高温丝</v>
      </c>
      <c r="D37" s="8">
        <f>IF(B37="","",VLOOKUP(B37,小圆机汇总表!A:AP,7,FALSE))</f>
        <v>36</v>
      </c>
      <c r="E37" s="8" t="str">
        <f>IF(B37="","",VLOOKUP(B37,小圆机汇总表!A:AP,5,FALSE))</f>
        <v>白高温</v>
      </c>
      <c r="F37" s="8" t="str">
        <f>IF(B37="","",VLOOKUP(B37,小圆机汇总表!A:AP,8,FALSE))</f>
        <v>长乐</v>
      </c>
      <c r="G37" s="23">
        <v>43741</v>
      </c>
      <c r="H37" s="8">
        <v>257.10000000000002</v>
      </c>
      <c r="I37" s="8">
        <v>13</v>
      </c>
      <c r="K37" s="8" t="s">
        <v>244</v>
      </c>
      <c r="M37" s="250">
        <f t="shared" si="0"/>
        <v>10</v>
      </c>
    </row>
    <row r="38" spans="1:13" hidden="1" outlineLevel="1">
      <c r="A38" s="4">
        <v>38</v>
      </c>
      <c r="B38" s="8" t="s">
        <v>70</v>
      </c>
      <c r="C38" s="8" t="str">
        <f>IF(B38="","",VLOOKUP(B38,小圆机汇总表!A:AP,2,FALSE))</f>
        <v>A5038w</v>
      </c>
      <c r="D38" s="8">
        <f>IF(B38="","",VLOOKUP(B38,小圆机汇总表!A:AP,7,FALSE))</f>
        <v>38</v>
      </c>
      <c r="E38" s="8" t="str">
        <f>IF(B38="","",VLOOKUP(B38,小圆机汇总表!A:AP,5,FALSE))</f>
        <v>白</v>
      </c>
      <c r="F38" s="8" t="str">
        <f>IF(B38="","",VLOOKUP(B38,小圆机汇总表!A:AP,8,FALSE))</f>
        <v>长乐</v>
      </c>
      <c r="G38" s="23">
        <v>43741</v>
      </c>
      <c r="H38" s="8">
        <v>305.7</v>
      </c>
      <c r="I38" s="8">
        <v>15</v>
      </c>
      <c r="K38" s="8" t="s">
        <v>247</v>
      </c>
      <c r="M38" s="250">
        <f t="shared" si="0"/>
        <v>10</v>
      </c>
    </row>
    <row r="39" spans="1:13" hidden="1" outlineLevel="1">
      <c r="A39" s="4">
        <v>39</v>
      </c>
      <c r="B39" s="8" t="s">
        <v>128</v>
      </c>
      <c r="C39" s="8" t="str">
        <f>IF(B39="","",VLOOKUP(B39,小圆机汇总表!A:AP,2,FALSE))</f>
        <v>A7545斜乱平纹</v>
      </c>
      <c r="D39" s="8">
        <f>IF(B39="","",VLOOKUP(B39,小圆机汇总表!A:AP,7,FALSE))</f>
        <v>45</v>
      </c>
      <c r="E39" s="8" t="str">
        <f>IF(B39="","",VLOOKUP(B39,小圆机汇总表!A:AP,5,FALSE))</f>
        <v>白</v>
      </c>
      <c r="F39" s="8" t="str">
        <f>IF(B39="","",VLOOKUP(B39,小圆机汇总表!A:AP,8,FALSE))</f>
        <v>长乐</v>
      </c>
      <c r="G39" s="23">
        <v>43741</v>
      </c>
      <c r="H39" s="8">
        <v>320</v>
      </c>
      <c r="I39" s="8">
        <v>16</v>
      </c>
      <c r="K39" s="8" t="s">
        <v>242</v>
      </c>
      <c r="M39" s="250">
        <f t="shared" si="0"/>
        <v>10</v>
      </c>
    </row>
    <row r="40" spans="1:13" hidden="1" outlineLevel="1">
      <c r="A40" s="4">
        <v>40</v>
      </c>
      <c r="B40" s="8" t="s">
        <v>83</v>
      </c>
      <c r="C40" s="8" t="str">
        <f>IF(B40="","",VLOOKUP(B40,小圆机汇总表!A:AP,2,FALSE))</f>
        <v>B7545w</v>
      </c>
      <c r="D40" s="8">
        <f>IF(B40="","",VLOOKUP(B40,小圆机汇总表!A:AP,7,FALSE))</f>
        <v>45</v>
      </c>
      <c r="E40" s="8" t="str">
        <f>IF(B40="","",VLOOKUP(B40,小圆机汇总表!A:AP,5,FALSE))</f>
        <v>白</v>
      </c>
      <c r="F40" s="8" t="str">
        <f>IF(B40="","",VLOOKUP(B40,小圆机汇总表!A:AP,8,FALSE))</f>
        <v>长乐</v>
      </c>
      <c r="G40" s="23">
        <v>43741</v>
      </c>
      <c r="H40" s="8">
        <v>371.4</v>
      </c>
      <c r="I40" s="8">
        <v>18</v>
      </c>
      <c r="K40" s="8" t="s">
        <v>249</v>
      </c>
      <c r="M40" s="250">
        <f t="shared" si="0"/>
        <v>10</v>
      </c>
    </row>
    <row r="41" spans="1:13" hidden="1" outlineLevel="1">
      <c r="A41" s="4">
        <v>41</v>
      </c>
      <c r="B41" s="8" t="s">
        <v>129</v>
      </c>
      <c r="C41" s="8" t="str">
        <f>IF(B41="","",VLOOKUP(B41,小圆机汇总表!A:AP,2,FALSE))</f>
        <v>A7548斜乱平纹</v>
      </c>
      <c r="D41" s="8">
        <f>IF(B41="","",VLOOKUP(B41,小圆机汇总表!A:AP,7,FALSE))</f>
        <v>48</v>
      </c>
      <c r="E41" s="8" t="str">
        <f>IF(B41="","",VLOOKUP(B41,小圆机汇总表!A:AP,5,FALSE))</f>
        <v>白高温</v>
      </c>
      <c r="F41" s="8" t="str">
        <f>IF(B41="","",VLOOKUP(B41,小圆机汇总表!A:AP,8,FALSE))</f>
        <v>长乐</v>
      </c>
      <c r="G41" s="23">
        <v>43741</v>
      </c>
      <c r="H41" s="8">
        <v>162.4</v>
      </c>
      <c r="I41" s="8">
        <v>8</v>
      </c>
      <c r="K41" s="8" t="s">
        <v>245</v>
      </c>
      <c r="M41" s="250">
        <f t="shared" si="0"/>
        <v>10</v>
      </c>
    </row>
    <row r="42" spans="1:13" hidden="1" outlineLevel="1">
      <c r="A42" s="4">
        <v>42</v>
      </c>
      <c r="B42" s="8" t="s">
        <v>33</v>
      </c>
      <c r="C42" s="8" t="str">
        <f>IF(B42="","",VLOOKUP(B42,小圆机汇总表!A:AP,2,FALSE))</f>
        <v>B3029直平纹</v>
      </c>
      <c r="D42" s="8">
        <f>IF(B42="","",VLOOKUP(B42,小圆机汇总表!A:AP,7,FALSE))</f>
        <v>29</v>
      </c>
      <c r="E42" s="8" t="str">
        <f>IF(B42="","",VLOOKUP(B42,小圆机汇总表!A:AP,5,FALSE))</f>
        <v>白</v>
      </c>
      <c r="F42" s="8" t="str">
        <f>IF(B42="","",VLOOKUP(B42,小圆机汇总表!A:AP,8,FALSE))</f>
        <v>恒力</v>
      </c>
      <c r="G42" s="23">
        <v>43742</v>
      </c>
      <c r="H42" s="8">
        <v>99.7</v>
      </c>
      <c r="I42" s="8">
        <v>5</v>
      </c>
      <c r="K42" s="8" t="s">
        <v>242</v>
      </c>
      <c r="M42" s="250">
        <f t="shared" si="0"/>
        <v>10</v>
      </c>
    </row>
    <row r="43" spans="1:13" hidden="1" outlineLevel="1">
      <c r="A43" s="4">
        <v>43</v>
      </c>
      <c r="B43" s="8" t="s">
        <v>121</v>
      </c>
      <c r="C43" s="8" t="str">
        <f>IF(B43="","",VLOOKUP(B43,小圆机汇总表!A:AP,2,FALSE))</f>
        <v>A5032w</v>
      </c>
      <c r="D43" s="8">
        <f>IF(B43="","",VLOOKUP(B43,小圆机汇总表!A:AP,7,FALSE))</f>
        <v>32</v>
      </c>
      <c r="E43" s="8" t="str">
        <f>IF(B43="","",VLOOKUP(B43,小圆机汇总表!A:AP,5,FALSE))</f>
        <v>白</v>
      </c>
      <c r="F43" s="8" t="str">
        <f>IF(B43="","",VLOOKUP(B43,小圆机汇总表!A:AP,8,FALSE))</f>
        <v>长乐</v>
      </c>
      <c r="G43" s="23">
        <v>43742</v>
      </c>
      <c r="H43" s="8">
        <v>856.3</v>
      </c>
      <c r="I43" s="8">
        <v>43</v>
      </c>
      <c r="K43" s="8" t="s">
        <v>243</v>
      </c>
      <c r="M43" s="250">
        <f t="shared" si="0"/>
        <v>10</v>
      </c>
    </row>
    <row r="44" spans="1:13" hidden="1" outlineLevel="1">
      <c r="A44" s="4">
        <v>44</v>
      </c>
      <c r="B44" s="8" t="s">
        <v>122</v>
      </c>
      <c r="C44" s="8" t="str">
        <f>IF(B44="","",VLOOKUP(B44,小圆机汇总表!A:AP,2,FALSE))</f>
        <v>B5034大W</v>
      </c>
      <c r="D44" s="8">
        <f>IF(B44="","",VLOOKUP(B44,小圆机汇总表!A:AP,7,FALSE))</f>
        <v>34</v>
      </c>
      <c r="E44" s="8" t="str">
        <f>IF(B44="","",VLOOKUP(B44,小圆机汇总表!A:AP,5,FALSE))</f>
        <v>白高温</v>
      </c>
      <c r="F44" s="8" t="str">
        <f>IF(B44="","",VLOOKUP(B44,小圆机汇总表!A:AP,8,FALSE))</f>
        <v>长乐</v>
      </c>
      <c r="G44" s="23">
        <v>43742</v>
      </c>
      <c r="H44" s="8">
        <v>954.1</v>
      </c>
      <c r="I44" s="8">
        <v>47</v>
      </c>
      <c r="K44" s="8" t="s">
        <v>244</v>
      </c>
      <c r="M44" s="250">
        <f t="shared" si="0"/>
        <v>10</v>
      </c>
    </row>
    <row r="45" spans="1:13" hidden="1" outlineLevel="1">
      <c r="A45" s="4">
        <v>45</v>
      </c>
      <c r="B45" s="8" t="s">
        <v>123</v>
      </c>
      <c r="C45" s="8" t="str">
        <f>IF(B45="","",VLOOKUP(B45,小圆机汇总表!A:AP,2,FALSE))</f>
        <v>B7539斜乱平纹</v>
      </c>
      <c r="D45" s="8">
        <f>IF(B45="","",VLOOKUP(B45,小圆机汇总表!A:AP,7,FALSE))</f>
        <v>39</v>
      </c>
      <c r="E45" s="8" t="str">
        <f>IF(B45="","",VLOOKUP(B45,小圆机汇总表!A:AP,5,FALSE))</f>
        <v>白</v>
      </c>
      <c r="F45" s="8" t="str">
        <f>IF(B45="","",VLOOKUP(B45,小圆机汇总表!A:AP,8,FALSE))</f>
        <v>盛元</v>
      </c>
      <c r="G45" s="23">
        <v>43742</v>
      </c>
      <c r="H45" s="8">
        <v>470.7</v>
      </c>
      <c r="I45" s="8">
        <v>23</v>
      </c>
      <c r="K45" s="8" t="s">
        <v>245</v>
      </c>
      <c r="M45" s="250">
        <f t="shared" si="0"/>
        <v>10</v>
      </c>
    </row>
    <row r="46" spans="1:13" hidden="1" outlineLevel="1">
      <c r="A46" s="4">
        <v>46</v>
      </c>
      <c r="B46" s="8" t="s">
        <v>81</v>
      </c>
      <c r="C46" s="8" t="str">
        <f>IF(B46="","",VLOOKUP(B46,小圆机汇总表!A:AP,2,FALSE))</f>
        <v>C5034w</v>
      </c>
      <c r="D46" s="8">
        <f>IF(B46="","",VLOOKUP(B46,小圆机汇总表!A:AP,7,FALSE))</f>
        <v>34</v>
      </c>
      <c r="E46" s="8" t="str">
        <f>IF(B46="","",VLOOKUP(B46,小圆机汇总表!A:AP,5,FALSE))</f>
        <v>白</v>
      </c>
      <c r="F46" s="8" t="str">
        <f>IF(B46="","",VLOOKUP(B46,小圆机汇总表!A:AP,8,FALSE))</f>
        <v>长乐</v>
      </c>
      <c r="G46" s="23">
        <v>43742</v>
      </c>
      <c r="H46" s="8">
        <v>368.3</v>
      </c>
      <c r="I46" s="8">
        <v>19</v>
      </c>
      <c r="K46" s="8" t="s">
        <v>246</v>
      </c>
      <c r="M46" s="250">
        <f t="shared" si="0"/>
        <v>10</v>
      </c>
    </row>
    <row r="47" spans="1:13" hidden="1" outlineLevel="1">
      <c r="A47" s="4">
        <v>47</v>
      </c>
      <c r="B47" s="8" t="s">
        <v>112</v>
      </c>
      <c r="C47" s="8" t="str">
        <f>IF(B47="","",VLOOKUP(B47,小圆机汇总表!A:AP,2,FALSE))</f>
        <v>A5035w黑</v>
      </c>
      <c r="D47" s="8">
        <f>IF(B47="","",VLOOKUP(B47,小圆机汇总表!A:AP,7,FALSE))</f>
        <v>35</v>
      </c>
      <c r="E47" s="8" t="str">
        <f>IF(B47="","",VLOOKUP(B47,小圆机汇总表!A:AP,5,FALSE))</f>
        <v>黑</v>
      </c>
      <c r="F47" s="8" t="str">
        <f>IF(B47="","",VLOOKUP(B47,小圆机汇总表!A:AP,8,FALSE))</f>
        <v>固力</v>
      </c>
      <c r="G47" s="23">
        <v>43742</v>
      </c>
      <c r="H47" s="8">
        <v>704.2</v>
      </c>
      <c r="I47" s="8">
        <f>27+5</f>
        <v>32</v>
      </c>
      <c r="K47" s="8" t="s">
        <v>247</v>
      </c>
      <c r="M47" s="250">
        <f t="shared" si="0"/>
        <v>10</v>
      </c>
    </row>
    <row r="48" spans="1:13" hidden="1" outlineLevel="1">
      <c r="A48" s="4">
        <v>48</v>
      </c>
      <c r="B48" s="8" t="s">
        <v>47</v>
      </c>
      <c r="C48" s="8" t="str">
        <f>IF(B48="","",VLOOKUP(B48,小圆机汇总表!A:AP,2,FALSE))</f>
        <v>A5035w</v>
      </c>
      <c r="D48" s="8">
        <f>IF(B48="","",VLOOKUP(B48,小圆机汇总表!A:AP,7,FALSE))</f>
        <v>35</v>
      </c>
      <c r="E48" s="8" t="str">
        <f>IF(B48="","",VLOOKUP(B48,小圆机汇总表!A:AP,5,FALSE))</f>
        <v>白</v>
      </c>
      <c r="F48" s="8" t="str">
        <f>IF(B48="","",VLOOKUP(B48,小圆机汇总表!A:AP,8,FALSE))</f>
        <v>长乐</v>
      </c>
      <c r="G48" s="23">
        <v>43742</v>
      </c>
      <c r="H48" s="8">
        <v>427.1</v>
      </c>
      <c r="I48" s="8">
        <v>21</v>
      </c>
      <c r="K48" s="8" t="s">
        <v>248</v>
      </c>
      <c r="M48" s="250">
        <f t="shared" si="0"/>
        <v>10</v>
      </c>
    </row>
    <row r="49" spans="1:13" hidden="1" outlineLevel="1">
      <c r="A49" s="4">
        <v>49</v>
      </c>
      <c r="B49" s="8" t="s">
        <v>114</v>
      </c>
      <c r="C49" s="8" t="str">
        <f>IF(B49="","",VLOOKUP(B49,小圆机汇总表!A:AP,2,FALSE))</f>
        <v>A5035大W</v>
      </c>
      <c r="D49" s="8">
        <f>IF(B49="","",VLOOKUP(B49,小圆机汇总表!A:AP,7,FALSE))</f>
        <v>35</v>
      </c>
      <c r="E49" s="8" t="str">
        <f>IF(B49="","",VLOOKUP(B49,小圆机汇总表!A:AP,5,FALSE))</f>
        <v>白</v>
      </c>
      <c r="F49" s="8" t="str">
        <f>IF(B49="","",VLOOKUP(B49,小圆机汇总表!A:AP,8,FALSE))</f>
        <v>长乐</v>
      </c>
      <c r="G49" s="23">
        <v>43742</v>
      </c>
      <c r="H49" s="8">
        <v>504.6</v>
      </c>
      <c r="I49" s="8">
        <v>25</v>
      </c>
      <c r="K49" s="8" t="s">
        <v>242</v>
      </c>
      <c r="M49" s="250">
        <f t="shared" si="0"/>
        <v>10</v>
      </c>
    </row>
    <row r="50" spans="1:13" hidden="1" outlineLevel="1">
      <c r="A50" s="4">
        <v>50</v>
      </c>
      <c r="B50" s="8" t="s">
        <v>116</v>
      </c>
      <c r="C50" s="8" t="str">
        <f>IF(B50="","",VLOOKUP(B50,小圆机汇总表!A:AP,2,FALSE))</f>
        <v>B5036大W高温丝</v>
      </c>
      <c r="D50" s="8">
        <f>IF(B50="","",VLOOKUP(B50,小圆机汇总表!A:AP,7,FALSE))</f>
        <v>36</v>
      </c>
      <c r="E50" s="8" t="str">
        <f>IF(B50="","",VLOOKUP(B50,小圆机汇总表!A:AP,5,FALSE))</f>
        <v>白高温</v>
      </c>
      <c r="F50" s="8" t="str">
        <f>IF(B50="","",VLOOKUP(B50,小圆机汇总表!A:AP,8,FALSE))</f>
        <v>长乐</v>
      </c>
      <c r="G50" s="23">
        <v>43742</v>
      </c>
      <c r="H50" s="8">
        <v>304.2</v>
      </c>
      <c r="I50" s="8">
        <v>15</v>
      </c>
      <c r="K50" s="8" t="s">
        <v>244</v>
      </c>
      <c r="M50" s="250">
        <f t="shared" si="0"/>
        <v>10</v>
      </c>
    </row>
    <row r="51" spans="1:13" hidden="1" outlineLevel="1">
      <c r="A51" s="4">
        <v>51</v>
      </c>
      <c r="B51" s="8" t="s">
        <v>70</v>
      </c>
      <c r="C51" s="8" t="str">
        <f>IF(B51="","",VLOOKUP(B51,小圆机汇总表!A:AP,2,FALSE))</f>
        <v>A5038w</v>
      </c>
      <c r="D51" s="8">
        <f>IF(B51="","",VLOOKUP(B51,小圆机汇总表!A:AP,7,FALSE))</f>
        <v>38</v>
      </c>
      <c r="E51" s="8" t="str">
        <f>IF(B51="","",VLOOKUP(B51,小圆机汇总表!A:AP,5,FALSE))</f>
        <v>白</v>
      </c>
      <c r="F51" s="8" t="str">
        <f>IF(B51="","",VLOOKUP(B51,小圆机汇总表!A:AP,8,FALSE))</f>
        <v>长乐</v>
      </c>
      <c r="G51" s="23">
        <v>43742</v>
      </c>
      <c r="H51" s="8">
        <v>291.7</v>
      </c>
      <c r="I51" s="8">
        <v>14</v>
      </c>
      <c r="K51" s="8" t="s">
        <v>247</v>
      </c>
      <c r="M51" s="250">
        <f t="shared" si="0"/>
        <v>10</v>
      </c>
    </row>
    <row r="52" spans="1:13" hidden="1" outlineLevel="1">
      <c r="A52" s="4">
        <v>52</v>
      </c>
      <c r="B52" s="8" t="s">
        <v>128</v>
      </c>
      <c r="C52" s="8" t="str">
        <f>IF(B52="","",VLOOKUP(B52,小圆机汇总表!A:AP,2,FALSE))</f>
        <v>A7545斜乱平纹</v>
      </c>
      <c r="D52" s="8">
        <f>IF(B52="","",VLOOKUP(B52,小圆机汇总表!A:AP,7,FALSE))</f>
        <v>45</v>
      </c>
      <c r="E52" s="8" t="str">
        <f>IF(B52="","",VLOOKUP(B52,小圆机汇总表!A:AP,5,FALSE))</f>
        <v>白</v>
      </c>
      <c r="F52" s="8" t="str">
        <f>IF(B52="","",VLOOKUP(B52,小圆机汇总表!A:AP,8,FALSE))</f>
        <v>长乐</v>
      </c>
      <c r="G52" s="23">
        <v>43742</v>
      </c>
      <c r="H52" s="8">
        <v>320</v>
      </c>
      <c r="I52" s="8">
        <v>16</v>
      </c>
      <c r="K52" s="8" t="s">
        <v>242</v>
      </c>
      <c r="M52" s="250">
        <f t="shared" si="0"/>
        <v>10</v>
      </c>
    </row>
    <row r="53" spans="1:13" hidden="1" outlineLevel="1">
      <c r="A53" s="4">
        <v>53</v>
      </c>
      <c r="B53" s="8" t="s">
        <v>83</v>
      </c>
      <c r="C53" s="8" t="str">
        <f>IF(B53="","",VLOOKUP(B53,小圆机汇总表!A:AP,2,FALSE))</f>
        <v>B7545w</v>
      </c>
      <c r="D53" s="8">
        <f>IF(B53="","",VLOOKUP(B53,小圆机汇总表!A:AP,7,FALSE))</f>
        <v>45</v>
      </c>
      <c r="E53" s="8" t="str">
        <f>IF(B53="","",VLOOKUP(B53,小圆机汇总表!A:AP,5,FALSE))</f>
        <v>白</v>
      </c>
      <c r="F53" s="8" t="str">
        <f>IF(B53="","",VLOOKUP(B53,小圆机汇总表!A:AP,8,FALSE))</f>
        <v>长乐</v>
      </c>
      <c r="G53" s="23">
        <v>43742</v>
      </c>
      <c r="H53" s="8">
        <v>371.4</v>
      </c>
      <c r="I53" s="8">
        <v>18</v>
      </c>
      <c r="K53" s="8" t="s">
        <v>249</v>
      </c>
      <c r="M53" s="250">
        <f t="shared" si="0"/>
        <v>10</v>
      </c>
    </row>
    <row r="54" spans="1:13" hidden="1" outlineLevel="1">
      <c r="A54" s="4">
        <v>54</v>
      </c>
      <c r="B54" s="8" t="s">
        <v>129</v>
      </c>
      <c r="C54" s="8" t="str">
        <f>IF(B54="","",VLOOKUP(B54,小圆机汇总表!A:AP,2,FALSE))</f>
        <v>A7548斜乱平纹</v>
      </c>
      <c r="D54" s="8">
        <f>IF(B54="","",VLOOKUP(B54,小圆机汇总表!A:AP,7,FALSE))</f>
        <v>48</v>
      </c>
      <c r="E54" s="8" t="str">
        <f>IF(B54="","",VLOOKUP(B54,小圆机汇总表!A:AP,5,FALSE))</f>
        <v>白高温</v>
      </c>
      <c r="F54" s="8" t="str">
        <f>IF(B54="","",VLOOKUP(B54,小圆机汇总表!A:AP,8,FALSE))</f>
        <v>长乐</v>
      </c>
      <c r="G54" s="23">
        <v>43742</v>
      </c>
      <c r="H54" s="8">
        <v>142.1</v>
      </c>
      <c r="I54" s="8">
        <v>7</v>
      </c>
      <c r="K54" s="8" t="s">
        <v>245</v>
      </c>
      <c r="M54" s="250">
        <f t="shared" si="0"/>
        <v>10</v>
      </c>
    </row>
    <row r="55" spans="1:13" hidden="1" outlineLevel="1">
      <c r="A55" s="4">
        <v>55</v>
      </c>
      <c r="B55" s="8" t="s">
        <v>119</v>
      </c>
      <c r="C55" s="8" t="str">
        <f>IF(B55="","",VLOOKUP(B55,小圆机汇总表!A:AP,2,FALSE))</f>
        <v>B3023大W</v>
      </c>
      <c r="D55" s="8">
        <f>IF(B55="","",VLOOKUP(B55,小圆机汇总表!A:AP,7,FALSE))</f>
        <v>23</v>
      </c>
      <c r="E55" s="8" t="str">
        <f>IF(B55="","",VLOOKUP(B55,小圆机汇总表!A:AP,5,FALSE))</f>
        <v>白</v>
      </c>
      <c r="F55" s="8" t="str">
        <f>IF(B55="","",VLOOKUP(B55,小圆机汇总表!A:AP,8,FALSE))</f>
        <v>长乐</v>
      </c>
      <c r="G55" s="23">
        <v>43742</v>
      </c>
      <c r="H55" s="8">
        <v>38.6</v>
      </c>
      <c r="I55" s="8">
        <v>2</v>
      </c>
      <c r="K55" s="8" t="s">
        <v>250</v>
      </c>
      <c r="M55" s="250">
        <f t="shared" si="0"/>
        <v>10</v>
      </c>
    </row>
    <row r="56" spans="1:13" hidden="1" outlineLevel="1">
      <c r="A56" s="4">
        <v>56</v>
      </c>
      <c r="B56" s="8" t="s">
        <v>33</v>
      </c>
      <c r="C56" s="8" t="str">
        <f>IF(B56="","",VLOOKUP(B56,小圆机汇总表!A:AP,2,FALSE))</f>
        <v>B3029直平纹</v>
      </c>
      <c r="D56" s="8">
        <f>IF(B56="","",VLOOKUP(B56,小圆机汇总表!A:AP,7,FALSE))</f>
        <v>29</v>
      </c>
      <c r="E56" s="8" t="str">
        <f>IF(B56="","",VLOOKUP(B56,小圆机汇总表!A:AP,5,FALSE))</f>
        <v>白</v>
      </c>
      <c r="F56" s="8" t="str">
        <f>IF(B56="","",VLOOKUP(B56,小圆机汇总表!A:AP,8,FALSE))</f>
        <v>恒力</v>
      </c>
      <c r="G56" s="23">
        <v>43743</v>
      </c>
      <c r="H56" s="8">
        <v>79.8</v>
      </c>
      <c r="I56" s="8">
        <v>4</v>
      </c>
      <c r="K56" s="8" t="s">
        <v>242</v>
      </c>
      <c r="M56" s="250">
        <f t="shared" si="0"/>
        <v>10</v>
      </c>
    </row>
    <row r="57" spans="1:13" hidden="1" outlineLevel="1">
      <c r="A57" s="4">
        <v>57</v>
      </c>
      <c r="B57" s="8" t="s">
        <v>121</v>
      </c>
      <c r="C57" s="8" t="str">
        <f>IF(B57="","",VLOOKUP(B57,小圆机汇总表!A:AP,2,FALSE))</f>
        <v>A5032w</v>
      </c>
      <c r="D57" s="8">
        <f>IF(B57="","",VLOOKUP(B57,小圆机汇总表!A:AP,7,FALSE))</f>
        <v>32</v>
      </c>
      <c r="E57" s="8" t="str">
        <f>IF(B57="","",VLOOKUP(B57,小圆机汇总表!A:AP,5,FALSE))</f>
        <v>白</v>
      </c>
      <c r="F57" s="8" t="str">
        <f>IF(B57="","",VLOOKUP(B57,小圆机汇总表!A:AP,8,FALSE))</f>
        <v>长乐</v>
      </c>
      <c r="G57" s="23">
        <v>43743</v>
      </c>
      <c r="H57" s="8">
        <v>797.6</v>
      </c>
      <c r="I57" s="8">
        <v>40</v>
      </c>
      <c r="K57" s="8" t="s">
        <v>251</v>
      </c>
      <c r="M57" s="250">
        <f t="shared" si="0"/>
        <v>10</v>
      </c>
    </row>
    <row r="58" spans="1:13" hidden="1" outlineLevel="1">
      <c r="A58" s="4">
        <v>58</v>
      </c>
      <c r="B58" s="8" t="s">
        <v>122</v>
      </c>
      <c r="C58" s="8" t="str">
        <f>IF(B58="","",VLOOKUP(B58,小圆机汇总表!A:AP,2,FALSE))</f>
        <v>B5034大W</v>
      </c>
      <c r="D58" s="8">
        <f>IF(B58="","",VLOOKUP(B58,小圆机汇总表!A:AP,7,FALSE))</f>
        <v>34</v>
      </c>
      <c r="E58" s="8" t="str">
        <f>IF(B58="","",VLOOKUP(B58,小圆机汇总表!A:AP,5,FALSE))</f>
        <v>白高温</v>
      </c>
      <c r="F58" s="8" t="str">
        <f>IF(B58="","",VLOOKUP(B58,小圆机汇总表!A:AP,8,FALSE))</f>
        <v>长乐</v>
      </c>
      <c r="G58" s="23">
        <v>43743</v>
      </c>
      <c r="H58" s="8">
        <v>1007.9</v>
      </c>
      <c r="I58" s="8">
        <v>50</v>
      </c>
      <c r="K58" s="8" t="s">
        <v>244</v>
      </c>
      <c r="M58" s="250">
        <f t="shared" si="0"/>
        <v>10</v>
      </c>
    </row>
    <row r="59" spans="1:13" hidden="1" outlineLevel="1">
      <c r="A59" s="4">
        <v>59</v>
      </c>
      <c r="B59" s="8" t="s">
        <v>123</v>
      </c>
      <c r="C59" s="8" t="str">
        <f>IF(B59="","",VLOOKUP(B59,小圆机汇总表!A:AP,2,FALSE))</f>
        <v>B7539斜乱平纹</v>
      </c>
      <c r="D59" s="8">
        <f>IF(B59="","",VLOOKUP(B59,小圆机汇总表!A:AP,7,FALSE))</f>
        <v>39</v>
      </c>
      <c r="E59" s="8" t="str">
        <f>IF(B59="","",VLOOKUP(B59,小圆机汇总表!A:AP,5,FALSE))</f>
        <v>白</v>
      </c>
      <c r="F59" s="8" t="str">
        <f>IF(B59="","",VLOOKUP(B59,小圆机汇总表!A:AP,8,FALSE))</f>
        <v>盛元</v>
      </c>
      <c r="G59" s="23">
        <v>43743</v>
      </c>
      <c r="H59" s="8">
        <v>371.2</v>
      </c>
      <c r="I59" s="8">
        <v>18</v>
      </c>
      <c r="K59" s="8" t="s">
        <v>245</v>
      </c>
      <c r="M59" s="250">
        <f t="shared" si="0"/>
        <v>10</v>
      </c>
    </row>
    <row r="60" spans="1:13" hidden="1" outlineLevel="1">
      <c r="A60" s="4">
        <v>60</v>
      </c>
      <c r="B60" s="8" t="s">
        <v>81</v>
      </c>
      <c r="C60" s="8" t="str">
        <f>IF(B60="","",VLOOKUP(B60,小圆机汇总表!A:AP,2,FALSE))</f>
        <v>C5034w</v>
      </c>
      <c r="D60" s="8">
        <f>IF(B60="","",VLOOKUP(B60,小圆机汇总表!A:AP,7,FALSE))</f>
        <v>34</v>
      </c>
      <c r="E60" s="8" t="str">
        <f>IF(B60="","",VLOOKUP(B60,小圆机汇总表!A:AP,5,FALSE))</f>
        <v>白</v>
      </c>
      <c r="F60" s="8" t="str">
        <f>IF(B60="","",VLOOKUP(B60,小圆机汇总表!A:AP,8,FALSE))</f>
        <v>长乐</v>
      </c>
      <c r="G60" s="23">
        <v>43743</v>
      </c>
      <c r="H60" s="8">
        <v>426.4</v>
      </c>
      <c r="I60" s="8">
        <v>22</v>
      </c>
      <c r="K60" s="8" t="s">
        <v>248</v>
      </c>
      <c r="M60" s="250">
        <f t="shared" si="0"/>
        <v>10</v>
      </c>
    </row>
    <row r="61" spans="1:13" hidden="1" outlineLevel="1">
      <c r="A61" s="4">
        <v>61</v>
      </c>
      <c r="B61" s="8" t="s">
        <v>112</v>
      </c>
      <c r="C61" s="8" t="str">
        <f>IF(B61="","",VLOOKUP(B61,小圆机汇总表!A:AP,2,FALSE))</f>
        <v>A5035w黑</v>
      </c>
      <c r="D61" s="8">
        <f>IF(B61="","",VLOOKUP(B61,小圆机汇总表!A:AP,7,FALSE))</f>
        <v>35</v>
      </c>
      <c r="E61" s="8" t="str">
        <f>IF(B61="","",VLOOKUP(B61,小圆机汇总表!A:AP,5,FALSE))</f>
        <v>黑</v>
      </c>
      <c r="F61" s="8" t="str">
        <f>IF(B61="","",VLOOKUP(B61,小圆机汇总表!A:AP,8,FALSE))</f>
        <v>固力</v>
      </c>
      <c r="G61" s="23">
        <v>43743</v>
      </c>
      <c r="H61" s="8">
        <v>703.3</v>
      </c>
      <c r="I61" s="8">
        <f>28+4</f>
        <v>32</v>
      </c>
      <c r="K61" s="8" t="s">
        <v>247</v>
      </c>
      <c r="M61" s="250">
        <f t="shared" si="0"/>
        <v>10</v>
      </c>
    </row>
    <row r="62" spans="1:13" hidden="1" outlineLevel="1">
      <c r="A62" s="4">
        <v>62</v>
      </c>
      <c r="B62" s="8" t="s">
        <v>47</v>
      </c>
      <c r="C62" s="8" t="str">
        <f>IF(B62="","",VLOOKUP(B62,小圆机汇总表!A:AP,2,FALSE))</f>
        <v>A5035w</v>
      </c>
      <c r="D62" s="8">
        <f>IF(B62="","",VLOOKUP(B62,小圆机汇总表!A:AP,7,FALSE))</f>
        <v>35</v>
      </c>
      <c r="E62" s="8" t="str">
        <f>IF(B62="","",VLOOKUP(B62,小圆机汇总表!A:AP,5,FALSE))</f>
        <v>白</v>
      </c>
      <c r="F62" s="8" t="str">
        <f>IF(B62="","",VLOOKUP(B62,小圆机汇总表!A:AP,8,FALSE))</f>
        <v>长乐</v>
      </c>
      <c r="G62" s="23">
        <v>43743</v>
      </c>
      <c r="H62" s="8">
        <v>528.79999999999995</v>
      </c>
      <c r="I62" s="8">
        <v>26</v>
      </c>
      <c r="K62" s="8" t="s">
        <v>248</v>
      </c>
      <c r="M62" s="250">
        <f t="shared" si="0"/>
        <v>10</v>
      </c>
    </row>
    <row r="63" spans="1:13" hidden="1" outlineLevel="1">
      <c r="A63" s="4">
        <v>63</v>
      </c>
      <c r="B63" s="8" t="s">
        <v>114</v>
      </c>
      <c r="C63" s="8" t="str">
        <f>IF(B63="","",VLOOKUP(B63,小圆机汇总表!A:AP,2,FALSE))</f>
        <v>A5035大W</v>
      </c>
      <c r="D63" s="8">
        <f>IF(B63="","",VLOOKUP(B63,小圆机汇总表!A:AP,7,FALSE))</f>
        <v>35</v>
      </c>
      <c r="E63" s="8" t="str">
        <f>IF(B63="","",VLOOKUP(B63,小圆机汇总表!A:AP,5,FALSE))</f>
        <v>白</v>
      </c>
      <c r="F63" s="8" t="str">
        <f>IF(B63="","",VLOOKUP(B63,小圆机汇总表!A:AP,8,FALSE))</f>
        <v>长乐</v>
      </c>
      <c r="G63" s="23">
        <v>43743</v>
      </c>
      <c r="H63" s="8">
        <v>301.8</v>
      </c>
      <c r="I63" s="8">
        <v>15</v>
      </c>
      <c r="K63" s="8" t="s">
        <v>242</v>
      </c>
      <c r="M63" s="250">
        <f t="shared" si="0"/>
        <v>10</v>
      </c>
    </row>
    <row r="64" spans="1:13" hidden="1" outlineLevel="1">
      <c r="A64" s="4">
        <v>64</v>
      </c>
      <c r="B64" s="8" t="s">
        <v>116</v>
      </c>
      <c r="C64" s="8" t="str">
        <f>IF(B64="","",VLOOKUP(B64,小圆机汇总表!A:AP,2,FALSE))</f>
        <v>B5036大W高温丝</v>
      </c>
      <c r="D64" s="8">
        <f>IF(B64="","",VLOOKUP(B64,小圆机汇总表!A:AP,7,FALSE))</f>
        <v>36</v>
      </c>
      <c r="E64" s="8" t="str">
        <f>IF(B64="","",VLOOKUP(B64,小圆机汇总表!A:AP,5,FALSE))</f>
        <v>白高温</v>
      </c>
      <c r="F64" s="8" t="str">
        <f>IF(B64="","",VLOOKUP(B64,小圆机汇总表!A:AP,8,FALSE))</f>
        <v>长乐</v>
      </c>
      <c r="G64" s="23">
        <v>43743</v>
      </c>
      <c r="H64" s="8">
        <v>365</v>
      </c>
      <c r="I64" s="8">
        <v>18</v>
      </c>
      <c r="K64" s="8" t="s">
        <v>244</v>
      </c>
      <c r="M64" s="250">
        <f t="shared" si="0"/>
        <v>10</v>
      </c>
    </row>
    <row r="65" spans="1:13" hidden="1" outlineLevel="1">
      <c r="A65" s="4">
        <v>65</v>
      </c>
      <c r="B65" s="8" t="s">
        <v>70</v>
      </c>
      <c r="C65" s="8" t="str">
        <f>IF(B65="","",VLOOKUP(B65,小圆机汇总表!A:AP,2,FALSE))</f>
        <v>A5038w</v>
      </c>
      <c r="D65" s="8">
        <f>IF(B65="","",VLOOKUP(B65,小圆机汇总表!A:AP,7,FALSE))</f>
        <v>38</v>
      </c>
      <c r="E65" s="8" t="str">
        <f>IF(B65="","",VLOOKUP(B65,小圆机汇总表!A:AP,5,FALSE))</f>
        <v>白</v>
      </c>
      <c r="F65" s="8" t="str">
        <f>IF(B65="","",VLOOKUP(B65,小圆机汇总表!A:AP,8,FALSE))</f>
        <v>长乐</v>
      </c>
      <c r="G65" s="23">
        <v>43743</v>
      </c>
      <c r="H65" s="8">
        <v>332.8</v>
      </c>
      <c r="I65" s="8">
        <v>16</v>
      </c>
      <c r="K65" s="8" t="s">
        <v>247</v>
      </c>
      <c r="M65" s="250">
        <f t="shared" si="0"/>
        <v>10</v>
      </c>
    </row>
    <row r="66" spans="1:13" hidden="1" outlineLevel="1">
      <c r="A66" s="4">
        <v>66</v>
      </c>
      <c r="B66" s="8" t="s">
        <v>128</v>
      </c>
      <c r="C66" s="8" t="str">
        <f>IF(B66="","",VLOOKUP(B66,小圆机汇总表!A:AP,2,FALSE))</f>
        <v>A7545斜乱平纹</v>
      </c>
      <c r="D66" s="8">
        <f>IF(B66="","",VLOOKUP(B66,小圆机汇总表!A:AP,7,FALSE))</f>
        <v>45</v>
      </c>
      <c r="E66" s="8" t="str">
        <f>IF(B66="","",VLOOKUP(B66,小圆机汇总表!A:AP,5,FALSE))</f>
        <v>白</v>
      </c>
      <c r="F66" s="8" t="str">
        <f>IF(B66="","",VLOOKUP(B66,小圆机汇总表!A:AP,8,FALSE))</f>
        <v>长乐</v>
      </c>
      <c r="G66" s="23">
        <v>43743</v>
      </c>
      <c r="H66" s="8">
        <v>300</v>
      </c>
      <c r="I66" s="8">
        <v>15</v>
      </c>
      <c r="K66" s="8" t="s">
        <v>242</v>
      </c>
      <c r="M66" s="250">
        <f t="shared" si="0"/>
        <v>10</v>
      </c>
    </row>
    <row r="67" spans="1:13" hidden="1" outlineLevel="1">
      <c r="A67" s="4">
        <v>67</v>
      </c>
      <c r="B67" s="8" t="s">
        <v>83</v>
      </c>
      <c r="C67" s="8" t="str">
        <f>IF(B67="","",VLOOKUP(B67,小圆机汇总表!A:AP,2,FALSE))</f>
        <v>B7545w</v>
      </c>
      <c r="D67" s="8">
        <f>IF(B67="","",VLOOKUP(B67,小圆机汇总表!A:AP,7,FALSE))</f>
        <v>45</v>
      </c>
      <c r="E67" s="8" t="str">
        <f>IF(B67="","",VLOOKUP(B67,小圆机汇总表!A:AP,5,FALSE))</f>
        <v>白</v>
      </c>
      <c r="F67" s="8" t="str">
        <f>IF(B67="","",VLOOKUP(B67,小圆机汇总表!A:AP,8,FALSE))</f>
        <v>长乐</v>
      </c>
      <c r="G67" s="23">
        <v>43743</v>
      </c>
      <c r="H67" s="8">
        <v>371.4</v>
      </c>
      <c r="I67" s="8">
        <v>18</v>
      </c>
      <c r="K67" s="8" t="s">
        <v>249</v>
      </c>
      <c r="M67" s="250">
        <f t="shared" ref="M67:M130" si="1">IF(B67="","",MONTH(G67))</f>
        <v>10</v>
      </c>
    </row>
    <row r="68" spans="1:13" hidden="1" outlineLevel="1">
      <c r="A68" s="4">
        <v>68</v>
      </c>
      <c r="B68" s="8" t="s">
        <v>129</v>
      </c>
      <c r="C68" s="8" t="str">
        <f>IF(B68="","",VLOOKUP(B68,小圆机汇总表!A:AP,2,FALSE))</f>
        <v>A7548斜乱平纹</v>
      </c>
      <c r="D68" s="8">
        <f>IF(B68="","",VLOOKUP(B68,小圆机汇总表!A:AP,7,FALSE))</f>
        <v>48</v>
      </c>
      <c r="E68" s="8" t="str">
        <f>IF(B68="","",VLOOKUP(B68,小圆机汇总表!A:AP,5,FALSE))</f>
        <v>白高温</v>
      </c>
      <c r="F68" s="8" t="str">
        <f>IF(B68="","",VLOOKUP(B68,小圆机汇总表!A:AP,8,FALSE))</f>
        <v>长乐</v>
      </c>
      <c r="G68" s="23">
        <v>43743</v>
      </c>
      <c r="H68" s="8">
        <v>142.1</v>
      </c>
      <c r="I68" s="8">
        <v>7</v>
      </c>
      <c r="K68" s="8" t="s">
        <v>245</v>
      </c>
      <c r="M68" s="250">
        <f t="shared" si="1"/>
        <v>10</v>
      </c>
    </row>
    <row r="69" spans="1:13" hidden="1" outlineLevel="1">
      <c r="A69" s="4">
        <v>69</v>
      </c>
      <c r="B69" s="8" t="s">
        <v>119</v>
      </c>
      <c r="C69" s="8" t="str">
        <f>IF(B69="","",VLOOKUP(B69,小圆机汇总表!A:AP,2,FALSE))</f>
        <v>B3023大W</v>
      </c>
      <c r="D69" s="8">
        <f>IF(B69="","",VLOOKUP(B69,小圆机汇总表!A:AP,7,FALSE))</f>
        <v>23</v>
      </c>
      <c r="E69" s="8" t="str">
        <f>IF(B69="","",VLOOKUP(B69,小圆机汇总表!A:AP,5,FALSE))</f>
        <v>白</v>
      </c>
      <c r="F69" s="8" t="str">
        <f>IF(B69="","",VLOOKUP(B69,小圆机汇总表!A:AP,8,FALSE))</f>
        <v>长乐</v>
      </c>
      <c r="G69" s="23">
        <v>43743</v>
      </c>
      <c r="H69" s="8">
        <v>57.9</v>
      </c>
      <c r="I69" s="8">
        <v>3</v>
      </c>
      <c r="K69" s="8" t="s">
        <v>250</v>
      </c>
      <c r="M69" s="250">
        <f t="shared" si="1"/>
        <v>10</v>
      </c>
    </row>
    <row r="70" spans="1:13" hidden="1" outlineLevel="1">
      <c r="A70" s="4">
        <v>70</v>
      </c>
      <c r="B70" s="8" t="s">
        <v>33</v>
      </c>
      <c r="C70" s="8" t="str">
        <f>IF(B70="","",VLOOKUP(B70,小圆机汇总表!A:AP,2,FALSE))</f>
        <v>B3029直平纹</v>
      </c>
      <c r="D70" s="8">
        <f>IF(B70="","",VLOOKUP(B70,小圆机汇总表!A:AP,7,FALSE))</f>
        <v>29</v>
      </c>
      <c r="E70" s="8" t="str">
        <f>IF(B70="","",VLOOKUP(B70,小圆机汇总表!A:AP,5,FALSE))</f>
        <v>白</v>
      </c>
      <c r="F70" s="8" t="str">
        <f>IF(B70="","",VLOOKUP(B70,小圆机汇总表!A:AP,8,FALSE))</f>
        <v>恒力</v>
      </c>
      <c r="G70" s="23">
        <v>43744</v>
      </c>
      <c r="H70" s="8">
        <v>72.5</v>
      </c>
      <c r="I70" s="8">
        <v>4</v>
      </c>
      <c r="K70" s="8" t="s">
        <v>242</v>
      </c>
      <c r="M70" s="250">
        <f t="shared" si="1"/>
        <v>10</v>
      </c>
    </row>
    <row r="71" spans="1:13" hidden="1" outlineLevel="1">
      <c r="A71" s="4">
        <v>71</v>
      </c>
      <c r="B71" s="8" t="s">
        <v>121</v>
      </c>
      <c r="C71" s="8" t="str">
        <f>IF(B71="","",VLOOKUP(B71,小圆机汇总表!A:AP,2,FALSE))</f>
        <v>A5032w</v>
      </c>
      <c r="D71" s="8">
        <f>IF(B71="","",VLOOKUP(B71,小圆机汇总表!A:AP,7,FALSE))</f>
        <v>32</v>
      </c>
      <c r="E71" s="8" t="str">
        <f>IF(B71="","",VLOOKUP(B71,小圆机汇总表!A:AP,5,FALSE))</f>
        <v>白</v>
      </c>
      <c r="F71" s="8" t="str">
        <f>IF(B71="","",VLOOKUP(B71,小圆机汇总表!A:AP,8,FALSE))</f>
        <v>长乐</v>
      </c>
      <c r="G71" s="23">
        <v>43744</v>
      </c>
      <c r="H71" s="8">
        <v>816.4</v>
      </c>
      <c r="I71" s="8">
        <v>41</v>
      </c>
      <c r="K71" s="8" t="s">
        <v>243</v>
      </c>
      <c r="M71" s="250">
        <f t="shared" si="1"/>
        <v>10</v>
      </c>
    </row>
    <row r="72" spans="1:13" hidden="1" outlineLevel="1">
      <c r="A72" s="4">
        <v>72</v>
      </c>
      <c r="B72" s="8" t="s">
        <v>122</v>
      </c>
      <c r="C72" s="8" t="str">
        <f>IF(B72="","",VLOOKUP(B72,小圆机汇总表!A:AP,2,FALSE))</f>
        <v>B5034大W</v>
      </c>
      <c r="D72" s="8">
        <f>IF(B72="","",VLOOKUP(B72,小圆机汇总表!A:AP,7,FALSE))</f>
        <v>34</v>
      </c>
      <c r="E72" s="8" t="str">
        <f>IF(B72="","",VLOOKUP(B72,小圆机汇总表!A:AP,5,FALSE))</f>
        <v>白高温</v>
      </c>
      <c r="F72" s="8" t="str">
        <f>IF(B72="","",VLOOKUP(B72,小圆机汇总表!A:AP,8,FALSE))</f>
        <v>长乐</v>
      </c>
      <c r="G72" s="23">
        <v>43744</v>
      </c>
      <c r="H72" s="8">
        <v>976.8</v>
      </c>
      <c r="I72" s="8">
        <v>49</v>
      </c>
      <c r="K72" s="8" t="s">
        <v>244</v>
      </c>
      <c r="M72" s="250">
        <f t="shared" si="1"/>
        <v>10</v>
      </c>
    </row>
    <row r="73" spans="1:13" hidden="1" outlineLevel="1">
      <c r="A73" s="4">
        <v>73</v>
      </c>
      <c r="B73" s="8" t="s">
        <v>123</v>
      </c>
      <c r="C73" s="8" t="str">
        <f>IF(B73="","",VLOOKUP(B73,小圆机汇总表!A:AP,2,FALSE))</f>
        <v>B7539斜乱平纹</v>
      </c>
      <c r="D73" s="8">
        <f>IF(B73="","",VLOOKUP(B73,小圆机汇总表!A:AP,7,FALSE))</f>
        <v>39</v>
      </c>
      <c r="E73" s="8" t="str">
        <f>IF(B73="","",VLOOKUP(B73,小圆机汇总表!A:AP,5,FALSE))</f>
        <v>白</v>
      </c>
      <c r="F73" s="8" t="str">
        <f>IF(B73="","",VLOOKUP(B73,小圆机汇总表!A:AP,8,FALSE))</f>
        <v>盛元</v>
      </c>
      <c r="G73" s="23">
        <v>43744</v>
      </c>
      <c r="H73" s="8">
        <v>307.5</v>
      </c>
      <c r="I73" s="8">
        <v>15</v>
      </c>
      <c r="K73" s="8" t="s">
        <v>245</v>
      </c>
      <c r="M73" s="250">
        <f t="shared" si="1"/>
        <v>10</v>
      </c>
    </row>
    <row r="74" spans="1:13" hidden="1" outlineLevel="1">
      <c r="A74" s="4">
        <v>74</v>
      </c>
      <c r="B74" s="8" t="s">
        <v>81</v>
      </c>
      <c r="C74" s="8" t="str">
        <f>IF(B74="","",VLOOKUP(B74,小圆机汇总表!A:AP,2,FALSE))</f>
        <v>C5034w</v>
      </c>
      <c r="D74" s="8">
        <f>IF(B74="","",VLOOKUP(B74,小圆机汇总表!A:AP,7,FALSE))</f>
        <v>34</v>
      </c>
      <c r="E74" s="8" t="str">
        <f>IF(B74="","",VLOOKUP(B74,小圆机汇总表!A:AP,5,FALSE))</f>
        <v>白</v>
      </c>
      <c r="F74" s="8" t="str">
        <f>IF(B74="","",VLOOKUP(B74,小圆机汇总表!A:AP,8,FALSE))</f>
        <v>长乐</v>
      </c>
      <c r="G74" s="23">
        <v>43744</v>
      </c>
      <c r="H74" s="8">
        <v>348.6</v>
      </c>
      <c r="I74" s="8">
        <v>18</v>
      </c>
      <c r="K74" s="8" t="s">
        <v>248</v>
      </c>
      <c r="M74" s="250">
        <f t="shared" si="1"/>
        <v>10</v>
      </c>
    </row>
    <row r="75" spans="1:13" hidden="1" outlineLevel="1">
      <c r="A75" s="4">
        <v>75</v>
      </c>
      <c r="B75" s="8" t="s">
        <v>112</v>
      </c>
      <c r="C75" s="8" t="str">
        <f>IF(B75="","",VLOOKUP(B75,小圆机汇总表!A:AP,2,FALSE))</f>
        <v>A5035w黑</v>
      </c>
      <c r="D75" s="8">
        <f>IF(B75="","",VLOOKUP(B75,小圆机汇总表!A:AP,7,FALSE))</f>
        <v>35</v>
      </c>
      <c r="E75" s="8" t="str">
        <f>IF(B75="","",VLOOKUP(B75,小圆机汇总表!A:AP,5,FALSE))</f>
        <v>黑</v>
      </c>
      <c r="F75" s="8" t="str">
        <f>IF(B75="","",VLOOKUP(B75,小圆机汇总表!A:AP,8,FALSE))</f>
        <v>固力</v>
      </c>
      <c r="G75" s="23">
        <v>43744</v>
      </c>
      <c r="H75" s="8">
        <v>637.9</v>
      </c>
      <c r="I75" s="8">
        <f>26+3</f>
        <v>29</v>
      </c>
      <c r="K75" s="8" t="s">
        <v>247</v>
      </c>
      <c r="M75" s="250">
        <f t="shared" si="1"/>
        <v>10</v>
      </c>
    </row>
    <row r="76" spans="1:13" hidden="1" outlineLevel="1">
      <c r="A76" s="4">
        <v>76</v>
      </c>
      <c r="B76" s="8" t="s">
        <v>47</v>
      </c>
      <c r="C76" s="8" t="str">
        <f>IF(B76="","",VLOOKUP(B76,小圆机汇总表!A:AP,2,FALSE))</f>
        <v>A5035w</v>
      </c>
      <c r="D76" s="8">
        <f>IF(B76="","",VLOOKUP(B76,小圆机汇总表!A:AP,7,FALSE))</f>
        <v>35</v>
      </c>
      <c r="E76" s="8" t="str">
        <f>IF(B76="","",VLOOKUP(B76,小圆机汇总表!A:AP,5,FALSE))</f>
        <v>白</v>
      </c>
      <c r="F76" s="8" t="str">
        <f>IF(B76="","",VLOOKUP(B76,小圆机汇总表!A:AP,8,FALSE))</f>
        <v>长乐</v>
      </c>
      <c r="G76" s="23">
        <v>43744</v>
      </c>
      <c r="H76" s="8">
        <v>712</v>
      </c>
      <c r="I76" s="8">
        <v>35</v>
      </c>
      <c r="K76" s="8" t="s">
        <v>248</v>
      </c>
      <c r="M76" s="250">
        <f t="shared" si="1"/>
        <v>10</v>
      </c>
    </row>
    <row r="77" spans="1:13" hidden="1" outlineLevel="1">
      <c r="A77" s="4">
        <v>77</v>
      </c>
      <c r="B77" s="8" t="s">
        <v>114</v>
      </c>
      <c r="C77" s="8" t="str">
        <f>IF(B77="","",VLOOKUP(B77,小圆机汇总表!A:AP,2,FALSE))</f>
        <v>A5035大W</v>
      </c>
      <c r="D77" s="8">
        <f>IF(B77="","",VLOOKUP(B77,小圆机汇总表!A:AP,7,FALSE))</f>
        <v>35</v>
      </c>
      <c r="E77" s="8" t="str">
        <f>IF(B77="","",VLOOKUP(B77,小圆机汇总表!A:AP,5,FALSE))</f>
        <v>白</v>
      </c>
      <c r="F77" s="8" t="str">
        <f>IF(B77="","",VLOOKUP(B77,小圆机汇总表!A:AP,8,FALSE))</f>
        <v>长乐</v>
      </c>
      <c r="G77" s="23">
        <v>43744</v>
      </c>
      <c r="H77" s="8">
        <v>240.8</v>
      </c>
      <c r="I77" s="8">
        <v>12</v>
      </c>
      <c r="K77" s="8" t="s">
        <v>242</v>
      </c>
      <c r="M77" s="250">
        <f t="shared" si="1"/>
        <v>10</v>
      </c>
    </row>
    <row r="78" spans="1:13" hidden="1" outlineLevel="1">
      <c r="A78" s="4">
        <v>78</v>
      </c>
      <c r="B78" s="8" t="s">
        <v>116</v>
      </c>
      <c r="C78" s="8" t="str">
        <f>IF(B78="","",VLOOKUP(B78,小圆机汇总表!A:AP,2,FALSE))</f>
        <v>B5036大W高温丝</v>
      </c>
      <c r="D78" s="8">
        <f>IF(B78="","",VLOOKUP(B78,小圆机汇总表!A:AP,7,FALSE))</f>
        <v>36</v>
      </c>
      <c r="E78" s="8" t="str">
        <f>IF(B78="","",VLOOKUP(B78,小圆机汇总表!A:AP,5,FALSE))</f>
        <v>白高温</v>
      </c>
      <c r="F78" s="8" t="str">
        <f>IF(B78="","",VLOOKUP(B78,小圆机汇总表!A:AP,8,FALSE))</f>
        <v>长乐</v>
      </c>
      <c r="G78" s="23">
        <v>43744</v>
      </c>
      <c r="H78" s="8">
        <v>384</v>
      </c>
      <c r="I78" s="8">
        <v>19</v>
      </c>
      <c r="K78" s="8" t="s">
        <v>244</v>
      </c>
      <c r="M78" s="250">
        <f t="shared" si="1"/>
        <v>10</v>
      </c>
    </row>
    <row r="79" spans="1:13" hidden="1" outlineLevel="1">
      <c r="A79" s="4">
        <v>79</v>
      </c>
      <c r="B79" s="8" t="s">
        <v>70</v>
      </c>
      <c r="C79" s="8" t="str">
        <f>IF(B79="","",VLOOKUP(B79,小圆机汇总表!A:AP,2,FALSE))</f>
        <v>A5038w</v>
      </c>
      <c r="D79" s="8">
        <f>IF(B79="","",VLOOKUP(B79,小圆机汇总表!A:AP,7,FALSE))</f>
        <v>38</v>
      </c>
      <c r="E79" s="8" t="str">
        <f>IF(B79="","",VLOOKUP(B79,小圆机汇总表!A:AP,5,FALSE))</f>
        <v>白</v>
      </c>
      <c r="F79" s="8" t="str">
        <f>IF(B79="","",VLOOKUP(B79,小圆机汇总表!A:AP,8,FALSE))</f>
        <v>长乐</v>
      </c>
      <c r="G79" s="23">
        <v>43744</v>
      </c>
      <c r="H79" s="8">
        <v>264.60000000000002</v>
      </c>
      <c r="I79" s="8">
        <v>13</v>
      </c>
      <c r="K79" s="8" t="s">
        <v>247</v>
      </c>
      <c r="M79" s="250">
        <f t="shared" si="1"/>
        <v>10</v>
      </c>
    </row>
    <row r="80" spans="1:13" hidden="1" outlineLevel="1">
      <c r="A80" s="4">
        <v>80</v>
      </c>
      <c r="B80" s="8" t="s">
        <v>128</v>
      </c>
      <c r="C80" s="8" t="str">
        <f>IF(B80="","",VLOOKUP(B80,小圆机汇总表!A:AP,2,FALSE))</f>
        <v>A7545斜乱平纹</v>
      </c>
      <c r="D80" s="8">
        <f>IF(B80="","",VLOOKUP(B80,小圆机汇总表!A:AP,7,FALSE))</f>
        <v>45</v>
      </c>
      <c r="E80" s="8" t="str">
        <f>IF(B80="","",VLOOKUP(B80,小圆机汇总表!A:AP,5,FALSE))</f>
        <v>白</v>
      </c>
      <c r="F80" s="8" t="str">
        <f>IF(B80="","",VLOOKUP(B80,小圆机汇总表!A:AP,8,FALSE))</f>
        <v>长乐</v>
      </c>
      <c r="G80" s="23">
        <v>43744</v>
      </c>
      <c r="H80" s="8">
        <v>300</v>
      </c>
      <c r="I80" s="8">
        <v>15</v>
      </c>
      <c r="K80" s="8" t="s">
        <v>242</v>
      </c>
      <c r="M80" s="250">
        <f t="shared" si="1"/>
        <v>10</v>
      </c>
    </row>
    <row r="81" spans="1:13" hidden="1" outlineLevel="1">
      <c r="A81" s="4">
        <v>81</v>
      </c>
      <c r="B81" s="8" t="s">
        <v>83</v>
      </c>
      <c r="C81" s="8" t="str">
        <f>IF(B81="","",VLOOKUP(B81,小圆机汇总表!A:AP,2,FALSE))</f>
        <v>B7545w</v>
      </c>
      <c r="D81" s="8">
        <f>IF(B81="","",VLOOKUP(B81,小圆机汇总表!A:AP,7,FALSE))</f>
        <v>45</v>
      </c>
      <c r="E81" s="8" t="str">
        <f>IF(B81="","",VLOOKUP(B81,小圆机汇总表!A:AP,5,FALSE))</f>
        <v>白</v>
      </c>
      <c r="F81" s="8" t="str">
        <f>IF(B81="","",VLOOKUP(B81,小圆机汇总表!A:AP,8,FALSE))</f>
        <v>长乐</v>
      </c>
      <c r="G81" s="23">
        <v>43744</v>
      </c>
      <c r="H81" s="8">
        <v>288.60000000000002</v>
      </c>
      <c r="I81" s="8">
        <v>14</v>
      </c>
      <c r="K81" s="8" t="s">
        <v>249</v>
      </c>
      <c r="M81" s="250">
        <f t="shared" si="1"/>
        <v>10</v>
      </c>
    </row>
    <row r="82" spans="1:13" hidden="1" outlineLevel="1">
      <c r="A82" s="4">
        <v>82</v>
      </c>
      <c r="B82" s="8" t="s">
        <v>129</v>
      </c>
      <c r="C82" s="8" t="str">
        <f>IF(B82="","",VLOOKUP(B82,小圆机汇总表!A:AP,2,FALSE))</f>
        <v>A7548斜乱平纹</v>
      </c>
      <c r="D82" s="8">
        <f>IF(B82="","",VLOOKUP(B82,小圆机汇总表!A:AP,7,FALSE))</f>
        <v>48</v>
      </c>
      <c r="E82" s="8" t="str">
        <f>IF(B82="","",VLOOKUP(B82,小圆机汇总表!A:AP,5,FALSE))</f>
        <v>白高温</v>
      </c>
      <c r="F82" s="8" t="str">
        <f>IF(B82="","",VLOOKUP(B82,小圆机汇总表!A:AP,8,FALSE))</f>
        <v>长乐</v>
      </c>
      <c r="G82" s="23">
        <v>43744</v>
      </c>
      <c r="H82" s="8">
        <v>121.8</v>
      </c>
      <c r="I82" s="8">
        <v>6</v>
      </c>
      <c r="K82" s="8" t="s">
        <v>245</v>
      </c>
      <c r="M82" s="250">
        <f t="shared" si="1"/>
        <v>10</v>
      </c>
    </row>
    <row r="83" spans="1:13" hidden="1" outlineLevel="1">
      <c r="A83" s="4">
        <v>83</v>
      </c>
      <c r="B83" s="8" t="s">
        <v>119</v>
      </c>
      <c r="C83" s="8" t="str">
        <f>IF(B83="","",VLOOKUP(B83,小圆机汇总表!A:AP,2,FALSE))</f>
        <v>B3023大W</v>
      </c>
      <c r="D83" s="8">
        <f>IF(B83="","",VLOOKUP(B83,小圆机汇总表!A:AP,7,FALSE))</f>
        <v>23</v>
      </c>
      <c r="E83" s="8" t="str">
        <f>IF(B83="","",VLOOKUP(B83,小圆机汇总表!A:AP,5,FALSE))</f>
        <v>白</v>
      </c>
      <c r="F83" s="8" t="str">
        <f>IF(B83="","",VLOOKUP(B83,小圆机汇总表!A:AP,8,FALSE))</f>
        <v>长乐</v>
      </c>
      <c r="G83" s="23">
        <v>43744</v>
      </c>
      <c r="H83" s="8">
        <v>57.9</v>
      </c>
      <c r="I83" s="8">
        <v>3</v>
      </c>
      <c r="K83" s="8" t="s">
        <v>250</v>
      </c>
      <c r="M83" s="250">
        <f t="shared" si="1"/>
        <v>10</v>
      </c>
    </row>
    <row r="84" spans="1:13" hidden="1" outlineLevel="1">
      <c r="A84" s="4">
        <v>84</v>
      </c>
      <c r="B84" s="8" t="s">
        <v>18</v>
      </c>
      <c r="C84" s="8" t="str">
        <f>IF(B84="","",VLOOKUP(B84,小圆机汇总表!A:AP,2,FALSE))</f>
        <v>B3023乱平纹</v>
      </c>
      <c r="D84" s="8">
        <f>IF(B84="","",VLOOKUP(B84,小圆机汇总表!A:AP,7,FALSE))</f>
        <v>23</v>
      </c>
      <c r="E84" s="8" t="str">
        <f>IF(B84="","",VLOOKUP(B84,小圆机汇总表!A:AP,5,FALSE))</f>
        <v>白</v>
      </c>
      <c r="F84" s="8" t="str">
        <f>IF(B84="","",VLOOKUP(B84,小圆机汇总表!A:AP,8,FALSE))</f>
        <v>长乐</v>
      </c>
      <c r="G84" s="23">
        <v>43744</v>
      </c>
      <c r="H84" s="8">
        <v>19.600000000000001</v>
      </c>
      <c r="I84" s="8">
        <v>1</v>
      </c>
      <c r="K84" s="8" t="s">
        <v>252</v>
      </c>
      <c r="M84" s="250">
        <f t="shared" si="1"/>
        <v>10</v>
      </c>
    </row>
    <row r="85" spans="1:13" hidden="1" outlineLevel="1">
      <c r="A85" s="4">
        <v>85</v>
      </c>
      <c r="B85" s="8" t="s">
        <v>33</v>
      </c>
      <c r="C85" s="8" t="str">
        <f>IF(B85="","",VLOOKUP(B85,小圆机汇总表!A:AP,2,FALSE))</f>
        <v>B3029直平纹</v>
      </c>
      <c r="D85" s="8">
        <f>IF(B85="","",VLOOKUP(B85,小圆机汇总表!A:AP,7,FALSE))</f>
        <v>29</v>
      </c>
      <c r="E85" s="8" t="str">
        <f>IF(B85="","",VLOOKUP(B85,小圆机汇总表!A:AP,5,FALSE))</f>
        <v>白</v>
      </c>
      <c r="F85" s="8" t="str">
        <f>IF(B85="","",VLOOKUP(B85,小圆机汇总表!A:AP,8,FALSE))</f>
        <v>恒力</v>
      </c>
      <c r="G85" s="23">
        <v>43745</v>
      </c>
      <c r="H85" s="8">
        <v>24</v>
      </c>
      <c r="I85" s="8">
        <v>1</v>
      </c>
      <c r="K85" s="8" t="s">
        <v>242</v>
      </c>
      <c r="M85" s="250">
        <f t="shared" si="1"/>
        <v>10</v>
      </c>
    </row>
    <row r="86" spans="1:13" hidden="1" outlineLevel="1">
      <c r="A86" s="4">
        <v>86</v>
      </c>
      <c r="B86" s="8" t="s">
        <v>121</v>
      </c>
      <c r="C86" s="8" t="str">
        <f>IF(B86="","",VLOOKUP(B86,小圆机汇总表!A:AP,2,FALSE))</f>
        <v>A5032w</v>
      </c>
      <c r="D86" s="8">
        <f>IF(B86="","",VLOOKUP(B86,小圆机汇总表!A:AP,7,FALSE))</f>
        <v>32</v>
      </c>
      <c r="E86" s="8" t="str">
        <f>IF(B86="","",VLOOKUP(B86,小圆机汇总表!A:AP,5,FALSE))</f>
        <v>白</v>
      </c>
      <c r="F86" s="8" t="str">
        <f>IF(B86="","",VLOOKUP(B86,小圆机汇总表!A:AP,8,FALSE))</f>
        <v>长乐</v>
      </c>
      <c r="G86" s="23">
        <v>43745</v>
      </c>
      <c r="H86" s="8">
        <v>777.9</v>
      </c>
      <c r="I86" s="8">
        <v>39</v>
      </c>
      <c r="K86" s="8" t="s">
        <v>243</v>
      </c>
      <c r="M86" s="250">
        <f t="shared" si="1"/>
        <v>10</v>
      </c>
    </row>
    <row r="87" spans="1:13" hidden="1" outlineLevel="1">
      <c r="A87" s="4">
        <v>87</v>
      </c>
      <c r="B87" s="8" t="s">
        <v>122</v>
      </c>
      <c r="C87" s="8" t="str">
        <f>IF(B87="","",VLOOKUP(B87,小圆机汇总表!A:AP,2,FALSE))</f>
        <v>B5034大W</v>
      </c>
      <c r="D87" s="8">
        <f>IF(B87="","",VLOOKUP(B87,小圆机汇总表!A:AP,7,FALSE))</f>
        <v>34</v>
      </c>
      <c r="E87" s="8" t="str">
        <f>IF(B87="","",VLOOKUP(B87,小圆机汇总表!A:AP,5,FALSE))</f>
        <v>白高温</v>
      </c>
      <c r="F87" s="8" t="str">
        <f>IF(B87="","",VLOOKUP(B87,小圆机汇总表!A:AP,8,FALSE))</f>
        <v>长乐</v>
      </c>
      <c r="G87" s="23">
        <v>43745</v>
      </c>
      <c r="H87" s="8">
        <v>1045.7</v>
      </c>
      <c r="I87" s="8">
        <v>52</v>
      </c>
      <c r="K87" s="8" t="s">
        <v>244</v>
      </c>
      <c r="M87" s="250">
        <f t="shared" si="1"/>
        <v>10</v>
      </c>
    </row>
    <row r="88" spans="1:13" hidden="1" outlineLevel="1">
      <c r="A88" s="4">
        <v>88</v>
      </c>
      <c r="B88" s="8" t="s">
        <v>123</v>
      </c>
      <c r="C88" s="8" t="str">
        <f>IF(B88="","",VLOOKUP(B88,小圆机汇总表!A:AP,2,FALSE))</f>
        <v>B7539斜乱平纹</v>
      </c>
      <c r="D88" s="8">
        <f>IF(B88="","",VLOOKUP(B88,小圆机汇总表!A:AP,7,FALSE))</f>
        <v>39</v>
      </c>
      <c r="E88" s="8" t="str">
        <f>IF(B88="","",VLOOKUP(B88,小圆机汇总表!A:AP,5,FALSE))</f>
        <v>白</v>
      </c>
      <c r="F88" s="8" t="str">
        <f>IF(B88="","",VLOOKUP(B88,小圆机汇总表!A:AP,8,FALSE))</f>
        <v>盛元</v>
      </c>
      <c r="G88" s="23">
        <v>43745</v>
      </c>
      <c r="H88" s="8">
        <v>307.5</v>
      </c>
      <c r="I88" s="8">
        <v>15</v>
      </c>
      <c r="K88" s="8" t="s">
        <v>245</v>
      </c>
      <c r="M88" s="250">
        <f t="shared" si="1"/>
        <v>10</v>
      </c>
    </row>
    <row r="89" spans="1:13" hidden="1" outlineLevel="1">
      <c r="A89" s="4">
        <v>89</v>
      </c>
      <c r="B89" s="8" t="s">
        <v>81</v>
      </c>
      <c r="C89" s="8" t="str">
        <f>IF(B89="","",VLOOKUP(B89,小圆机汇总表!A:AP,2,FALSE))</f>
        <v>C5034w</v>
      </c>
      <c r="D89" s="8">
        <f>IF(B89="","",VLOOKUP(B89,小圆机汇总表!A:AP,7,FALSE))</f>
        <v>34</v>
      </c>
      <c r="E89" s="8" t="str">
        <f>IF(B89="","",VLOOKUP(B89,小圆机汇总表!A:AP,5,FALSE))</f>
        <v>白</v>
      </c>
      <c r="F89" s="8" t="str">
        <f>IF(B89="","",VLOOKUP(B89,小圆机汇总表!A:AP,8,FALSE))</f>
        <v>长乐</v>
      </c>
      <c r="G89" s="23">
        <v>43745</v>
      </c>
      <c r="H89" s="8">
        <v>386.6</v>
      </c>
      <c r="I89" s="8">
        <v>20</v>
      </c>
      <c r="K89" s="8" t="s">
        <v>248</v>
      </c>
      <c r="M89" s="250">
        <f t="shared" si="1"/>
        <v>10</v>
      </c>
    </row>
    <row r="90" spans="1:13" hidden="1" outlineLevel="1">
      <c r="A90" s="4">
        <v>90</v>
      </c>
      <c r="B90" s="8" t="s">
        <v>112</v>
      </c>
      <c r="C90" s="8" t="str">
        <f>IF(B90="","",VLOOKUP(B90,小圆机汇总表!A:AP,2,FALSE))</f>
        <v>A5035w黑</v>
      </c>
      <c r="D90" s="8">
        <f>IF(B90="","",VLOOKUP(B90,小圆机汇总表!A:AP,7,FALSE))</f>
        <v>35</v>
      </c>
      <c r="E90" s="8" t="str">
        <f>IF(B90="","",VLOOKUP(B90,小圆机汇总表!A:AP,5,FALSE))</f>
        <v>黑</v>
      </c>
      <c r="F90" s="8" t="str">
        <f>IF(B90="","",VLOOKUP(B90,小圆机汇总表!A:AP,8,FALSE))</f>
        <v>固力</v>
      </c>
      <c r="G90" s="23">
        <v>43745</v>
      </c>
      <c r="H90" s="8">
        <v>715</v>
      </c>
      <c r="I90" s="8">
        <f>29+4</f>
        <v>33</v>
      </c>
      <c r="K90" s="8" t="s">
        <v>247</v>
      </c>
      <c r="M90" s="250">
        <f t="shared" si="1"/>
        <v>10</v>
      </c>
    </row>
    <row r="91" spans="1:13" hidden="1" outlineLevel="1">
      <c r="A91" s="4">
        <v>91</v>
      </c>
      <c r="B91" s="8" t="s">
        <v>47</v>
      </c>
      <c r="C91" s="8" t="str">
        <f>IF(B91="","",VLOOKUP(B91,小圆机汇总表!A:AP,2,FALSE))</f>
        <v>A5035w</v>
      </c>
      <c r="D91" s="8">
        <f>IF(B91="","",VLOOKUP(B91,小圆机汇总表!A:AP,7,FALSE))</f>
        <v>35</v>
      </c>
      <c r="E91" s="8" t="str">
        <f>IF(B91="","",VLOOKUP(B91,小圆机汇总表!A:AP,5,FALSE))</f>
        <v>白</v>
      </c>
      <c r="F91" s="8" t="str">
        <f>IF(B91="","",VLOOKUP(B91,小圆机汇总表!A:AP,8,FALSE))</f>
        <v>长乐</v>
      </c>
      <c r="G91" s="23">
        <v>43745</v>
      </c>
      <c r="H91" s="8">
        <v>671.1</v>
      </c>
      <c r="I91" s="8">
        <v>33</v>
      </c>
      <c r="K91" s="8" t="s">
        <v>248</v>
      </c>
      <c r="M91" s="250">
        <f t="shared" si="1"/>
        <v>10</v>
      </c>
    </row>
    <row r="92" spans="1:13" hidden="1" outlineLevel="1">
      <c r="A92" s="4">
        <v>92</v>
      </c>
      <c r="B92" s="8" t="s">
        <v>114</v>
      </c>
      <c r="C92" s="8" t="str">
        <f>IF(B92="","",VLOOKUP(B92,小圆机汇总表!A:AP,2,FALSE))</f>
        <v>A5035大W</v>
      </c>
      <c r="D92" s="8">
        <f>IF(B92="","",VLOOKUP(B92,小圆机汇总表!A:AP,7,FALSE))</f>
        <v>35</v>
      </c>
      <c r="E92" s="8" t="str">
        <f>IF(B92="","",VLOOKUP(B92,小圆机汇总表!A:AP,5,FALSE))</f>
        <v>白</v>
      </c>
      <c r="F92" s="8" t="str">
        <f>IF(B92="","",VLOOKUP(B92,小圆机汇总表!A:AP,8,FALSE))</f>
        <v>长乐</v>
      </c>
      <c r="G92" s="23">
        <v>43745</v>
      </c>
      <c r="H92" s="8">
        <v>260.60000000000002</v>
      </c>
      <c r="I92" s="8">
        <v>13</v>
      </c>
      <c r="K92" s="8" t="s">
        <v>242</v>
      </c>
      <c r="M92" s="250">
        <f t="shared" si="1"/>
        <v>10</v>
      </c>
    </row>
    <row r="93" spans="1:13" hidden="1" outlineLevel="1">
      <c r="A93" s="4">
        <v>93</v>
      </c>
      <c r="B93" s="8" t="s">
        <v>116</v>
      </c>
      <c r="C93" s="8" t="str">
        <f>IF(B93="","",VLOOKUP(B93,小圆机汇总表!A:AP,2,FALSE))</f>
        <v>B5036大W高温丝</v>
      </c>
      <c r="D93" s="8">
        <f>IF(B93="","",VLOOKUP(B93,小圆机汇总表!A:AP,7,FALSE))</f>
        <v>36</v>
      </c>
      <c r="E93" s="8" t="str">
        <f>IF(B93="","",VLOOKUP(B93,小圆机汇总表!A:AP,5,FALSE))</f>
        <v>白高温</v>
      </c>
      <c r="F93" s="8" t="str">
        <f>IF(B93="","",VLOOKUP(B93,小圆机汇总表!A:AP,8,FALSE))</f>
        <v>长乐</v>
      </c>
      <c r="G93" s="23">
        <v>43745</v>
      </c>
      <c r="H93" s="8">
        <v>505</v>
      </c>
      <c r="I93" s="8">
        <v>25</v>
      </c>
      <c r="K93" s="8" t="s">
        <v>244</v>
      </c>
      <c r="M93" s="250">
        <f t="shared" si="1"/>
        <v>10</v>
      </c>
    </row>
    <row r="94" spans="1:13" hidden="1" outlineLevel="1">
      <c r="A94" s="4">
        <v>94</v>
      </c>
      <c r="B94" s="8" t="s">
        <v>70</v>
      </c>
      <c r="C94" s="8" t="str">
        <f>IF(B94="","",VLOOKUP(B94,小圆机汇总表!A:AP,2,FALSE))</f>
        <v>A5038w</v>
      </c>
      <c r="D94" s="8">
        <f>IF(B94="","",VLOOKUP(B94,小圆机汇总表!A:AP,7,FALSE))</f>
        <v>38</v>
      </c>
      <c r="E94" s="8" t="str">
        <f>IF(B94="","",VLOOKUP(B94,小圆机汇总表!A:AP,5,FALSE))</f>
        <v>白</v>
      </c>
      <c r="F94" s="8" t="str">
        <f>IF(B94="","",VLOOKUP(B94,小圆机汇总表!A:AP,8,FALSE))</f>
        <v>长乐</v>
      </c>
      <c r="G94" s="23">
        <v>43745</v>
      </c>
      <c r="H94" s="8">
        <v>270.39999999999998</v>
      </c>
      <c r="I94" s="8">
        <v>13</v>
      </c>
      <c r="K94" s="8" t="s">
        <v>253</v>
      </c>
      <c r="M94" s="250">
        <f t="shared" si="1"/>
        <v>10</v>
      </c>
    </row>
    <row r="95" spans="1:13" hidden="1" outlineLevel="1">
      <c r="A95" s="4">
        <v>95</v>
      </c>
      <c r="B95" s="8" t="s">
        <v>128</v>
      </c>
      <c r="C95" s="8" t="str">
        <f>IF(B95="","",VLOOKUP(B95,小圆机汇总表!A:AP,2,FALSE))</f>
        <v>A7545斜乱平纹</v>
      </c>
      <c r="D95" s="8">
        <f>IF(B95="","",VLOOKUP(B95,小圆机汇总表!A:AP,7,FALSE))</f>
        <v>45</v>
      </c>
      <c r="E95" s="8" t="str">
        <f>IF(B95="","",VLOOKUP(B95,小圆机汇总表!A:AP,5,FALSE))</f>
        <v>白</v>
      </c>
      <c r="F95" s="8" t="str">
        <f>IF(B95="","",VLOOKUP(B95,小圆机汇总表!A:AP,8,FALSE))</f>
        <v>长乐</v>
      </c>
      <c r="G95" s="23">
        <v>43745</v>
      </c>
      <c r="H95" s="8">
        <v>340</v>
      </c>
      <c r="I95" s="8">
        <v>17</v>
      </c>
      <c r="K95" s="8" t="s">
        <v>250</v>
      </c>
      <c r="M95" s="250">
        <f t="shared" si="1"/>
        <v>10</v>
      </c>
    </row>
    <row r="96" spans="1:13" hidden="1" outlineLevel="1">
      <c r="A96" s="4">
        <v>96</v>
      </c>
      <c r="B96" s="8" t="s">
        <v>83</v>
      </c>
      <c r="C96" s="8" t="str">
        <f>IF(B96="","",VLOOKUP(B96,小圆机汇总表!A:AP,2,FALSE))</f>
        <v>B7545w</v>
      </c>
      <c r="D96" s="8">
        <f>IF(B96="","",VLOOKUP(B96,小圆机汇总表!A:AP,7,FALSE))</f>
        <v>45</v>
      </c>
      <c r="E96" s="8" t="str">
        <f>IF(B96="","",VLOOKUP(B96,小圆机汇总表!A:AP,5,FALSE))</f>
        <v>白</v>
      </c>
      <c r="F96" s="8" t="str">
        <f>IF(B96="","",VLOOKUP(B96,小圆机汇总表!A:AP,8,FALSE))</f>
        <v>长乐</v>
      </c>
      <c r="G96" s="23">
        <v>43745</v>
      </c>
      <c r="H96" s="8">
        <v>265.2</v>
      </c>
      <c r="I96" s="8">
        <v>13</v>
      </c>
      <c r="K96" s="8" t="s">
        <v>249</v>
      </c>
      <c r="M96" s="250">
        <f t="shared" si="1"/>
        <v>10</v>
      </c>
    </row>
    <row r="97" spans="1:13" hidden="1" outlineLevel="1">
      <c r="A97" s="4">
        <v>97</v>
      </c>
      <c r="B97" s="8" t="s">
        <v>129</v>
      </c>
      <c r="C97" s="8" t="str">
        <f>IF(B97="","",VLOOKUP(B97,小圆机汇总表!A:AP,2,FALSE))</f>
        <v>A7548斜乱平纹</v>
      </c>
      <c r="D97" s="8">
        <f>IF(B97="","",VLOOKUP(B97,小圆机汇总表!A:AP,7,FALSE))</f>
        <v>48</v>
      </c>
      <c r="E97" s="8" t="str">
        <f>IF(B97="","",VLOOKUP(B97,小圆机汇总表!A:AP,5,FALSE))</f>
        <v>白高温</v>
      </c>
      <c r="F97" s="8" t="str">
        <f>IF(B97="","",VLOOKUP(B97,小圆机汇总表!A:AP,8,FALSE))</f>
        <v>长乐</v>
      </c>
      <c r="G97" s="23">
        <v>43745</v>
      </c>
      <c r="H97" s="8">
        <v>162.4</v>
      </c>
      <c r="I97" s="8">
        <v>8</v>
      </c>
      <c r="K97" s="8" t="s">
        <v>245</v>
      </c>
      <c r="M97" s="250">
        <f t="shared" si="1"/>
        <v>10</v>
      </c>
    </row>
    <row r="98" spans="1:13" hidden="1" outlineLevel="1">
      <c r="A98" s="4">
        <v>98</v>
      </c>
      <c r="B98" s="8" t="s">
        <v>119</v>
      </c>
      <c r="C98" s="8" t="str">
        <f>IF(B98="","",VLOOKUP(B98,小圆机汇总表!A:AP,2,FALSE))</f>
        <v>B3023大W</v>
      </c>
      <c r="D98" s="8">
        <f>IF(B98="","",VLOOKUP(B98,小圆机汇总表!A:AP,7,FALSE))</f>
        <v>23</v>
      </c>
      <c r="E98" s="8" t="str">
        <f>IF(B98="","",VLOOKUP(B98,小圆机汇总表!A:AP,5,FALSE))</f>
        <v>白</v>
      </c>
      <c r="F98" s="8" t="str">
        <f>IF(B98="","",VLOOKUP(B98,小圆机汇总表!A:AP,8,FALSE))</f>
        <v>长乐</v>
      </c>
      <c r="G98" s="23">
        <v>43745</v>
      </c>
      <c r="H98" s="8">
        <v>57.9</v>
      </c>
      <c r="I98" s="8">
        <v>3</v>
      </c>
      <c r="K98" s="8" t="s">
        <v>250</v>
      </c>
      <c r="M98" s="250">
        <f t="shared" si="1"/>
        <v>10</v>
      </c>
    </row>
    <row r="99" spans="1:13" hidden="1" outlineLevel="1">
      <c r="A99" s="4">
        <v>99</v>
      </c>
      <c r="B99" s="8" t="s">
        <v>239</v>
      </c>
      <c r="C99" s="8" t="str">
        <f>IF(B99="","",VLOOKUP(B99,小圆机汇总表!A:AP,2,FALSE))</f>
        <v>B3023乱平纹</v>
      </c>
      <c r="D99" s="8">
        <f>IF(B99="","",VLOOKUP(B99,小圆机汇总表!A:AP,7,FALSE))</f>
        <v>23</v>
      </c>
      <c r="E99" s="8" t="str">
        <f>IF(B99="","",VLOOKUP(B99,小圆机汇总表!A:AP,5,FALSE))</f>
        <v>白</v>
      </c>
      <c r="F99" s="8" t="str">
        <f>IF(B99="","",VLOOKUP(B99,小圆机汇总表!A:AP,8,FALSE))</f>
        <v>长乐</v>
      </c>
      <c r="G99" s="23">
        <v>43745</v>
      </c>
      <c r="H99" s="8">
        <v>97.4</v>
      </c>
      <c r="I99" s="8">
        <v>5</v>
      </c>
      <c r="K99" s="8" t="s">
        <v>252</v>
      </c>
      <c r="M99" s="250">
        <f t="shared" si="1"/>
        <v>10</v>
      </c>
    </row>
    <row r="100" spans="1:13" hidden="1" outlineLevel="1">
      <c r="A100" s="4">
        <v>100</v>
      </c>
      <c r="B100" s="8" t="s">
        <v>119</v>
      </c>
      <c r="C100" s="8" t="str">
        <f>IF(B100="","",VLOOKUP(B100,小圆机汇总表!A:AP,2,FALSE))</f>
        <v>B3023大W</v>
      </c>
      <c r="D100" s="8">
        <f>IF(B100="","",VLOOKUP(B100,小圆机汇总表!A:AP,7,FALSE))</f>
        <v>23</v>
      </c>
      <c r="E100" s="8" t="str">
        <f>IF(B100="","",VLOOKUP(B100,小圆机汇总表!A:AP,5,FALSE))</f>
        <v>白</v>
      </c>
      <c r="F100" s="8" t="str">
        <f>IF(B100="","",VLOOKUP(B100,小圆机汇总表!A:AP,8,FALSE))</f>
        <v>长乐</v>
      </c>
      <c r="G100" s="23">
        <v>43746</v>
      </c>
      <c r="H100" s="8">
        <v>57.9</v>
      </c>
      <c r="I100" s="8">
        <v>3</v>
      </c>
      <c r="K100" s="8" t="s">
        <v>250</v>
      </c>
      <c r="M100" s="250">
        <f t="shared" si="1"/>
        <v>10</v>
      </c>
    </row>
    <row r="101" spans="1:13" hidden="1" outlineLevel="1">
      <c r="A101" s="4">
        <v>101</v>
      </c>
      <c r="B101" s="8" t="s">
        <v>121</v>
      </c>
      <c r="C101" s="8" t="str">
        <f>IF(B101="","",VLOOKUP(B101,小圆机汇总表!A:AP,2,FALSE))</f>
        <v>A5032w</v>
      </c>
      <c r="D101" s="8">
        <f>IF(B101="","",VLOOKUP(B101,小圆机汇总表!A:AP,7,FALSE))</f>
        <v>32</v>
      </c>
      <c r="E101" s="8" t="str">
        <f>IF(B101="","",VLOOKUP(B101,小圆机汇总表!A:AP,5,FALSE))</f>
        <v>白</v>
      </c>
      <c r="F101" s="8" t="str">
        <f>IF(B101="","",VLOOKUP(B101,小圆机汇总表!A:AP,8,FALSE))</f>
        <v>长乐</v>
      </c>
      <c r="G101" s="23">
        <v>43746</v>
      </c>
      <c r="H101" s="8">
        <v>836.5</v>
      </c>
      <c r="I101" s="8">
        <v>42</v>
      </c>
      <c r="K101" s="8" t="s">
        <v>243</v>
      </c>
      <c r="M101" s="250">
        <f t="shared" si="1"/>
        <v>10</v>
      </c>
    </row>
    <row r="102" spans="1:13" hidden="1" outlineLevel="1">
      <c r="A102" s="4">
        <v>102</v>
      </c>
      <c r="B102" s="8" t="s">
        <v>122</v>
      </c>
      <c r="C102" s="8" t="str">
        <f>IF(B102="","",VLOOKUP(B102,小圆机汇总表!A:AP,2,FALSE))</f>
        <v>B5034大W</v>
      </c>
      <c r="D102" s="8">
        <f>IF(B102="","",VLOOKUP(B102,小圆机汇总表!A:AP,7,FALSE))</f>
        <v>34</v>
      </c>
      <c r="E102" s="8" t="str">
        <f>IF(B102="","",VLOOKUP(B102,小圆机汇总表!A:AP,5,FALSE))</f>
        <v>白高温</v>
      </c>
      <c r="F102" s="8" t="str">
        <f>IF(B102="","",VLOOKUP(B102,小圆机汇总表!A:AP,8,FALSE))</f>
        <v>长乐</v>
      </c>
      <c r="G102" s="23">
        <v>43746</v>
      </c>
      <c r="H102" s="8">
        <v>1130.5</v>
      </c>
      <c r="I102" s="8">
        <v>56</v>
      </c>
      <c r="K102" s="8" t="s">
        <v>244</v>
      </c>
      <c r="M102" s="250">
        <f t="shared" si="1"/>
        <v>10</v>
      </c>
    </row>
    <row r="103" spans="1:13" hidden="1" outlineLevel="1">
      <c r="A103" s="4">
        <v>103</v>
      </c>
      <c r="B103" s="8" t="s">
        <v>123</v>
      </c>
      <c r="C103" s="8" t="str">
        <f>IF(B103="","",VLOOKUP(B103,小圆机汇总表!A:AP,2,FALSE))</f>
        <v>B7539斜乱平纹</v>
      </c>
      <c r="D103" s="8">
        <f>IF(B103="","",VLOOKUP(B103,小圆机汇总表!A:AP,7,FALSE))</f>
        <v>39</v>
      </c>
      <c r="E103" s="8" t="str">
        <f>IF(B103="","",VLOOKUP(B103,小圆机汇总表!A:AP,5,FALSE))</f>
        <v>白</v>
      </c>
      <c r="F103" s="8" t="str">
        <f>IF(B103="","",VLOOKUP(B103,小圆机汇总表!A:AP,8,FALSE))</f>
        <v>盛元</v>
      </c>
      <c r="G103" s="23">
        <v>43746</v>
      </c>
      <c r="H103" s="8">
        <v>287</v>
      </c>
      <c r="I103" s="8">
        <v>14</v>
      </c>
      <c r="K103" s="8" t="s">
        <v>245</v>
      </c>
      <c r="M103" s="250">
        <f t="shared" si="1"/>
        <v>10</v>
      </c>
    </row>
    <row r="104" spans="1:13" hidden="1" outlineLevel="1">
      <c r="A104" s="4">
        <v>104</v>
      </c>
      <c r="B104" s="8" t="s">
        <v>81</v>
      </c>
      <c r="C104" s="8" t="str">
        <f>IF(B104="","",VLOOKUP(B104,小圆机汇总表!A:AP,2,FALSE))</f>
        <v>C5034w</v>
      </c>
      <c r="D104" s="8">
        <f>IF(B104="","",VLOOKUP(B104,小圆机汇总表!A:AP,7,FALSE))</f>
        <v>34</v>
      </c>
      <c r="E104" s="8" t="str">
        <f>IF(B104="","",VLOOKUP(B104,小圆机汇总表!A:AP,5,FALSE))</f>
        <v>白</v>
      </c>
      <c r="F104" s="8" t="str">
        <f>IF(B104="","",VLOOKUP(B104,小圆机汇总表!A:AP,8,FALSE))</f>
        <v>长乐</v>
      </c>
      <c r="G104" s="23">
        <v>43746</v>
      </c>
      <c r="H104" s="8">
        <v>387.8</v>
      </c>
      <c r="I104" s="8">
        <v>20</v>
      </c>
      <c r="K104" s="8" t="s">
        <v>248</v>
      </c>
      <c r="M104" s="250">
        <f t="shared" si="1"/>
        <v>10</v>
      </c>
    </row>
    <row r="105" spans="1:13" hidden="1" outlineLevel="1">
      <c r="A105" s="4">
        <v>105</v>
      </c>
      <c r="B105" s="8" t="s">
        <v>112</v>
      </c>
      <c r="C105" s="8" t="str">
        <f>IF(B105="","",VLOOKUP(B105,小圆机汇总表!A:AP,2,FALSE))</f>
        <v>A5035w黑</v>
      </c>
      <c r="D105" s="8">
        <f>IF(B105="","",VLOOKUP(B105,小圆机汇总表!A:AP,7,FALSE))</f>
        <v>35</v>
      </c>
      <c r="E105" s="8" t="str">
        <f>IF(B105="","",VLOOKUP(B105,小圆机汇总表!A:AP,5,FALSE))</f>
        <v>黑</v>
      </c>
      <c r="F105" s="8" t="str">
        <f>IF(B105="","",VLOOKUP(B105,小圆机汇总表!A:AP,8,FALSE))</f>
        <v>固力</v>
      </c>
      <c r="G105" s="23">
        <v>43746</v>
      </c>
      <c r="H105" s="8">
        <v>693.3</v>
      </c>
      <c r="I105" s="8">
        <f>27+5</f>
        <v>32</v>
      </c>
      <c r="K105" s="8" t="s">
        <v>247</v>
      </c>
      <c r="M105" s="250">
        <f t="shared" si="1"/>
        <v>10</v>
      </c>
    </row>
    <row r="106" spans="1:13" hidden="1" outlineLevel="1">
      <c r="A106" s="4">
        <v>106</v>
      </c>
      <c r="B106" s="8" t="s">
        <v>47</v>
      </c>
      <c r="C106" s="8" t="str">
        <f>IF(B106="","",VLOOKUP(B106,小圆机汇总表!A:AP,2,FALSE))</f>
        <v>A5035w</v>
      </c>
      <c r="D106" s="8">
        <f>IF(B106="","",VLOOKUP(B106,小圆机汇总表!A:AP,7,FALSE))</f>
        <v>35</v>
      </c>
      <c r="E106" s="8" t="str">
        <f>IF(B106="","",VLOOKUP(B106,小圆机汇总表!A:AP,5,FALSE))</f>
        <v>白</v>
      </c>
      <c r="F106" s="8" t="str">
        <f>IF(B106="","",VLOOKUP(B106,小圆机汇总表!A:AP,8,FALSE))</f>
        <v>长乐</v>
      </c>
      <c r="G106" s="23">
        <v>43746</v>
      </c>
      <c r="H106" s="8">
        <v>667.6</v>
      </c>
      <c r="I106" s="8">
        <v>33</v>
      </c>
      <c r="K106" s="8" t="s">
        <v>248</v>
      </c>
      <c r="M106" s="250">
        <f t="shared" si="1"/>
        <v>10</v>
      </c>
    </row>
    <row r="107" spans="1:13" hidden="1" outlineLevel="1">
      <c r="A107" s="4">
        <v>107</v>
      </c>
      <c r="B107" s="8" t="s">
        <v>114</v>
      </c>
      <c r="C107" s="8" t="str">
        <f>IF(B107="","",VLOOKUP(B107,小圆机汇总表!A:AP,2,FALSE))</f>
        <v>A5035大W</v>
      </c>
      <c r="D107" s="8">
        <f>IF(B107="","",VLOOKUP(B107,小圆机汇总表!A:AP,7,FALSE))</f>
        <v>35</v>
      </c>
      <c r="E107" s="8" t="str">
        <f>IF(B107="","",VLOOKUP(B107,小圆机汇总表!A:AP,5,FALSE))</f>
        <v>白</v>
      </c>
      <c r="F107" s="8" t="str">
        <f>IF(B107="","",VLOOKUP(B107,小圆机汇总表!A:AP,8,FALSE))</f>
        <v>长乐</v>
      </c>
      <c r="G107" s="23">
        <v>43746</v>
      </c>
      <c r="H107" s="8">
        <v>240.8</v>
      </c>
      <c r="I107" s="8">
        <v>12</v>
      </c>
      <c r="K107" s="8" t="s">
        <v>242</v>
      </c>
      <c r="M107" s="250">
        <f t="shared" si="1"/>
        <v>10</v>
      </c>
    </row>
    <row r="108" spans="1:13" hidden="1" outlineLevel="1">
      <c r="A108" s="4">
        <v>108</v>
      </c>
      <c r="B108" s="8" t="s">
        <v>116</v>
      </c>
      <c r="C108" s="8" t="str">
        <f>IF(B108="","",VLOOKUP(B108,小圆机汇总表!A:AP,2,FALSE))</f>
        <v>B5036大W高温丝</v>
      </c>
      <c r="D108" s="8">
        <f>IF(B108="","",VLOOKUP(B108,小圆机汇总表!A:AP,7,FALSE))</f>
        <v>36</v>
      </c>
      <c r="E108" s="8" t="str">
        <f>IF(B108="","",VLOOKUP(B108,小圆机汇总表!A:AP,5,FALSE))</f>
        <v>白高温</v>
      </c>
      <c r="F108" s="8" t="str">
        <f>IF(B108="","",VLOOKUP(B108,小圆机汇总表!A:AP,8,FALSE))</f>
        <v>长乐</v>
      </c>
      <c r="G108" s="23">
        <v>43746</v>
      </c>
      <c r="H108" s="8">
        <v>505.1</v>
      </c>
      <c r="I108" s="8">
        <v>25</v>
      </c>
      <c r="K108" s="8" t="s">
        <v>244</v>
      </c>
      <c r="M108" s="250">
        <f t="shared" si="1"/>
        <v>10</v>
      </c>
    </row>
    <row r="109" spans="1:13" hidden="1" outlineLevel="1">
      <c r="A109" s="4">
        <v>109</v>
      </c>
      <c r="B109" s="8" t="s">
        <v>70</v>
      </c>
      <c r="C109" s="8" t="str">
        <f>IF(B109="","",VLOOKUP(B109,小圆机汇总表!A:AP,2,FALSE))</f>
        <v>A5038w</v>
      </c>
      <c r="D109" s="8">
        <f>IF(B109="","",VLOOKUP(B109,小圆机汇总表!A:AP,7,FALSE))</f>
        <v>38</v>
      </c>
      <c r="E109" s="8" t="str">
        <f>IF(B109="","",VLOOKUP(B109,小圆机汇总表!A:AP,5,FALSE))</f>
        <v>白</v>
      </c>
      <c r="F109" s="8" t="str">
        <f>IF(B109="","",VLOOKUP(B109,小圆机汇总表!A:AP,8,FALSE))</f>
        <v>长乐</v>
      </c>
      <c r="G109" s="23">
        <v>43746</v>
      </c>
      <c r="H109" s="8">
        <v>250</v>
      </c>
      <c r="I109" s="8">
        <v>12</v>
      </c>
      <c r="K109" s="8" t="s">
        <v>253</v>
      </c>
      <c r="M109" s="250">
        <f t="shared" si="1"/>
        <v>10</v>
      </c>
    </row>
    <row r="110" spans="1:13" hidden="1" outlineLevel="1">
      <c r="A110" s="4">
        <v>110</v>
      </c>
      <c r="B110" s="8" t="s">
        <v>128</v>
      </c>
      <c r="C110" s="8" t="str">
        <f>IF(B110="","",VLOOKUP(B110,小圆机汇总表!A:AP,2,FALSE))</f>
        <v>A7545斜乱平纹</v>
      </c>
      <c r="D110" s="8">
        <f>IF(B110="","",VLOOKUP(B110,小圆机汇总表!A:AP,7,FALSE))</f>
        <v>45</v>
      </c>
      <c r="E110" s="8" t="str">
        <f>IF(B110="","",VLOOKUP(B110,小圆机汇总表!A:AP,5,FALSE))</f>
        <v>白</v>
      </c>
      <c r="F110" s="8" t="str">
        <f>IF(B110="","",VLOOKUP(B110,小圆机汇总表!A:AP,8,FALSE))</f>
        <v>长乐</v>
      </c>
      <c r="G110" s="23">
        <v>43746</v>
      </c>
      <c r="H110" s="8">
        <v>320</v>
      </c>
      <c r="I110" s="8">
        <v>16</v>
      </c>
      <c r="K110" s="8" t="s">
        <v>250</v>
      </c>
      <c r="M110" s="250">
        <f t="shared" si="1"/>
        <v>10</v>
      </c>
    </row>
    <row r="111" spans="1:13" hidden="1" outlineLevel="1">
      <c r="A111" s="4">
        <v>111</v>
      </c>
      <c r="B111" s="8" t="s">
        <v>83</v>
      </c>
      <c r="C111" s="8" t="str">
        <f>IF(B111="","",VLOOKUP(B111,小圆机汇总表!A:AP,2,FALSE))</f>
        <v>B7545w</v>
      </c>
      <c r="D111" s="8">
        <f>IF(B111="","",VLOOKUP(B111,小圆机汇总表!A:AP,7,FALSE))</f>
        <v>45</v>
      </c>
      <c r="E111" s="8" t="str">
        <f>IF(B111="","",VLOOKUP(B111,小圆机汇总表!A:AP,5,FALSE))</f>
        <v>白</v>
      </c>
      <c r="F111" s="8" t="str">
        <f>IF(B111="","",VLOOKUP(B111,小圆机汇总表!A:AP,8,FALSE))</f>
        <v>长乐</v>
      </c>
      <c r="G111" s="23">
        <v>43746</v>
      </c>
      <c r="H111" s="8">
        <v>143.5</v>
      </c>
      <c r="I111" s="8">
        <v>7</v>
      </c>
      <c r="K111" s="8" t="s">
        <v>249</v>
      </c>
      <c r="M111" s="250">
        <f t="shared" si="1"/>
        <v>10</v>
      </c>
    </row>
    <row r="112" spans="1:13" hidden="1" outlineLevel="1">
      <c r="A112" s="4">
        <v>112</v>
      </c>
      <c r="B112" s="8" t="s">
        <v>129</v>
      </c>
      <c r="C112" s="8" t="str">
        <f>IF(B112="","",VLOOKUP(B112,小圆机汇总表!A:AP,2,FALSE))</f>
        <v>A7548斜乱平纹</v>
      </c>
      <c r="D112" s="8">
        <f>IF(B112="","",VLOOKUP(B112,小圆机汇总表!A:AP,7,FALSE))</f>
        <v>48</v>
      </c>
      <c r="E112" s="8" t="str">
        <f>IF(B112="","",VLOOKUP(B112,小圆机汇总表!A:AP,5,FALSE))</f>
        <v>白高温</v>
      </c>
      <c r="F112" s="8" t="str">
        <f>IF(B112="","",VLOOKUP(B112,小圆机汇总表!A:AP,8,FALSE))</f>
        <v>长乐</v>
      </c>
      <c r="G112" s="23">
        <v>43746</v>
      </c>
      <c r="H112" s="8">
        <v>162.4</v>
      </c>
      <c r="I112" s="8">
        <v>8</v>
      </c>
      <c r="K112" s="8" t="s">
        <v>245</v>
      </c>
      <c r="M112" s="250">
        <f t="shared" si="1"/>
        <v>10</v>
      </c>
    </row>
    <row r="113" spans="1:13" hidden="1" outlineLevel="1">
      <c r="A113" s="4">
        <v>113</v>
      </c>
      <c r="B113" s="8" t="s">
        <v>239</v>
      </c>
      <c r="C113" s="8" t="str">
        <f>IF(B113="","",VLOOKUP(B113,小圆机汇总表!A:AP,2,FALSE))</f>
        <v>B3023乱平纹</v>
      </c>
      <c r="D113" s="8">
        <f>IF(B113="","",VLOOKUP(B113,小圆机汇总表!A:AP,7,FALSE))</f>
        <v>23</v>
      </c>
      <c r="E113" s="8" t="str">
        <f>IF(B113="","",VLOOKUP(B113,小圆机汇总表!A:AP,5,FALSE))</f>
        <v>白</v>
      </c>
      <c r="F113" s="8" t="str">
        <f>IF(B113="","",VLOOKUP(B113,小圆机汇总表!A:AP,8,FALSE))</f>
        <v>长乐</v>
      </c>
      <c r="G113" s="23">
        <v>43746</v>
      </c>
      <c r="H113" s="8">
        <v>97.4</v>
      </c>
      <c r="I113" s="8">
        <v>5</v>
      </c>
      <c r="K113" s="8" t="s">
        <v>252</v>
      </c>
      <c r="M113" s="250">
        <f t="shared" si="1"/>
        <v>10</v>
      </c>
    </row>
    <row r="114" spans="1:13" hidden="1" outlineLevel="1">
      <c r="A114" s="4">
        <v>114</v>
      </c>
      <c r="B114" s="8" t="s">
        <v>239</v>
      </c>
      <c r="C114" s="8" t="str">
        <f>IF(B114="","",VLOOKUP(B114,小圆机汇总表!A:AP,2,FALSE))</f>
        <v>B3023乱平纹</v>
      </c>
      <c r="D114" s="8">
        <f>IF(B114="","",VLOOKUP(B114,小圆机汇总表!A:AP,7,FALSE))</f>
        <v>23</v>
      </c>
      <c r="E114" s="8" t="str">
        <f>IF(B114="","",VLOOKUP(B114,小圆机汇总表!A:AP,5,FALSE))</f>
        <v>白</v>
      </c>
      <c r="F114" s="8" t="str">
        <f>IF(B114="","",VLOOKUP(B114,小圆机汇总表!A:AP,8,FALSE))</f>
        <v>长乐</v>
      </c>
      <c r="G114" s="23">
        <v>43747</v>
      </c>
      <c r="H114" s="8">
        <v>115.7</v>
      </c>
      <c r="I114" s="8">
        <v>6</v>
      </c>
      <c r="K114" s="8" t="s">
        <v>252</v>
      </c>
      <c r="M114" s="250">
        <f t="shared" si="1"/>
        <v>10</v>
      </c>
    </row>
    <row r="115" spans="1:13" hidden="1" outlineLevel="1">
      <c r="A115" s="4">
        <v>115</v>
      </c>
      <c r="B115" s="8" t="s">
        <v>119</v>
      </c>
      <c r="C115" s="8" t="str">
        <f>IF(B115="","",VLOOKUP(B115,小圆机汇总表!A:AP,2,FALSE))</f>
        <v>B3023大W</v>
      </c>
      <c r="D115" s="8">
        <f>IF(B115="","",VLOOKUP(B115,小圆机汇总表!A:AP,7,FALSE))</f>
        <v>23</v>
      </c>
      <c r="E115" s="8" t="str">
        <f>IF(B115="","",VLOOKUP(B115,小圆机汇总表!A:AP,5,FALSE))</f>
        <v>白</v>
      </c>
      <c r="F115" s="8" t="str">
        <f>IF(B115="","",VLOOKUP(B115,小圆机汇总表!A:AP,8,FALSE))</f>
        <v>长乐</v>
      </c>
      <c r="G115" s="23">
        <v>43747</v>
      </c>
      <c r="H115" s="8">
        <v>38.6</v>
      </c>
      <c r="I115" s="8">
        <v>2</v>
      </c>
      <c r="K115" s="8" t="s">
        <v>250</v>
      </c>
      <c r="M115" s="250">
        <f t="shared" si="1"/>
        <v>10</v>
      </c>
    </row>
    <row r="116" spans="1:13" hidden="1" outlineLevel="1">
      <c r="A116" s="4">
        <v>116</v>
      </c>
      <c r="B116" s="8" t="s">
        <v>121</v>
      </c>
      <c r="C116" s="8" t="str">
        <f>IF(B116="","",VLOOKUP(B116,小圆机汇总表!A:AP,2,FALSE))</f>
        <v>A5032w</v>
      </c>
      <c r="D116" s="8">
        <f>IF(B116="","",VLOOKUP(B116,小圆机汇总表!A:AP,7,FALSE))</f>
        <v>32</v>
      </c>
      <c r="E116" s="8" t="str">
        <f>IF(B116="","",VLOOKUP(B116,小圆机汇总表!A:AP,5,FALSE))</f>
        <v>白</v>
      </c>
      <c r="F116" s="8" t="str">
        <f>IF(B116="","",VLOOKUP(B116,小圆机汇总表!A:AP,8,FALSE))</f>
        <v>长乐</v>
      </c>
      <c r="G116" s="23">
        <v>43747</v>
      </c>
      <c r="H116" s="8">
        <v>639.79999999999995</v>
      </c>
      <c r="I116" s="8">
        <v>33</v>
      </c>
      <c r="K116" s="8" t="s">
        <v>243</v>
      </c>
      <c r="M116" s="250">
        <f t="shared" si="1"/>
        <v>10</v>
      </c>
    </row>
    <row r="117" spans="1:13" hidden="1" outlineLevel="1">
      <c r="A117" s="4">
        <v>117</v>
      </c>
      <c r="B117" s="8" t="s">
        <v>122</v>
      </c>
      <c r="C117" s="8" t="str">
        <f>IF(B117="","",VLOOKUP(B117,小圆机汇总表!A:AP,2,FALSE))</f>
        <v>B5034大W</v>
      </c>
      <c r="D117" s="8">
        <f>IF(B117="","",VLOOKUP(B117,小圆机汇总表!A:AP,7,FALSE))</f>
        <v>34</v>
      </c>
      <c r="E117" s="8" t="str">
        <f>IF(B117="","",VLOOKUP(B117,小圆机汇总表!A:AP,5,FALSE))</f>
        <v>白高温</v>
      </c>
      <c r="F117" s="8" t="str">
        <f>IF(B117="","",VLOOKUP(B117,小圆机汇总表!A:AP,8,FALSE))</f>
        <v>长乐</v>
      </c>
      <c r="G117" s="23">
        <v>43747</v>
      </c>
      <c r="H117" s="8">
        <v>1077</v>
      </c>
      <c r="I117" s="8">
        <v>53</v>
      </c>
      <c r="K117" s="8" t="s">
        <v>244</v>
      </c>
      <c r="M117" s="250">
        <f t="shared" si="1"/>
        <v>10</v>
      </c>
    </row>
    <row r="118" spans="1:13" hidden="1" outlineLevel="1">
      <c r="A118" s="4">
        <v>118</v>
      </c>
      <c r="B118" s="8" t="s">
        <v>123</v>
      </c>
      <c r="C118" s="8" t="str">
        <f>IF(B118="","",VLOOKUP(B118,小圆机汇总表!A:AP,2,FALSE))</f>
        <v>B7539斜乱平纹</v>
      </c>
      <c r="D118" s="8">
        <f>IF(B118="","",VLOOKUP(B118,小圆机汇总表!A:AP,7,FALSE))</f>
        <v>39</v>
      </c>
      <c r="E118" s="8" t="str">
        <f>IF(B118="","",VLOOKUP(B118,小圆机汇总表!A:AP,5,FALSE))</f>
        <v>白</v>
      </c>
      <c r="F118" s="8" t="str">
        <f>IF(B118="","",VLOOKUP(B118,小圆机汇总表!A:AP,8,FALSE))</f>
        <v>盛元</v>
      </c>
      <c r="G118" s="23">
        <v>43747</v>
      </c>
      <c r="H118" s="8">
        <v>307.5</v>
      </c>
      <c r="I118" s="8">
        <v>15</v>
      </c>
      <c r="K118" s="8" t="s">
        <v>245</v>
      </c>
      <c r="M118" s="250">
        <f t="shared" si="1"/>
        <v>10</v>
      </c>
    </row>
    <row r="119" spans="1:13" hidden="1" outlineLevel="1">
      <c r="A119" s="4">
        <v>119</v>
      </c>
      <c r="B119" s="8" t="s">
        <v>81</v>
      </c>
      <c r="C119" s="8" t="str">
        <f>IF(B119="","",VLOOKUP(B119,小圆机汇总表!A:AP,2,FALSE))</f>
        <v>C5034w</v>
      </c>
      <c r="D119" s="8">
        <f>IF(B119="","",VLOOKUP(B119,小圆机汇总表!A:AP,7,FALSE))</f>
        <v>34</v>
      </c>
      <c r="E119" s="8" t="str">
        <f>IF(B119="","",VLOOKUP(B119,小圆机汇总表!A:AP,5,FALSE))</f>
        <v>白</v>
      </c>
      <c r="F119" s="8" t="str">
        <f>IF(B119="","",VLOOKUP(B119,小圆机汇总表!A:AP,8,FALSE))</f>
        <v>长乐</v>
      </c>
      <c r="G119" s="23">
        <v>43747</v>
      </c>
      <c r="H119" s="8">
        <v>387.6</v>
      </c>
      <c r="I119" s="8">
        <v>20</v>
      </c>
      <c r="K119" s="8" t="s">
        <v>248</v>
      </c>
      <c r="M119" s="250">
        <f t="shared" si="1"/>
        <v>10</v>
      </c>
    </row>
    <row r="120" spans="1:13" hidden="1" outlineLevel="1">
      <c r="A120" s="4">
        <v>120</v>
      </c>
      <c r="B120" s="8" t="s">
        <v>112</v>
      </c>
      <c r="C120" s="8" t="str">
        <f>IF(B120="","",VLOOKUP(B120,小圆机汇总表!A:AP,2,FALSE))</f>
        <v>A5035w黑</v>
      </c>
      <c r="D120" s="8">
        <f>IF(B120="","",VLOOKUP(B120,小圆机汇总表!A:AP,7,FALSE))</f>
        <v>35</v>
      </c>
      <c r="E120" s="8" t="str">
        <f>IF(B120="","",VLOOKUP(B120,小圆机汇总表!A:AP,5,FALSE))</f>
        <v>黑</v>
      </c>
      <c r="F120" s="8" t="str">
        <f>IF(B120="","",VLOOKUP(B120,小圆机汇总表!A:AP,8,FALSE))</f>
        <v>固力</v>
      </c>
      <c r="G120" s="23">
        <v>43747</v>
      </c>
      <c r="H120" s="8">
        <v>707.5</v>
      </c>
      <c r="I120" s="8">
        <f>28+5</f>
        <v>33</v>
      </c>
      <c r="K120" s="8" t="s">
        <v>247</v>
      </c>
      <c r="M120" s="250">
        <f t="shared" si="1"/>
        <v>10</v>
      </c>
    </row>
    <row r="121" spans="1:13" hidden="1" outlineLevel="1">
      <c r="A121" s="4">
        <v>121</v>
      </c>
      <c r="B121" s="8" t="s">
        <v>47</v>
      </c>
      <c r="C121" s="8" t="str">
        <f>IF(B121="","",VLOOKUP(B121,小圆机汇总表!A:AP,2,FALSE))</f>
        <v>A5035w</v>
      </c>
      <c r="D121" s="8">
        <f>IF(B121="","",VLOOKUP(B121,小圆机汇总表!A:AP,7,FALSE))</f>
        <v>35</v>
      </c>
      <c r="E121" s="8" t="str">
        <f>IF(B121="","",VLOOKUP(B121,小圆机汇总表!A:AP,5,FALSE))</f>
        <v>白</v>
      </c>
      <c r="F121" s="8" t="str">
        <f>IF(B121="","",VLOOKUP(B121,小圆机汇总表!A:AP,8,FALSE))</f>
        <v>长乐</v>
      </c>
      <c r="G121" s="23">
        <v>43747</v>
      </c>
      <c r="H121" s="8">
        <v>650.79999999999995</v>
      </c>
      <c r="I121" s="8">
        <v>32</v>
      </c>
      <c r="K121" s="8" t="s">
        <v>248</v>
      </c>
      <c r="M121" s="250">
        <f t="shared" si="1"/>
        <v>10</v>
      </c>
    </row>
    <row r="122" spans="1:13" hidden="1" outlineLevel="1">
      <c r="A122" s="4">
        <v>122</v>
      </c>
      <c r="B122" s="8" t="s">
        <v>114</v>
      </c>
      <c r="C122" s="8" t="str">
        <f>IF(B122="","",VLOOKUP(B122,小圆机汇总表!A:AP,2,FALSE))</f>
        <v>A5035大W</v>
      </c>
      <c r="D122" s="8">
        <f>IF(B122="","",VLOOKUP(B122,小圆机汇总表!A:AP,7,FALSE))</f>
        <v>35</v>
      </c>
      <c r="E122" s="8" t="str">
        <f>IF(B122="","",VLOOKUP(B122,小圆机汇总表!A:AP,5,FALSE))</f>
        <v>白</v>
      </c>
      <c r="F122" s="8" t="str">
        <f>IF(B122="","",VLOOKUP(B122,小圆机汇总表!A:AP,8,FALSE))</f>
        <v>长乐</v>
      </c>
      <c r="G122" s="23">
        <v>43747</v>
      </c>
      <c r="H122" s="8">
        <v>261</v>
      </c>
      <c r="I122" s="8">
        <v>13</v>
      </c>
      <c r="K122" s="8" t="s">
        <v>242</v>
      </c>
      <c r="M122" s="250">
        <f t="shared" si="1"/>
        <v>10</v>
      </c>
    </row>
    <row r="123" spans="1:13" hidden="1" outlineLevel="1">
      <c r="A123" s="4">
        <v>123</v>
      </c>
      <c r="B123" s="8" t="s">
        <v>732</v>
      </c>
      <c r="C123" s="8" t="str">
        <f>IF(B123="","",VLOOKUP(B123,小圆机汇总表!A:AP,2,FALSE))</f>
        <v>A5036直平纹</v>
      </c>
      <c r="D123" s="8">
        <f>IF(B123="","",VLOOKUP(B123,小圆机汇总表!A:AP,7,FALSE))</f>
        <v>36</v>
      </c>
      <c r="E123" s="8" t="str">
        <f>IF(B123="","",VLOOKUP(B123,小圆机汇总表!A:AP,5,FALSE))</f>
        <v>白</v>
      </c>
      <c r="F123" s="8" t="str">
        <f>IF(B123="","",VLOOKUP(B123,小圆机汇总表!A:AP,8,FALSE))</f>
        <v>长乐</v>
      </c>
      <c r="G123" s="23">
        <v>43747</v>
      </c>
      <c r="H123" s="8">
        <v>117.6</v>
      </c>
      <c r="I123" s="8">
        <v>6</v>
      </c>
      <c r="K123" s="8" t="s">
        <v>242</v>
      </c>
      <c r="M123" s="250">
        <f t="shared" si="1"/>
        <v>10</v>
      </c>
    </row>
    <row r="124" spans="1:13" hidden="1" outlineLevel="1">
      <c r="A124" s="4">
        <v>124</v>
      </c>
      <c r="B124" s="8" t="s">
        <v>116</v>
      </c>
      <c r="C124" s="8" t="str">
        <f>IF(B124="","",VLOOKUP(B124,小圆机汇总表!A:AP,2,FALSE))</f>
        <v>B5036大W高温丝</v>
      </c>
      <c r="D124" s="8">
        <f>IF(B124="","",VLOOKUP(B124,小圆机汇总表!A:AP,7,FALSE))</f>
        <v>36</v>
      </c>
      <c r="E124" s="8" t="str">
        <f>IF(B124="","",VLOOKUP(B124,小圆机汇总表!A:AP,5,FALSE))</f>
        <v>白高温</v>
      </c>
      <c r="F124" s="8" t="str">
        <f>IF(B124="","",VLOOKUP(B124,小圆机汇总表!A:AP,8,FALSE))</f>
        <v>长乐</v>
      </c>
      <c r="G124" s="23">
        <v>43747</v>
      </c>
      <c r="H124" s="8">
        <v>485.1</v>
      </c>
      <c r="I124" s="8">
        <v>24</v>
      </c>
      <c r="K124" s="8" t="s">
        <v>244</v>
      </c>
      <c r="M124" s="250">
        <f t="shared" si="1"/>
        <v>10</v>
      </c>
    </row>
    <row r="125" spans="1:13" hidden="1" outlineLevel="1">
      <c r="A125" s="4">
        <v>125</v>
      </c>
      <c r="B125" s="8" t="s">
        <v>70</v>
      </c>
      <c r="C125" s="8" t="str">
        <f>IF(B125="","",VLOOKUP(B125,小圆机汇总表!A:AP,2,FALSE))</f>
        <v>A5038w</v>
      </c>
      <c r="D125" s="8">
        <f>IF(B125="","",VLOOKUP(B125,小圆机汇总表!A:AP,7,FALSE))</f>
        <v>38</v>
      </c>
      <c r="E125" s="8" t="str">
        <f>IF(B125="","",VLOOKUP(B125,小圆机汇总表!A:AP,5,FALSE))</f>
        <v>白</v>
      </c>
      <c r="F125" s="8" t="str">
        <f>IF(B125="","",VLOOKUP(B125,小圆机汇总表!A:AP,8,FALSE))</f>
        <v>长乐</v>
      </c>
      <c r="G125" s="23">
        <v>43747</v>
      </c>
      <c r="H125" s="8">
        <v>250</v>
      </c>
      <c r="I125" s="8">
        <v>12</v>
      </c>
      <c r="K125" s="8" t="s">
        <v>253</v>
      </c>
      <c r="M125" s="250">
        <f t="shared" si="1"/>
        <v>10</v>
      </c>
    </row>
    <row r="126" spans="1:13" hidden="1" outlineLevel="1">
      <c r="A126" s="4">
        <v>126</v>
      </c>
      <c r="B126" s="8" t="s">
        <v>128</v>
      </c>
      <c r="C126" s="8" t="str">
        <f>IF(B126="","",VLOOKUP(B126,小圆机汇总表!A:AP,2,FALSE))</f>
        <v>A7545斜乱平纹</v>
      </c>
      <c r="D126" s="8">
        <f>IF(B126="","",VLOOKUP(B126,小圆机汇总表!A:AP,7,FALSE))</f>
        <v>45</v>
      </c>
      <c r="E126" s="8" t="str">
        <f>IF(B126="","",VLOOKUP(B126,小圆机汇总表!A:AP,5,FALSE))</f>
        <v>白</v>
      </c>
      <c r="F126" s="8" t="str">
        <f>IF(B126="","",VLOOKUP(B126,小圆机汇总表!A:AP,8,FALSE))</f>
        <v>长乐</v>
      </c>
      <c r="G126" s="23">
        <v>43747</v>
      </c>
      <c r="H126" s="8">
        <v>320</v>
      </c>
      <c r="I126" s="8">
        <v>16</v>
      </c>
      <c r="K126" s="8" t="s">
        <v>250</v>
      </c>
      <c r="M126" s="250">
        <f t="shared" si="1"/>
        <v>10</v>
      </c>
    </row>
    <row r="127" spans="1:13" hidden="1" outlineLevel="1">
      <c r="A127" s="4">
        <v>127</v>
      </c>
      <c r="B127" s="8" t="s">
        <v>83</v>
      </c>
      <c r="C127" s="8" t="str">
        <f>IF(B127="","",VLOOKUP(B127,小圆机汇总表!A:AP,2,FALSE))</f>
        <v>B7545w</v>
      </c>
      <c r="D127" s="8">
        <f>IF(B127="","",VLOOKUP(B127,小圆机汇总表!A:AP,7,FALSE))</f>
        <v>45</v>
      </c>
      <c r="E127" s="8" t="str">
        <f>IF(B127="","",VLOOKUP(B127,小圆机汇总表!A:AP,5,FALSE))</f>
        <v>白</v>
      </c>
      <c r="F127" s="8" t="str">
        <f>IF(B127="","",VLOOKUP(B127,小圆机汇总表!A:AP,8,FALSE))</f>
        <v>长乐</v>
      </c>
      <c r="G127" s="23">
        <v>43747</v>
      </c>
      <c r="H127" s="8">
        <v>16</v>
      </c>
      <c r="I127" s="8">
        <v>1</v>
      </c>
      <c r="K127" s="8" t="s">
        <v>249</v>
      </c>
      <c r="M127" s="250">
        <f t="shared" si="1"/>
        <v>10</v>
      </c>
    </row>
    <row r="128" spans="1:13" hidden="1" outlineLevel="1">
      <c r="A128" s="4">
        <v>128</v>
      </c>
      <c r="B128" s="8" t="s">
        <v>129</v>
      </c>
      <c r="C128" s="8" t="str">
        <f>IF(B128="","",VLOOKUP(B128,小圆机汇总表!A:AP,2,FALSE))</f>
        <v>A7548斜乱平纹</v>
      </c>
      <c r="D128" s="8">
        <f>IF(B128="","",VLOOKUP(B128,小圆机汇总表!A:AP,7,FALSE))</f>
        <v>48</v>
      </c>
      <c r="E128" s="8" t="str">
        <f>IF(B128="","",VLOOKUP(B128,小圆机汇总表!A:AP,5,FALSE))</f>
        <v>白高温</v>
      </c>
      <c r="F128" s="8" t="str">
        <f>IF(B128="","",VLOOKUP(B128,小圆机汇总表!A:AP,8,FALSE))</f>
        <v>长乐</v>
      </c>
      <c r="G128" s="23">
        <v>43747</v>
      </c>
      <c r="H128" s="8">
        <v>121.8</v>
      </c>
      <c r="I128" s="8">
        <v>6</v>
      </c>
      <c r="K128" s="8" t="s">
        <v>245</v>
      </c>
      <c r="M128" s="250">
        <f t="shared" si="1"/>
        <v>10</v>
      </c>
    </row>
    <row r="129" spans="1:13" hidden="1" outlineLevel="1">
      <c r="A129" s="4">
        <v>129</v>
      </c>
      <c r="B129" s="8" t="s">
        <v>104</v>
      </c>
      <c r="C129" s="8" t="str">
        <f>IF(B129="","",VLOOKUP(B129,小圆机汇总表!A:AP,2,FALSE))</f>
        <v>B7549w</v>
      </c>
      <c r="D129" s="8">
        <f>IF(B129="","",VLOOKUP(B129,小圆机汇总表!A:AP,7,FALSE))</f>
        <v>49</v>
      </c>
      <c r="E129" s="8" t="str">
        <f>IF(B129="","",VLOOKUP(B129,小圆机汇总表!A:AP,5,FALSE))</f>
        <v>白</v>
      </c>
      <c r="F129" s="8" t="str">
        <f>IF(B129="","",VLOOKUP(B129,小圆机汇总表!A:AP,8,FALSE))</f>
        <v>长乐</v>
      </c>
      <c r="G129" s="23">
        <v>43747</v>
      </c>
      <c r="H129" s="8">
        <v>101.5</v>
      </c>
      <c r="I129" s="8">
        <v>5</v>
      </c>
      <c r="K129" s="8" t="s">
        <v>247</v>
      </c>
      <c r="M129" s="250">
        <f t="shared" si="1"/>
        <v>10</v>
      </c>
    </row>
    <row r="130" spans="1:13" hidden="1" outlineLevel="1">
      <c r="A130" s="4">
        <v>130</v>
      </c>
      <c r="B130" s="8" t="s">
        <v>239</v>
      </c>
      <c r="C130" s="8" t="str">
        <f>IF(B130="","",VLOOKUP(B130,小圆机汇总表!A:AP,2,FALSE))</f>
        <v>B3023乱平纹</v>
      </c>
      <c r="D130" s="8">
        <f>IF(B130="","",VLOOKUP(B130,小圆机汇总表!A:AP,7,FALSE))</f>
        <v>23</v>
      </c>
      <c r="E130" s="8" t="str">
        <f>IF(B130="","",VLOOKUP(B130,小圆机汇总表!A:AP,5,FALSE))</f>
        <v>白</v>
      </c>
      <c r="F130" s="8" t="str">
        <f>IF(B130="","",VLOOKUP(B130,小圆机汇总表!A:AP,8,FALSE))</f>
        <v>长乐</v>
      </c>
      <c r="G130" s="23">
        <v>43748</v>
      </c>
      <c r="H130" s="8">
        <v>116.7</v>
      </c>
      <c r="I130" s="8">
        <v>6</v>
      </c>
      <c r="K130" s="8" t="s">
        <v>980</v>
      </c>
      <c r="M130" s="250">
        <f t="shared" si="1"/>
        <v>10</v>
      </c>
    </row>
    <row r="131" spans="1:13" hidden="1" outlineLevel="1">
      <c r="A131" s="4">
        <v>131</v>
      </c>
      <c r="B131" s="8" t="s">
        <v>121</v>
      </c>
      <c r="C131" s="8" t="str">
        <f>IF(B131="","",VLOOKUP(B131,小圆机汇总表!A:AP,2,FALSE))</f>
        <v>A5032w</v>
      </c>
      <c r="D131" s="8">
        <f>IF(B131="","",VLOOKUP(B131,小圆机汇总表!A:AP,7,FALSE))</f>
        <v>32</v>
      </c>
      <c r="E131" s="8" t="str">
        <f>IF(B131="","",VLOOKUP(B131,小圆机汇总表!A:AP,5,FALSE))</f>
        <v>白</v>
      </c>
      <c r="F131" s="8" t="str">
        <f>IF(B131="","",VLOOKUP(B131,小圆机汇总表!A:AP,8,FALSE))</f>
        <v>长乐</v>
      </c>
      <c r="G131" s="23">
        <v>43748</v>
      </c>
      <c r="H131" s="8">
        <v>672.8</v>
      </c>
      <c r="I131" s="8">
        <v>34</v>
      </c>
      <c r="K131" s="8" t="s">
        <v>981</v>
      </c>
      <c r="M131" s="250">
        <f t="shared" ref="M131:M194" si="2">IF(B131="","",MONTH(G131))</f>
        <v>10</v>
      </c>
    </row>
    <row r="132" spans="1:13" hidden="1" outlineLevel="1">
      <c r="A132" s="4">
        <v>132</v>
      </c>
      <c r="B132" s="8" t="s">
        <v>122</v>
      </c>
      <c r="C132" s="8" t="str">
        <f>IF(B132="","",VLOOKUP(B132,小圆机汇总表!A:AP,2,FALSE))</f>
        <v>B5034大W</v>
      </c>
      <c r="D132" s="8">
        <f>IF(B132="","",VLOOKUP(B132,小圆机汇总表!A:AP,7,FALSE))</f>
        <v>34</v>
      </c>
      <c r="E132" s="8" t="str">
        <f>IF(B132="","",VLOOKUP(B132,小圆机汇总表!A:AP,5,FALSE))</f>
        <v>白高温</v>
      </c>
      <c r="F132" s="8" t="str">
        <f>IF(B132="","",VLOOKUP(B132,小圆机汇总表!A:AP,8,FALSE))</f>
        <v>长乐</v>
      </c>
      <c r="G132" s="23">
        <v>43748</v>
      </c>
      <c r="H132" s="8">
        <v>1186.4000000000001</v>
      </c>
      <c r="I132" s="8">
        <v>59</v>
      </c>
      <c r="K132" s="8" t="s">
        <v>982</v>
      </c>
      <c r="M132" s="250">
        <f t="shared" si="2"/>
        <v>10</v>
      </c>
    </row>
    <row r="133" spans="1:13" hidden="1" outlineLevel="1">
      <c r="A133" s="4">
        <v>133</v>
      </c>
      <c r="B133" s="8" t="s">
        <v>123</v>
      </c>
      <c r="C133" s="8" t="str">
        <f>IF(B133="","",VLOOKUP(B133,小圆机汇总表!A:AP,2,FALSE))</f>
        <v>B7539斜乱平纹</v>
      </c>
      <c r="D133" s="8">
        <f>IF(B133="","",VLOOKUP(B133,小圆机汇总表!A:AP,7,FALSE))</f>
        <v>39</v>
      </c>
      <c r="E133" s="8" t="str">
        <f>IF(B133="","",VLOOKUP(B133,小圆机汇总表!A:AP,5,FALSE))</f>
        <v>白</v>
      </c>
      <c r="F133" s="8" t="str">
        <f>IF(B133="","",VLOOKUP(B133,小圆机汇总表!A:AP,8,FALSE))</f>
        <v>盛元</v>
      </c>
      <c r="G133" s="23">
        <v>43748</v>
      </c>
      <c r="H133" s="8">
        <v>287</v>
      </c>
      <c r="I133" s="8">
        <v>14</v>
      </c>
      <c r="K133" s="8" t="s">
        <v>983</v>
      </c>
      <c r="M133" s="250">
        <f t="shared" si="2"/>
        <v>10</v>
      </c>
    </row>
    <row r="134" spans="1:13" hidden="1" outlineLevel="1">
      <c r="A134" s="4">
        <v>134</v>
      </c>
      <c r="B134" s="8" t="s">
        <v>962</v>
      </c>
      <c r="C134" s="8" t="str">
        <f>IF(B134="","",VLOOKUP(B134,小圆机汇总表!A:AP,2,FALSE))</f>
        <v>C5034w</v>
      </c>
      <c r="D134" s="8">
        <f>IF(B134="","",VLOOKUP(B134,小圆机汇总表!A:AP,7,FALSE))</f>
        <v>34</v>
      </c>
      <c r="E134" s="8" t="str">
        <f>IF(B134="","",VLOOKUP(B134,小圆机汇总表!A:AP,5,FALSE))</f>
        <v>白</v>
      </c>
      <c r="F134" s="8" t="str">
        <f>IF(B134="","",VLOOKUP(B134,小圆机汇总表!A:AP,8,FALSE))</f>
        <v>长乐</v>
      </c>
      <c r="G134" s="23">
        <v>43748</v>
      </c>
      <c r="H134" s="8">
        <v>340.9</v>
      </c>
      <c r="I134" s="8">
        <v>18</v>
      </c>
      <c r="K134" s="8" t="s">
        <v>984</v>
      </c>
      <c r="M134" s="250">
        <f t="shared" si="2"/>
        <v>10</v>
      </c>
    </row>
    <row r="135" spans="1:13" hidden="1" outlineLevel="1">
      <c r="A135" s="4">
        <v>135</v>
      </c>
      <c r="B135" s="8" t="s">
        <v>979</v>
      </c>
      <c r="C135" s="8" t="str">
        <f>IF(B135="","",VLOOKUP(B135,小圆机汇总表!A:AP,2,FALSE))</f>
        <v>C5034w</v>
      </c>
      <c r="D135" s="8">
        <f>IF(B135="","",VLOOKUP(B135,小圆机汇总表!A:AP,7,FALSE))</f>
        <v>34</v>
      </c>
      <c r="E135" s="8" t="str">
        <f>IF(B135="","",VLOOKUP(B135,小圆机汇总表!A:AP,5,FALSE))</f>
        <v>黑</v>
      </c>
      <c r="F135" s="8" t="str">
        <f>IF(B135="","",VLOOKUP(B135,小圆机汇总表!A:AP,8,FALSE))</f>
        <v>固力</v>
      </c>
      <c r="G135" s="23">
        <v>43748</v>
      </c>
      <c r="H135" s="8">
        <v>39.5</v>
      </c>
      <c r="I135" s="8">
        <v>2</v>
      </c>
      <c r="K135" s="8" t="s">
        <v>985</v>
      </c>
      <c r="M135" s="250">
        <f t="shared" si="2"/>
        <v>10</v>
      </c>
    </row>
    <row r="136" spans="1:13" hidden="1" outlineLevel="1">
      <c r="A136" s="4">
        <v>136</v>
      </c>
      <c r="B136" s="8" t="s">
        <v>112</v>
      </c>
      <c r="C136" s="8" t="str">
        <f>IF(B136="","",VLOOKUP(B136,小圆机汇总表!A:AP,2,FALSE))</f>
        <v>A5035w黑</v>
      </c>
      <c r="D136" s="8">
        <f>IF(B136="","",VLOOKUP(B136,小圆机汇总表!A:AP,7,FALSE))</f>
        <v>35</v>
      </c>
      <c r="E136" s="8" t="str">
        <f>IF(B136="","",VLOOKUP(B136,小圆机汇总表!A:AP,5,FALSE))</f>
        <v>黑</v>
      </c>
      <c r="F136" s="8" t="str">
        <f>IF(B136="","",VLOOKUP(B136,小圆机汇总表!A:AP,8,FALSE))</f>
        <v>固力</v>
      </c>
      <c r="G136" s="23">
        <v>43748</v>
      </c>
      <c r="H136" s="8">
        <v>675</v>
      </c>
      <c r="I136" s="8">
        <v>31</v>
      </c>
      <c r="K136" s="8" t="s">
        <v>986</v>
      </c>
      <c r="M136" s="250">
        <f t="shared" si="2"/>
        <v>10</v>
      </c>
    </row>
    <row r="137" spans="1:13" hidden="1" outlineLevel="1">
      <c r="A137" s="4">
        <v>137</v>
      </c>
      <c r="B137" s="8" t="s">
        <v>47</v>
      </c>
      <c r="C137" s="8" t="str">
        <f>IF(B137="","",VLOOKUP(B137,小圆机汇总表!A:AP,2,FALSE))</f>
        <v>A5035w</v>
      </c>
      <c r="D137" s="8">
        <f>IF(B137="","",VLOOKUP(B137,小圆机汇总表!A:AP,7,FALSE))</f>
        <v>35</v>
      </c>
      <c r="E137" s="8" t="str">
        <f>IF(B137="","",VLOOKUP(B137,小圆机汇总表!A:AP,5,FALSE))</f>
        <v>白</v>
      </c>
      <c r="F137" s="8" t="str">
        <f>IF(B137="","",VLOOKUP(B137,小圆机汇总表!A:AP,8,FALSE))</f>
        <v>长乐</v>
      </c>
      <c r="G137" s="23">
        <v>43748</v>
      </c>
      <c r="H137" s="8">
        <v>562.4</v>
      </c>
      <c r="I137" s="8">
        <v>28</v>
      </c>
      <c r="K137" s="8" t="s">
        <v>984</v>
      </c>
      <c r="M137" s="250">
        <f t="shared" si="2"/>
        <v>10</v>
      </c>
    </row>
    <row r="138" spans="1:13" hidden="1" outlineLevel="1">
      <c r="A138" s="4">
        <v>138</v>
      </c>
      <c r="B138" s="8" t="s">
        <v>114</v>
      </c>
      <c r="C138" s="8" t="str">
        <f>IF(B138="","",VLOOKUP(B138,小圆机汇总表!A:AP,2,FALSE))</f>
        <v>A5035大W</v>
      </c>
      <c r="D138" s="8">
        <f>IF(B138="","",VLOOKUP(B138,小圆机汇总表!A:AP,7,FALSE))</f>
        <v>35</v>
      </c>
      <c r="E138" s="8" t="str">
        <f>IF(B138="","",VLOOKUP(B138,小圆机汇总表!A:AP,5,FALSE))</f>
        <v>白</v>
      </c>
      <c r="F138" s="8" t="str">
        <f>IF(B138="","",VLOOKUP(B138,小圆机汇总表!A:AP,8,FALSE))</f>
        <v>长乐</v>
      </c>
      <c r="G138" s="23">
        <v>43748</v>
      </c>
      <c r="H138" s="8">
        <v>240.8</v>
      </c>
      <c r="I138" s="8">
        <v>12</v>
      </c>
      <c r="K138" s="8" t="s">
        <v>987</v>
      </c>
      <c r="M138" s="250">
        <f t="shared" si="2"/>
        <v>10</v>
      </c>
    </row>
    <row r="139" spans="1:13" hidden="1" outlineLevel="1">
      <c r="A139" s="4">
        <v>139</v>
      </c>
      <c r="B139" s="8" t="s">
        <v>68</v>
      </c>
      <c r="C139" s="8" t="str">
        <f>IF(B139="","",VLOOKUP(B139,小圆机汇总表!A:AP,2,FALSE))</f>
        <v>A5036直平纹</v>
      </c>
      <c r="D139" s="8">
        <f>IF(B139="","",VLOOKUP(B139,小圆机汇总表!A:AP,7,FALSE))</f>
        <v>36</v>
      </c>
      <c r="E139" s="8" t="str">
        <f>IF(B139="","",VLOOKUP(B139,小圆机汇总表!A:AP,5,FALSE))</f>
        <v>白</v>
      </c>
      <c r="F139" s="8" t="str">
        <f>IF(B139="","",VLOOKUP(B139,小圆机汇总表!A:AP,8,FALSE))</f>
        <v>长乐</v>
      </c>
      <c r="G139" s="23">
        <v>43748</v>
      </c>
      <c r="H139" s="8">
        <v>156.80000000000001</v>
      </c>
      <c r="I139" s="8">
        <v>8</v>
      </c>
      <c r="K139" s="8" t="s">
        <v>987</v>
      </c>
      <c r="M139" s="250">
        <f t="shared" si="2"/>
        <v>10</v>
      </c>
    </row>
    <row r="140" spans="1:13" hidden="1" outlineLevel="1">
      <c r="A140" s="4">
        <v>140</v>
      </c>
      <c r="B140" s="8" t="s">
        <v>116</v>
      </c>
      <c r="C140" s="8" t="str">
        <f>IF(B140="","",VLOOKUP(B140,小圆机汇总表!A:AP,2,FALSE))</f>
        <v>B5036大W高温丝</v>
      </c>
      <c r="D140" s="8">
        <f>IF(B140="","",VLOOKUP(B140,小圆机汇总表!A:AP,7,FALSE))</f>
        <v>36</v>
      </c>
      <c r="E140" s="8" t="str">
        <f>IF(B140="","",VLOOKUP(B140,小圆机汇总表!A:AP,5,FALSE))</f>
        <v>白高温</v>
      </c>
      <c r="F140" s="8" t="str">
        <f>IF(B140="","",VLOOKUP(B140,小圆机汇总表!A:AP,8,FALSE))</f>
        <v>长乐</v>
      </c>
      <c r="G140" s="23">
        <v>43748</v>
      </c>
      <c r="H140" s="8">
        <v>500.7</v>
      </c>
      <c r="I140" s="8">
        <v>25</v>
      </c>
      <c r="K140" s="8" t="s">
        <v>982</v>
      </c>
      <c r="M140" s="250">
        <f t="shared" si="2"/>
        <v>10</v>
      </c>
    </row>
    <row r="141" spans="1:13" hidden="1" outlineLevel="1">
      <c r="A141" s="4">
        <v>141</v>
      </c>
      <c r="B141" s="8" t="s">
        <v>70</v>
      </c>
      <c r="C141" s="8" t="str">
        <f>IF(B141="","",VLOOKUP(B141,小圆机汇总表!A:AP,2,FALSE))</f>
        <v>A5038w</v>
      </c>
      <c r="D141" s="8">
        <f>IF(B141="","",VLOOKUP(B141,小圆机汇总表!A:AP,7,FALSE))</f>
        <v>38</v>
      </c>
      <c r="E141" s="8" t="str">
        <f>IF(B141="","",VLOOKUP(B141,小圆机汇总表!A:AP,5,FALSE))</f>
        <v>白</v>
      </c>
      <c r="F141" s="8" t="str">
        <f>IF(B141="","",VLOOKUP(B141,小圆机汇总表!A:AP,8,FALSE))</f>
        <v>长乐</v>
      </c>
      <c r="G141" s="23">
        <v>43748</v>
      </c>
      <c r="H141" s="8">
        <v>250</v>
      </c>
      <c r="I141" s="8">
        <v>12</v>
      </c>
      <c r="K141" s="8" t="s">
        <v>988</v>
      </c>
      <c r="M141" s="250">
        <f t="shared" si="2"/>
        <v>10</v>
      </c>
    </row>
    <row r="142" spans="1:13" hidden="1" outlineLevel="1">
      <c r="A142" s="4">
        <v>142</v>
      </c>
      <c r="B142" s="8" t="s">
        <v>128</v>
      </c>
      <c r="C142" s="8" t="str">
        <f>IF(B142="","",VLOOKUP(B142,小圆机汇总表!A:AP,2,FALSE))</f>
        <v>A7545斜乱平纹</v>
      </c>
      <c r="D142" s="8">
        <f>IF(B142="","",VLOOKUP(B142,小圆机汇总表!A:AP,7,FALSE))</f>
        <v>45</v>
      </c>
      <c r="E142" s="8" t="str">
        <f>IF(B142="","",VLOOKUP(B142,小圆机汇总表!A:AP,5,FALSE))</f>
        <v>白</v>
      </c>
      <c r="F142" s="8" t="str">
        <f>IF(B142="","",VLOOKUP(B142,小圆机汇总表!A:AP,8,FALSE))</f>
        <v>长乐</v>
      </c>
      <c r="G142" s="23">
        <v>43748</v>
      </c>
      <c r="H142" s="8">
        <v>440</v>
      </c>
      <c r="I142" s="8">
        <v>22</v>
      </c>
      <c r="K142" s="8" t="s">
        <v>989</v>
      </c>
      <c r="M142" s="250">
        <f t="shared" si="2"/>
        <v>10</v>
      </c>
    </row>
    <row r="143" spans="1:13" hidden="1" outlineLevel="1">
      <c r="A143" s="4">
        <v>143</v>
      </c>
      <c r="B143" s="8" t="s">
        <v>129</v>
      </c>
      <c r="C143" s="8" t="str">
        <f>IF(B143="","",VLOOKUP(B143,小圆机汇总表!A:AP,2,FALSE))</f>
        <v>A7548斜乱平纹</v>
      </c>
      <c r="D143" s="8">
        <f>IF(B143="","",VLOOKUP(B143,小圆机汇总表!A:AP,7,FALSE))</f>
        <v>48</v>
      </c>
      <c r="E143" s="8" t="str">
        <f>IF(B143="","",VLOOKUP(B143,小圆机汇总表!A:AP,5,FALSE))</f>
        <v>白高温</v>
      </c>
      <c r="F143" s="8" t="str">
        <f>IF(B143="","",VLOOKUP(B143,小圆机汇总表!A:AP,8,FALSE))</f>
        <v>长乐</v>
      </c>
      <c r="G143" s="23">
        <v>43748</v>
      </c>
      <c r="H143" s="8">
        <v>162.4</v>
      </c>
      <c r="I143" s="8">
        <v>8</v>
      </c>
      <c r="K143" s="8" t="s">
        <v>983</v>
      </c>
      <c r="M143" s="250">
        <f t="shared" si="2"/>
        <v>10</v>
      </c>
    </row>
    <row r="144" spans="1:13" hidden="1" outlineLevel="1">
      <c r="A144" s="4">
        <v>144</v>
      </c>
      <c r="B144" s="8" t="s">
        <v>104</v>
      </c>
      <c r="C144" s="8" t="str">
        <f>IF(B144="","",VLOOKUP(B144,小圆机汇总表!A:AP,2,FALSE))</f>
        <v>B7549w</v>
      </c>
      <c r="D144" s="8">
        <f>IF(B144="","",VLOOKUP(B144,小圆机汇总表!A:AP,7,FALSE))</f>
        <v>49</v>
      </c>
      <c r="E144" s="8" t="str">
        <f>IF(B144="","",VLOOKUP(B144,小圆机汇总表!A:AP,5,FALSE))</f>
        <v>白</v>
      </c>
      <c r="F144" s="8" t="str">
        <f>IF(B144="","",VLOOKUP(B144,小圆机汇总表!A:AP,8,FALSE))</f>
        <v>长乐</v>
      </c>
      <c r="G144" s="23">
        <v>43748</v>
      </c>
      <c r="H144" s="8">
        <v>121.8</v>
      </c>
      <c r="I144" s="8">
        <v>6</v>
      </c>
      <c r="K144" s="8" t="s">
        <v>986</v>
      </c>
      <c r="M144" s="250">
        <f t="shared" si="2"/>
        <v>10</v>
      </c>
    </row>
    <row r="145" spans="1:13" hidden="1" outlineLevel="1">
      <c r="A145" s="4">
        <v>145</v>
      </c>
      <c r="B145" s="8" t="s">
        <v>239</v>
      </c>
      <c r="C145" s="8" t="str">
        <f>IF(B145="","",VLOOKUP(B145,小圆机汇总表!A:AP,2,FALSE))</f>
        <v>B3023乱平纹</v>
      </c>
      <c r="D145" s="8">
        <f>IF(B145="","",VLOOKUP(B145,小圆机汇总表!A:AP,7,FALSE))</f>
        <v>23</v>
      </c>
      <c r="E145" s="8" t="str">
        <f>IF(B145="","",VLOOKUP(B145,小圆机汇总表!A:AP,5,FALSE))</f>
        <v>白</v>
      </c>
      <c r="F145" s="8" t="str">
        <f>IF(B145="","",VLOOKUP(B145,小圆机汇总表!A:AP,8,FALSE))</f>
        <v>长乐</v>
      </c>
      <c r="G145" s="23">
        <v>43749</v>
      </c>
      <c r="H145" s="8">
        <v>116.7</v>
      </c>
      <c r="I145" s="8">
        <v>6</v>
      </c>
      <c r="K145" s="8" t="s">
        <v>980</v>
      </c>
      <c r="M145" s="250">
        <f t="shared" si="2"/>
        <v>10</v>
      </c>
    </row>
    <row r="146" spans="1:13" hidden="1" outlineLevel="1">
      <c r="A146" s="4">
        <v>146</v>
      </c>
      <c r="B146" s="8" t="s">
        <v>121</v>
      </c>
      <c r="C146" s="8" t="str">
        <f>IF(B146="","",VLOOKUP(B146,小圆机汇总表!A:AP,2,FALSE))</f>
        <v>A5032w</v>
      </c>
      <c r="D146" s="8">
        <f>IF(B146="","",VLOOKUP(B146,小圆机汇总表!A:AP,7,FALSE))</f>
        <v>32</v>
      </c>
      <c r="E146" s="8" t="str">
        <f>IF(B146="","",VLOOKUP(B146,小圆机汇总表!A:AP,5,FALSE))</f>
        <v>白</v>
      </c>
      <c r="F146" s="8" t="str">
        <f>IF(B146="","",VLOOKUP(B146,小圆机汇总表!A:AP,8,FALSE))</f>
        <v>长乐</v>
      </c>
      <c r="G146" s="23">
        <v>43749</v>
      </c>
      <c r="H146" s="8">
        <v>711.4</v>
      </c>
      <c r="I146" s="8">
        <v>36</v>
      </c>
      <c r="K146" s="8" t="s">
        <v>981</v>
      </c>
      <c r="M146" s="250">
        <f t="shared" si="2"/>
        <v>10</v>
      </c>
    </row>
    <row r="147" spans="1:13" hidden="1" outlineLevel="1">
      <c r="A147" s="4">
        <v>147</v>
      </c>
      <c r="B147" s="8" t="s">
        <v>122</v>
      </c>
      <c r="C147" s="8" t="str">
        <f>IF(B147="","",VLOOKUP(B147,小圆机汇总表!A:AP,2,FALSE))</f>
        <v>B5034大W</v>
      </c>
      <c r="D147" s="8">
        <f>IF(B147="","",VLOOKUP(B147,小圆机汇总表!A:AP,7,FALSE))</f>
        <v>34</v>
      </c>
      <c r="E147" s="8" t="str">
        <f>IF(B147="","",VLOOKUP(B147,小圆机汇总表!A:AP,5,FALSE))</f>
        <v>白高温</v>
      </c>
      <c r="F147" s="8" t="str">
        <f>IF(B147="","",VLOOKUP(B147,小圆机汇总表!A:AP,8,FALSE))</f>
        <v>长乐</v>
      </c>
      <c r="G147" s="23">
        <v>43749</v>
      </c>
      <c r="H147" s="8">
        <v>1058.3</v>
      </c>
      <c r="I147" s="8">
        <v>53</v>
      </c>
      <c r="K147" s="8" t="s">
        <v>982</v>
      </c>
      <c r="M147" s="250">
        <f t="shared" si="2"/>
        <v>10</v>
      </c>
    </row>
    <row r="148" spans="1:13" hidden="1" outlineLevel="1">
      <c r="A148" s="4">
        <v>148</v>
      </c>
      <c r="B148" s="8" t="s">
        <v>123</v>
      </c>
      <c r="C148" s="8" t="str">
        <f>IF(B148="","",VLOOKUP(B148,小圆机汇总表!A:AP,2,FALSE))</f>
        <v>B7539斜乱平纹</v>
      </c>
      <c r="D148" s="8">
        <f>IF(B148="","",VLOOKUP(B148,小圆机汇总表!A:AP,7,FALSE))</f>
        <v>39</v>
      </c>
      <c r="E148" s="8" t="str">
        <f>IF(B148="","",VLOOKUP(B148,小圆机汇总表!A:AP,5,FALSE))</f>
        <v>白</v>
      </c>
      <c r="F148" s="8" t="str">
        <f>IF(B148="","",VLOOKUP(B148,小圆机汇总表!A:AP,8,FALSE))</f>
        <v>盛元</v>
      </c>
      <c r="G148" s="23">
        <v>43749</v>
      </c>
      <c r="H148" s="8">
        <v>328</v>
      </c>
      <c r="I148" s="8">
        <v>16</v>
      </c>
      <c r="K148" s="8" t="s">
        <v>983</v>
      </c>
      <c r="M148" s="250">
        <f t="shared" si="2"/>
        <v>10</v>
      </c>
    </row>
    <row r="149" spans="1:13" hidden="1" outlineLevel="1">
      <c r="A149" s="4">
        <v>149</v>
      </c>
      <c r="B149" s="8" t="s">
        <v>962</v>
      </c>
      <c r="C149" s="8" t="str">
        <f>IF(B149="","",VLOOKUP(B149,小圆机汇总表!A:AP,2,FALSE))</f>
        <v>C5034w</v>
      </c>
      <c r="D149" s="8">
        <f>IF(B149="","",VLOOKUP(B149,小圆机汇总表!A:AP,7,FALSE))</f>
        <v>34</v>
      </c>
      <c r="E149" s="8" t="str">
        <f>IF(B149="","",VLOOKUP(B149,小圆机汇总表!A:AP,5,FALSE))</f>
        <v>白</v>
      </c>
      <c r="F149" s="8" t="str">
        <f>IF(B149="","",VLOOKUP(B149,小圆机汇总表!A:AP,8,FALSE))</f>
        <v>长乐</v>
      </c>
      <c r="G149" s="23">
        <v>43749</v>
      </c>
      <c r="H149" s="8">
        <v>250.9</v>
      </c>
      <c r="I149" s="8">
        <v>13</v>
      </c>
      <c r="K149" s="8" t="s">
        <v>984</v>
      </c>
      <c r="M149" s="250">
        <f t="shared" si="2"/>
        <v>10</v>
      </c>
    </row>
    <row r="150" spans="1:13" hidden="1" outlineLevel="1">
      <c r="A150" s="4">
        <v>150</v>
      </c>
      <c r="B150" s="8" t="s">
        <v>979</v>
      </c>
      <c r="C150" s="8" t="str">
        <f>IF(B150="","",VLOOKUP(B150,小圆机汇总表!A:AP,2,FALSE))</f>
        <v>C5034w</v>
      </c>
      <c r="D150" s="8">
        <f>IF(B150="","",VLOOKUP(B150,小圆机汇总表!A:AP,7,FALSE))</f>
        <v>34</v>
      </c>
      <c r="E150" s="8" t="str">
        <f>IF(B150="","",VLOOKUP(B150,小圆机汇总表!A:AP,5,FALSE))</f>
        <v>黑</v>
      </c>
      <c r="F150" s="8" t="str">
        <f>IF(B150="","",VLOOKUP(B150,小圆机汇总表!A:AP,8,FALSE))</f>
        <v>固力</v>
      </c>
      <c r="G150" s="23">
        <v>43749</v>
      </c>
      <c r="H150" s="8">
        <v>165.9</v>
      </c>
      <c r="I150" s="8">
        <v>8</v>
      </c>
      <c r="K150" s="8" t="s">
        <v>985</v>
      </c>
      <c r="M150" s="250">
        <f t="shared" si="2"/>
        <v>10</v>
      </c>
    </row>
    <row r="151" spans="1:13" hidden="1" outlineLevel="1">
      <c r="A151" s="4">
        <v>151</v>
      </c>
      <c r="B151" s="8" t="s">
        <v>112</v>
      </c>
      <c r="C151" s="8" t="str">
        <f>IF(B151="","",VLOOKUP(B151,小圆机汇总表!A:AP,2,FALSE))</f>
        <v>A5035w黑</v>
      </c>
      <c r="D151" s="8">
        <f>IF(B151="","",VLOOKUP(B151,小圆机汇总表!A:AP,7,FALSE))</f>
        <v>35</v>
      </c>
      <c r="E151" s="8" t="str">
        <f>IF(B151="","",VLOOKUP(B151,小圆机汇总表!A:AP,5,FALSE))</f>
        <v>黑</v>
      </c>
      <c r="F151" s="8" t="str">
        <f>IF(B151="","",VLOOKUP(B151,小圆机汇总表!A:AP,8,FALSE))</f>
        <v>固力</v>
      </c>
      <c r="G151" s="23">
        <v>43749</v>
      </c>
      <c r="H151" s="8">
        <v>660.7</v>
      </c>
      <c r="I151" s="8">
        <v>30</v>
      </c>
      <c r="K151" s="8" t="s">
        <v>986</v>
      </c>
      <c r="M151" s="250">
        <f t="shared" si="2"/>
        <v>10</v>
      </c>
    </row>
    <row r="152" spans="1:13" hidden="1" outlineLevel="1">
      <c r="A152" s="4">
        <v>152</v>
      </c>
      <c r="B152" s="8" t="s">
        <v>47</v>
      </c>
      <c r="C152" s="8" t="str">
        <f>IF(B152="","",VLOOKUP(B152,小圆机汇总表!A:AP,2,FALSE))</f>
        <v>A5035w</v>
      </c>
      <c r="D152" s="8">
        <f>IF(B152="","",VLOOKUP(B152,小圆机汇总表!A:AP,7,FALSE))</f>
        <v>35</v>
      </c>
      <c r="E152" s="8" t="str">
        <f>IF(B152="","",VLOOKUP(B152,小圆机汇总表!A:AP,5,FALSE))</f>
        <v>白</v>
      </c>
      <c r="F152" s="8" t="str">
        <f>IF(B152="","",VLOOKUP(B152,小圆机汇总表!A:AP,8,FALSE))</f>
        <v>长乐</v>
      </c>
      <c r="G152" s="23">
        <v>43749</v>
      </c>
      <c r="H152" s="8">
        <v>529.1</v>
      </c>
      <c r="I152" s="8">
        <v>26</v>
      </c>
      <c r="K152" s="8" t="s">
        <v>984</v>
      </c>
      <c r="M152" s="250">
        <f t="shared" si="2"/>
        <v>10</v>
      </c>
    </row>
    <row r="153" spans="1:13" hidden="1" outlineLevel="1">
      <c r="A153" s="4">
        <v>153</v>
      </c>
      <c r="B153" s="8" t="s">
        <v>114</v>
      </c>
      <c r="C153" s="8" t="str">
        <f>IF(B153="","",VLOOKUP(B153,小圆机汇总表!A:AP,2,FALSE))</f>
        <v>A5035大W</v>
      </c>
      <c r="D153" s="8">
        <f>IF(B153="","",VLOOKUP(B153,小圆机汇总表!A:AP,7,FALSE))</f>
        <v>35</v>
      </c>
      <c r="E153" s="8" t="str">
        <f>IF(B153="","",VLOOKUP(B153,小圆机汇总表!A:AP,5,FALSE))</f>
        <v>白</v>
      </c>
      <c r="F153" s="8" t="str">
        <f>IF(B153="","",VLOOKUP(B153,小圆机汇总表!A:AP,8,FALSE))</f>
        <v>长乐</v>
      </c>
      <c r="G153" s="23">
        <v>43749</v>
      </c>
      <c r="H153" s="8">
        <v>240.8</v>
      </c>
      <c r="I153" s="8">
        <v>12</v>
      </c>
      <c r="K153" s="8" t="s">
        <v>987</v>
      </c>
      <c r="M153" s="250">
        <f t="shared" si="2"/>
        <v>10</v>
      </c>
    </row>
    <row r="154" spans="1:13" hidden="1" outlineLevel="1">
      <c r="A154" s="4">
        <v>154</v>
      </c>
      <c r="B154" s="8" t="s">
        <v>68</v>
      </c>
      <c r="C154" s="8" t="str">
        <f>IF(B154="","",VLOOKUP(B154,小圆机汇总表!A:AP,2,FALSE))</f>
        <v>A5036直平纹</v>
      </c>
      <c r="D154" s="8">
        <f>IF(B154="","",VLOOKUP(B154,小圆机汇总表!A:AP,7,FALSE))</f>
        <v>36</v>
      </c>
      <c r="E154" s="8" t="str">
        <f>IF(B154="","",VLOOKUP(B154,小圆机汇总表!A:AP,5,FALSE))</f>
        <v>白</v>
      </c>
      <c r="F154" s="8" t="str">
        <f>IF(B154="","",VLOOKUP(B154,小圆机汇总表!A:AP,8,FALSE))</f>
        <v>长乐</v>
      </c>
      <c r="G154" s="23">
        <v>43749</v>
      </c>
      <c r="H154" s="8">
        <v>176.4</v>
      </c>
      <c r="I154" s="8">
        <v>9</v>
      </c>
      <c r="K154" s="8" t="s">
        <v>987</v>
      </c>
      <c r="M154" s="250">
        <f t="shared" si="2"/>
        <v>10</v>
      </c>
    </row>
    <row r="155" spans="1:13" hidden="1" outlineLevel="1">
      <c r="A155" s="4">
        <v>155</v>
      </c>
      <c r="B155" s="8" t="s">
        <v>116</v>
      </c>
      <c r="C155" s="8" t="str">
        <f>IF(B155="","",VLOOKUP(B155,小圆机汇总表!A:AP,2,FALSE))</f>
        <v>B5036大W高温丝</v>
      </c>
      <c r="D155" s="8">
        <f>IF(B155="","",VLOOKUP(B155,小圆机汇总表!A:AP,7,FALSE))</f>
        <v>36</v>
      </c>
      <c r="E155" s="8" t="str">
        <f>IF(B155="","",VLOOKUP(B155,小圆机汇总表!A:AP,5,FALSE))</f>
        <v>白高温</v>
      </c>
      <c r="F155" s="8" t="str">
        <f>IF(B155="","",VLOOKUP(B155,小圆机汇总表!A:AP,8,FALSE))</f>
        <v>长乐</v>
      </c>
      <c r="G155" s="23">
        <v>43749</v>
      </c>
      <c r="H155" s="8">
        <v>461.7</v>
      </c>
      <c r="I155" s="8">
        <v>23</v>
      </c>
      <c r="K155" s="8" t="s">
        <v>982</v>
      </c>
      <c r="M155" s="250">
        <f t="shared" si="2"/>
        <v>10</v>
      </c>
    </row>
    <row r="156" spans="1:13" hidden="1" outlineLevel="1">
      <c r="A156" s="4">
        <v>156</v>
      </c>
      <c r="B156" s="8" t="s">
        <v>70</v>
      </c>
      <c r="C156" s="8" t="str">
        <f>IF(B156="","",VLOOKUP(B156,小圆机汇总表!A:AP,2,FALSE))</f>
        <v>A5038w</v>
      </c>
      <c r="D156" s="8">
        <f>IF(B156="","",VLOOKUP(B156,小圆机汇总表!A:AP,7,FALSE))</f>
        <v>38</v>
      </c>
      <c r="E156" s="8" t="str">
        <f>IF(B156="","",VLOOKUP(B156,小圆机汇总表!A:AP,5,FALSE))</f>
        <v>白</v>
      </c>
      <c r="F156" s="8" t="str">
        <f>IF(B156="","",VLOOKUP(B156,小圆机汇总表!A:AP,8,FALSE))</f>
        <v>长乐</v>
      </c>
      <c r="G156" s="23">
        <v>43749</v>
      </c>
      <c r="H156" s="8">
        <v>223.6</v>
      </c>
      <c r="I156" s="8">
        <v>11</v>
      </c>
      <c r="K156" s="8" t="s">
        <v>988</v>
      </c>
      <c r="M156" s="250">
        <f t="shared" si="2"/>
        <v>10</v>
      </c>
    </row>
    <row r="157" spans="1:13" hidden="1" outlineLevel="1">
      <c r="A157" s="4">
        <v>157</v>
      </c>
      <c r="B157" s="8" t="s">
        <v>128</v>
      </c>
      <c r="C157" s="8" t="str">
        <f>IF(B157="","",VLOOKUP(B157,小圆机汇总表!A:AP,2,FALSE))</f>
        <v>A7545斜乱平纹</v>
      </c>
      <c r="D157" s="8">
        <f>IF(B157="","",VLOOKUP(B157,小圆机汇总表!A:AP,7,FALSE))</f>
        <v>45</v>
      </c>
      <c r="E157" s="8" t="str">
        <f>IF(B157="","",VLOOKUP(B157,小圆机汇总表!A:AP,5,FALSE))</f>
        <v>白</v>
      </c>
      <c r="F157" s="8" t="str">
        <f>IF(B157="","",VLOOKUP(B157,小圆机汇总表!A:AP,8,FALSE))</f>
        <v>长乐</v>
      </c>
      <c r="G157" s="23">
        <v>43749</v>
      </c>
      <c r="H157" s="8">
        <v>436</v>
      </c>
      <c r="I157" s="8">
        <v>22</v>
      </c>
      <c r="K157" s="8" t="s">
        <v>989</v>
      </c>
      <c r="M157" s="250">
        <f t="shared" si="2"/>
        <v>10</v>
      </c>
    </row>
    <row r="158" spans="1:13" hidden="1" outlineLevel="1">
      <c r="A158" s="4">
        <v>158</v>
      </c>
      <c r="B158" s="8" t="s">
        <v>129</v>
      </c>
      <c r="C158" s="8" t="str">
        <f>IF(B158="","",VLOOKUP(B158,小圆机汇总表!A:AP,2,FALSE))</f>
        <v>A7548斜乱平纹</v>
      </c>
      <c r="D158" s="8">
        <f>IF(B158="","",VLOOKUP(B158,小圆机汇总表!A:AP,7,FALSE))</f>
        <v>48</v>
      </c>
      <c r="E158" s="8" t="str">
        <f>IF(B158="","",VLOOKUP(B158,小圆机汇总表!A:AP,5,FALSE))</f>
        <v>白高温</v>
      </c>
      <c r="F158" s="8" t="str">
        <f>IF(B158="","",VLOOKUP(B158,小圆机汇总表!A:AP,8,FALSE))</f>
        <v>长乐</v>
      </c>
      <c r="G158" s="23">
        <v>43749</v>
      </c>
      <c r="H158" s="8">
        <v>142.1</v>
      </c>
      <c r="I158" s="8">
        <v>7</v>
      </c>
      <c r="K158" s="8" t="s">
        <v>983</v>
      </c>
      <c r="M158" s="250">
        <f t="shared" si="2"/>
        <v>10</v>
      </c>
    </row>
    <row r="159" spans="1:13" hidden="1" outlineLevel="1">
      <c r="A159" s="4">
        <v>159</v>
      </c>
      <c r="B159" s="8" t="s">
        <v>104</v>
      </c>
      <c r="C159" s="8" t="str">
        <f>IF(B159="","",VLOOKUP(B159,小圆机汇总表!A:AP,2,FALSE))</f>
        <v>B7549w</v>
      </c>
      <c r="D159" s="8">
        <f>IF(B159="","",VLOOKUP(B159,小圆机汇总表!A:AP,7,FALSE))</f>
        <v>49</v>
      </c>
      <c r="E159" s="8" t="str">
        <f>IF(B159="","",VLOOKUP(B159,小圆机汇总表!A:AP,5,FALSE))</f>
        <v>白</v>
      </c>
      <c r="F159" s="8" t="str">
        <f>IF(B159="","",VLOOKUP(B159,小圆机汇总表!A:AP,8,FALSE))</f>
        <v>长乐</v>
      </c>
      <c r="G159" s="23">
        <v>43749</v>
      </c>
      <c r="H159" s="8">
        <v>121.8</v>
      </c>
      <c r="I159" s="8">
        <v>6</v>
      </c>
      <c r="K159" s="8" t="s">
        <v>986</v>
      </c>
      <c r="M159" s="250">
        <f t="shared" si="2"/>
        <v>10</v>
      </c>
    </row>
    <row r="160" spans="1:13" hidden="1" outlineLevel="1">
      <c r="A160" s="4">
        <v>160</v>
      </c>
      <c r="B160" s="8" t="s">
        <v>994</v>
      </c>
      <c r="C160" s="8" t="str">
        <f>IF(B160="","",VLOOKUP(B160,小圆机汇总表!A:AP,2,FALSE))</f>
        <v>B7543大W</v>
      </c>
      <c r="D160" s="8">
        <f>IF(B160="","",VLOOKUP(B160,小圆机汇总表!A:AP,7,FALSE))</f>
        <v>43</v>
      </c>
      <c r="E160" s="8" t="str">
        <f>IF(B160="","",VLOOKUP(B160,小圆机汇总表!A:AP,5,FALSE))</f>
        <v>白</v>
      </c>
      <c r="F160" s="8" t="str">
        <f>IF(B160="","",VLOOKUP(B160,小圆机汇总表!A:AP,8,FALSE))</f>
        <v>长乐</v>
      </c>
      <c r="G160" s="23">
        <v>43749</v>
      </c>
      <c r="H160" s="8">
        <v>83.6</v>
      </c>
      <c r="I160" s="8">
        <v>4</v>
      </c>
      <c r="K160" s="8" t="s">
        <v>985</v>
      </c>
      <c r="M160" s="250">
        <f t="shared" si="2"/>
        <v>10</v>
      </c>
    </row>
    <row r="161" spans="1:13" hidden="1" outlineLevel="1">
      <c r="A161" s="4">
        <v>161</v>
      </c>
      <c r="B161" s="8" t="s">
        <v>239</v>
      </c>
      <c r="C161" s="8" t="str">
        <f>IF(B161="","",VLOOKUP(B161,小圆机汇总表!A:AP,2,FALSE))</f>
        <v>B3023乱平纹</v>
      </c>
      <c r="D161" s="8">
        <f>IF(B161="","",VLOOKUP(B161,小圆机汇总表!A:AP,7,FALSE))</f>
        <v>23</v>
      </c>
      <c r="E161" s="8" t="str">
        <f>IF(B161="","",VLOOKUP(B161,小圆机汇总表!A:AP,5,FALSE))</f>
        <v>白</v>
      </c>
      <c r="F161" s="8" t="str">
        <f>IF(B161="","",VLOOKUP(B161,小圆机汇总表!A:AP,8,FALSE))</f>
        <v>长乐</v>
      </c>
      <c r="G161" s="23">
        <v>43750</v>
      </c>
      <c r="H161" s="8">
        <v>116.7</v>
      </c>
      <c r="I161" s="8">
        <v>6</v>
      </c>
      <c r="K161" s="8" t="s">
        <v>980</v>
      </c>
      <c r="M161" s="250">
        <f t="shared" si="2"/>
        <v>10</v>
      </c>
    </row>
    <row r="162" spans="1:13" hidden="1" outlineLevel="1">
      <c r="A162" s="4">
        <v>162</v>
      </c>
      <c r="B162" s="8" t="s">
        <v>734</v>
      </c>
      <c r="C162" s="8" t="str">
        <f>IF(B162="","",VLOOKUP(B162,小圆机汇总表!A:AP,2,FALSE))</f>
        <v>B3023大W</v>
      </c>
      <c r="D162" s="8">
        <f>IF(B162="","",VLOOKUP(B162,小圆机汇总表!A:AP,7,FALSE))</f>
        <v>23</v>
      </c>
      <c r="E162" s="8" t="str">
        <f>IF(B162="","",VLOOKUP(B162,小圆机汇总表!A:AP,5,FALSE))</f>
        <v>白</v>
      </c>
      <c r="F162" s="8" t="str">
        <f>IF(B162="","",VLOOKUP(B162,小圆机汇总表!A:AP,8,FALSE))</f>
        <v>长乐</v>
      </c>
      <c r="G162" s="23">
        <v>43750</v>
      </c>
      <c r="H162" s="8">
        <v>19.3</v>
      </c>
      <c r="I162" s="8">
        <v>1</v>
      </c>
      <c r="K162" s="8" t="s">
        <v>999</v>
      </c>
      <c r="M162" s="250">
        <f t="shared" si="2"/>
        <v>10</v>
      </c>
    </row>
    <row r="163" spans="1:13" hidden="1" outlineLevel="1">
      <c r="A163" s="4">
        <v>163</v>
      </c>
      <c r="B163" s="8" t="s">
        <v>998</v>
      </c>
      <c r="C163" s="8" t="str">
        <f>IF(B163="","",VLOOKUP(B163,小圆机汇总表!A:AP,2,FALSE))</f>
        <v>A5032大W</v>
      </c>
      <c r="D163" s="8">
        <f>IF(B163="","",VLOOKUP(B163,小圆机汇总表!A:AP,7,FALSE))</f>
        <v>32</v>
      </c>
      <c r="E163" s="8" t="str">
        <f>IF(B163="","",VLOOKUP(B163,小圆机汇总表!A:AP,5,FALSE))</f>
        <v>白</v>
      </c>
      <c r="F163" s="8" t="str">
        <f>IF(B163="","",VLOOKUP(B163,小圆机汇总表!A:AP,8,FALSE))</f>
        <v>长乐</v>
      </c>
      <c r="G163" s="23">
        <v>43750</v>
      </c>
      <c r="H163" s="8">
        <v>41.6</v>
      </c>
      <c r="I163" s="8">
        <v>2</v>
      </c>
      <c r="K163" s="8" t="s">
        <v>1000</v>
      </c>
      <c r="M163" s="250">
        <f t="shared" si="2"/>
        <v>10</v>
      </c>
    </row>
    <row r="164" spans="1:13" hidden="1" outlineLevel="1">
      <c r="A164" s="4">
        <v>164</v>
      </c>
      <c r="B164" s="8" t="s">
        <v>121</v>
      </c>
      <c r="C164" s="8" t="str">
        <f>IF(B164="","",VLOOKUP(B164,小圆机汇总表!A:AP,2,FALSE))</f>
        <v>A5032w</v>
      </c>
      <c r="D164" s="8">
        <f>IF(B164="","",VLOOKUP(B164,小圆机汇总表!A:AP,7,FALSE))</f>
        <v>32</v>
      </c>
      <c r="E164" s="8" t="str">
        <f>IF(B164="","",VLOOKUP(B164,小圆机汇总表!A:AP,5,FALSE))</f>
        <v>白</v>
      </c>
      <c r="F164" s="8" t="str">
        <f>IF(B164="","",VLOOKUP(B164,小圆机汇总表!A:AP,8,FALSE))</f>
        <v>长乐</v>
      </c>
      <c r="G164" s="23">
        <v>43750</v>
      </c>
      <c r="H164" s="8">
        <v>692.6</v>
      </c>
      <c r="I164" s="8">
        <v>35</v>
      </c>
      <c r="K164" s="8" t="s">
        <v>981</v>
      </c>
      <c r="M164" s="250">
        <f t="shared" si="2"/>
        <v>10</v>
      </c>
    </row>
    <row r="165" spans="1:13" hidden="1" outlineLevel="1">
      <c r="A165" s="4">
        <v>165</v>
      </c>
      <c r="B165" s="8" t="s">
        <v>122</v>
      </c>
      <c r="C165" s="8" t="str">
        <f>IF(B165="","",VLOOKUP(B165,小圆机汇总表!A:AP,2,FALSE))</f>
        <v>B5034大W</v>
      </c>
      <c r="D165" s="8">
        <f>IF(B165="","",VLOOKUP(B165,小圆机汇总表!A:AP,7,FALSE))</f>
        <v>34</v>
      </c>
      <c r="E165" s="8" t="str">
        <f>IF(B165="","",VLOOKUP(B165,小圆机汇总表!A:AP,5,FALSE))</f>
        <v>白高温</v>
      </c>
      <c r="F165" s="8" t="str">
        <f>IF(B165="","",VLOOKUP(B165,小圆机汇总表!A:AP,8,FALSE))</f>
        <v>长乐</v>
      </c>
      <c r="G165" s="23">
        <v>43750</v>
      </c>
      <c r="H165" s="8">
        <v>1042.4000000000001</v>
      </c>
      <c r="I165" s="8">
        <v>52</v>
      </c>
      <c r="K165" s="8" t="s">
        <v>982</v>
      </c>
      <c r="M165" s="250">
        <f t="shared" si="2"/>
        <v>10</v>
      </c>
    </row>
    <row r="166" spans="1:13" hidden="1" outlineLevel="1">
      <c r="A166" s="4">
        <v>166</v>
      </c>
      <c r="B166" s="8" t="s">
        <v>123</v>
      </c>
      <c r="C166" s="8" t="str">
        <f>IF(B166="","",VLOOKUP(B166,小圆机汇总表!A:AP,2,FALSE))</f>
        <v>B7539斜乱平纹</v>
      </c>
      <c r="D166" s="8">
        <f>IF(B166="","",VLOOKUP(B166,小圆机汇总表!A:AP,7,FALSE))</f>
        <v>39</v>
      </c>
      <c r="E166" s="8" t="str">
        <f>IF(B166="","",VLOOKUP(B166,小圆机汇总表!A:AP,5,FALSE))</f>
        <v>白</v>
      </c>
      <c r="F166" s="8" t="str">
        <f>IF(B166="","",VLOOKUP(B166,小圆机汇总表!A:AP,8,FALSE))</f>
        <v>盛元</v>
      </c>
      <c r="G166" s="23">
        <v>43750</v>
      </c>
      <c r="H166" s="8">
        <v>307.5</v>
      </c>
      <c r="I166" s="8">
        <v>15</v>
      </c>
      <c r="K166" s="8" t="s">
        <v>983</v>
      </c>
      <c r="M166" s="250">
        <f t="shared" si="2"/>
        <v>10</v>
      </c>
    </row>
    <row r="167" spans="1:13" hidden="1" outlineLevel="1">
      <c r="A167" s="4">
        <v>167</v>
      </c>
      <c r="B167" s="8" t="s">
        <v>962</v>
      </c>
      <c r="C167" s="8" t="str">
        <f>IF(B167="","",VLOOKUP(B167,小圆机汇总表!A:AP,2,FALSE))</f>
        <v>C5034w</v>
      </c>
      <c r="D167" s="8">
        <f>IF(B167="","",VLOOKUP(B167,小圆机汇总表!A:AP,7,FALSE))</f>
        <v>34</v>
      </c>
      <c r="E167" s="8" t="str">
        <f>IF(B167="","",VLOOKUP(B167,小圆机汇总表!A:AP,5,FALSE))</f>
        <v>白</v>
      </c>
      <c r="F167" s="8" t="str">
        <f>IF(B167="","",VLOOKUP(B167,小圆机汇总表!A:AP,8,FALSE))</f>
        <v>长乐</v>
      </c>
      <c r="G167" s="23">
        <v>43750</v>
      </c>
      <c r="H167" s="8">
        <v>271.39999999999998</v>
      </c>
      <c r="I167" s="8">
        <v>14</v>
      </c>
      <c r="K167" s="8" t="s">
        <v>1001</v>
      </c>
      <c r="M167" s="250">
        <f t="shared" si="2"/>
        <v>10</v>
      </c>
    </row>
    <row r="168" spans="1:13" hidden="1" outlineLevel="1">
      <c r="A168" s="4">
        <v>168</v>
      </c>
      <c r="B168" s="8" t="s">
        <v>979</v>
      </c>
      <c r="C168" s="8" t="str">
        <f>IF(B168="","",VLOOKUP(B168,小圆机汇总表!A:AP,2,FALSE))</f>
        <v>C5034w</v>
      </c>
      <c r="D168" s="8">
        <f>IF(B168="","",VLOOKUP(B168,小圆机汇总表!A:AP,7,FALSE))</f>
        <v>34</v>
      </c>
      <c r="E168" s="8" t="str">
        <f>IF(B168="","",VLOOKUP(B168,小圆机汇总表!A:AP,5,FALSE))</f>
        <v>黑</v>
      </c>
      <c r="F168" s="8" t="str">
        <f>IF(B168="","",VLOOKUP(B168,小圆机汇总表!A:AP,8,FALSE))</f>
        <v>固力</v>
      </c>
      <c r="G168" s="23">
        <v>43750</v>
      </c>
      <c r="H168" s="8">
        <v>186.8</v>
      </c>
      <c r="I168" s="8">
        <v>9</v>
      </c>
      <c r="K168" s="8" t="s">
        <v>985</v>
      </c>
      <c r="M168" s="250">
        <f t="shared" si="2"/>
        <v>10</v>
      </c>
    </row>
    <row r="169" spans="1:13" hidden="1" outlineLevel="1">
      <c r="A169" s="4">
        <v>169</v>
      </c>
      <c r="B169" s="8" t="s">
        <v>112</v>
      </c>
      <c r="C169" s="8" t="str">
        <f>IF(B169="","",VLOOKUP(B169,小圆机汇总表!A:AP,2,FALSE))</f>
        <v>A5035w黑</v>
      </c>
      <c r="D169" s="8">
        <f>IF(B169="","",VLOOKUP(B169,小圆机汇总表!A:AP,7,FALSE))</f>
        <v>35</v>
      </c>
      <c r="E169" s="8" t="str">
        <f>IF(B169="","",VLOOKUP(B169,小圆机汇总表!A:AP,5,FALSE))</f>
        <v>黑</v>
      </c>
      <c r="F169" s="8" t="str">
        <f>IF(B169="","",VLOOKUP(B169,小圆机汇总表!A:AP,8,FALSE))</f>
        <v>固力</v>
      </c>
      <c r="G169" s="23">
        <v>43750</v>
      </c>
      <c r="H169" s="8">
        <v>632.4</v>
      </c>
      <c r="I169" s="8">
        <v>29</v>
      </c>
      <c r="K169" s="8" t="s">
        <v>986</v>
      </c>
      <c r="M169" s="250">
        <f t="shared" si="2"/>
        <v>10</v>
      </c>
    </row>
    <row r="170" spans="1:13" hidden="1" outlineLevel="1">
      <c r="A170" s="4">
        <v>170</v>
      </c>
      <c r="B170" s="8" t="s">
        <v>47</v>
      </c>
      <c r="C170" s="8" t="str">
        <f>IF(B170="","",VLOOKUP(B170,小圆机汇总表!A:AP,2,FALSE))</f>
        <v>A5035w</v>
      </c>
      <c r="D170" s="8">
        <f>IF(B170="","",VLOOKUP(B170,小圆机汇总表!A:AP,7,FALSE))</f>
        <v>35</v>
      </c>
      <c r="E170" s="8" t="str">
        <f>IF(B170="","",VLOOKUP(B170,小圆机汇总表!A:AP,5,FALSE))</f>
        <v>白</v>
      </c>
      <c r="F170" s="8" t="str">
        <f>IF(B170="","",VLOOKUP(B170,小圆机汇总表!A:AP,8,FALSE))</f>
        <v>长乐</v>
      </c>
      <c r="G170" s="23">
        <v>43750</v>
      </c>
      <c r="H170" s="8">
        <v>529</v>
      </c>
      <c r="I170" s="8">
        <v>26</v>
      </c>
      <c r="K170" s="8" t="s">
        <v>984</v>
      </c>
      <c r="M170" s="250">
        <f t="shared" si="2"/>
        <v>10</v>
      </c>
    </row>
    <row r="171" spans="1:13" hidden="1" outlineLevel="1">
      <c r="A171" s="4">
        <v>171</v>
      </c>
      <c r="B171" s="8" t="s">
        <v>114</v>
      </c>
      <c r="C171" s="8" t="str">
        <f>IF(B171="","",VLOOKUP(B171,小圆机汇总表!A:AP,2,FALSE))</f>
        <v>A5035大W</v>
      </c>
      <c r="D171" s="8">
        <f>IF(B171="","",VLOOKUP(B171,小圆机汇总表!A:AP,7,FALSE))</f>
        <v>35</v>
      </c>
      <c r="E171" s="8" t="str">
        <f>IF(B171="","",VLOOKUP(B171,小圆机汇总表!A:AP,5,FALSE))</f>
        <v>白</v>
      </c>
      <c r="F171" s="8" t="str">
        <f>IF(B171="","",VLOOKUP(B171,小圆机汇总表!A:AP,8,FALSE))</f>
        <v>长乐</v>
      </c>
      <c r="G171" s="23">
        <v>43750</v>
      </c>
      <c r="H171" s="8">
        <v>214.5</v>
      </c>
      <c r="I171" s="8">
        <v>11</v>
      </c>
      <c r="K171" s="8" t="s">
        <v>987</v>
      </c>
      <c r="M171" s="250">
        <f t="shared" si="2"/>
        <v>10</v>
      </c>
    </row>
    <row r="172" spans="1:13" hidden="1" outlineLevel="1">
      <c r="A172" s="4">
        <v>172</v>
      </c>
      <c r="B172" s="8" t="s">
        <v>68</v>
      </c>
      <c r="C172" s="8" t="str">
        <f>IF(B172="","",VLOOKUP(B172,小圆机汇总表!A:AP,2,FALSE))</f>
        <v>A5036直平纹</v>
      </c>
      <c r="D172" s="8">
        <f>IF(B172="","",VLOOKUP(B172,小圆机汇总表!A:AP,7,FALSE))</f>
        <v>36</v>
      </c>
      <c r="E172" s="8" t="str">
        <f>IF(B172="","",VLOOKUP(B172,小圆机汇总表!A:AP,5,FALSE))</f>
        <v>白</v>
      </c>
      <c r="F172" s="8" t="str">
        <f>IF(B172="","",VLOOKUP(B172,小圆机汇总表!A:AP,8,FALSE))</f>
        <v>长乐</v>
      </c>
      <c r="G172" s="23">
        <v>43750</v>
      </c>
      <c r="H172" s="8">
        <v>176.4</v>
      </c>
      <c r="I172" s="8">
        <v>9</v>
      </c>
      <c r="K172" s="8" t="s">
        <v>987</v>
      </c>
      <c r="M172" s="250">
        <f t="shared" si="2"/>
        <v>10</v>
      </c>
    </row>
    <row r="173" spans="1:13" hidden="1" outlineLevel="1">
      <c r="A173" s="4">
        <v>173</v>
      </c>
      <c r="B173" s="8" t="s">
        <v>116</v>
      </c>
      <c r="C173" s="8" t="str">
        <f>IF(B173="","",VLOOKUP(B173,小圆机汇总表!A:AP,2,FALSE))</f>
        <v>B5036大W高温丝</v>
      </c>
      <c r="D173" s="8">
        <f>IF(B173="","",VLOOKUP(B173,小圆机汇总表!A:AP,7,FALSE))</f>
        <v>36</v>
      </c>
      <c r="E173" s="8" t="str">
        <f>IF(B173="","",VLOOKUP(B173,小圆机汇总表!A:AP,5,FALSE))</f>
        <v>白高温</v>
      </c>
      <c r="F173" s="8" t="str">
        <f>IF(B173="","",VLOOKUP(B173,小圆机汇总表!A:AP,8,FALSE))</f>
        <v>长乐</v>
      </c>
      <c r="G173" s="23">
        <v>43750</v>
      </c>
      <c r="H173" s="8">
        <v>585.1</v>
      </c>
      <c r="I173" s="8">
        <v>29</v>
      </c>
      <c r="K173" s="8" t="s">
        <v>982</v>
      </c>
      <c r="M173" s="250">
        <f t="shared" si="2"/>
        <v>10</v>
      </c>
    </row>
    <row r="174" spans="1:13" hidden="1" outlineLevel="1">
      <c r="A174" s="4">
        <v>174</v>
      </c>
      <c r="B174" s="8" t="s">
        <v>70</v>
      </c>
      <c r="C174" s="8" t="str">
        <f>IF(B174="","",VLOOKUP(B174,小圆机汇总表!A:AP,2,FALSE))</f>
        <v>A5038w</v>
      </c>
      <c r="D174" s="8">
        <f>IF(B174="","",VLOOKUP(B174,小圆机汇总表!A:AP,7,FALSE))</f>
        <v>38</v>
      </c>
      <c r="E174" s="8" t="str">
        <f>IF(B174="","",VLOOKUP(B174,小圆机汇总表!A:AP,5,FALSE))</f>
        <v>白</v>
      </c>
      <c r="F174" s="8" t="str">
        <f>IF(B174="","",VLOOKUP(B174,小圆机汇总表!A:AP,8,FALSE))</f>
        <v>长乐</v>
      </c>
      <c r="G174" s="23">
        <v>43750</v>
      </c>
      <c r="H174" s="8">
        <v>145.19999999999999</v>
      </c>
      <c r="I174" s="8">
        <v>7</v>
      </c>
      <c r="K174" s="8" t="s">
        <v>988</v>
      </c>
      <c r="M174" s="250">
        <f t="shared" si="2"/>
        <v>10</v>
      </c>
    </row>
    <row r="175" spans="1:13" hidden="1" outlineLevel="1">
      <c r="A175" s="4">
        <v>175</v>
      </c>
      <c r="B175" s="8" t="s">
        <v>128</v>
      </c>
      <c r="C175" s="8" t="str">
        <f>IF(B175="","",VLOOKUP(B175,小圆机汇总表!A:AP,2,FALSE))</f>
        <v>A7545斜乱平纹</v>
      </c>
      <c r="D175" s="8">
        <f>IF(B175="","",VLOOKUP(B175,小圆机汇总表!A:AP,7,FALSE))</f>
        <v>45</v>
      </c>
      <c r="E175" s="8" t="str">
        <f>IF(B175="","",VLOOKUP(B175,小圆机汇总表!A:AP,5,FALSE))</f>
        <v>白</v>
      </c>
      <c r="F175" s="8" t="str">
        <f>IF(B175="","",VLOOKUP(B175,小圆机汇总表!A:AP,8,FALSE))</f>
        <v>长乐</v>
      </c>
      <c r="G175" s="23">
        <v>43750</v>
      </c>
      <c r="H175" s="8">
        <v>600</v>
      </c>
      <c r="I175" s="8">
        <v>30</v>
      </c>
      <c r="K175" s="8" t="s">
        <v>989</v>
      </c>
      <c r="M175" s="250">
        <f t="shared" si="2"/>
        <v>10</v>
      </c>
    </row>
    <row r="176" spans="1:13" hidden="1" outlineLevel="1">
      <c r="A176" s="4">
        <v>176</v>
      </c>
      <c r="B176" s="8" t="s">
        <v>129</v>
      </c>
      <c r="C176" s="8" t="str">
        <f>IF(B176="","",VLOOKUP(B176,小圆机汇总表!A:AP,2,FALSE))</f>
        <v>A7548斜乱平纹</v>
      </c>
      <c r="D176" s="8">
        <f>IF(B176="","",VLOOKUP(B176,小圆机汇总表!A:AP,7,FALSE))</f>
        <v>48</v>
      </c>
      <c r="E176" s="8" t="str">
        <f>IF(B176="","",VLOOKUP(B176,小圆机汇总表!A:AP,5,FALSE))</f>
        <v>白高温</v>
      </c>
      <c r="F176" s="8" t="str">
        <f>IF(B176="","",VLOOKUP(B176,小圆机汇总表!A:AP,8,FALSE))</f>
        <v>长乐</v>
      </c>
      <c r="G176" s="23">
        <v>43750</v>
      </c>
      <c r="H176" s="8">
        <v>142.1</v>
      </c>
      <c r="I176" s="8">
        <v>7</v>
      </c>
      <c r="K176" s="8" t="s">
        <v>983</v>
      </c>
      <c r="M176" s="250">
        <f t="shared" si="2"/>
        <v>10</v>
      </c>
    </row>
    <row r="177" spans="1:13" hidden="1" outlineLevel="1">
      <c r="A177" s="4">
        <v>177</v>
      </c>
      <c r="B177" s="8" t="s">
        <v>104</v>
      </c>
      <c r="C177" s="8" t="str">
        <f>IF(B177="","",VLOOKUP(B177,小圆机汇总表!A:AP,2,FALSE))</f>
        <v>B7549w</v>
      </c>
      <c r="D177" s="8">
        <f>IF(B177="","",VLOOKUP(B177,小圆机汇总表!A:AP,7,FALSE))</f>
        <v>49</v>
      </c>
      <c r="E177" s="8" t="str">
        <f>IF(B177="","",VLOOKUP(B177,小圆机汇总表!A:AP,5,FALSE))</f>
        <v>白</v>
      </c>
      <c r="F177" s="8" t="str">
        <f>IF(B177="","",VLOOKUP(B177,小圆机汇总表!A:AP,8,FALSE))</f>
        <v>长乐</v>
      </c>
      <c r="G177" s="23">
        <v>43750</v>
      </c>
      <c r="H177" s="8">
        <v>121.8</v>
      </c>
      <c r="I177" s="8">
        <v>6</v>
      </c>
      <c r="K177" s="8" t="s">
        <v>986</v>
      </c>
      <c r="M177" s="250">
        <f t="shared" si="2"/>
        <v>10</v>
      </c>
    </row>
    <row r="178" spans="1:13" hidden="1" outlineLevel="1">
      <c r="A178" s="4">
        <v>178</v>
      </c>
      <c r="B178" s="8" t="s">
        <v>994</v>
      </c>
      <c r="C178" s="8" t="str">
        <f>IF(B178="","",VLOOKUP(B178,小圆机汇总表!A:AP,2,FALSE))</f>
        <v>B7543大W</v>
      </c>
      <c r="D178" s="8">
        <f>IF(B178="","",VLOOKUP(B178,小圆机汇总表!A:AP,7,FALSE))</f>
        <v>43</v>
      </c>
      <c r="E178" s="8" t="str">
        <f>IF(B178="","",VLOOKUP(B178,小圆机汇总表!A:AP,5,FALSE))</f>
        <v>白</v>
      </c>
      <c r="F178" s="8" t="str">
        <f>IF(B178="","",VLOOKUP(B178,小圆机汇总表!A:AP,8,FALSE))</f>
        <v>长乐</v>
      </c>
      <c r="G178" s="23">
        <v>43750</v>
      </c>
      <c r="H178" s="8">
        <v>271.10000000000002</v>
      </c>
      <c r="I178" s="8">
        <v>13</v>
      </c>
      <c r="K178" s="8" t="s">
        <v>985</v>
      </c>
      <c r="M178" s="250">
        <f t="shared" si="2"/>
        <v>10</v>
      </c>
    </row>
    <row r="179" spans="1:13" hidden="1" outlineLevel="1">
      <c r="A179" s="4">
        <v>179</v>
      </c>
      <c r="B179" s="8" t="s">
        <v>1004</v>
      </c>
      <c r="C179" s="8" t="str">
        <f>IF(B179="","",VLOOKUP(B179,小圆机汇总表!A:AP,2,FALSE))</f>
        <v>B3023乱平纹</v>
      </c>
      <c r="D179" s="8">
        <f>IF(B179="","",VLOOKUP(B179,小圆机汇总表!A:AP,7,FALSE))</f>
        <v>23</v>
      </c>
      <c r="E179" s="8" t="str">
        <f>IF(B179="","",VLOOKUP(B179,小圆机汇总表!A:AP,5,FALSE))</f>
        <v>白</v>
      </c>
      <c r="F179" s="8" t="str">
        <f>IF(B179="","",VLOOKUP(B179,小圆机汇总表!A:AP,8,FALSE))</f>
        <v>银宇</v>
      </c>
      <c r="G179" s="23">
        <v>43751</v>
      </c>
      <c r="H179" s="8">
        <v>37.799999999999997</v>
      </c>
      <c r="I179" s="8">
        <v>2</v>
      </c>
      <c r="K179" s="8" t="s">
        <v>1005</v>
      </c>
      <c r="M179" s="250">
        <f t="shared" si="2"/>
        <v>10</v>
      </c>
    </row>
    <row r="180" spans="1:13" hidden="1" outlineLevel="1">
      <c r="A180" s="4">
        <v>180</v>
      </c>
      <c r="B180" s="8" t="s">
        <v>239</v>
      </c>
      <c r="C180" s="8" t="str">
        <f>IF(B180="","",VLOOKUP(B180,小圆机汇总表!A:AP,2,FALSE))</f>
        <v>B3023乱平纹</v>
      </c>
      <c r="D180" s="8">
        <f>IF(B180="","",VLOOKUP(B180,小圆机汇总表!A:AP,7,FALSE))</f>
        <v>23</v>
      </c>
      <c r="E180" s="8" t="str">
        <f>IF(B180="","",VLOOKUP(B180,小圆机汇总表!A:AP,5,FALSE))</f>
        <v>白</v>
      </c>
      <c r="F180" s="8" t="str">
        <f>IF(B180="","",VLOOKUP(B180,小圆机汇总表!A:AP,8,FALSE))</f>
        <v>长乐</v>
      </c>
      <c r="G180" s="23">
        <v>43751</v>
      </c>
      <c r="H180" s="8">
        <v>74.400000000000006</v>
      </c>
      <c r="I180" s="8">
        <v>4</v>
      </c>
      <c r="K180" s="8" t="s">
        <v>1005</v>
      </c>
      <c r="M180" s="250">
        <f t="shared" si="2"/>
        <v>10</v>
      </c>
    </row>
    <row r="181" spans="1:13" hidden="1" outlineLevel="1">
      <c r="A181" s="4">
        <v>181</v>
      </c>
      <c r="B181" s="8" t="s">
        <v>734</v>
      </c>
      <c r="C181" s="8" t="str">
        <f>IF(B181="","",VLOOKUP(B181,小圆机汇总表!A:AP,2,FALSE))</f>
        <v>B3023大W</v>
      </c>
      <c r="D181" s="8">
        <f>IF(B181="","",VLOOKUP(B181,小圆机汇总表!A:AP,7,FALSE))</f>
        <v>23</v>
      </c>
      <c r="E181" s="8" t="str">
        <f>IF(B181="","",VLOOKUP(B181,小圆机汇总表!A:AP,5,FALSE))</f>
        <v>白</v>
      </c>
      <c r="F181" s="8" t="str">
        <f>IF(B181="","",VLOOKUP(B181,小圆机汇总表!A:AP,8,FALSE))</f>
        <v>长乐</v>
      </c>
      <c r="G181" s="23">
        <v>43751</v>
      </c>
      <c r="H181" s="8">
        <v>45.2</v>
      </c>
      <c r="I181" s="8">
        <v>3</v>
      </c>
      <c r="K181" s="8" t="s">
        <v>1006</v>
      </c>
      <c r="M181" s="250">
        <f t="shared" si="2"/>
        <v>10</v>
      </c>
    </row>
    <row r="182" spans="1:13" hidden="1" outlineLevel="1">
      <c r="A182" s="4">
        <v>182</v>
      </c>
      <c r="B182" s="8" t="s">
        <v>998</v>
      </c>
      <c r="C182" s="8" t="str">
        <f>IF(B182="","",VLOOKUP(B182,小圆机汇总表!A:AP,2,FALSE))</f>
        <v>A5032大W</v>
      </c>
      <c r="D182" s="8">
        <f>IF(B182="","",VLOOKUP(B182,小圆机汇总表!A:AP,7,FALSE))</f>
        <v>32</v>
      </c>
      <c r="E182" s="8" t="str">
        <f>IF(B182="","",VLOOKUP(B182,小圆机汇总表!A:AP,5,FALSE))</f>
        <v>白</v>
      </c>
      <c r="F182" s="8" t="str">
        <f>IF(B182="","",VLOOKUP(B182,小圆机汇总表!A:AP,8,FALSE))</f>
        <v>长乐</v>
      </c>
      <c r="G182" s="23">
        <v>43751</v>
      </c>
      <c r="H182" s="8">
        <v>101</v>
      </c>
      <c r="I182" s="8">
        <v>5</v>
      </c>
      <c r="K182" s="8" t="s">
        <v>1007</v>
      </c>
      <c r="M182" s="250">
        <f t="shared" si="2"/>
        <v>10</v>
      </c>
    </row>
    <row r="183" spans="1:13" hidden="1" outlineLevel="1">
      <c r="A183" s="4">
        <v>183</v>
      </c>
      <c r="B183" s="8" t="s">
        <v>121</v>
      </c>
      <c r="C183" s="8" t="str">
        <f>IF(B183="","",VLOOKUP(B183,小圆机汇总表!A:AP,2,FALSE))</f>
        <v>A5032w</v>
      </c>
      <c r="D183" s="8">
        <f>IF(B183="","",VLOOKUP(B183,小圆机汇总表!A:AP,7,FALSE))</f>
        <v>32</v>
      </c>
      <c r="E183" s="8" t="str">
        <f>IF(B183="","",VLOOKUP(B183,小圆机汇总表!A:AP,5,FALSE))</f>
        <v>白</v>
      </c>
      <c r="F183" s="8" t="str">
        <f>IF(B183="","",VLOOKUP(B183,小圆机汇总表!A:AP,8,FALSE))</f>
        <v>长乐</v>
      </c>
      <c r="G183" s="23">
        <v>43751</v>
      </c>
      <c r="H183" s="8">
        <v>611</v>
      </c>
      <c r="I183" s="8">
        <v>31</v>
      </c>
      <c r="K183" s="8" t="s">
        <v>1008</v>
      </c>
      <c r="M183" s="250">
        <f t="shared" si="2"/>
        <v>10</v>
      </c>
    </row>
    <row r="184" spans="1:13" hidden="1" outlineLevel="1">
      <c r="A184" s="4">
        <v>184</v>
      </c>
      <c r="B184" s="8" t="s">
        <v>122</v>
      </c>
      <c r="C184" s="8" t="str">
        <f>IF(B184="","",VLOOKUP(B184,小圆机汇总表!A:AP,2,FALSE))</f>
        <v>B5034大W</v>
      </c>
      <c r="D184" s="8">
        <f>IF(B184="","",VLOOKUP(B184,小圆机汇总表!A:AP,7,FALSE))</f>
        <v>34</v>
      </c>
      <c r="E184" s="8" t="str">
        <f>IF(B184="","",VLOOKUP(B184,小圆机汇总表!A:AP,5,FALSE))</f>
        <v>白高温</v>
      </c>
      <c r="F184" s="8" t="str">
        <f>IF(B184="","",VLOOKUP(B184,小圆机汇总表!A:AP,8,FALSE))</f>
        <v>长乐</v>
      </c>
      <c r="G184" s="23">
        <v>43751</v>
      </c>
      <c r="H184" s="8">
        <v>966.5</v>
      </c>
      <c r="I184" s="8">
        <v>48</v>
      </c>
      <c r="K184" s="8" t="s">
        <v>1009</v>
      </c>
      <c r="M184" s="250">
        <f t="shared" si="2"/>
        <v>10</v>
      </c>
    </row>
    <row r="185" spans="1:13" hidden="1" outlineLevel="1">
      <c r="A185" s="4">
        <v>185</v>
      </c>
      <c r="B185" s="8" t="s">
        <v>123</v>
      </c>
      <c r="C185" s="8" t="str">
        <f>IF(B185="","",VLOOKUP(B185,小圆机汇总表!A:AP,2,FALSE))</f>
        <v>B7539斜乱平纹</v>
      </c>
      <c r="D185" s="8">
        <f>IF(B185="","",VLOOKUP(B185,小圆机汇总表!A:AP,7,FALSE))</f>
        <v>39</v>
      </c>
      <c r="E185" s="8" t="str">
        <f>IF(B185="","",VLOOKUP(B185,小圆机汇总表!A:AP,5,FALSE))</f>
        <v>白</v>
      </c>
      <c r="F185" s="8" t="str">
        <f>IF(B185="","",VLOOKUP(B185,小圆机汇总表!A:AP,8,FALSE))</f>
        <v>盛元</v>
      </c>
      <c r="G185" s="23">
        <v>43751</v>
      </c>
      <c r="H185" s="8">
        <v>328</v>
      </c>
      <c r="I185" s="8">
        <v>16</v>
      </c>
      <c r="K185" s="8" t="s">
        <v>1010</v>
      </c>
      <c r="M185" s="250">
        <f t="shared" si="2"/>
        <v>10</v>
      </c>
    </row>
    <row r="186" spans="1:13" hidden="1" outlineLevel="1">
      <c r="A186" s="4">
        <v>186</v>
      </c>
      <c r="B186" s="8" t="s">
        <v>962</v>
      </c>
      <c r="C186" s="8" t="str">
        <f>IF(B186="","",VLOOKUP(B186,小圆机汇总表!A:AP,2,FALSE))</f>
        <v>C5034w</v>
      </c>
      <c r="D186" s="8">
        <f>IF(B186="","",VLOOKUP(B186,小圆机汇总表!A:AP,7,FALSE))</f>
        <v>34</v>
      </c>
      <c r="E186" s="8" t="str">
        <f>IF(B186="","",VLOOKUP(B186,小圆机汇总表!A:AP,5,FALSE))</f>
        <v>白</v>
      </c>
      <c r="F186" s="8" t="str">
        <f>IF(B186="","",VLOOKUP(B186,小圆机汇总表!A:AP,8,FALSE))</f>
        <v>长乐</v>
      </c>
      <c r="G186" s="23">
        <v>43751</v>
      </c>
      <c r="H186" s="8">
        <v>251.7</v>
      </c>
      <c r="I186" s="8">
        <v>13</v>
      </c>
      <c r="K186" s="8" t="s">
        <v>1011</v>
      </c>
      <c r="M186" s="250">
        <f t="shared" si="2"/>
        <v>10</v>
      </c>
    </row>
    <row r="187" spans="1:13" hidden="1" outlineLevel="1">
      <c r="A187" s="4">
        <v>187</v>
      </c>
      <c r="B187" s="8" t="s">
        <v>979</v>
      </c>
      <c r="C187" s="8" t="str">
        <f>IF(B187="","",VLOOKUP(B187,小圆机汇总表!A:AP,2,FALSE))</f>
        <v>C5034w</v>
      </c>
      <c r="D187" s="8">
        <f>IF(B187="","",VLOOKUP(B187,小圆机汇总表!A:AP,7,FALSE))</f>
        <v>34</v>
      </c>
      <c r="E187" s="8" t="str">
        <f>IF(B187="","",VLOOKUP(B187,小圆机汇总表!A:AP,5,FALSE))</f>
        <v>黑</v>
      </c>
      <c r="F187" s="8" t="str">
        <f>IF(B187="","",VLOOKUP(B187,小圆机汇总表!A:AP,8,FALSE))</f>
        <v>固力</v>
      </c>
      <c r="G187" s="23">
        <v>43751</v>
      </c>
      <c r="H187" s="8">
        <v>166</v>
      </c>
      <c r="I187" s="8">
        <v>8</v>
      </c>
      <c r="K187" s="8" t="s">
        <v>1012</v>
      </c>
      <c r="M187" s="250">
        <f t="shared" si="2"/>
        <v>10</v>
      </c>
    </row>
    <row r="188" spans="1:13" hidden="1" outlineLevel="1">
      <c r="A188" s="4">
        <v>188</v>
      </c>
      <c r="B188" s="8" t="s">
        <v>112</v>
      </c>
      <c r="C188" s="8" t="str">
        <f>IF(B188="","",VLOOKUP(B188,小圆机汇总表!A:AP,2,FALSE))</f>
        <v>A5035w黑</v>
      </c>
      <c r="D188" s="8">
        <f>IF(B188="","",VLOOKUP(B188,小圆机汇总表!A:AP,7,FALSE))</f>
        <v>35</v>
      </c>
      <c r="E188" s="8" t="str">
        <f>IF(B188="","",VLOOKUP(B188,小圆机汇总表!A:AP,5,FALSE))</f>
        <v>黑</v>
      </c>
      <c r="F188" s="8" t="str">
        <f>IF(B188="","",VLOOKUP(B188,小圆机汇总表!A:AP,8,FALSE))</f>
        <v>固力</v>
      </c>
      <c r="G188" s="23">
        <v>43751</v>
      </c>
      <c r="H188" s="8">
        <v>672.6</v>
      </c>
      <c r="I188" s="8">
        <f>26+5</f>
        <v>31</v>
      </c>
      <c r="K188" s="8" t="s">
        <v>1013</v>
      </c>
      <c r="M188" s="250">
        <f t="shared" si="2"/>
        <v>10</v>
      </c>
    </row>
    <row r="189" spans="1:13" hidden="1" outlineLevel="1">
      <c r="A189" s="4">
        <v>189</v>
      </c>
      <c r="B189" s="8" t="s">
        <v>47</v>
      </c>
      <c r="C189" s="8" t="str">
        <f>IF(B189="","",VLOOKUP(B189,小圆机汇总表!A:AP,2,FALSE))</f>
        <v>A5035w</v>
      </c>
      <c r="D189" s="8">
        <f>IF(B189="","",VLOOKUP(B189,小圆机汇总表!A:AP,7,FALSE))</f>
        <v>35</v>
      </c>
      <c r="E189" s="8" t="str">
        <f>IF(B189="","",VLOOKUP(B189,小圆机汇总表!A:AP,5,FALSE))</f>
        <v>白</v>
      </c>
      <c r="F189" s="8" t="str">
        <f>IF(B189="","",VLOOKUP(B189,小圆机汇总表!A:AP,8,FALSE))</f>
        <v>长乐</v>
      </c>
      <c r="G189" s="23">
        <v>43751</v>
      </c>
      <c r="H189" s="8">
        <v>240.2</v>
      </c>
      <c r="I189" s="8">
        <v>12</v>
      </c>
      <c r="K189" s="8" t="s">
        <v>1014</v>
      </c>
      <c r="M189" s="250">
        <f t="shared" si="2"/>
        <v>10</v>
      </c>
    </row>
    <row r="190" spans="1:13" hidden="1" outlineLevel="1">
      <c r="A190" s="4">
        <v>190</v>
      </c>
      <c r="B190" s="8" t="s">
        <v>114</v>
      </c>
      <c r="C190" s="8" t="str">
        <f>IF(B190="","",VLOOKUP(B190,小圆机汇总表!A:AP,2,FALSE))</f>
        <v>A5035大W</v>
      </c>
      <c r="D190" s="8">
        <f>IF(B190="","",VLOOKUP(B190,小圆机汇总表!A:AP,7,FALSE))</f>
        <v>35</v>
      </c>
      <c r="E190" s="8" t="str">
        <f>IF(B190="","",VLOOKUP(B190,小圆机汇总表!A:AP,5,FALSE))</f>
        <v>白</v>
      </c>
      <c r="F190" s="8" t="str">
        <f>IF(B190="","",VLOOKUP(B190,小圆机汇总表!A:AP,8,FALSE))</f>
        <v>长乐</v>
      </c>
      <c r="G190" s="23">
        <v>43751</v>
      </c>
      <c r="H190" s="8">
        <v>160</v>
      </c>
      <c r="I190" s="8">
        <v>8</v>
      </c>
      <c r="K190" s="8" t="s">
        <v>1015</v>
      </c>
      <c r="M190" s="250">
        <f t="shared" si="2"/>
        <v>10</v>
      </c>
    </row>
    <row r="191" spans="1:13" hidden="1" outlineLevel="1">
      <c r="A191" s="4">
        <v>191</v>
      </c>
      <c r="B191" s="8" t="s">
        <v>68</v>
      </c>
      <c r="C191" s="8" t="str">
        <f>IF(B191="","",VLOOKUP(B191,小圆机汇总表!A:AP,2,FALSE))</f>
        <v>A5036直平纹</v>
      </c>
      <c r="D191" s="8">
        <f>IF(B191="","",VLOOKUP(B191,小圆机汇总表!A:AP,7,FALSE))</f>
        <v>36</v>
      </c>
      <c r="E191" s="8" t="str">
        <f>IF(B191="","",VLOOKUP(B191,小圆机汇总表!A:AP,5,FALSE))</f>
        <v>白</v>
      </c>
      <c r="F191" s="8" t="str">
        <f>IF(B191="","",VLOOKUP(B191,小圆机汇总表!A:AP,8,FALSE))</f>
        <v>长乐</v>
      </c>
      <c r="G191" s="23">
        <v>43751</v>
      </c>
      <c r="H191" s="8">
        <v>176.4</v>
      </c>
      <c r="I191" s="8">
        <v>9</v>
      </c>
      <c r="K191" s="8" t="s">
        <v>1015</v>
      </c>
      <c r="M191" s="250">
        <f t="shared" si="2"/>
        <v>10</v>
      </c>
    </row>
    <row r="192" spans="1:13" hidden="1" outlineLevel="1">
      <c r="A192" s="4">
        <v>192</v>
      </c>
      <c r="B192" s="8" t="s">
        <v>116</v>
      </c>
      <c r="C192" s="8" t="str">
        <f>IF(B192="","",VLOOKUP(B192,小圆机汇总表!A:AP,2,FALSE))</f>
        <v>B5036大W高温丝</v>
      </c>
      <c r="D192" s="8">
        <f>IF(B192="","",VLOOKUP(B192,小圆机汇总表!A:AP,7,FALSE))</f>
        <v>36</v>
      </c>
      <c r="E192" s="8" t="str">
        <f>IF(B192="","",VLOOKUP(B192,小圆机汇总表!A:AP,5,FALSE))</f>
        <v>白高温</v>
      </c>
      <c r="F192" s="8" t="str">
        <f>IF(B192="","",VLOOKUP(B192,小圆机汇总表!A:AP,8,FALSE))</f>
        <v>长乐</v>
      </c>
      <c r="G192" s="23">
        <v>43751</v>
      </c>
      <c r="H192" s="8">
        <v>499.4</v>
      </c>
      <c r="I192" s="8">
        <v>25</v>
      </c>
      <c r="K192" s="8" t="s">
        <v>1009</v>
      </c>
      <c r="M192" s="250">
        <f t="shared" si="2"/>
        <v>10</v>
      </c>
    </row>
    <row r="193" spans="1:13" hidden="1" outlineLevel="1">
      <c r="A193" s="4">
        <v>193</v>
      </c>
      <c r="B193" s="8" t="s">
        <v>70</v>
      </c>
      <c r="C193" s="8" t="str">
        <f>IF(B193="","",VLOOKUP(B193,小圆机汇总表!A:AP,2,FALSE))</f>
        <v>A5038w</v>
      </c>
      <c r="D193" s="8">
        <f>IF(B193="","",VLOOKUP(B193,小圆机汇总表!A:AP,7,FALSE))</f>
        <v>38</v>
      </c>
      <c r="E193" s="8" t="str">
        <f>IF(B193="","",VLOOKUP(B193,小圆机汇总表!A:AP,5,FALSE))</f>
        <v>白</v>
      </c>
      <c r="F193" s="8" t="str">
        <f>IF(B193="","",VLOOKUP(B193,小圆机汇总表!A:AP,8,FALSE))</f>
        <v>长乐</v>
      </c>
      <c r="G193" s="23">
        <v>43751</v>
      </c>
      <c r="H193" s="8">
        <v>425.1</v>
      </c>
      <c r="I193" s="8">
        <v>21</v>
      </c>
      <c r="K193" s="8" t="s">
        <v>1016</v>
      </c>
      <c r="M193" s="250">
        <f t="shared" si="2"/>
        <v>10</v>
      </c>
    </row>
    <row r="194" spans="1:13" hidden="1" outlineLevel="1">
      <c r="A194" s="4">
        <v>194</v>
      </c>
      <c r="B194" s="8" t="s">
        <v>128</v>
      </c>
      <c r="C194" s="8" t="str">
        <f>IF(B194="","",VLOOKUP(B194,小圆机汇总表!A:AP,2,FALSE))</f>
        <v>A7545斜乱平纹</v>
      </c>
      <c r="D194" s="8">
        <f>IF(B194="","",VLOOKUP(B194,小圆机汇总表!A:AP,7,FALSE))</f>
        <v>45</v>
      </c>
      <c r="E194" s="8" t="str">
        <f>IF(B194="","",VLOOKUP(B194,小圆机汇总表!A:AP,5,FALSE))</f>
        <v>白</v>
      </c>
      <c r="F194" s="8" t="str">
        <f>IF(B194="","",VLOOKUP(B194,小圆机汇总表!A:AP,8,FALSE))</f>
        <v>长乐</v>
      </c>
      <c r="G194" s="23">
        <v>43751</v>
      </c>
      <c r="H194" s="8">
        <v>822.8</v>
      </c>
      <c r="I194" s="8">
        <v>41</v>
      </c>
      <c r="K194" s="8" t="s">
        <v>1017</v>
      </c>
      <c r="M194" s="250">
        <f t="shared" si="2"/>
        <v>10</v>
      </c>
    </row>
    <row r="195" spans="1:13" hidden="1" outlineLevel="1">
      <c r="A195" s="4">
        <v>195</v>
      </c>
      <c r="B195" s="8" t="s">
        <v>129</v>
      </c>
      <c r="C195" s="8" t="str">
        <f>IF(B195="","",VLOOKUP(B195,小圆机汇总表!A:AP,2,FALSE))</f>
        <v>A7548斜乱平纹</v>
      </c>
      <c r="D195" s="8">
        <f>IF(B195="","",VLOOKUP(B195,小圆机汇总表!A:AP,7,FALSE))</f>
        <v>48</v>
      </c>
      <c r="E195" s="8" t="str">
        <f>IF(B195="","",VLOOKUP(B195,小圆机汇总表!A:AP,5,FALSE))</f>
        <v>白高温</v>
      </c>
      <c r="F195" s="8" t="str">
        <f>IF(B195="","",VLOOKUP(B195,小圆机汇总表!A:AP,8,FALSE))</f>
        <v>长乐</v>
      </c>
      <c r="G195" s="23">
        <v>43751</v>
      </c>
      <c r="H195" s="8">
        <v>162.4</v>
      </c>
      <c r="I195" s="8">
        <v>8</v>
      </c>
      <c r="K195" s="8" t="s">
        <v>1010</v>
      </c>
      <c r="M195" s="250">
        <f t="shared" ref="M195:M258" si="3">IF(B195="","",MONTH(G195))</f>
        <v>10</v>
      </c>
    </row>
    <row r="196" spans="1:13" hidden="1" outlineLevel="1">
      <c r="A196" s="4">
        <v>196</v>
      </c>
      <c r="B196" s="8" t="s">
        <v>104</v>
      </c>
      <c r="C196" s="8" t="str">
        <f>IF(B196="","",VLOOKUP(B196,小圆机汇总表!A:AP,2,FALSE))</f>
        <v>B7549w</v>
      </c>
      <c r="D196" s="8">
        <f>IF(B196="","",VLOOKUP(B196,小圆机汇总表!A:AP,7,FALSE))</f>
        <v>49</v>
      </c>
      <c r="E196" s="8" t="str">
        <f>IF(B196="","",VLOOKUP(B196,小圆机汇总表!A:AP,5,FALSE))</f>
        <v>白</v>
      </c>
      <c r="F196" s="8" t="str">
        <f>IF(B196="","",VLOOKUP(B196,小圆机汇总表!A:AP,8,FALSE))</f>
        <v>长乐</v>
      </c>
      <c r="G196" s="23">
        <v>43751</v>
      </c>
      <c r="H196" s="8">
        <v>101.5</v>
      </c>
      <c r="I196" s="8">
        <v>5</v>
      </c>
      <c r="K196" s="8" t="s">
        <v>1013</v>
      </c>
      <c r="M196" s="250">
        <f t="shared" si="3"/>
        <v>10</v>
      </c>
    </row>
    <row r="197" spans="1:13" hidden="1" outlineLevel="1">
      <c r="A197" s="4">
        <v>197</v>
      </c>
      <c r="B197" s="8" t="s">
        <v>994</v>
      </c>
      <c r="C197" s="8" t="str">
        <f>IF(B197="","",VLOOKUP(B197,小圆机汇总表!A:AP,2,FALSE))</f>
        <v>B7543大W</v>
      </c>
      <c r="D197" s="8">
        <f>IF(B197="","",VLOOKUP(B197,小圆机汇总表!A:AP,7,FALSE))</f>
        <v>43</v>
      </c>
      <c r="E197" s="8" t="str">
        <f>IF(B197="","",VLOOKUP(B197,小圆机汇总表!A:AP,5,FALSE))</f>
        <v>白</v>
      </c>
      <c r="F197" s="8" t="str">
        <f>IF(B197="","",VLOOKUP(B197,小圆机汇总表!A:AP,8,FALSE))</f>
        <v>长乐</v>
      </c>
      <c r="G197" s="23">
        <v>43751</v>
      </c>
      <c r="H197" s="8">
        <v>291.89999999999998</v>
      </c>
      <c r="I197" s="8">
        <v>14</v>
      </c>
      <c r="K197" s="8" t="s">
        <v>1012</v>
      </c>
      <c r="M197" s="250">
        <f t="shared" si="3"/>
        <v>10</v>
      </c>
    </row>
    <row r="198" spans="1:13" hidden="1" outlineLevel="1">
      <c r="A198" s="4">
        <v>198</v>
      </c>
      <c r="B198" s="8" t="s">
        <v>1127</v>
      </c>
      <c r="C198" s="8" t="str">
        <f>IF(B198="","",VLOOKUP(B198,小圆机汇总表!A:AP,2,FALSE))</f>
        <v>B3023乱平纹</v>
      </c>
      <c r="D198" s="8">
        <f>IF(B198="","",VLOOKUP(B198,小圆机汇总表!A:AP,7,FALSE))</f>
        <v>23</v>
      </c>
      <c r="E198" s="8" t="str">
        <f>IF(B198="","",VLOOKUP(B198,小圆机汇总表!A:AP,5,FALSE))</f>
        <v>白</v>
      </c>
      <c r="F198" s="8" t="str">
        <f>IF(B198="","",VLOOKUP(B198,小圆机汇总表!A:AP,8,FALSE))</f>
        <v>银宇</v>
      </c>
      <c r="G198" s="23">
        <v>43752</v>
      </c>
      <c r="H198" s="8">
        <v>56.7</v>
      </c>
      <c r="I198" s="8">
        <v>3</v>
      </c>
      <c r="K198" s="8" t="s">
        <v>1128</v>
      </c>
      <c r="M198" s="250">
        <f t="shared" si="3"/>
        <v>10</v>
      </c>
    </row>
    <row r="199" spans="1:13" hidden="1" outlineLevel="1">
      <c r="A199" s="4">
        <v>199</v>
      </c>
      <c r="B199" s="8" t="s">
        <v>239</v>
      </c>
      <c r="C199" s="8" t="str">
        <f>IF(B199="","",VLOOKUP(B199,小圆机汇总表!A:AP,2,FALSE))</f>
        <v>B3023乱平纹</v>
      </c>
      <c r="D199" s="8">
        <f>IF(B199="","",VLOOKUP(B199,小圆机汇总表!A:AP,7,FALSE))</f>
        <v>23</v>
      </c>
      <c r="E199" s="8" t="str">
        <f>IF(B199="","",VLOOKUP(B199,小圆机汇总表!A:AP,5,FALSE))</f>
        <v>白</v>
      </c>
      <c r="F199" s="8" t="str">
        <f>IF(B199="","",VLOOKUP(B199,小圆机汇总表!A:AP,8,FALSE))</f>
        <v>长乐</v>
      </c>
      <c r="G199" s="23">
        <v>43752</v>
      </c>
      <c r="H199" s="8">
        <v>58.8</v>
      </c>
      <c r="I199" s="8">
        <v>3</v>
      </c>
      <c r="K199" s="8" t="s">
        <v>1128</v>
      </c>
      <c r="M199" s="250">
        <f t="shared" si="3"/>
        <v>10</v>
      </c>
    </row>
    <row r="200" spans="1:13" hidden="1" outlineLevel="1">
      <c r="A200" s="4">
        <v>200</v>
      </c>
      <c r="B200" s="8" t="s">
        <v>998</v>
      </c>
      <c r="C200" s="8" t="str">
        <f>IF(B200="","",VLOOKUP(B200,小圆机汇总表!A:AP,2,FALSE))</f>
        <v>A5032大W</v>
      </c>
      <c r="D200" s="8">
        <f>IF(B200="","",VLOOKUP(B200,小圆机汇总表!A:AP,7,FALSE))</f>
        <v>32</v>
      </c>
      <c r="E200" s="8" t="str">
        <f>IF(B200="","",VLOOKUP(B200,小圆机汇总表!A:AP,5,FALSE))</f>
        <v>白</v>
      </c>
      <c r="F200" s="8" t="str">
        <f>IF(B200="","",VLOOKUP(B200,小圆机汇总表!A:AP,8,FALSE))</f>
        <v>长乐</v>
      </c>
      <c r="G200" s="23">
        <v>43752</v>
      </c>
      <c r="H200" s="8">
        <v>80.8</v>
      </c>
      <c r="I200" s="8">
        <v>4</v>
      </c>
      <c r="K200" s="8" t="s">
        <v>1129</v>
      </c>
      <c r="M200" s="250">
        <f t="shared" si="3"/>
        <v>10</v>
      </c>
    </row>
    <row r="201" spans="1:13" hidden="1" outlineLevel="1">
      <c r="A201" s="4">
        <v>201</v>
      </c>
      <c r="B201" s="8" t="s">
        <v>121</v>
      </c>
      <c r="C201" s="8" t="str">
        <f>IF(B201="","",VLOOKUP(B201,小圆机汇总表!A:AP,2,FALSE))</f>
        <v>A5032w</v>
      </c>
      <c r="D201" s="8">
        <f>IF(B201="","",VLOOKUP(B201,小圆机汇总表!A:AP,7,FALSE))</f>
        <v>32</v>
      </c>
      <c r="E201" s="8" t="str">
        <f>IF(B201="","",VLOOKUP(B201,小圆机汇总表!A:AP,5,FALSE))</f>
        <v>白</v>
      </c>
      <c r="F201" s="8" t="str">
        <f>IF(B201="","",VLOOKUP(B201,小圆机汇总表!A:AP,8,FALSE))</f>
        <v>长乐</v>
      </c>
      <c r="G201" s="23">
        <v>43752</v>
      </c>
      <c r="H201" s="24">
        <v>851</v>
      </c>
      <c r="I201" s="24">
        <v>43</v>
      </c>
      <c r="J201" s="24"/>
      <c r="K201" s="24" t="s">
        <v>1130</v>
      </c>
      <c r="M201" s="250">
        <f t="shared" si="3"/>
        <v>10</v>
      </c>
    </row>
    <row r="202" spans="1:13" hidden="1" outlineLevel="1">
      <c r="A202" s="4">
        <v>202</v>
      </c>
      <c r="B202" s="8" t="s">
        <v>122</v>
      </c>
      <c r="C202" s="8" t="str">
        <f>IF(B202="","",VLOOKUP(B202,小圆机汇总表!A:AP,2,FALSE))</f>
        <v>B5034大W</v>
      </c>
      <c r="D202" s="8">
        <f>IF(B202="","",VLOOKUP(B202,小圆机汇总表!A:AP,7,FALSE))</f>
        <v>34</v>
      </c>
      <c r="E202" s="8" t="str">
        <f>IF(B202="","",VLOOKUP(B202,小圆机汇总表!A:AP,5,FALSE))</f>
        <v>白高温</v>
      </c>
      <c r="F202" s="8" t="str">
        <f>IF(B202="","",VLOOKUP(B202,小圆机汇总表!A:AP,8,FALSE))</f>
        <v>长乐</v>
      </c>
      <c r="G202" s="23">
        <v>43752</v>
      </c>
      <c r="H202" s="8">
        <v>946.4</v>
      </c>
      <c r="I202" s="8">
        <v>47</v>
      </c>
      <c r="K202" s="8" t="s">
        <v>1131</v>
      </c>
      <c r="M202" s="250">
        <f t="shared" si="3"/>
        <v>10</v>
      </c>
    </row>
    <row r="203" spans="1:13" hidden="1" outlineLevel="1">
      <c r="A203" s="4">
        <v>203</v>
      </c>
      <c r="B203" s="8" t="s">
        <v>123</v>
      </c>
      <c r="C203" s="8" t="str">
        <f>IF(B203="","",VLOOKUP(B203,小圆机汇总表!A:AP,2,FALSE))</f>
        <v>B7539斜乱平纹</v>
      </c>
      <c r="D203" s="8">
        <f>IF(B203="","",VLOOKUP(B203,小圆机汇总表!A:AP,7,FALSE))</f>
        <v>39</v>
      </c>
      <c r="E203" s="8" t="str">
        <f>IF(B203="","",VLOOKUP(B203,小圆机汇总表!A:AP,5,FALSE))</f>
        <v>白</v>
      </c>
      <c r="F203" s="8" t="str">
        <f>IF(B203="","",VLOOKUP(B203,小圆机汇总表!A:AP,8,FALSE))</f>
        <v>盛元</v>
      </c>
      <c r="G203" s="23">
        <v>43752</v>
      </c>
      <c r="H203" s="8">
        <v>287</v>
      </c>
      <c r="I203" s="8">
        <v>14</v>
      </c>
      <c r="K203" s="8" t="s">
        <v>1129</v>
      </c>
      <c r="M203" s="250">
        <f t="shared" si="3"/>
        <v>10</v>
      </c>
    </row>
    <row r="204" spans="1:13" hidden="1" outlineLevel="1">
      <c r="A204" s="4">
        <v>204</v>
      </c>
      <c r="B204" s="8" t="s">
        <v>961</v>
      </c>
      <c r="C204" s="8" t="str">
        <f>IF(B204="","",VLOOKUP(B204,小圆机汇总表!A:AP,2,FALSE))</f>
        <v>C5034w</v>
      </c>
      <c r="D204" s="8">
        <f>IF(B204="","",VLOOKUP(B204,小圆机汇总表!A:AP,7,FALSE))</f>
        <v>34</v>
      </c>
      <c r="E204" s="8" t="str">
        <f>IF(B204="","",VLOOKUP(B204,小圆机汇总表!A:AP,5,FALSE))</f>
        <v>白</v>
      </c>
      <c r="F204" s="8" t="str">
        <f>IF(B204="","",VLOOKUP(B204,小圆机汇总表!A:AP,8,FALSE))</f>
        <v>长乐</v>
      </c>
      <c r="G204" s="23">
        <v>43752</v>
      </c>
      <c r="H204" s="8">
        <v>250.9</v>
      </c>
      <c r="I204" s="8">
        <v>13</v>
      </c>
      <c r="K204" s="8" t="s">
        <v>1132</v>
      </c>
      <c r="M204" s="250">
        <f t="shared" si="3"/>
        <v>10</v>
      </c>
    </row>
    <row r="205" spans="1:13" hidden="1" outlineLevel="1">
      <c r="A205" s="4">
        <v>205</v>
      </c>
      <c r="B205" s="8" t="s">
        <v>975</v>
      </c>
      <c r="C205" s="8" t="str">
        <f>IF(B205="","",VLOOKUP(B205,小圆机汇总表!A:AP,2,FALSE))</f>
        <v>C5034w</v>
      </c>
      <c r="D205" s="8">
        <f>IF(B205="","",VLOOKUP(B205,小圆机汇总表!A:AP,7,FALSE))</f>
        <v>34</v>
      </c>
      <c r="E205" s="8" t="str">
        <f>IF(B205="","",VLOOKUP(B205,小圆机汇总表!A:AP,5,FALSE))</f>
        <v>黑</v>
      </c>
      <c r="F205" s="8" t="str">
        <f>IF(B205="","",VLOOKUP(B205,小圆机汇总表!A:AP,8,FALSE))</f>
        <v>固力</v>
      </c>
      <c r="G205" s="23">
        <v>43752</v>
      </c>
      <c r="H205" s="8">
        <v>166</v>
      </c>
      <c r="I205" s="8">
        <v>8</v>
      </c>
      <c r="K205" s="8" t="s">
        <v>1133</v>
      </c>
      <c r="M205" s="250">
        <f t="shared" si="3"/>
        <v>10</v>
      </c>
    </row>
    <row r="206" spans="1:13" hidden="1" outlineLevel="1">
      <c r="A206" s="4">
        <v>206</v>
      </c>
      <c r="B206" s="8" t="s">
        <v>112</v>
      </c>
      <c r="C206" s="8" t="str">
        <f>IF(B206="","",VLOOKUP(B206,小圆机汇总表!A:AP,2,FALSE))</f>
        <v>A5035w黑</v>
      </c>
      <c r="D206" s="8">
        <f>IF(B206="","",VLOOKUP(B206,小圆机汇总表!A:AP,7,FALSE))</f>
        <v>35</v>
      </c>
      <c r="E206" s="8" t="str">
        <f>IF(B206="","",VLOOKUP(B206,小圆机汇总表!A:AP,5,FALSE))</f>
        <v>黑</v>
      </c>
      <c r="F206" s="8" t="str">
        <f>IF(B206="","",VLOOKUP(B206,小圆机汇总表!A:AP,8,FALSE))</f>
        <v>固力</v>
      </c>
      <c r="G206" s="23">
        <v>43752</v>
      </c>
      <c r="H206" s="8">
        <v>727.6</v>
      </c>
      <c r="I206" s="8">
        <v>33</v>
      </c>
      <c r="K206" s="8" t="s">
        <v>1134</v>
      </c>
      <c r="M206" s="250">
        <f t="shared" si="3"/>
        <v>10</v>
      </c>
    </row>
    <row r="207" spans="1:13" hidden="1" outlineLevel="1">
      <c r="A207" s="4">
        <v>207</v>
      </c>
      <c r="B207" s="8" t="s">
        <v>47</v>
      </c>
      <c r="C207" s="8" t="str">
        <f>IF(B207="","",VLOOKUP(B207,小圆机汇总表!A:AP,2,FALSE))</f>
        <v>A5035w</v>
      </c>
      <c r="D207" s="8">
        <f>IF(B207="","",VLOOKUP(B207,小圆机汇总表!A:AP,7,FALSE))</f>
        <v>35</v>
      </c>
      <c r="E207" s="8" t="str">
        <f>IF(B207="","",VLOOKUP(B207,小圆机汇总表!A:AP,5,FALSE))</f>
        <v>白</v>
      </c>
      <c r="F207" s="8" t="str">
        <f>IF(B207="","",VLOOKUP(B207,小圆机汇总表!A:AP,8,FALSE))</f>
        <v>长乐</v>
      </c>
      <c r="G207" s="23">
        <v>43752</v>
      </c>
      <c r="H207" s="8">
        <v>163.19999999999999</v>
      </c>
      <c r="I207" s="8">
        <v>8</v>
      </c>
      <c r="K207" s="8" t="s">
        <v>1135</v>
      </c>
      <c r="M207" s="250">
        <f t="shared" si="3"/>
        <v>10</v>
      </c>
    </row>
    <row r="208" spans="1:13" hidden="1" outlineLevel="1">
      <c r="A208" s="4">
        <v>208</v>
      </c>
      <c r="B208" s="8" t="s">
        <v>114</v>
      </c>
      <c r="C208" s="8" t="str">
        <f>IF(B208="","",VLOOKUP(B208,小圆机汇总表!A:AP,2,FALSE))</f>
        <v>A5035大W</v>
      </c>
      <c r="D208" s="8">
        <f>IF(B208="","",VLOOKUP(B208,小圆机汇总表!A:AP,7,FALSE))</f>
        <v>35</v>
      </c>
      <c r="E208" s="8" t="str">
        <f>IF(B208="","",VLOOKUP(B208,小圆机汇总表!A:AP,5,FALSE))</f>
        <v>白</v>
      </c>
      <c r="F208" s="8" t="str">
        <f>IF(B208="","",VLOOKUP(B208,小圆机汇总表!A:AP,8,FALSE))</f>
        <v>长乐</v>
      </c>
      <c r="G208" s="23">
        <v>43752</v>
      </c>
      <c r="H208" s="8">
        <v>156.69999999999999</v>
      </c>
      <c r="I208" s="8">
        <v>8</v>
      </c>
      <c r="K208" s="8" t="s">
        <v>1136</v>
      </c>
      <c r="M208" s="250">
        <f t="shared" si="3"/>
        <v>10</v>
      </c>
    </row>
    <row r="209" spans="1:13" hidden="1" outlineLevel="1">
      <c r="A209" s="4">
        <v>209</v>
      </c>
      <c r="B209" s="8" t="s">
        <v>68</v>
      </c>
      <c r="C209" s="8" t="str">
        <f>IF(B209="","",VLOOKUP(B209,小圆机汇总表!A:AP,2,FALSE))</f>
        <v>A5036直平纹</v>
      </c>
      <c r="D209" s="8">
        <f>IF(B209="","",VLOOKUP(B209,小圆机汇总表!A:AP,7,FALSE))</f>
        <v>36</v>
      </c>
      <c r="E209" s="8" t="str">
        <f>IF(B209="","",VLOOKUP(B209,小圆机汇总表!A:AP,5,FALSE))</f>
        <v>白</v>
      </c>
      <c r="F209" s="8" t="str">
        <f>IF(B209="","",VLOOKUP(B209,小圆机汇总表!A:AP,8,FALSE))</f>
        <v>长乐</v>
      </c>
      <c r="G209" s="23">
        <v>43752</v>
      </c>
      <c r="H209" s="8">
        <v>176.4</v>
      </c>
      <c r="I209" s="8">
        <v>9</v>
      </c>
      <c r="K209" s="8" t="s">
        <v>1136</v>
      </c>
      <c r="M209" s="250">
        <f t="shared" si="3"/>
        <v>10</v>
      </c>
    </row>
    <row r="210" spans="1:13" hidden="1" outlineLevel="1">
      <c r="A210" s="4">
        <v>210</v>
      </c>
      <c r="B210" s="8" t="s">
        <v>116</v>
      </c>
      <c r="C210" s="8" t="str">
        <f>IF(B210="","",VLOOKUP(B210,小圆机汇总表!A:AP,2,FALSE))</f>
        <v>B5036大W高温丝</v>
      </c>
      <c r="D210" s="8">
        <f>IF(B210="","",VLOOKUP(B210,小圆机汇总表!A:AP,7,FALSE))</f>
        <v>36</v>
      </c>
      <c r="E210" s="8" t="str">
        <f>IF(B210="","",VLOOKUP(B210,小圆机汇总表!A:AP,5,FALSE))</f>
        <v>白高温</v>
      </c>
      <c r="F210" s="8" t="str">
        <f>IF(B210="","",VLOOKUP(B210,小圆机汇总表!A:AP,8,FALSE))</f>
        <v>长乐</v>
      </c>
      <c r="G210" s="23">
        <v>43752</v>
      </c>
      <c r="H210" s="8">
        <v>440.1</v>
      </c>
      <c r="I210" s="8">
        <v>22</v>
      </c>
      <c r="K210" s="8" t="s">
        <v>1137</v>
      </c>
      <c r="M210" s="250">
        <f t="shared" si="3"/>
        <v>10</v>
      </c>
    </row>
    <row r="211" spans="1:13" hidden="1" outlineLevel="1">
      <c r="A211" s="4">
        <v>211</v>
      </c>
      <c r="B211" s="8" t="s">
        <v>70</v>
      </c>
      <c r="C211" s="8" t="str">
        <f>IF(B211="","",VLOOKUP(B211,小圆机汇总表!A:AP,2,FALSE))</f>
        <v>A5038w</v>
      </c>
      <c r="D211" s="8">
        <f>IF(B211="","",VLOOKUP(B211,小圆机汇总表!A:AP,7,FALSE))</f>
        <v>38</v>
      </c>
      <c r="E211" s="8" t="str">
        <f>IF(B211="","",VLOOKUP(B211,小圆机汇总表!A:AP,5,FALSE))</f>
        <v>白</v>
      </c>
      <c r="F211" s="8" t="str">
        <f>IF(B211="","",VLOOKUP(B211,小圆机汇总表!A:AP,8,FALSE))</f>
        <v>长乐</v>
      </c>
      <c r="G211" s="23">
        <v>43752</v>
      </c>
      <c r="H211" s="8">
        <v>91.9</v>
      </c>
      <c r="I211" s="8">
        <v>6</v>
      </c>
      <c r="K211" s="8" t="s">
        <v>1138</v>
      </c>
      <c r="M211" s="250">
        <f t="shared" si="3"/>
        <v>10</v>
      </c>
    </row>
    <row r="212" spans="1:13" hidden="1" outlineLevel="1">
      <c r="A212" s="4">
        <v>212</v>
      </c>
      <c r="B212" s="8" t="s">
        <v>1142</v>
      </c>
      <c r="C212" s="8" t="str">
        <f>IF(B212="","",VLOOKUP(B212,小圆机汇总表!A:AP,2,FALSE))</f>
        <v>A5040w</v>
      </c>
      <c r="D212" s="8">
        <f>IF(B212="","",VLOOKUP(B212,小圆机汇总表!A:AP,7,FALSE))</f>
        <v>40</v>
      </c>
      <c r="E212" s="8" t="str">
        <f>IF(B212="","",VLOOKUP(B212,小圆机汇总表!A:AP,5,FALSE))</f>
        <v>白</v>
      </c>
      <c r="F212" s="8" t="str">
        <f>IF(B212="","",VLOOKUP(B212,小圆机汇总表!A:AP,8,FALSE))</f>
        <v>长乐</v>
      </c>
      <c r="G212" s="23">
        <v>43752</v>
      </c>
      <c r="H212" s="8">
        <v>122.1</v>
      </c>
      <c r="I212" s="8">
        <v>6</v>
      </c>
      <c r="K212" s="8" t="s">
        <v>1141</v>
      </c>
      <c r="M212" s="250">
        <f t="shared" si="3"/>
        <v>10</v>
      </c>
    </row>
    <row r="213" spans="1:13" hidden="1" outlineLevel="1">
      <c r="A213" s="4">
        <v>213</v>
      </c>
      <c r="B213" s="8" t="s">
        <v>749</v>
      </c>
      <c r="C213" s="8" t="str">
        <f>IF(B213="","",VLOOKUP(B213,小圆机汇总表!A:AP,2,FALSE))</f>
        <v>C7542大W 白丝</v>
      </c>
      <c r="D213" s="8">
        <f>IF(B213="","",VLOOKUP(B213,小圆机汇总表!A:AP,7,FALSE))</f>
        <v>42</v>
      </c>
      <c r="E213" s="8" t="str">
        <f>IF(B213="","",VLOOKUP(B213,小圆机汇总表!A:AP,5,FALSE))</f>
        <v>白高温</v>
      </c>
      <c r="F213" s="8" t="str">
        <f>IF(B213="","",VLOOKUP(B213,小圆机汇总表!A:AP,8,FALSE))</f>
        <v>申久</v>
      </c>
      <c r="G213" s="23">
        <v>43752</v>
      </c>
      <c r="H213" s="8">
        <v>40.4</v>
      </c>
      <c r="I213" s="8">
        <v>2</v>
      </c>
      <c r="K213" s="8" t="s">
        <v>1137</v>
      </c>
      <c r="M213" s="250">
        <f t="shared" si="3"/>
        <v>10</v>
      </c>
    </row>
    <row r="214" spans="1:13" hidden="1" outlineLevel="1">
      <c r="A214" s="4">
        <v>214</v>
      </c>
      <c r="B214" s="8" t="s">
        <v>128</v>
      </c>
      <c r="C214" s="8" t="str">
        <f>IF(B214="","",VLOOKUP(B214,小圆机汇总表!A:AP,2,FALSE))</f>
        <v>A7545斜乱平纹</v>
      </c>
      <c r="D214" s="8">
        <f>IF(B214="","",VLOOKUP(B214,小圆机汇总表!A:AP,7,FALSE))</f>
        <v>45</v>
      </c>
      <c r="E214" s="8" t="str">
        <f>IF(B214="","",VLOOKUP(B214,小圆机汇总表!A:AP,5,FALSE))</f>
        <v>白</v>
      </c>
      <c r="F214" s="8" t="str">
        <f>IF(B214="","",VLOOKUP(B214,小圆机汇总表!A:AP,8,FALSE))</f>
        <v>长乐</v>
      </c>
      <c r="G214" s="23">
        <v>43752</v>
      </c>
      <c r="H214" s="8">
        <v>783.2</v>
      </c>
      <c r="I214" s="8">
        <v>39</v>
      </c>
      <c r="K214" s="8" t="s">
        <v>1139</v>
      </c>
      <c r="M214" s="250">
        <f t="shared" si="3"/>
        <v>10</v>
      </c>
    </row>
    <row r="215" spans="1:13" hidden="1" outlineLevel="1">
      <c r="A215" s="4">
        <v>215</v>
      </c>
      <c r="B215" s="8" t="s">
        <v>129</v>
      </c>
      <c r="C215" s="8" t="str">
        <f>IF(B215="","",VLOOKUP(B215,小圆机汇总表!A:AP,2,FALSE))</f>
        <v>A7548斜乱平纹</v>
      </c>
      <c r="D215" s="8">
        <f>IF(B215="","",VLOOKUP(B215,小圆机汇总表!A:AP,7,FALSE))</f>
        <v>48</v>
      </c>
      <c r="E215" s="8" t="str">
        <f>IF(B215="","",VLOOKUP(B215,小圆机汇总表!A:AP,5,FALSE))</f>
        <v>白高温</v>
      </c>
      <c r="F215" s="8" t="str">
        <f>IF(B215="","",VLOOKUP(B215,小圆机汇总表!A:AP,8,FALSE))</f>
        <v>长乐</v>
      </c>
      <c r="G215" s="23">
        <v>43752</v>
      </c>
      <c r="H215" s="8">
        <v>142.1</v>
      </c>
      <c r="I215" s="8">
        <v>7</v>
      </c>
      <c r="K215" s="8" t="s">
        <v>1129</v>
      </c>
      <c r="M215" s="250">
        <f t="shared" si="3"/>
        <v>10</v>
      </c>
    </row>
    <row r="216" spans="1:13" hidden="1" outlineLevel="1">
      <c r="A216" s="4">
        <v>216</v>
      </c>
      <c r="B216" s="8" t="s">
        <v>104</v>
      </c>
      <c r="C216" s="8" t="str">
        <f>IF(B216="","",VLOOKUP(B216,小圆机汇总表!A:AP,2,FALSE))</f>
        <v>B7549w</v>
      </c>
      <c r="D216" s="8">
        <f>IF(B216="","",VLOOKUP(B216,小圆机汇总表!A:AP,7,FALSE))</f>
        <v>49</v>
      </c>
      <c r="E216" s="8" t="str">
        <f>IF(B216="","",VLOOKUP(B216,小圆机汇总表!A:AP,5,FALSE))</f>
        <v>白</v>
      </c>
      <c r="F216" s="8" t="str">
        <f>IF(B216="","",VLOOKUP(B216,小圆机汇总表!A:AP,8,FALSE))</f>
        <v>长乐</v>
      </c>
      <c r="G216" s="23">
        <v>43752</v>
      </c>
      <c r="H216" s="8">
        <v>121.8</v>
      </c>
      <c r="I216" s="8">
        <v>6</v>
      </c>
      <c r="K216" s="8" t="s">
        <v>1140</v>
      </c>
      <c r="M216" s="250">
        <f t="shared" si="3"/>
        <v>10</v>
      </c>
    </row>
    <row r="217" spans="1:13" hidden="1" outlineLevel="1">
      <c r="A217" s="4">
        <v>217</v>
      </c>
      <c r="B217" s="8" t="s">
        <v>990</v>
      </c>
      <c r="C217" s="8" t="str">
        <f>IF(B217="","",VLOOKUP(B217,小圆机汇总表!A:AP,2,FALSE))</f>
        <v>B7543大W</v>
      </c>
      <c r="D217" s="8">
        <f>IF(B217="","",VLOOKUP(B217,小圆机汇总表!A:AP,7,FALSE))</f>
        <v>43</v>
      </c>
      <c r="E217" s="8" t="str">
        <f>IF(B217="","",VLOOKUP(B217,小圆机汇总表!A:AP,5,FALSE))</f>
        <v>白</v>
      </c>
      <c r="F217" s="8" t="str">
        <f>IF(B217="","",VLOOKUP(B217,小圆机汇总表!A:AP,8,FALSE))</f>
        <v>长乐</v>
      </c>
      <c r="G217" s="23">
        <v>43752</v>
      </c>
      <c r="H217" s="8">
        <v>271.10000000000002</v>
      </c>
      <c r="I217" s="8">
        <v>13</v>
      </c>
      <c r="K217" s="8" t="s">
        <v>1133</v>
      </c>
      <c r="M217" s="250">
        <f t="shared" si="3"/>
        <v>10</v>
      </c>
    </row>
    <row r="218" spans="1:13" hidden="1" outlineLevel="1">
      <c r="A218" s="4">
        <v>218</v>
      </c>
      <c r="B218" s="8" t="s">
        <v>1127</v>
      </c>
      <c r="C218" s="8" t="str">
        <f>IF(B218="","",VLOOKUP(B218,小圆机汇总表!A:AP,2,FALSE))</f>
        <v>B3023乱平纹</v>
      </c>
      <c r="D218" s="8">
        <f>IF(B218="","",VLOOKUP(B218,小圆机汇总表!A:AP,7,FALSE))</f>
        <v>23</v>
      </c>
      <c r="E218" s="8" t="str">
        <f>IF(B218="","",VLOOKUP(B218,小圆机汇总表!A:AP,5,FALSE))</f>
        <v>白</v>
      </c>
      <c r="F218" s="8" t="str">
        <f>IF(B218="","",VLOOKUP(B218,小圆机汇总表!A:AP,8,FALSE))</f>
        <v>银宇</v>
      </c>
      <c r="G218" s="23">
        <v>43753</v>
      </c>
      <c r="H218" s="8">
        <v>56.7</v>
      </c>
      <c r="I218" s="8">
        <v>3</v>
      </c>
      <c r="K218" s="8" t="s">
        <v>980</v>
      </c>
      <c r="M218" s="250">
        <f t="shared" si="3"/>
        <v>10</v>
      </c>
    </row>
    <row r="219" spans="1:13" hidden="1" outlineLevel="1">
      <c r="A219" s="4">
        <v>219</v>
      </c>
      <c r="B219" s="8" t="s">
        <v>239</v>
      </c>
      <c r="C219" s="8" t="str">
        <f>IF(B219="","",VLOOKUP(B219,小圆机汇总表!A:AP,2,FALSE))</f>
        <v>B3023乱平纹</v>
      </c>
      <c r="D219" s="8">
        <f>IF(B219="","",VLOOKUP(B219,小圆机汇总表!A:AP,7,FALSE))</f>
        <v>23</v>
      </c>
      <c r="E219" s="8" t="str">
        <f>IF(B219="","",VLOOKUP(B219,小圆机汇总表!A:AP,5,FALSE))</f>
        <v>白</v>
      </c>
      <c r="F219" s="8" t="str">
        <f>IF(B219="","",VLOOKUP(B219,小圆机汇总表!A:AP,8,FALSE))</f>
        <v>长乐</v>
      </c>
      <c r="G219" s="23">
        <v>43753</v>
      </c>
      <c r="H219" s="8">
        <v>58.8</v>
      </c>
      <c r="I219" s="8">
        <v>3</v>
      </c>
      <c r="K219" s="8" t="s">
        <v>980</v>
      </c>
      <c r="M219" s="250">
        <f t="shared" si="3"/>
        <v>10</v>
      </c>
    </row>
    <row r="220" spans="1:13" hidden="1" outlineLevel="1">
      <c r="A220" s="4">
        <v>220</v>
      </c>
      <c r="B220" s="8" t="s">
        <v>998</v>
      </c>
      <c r="C220" s="8" t="str">
        <f>IF(B220="","",VLOOKUP(B220,小圆机汇总表!A:AP,2,FALSE))</f>
        <v>A5032大W</v>
      </c>
      <c r="D220" s="8">
        <f>IF(B220="","",VLOOKUP(B220,小圆机汇总表!A:AP,7,FALSE))</f>
        <v>32</v>
      </c>
      <c r="E220" s="8" t="str">
        <f>IF(B220="","",VLOOKUP(B220,小圆机汇总表!A:AP,5,FALSE))</f>
        <v>白</v>
      </c>
      <c r="F220" s="8" t="str">
        <f>IF(B220="","",VLOOKUP(B220,小圆机汇总表!A:AP,8,FALSE))</f>
        <v>长乐</v>
      </c>
      <c r="G220" s="23">
        <v>43753</v>
      </c>
      <c r="H220" s="8">
        <v>80.8</v>
      </c>
      <c r="I220" s="8">
        <v>4</v>
      </c>
      <c r="K220" s="8" t="s">
        <v>1129</v>
      </c>
      <c r="M220" s="250">
        <f t="shared" si="3"/>
        <v>10</v>
      </c>
    </row>
    <row r="221" spans="1:13" hidden="1" outlineLevel="1">
      <c r="A221" s="4">
        <v>221</v>
      </c>
      <c r="B221" s="8" t="s">
        <v>121</v>
      </c>
      <c r="C221" s="8" t="str">
        <f>IF(B221="","",VLOOKUP(B221,小圆机汇总表!A:AP,2,FALSE))</f>
        <v>A5032w</v>
      </c>
      <c r="D221" s="8">
        <f>IF(B221="","",VLOOKUP(B221,小圆机汇总表!A:AP,7,FALSE))</f>
        <v>32</v>
      </c>
      <c r="E221" s="8" t="str">
        <f>IF(B221="","",VLOOKUP(B221,小圆机汇总表!A:AP,5,FALSE))</f>
        <v>白</v>
      </c>
      <c r="F221" s="8" t="str">
        <f>IF(B221="","",VLOOKUP(B221,小圆机汇总表!A:AP,8,FALSE))</f>
        <v>长乐</v>
      </c>
      <c r="G221" s="23">
        <v>43753</v>
      </c>
      <c r="H221" s="8">
        <v>836.5</v>
      </c>
      <c r="I221" s="8">
        <v>42</v>
      </c>
      <c r="K221" s="8" t="s">
        <v>1130</v>
      </c>
      <c r="M221" s="250">
        <f t="shared" si="3"/>
        <v>10</v>
      </c>
    </row>
    <row r="222" spans="1:13" hidden="1" outlineLevel="1">
      <c r="A222" s="4">
        <v>222</v>
      </c>
      <c r="B222" s="8" t="s">
        <v>122</v>
      </c>
      <c r="C222" s="8" t="str">
        <f>IF(B222="","",VLOOKUP(B222,小圆机汇总表!A:AP,2,FALSE))</f>
        <v>B5034大W</v>
      </c>
      <c r="D222" s="8">
        <f>IF(B222="","",VLOOKUP(B222,小圆机汇总表!A:AP,7,FALSE))</f>
        <v>34</v>
      </c>
      <c r="E222" s="8" t="str">
        <f>IF(B222="","",VLOOKUP(B222,小圆机汇总表!A:AP,5,FALSE))</f>
        <v>白高温</v>
      </c>
      <c r="F222" s="8" t="str">
        <f>IF(B222="","",VLOOKUP(B222,小圆机汇总表!A:AP,8,FALSE))</f>
        <v>长乐</v>
      </c>
      <c r="G222" s="23">
        <v>43753</v>
      </c>
      <c r="H222" s="8">
        <v>957.9</v>
      </c>
      <c r="I222" s="8">
        <v>48</v>
      </c>
      <c r="K222" s="8" t="s">
        <v>1137</v>
      </c>
      <c r="M222" s="250">
        <f t="shared" si="3"/>
        <v>10</v>
      </c>
    </row>
    <row r="223" spans="1:13" hidden="1" outlineLevel="1">
      <c r="A223" s="4">
        <v>223</v>
      </c>
      <c r="B223" s="8" t="s">
        <v>123</v>
      </c>
      <c r="C223" s="8" t="str">
        <f>IF(B223="","",VLOOKUP(B223,小圆机汇总表!A:AP,2,FALSE))</f>
        <v>B7539斜乱平纹</v>
      </c>
      <c r="D223" s="8">
        <f>IF(B223="","",VLOOKUP(B223,小圆机汇总表!A:AP,7,FALSE))</f>
        <v>39</v>
      </c>
      <c r="E223" s="8" t="str">
        <f>IF(B223="","",VLOOKUP(B223,小圆机汇总表!A:AP,5,FALSE))</f>
        <v>白</v>
      </c>
      <c r="F223" s="8" t="str">
        <f>IF(B223="","",VLOOKUP(B223,小圆机汇总表!A:AP,8,FALSE))</f>
        <v>盛元</v>
      </c>
      <c r="G223" s="23">
        <v>43753</v>
      </c>
      <c r="H223" s="8">
        <v>307.5</v>
      </c>
      <c r="I223" s="8">
        <v>15</v>
      </c>
      <c r="K223" s="8" t="s">
        <v>1129</v>
      </c>
      <c r="M223" s="250">
        <f t="shared" si="3"/>
        <v>10</v>
      </c>
    </row>
    <row r="224" spans="1:13" hidden="1" outlineLevel="1">
      <c r="A224" s="4">
        <v>224</v>
      </c>
      <c r="B224" s="8" t="s">
        <v>961</v>
      </c>
      <c r="C224" s="8" t="str">
        <f>IF(B224="","",VLOOKUP(B224,小圆机汇总表!A:AP,2,FALSE))</f>
        <v>C5034w</v>
      </c>
      <c r="D224" s="8">
        <f>IF(B224="","",VLOOKUP(B224,小圆机汇总表!A:AP,7,FALSE))</f>
        <v>34</v>
      </c>
      <c r="E224" s="8" t="str">
        <f>IF(B224="","",VLOOKUP(B224,小圆机汇总表!A:AP,5,FALSE))</f>
        <v>白</v>
      </c>
      <c r="F224" s="8" t="str">
        <f>IF(B224="","",VLOOKUP(B224,小圆机汇总表!A:AP,8,FALSE))</f>
        <v>长乐</v>
      </c>
      <c r="G224" s="23">
        <v>43753</v>
      </c>
      <c r="H224" s="8">
        <v>251.7</v>
      </c>
      <c r="I224" s="8">
        <v>13</v>
      </c>
      <c r="K224" s="8" t="s">
        <v>1132</v>
      </c>
      <c r="M224" s="250">
        <f t="shared" si="3"/>
        <v>10</v>
      </c>
    </row>
    <row r="225" spans="1:13" hidden="1" outlineLevel="1">
      <c r="A225" s="4">
        <v>225</v>
      </c>
      <c r="B225" s="8" t="s">
        <v>975</v>
      </c>
      <c r="C225" s="8" t="str">
        <f>IF(B225="","",VLOOKUP(B225,小圆机汇总表!A:AP,2,FALSE))</f>
        <v>C5034w</v>
      </c>
      <c r="D225" s="8">
        <f>IF(B225="","",VLOOKUP(B225,小圆机汇总表!A:AP,7,FALSE))</f>
        <v>34</v>
      </c>
      <c r="E225" s="8" t="str">
        <f>IF(B225="","",VLOOKUP(B225,小圆机汇总表!A:AP,5,FALSE))</f>
        <v>黑</v>
      </c>
      <c r="F225" s="8" t="str">
        <f>IF(B225="","",VLOOKUP(B225,小圆机汇总表!A:AP,8,FALSE))</f>
        <v>固力</v>
      </c>
      <c r="G225" s="23">
        <v>43753</v>
      </c>
      <c r="H225" s="8">
        <v>166</v>
      </c>
      <c r="I225" s="8">
        <v>8</v>
      </c>
      <c r="K225" s="8" t="s">
        <v>1133</v>
      </c>
      <c r="M225" s="250">
        <f t="shared" si="3"/>
        <v>10</v>
      </c>
    </row>
    <row r="226" spans="1:13" hidden="1" outlineLevel="1">
      <c r="A226" s="4">
        <v>226</v>
      </c>
      <c r="B226" s="8" t="s">
        <v>112</v>
      </c>
      <c r="C226" s="8" t="str">
        <f>IF(B226="","",VLOOKUP(B226,小圆机汇总表!A:AP,2,FALSE))</f>
        <v>A5035w黑</v>
      </c>
      <c r="D226" s="8">
        <f>IF(B226="","",VLOOKUP(B226,小圆机汇总表!A:AP,7,FALSE))</f>
        <v>35</v>
      </c>
      <c r="E226" s="8" t="str">
        <f>IF(B226="","",VLOOKUP(B226,小圆机汇总表!A:AP,5,FALSE))</f>
        <v>黑</v>
      </c>
      <c r="F226" s="8" t="str">
        <f>IF(B226="","",VLOOKUP(B226,小圆机汇总表!A:AP,8,FALSE))</f>
        <v>固力</v>
      </c>
      <c r="G226" s="23">
        <v>43753</v>
      </c>
      <c r="H226" s="8">
        <v>652.20000000000005</v>
      </c>
      <c r="I226" s="8">
        <v>30</v>
      </c>
      <c r="K226" s="8" t="s">
        <v>1140</v>
      </c>
      <c r="M226" s="250">
        <f t="shared" si="3"/>
        <v>10</v>
      </c>
    </row>
    <row r="227" spans="1:13" hidden="1" outlineLevel="1">
      <c r="A227" s="4">
        <v>227</v>
      </c>
      <c r="B227" s="8" t="s">
        <v>47</v>
      </c>
      <c r="C227" s="8" t="str">
        <f>IF(B227="","",VLOOKUP(B227,小圆机汇总表!A:AP,2,FALSE))</f>
        <v>A5035w</v>
      </c>
      <c r="D227" s="8">
        <f>IF(B227="","",VLOOKUP(B227,小圆机汇总表!A:AP,7,FALSE))</f>
        <v>35</v>
      </c>
      <c r="E227" s="8" t="str">
        <f>IF(B227="","",VLOOKUP(B227,小圆机汇总表!A:AP,5,FALSE))</f>
        <v>白</v>
      </c>
      <c r="F227" s="8" t="str">
        <f>IF(B227="","",VLOOKUP(B227,小圆机汇总表!A:AP,8,FALSE))</f>
        <v>长乐</v>
      </c>
      <c r="G227" s="23">
        <v>43753</v>
      </c>
      <c r="H227" s="8">
        <v>163.19999999999999</v>
      </c>
      <c r="I227" s="8">
        <v>8</v>
      </c>
      <c r="K227" s="8" t="s">
        <v>1135</v>
      </c>
      <c r="M227" s="250">
        <f t="shared" si="3"/>
        <v>10</v>
      </c>
    </row>
    <row r="228" spans="1:13" hidden="1" outlineLevel="1">
      <c r="A228" s="4">
        <v>228</v>
      </c>
      <c r="B228" s="8" t="s">
        <v>114</v>
      </c>
      <c r="C228" s="8" t="str">
        <f>IF(B228="","",VLOOKUP(B228,小圆机汇总表!A:AP,2,FALSE))</f>
        <v>A5035大W</v>
      </c>
      <c r="D228" s="8">
        <f>IF(B228="","",VLOOKUP(B228,小圆机汇总表!A:AP,7,FALSE))</f>
        <v>35</v>
      </c>
      <c r="E228" s="8" t="str">
        <f>IF(B228="","",VLOOKUP(B228,小圆机汇总表!A:AP,5,FALSE))</f>
        <v>白</v>
      </c>
      <c r="F228" s="8" t="str">
        <f>IF(B228="","",VLOOKUP(B228,小圆机汇总表!A:AP,8,FALSE))</f>
        <v>长乐</v>
      </c>
      <c r="G228" s="23">
        <v>43753</v>
      </c>
      <c r="H228" s="8">
        <v>160</v>
      </c>
      <c r="I228" s="8">
        <v>8</v>
      </c>
      <c r="K228" s="8" t="s">
        <v>1136</v>
      </c>
      <c r="M228" s="250">
        <f t="shared" si="3"/>
        <v>10</v>
      </c>
    </row>
    <row r="229" spans="1:13" hidden="1" outlineLevel="1">
      <c r="A229" s="4">
        <v>229</v>
      </c>
      <c r="B229" s="8" t="s">
        <v>68</v>
      </c>
      <c r="C229" s="8" t="str">
        <f>IF(B229="","",VLOOKUP(B229,小圆机汇总表!A:AP,2,FALSE))</f>
        <v>A5036直平纹</v>
      </c>
      <c r="D229" s="8">
        <f>IF(B229="","",VLOOKUP(B229,小圆机汇总表!A:AP,7,FALSE))</f>
        <v>36</v>
      </c>
      <c r="E229" s="8" t="str">
        <f>IF(B229="","",VLOOKUP(B229,小圆机汇总表!A:AP,5,FALSE))</f>
        <v>白</v>
      </c>
      <c r="F229" s="8" t="str">
        <f>IF(B229="","",VLOOKUP(B229,小圆机汇总表!A:AP,8,FALSE))</f>
        <v>长乐</v>
      </c>
      <c r="G229" s="23">
        <v>43753</v>
      </c>
      <c r="H229" s="8">
        <v>176.4</v>
      </c>
      <c r="I229" s="8">
        <v>9</v>
      </c>
      <c r="K229" s="8" t="s">
        <v>1136</v>
      </c>
      <c r="M229" s="250">
        <f t="shared" si="3"/>
        <v>10</v>
      </c>
    </row>
    <row r="230" spans="1:13" hidden="1" outlineLevel="1">
      <c r="A230" s="4">
        <v>230</v>
      </c>
      <c r="B230" s="8" t="s">
        <v>116</v>
      </c>
      <c r="C230" s="8" t="str">
        <f>IF(B230="","",VLOOKUP(B230,小圆机汇总表!A:AP,2,FALSE))</f>
        <v>B5036大W高温丝</v>
      </c>
      <c r="D230" s="8">
        <f>IF(B230="","",VLOOKUP(B230,小圆机汇总表!A:AP,7,FALSE))</f>
        <v>36</v>
      </c>
      <c r="E230" s="8" t="str">
        <f>IF(B230="","",VLOOKUP(B230,小圆机汇总表!A:AP,5,FALSE))</f>
        <v>白高温</v>
      </c>
      <c r="F230" s="8" t="str">
        <f>IF(B230="","",VLOOKUP(B230,小圆机汇总表!A:AP,8,FALSE))</f>
        <v>长乐</v>
      </c>
      <c r="G230" s="23">
        <v>43753</v>
      </c>
      <c r="H230" s="8">
        <v>463.3</v>
      </c>
      <c r="I230" s="8">
        <v>23</v>
      </c>
      <c r="K230" s="8" t="s">
        <v>1137</v>
      </c>
      <c r="M230" s="250">
        <f t="shared" si="3"/>
        <v>10</v>
      </c>
    </row>
    <row r="231" spans="1:13" hidden="1" outlineLevel="1">
      <c r="A231" s="4">
        <v>231</v>
      </c>
      <c r="B231" s="8" t="s">
        <v>1146</v>
      </c>
      <c r="C231" s="8" t="str">
        <f>IF(B231="","",VLOOKUP(B231,小圆机汇总表!A:AP,2,FALSE))</f>
        <v>A5042w</v>
      </c>
      <c r="D231" s="8">
        <f>IF(B231="","",VLOOKUP(B231,小圆机汇总表!A:AP,7,FALSE))</f>
        <v>42</v>
      </c>
      <c r="E231" s="8" t="str">
        <f>IF(B231="","",VLOOKUP(B231,小圆机汇总表!A:AP,5,FALSE))</f>
        <v>白</v>
      </c>
      <c r="F231" s="8" t="str">
        <f>IF(B231="","",VLOOKUP(B231,小圆机汇总表!A:AP,8,FALSE))</f>
        <v>长乐</v>
      </c>
      <c r="G231" s="23">
        <v>43753</v>
      </c>
      <c r="H231" s="8">
        <v>78</v>
      </c>
      <c r="I231" s="8">
        <v>4</v>
      </c>
      <c r="K231" s="8" t="s">
        <v>1135</v>
      </c>
      <c r="M231" s="250">
        <f t="shared" si="3"/>
        <v>10</v>
      </c>
    </row>
    <row r="232" spans="1:13" hidden="1" outlineLevel="1">
      <c r="A232" s="4">
        <v>232</v>
      </c>
      <c r="B232" s="8" t="s">
        <v>1142</v>
      </c>
      <c r="C232" s="8" t="str">
        <f>IF(B232="","",VLOOKUP(B232,小圆机汇总表!A:AP,2,FALSE))</f>
        <v>A5040w</v>
      </c>
      <c r="D232" s="8">
        <f>IF(B232="","",VLOOKUP(B232,小圆机汇总表!A:AP,7,FALSE))</f>
        <v>40</v>
      </c>
      <c r="E232" s="8" t="str">
        <f>IF(B232="","",VLOOKUP(B232,小圆机汇总表!A:AP,5,FALSE))</f>
        <v>白</v>
      </c>
      <c r="F232" s="8" t="str">
        <f>IF(B232="","",VLOOKUP(B232,小圆机汇总表!A:AP,8,FALSE))</f>
        <v>长乐</v>
      </c>
      <c r="G232" s="23">
        <v>43753</v>
      </c>
      <c r="H232" s="8">
        <v>122.1</v>
      </c>
      <c r="I232" s="8">
        <v>6</v>
      </c>
      <c r="K232" s="8" t="s">
        <v>1141</v>
      </c>
      <c r="M232" s="250">
        <f t="shared" si="3"/>
        <v>10</v>
      </c>
    </row>
    <row r="233" spans="1:13" hidden="1" outlineLevel="1">
      <c r="A233" s="4">
        <v>233</v>
      </c>
      <c r="B233" s="8" t="s">
        <v>749</v>
      </c>
      <c r="C233" s="8" t="str">
        <f>IF(B233="","",VLOOKUP(B233,小圆机汇总表!A:AP,2,FALSE))</f>
        <v>C7542大W 白丝</v>
      </c>
      <c r="D233" s="8">
        <f>IF(B233="","",VLOOKUP(B233,小圆机汇总表!A:AP,7,FALSE))</f>
        <v>42</v>
      </c>
      <c r="E233" s="8" t="str">
        <f>IF(B233="","",VLOOKUP(B233,小圆机汇总表!A:AP,5,FALSE))</f>
        <v>白高温</v>
      </c>
      <c r="F233" s="8" t="str">
        <f>IF(B233="","",VLOOKUP(B233,小圆机汇总表!A:AP,8,FALSE))</f>
        <v>申久</v>
      </c>
      <c r="G233" s="23">
        <v>43753</v>
      </c>
      <c r="H233" s="8">
        <v>121.2</v>
      </c>
      <c r="I233" s="8">
        <v>6</v>
      </c>
      <c r="K233" s="8" t="s">
        <v>1137</v>
      </c>
      <c r="M233" s="250">
        <f t="shared" si="3"/>
        <v>10</v>
      </c>
    </row>
    <row r="234" spans="1:13" hidden="1" outlineLevel="1">
      <c r="A234" s="4">
        <v>234</v>
      </c>
      <c r="B234" s="8" t="s">
        <v>128</v>
      </c>
      <c r="C234" s="8" t="str">
        <f>IF(B234="","",VLOOKUP(B234,小圆机汇总表!A:AP,2,FALSE))</f>
        <v>A7545斜乱平纹</v>
      </c>
      <c r="D234" s="8">
        <f>IF(B234="","",VLOOKUP(B234,小圆机汇总表!A:AP,7,FALSE))</f>
        <v>45</v>
      </c>
      <c r="E234" s="8" t="str">
        <f>IF(B234="","",VLOOKUP(B234,小圆机汇总表!A:AP,5,FALSE))</f>
        <v>白</v>
      </c>
      <c r="F234" s="8" t="str">
        <f>IF(B234="","",VLOOKUP(B234,小圆机汇总表!A:AP,8,FALSE))</f>
        <v>长乐</v>
      </c>
      <c r="G234" s="23">
        <v>43753</v>
      </c>
      <c r="H234" s="8">
        <v>763.2</v>
      </c>
      <c r="I234" s="8">
        <v>38</v>
      </c>
      <c r="K234" s="8" t="s">
        <v>1139</v>
      </c>
      <c r="M234" s="250">
        <f t="shared" si="3"/>
        <v>10</v>
      </c>
    </row>
    <row r="235" spans="1:13" hidden="1" outlineLevel="1">
      <c r="A235" s="4">
        <v>235</v>
      </c>
      <c r="B235" s="8" t="s">
        <v>129</v>
      </c>
      <c r="C235" s="8" t="str">
        <f>IF(B235="","",VLOOKUP(B235,小圆机汇总表!A:AP,2,FALSE))</f>
        <v>A7548斜乱平纹</v>
      </c>
      <c r="D235" s="8">
        <f>IF(B235="","",VLOOKUP(B235,小圆机汇总表!A:AP,7,FALSE))</f>
        <v>48</v>
      </c>
      <c r="E235" s="8" t="str">
        <f>IF(B235="","",VLOOKUP(B235,小圆机汇总表!A:AP,5,FALSE))</f>
        <v>白高温</v>
      </c>
      <c r="F235" s="8" t="str">
        <f>IF(B235="","",VLOOKUP(B235,小圆机汇总表!A:AP,8,FALSE))</f>
        <v>长乐</v>
      </c>
      <c r="G235" s="23">
        <v>43753</v>
      </c>
      <c r="H235" s="8">
        <v>142.1</v>
      </c>
      <c r="I235" s="8">
        <v>7</v>
      </c>
      <c r="K235" s="8" t="s">
        <v>1129</v>
      </c>
      <c r="M235" s="250">
        <f t="shared" si="3"/>
        <v>10</v>
      </c>
    </row>
    <row r="236" spans="1:13" hidden="1" outlineLevel="1">
      <c r="A236" s="4">
        <v>236</v>
      </c>
      <c r="B236" s="8" t="s">
        <v>104</v>
      </c>
      <c r="C236" s="8" t="str">
        <f>IF(B236="","",VLOOKUP(B236,小圆机汇总表!A:AP,2,FALSE))</f>
        <v>B7549w</v>
      </c>
      <c r="D236" s="8">
        <f>IF(B236="","",VLOOKUP(B236,小圆机汇总表!A:AP,7,FALSE))</f>
        <v>49</v>
      </c>
      <c r="E236" s="8" t="str">
        <f>IF(B236="","",VLOOKUP(B236,小圆机汇总表!A:AP,5,FALSE))</f>
        <v>白</v>
      </c>
      <c r="F236" s="8" t="str">
        <f>IF(B236="","",VLOOKUP(B236,小圆机汇总表!A:AP,8,FALSE))</f>
        <v>长乐</v>
      </c>
      <c r="G236" s="23">
        <v>43753</v>
      </c>
      <c r="H236" s="8">
        <v>121.8</v>
      </c>
      <c r="I236" s="8">
        <v>6</v>
      </c>
      <c r="K236" s="8" t="s">
        <v>1140</v>
      </c>
      <c r="M236" s="250">
        <f t="shared" si="3"/>
        <v>10</v>
      </c>
    </row>
    <row r="237" spans="1:13" hidden="1" outlineLevel="1">
      <c r="A237" s="4">
        <v>237</v>
      </c>
      <c r="B237" s="8" t="s">
        <v>990</v>
      </c>
      <c r="C237" s="8" t="str">
        <f>IF(B237="","",VLOOKUP(B237,小圆机汇总表!A:AP,2,FALSE))</f>
        <v>B7543大W</v>
      </c>
      <c r="D237" s="8">
        <f>IF(B237="","",VLOOKUP(B237,小圆机汇总表!A:AP,7,FALSE))</f>
        <v>43</v>
      </c>
      <c r="E237" s="8" t="str">
        <f>IF(B237="","",VLOOKUP(B237,小圆机汇总表!A:AP,5,FALSE))</f>
        <v>白</v>
      </c>
      <c r="F237" s="8" t="str">
        <f>IF(B237="","",VLOOKUP(B237,小圆机汇总表!A:AP,8,FALSE))</f>
        <v>长乐</v>
      </c>
      <c r="G237" s="23">
        <v>43753</v>
      </c>
      <c r="H237" s="8">
        <v>271</v>
      </c>
      <c r="I237" s="8">
        <v>13</v>
      </c>
      <c r="K237" s="8" t="s">
        <v>1133</v>
      </c>
      <c r="M237" s="250">
        <f t="shared" si="3"/>
        <v>10</v>
      </c>
    </row>
    <row r="238" spans="1:13" hidden="1" outlineLevel="1">
      <c r="A238" s="4">
        <v>238</v>
      </c>
      <c r="B238" s="8" t="s">
        <v>1127</v>
      </c>
      <c r="C238" s="8" t="str">
        <f>IF(B238="","",VLOOKUP(B238,小圆机汇总表!A:AP,2,FALSE))</f>
        <v>B3023乱平纹</v>
      </c>
      <c r="D238" s="8">
        <f>IF(B238="","",VLOOKUP(B238,小圆机汇总表!A:AP,7,FALSE))</f>
        <v>23</v>
      </c>
      <c r="E238" s="8" t="str">
        <f>IF(B238="","",VLOOKUP(B238,小圆机汇总表!A:AP,5,FALSE))</f>
        <v>白</v>
      </c>
      <c r="F238" s="8" t="str">
        <f>IF(B238="","",VLOOKUP(B238,小圆机汇总表!A:AP,8,FALSE))</f>
        <v>银宇</v>
      </c>
      <c r="G238" s="23">
        <v>43754</v>
      </c>
      <c r="H238" s="8">
        <v>56.7</v>
      </c>
      <c r="I238" s="8">
        <v>3</v>
      </c>
      <c r="K238" s="8" t="s">
        <v>980</v>
      </c>
      <c r="M238" s="250">
        <f t="shared" si="3"/>
        <v>10</v>
      </c>
    </row>
    <row r="239" spans="1:13" hidden="1" outlineLevel="1">
      <c r="A239" s="4">
        <v>239</v>
      </c>
      <c r="B239" s="8" t="s">
        <v>239</v>
      </c>
      <c r="C239" s="8" t="str">
        <f>IF(B239="","",VLOOKUP(B239,小圆机汇总表!A:AP,2,FALSE))</f>
        <v>B3023乱平纹</v>
      </c>
      <c r="D239" s="8">
        <f>IF(B239="","",VLOOKUP(B239,小圆机汇总表!A:AP,7,FALSE))</f>
        <v>23</v>
      </c>
      <c r="E239" s="8" t="str">
        <f>IF(B239="","",VLOOKUP(B239,小圆机汇总表!A:AP,5,FALSE))</f>
        <v>白</v>
      </c>
      <c r="F239" s="8" t="str">
        <f>IF(B239="","",VLOOKUP(B239,小圆机汇总表!A:AP,8,FALSE))</f>
        <v>长乐</v>
      </c>
      <c r="G239" s="23">
        <v>43754</v>
      </c>
      <c r="H239" s="8">
        <v>39.200000000000003</v>
      </c>
      <c r="I239" s="8">
        <v>2</v>
      </c>
      <c r="K239" s="8" t="s">
        <v>980</v>
      </c>
      <c r="M239" s="250">
        <f t="shared" si="3"/>
        <v>10</v>
      </c>
    </row>
    <row r="240" spans="1:13" hidden="1" outlineLevel="1">
      <c r="A240" s="4">
        <v>240</v>
      </c>
      <c r="B240" s="8" t="s">
        <v>998</v>
      </c>
      <c r="C240" s="8" t="str">
        <f>IF(B240="","",VLOOKUP(B240,小圆机汇总表!A:AP,2,FALSE))</f>
        <v>A5032大W</v>
      </c>
      <c r="D240" s="8">
        <f>IF(B240="","",VLOOKUP(B240,小圆机汇总表!A:AP,7,FALSE))</f>
        <v>32</v>
      </c>
      <c r="E240" s="8" t="str">
        <f>IF(B240="","",VLOOKUP(B240,小圆机汇总表!A:AP,5,FALSE))</f>
        <v>白</v>
      </c>
      <c r="F240" s="8" t="str">
        <f>IF(B240="","",VLOOKUP(B240,小圆机汇总表!A:AP,8,FALSE))</f>
        <v>长乐</v>
      </c>
      <c r="G240" s="23">
        <v>43754</v>
      </c>
      <c r="H240" s="8">
        <v>80.8</v>
      </c>
      <c r="I240" s="8">
        <v>4</v>
      </c>
      <c r="K240" s="8" t="s">
        <v>1160</v>
      </c>
      <c r="M240" s="250">
        <f t="shared" si="3"/>
        <v>10</v>
      </c>
    </row>
    <row r="241" spans="1:13" hidden="1" outlineLevel="1">
      <c r="A241" s="4">
        <v>241</v>
      </c>
      <c r="B241" s="8" t="s">
        <v>121</v>
      </c>
      <c r="C241" s="8" t="str">
        <f>IF(B241="","",VLOOKUP(B241,小圆机汇总表!A:AP,2,FALSE))</f>
        <v>A5032w</v>
      </c>
      <c r="D241" s="8">
        <f>IF(B241="","",VLOOKUP(B241,小圆机汇总表!A:AP,7,FALSE))</f>
        <v>32</v>
      </c>
      <c r="E241" s="8" t="str">
        <f>IF(B241="","",VLOOKUP(B241,小圆机汇总表!A:AP,5,FALSE))</f>
        <v>白</v>
      </c>
      <c r="F241" s="8" t="str">
        <f>IF(B241="","",VLOOKUP(B241,小圆机汇总表!A:AP,8,FALSE))</f>
        <v>长乐</v>
      </c>
      <c r="G241" s="23">
        <v>43754</v>
      </c>
      <c r="H241" s="8">
        <v>640.5</v>
      </c>
      <c r="I241" s="8">
        <v>33</v>
      </c>
      <c r="K241" s="8" t="s">
        <v>1161</v>
      </c>
      <c r="M241" s="250">
        <f t="shared" si="3"/>
        <v>10</v>
      </c>
    </row>
    <row r="242" spans="1:13" hidden="1" outlineLevel="1">
      <c r="A242" s="4">
        <v>242</v>
      </c>
      <c r="B242" s="8" t="s">
        <v>122</v>
      </c>
      <c r="C242" s="8" t="str">
        <f>IF(B242="","",VLOOKUP(B242,小圆机汇总表!A:AP,2,FALSE))</f>
        <v>B5034大W</v>
      </c>
      <c r="D242" s="8">
        <f>IF(B242="","",VLOOKUP(B242,小圆机汇总表!A:AP,7,FALSE))</f>
        <v>34</v>
      </c>
      <c r="E242" s="8" t="str">
        <f>IF(B242="","",VLOOKUP(B242,小圆机汇总表!A:AP,5,FALSE))</f>
        <v>白高温</v>
      </c>
      <c r="F242" s="8" t="str">
        <f>IF(B242="","",VLOOKUP(B242,小圆机汇总表!A:AP,8,FALSE))</f>
        <v>长乐</v>
      </c>
      <c r="G242" s="23">
        <v>43754</v>
      </c>
      <c r="H242" s="8">
        <v>937</v>
      </c>
      <c r="I242" s="8">
        <v>47</v>
      </c>
      <c r="K242" s="8" t="s">
        <v>1162</v>
      </c>
      <c r="M242" s="250">
        <f t="shared" si="3"/>
        <v>10</v>
      </c>
    </row>
    <row r="243" spans="1:13" hidden="1" outlineLevel="1">
      <c r="A243" s="4">
        <v>243</v>
      </c>
      <c r="B243" s="8" t="s">
        <v>123</v>
      </c>
      <c r="C243" s="8" t="str">
        <f>IF(B243="","",VLOOKUP(B243,小圆机汇总表!A:AP,2,FALSE))</f>
        <v>B7539斜乱平纹</v>
      </c>
      <c r="D243" s="8">
        <f>IF(B243="","",VLOOKUP(B243,小圆机汇总表!A:AP,7,FALSE))</f>
        <v>39</v>
      </c>
      <c r="E243" s="8" t="str">
        <f>IF(B243="","",VLOOKUP(B243,小圆机汇总表!A:AP,5,FALSE))</f>
        <v>白</v>
      </c>
      <c r="F243" s="8" t="str">
        <f>IF(B243="","",VLOOKUP(B243,小圆机汇总表!A:AP,8,FALSE))</f>
        <v>盛元</v>
      </c>
      <c r="G243" s="23">
        <v>43754</v>
      </c>
      <c r="H243" s="8">
        <v>328</v>
      </c>
      <c r="I243" s="8">
        <v>16</v>
      </c>
      <c r="K243" s="8" t="s">
        <v>1160</v>
      </c>
      <c r="M243" s="250">
        <f t="shared" si="3"/>
        <v>10</v>
      </c>
    </row>
    <row r="244" spans="1:13" hidden="1" outlineLevel="1">
      <c r="A244" s="4">
        <v>244</v>
      </c>
      <c r="B244" s="8" t="s">
        <v>961</v>
      </c>
      <c r="C244" s="8" t="str">
        <f>IF(B244="","",VLOOKUP(B244,小圆机汇总表!A:AP,2,FALSE))</f>
        <v>C5034w</v>
      </c>
      <c r="D244" s="8">
        <f>IF(B244="","",VLOOKUP(B244,小圆机汇总表!A:AP,7,FALSE))</f>
        <v>34</v>
      </c>
      <c r="E244" s="8" t="str">
        <f>IF(B244="","",VLOOKUP(B244,小圆机汇总表!A:AP,5,FALSE))</f>
        <v>白</v>
      </c>
      <c r="F244" s="8" t="str">
        <f>IF(B244="","",VLOOKUP(B244,小圆机汇总表!A:AP,8,FALSE))</f>
        <v>长乐</v>
      </c>
      <c r="G244" s="23">
        <v>43754</v>
      </c>
      <c r="H244" s="8">
        <v>271.39999999999998</v>
      </c>
      <c r="I244" s="8">
        <v>14</v>
      </c>
      <c r="K244" s="8" t="s">
        <v>1163</v>
      </c>
      <c r="M244" s="250">
        <f t="shared" si="3"/>
        <v>10</v>
      </c>
    </row>
    <row r="245" spans="1:13" hidden="1" outlineLevel="1">
      <c r="A245" s="4">
        <v>245</v>
      </c>
      <c r="B245" s="8" t="s">
        <v>975</v>
      </c>
      <c r="C245" s="8" t="str">
        <f>IF(B245="","",VLOOKUP(B245,小圆机汇总表!A:AP,2,FALSE))</f>
        <v>C5034w</v>
      </c>
      <c r="D245" s="8">
        <f>IF(B245="","",VLOOKUP(B245,小圆机汇总表!A:AP,7,FALSE))</f>
        <v>34</v>
      </c>
      <c r="E245" s="8" t="str">
        <f>IF(B245="","",VLOOKUP(B245,小圆机汇总表!A:AP,5,FALSE))</f>
        <v>黑</v>
      </c>
      <c r="F245" s="8" t="str">
        <f>IF(B245="","",VLOOKUP(B245,小圆机汇总表!A:AP,8,FALSE))</f>
        <v>固力</v>
      </c>
      <c r="G245" s="23">
        <v>43754</v>
      </c>
      <c r="H245" s="8">
        <v>186.8</v>
      </c>
      <c r="I245" s="8">
        <v>9</v>
      </c>
      <c r="K245" s="8" t="s">
        <v>1164</v>
      </c>
      <c r="M245" s="250">
        <f t="shared" si="3"/>
        <v>10</v>
      </c>
    </row>
    <row r="246" spans="1:13" hidden="1" outlineLevel="1">
      <c r="A246" s="4">
        <v>246</v>
      </c>
      <c r="B246" s="8" t="s">
        <v>112</v>
      </c>
      <c r="C246" s="8" t="str">
        <f>IF(B246="","",VLOOKUP(B246,小圆机汇总表!A:AP,2,FALSE))</f>
        <v>A5035w黑</v>
      </c>
      <c r="D246" s="8">
        <f>IF(B246="","",VLOOKUP(B246,小圆机汇总表!A:AP,7,FALSE))</f>
        <v>35</v>
      </c>
      <c r="E246" s="8" t="str">
        <f>IF(B246="","",VLOOKUP(B246,小圆机汇总表!A:AP,5,FALSE))</f>
        <v>黑</v>
      </c>
      <c r="F246" s="8" t="str">
        <f>IF(B246="","",VLOOKUP(B246,小圆机汇总表!A:AP,8,FALSE))</f>
        <v>固力</v>
      </c>
      <c r="G246" s="23">
        <v>43754</v>
      </c>
      <c r="H246" s="8">
        <v>702.5</v>
      </c>
      <c r="I246" s="8">
        <f>27+5</f>
        <v>32</v>
      </c>
      <c r="K246" s="8" t="s">
        <v>1165</v>
      </c>
      <c r="M246" s="250">
        <f t="shared" si="3"/>
        <v>10</v>
      </c>
    </row>
    <row r="247" spans="1:13" hidden="1" outlineLevel="1">
      <c r="A247" s="4">
        <v>247</v>
      </c>
      <c r="B247" s="8" t="s">
        <v>47</v>
      </c>
      <c r="C247" s="8" t="str">
        <f>IF(B247="","",VLOOKUP(B247,小圆机汇总表!A:AP,2,FALSE))</f>
        <v>A5035w</v>
      </c>
      <c r="D247" s="8">
        <f>IF(B247="","",VLOOKUP(B247,小圆机汇总表!A:AP,7,FALSE))</f>
        <v>35</v>
      </c>
      <c r="E247" s="8" t="str">
        <f>IF(B247="","",VLOOKUP(B247,小圆机汇总表!A:AP,5,FALSE))</f>
        <v>白</v>
      </c>
      <c r="F247" s="8" t="str">
        <f>IF(B247="","",VLOOKUP(B247,小圆机汇总表!A:AP,8,FALSE))</f>
        <v>长乐</v>
      </c>
      <c r="G247" s="23">
        <v>43754</v>
      </c>
      <c r="H247" s="8">
        <v>163.19999999999999</v>
      </c>
      <c r="I247" s="8">
        <v>8</v>
      </c>
      <c r="K247" s="8" t="s">
        <v>1166</v>
      </c>
      <c r="M247" s="250">
        <f t="shared" si="3"/>
        <v>10</v>
      </c>
    </row>
    <row r="248" spans="1:13" hidden="1" outlineLevel="1">
      <c r="A248" s="4">
        <v>248</v>
      </c>
      <c r="B248" s="8" t="s">
        <v>114</v>
      </c>
      <c r="C248" s="8" t="str">
        <f>IF(B248="","",VLOOKUP(B248,小圆机汇总表!A:AP,2,FALSE))</f>
        <v>A5035大W</v>
      </c>
      <c r="D248" s="8">
        <f>IF(B248="","",VLOOKUP(B248,小圆机汇总表!A:AP,7,FALSE))</f>
        <v>35</v>
      </c>
      <c r="E248" s="8" t="str">
        <f>IF(B248="","",VLOOKUP(B248,小圆机汇总表!A:AP,5,FALSE))</f>
        <v>白</v>
      </c>
      <c r="F248" s="8" t="str">
        <f>IF(B248="","",VLOOKUP(B248,小圆机汇总表!A:AP,8,FALSE))</f>
        <v>长乐</v>
      </c>
      <c r="G248" s="23">
        <v>43754</v>
      </c>
      <c r="H248" s="8">
        <v>160</v>
      </c>
      <c r="I248" s="8">
        <v>8</v>
      </c>
      <c r="K248" s="8" t="s">
        <v>1167</v>
      </c>
      <c r="M248" s="250">
        <f t="shared" si="3"/>
        <v>10</v>
      </c>
    </row>
    <row r="249" spans="1:13" hidden="1" outlineLevel="1">
      <c r="A249" s="4">
        <v>249</v>
      </c>
      <c r="B249" s="8" t="s">
        <v>68</v>
      </c>
      <c r="C249" s="8" t="str">
        <f>IF(B249="","",VLOOKUP(B249,小圆机汇总表!A:AP,2,FALSE))</f>
        <v>A5036直平纹</v>
      </c>
      <c r="D249" s="8">
        <f>IF(B249="","",VLOOKUP(B249,小圆机汇总表!A:AP,7,FALSE))</f>
        <v>36</v>
      </c>
      <c r="E249" s="8" t="str">
        <f>IF(B249="","",VLOOKUP(B249,小圆机汇总表!A:AP,5,FALSE))</f>
        <v>白</v>
      </c>
      <c r="F249" s="8" t="str">
        <f>IF(B249="","",VLOOKUP(B249,小圆机汇总表!A:AP,8,FALSE))</f>
        <v>长乐</v>
      </c>
      <c r="G249" s="23">
        <v>43754</v>
      </c>
      <c r="H249" s="8">
        <v>156.80000000000001</v>
      </c>
      <c r="I249" s="8">
        <v>8</v>
      </c>
      <c r="K249" s="8" t="s">
        <v>1167</v>
      </c>
      <c r="M249" s="250">
        <f t="shared" si="3"/>
        <v>10</v>
      </c>
    </row>
    <row r="250" spans="1:13" hidden="1" outlineLevel="1">
      <c r="A250" s="4">
        <v>250</v>
      </c>
      <c r="B250" s="8" t="s">
        <v>116</v>
      </c>
      <c r="C250" s="8" t="str">
        <f>IF(B250="","",VLOOKUP(B250,小圆机汇总表!A:AP,2,FALSE))</f>
        <v>B5036大W高温丝</v>
      </c>
      <c r="D250" s="8">
        <f>IF(B250="","",VLOOKUP(B250,小圆机汇总表!A:AP,7,FALSE))</f>
        <v>36</v>
      </c>
      <c r="E250" s="8" t="str">
        <f>IF(B250="","",VLOOKUP(B250,小圆机汇总表!A:AP,5,FALSE))</f>
        <v>白高温</v>
      </c>
      <c r="F250" s="8" t="str">
        <f>IF(B250="","",VLOOKUP(B250,小圆机汇总表!A:AP,8,FALSE))</f>
        <v>长乐</v>
      </c>
      <c r="G250" s="23">
        <v>43754</v>
      </c>
      <c r="H250" s="8">
        <v>434.5</v>
      </c>
      <c r="I250" s="8">
        <v>22</v>
      </c>
      <c r="K250" s="8" t="s">
        <v>1162</v>
      </c>
      <c r="M250" s="250">
        <f t="shared" si="3"/>
        <v>10</v>
      </c>
    </row>
    <row r="251" spans="1:13" hidden="1" outlineLevel="1">
      <c r="A251" s="4">
        <v>251</v>
      </c>
      <c r="B251" s="8" t="s">
        <v>1146</v>
      </c>
      <c r="C251" s="8" t="str">
        <f>IF(B251="","",VLOOKUP(B251,小圆机汇总表!A:AP,2,FALSE))</f>
        <v>A5042w</v>
      </c>
      <c r="D251" s="8">
        <f>IF(B251="","",VLOOKUP(B251,小圆机汇总表!A:AP,7,FALSE))</f>
        <v>42</v>
      </c>
      <c r="E251" s="8" t="str">
        <f>IF(B251="","",VLOOKUP(B251,小圆机汇总表!A:AP,5,FALSE))</f>
        <v>白</v>
      </c>
      <c r="F251" s="8" t="str">
        <f>IF(B251="","",VLOOKUP(B251,小圆机汇总表!A:AP,8,FALSE))</f>
        <v>长乐</v>
      </c>
      <c r="G251" s="23">
        <v>43754</v>
      </c>
      <c r="H251" s="8">
        <v>267</v>
      </c>
      <c r="I251" s="8">
        <v>14</v>
      </c>
      <c r="K251" s="8" t="s">
        <v>1166</v>
      </c>
      <c r="M251" s="250">
        <f t="shared" si="3"/>
        <v>10</v>
      </c>
    </row>
    <row r="252" spans="1:13" hidden="1" outlineLevel="1">
      <c r="A252" s="4">
        <v>252</v>
      </c>
      <c r="B252" s="8" t="s">
        <v>1019</v>
      </c>
      <c r="C252" s="8" t="str">
        <f>IF(B252="","",VLOOKUP(B252,小圆机汇总表!A:AP,2,FALSE))</f>
        <v>A5040w</v>
      </c>
      <c r="D252" s="8">
        <f>IF(B252="","",VLOOKUP(B252,小圆机汇总表!A:AP,7,FALSE))</f>
        <v>40</v>
      </c>
      <c r="E252" s="8" t="str">
        <f>IF(B252="","",VLOOKUP(B252,小圆机汇总表!A:AP,5,FALSE))</f>
        <v>白</v>
      </c>
      <c r="F252" s="8" t="str">
        <f>IF(B252="","",VLOOKUP(B252,小圆机汇总表!A:AP,8,FALSE))</f>
        <v>长乐</v>
      </c>
      <c r="G252" s="23">
        <v>43754</v>
      </c>
      <c r="H252" s="8">
        <v>154.4</v>
      </c>
      <c r="I252" s="8">
        <v>8</v>
      </c>
      <c r="K252" s="8" t="s">
        <v>1168</v>
      </c>
      <c r="M252" s="250">
        <f t="shared" si="3"/>
        <v>10</v>
      </c>
    </row>
    <row r="253" spans="1:13" hidden="1" outlineLevel="1">
      <c r="A253" s="4">
        <v>253</v>
      </c>
      <c r="B253" s="8" t="s">
        <v>749</v>
      </c>
      <c r="C253" s="8" t="str">
        <f>IF(B253="","",VLOOKUP(B253,小圆机汇总表!A:AP,2,FALSE))</f>
        <v>C7542大W 白丝</v>
      </c>
      <c r="D253" s="8">
        <f>IF(B253="","",VLOOKUP(B253,小圆机汇总表!A:AP,7,FALSE))</f>
        <v>42</v>
      </c>
      <c r="E253" s="8" t="str">
        <f>IF(B253="","",VLOOKUP(B253,小圆机汇总表!A:AP,5,FALSE))</f>
        <v>白高温</v>
      </c>
      <c r="F253" s="8" t="str">
        <f>IF(B253="","",VLOOKUP(B253,小圆机汇总表!A:AP,8,FALSE))</f>
        <v>申久</v>
      </c>
      <c r="G253" s="23">
        <v>43754</v>
      </c>
      <c r="H253" s="8">
        <v>161.6</v>
      </c>
      <c r="I253" s="8">
        <v>8</v>
      </c>
      <c r="K253" s="8" t="s">
        <v>1162</v>
      </c>
      <c r="M253" s="250">
        <f t="shared" si="3"/>
        <v>10</v>
      </c>
    </row>
    <row r="254" spans="1:13" hidden="1" outlineLevel="1">
      <c r="A254" s="4">
        <v>254</v>
      </c>
      <c r="B254" s="8" t="s">
        <v>128</v>
      </c>
      <c r="C254" s="8" t="str">
        <f>IF(B254="","",VLOOKUP(B254,小圆机汇总表!A:AP,2,FALSE))</f>
        <v>A7545斜乱平纹</v>
      </c>
      <c r="D254" s="8">
        <f>IF(B254="","",VLOOKUP(B254,小圆机汇总表!A:AP,7,FALSE))</f>
        <v>45</v>
      </c>
      <c r="E254" s="8" t="str">
        <f>IF(B254="","",VLOOKUP(B254,小圆机汇总表!A:AP,5,FALSE))</f>
        <v>白</v>
      </c>
      <c r="F254" s="8" t="str">
        <f>IF(B254="","",VLOOKUP(B254,小圆机汇总表!A:AP,8,FALSE))</f>
        <v>长乐</v>
      </c>
      <c r="G254" s="23">
        <v>43754</v>
      </c>
      <c r="H254" s="8">
        <v>782.8</v>
      </c>
      <c r="I254" s="8">
        <v>39</v>
      </c>
      <c r="K254" s="8" t="s">
        <v>1169</v>
      </c>
      <c r="M254" s="250">
        <f t="shared" si="3"/>
        <v>10</v>
      </c>
    </row>
    <row r="255" spans="1:13" hidden="1" outlineLevel="1">
      <c r="A255" s="4">
        <v>255</v>
      </c>
      <c r="B255" s="8" t="s">
        <v>129</v>
      </c>
      <c r="C255" s="8" t="str">
        <f>IF(B255="","",VLOOKUP(B255,小圆机汇总表!A:AP,2,FALSE))</f>
        <v>A7548斜乱平纹</v>
      </c>
      <c r="D255" s="8">
        <f>IF(B255="","",VLOOKUP(B255,小圆机汇总表!A:AP,7,FALSE))</f>
        <v>48</v>
      </c>
      <c r="E255" s="8" t="str">
        <f>IF(B255="","",VLOOKUP(B255,小圆机汇总表!A:AP,5,FALSE))</f>
        <v>白高温</v>
      </c>
      <c r="F255" s="8" t="str">
        <f>IF(B255="","",VLOOKUP(B255,小圆机汇总表!A:AP,8,FALSE))</f>
        <v>长乐</v>
      </c>
      <c r="G255" s="23">
        <v>43754</v>
      </c>
      <c r="H255" s="8">
        <v>142.1</v>
      </c>
      <c r="I255" s="8">
        <v>7</v>
      </c>
      <c r="K255" s="8" t="s">
        <v>1160</v>
      </c>
      <c r="M255" s="250">
        <f t="shared" si="3"/>
        <v>10</v>
      </c>
    </row>
    <row r="256" spans="1:13" hidden="1" outlineLevel="1">
      <c r="A256" s="4">
        <v>256</v>
      </c>
      <c r="B256" s="8" t="s">
        <v>104</v>
      </c>
      <c r="C256" s="8" t="str">
        <f>IF(B256="","",VLOOKUP(B256,小圆机汇总表!A:AP,2,FALSE))</f>
        <v>B7549w</v>
      </c>
      <c r="D256" s="8">
        <f>IF(B256="","",VLOOKUP(B256,小圆机汇总表!A:AP,7,FALSE))</f>
        <v>49</v>
      </c>
      <c r="E256" s="8" t="str">
        <f>IF(B256="","",VLOOKUP(B256,小圆机汇总表!A:AP,5,FALSE))</f>
        <v>白</v>
      </c>
      <c r="F256" s="8" t="str">
        <f>IF(B256="","",VLOOKUP(B256,小圆机汇总表!A:AP,8,FALSE))</f>
        <v>长乐</v>
      </c>
      <c r="G256" s="23">
        <v>43754</v>
      </c>
      <c r="H256" s="8">
        <v>121.8</v>
      </c>
      <c r="I256" s="8">
        <v>6</v>
      </c>
      <c r="K256" s="8" t="s">
        <v>1165</v>
      </c>
      <c r="M256" s="250">
        <f t="shared" si="3"/>
        <v>10</v>
      </c>
    </row>
    <row r="257" spans="1:13" hidden="1" outlineLevel="1">
      <c r="A257" s="4">
        <v>257</v>
      </c>
      <c r="B257" s="8" t="s">
        <v>990</v>
      </c>
      <c r="C257" s="8" t="str">
        <f>IF(B257="","",VLOOKUP(B257,小圆机汇总表!A:AP,2,FALSE))</f>
        <v>B7543大W</v>
      </c>
      <c r="D257" s="8">
        <f>IF(B257="","",VLOOKUP(B257,小圆机汇总表!A:AP,7,FALSE))</f>
        <v>43</v>
      </c>
      <c r="E257" s="8" t="str">
        <f>IF(B257="","",VLOOKUP(B257,小圆机汇总表!A:AP,5,FALSE))</f>
        <v>白</v>
      </c>
      <c r="F257" s="8" t="str">
        <f>IF(B257="","",VLOOKUP(B257,小圆机汇总表!A:AP,8,FALSE))</f>
        <v>长乐</v>
      </c>
      <c r="G257" s="23">
        <v>43754</v>
      </c>
      <c r="H257" s="8">
        <v>291.89999999999998</v>
      </c>
      <c r="I257" s="8">
        <v>14</v>
      </c>
      <c r="K257" s="8" t="s">
        <v>1164</v>
      </c>
      <c r="M257" s="250">
        <f t="shared" si="3"/>
        <v>10</v>
      </c>
    </row>
    <row r="258" spans="1:13" hidden="1" outlineLevel="1">
      <c r="A258" s="4">
        <v>258</v>
      </c>
      <c r="B258" s="8" t="s">
        <v>1127</v>
      </c>
      <c r="C258" s="8" t="str">
        <f>IF(B258="","",VLOOKUP(B258,小圆机汇总表!A:AP,2,FALSE))</f>
        <v>B3023乱平纹</v>
      </c>
      <c r="D258" s="8">
        <f>IF(B258="","",VLOOKUP(B258,小圆机汇总表!A:AP,7,FALSE))</f>
        <v>23</v>
      </c>
      <c r="E258" s="8" t="str">
        <f>IF(B258="","",VLOOKUP(B258,小圆机汇总表!A:AP,5,FALSE))</f>
        <v>白</v>
      </c>
      <c r="F258" s="8" t="str">
        <f>IF(B258="","",VLOOKUP(B258,小圆机汇总表!A:AP,8,FALSE))</f>
        <v>银宇</v>
      </c>
      <c r="G258" s="23">
        <v>43755</v>
      </c>
      <c r="H258" s="8">
        <v>56.7</v>
      </c>
      <c r="I258" s="8">
        <v>3</v>
      </c>
      <c r="K258" s="8" t="s">
        <v>980</v>
      </c>
      <c r="M258" s="250">
        <f t="shared" si="3"/>
        <v>10</v>
      </c>
    </row>
    <row r="259" spans="1:13" hidden="1" outlineLevel="1">
      <c r="A259" s="4">
        <v>259</v>
      </c>
      <c r="B259" s="8" t="s">
        <v>239</v>
      </c>
      <c r="C259" s="8" t="str">
        <f>IF(B259="","",VLOOKUP(B259,小圆机汇总表!A:AP,2,FALSE))</f>
        <v>B3023乱平纹</v>
      </c>
      <c r="D259" s="8">
        <f>IF(B259="","",VLOOKUP(B259,小圆机汇总表!A:AP,7,FALSE))</f>
        <v>23</v>
      </c>
      <c r="E259" s="8" t="str">
        <f>IF(B259="","",VLOOKUP(B259,小圆机汇总表!A:AP,5,FALSE))</f>
        <v>白</v>
      </c>
      <c r="F259" s="8" t="str">
        <f>IF(B259="","",VLOOKUP(B259,小圆机汇总表!A:AP,8,FALSE))</f>
        <v>长乐</v>
      </c>
      <c r="G259" s="23">
        <v>43755</v>
      </c>
      <c r="H259" s="8">
        <v>58.8</v>
      </c>
      <c r="I259" s="8">
        <v>3</v>
      </c>
      <c r="K259" s="8" t="s">
        <v>980</v>
      </c>
      <c r="M259" s="250">
        <f t="shared" ref="M259:M322" si="4">IF(B259="","",MONTH(G259))</f>
        <v>10</v>
      </c>
    </row>
    <row r="260" spans="1:13" hidden="1" outlineLevel="1">
      <c r="A260" s="4">
        <v>260</v>
      </c>
      <c r="B260" s="8" t="s">
        <v>998</v>
      </c>
      <c r="C260" s="8" t="str">
        <f>IF(B260="","",VLOOKUP(B260,小圆机汇总表!A:AP,2,FALSE))</f>
        <v>A5032大W</v>
      </c>
      <c r="D260" s="8">
        <f>IF(B260="","",VLOOKUP(B260,小圆机汇总表!A:AP,7,FALSE))</f>
        <v>32</v>
      </c>
      <c r="E260" s="8" t="str">
        <f>IF(B260="","",VLOOKUP(B260,小圆机汇总表!A:AP,5,FALSE))</f>
        <v>白</v>
      </c>
      <c r="F260" s="8" t="str">
        <f>IF(B260="","",VLOOKUP(B260,小圆机汇总表!A:AP,8,FALSE))</f>
        <v>长乐</v>
      </c>
      <c r="G260" s="23">
        <v>43755</v>
      </c>
      <c r="H260" s="8">
        <v>20.2</v>
      </c>
      <c r="I260" s="8">
        <v>1</v>
      </c>
      <c r="K260" s="8" t="s">
        <v>1240</v>
      </c>
      <c r="M260" s="250">
        <f t="shared" si="4"/>
        <v>10</v>
      </c>
    </row>
    <row r="261" spans="1:13" hidden="1" outlineLevel="1">
      <c r="A261" s="4">
        <v>261</v>
      </c>
      <c r="B261" s="8" t="s">
        <v>121</v>
      </c>
      <c r="C261" s="8" t="str">
        <f>IF(B261="","",VLOOKUP(B261,小圆机汇总表!A:AP,2,FALSE))</f>
        <v>A5032w</v>
      </c>
      <c r="D261" s="8">
        <f>IF(B261="","",VLOOKUP(B261,小圆机汇总表!A:AP,7,FALSE))</f>
        <v>32</v>
      </c>
      <c r="E261" s="8" t="str">
        <f>IF(B261="","",VLOOKUP(B261,小圆机汇总表!A:AP,5,FALSE))</f>
        <v>白</v>
      </c>
      <c r="F261" s="8" t="str">
        <f>IF(B261="","",VLOOKUP(B261,小圆机汇总表!A:AP,8,FALSE))</f>
        <v>长乐</v>
      </c>
      <c r="G261" s="23">
        <v>43755</v>
      </c>
      <c r="H261" s="8">
        <v>515.70000000000005</v>
      </c>
      <c r="I261" s="8">
        <v>26</v>
      </c>
      <c r="K261" s="8" t="s">
        <v>1241</v>
      </c>
      <c r="M261" s="250">
        <f t="shared" si="4"/>
        <v>10</v>
      </c>
    </row>
    <row r="262" spans="1:13" hidden="1" outlineLevel="1">
      <c r="A262" s="4">
        <v>262</v>
      </c>
      <c r="B262" s="8" t="s">
        <v>122</v>
      </c>
      <c r="C262" s="8" t="str">
        <f>IF(B262="","",VLOOKUP(B262,小圆机汇总表!A:AP,2,FALSE))</f>
        <v>B5034大W</v>
      </c>
      <c r="D262" s="8">
        <f>IF(B262="","",VLOOKUP(B262,小圆机汇总表!A:AP,7,FALSE))</f>
        <v>34</v>
      </c>
      <c r="E262" s="8" t="str">
        <f>IF(B262="","",VLOOKUP(B262,小圆机汇总表!A:AP,5,FALSE))</f>
        <v>白高温</v>
      </c>
      <c r="F262" s="8" t="str">
        <f>IF(B262="","",VLOOKUP(B262,小圆机汇总表!A:AP,8,FALSE))</f>
        <v>长乐</v>
      </c>
      <c r="G262" s="23">
        <v>43755</v>
      </c>
      <c r="H262" s="8">
        <v>876</v>
      </c>
      <c r="I262" s="8">
        <v>44</v>
      </c>
      <c r="K262" s="8" t="s">
        <v>1242</v>
      </c>
      <c r="M262" s="250">
        <f t="shared" si="4"/>
        <v>10</v>
      </c>
    </row>
    <row r="263" spans="1:13" hidden="1" outlineLevel="1">
      <c r="A263" s="4">
        <v>263</v>
      </c>
      <c r="B263" s="8" t="s">
        <v>123</v>
      </c>
      <c r="C263" s="8" t="str">
        <f>IF(B263="","",VLOOKUP(B263,小圆机汇总表!A:AP,2,FALSE))</f>
        <v>B7539斜乱平纹</v>
      </c>
      <c r="D263" s="8">
        <f>IF(B263="","",VLOOKUP(B263,小圆机汇总表!A:AP,7,FALSE))</f>
        <v>39</v>
      </c>
      <c r="E263" s="8" t="str">
        <f>IF(B263="","",VLOOKUP(B263,小圆机汇总表!A:AP,5,FALSE))</f>
        <v>白</v>
      </c>
      <c r="F263" s="8" t="str">
        <f>IF(B263="","",VLOOKUP(B263,小圆机汇总表!A:AP,8,FALSE))</f>
        <v>盛元</v>
      </c>
      <c r="G263" s="23">
        <v>43755</v>
      </c>
      <c r="H263" s="8">
        <v>260</v>
      </c>
      <c r="I263" s="8">
        <v>13</v>
      </c>
      <c r="K263" s="8" t="s">
        <v>1240</v>
      </c>
      <c r="M263" s="250">
        <f t="shared" si="4"/>
        <v>10</v>
      </c>
    </row>
    <row r="264" spans="1:13" hidden="1" outlineLevel="1">
      <c r="A264" s="4">
        <v>264</v>
      </c>
      <c r="B264" s="8" t="s">
        <v>961</v>
      </c>
      <c r="C264" s="8" t="str">
        <f>IF(B264="","",VLOOKUP(B264,小圆机汇总表!A:AP,2,FALSE))</f>
        <v>C5034w</v>
      </c>
      <c r="D264" s="8">
        <f>IF(B264="","",VLOOKUP(B264,小圆机汇总表!A:AP,7,FALSE))</f>
        <v>34</v>
      </c>
      <c r="E264" s="8" t="str">
        <f>IF(B264="","",VLOOKUP(B264,小圆机汇总表!A:AP,5,FALSE))</f>
        <v>白</v>
      </c>
      <c r="F264" s="8" t="str">
        <f>IF(B264="","",VLOOKUP(B264,小圆机汇总表!A:AP,8,FALSE))</f>
        <v>长乐</v>
      </c>
      <c r="G264" s="23">
        <v>43755</v>
      </c>
      <c r="H264" s="8">
        <v>232.2</v>
      </c>
      <c r="I264" s="8">
        <v>12</v>
      </c>
      <c r="K264" s="8" t="s">
        <v>1243</v>
      </c>
      <c r="M264" s="250">
        <f t="shared" si="4"/>
        <v>10</v>
      </c>
    </row>
    <row r="265" spans="1:13" hidden="1" outlineLevel="1">
      <c r="A265" s="4">
        <v>265</v>
      </c>
      <c r="B265" s="8" t="s">
        <v>975</v>
      </c>
      <c r="C265" s="8" t="str">
        <f>IF(B265="","",VLOOKUP(B265,小圆机汇总表!A:AP,2,FALSE))</f>
        <v>C5034w</v>
      </c>
      <c r="D265" s="8">
        <f>IF(B265="","",VLOOKUP(B265,小圆机汇总表!A:AP,7,FALSE))</f>
        <v>34</v>
      </c>
      <c r="E265" s="8" t="str">
        <f>IF(B265="","",VLOOKUP(B265,小圆机汇总表!A:AP,5,FALSE))</f>
        <v>黑</v>
      </c>
      <c r="F265" s="8" t="str">
        <f>IF(B265="","",VLOOKUP(B265,小圆机汇总表!A:AP,8,FALSE))</f>
        <v>固力</v>
      </c>
      <c r="G265" s="23">
        <v>43755</v>
      </c>
      <c r="H265" s="8">
        <v>166</v>
      </c>
      <c r="I265" s="8">
        <v>8</v>
      </c>
      <c r="K265" s="8" t="s">
        <v>1244</v>
      </c>
      <c r="M265" s="250">
        <f t="shared" si="4"/>
        <v>10</v>
      </c>
    </row>
    <row r="266" spans="1:13" hidden="1" outlineLevel="1">
      <c r="A266" s="4">
        <v>266</v>
      </c>
      <c r="B266" s="8" t="s">
        <v>112</v>
      </c>
      <c r="C266" s="8" t="str">
        <f>IF(B266="","",VLOOKUP(B266,小圆机汇总表!A:AP,2,FALSE))</f>
        <v>A5035w黑</v>
      </c>
      <c r="D266" s="8">
        <f>IF(B266="","",VLOOKUP(B266,小圆机汇总表!A:AP,7,FALSE))</f>
        <v>35</v>
      </c>
      <c r="E266" s="8" t="str">
        <f>IF(B266="","",VLOOKUP(B266,小圆机汇总表!A:AP,5,FALSE))</f>
        <v>黑</v>
      </c>
      <c r="F266" s="8" t="str">
        <f>IF(B266="","",VLOOKUP(B266,小圆机汇总表!A:AP,8,FALSE))</f>
        <v>固力</v>
      </c>
      <c r="G266" s="23">
        <v>43755</v>
      </c>
      <c r="H266" s="8">
        <v>682.3</v>
      </c>
      <c r="I266" s="8">
        <f>27+4</f>
        <v>31</v>
      </c>
      <c r="K266" s="8" t="s">
        <v>1245</v>
      </c>
      <c r="M266" s="250">
        <f t="shared" si="4"/>
        <v>10</v>
      </c>
    </row>
    <row r="267" spans="1:13" hidden="1" outlineLevel="1">
      <c r="A267" s="4">
        <v>267</v>
      </c>
      <c r="B267" s="8" t="s">
        <v>47</v>
      </c>
      <c r="C267" s="8" t="str">
        <f>IF(B267="","",VLOOKUP(B267,小圆机汇总表!A:AP,2,FALSE))</f>
        <v>A5035w</v>
      </c>
      <c r="D267" s="8">
        <f>IF(B267="","",VLOOKUP(B267,小圆机汇总表!A:AP,7,FALSE))</f>
        <v>35</v>
      </c>
      <c r="E267" s="8" t="str">
        <f>IF(B267="","",VLOOKUP(B267,小圆机汇总表!A:AP,5,FALSE))</f>
        <v>白</v>
      </c>
      <c r="F267" s="8" t="str">
        <f>IF(B267="","",VLOOKUP(B267,小圆机汇总表!A:AP,8,FALSE))</f>
        <v>长乐</v>
      </c>
      <c r="G267" s="23">
        <v>43755</v>
      </c>
      <c r="H267" s="8">
        <v>222.6</v>
      </c>
      <c r="I267" s="8">
        <v>11</v>
      </c>
      <c r="K267" s="8" t="s">
        <v>1246</v>
      </c>
      <c r="M267" s="250">
        <f t="shared" si="4"/>
        <v>10</v>
      </c>
    </row>
    <row r="268" spans="1:13" hidden="1" outlineLevel="1">
      <c r="A268" s="4">
        <v>268</v>
      </c>
      <c r="B268" s="8" t="s">
        <v>1239</v>
      </c>
      <c r="C268" s="8" t="str">
        <f>IF(B268="","",VLOOKUP(B268,小圆机汇总表!A:AP,2,FALSE))</f>
        <v>A5032w 32针</v>
      </c>
      <c r="D268" s="8">
        <f>IF(B268="","",VLOOKUP(B268,小圆机汇总表!A:AP,7,FALSE))</f>
        <v>32</v>
      </c>
      <c r="E268" s="8" t="str">
        <f>IF(B268="","",VLOOKUP(B268,小圆机汇总表!A:AP,5,FALSE))</f>
        <v>白</v>
      </c>
      <c r="F268" s="8" t="str">
        <f>IF(B268="","",VLOOKUP(B268,小圆机汇总表!A:AP,8,FALSE))</f>
        <v>长乐/32针</v>
      </c>
      <c r="G268" s="23">
        <v>43755</v>
      </c>
      <c r="H268" s="8">
        <v>40.4</v>
      </c>
      <c r="I268" s="8">
        <v>2</v>
      </c>
      <c r="K268" s="8" t="s">
        <v>1247</v>
      </c>
      <c r="M268" s="250">
        <f t="shared" si="4"/>
        <v>10</v>
      </c>
    </row>
    <row r="269" spans="1:13" hidden="1" outlineLevel="1">
      <c r="A269" s="4">
        <v>269</v>
      </c>
      <c r="B269" s="8" t="s">
        <v>114</v>
      </c>
      <c r="C269" s="8" t="str">
        <f>IF(B269="","",VLOOKUP(B269,小圆机汇总表!A:AP,2,FALSE))</f>
        <v>A5035大W</v>
      </c>
      <c r="D269" s="8">
        <f>IF(B269="","",VLOOKUP(B269,小圆机汇总表!A:AP,7,FALSE))</f>
        <v>35</v>
      </c>
      <c r="E269" s="8" t="str">
        <f>IF(B269="","",VLOOKUP(B269,小圆机汇总表!A:AP,5,FALSE))</f>
        <v>白</v>
      </c>
      <c r="F269" s="8" t="str">
        <f>IF(B269="","",VLOOKUP(B269,小圆机汇总表!A:AP,8,FALSE))</f>
        <v>长乐</v>
      </c>
      <c r="G269" s="23">
        <v>43755</v>
      </c>
      <c r="H269" s="8">
        <v>35.799999999999997</v>
      </c>
      <c r="I269" s="8">
        <v>2</v>
      </c>
      <c r="K269" s="8" t="s">
        <v>1248</v>
      </c>
      <c r="M269" s="250">
        <f t="shared" si="4"/>
        <v>10</v>
      </c>
    </row>
    <row r="270" spans="1:13" hidden="1" outlineLevel="1">
      <c r="A270" s="4">
        <v>270</v>
      </c>
      <c r="B270" s="8" t="s">
        <v>68</v>
      </c>
      <c r="C270" s="8" t="str">
        <f>IF(B270="","",VLOOKUP(B270,小圆机汇总表!A:AP,2,FALSE))</f>
        <v>A5036直平纹</v>
      </c>
      <c r="D270" s="8">
        <f>IF(B270="","",VLOOKUP(B270,小圆机汇总表!A:AP,7,FALSE))</f>
        <v>36</v>
      </c>
      <c r="E270" s="8" t="str">
        <f>IF(B270="","",VLOOKUP(B270,小圆机汇总表!A:AP,5,FALSE))</f>
        <v>白</v>
      </c>
      <c r="F270" s="8" t="str">
        <f>IF(B270="","",VLOOKUP(B270,小圆机汇总表!A:AP,8,FALSE))</f>
        <v>长乐</v>
      </c>
      <c r="G270" s="23">
        <v>43755</v>
      </c>
      <c r="H270" s="8">
        <v>196</v>
      </c>
      <c r="I270" s="8">
        <v>10</v>
      </c>
      <c r="K270" s="8" t="s">
        <v>1248</v>
      </c>
      <c r="M270" s="250">
        <f t="shared" si="4"/>
        <v>10</v>
      </c>
    </row>
    <row r="271" spans="1:13" hidden="1" outlineLevel="1">
      <c r="A271" s="4">
        <v>271</v>
      </c>
      <c r="B271" s="8" t="s">
        <v>116</v>
      </c>
      <c r="C271" s="8" t="str">
        <f>IF(B271="","",VLOOKUP(B271,小圆机汇总表!A:AP,2,FALSE))</f>
        <v>B5036大W高温丝</v>
      </c>
      <c r="D271" s="8">
        <f>IF(B271="","",VLOOKUP(B271,小圆机汇总表!A:AP,7,FALSE))</f>
        <v>36</v>
      </c>
      <c r="E271" s="8" t="str">
        <f>IF(B271="","",VLOOKUP(B271,小圆机汇总表!A:AP,5,FALSE))</f>
        <v>白高温</v>
      </c>
      <c r="F271" s="8" t="str">
        <f>IF(B271="","",VLOOKUP(B271,小圆机汇总表!A:AP,8,FALSE))</f>
        <v>长乐</v>
      </c>
      <c r="G271" s="23">
        <v>43755</v>
      </c>
      <c r="H271" s="8">
        <v>463</v>
      </c>
      <c r="I271" s="8">
        <v>23</v>
      </c>
      <c r="K271" s="8" t="s">
        <v>1242</v>
      </c>
      <c r="M271" s="250">
        <f t="shared" si="4"/>
        <v>10</v>
      </c>
    </row>
    <row r="272" spans="1:13" hidden="1" outlineLevel="1">
      <c r="A272" s="4">
        <v>272</v>
      </c>
      <c r="B272" s="8" t="s">
        <v>1146</v>
      </c>
      <c r="C272" s="8" t="str">
        <f>IF(B272="","",VLOOKUP(B272,小圆机汇总表!A:AP,2,FALSE))</f>
        <v>A5042w</v>
      </c>
      <c r="D272" s="8">
        <f>IF(B272="","",VLOOKUP(B272,小圆机汇总表!A:AP,7,FALSE))</f>
        <v>42</v>
      </c>
      <c r="E272" s="8" t="str">
        <f>IF(B272="","",VLOOKUP(B272,小圆机汇总表!A:AP,5,FALSE))</f>
        <v>白</v>
      </c>
      <c r="F272" s="8" t="str">
        <f>IF(B272="","",VLOOKUP(B272,小圆机汇总表!A:AP,8,FALSE))</f>
        <v>长乐</v>
      </c>
      <c r="G272" s="23">
        <v>43755</v>
      </c>
      <c r="H272" s="8">
        <v>278.8</v>
      </c>
      <c r="I272" s="8">
        <v>15</v>
      </c>
      <c r="K272" s="8" t="s">
        <v>1246</v>
      </c>
      <c r="M272" s="250">
        <f t="shared" si="4"/>
        <v>10</v>
      </c>
    </row>
    <row r="273" spans="1:13" hidden="1" outlineLevel="1">
      <c r="A273" s="4">
        <v>273</v>
      </c>
      <c r="B273" s="8" t="s">
        <v>1019</v>
      </c>
      <c r="C273" s="8" t="str">
        <f>IF(B273="","",VLOOKUP(B273,小圆机汇总表!A:AP,2,FALSE))</f>
        <v>A5040w</v>
      </c>
      <c r="D273" s="8">
        <f>IF(B273="","",VLOOKUP(B273,小圆机汇总表!A:AP,7,FALSE))</f>
        <v>40</v>
      </c>
      <c r="E273" s="8" t="str">
        <f>IF(B273="","",VLOOKUP(B273,小圆机汇总表!A:AP,5,FALSE))</f>
        <v>白</v>
      </c>
      <c r="F273" s="8" t="str">
        <f>IF(B273="","",VLOOKUP(B273,小圆机汇总表!A:AP,8,FALSE))</f>
        <v>长乐</v>
      </c>
      <c r="G273" s="23">
        <v>43755</v>
      </c>
      <c r="H273" s="8">
        <v>243.4</v>
      </c>
      <c r="I273" s="8">
        <v>12</v>
      </c>
      <c r="K273" s="8" t="s">
        <v>1249</v>
      </c>
      <c r="M273" s="250">
        <f t="shared" si="4"/>
        <v>10</v>
      </c>
    </row>
    <row r="274" spans="1:13" hidden="1" outlineLevel="1">
      <c r="A274" s="4">
        <v>274</v>
      </c>
      <c r="B274" s="8" t="s">
        <v>749</v>
      </c>
      <c r="C274" s="8" t="str">
        <f>IF(B274="","",VLOOKUP(B274,小圆机汇总表!A:AP,2,FALSE))</f>
        <v>C7542大W 白丝</v>
      </c>
      <c r="D274" s="8">
        <f>IF(B274="","",VLOOKUP(B274,小圆机汇总表!A:AP,7,FALSE))</f>
        <v>42</v>
      </c>
      <c r="E274" s="8" t="str">
        <f>IF(B274="","",VLOOKUP(B274,小圆机汇总表!A:AP,5,FALSE))</f>
        <v>白高温</v>
      </c>
      <c r="F274" s="8" t="str">
        <f>IF(B274="","",VLOOKUP(B274,小圆机汇总表!A:AP,8,FALSE))</f>
        <v>申久</v>
      </c>
      <c r="G274" s="23">
        <v>43755</v>
      </c>
      <c r="H274" s="8">
        <v>181.8</v>
      </c>
      <c r="I274" s="8">
        <v>9</v>
      </c>
      <c r="K274" s="8" t="s">
        <v>1242</v>
      </c>
      <c r="M274" s="250">
        <f t="shared" si="4"/>
        <v>10</v>
      </c>
    </row>
    <row r="275" spans="1:13" hidden="1" outlineLevel="1">
      <c r="A275" s="4">
        <v>275</v>
      </c>
      <c r="B275" s="8" t="s">
        <v>128</v>
      </c>
      <c r="C275" s="8" t="str">
        <f>IF(B275="","",VLOOKUP(B275,小圆机汇总表!A:AP,2,FALSE))</f>
        <v>A7545斜乱平纹</v>
      </c>
      <c r="D275" s="8">
        <f>IF(B275="","",VLOOKUP(B275,小圆机汇总表!A:AP,7,FALSE))</f>
        <v>45</v>
      </c>
      <c r="E275" s="8" t="str">
        <f>IF(B275="","",VLOOKUP(B275,小圆机汇总表!A:AP,5,FALSE))</f>
        <v>白</v>
      </c>
      <c r="F275" s="8" t="str">
        <f>IF(B275="","",VLOOKUP(B275,小圆机汇总表!A:AP,8,FALSE))</f>
        <v>长乐</v>
      </c>
      <c r="G275" s="23">
        <v>43755</v>
      </c>
      <c r="H275" s="8">
        <v>763.2</v>
      </c>
      <c r="I275" s="8">
        <v>38</v>
      </c>
      <c r="K275" s="8" t="s">
        <v>1247</v>
      </c>
      <c r="M275" s="250">
        <f t="shared" si="4"/>
        <v>10</v>
      </c>
    </row>
    <row r="276" spans="1:13" hidden="1" outlineLevel="1">
      <c r="A276" s="4">
        <v>276</v>
      </c>
      <c r="B276" s="8" t="s">
        <v>129</v>
      </c>
      <c r="C276" s="8" t="str">
        <f>IF(B276="","",VLOOKUP(B276,小圆机汇总表!A:AP,2,FALSE))</f>
        <v>A7548斜乱平纹</v>
      </c>
      <c r="D276" s="8">
        <f>IF(B276="","",VLOOKUP(B276,小圆机汇总表!A:AP,7,FALSE))</f>
        <v>48</v>
      </c>
      <c r="E276" s="8" t="str">
        <f>IF(B276="","",VLOOKUP(B276,小圆机汇总表!A:AP,5,FALSE))</f>
        <v>白高温</v>
      </c>
      <c r="F276" s="8" t="str">
        <f>IF(B276="","",VLOOKUP(B276,小圆机汇总表!A:AP,8,FALSE))</f>
        <v>长乐</v>
      </c>
      <c r="G276" s="23">
        <v>43755</v>
      </c>
      <c r="H276" s="8">
        <v>142.1</v>
      </c>
      <c r="I276" s="8">
        <v>7</v>
      </c>
      <c r="K276" s="8" t="s">
        <v>1240</v>
      </c>
      <c r="M276" s="250">
        <f t="shared" si="4"/>
        <v>10</v>
      </c>
    </row>
    <row r="277" spans="1:13" hidden="1" outlineLevel="1">
      <c r="A277" s="4">
        <v>277</v>
      </c>
      <c r="B277" s="8" t="s">
        <v>104</v>
      </c>
      <c r="C277" s="8" t="str">
        <f>IF(B277="","",VLOOKUP(B277,小圆机汇总表!A:AP,2,FALSE))</f>
        <v>B7549w</v>
      </c>
      <c r="D277" s="8">
        <f>IF(B277="","",VLOOKUP(B277,小圆机汇总表!A:AP,7,FALSE))</f>
        <v>49</v>
      </c>
      <c r="E277" s="8" t="str">
        <f>IF(B277="","",VLOOKUP(B277,小圆机汇总表!A:AP,5,FALSE))</f>
        <v>白</v>
      </c>
      <c r="F277" s="8" t="str">
        <f>IF(B277="","",VLOOKUP(B277,小圆机汇总表!A:AP,8,FALSE))</f>
        <v>长乐</v>
      </c>
      <c r="G277" s="23">
        <v>43755</v>
      </c>
      <c r="H277" s="8">
        <v>101.5</v>
      </c>
      <c r="I277" s="8">
        <v>5</v>
      </c>
      <c r="K277" s="8" t="s">
        <v>1245</v>
      </c>
      <c r="M277" s="250">
        <f t="shared" si="4"/>
        <v>10</v>
      </c>
    </row>
    <row r="278" spans="1:13" hidden="1" outlineLevel="1">
      <c r="A278" s="4">
        <v>278</v>
      </c>
      <c r="B278" s="8" t="s">
        <v>990</v>
      </c>
      <c r="C278" s="8" t="str">
        <f>IF(B278="","",VLOOKUP(B278,小圆机汇总表!A:AP,2,FALSE))</f>
        <v>B7543大W</v>
      </c>
      <c r="D278" s="8">
        <f>IF(B278="","",VLOOKUP(B278,小圆机汇总表!A:AP,7,FALSE))</f>
        <v>43</v>
      </c>
      <c r="E278" s="8" t="str">
        <f>IF(B278="","",VLOOKUP(B278,小圆机汇总表!A:AP,5,FALSE))</f>
        <v>白</v>
      </c>
      <c r="F278" s="8" t="str">
        <f>IF(B278="","",VLOOKUP(B278,小圆机汇总表!A:AP,8,FALSE))</f>
        <v>长乐</v>
      </c>
      <c r="G278" s="23">
        <v>43755</v>
      </c>
      <c r="H278" s="8">
        <v>291.89999999999998</v>
      </c>
      <c r="I278" s="8">
        <v>14</v>
      </c>
      <c r="K278" s="8" t="s">
        <v>1244</v>
      </c>
      <c r="M278" s="250">
        <f t="shared" si="4"/>
        <v>10</v>
      </c>
    </row>
    <row r="279" spans="1:13" hidden="1" outlineLevel="1">
      <c r="A279" s="4">
        <v>279</v>
      </c>
      <c r="B279" s="8" t="s">
        <v>1234</v>
      </c>
      <c r="C279" s="8" t="str">
        <f>IF(B279="","",VLOOKUP(B279,小圆机汇总表!A:AP,2,FALSE))</f>
        <v>B10063大W</v>
      </c>
      <c r="D279" s="8">
        <f>IF(B279="","",VLOOKUP(B279,小圆机汇总表!A:AP,7,FALSE))</f>
        <v>63</v>
      </c>
      <c r="E279" s="8" t="str">
        <f>IF(B279="","",VLOOKUP(B279,小圆机汇总表!A:AP,5,FALSE))</f>
        <v>白</v>
      </c>
      <c r="F279" s="8" t="str">
        <f>IF(B279="","",VLOOKUP(B279,小圆机汇总表!A:AP,8,FALSE))</f>
        <v>申久</v>
      </c>
      <c r="G279" s="23">
        <v>43755</v>
      </c>
      <c r="H279" s="8">
        <v>139.30000000000001</v>
      </c>
      <c r="I279" s="8">
        <v>7</v>
      </c>
      <c r="K279" s="8" t="s">
        <v>1247</v>
      </c>
      <c r="M279" s="250">
        <f t="shared" si="4"/>
        <v>10</v>
      </c>
    </row>
    <row r="280" spans="1:13" hidden="1" outlineLevel="1">
      <c r="A280" s="4">
        <v>280</v>
      </c>
      <c r="B280" s="8" t="s">
        <v>1127</v>
      </c>
      <c r="C280" s="8" t="str">
        <f>IF(B280="","",VLOOKUP(B280,小圆机汇总表!A:AP,2,FALSE))</f>
        <v>B3023乱平纹</v>
      </c>
      <c r="D280" s="8">
        <f>IF(B280="","",VLOOKUP(B280,小圆机汇总表!A:AP,7,FALSE))</f>
        <v>23</v>
      </c>
      <c r="E280" s="8" t="str">
        <f>IF(B280="","",VLOOKUP(B280,小圆机汇总表!A:AP,5,FALSE))</f>
        <v>白</v>
      </c>
      <c r="F280" s="8" t="str">
        <f>IF(B280="","",VLOOKUP(B280,小圆机汇总表!A:AP,8,FALSE))</f>
        <v>银宇</v>
      </c>
      <c r="G280" s="23">
        <v>43756</v>
      </c>
      <c r="H280" s="8">
        <v>37.799999999999997</v>
      </c>
      <c r="I280" s="8">
        <v>2</v>
      </c>
      <c r="K280" s="8" t="s">
        <v>980</v>
      </c>
      <c r="M280" s="250">
        <f t="shared" si="4"/>
        <v>10</v>
      </c>
    </row>
    <row r="281" spans="1:13" hidden="1" outlineLevel="1">
      <c r="A281" s="4">
        <v>281</v>
      </c>
      <c r="B281" s="8" t="s">
        <v>239</v>
      </c>
      <c r="C281" s="8" t="str">
        <f>IF(B281="","",VLOOKUP(B281,小圆机汇总表!A:AP,2,FALSE))</f>
        <v>B3023乱平纹</v>
      </c>
      <c r="D281" s="8">
        <f>IF(B281="","",VLOOKUP(B281,小圆机汇总表!A:AP,7,FALSE))</f>
        <v>23</v>
      </c>
      <c r="E281" s="8" t="str">
        <f>IF(B281="","",VLOOKUP(B281,小圆机汇总表!A:AP,5,FALSE))</f>
        <v>白</v>
      </c>
      <c r="F281" s="8" t="str">
        <f>IF(B281="","",VLOOKUP(B281,小圆机汇总表!A:AP,8,FALSE))</f>
        <v>长乐</v>
      </c>
      <c r="G281" s="23">
        <v>43756</v>
      </c>
      <c r="H281" s="8">
        <v>58.8</v>
      </c>
      <c r="I281" s="8">
        <v>3</v>
      </c>
      <c r="K281" s="8" t="s">
        <v>980</v>
      </c>
      <c r="M281" s="250">
        <f t="shared" si="4"/>
        <v>10</v>
      </c>
    </row>
    <row r="282" spans="1:13" hidden="1" outlineLevel="1">
      <c r="A282" s="4">
        <v>282</v>
      </c>
      <c r="B282" s="8" t="s">
        <v>121</v>
      </c>
      <c r="C282" s="8" t="str">
        <f>IF(B282="","",VLOOKUP(B282,小圆机汇总表!A:AP,2,FALSE))</f>
        <v>A5032w</v>
      </c>
      <c r="D282" s="8">
        <f>IF(B282="","",VLOOKUP(B282,小圆机汇总表!A:AP,7,FALSE))</f>
        <v>32</v>
      </c>
      <c r="E282" s="8" t="str">
        <f>IF(B282="","",VLOOKUP(B282,小圆机汇总表!A:AP,5,FALSE))</f>
        <v>白</v>
      </c>
      <c r="F282" s="8" t="str">
        <f>IF(B282="","",VLOOKUP(B282,小圆机汇总表!A:AP,8,FALSE))</f>
        <v>长乐</v>
      </c>
      <c r="G282" s="23">
        <v>43756</v>
      </c>
      <c r="H282" s="8">
        <v>563.1</v>
      </c>
      <c r="I282" s="8">
        <v>28</v>
      </c>
      <c r="K282" s="8" t="s">
        <v>1241</v>
      </c>
      <c r="M282" s="250">
        <f t="shared" si="4"/>
        <v>10</v>
      </c>
    </row>
    <row r="283" spans="1:13" hidden="1" outlineLevel="1">
      <c r="A283" s="4">
        <v>283</v>
      </c>
      <c r="B283" s="8" t="s">
        <v>122</v>
      </c>
      <c r="C283" s="8" t="str">
        <f>IF(B283="","",VLOOKUP(B283,小圆机汇总表!A:AP,2,FALSE))</f>
        <v>B5034大W</v>
      </c>
      <c r="D283" s="8">
        <f>IF(B283="","",VLOOKUP(B283,小圆机汇总表!A:AP,7,FALSE))</f>
        <v>34</v>
      </c>
      <c r="E283" s="8" t="str">
        <f>IF(B283="","",VLOOKUP(B283,小圆机汇总表!A:AP,5,FALSE))</f>
        <v>白高温</v>
      </c>
      <c r="F283" s="8" t="str">
        <f>IF(B283="","",VLOOKUP(B283,小圆机汇总表!A:AP,8,FALSE))</f>
        <v>长乐</v>
      </c>
      <c r="G283" s="23">
        <v>43756</v>
      </c>
      <c r="H283" s="8">
        <v>803.2</v>
      </c>
      <c r="I283" s="8">
        <v>40</v>
      </c>
      <c r="K283" s="8" t="s">
        <v>1242</v>
      </c>
      <c r="M283" s="250">
        <f t="shared" si="4"/>
        <v>10</v>
      </c>
    </row>
    <row r="284" spans="1:13" hidden="1" outlineLevel="1">
      <c r="A284" s="4">
        <v>284</v>
      </c>
      <c r="B284" s="8" t="s">
        <v>123</v>
      </c>
      <c r="C284" s="8" t="str">
        <f>IF(B284="","",VLOOKUP(B284,小圆机汇总表!A:AP,2,FALSE))</f>
        <v>B7539斜乱平纹</v>
      </c>
      <c r="D284" s="8">
        <f>IF(B284="","",VLOOKUP(B284,小圆机汇总表!A:AP,7,FALSE))</f>
        <v>39</v>
      </c>
      <c r="E284" s="8" t="str">
        <f>IF(B284="","",VLOOKUP(B284,小圆机汇总表!A:AP,5,FALSE))</f>
        <v>白</v>
      </c>
      <c r="F284" s="8" t="str">
        <f>IF(B284="","",VLOOKUP(B284,小圆机汇总表!A:AP,8,FALSE))</f>
        <v>盛元</v>
      </c>
      <c r="G284" s="23">
        <v>43756</v>
      </c>
      <c r="H284" s="8">
        <v>328</v>
      </c>
      <c r="I284" s="8">
        <v>16</v>
      </c>
      <c r="K284" s="8" t="s">
        <v>1240</v>
      </c>
      <c r="M284" s="250">
        <f t="shared" si="4"/>
        <v>10</v>
      </c>
    </row>
    <row r="285" spans="1:13" hidden="1" outlineLevel="1">
      <c r="A285" s="4">
        <v>285</v>
      </c>
      <c r="B285" s="8" t="s">
        <v>961</v>
      </c>
      <c r="C285" s="8" t="str">
        <f>IF(B285="","",VLOOKUP(B285,小圆机汇总表!A:AP,2,FALSE))</f>
        <v>C5034w</v>
      </c>
      <c r="D285" s="8">
        <f>IF(B285="","",VLOOKUP(B285,小圆机汇总表!A:AP,7,FALSE))</f>
        <v>34</v>
      </c>
      <c r="E285" s="8" t="str">
        <f>IF(B285="","",VLOOKUP(B285,小圆机汇总表!A:AP,5,FALSE))</f>
        <v>白</v>
      </c>
      <c r="F285" s="8" t="str">
        <f>IF(B285="","",VLOOKUP(B285,小圆机汇总表!A:AP,8,FALSE))</f>
        <v>长乐</v>
      </c>
      <c r="G285" s="23">
        <v>43756</v>
      </c>
      <c r="H285" s="8">
        <v>340.4</v>
      </c>
      <c r="I285" s="8">
        <v>18</v>
      </c>
      <c r="K285" s="8" t="s">
        <v>1243</v>
      </c>
      <c r="M285" s="250">
        <f t="shared" si="4"/>
        <v>10</v>
      </c>
    </row>
    <row r="286" spans="1:13" hidden="1" outlineLevel="1">
      <c r="A286" s="4">
        <v>286</v>
      </c>
      <c r="B286" s="8" t="s">
        <v>975</v>
      </c>
      <c r="C286" s="8" t="str">
        <f>IF(B286="","",VLOOKUP(B286,小圆机汇总表!A:AP,2,FALSE))</f>
        <v>C5034w</v>
      </c>
      <c r="D286" s="8">
        <f>IF(B286="","",VLOOKUP(B286,小圆机汇总表!A:AP,7,FALSE))</f>
        <v>34</v>
      </c>
      <c r="E286" s="8" t="str">
        <f>IF(B286="","",VLOOKUP(B286,小圆机汇总表!A:AP,5,FALSE))</f>
        <v>黑</v>
      </c>
      <c r="F286" s="8" t="str">
        <f>IF(B286="","",VLOOKUP(B286,小圆机汇总表!A:AP,8,FALSE))</f>
        <v>固力</v>
      </c>
      <c r="G286" s="23">
        <v>43756</v>
      </c>
      <c r="H286" s="8">
        <v>41.4</v>
      </c>
      <c r="I286" s="8">
        <v>2</v>
      </c>
      <c r="K286" s="8" t="s">
        <v>1244</v>
      </c>
      <c r="M286" s="250">
        <f t="shared" si="4"/>
        <v>10</v>
      </c>
    </row>
    <row r="287" spans="1:13" hidden="1" outlineLevel="1">
      <c r="A287" s="4">
        <v>287</v>
      </c>
      <c r="B287" s="8" t="s">
        <v>112</v>
      </c>
      <c r="C287" s="8" t="str">
        <f>IF(B287="","",VLOOKUP(B287,小圆机汇总表!A:AP,2,FALSE))</f>
        <v>A5035w黑</v>
      </c>
      <c r="D287" s="8">
        <f>IF(B287="","",VLOOKUP(B287,小圆机汇总表!A:AP,7,FALSE))</f>
        <v>35</v>
      </c>
      <c r="E287" s="8" t="str">
        <f>IF(B287="","",VLOOKUP(B287,小圆机汇总表!A:AP,5,FALSE))</f>
        <v>黑</v>
      </c>
      <c r="F287" s="8" t="str">
        <f>IF(B287="","",VLOOKUP(B287,小圆机汇总表!A:AP,8,FALSE))</f>
        <v>固力</v>
      </c>
      <c r="G287" s="23">
        <v>43756</v>
      </c>
      <c r="H287" s="8">
        <v>745.3</v>
      </c>
      <c r="I287" s="8">
        <f>29+5</f>
        <v>34</v>
      </c>
      <c r="K287" s="8" t="s">
        <v>1245</v>
      </c>
      <c r="M287" s="250">
        <f t="shared" si="4"/>
        <v>10</v>
      </c>
    </row>
    <row r="288" spans="1:13" hidden="1" outlineLevel="1">
      <c r="A288" s="4">
        <v>288</v>
      </c>
      <c r="B288" s="8" t="s">
        <v>47</v>
      </c>
      <c r="C288" s="8" t="str">
        <f>IF(B288="","",VLOOKUP(B288,小圆机汇总表!A:AP,2,FALSE))</f>
        <v>A5035w</v>
      </c>
      <c r="D288" s="8">
        <f>IF(B288="","",VLOOKUP(B288,小圆机汇总表!A:AP,7,FALSE))</f>
        <v>35</v>
      </c>
      <c r="E288" s="8" t="str">
        <f>IF(B288="","",VLOOKUP(B288,小圆机汇总表!A:AP,5,FALSE))</f>
        <v>白</v>
      </c>
      <c r="F288" s="8" t="str">
        <f>IF(B288="","",VLOOKUP(B288,小圆机汇总表!A:AP,8,FALSE))</f>
        <v>长乐</v>
      </c>
      <c r="G288" s="23">
        <v>43756</v>
      </c>
      <c r="H288" s="8">
        <v>262.2</v>
      </c>
      <c r="I288" s="8">
        <v>13</v>
      </c>
      <c r="K288" s="8" t="s">
        <v>1246</v>
      </c>
      <c r="M288" s="250">
        <f t="shared" si="4"/>
        <v>10</v>
      </c>
    </row>
    <row r="289" spans="1:13" hidden="1" outlineLevel="1">
      <c r="A289" s="4">
        <v>289</v>
      </c>
      <c r="B289" s="8" t="s">
        <v>1239</v>
      </c>
      <c r="C289" s="8" t="str">
        <f>IF(B289="","",VLOOKUP(B289,小圆机汇总表!A:AP,2,FALSE))</f>
        <v>A5032w 32针</v>
      </c>
      <c r="D289" s="8">
        <f>IF(B289="","",VLOOKUP(B289,小圆机汇总表!A:AP,7,FALSE))</f>
        <v>32</v>
      </c>
      <c r="E289" s="8" t="str">
        <f>IF(B289="","",VLOOKUP(B289,小圆机汇总表!A:AP,5,FALSE))</f>
        <v>白</v>
      </c>
      <c r="F289" s="8" t="str">
        <f>IF(B289="","",VLOOKUP(B289,小圆机汇总表!A:AP,8,FALSE))</f>
        <v>长乐/32针</v>
      </c>
      <c r="G289" s="23">
        <v>43756</v>
      </c>
      <c r="H289" s="8">
        <v>101</v>
      </c>
      <c r="I289" s="8">
        <v>5</v>
      </c>
      <c r="K289" s="8" t="s">
        <v>1247</v>
      </c>
      <c r="M289" s="250">
        <f t="shared" si="4"/>
        <v>10</v>
      </c>
    </row>
    <row r="290" spans="1:13" hidden="1" outlineLevel="1">
      <c r="A290" s="4">
        <v>290</v>
      </c>
      <c r="B290" s="8" t="s">
        <v>68</v>
      </c>
      <c r="C290" s="8" t="str">
        <f>IF(B290="","",VLOOKUP(B290,小圆机汇总表!A:AP,2,FALSE))</f>
        <v>A5036直平纹</v>
      </c>
      <c r="D290" s="8">
        <f>IF(B290="","",VLOOKUP(B290,小圆机汇总表!A:AP,7,FALSE))</f>
        <v>36</v>
      </c>
      <c r="E290" s="8" t="str">
        <f>IF(B290="","",VLOOKUP(B290,小圆机汇总表!A:AP,5,FALSE))</f>
        <v>白</v>
      </c>
      <c r="F290" s="8" t="str">
        <f>IF(B290="","",VLOOKUP(B290,小圆机汇总表!A:AP,8,FALSE))</f>
        <v>长乐</v>
      </c>
      <c r="G290" s="23">
        <v>43756</v>
      </c>
      <c r="H290" s="8">
        <v>107</v>
      </c>
      <c r="I290" s="8">
        <v>6</v>
      </c>
      <c r="K290" s="8" t="s">
        <v>1248</v>
      </c>
      <c r="M290" s="250">
        <f t="shared" si="4"/>
        <v>10</v>
      </c>
    </row>
    <row r="291" spans="1:13" hidden="1" outlineLevel="1">
      <c r="A291" s="4">
        <v>291</v>
      </c>
      <c r="B291" s="8" t="s">
        <v>116</v>
      </c>
      <c r="C291" s="8" t="str">
        <f>IF(B291="","",VLOOKUP(B291,小圆机汇总表!A:AP,2,FALSE))</f>
        <v>B5036大W高温丝</v>
      </c>
      <c r="D291" s="8">
        <f>IF(B291="","",VLOOKUP(B291,小圆机汇总表!A:AP,7,FALSE))</f>
        <v>36</v>
      </c>
      <c r="E291" s="8" t="str">
        <f>IF(B291="","",VLOOKUP(B291,小圆机汇总表!A:AP,5,FALSE))</f>
        <v>白高温</v>
      </c>
      <c r="F291" s="8" t="str">
        <f>IF(B291="","",VLOOKUP(B291,小圆机汇总表!A:AP,8,FALSE))</f>
        <v>长乐</v>
      </c>
      <c r="G291" s="23">
        <v>43756</v>
      </c>
      <c r="H291" s="8">
        <v>433</v>
      </c>
      <c r="I291" s="8">
        <v>22</v>
      </c>
      <c r="K291" s="8" t="s">
        <v>1242</v>
      </c>
      <c r="M291" s="250">
        <f t="shared" si="4"/>
        <v>10</v>
      </c>
    </row>
    <row r="292" spans="1:13" hidden="1" outlineLevel="1">
      <c r="A292" s="4">
        <v>292</v>
      </c>
      <c r="B292" s="8" t="s">
        <v>1146</v>
      </c>
      <c r="C292" s="8" t="str">
        <f>IF(B292="","",VLOOKUP(B292,小圆机汇总表!A:AP,2,FALSE))</f>
        <v>A5042w</v>
      </c>
      <c r="D292" s="8">
        <f>IF(B292="","",VLOOKUP(B292,小圆机汇总表!A:AP,7,FALSE))</f>
        <v>42</v>
      </c>
      <c r="E292" s="8" t="str">
        <f>IF(B292="","",VLOOKUP(B292,小圆机汇总表!A:AP,5,FALSE))</f>
        <v>白</v>
      </c>
      <c r="F292" s="8" t="str">
        <f>IF(B292="","",VLOOKUP(B292,小圆机汇总表!A:AP,8,FALSE))</f>
        <v>长乐</v>
      </c>
      <c r="G292" s="23">
        <v>43756</v>
      </c>
      <c r="H292" s="8">
        <v>383.6</v>
      </c>
      <c r="I292" s="8">
        <v>20</v>
      </c>
      <c r="K292" s="8" t="s">
        <v>1246</v>
      </c>
      <c r="M292" s="250">
        <f t="shared" si="4"/>
        <v>10</v>
      </c>
    </row>
    <row r="293" spans="1:13" hidden="1" outlineLevel="1">
      <c r="A293" s="4">
        <v>293</v>
      </c>
      <c r="B293" s="8" t="s">
        <v>1019</v>
      </c>
      <c r="C293" s="8" t="str">
        <f>IF(B293="","",VLOOKUP(B293,小圆机汇总表!A:AP,2,FALSE))</f>
        <v>A5040w</v>
      </c>
      <c r="D293" s="8">
        <f>IF(B293="","",VLOOKUP(B293,小圆机汇总表!A:AP,7,FALSE))</f>
        <v>40</v>
      </c>
      <c r="E293" s="8" t="str">
        <f>IF(B293="","",VLOOKUP(B293,小圆机汇总表!A:AP,5,FALSE))</f>
        <v>白</v>
      </c>
      <c r="F293" s="8" t="str">
        <f>IF(B293="","",VLOOKUP(B293,小圆机汇总表!A:AP,8,FALSE))</f>
        <v>长乐</v>
      </c>
      <c r="G293" s="23">
        <v>43756</v>
      </c>
      <c r="H293" s="8">
        <v>280.2</v>
      </c>
      <c r="I293" s="8">
        <v>14</v>
      </c>
      <c r="K293" s="8" t="s">
        <v>1249</v>
      </c>
      <c r="M293" s="250">
        <f t="shared" si="4"/>
        <v>10</v>
      </c>
    </row>
    <row r="294" spans="1:13" hidden="1" outlineLevel="1">
      <c r="A294" s="4">
        <v>294</v>
      </c>
      <c r="B294" s="8" t="s">
        <v>749</v>
      </c>
      <c r="C294" s="8" t="str">
        <f>IF(B294="","",VLOOKUP(B294,小圆机汇总表!A:AP,2,FALSE))</f>
        <v>C7542大W 白丝</v>
      </c>
      <c r="D294" s="8">
        <f>IF(B294="","",VLOOKUP(B294,小圆机汇总表!A:AP,7,FALSE))</f>
        <v>42</v>
      </c>
      <c r="E294" s="8" t="str">
        <f>IF(B294="","",VLOOKUP(B294,小圆机汇总表!A:AP,5,FALSE))</f>
        <v>白高温</v>
      </c>
      <c r="F294" s="8" t="str">
        <f>IF(B294="","",VLOOKUP(B294,小圆机汇总表!A:AP,8,FALSE))</f>
        <v>申久</v>
      </c>
      <c r="G294" s="23">
        <v>43756</v>
      </c>
      <c r="H294" s="8">
        <v>263.2</v>
      </c>
      <c r="I294" s="8">
        <v>13</v>
      </c>
      <c r="K294" s="8" t="s">
        <v>1242</v>
      </c>
      <c r="M294" s="250">
        <f t="shared" si="4"/>
        <v>10</v>
      </c>
    </row>
    <row r="295" spans="1:13" hidden="1" outlineLevel="1">
      <c r="A295" s="4">
        <v>295</v>
      </c>
      <c r="B295" s="8" t="s">
        <v>128</v>
      </c>
      <c r="C295" s="8" t="str">
        <f>IF(B295="","",VLOOKUP(B295,小圆机汇总表!A:AP,2,FALSE))</f>
        <v>A7545斜乱平纹</v>
      </c>
      <c r="D295" s="8">
        <f>IF(B295="","",VLOOKUP(B295,小圆机汇总表!A:AP,7,FALSE))</f>
        <v>45</v>
      </c>
      <c r="E295" s="8" t="str">
        <f>IF(B295="","",VLOOKUP(B295,小圆机汇总表!A:AP,5,FALSE))</f>
        <v>白</v>
      </c>
      <c r="F295" s="8" t="str">
        <f>IF(B295="","",VLOOKUP(B295,小圆机汇总表!A:AP,8,FALSE))</f>
        <v>长乐</v>
      </c>
      <c r="G295" s="23">
        <v>43756</v>
      </c>
      <c r="H295" s="8">
        <v>783.2</v>
      </c>
      <c r="I295" s="8">
        <v>39</v>
      </c>
      <c r="K295" s="8" t="s">
        <v>1247</v>
      </c>
      <c r="M295" s="250">
        <f t="shared" si="4"/>
        <v>10</v>
      </c>
    </row>
    <row r="296" spans="1:13" hidden="1" outlineLevel="1">
      <c r="A296" s="4">
        <v>296</v>
      </c>
      <c r="B296" s="8" t="s">
        <v>129</v>
      </c>
      <c r="C296" s="8" t="str">
        <f>IF(B296="","",VLOOKUP(B296,小圆机汇总表!A:AP,2,FALSE))</f>
        <v>A7548斜乱平纹</v>
      </c>
      <c r="D296" s="8">
        <f>IF(B296="","",VLOOKUP(B296,小圆机汇总表!A:AP,7,FALSE))</f>
        <v>48</v>
      </c>
      <c r="E296" s="8" t="str">
        <f>IF(B296="","",VLOOKUP(B296,小圆机汇总表!A:AP,5,FALSE))</f>
        <v>白高温</v>
      </c>
      <c r="F296" s="8" t="str">
        <f>IF(B296="","",VLOOKUP(B296,小圆机汇总表!A:AP,8,FALSE))</f>
        <v>长乐</v>
      </c>
      <c r="G296" s="23">
        <v>43756</v>
      </c>
      <c r="H296" s="8">
        <v>162.4</v>
      </c>
      <c r="I296" s="8">
        <v>8</v>
      </c>
      <c r="K296" s="8" t="s">
        <v>1240</v>
      </c>
      <c r="M296" s="250">
        <f t="shared" si="4"/>
        <v>10</v>
      </c>
    </row>
    <row r="297" spans="1:13" hidden="1" outlineLevel="1">
      <c r="A297" s="4">
        <v>297</v>
      </c>
      <c r="B297" s="8" t="s">
        <v>104</v>
      </c>
      <c r="C297" s="8" t="str">
        <f>IF(B297="","",VLOOKUP(B297,小圆机汇总表!A:AP,2,FALSE))</f>
        <v>B7549w</v>
      </c>
      <c r="D297" s="8">
        <f>IF(B297="","",VLOOKUP(B297,小圆机汇总表!A:AP,7,FALSE))</f>
        <v>49</v>
      </c>
      <c r="E297" s="8" t="str">
        <f>IF(B297="","",VLOOKUP(B297,小圆机汇总表!A:AP,5,FALSE))</f>
        <v>白</v>
      </c>
      <c r="F297" s="8" t="str">
        <f>IF(B297="","",VLOOKUP(B297,小圆机汇总表!A:AP,8,FALSE))</f>
        <v>长乐</v>
      </c>
      <c r="G297" s="23">
        <v>43756</v>
      </c>
      <c r="H297" s="8">
        <v>121.8</v>
      </c>
      <c r="I297" s="8">
        <v>6</v>
      </c>
      <c r="K297" s="8" t="s">
        <v>1245</v>
      </c>
      <c r="M297" s="250">
        <f t="shared" si="4"/>
        <v>10</v>
      </c>
    </row>
    <row r="298" spans="1:13" hidden="1" outlineLevel="1">
      <c r="A298" s="4">
        <v>298</v>
      </c>
      <c r="B298" s="8" t="s">
        <v>990</v>
      </c>
      <c r="C298" s="8" t="str">
        <f>IF(B298="","",VLOOKUP(B298,小圆机汇总表!A:AP,2,FALSE))</f>
        <v>B7543大W</v>
      </c>
      <c r="D298" s="8">
        <f>IF(B298="","",VLOOKUP(B298,小圆机汇总表!A:AP,7,FALSE))</f>
        <v>43</v>
      </c>
      <c r="E298" s="8" t="str">
        <f>IF(B298="","",VLOOKUP(B298,小圆机汇总表!A:AP,5,FALSE))</f>
        <v>白</v>
      </c>
      <c r="F298" s="8" t="str">
        <f>IF(B298="","",VLOOKUP(B298,小圆机汇总表!A:AP,8,FALSE))</f>
        <v>长乐</v>
      </c>
      <c r="G298" s="23">
        <v>43756</v>
      </c>
      <c r="H298" s="8">
        <v>250.2</v>
      </c>
      <c r="I298" s="8">
        <v>12</v>
      </c>
      <c r="K298" s="8" t="s">
        <v>1244</v>
      </c>
      <c r="M298" s="250">
        <f t="shared" si="4"/>
        <v>10</v>
      </c>
    </row>
    <row r="299" spans="1:13" hidden="1" outlineLevel="1">
      <c r="A299" s="4">
        <v>299</v>
      </c>
      <c r="B299" s="8" t="s">
        <v>1234</v>
      </c>
      <c r="C299" s="8" t="str">
        <f>IF(B299="","",VLOOKUP(B299,小圆机汇总表!A:AP,2,FALSE))</f>
        <v>B10063大W</v>
      </c>
      <c r="D299" s="8">
        <f>IF(B299="","",VLOOKUP(B299,小圆机汇总表!A:AP,7,FALSE))</f>
        <v>63</v>
      </c>
      <c r="E299" s="8" t="str">
        <f>IF(B299="","",VLOOKUP(B299,小圆机汇总表!A:AP,5,FALSE))</f>
        <v>白</v>
      </c>
      <c r="F299" s="8" t="str">
        <f>IF(B299="","",VLOOKUP(B299,小圆机汇总表!A:AP,8,FALSE))</f>
        <v>申久</v>
      </c>
      <c r="G299" s="23">
        <v>43756</v>
      </c>
      <c r="H299" s="8">
        <v>179.1</v>
      </c>
      <c r="I299" s="8">
        <v>9</v>
      </c>
      <c r="K299" s="8" t="s">
        <v>989</v>
      </c>
      <c r="M299" s="250">
        <f t="shared" si="4"/>
        <v>10</v>
      </c>
    </row>
    <row r="300" spans="1:13" hidden="1" outlineLevel="1">
      <c r="A300" s="4">
        <v>300</v>
      </c>
      <c r="B300" s="8" t="s">
        <v>1127</v>
      </c>
      <c r="C300" s="8" t="str">
        <f>IF(B300="","",VLOOKUP(B300,小圆机汇总表!A:AP,2,FALSE))</f>
        <v>B3023乱平纹</v>
      </c>
      <c r="D300" s="8">
        <f>IF(B300="","",VLOOKUP(B300,小圆机汇总表!A:AP,7,FALSE))</f>
        <v>23</v>
      </c>
      <c r="E300" s="8" t="str">
        <f>IF(B300="","",VLOOKUP(B300,小圆机汇总表!A:AP,5,FALSE))</f>
        <v>白</v>
      </c>
      <c r="F300" s="8" t="str">
        <f>IF(B300="","",VLOOKUP(B300,小圆机汇总表!A:AP,8,FALSE))</f>
        <v>银宇</v>
      </c>
      <c r="G300" s="23">
        <v>43757</v>
      </c>
      <c r="H300" s="8">
        <v>56.7</v>
      </c>
      <c r="I300" s="8">
        <v>3</v>
      </c>
      <c r="K300" s="8" t="s">
        <v>252</v>
      </c>
      <c r="M300" s="250">
        <f t="shared" si="4"/>
        <v>10</v>
      </c>
    </row>
    <row r="301" spans="1:13" hidden="1" outlineLevel="1">
      <c r="A301" s="4">
        <v>301</v>
      </c>
      <c r="B301" s="8" t="s">
        <v>239</v>
      </c>
      <c r="C301" s="8" t="str">
        <f>IF(B301="","",VLOOKUP(B301,小圆机汇总表!A:AP,2,FALSE))</f>
        <v>B3023乱平纹</v>
      </c>
      <c r="D301" s="8">
        <f>IF(B301="","",VLOOKUP(B301,小圆机汇总表!A:AP,7,FALSE))</f>
        <v>23</v>
      </c>
      <c r="E301" s="8" t="str">
        <f>IF(B301="","",VLOOKUP(B301,小圆机汇总表!A:AP,5,FALSE))</f>
        <v>白</v>
      </c>
      <c r="F301" s="8" t="str">
        <f>IF(B301="","",VLOOKUP(B301,小圆机汇总表!A:AP,8,FALSE))</f>
        <v>长乐</v>
      </c>
      <c r="G301" s="23">
        <v>43757</v>
      </c>
      <c r="H301" s="8">
        <v>58.8</v>
      </c>
      <c r="I301" s="8">
        <v>3</v>
      </c>
      <c r="K301" s="8" t="s">
        <v>252</v>
      </c>
      <c r="M301" s="250">
        <f t="shared" si="4"/>
        <v>10</v>
      </c>
    </row>
    <row r="302" spans="1:13" hidden="1" outlineLevel="1">
      <c r="A302" s="4">
        <v>302</v>
      </c>
      <c r="B302" s="8" t="s">
        <v>121</v>
      </c>
      <c r="C302" s="8" t="str">
        <f>IF(B302="","",VLOOKUP(B302,小圆机汇总表!A:AP,2,FALSE))</f>
        <v>A5032w</v>
      </c>
      <c r="D302" s="8">
        <f>IF(B302="","",VLOOKUP(B302,小圆机汇总表!A:AP,7,FALSE))</f>
        <v>32</v>
      </c>
      <c r="E302" s="8" t="str">
        <f>IF(B302="","",VLOOKUP(B302,小圆机汇总表!A:AP,5,FALSE))</f>
        <v>白</v>
      </c>
      <c r="F302" s="8" t="str">
        <f>IF(B302="","",VLOOKUP(B302,小圆机汇总表!A:AP,8,FALSE))</f>
        <v>长乐</v>
      </c>
      <c r="G302" s="23">
        <v>43757</v>
      </c>
      <c r="H302" s="8">
        <v>501.2</v>
      </c>
      <c r="I302" s="8">
        <v>25</v>
      </c>
      <c r="K302" s="8">
        <v>102</v>
      </c>
      <c r="M302" s="250">
        <f t="shared" si="4"/>
        <v>10</v>
      </c>
    </row>
    <row r="303" spans="1:13" hidden="1" outlineLevel="1">
      <c r="A303" s="4">
        <v>303</v>
      </c>
      <c r="B303" s="8" t="s">
        <v>122</v>
      </c>
      <c r="C303" s="8" t="str">
        <f>IF(B303="","",VLOOKUP(B303,小圆机汇总表!A:AP,2,FALSE))</f>
        <v>B5034大W</v>
      </c>
      <c r="D303" s="8">
        <f>IF(B303="","",VLOOKUP(B303,小圆机汇总表!A:AP,7,FALSE))</f>
        <v>34</v>
      </c>
      <c r="E303" s="8" t="str">
        <f>IF(B303="","",VLOOKUP(B303,小圆机汇总表!A:AP,5,FALSE))</f>
        <v>白高温</v>
      </c>
      <c r="F303" s="8" t="str">
        <f>IF(B303="","",VLOOKUP(B303,小圆机汇总表!A:AP,8,FALSE))</f>
        <v>长乐</v>
      </c>
      <c r="G303" s="23">
        <v>43757</v>
      </c>
      <c r="H303" s="8">
        <v>396.4</v>
      </c>
      <c r="I303" s="8">
        <v>21</v>
      </c>
      <c r="K303" s="8" t="s">
        <v>1545</v>
      </c>
      <c r="M303" s="250">
        <f t="shared" si="4"/>
        <v>10</v>
      </c>
    </row>
    <row r="304" spans="1:13" hidden="1" outlineLevel="1">
      <c r="A304" s="4">
        <v>304</v>
      </c>
      <c r="B304" s="8" t="s">
        <v>123</v>
      </c>
      <c r="C304" s="8" t="str">
        <f>IF(B304="","",VLOOKUP(B304,小圆机汇总表!A:AP,2,FALSE))</f>
        <v>B7539斜乱平纹</v>
      </c>
      <c r="D304" s="8">
        <f>IF(B304="","",VLOOKUP(B304,小圆机汇总表!A:AP,7,FALSE))</f>
        <v>39</v>
      </c>
      <c r="E304" s="8" t="str">
        <f>IF(B304="","",VLOOKUP(B304,小圆机汇总表!A:AP,5,FALSE))</f>
        <v>白</v>
      </c>
      <c r="F304" s="8" t="str">
        <f>IF(B304="","",VLOOKUP(B304,小圆机汇总表!A:AP,8,FALSE))</f>
        <v>盛元</v>
      </c>
      <c r="G304" s="23">
        <v>43757</v>
      </c>
      <c r="H304" s="8">
        <v>326.5</v>
      </c>
      <c r="I304" s="8">
        <v>16</v>
      </c>
      <c r="K304" s="8" t="s">
        <v>1546</v>
      </c>
      <c r="M304" s="250">
        <f t="shared" si="4"/>
        <v>10</v>
      </c>
    </row>
    <row r="305" spans="1:13" hidden="1" outlineLevel="1">
      <c r="A305" s="4">
        <v>305</v>
      </c>
      <c r="B305" s="8" t="s">
        <v>961</v>
      </c>
      <c r="C305" s="8" t="str">
        <f>IF(B305="","",VLOOKUP(B305,小圆机汇总表!A:AP,2,FALSE))</f>
        <v>C5034w</v>
      </c>
      <c r="D305" s="8">
        <f>IF(B305="","",VLOOKUP(B305,小圆机汇总表!A:AP,7,FALSE))</f>
        <v>34</v>
      </c>
      <c r="E305" s="8" t="str">
        <f>IF(B305="","",VLOOKUP(B305,小圆机汇总表!A:AP,5,FALSE))</f>
        <v>白</v>
      </c>
      <c r="F305" s="8" t="str">
        <f>IF(B305="","",VLOOKUP(B305,小圆机汇总表!A:AP,8,FALSE))</f>
        <v>长乐</v>
      </c>
      <c r="G305" s="23">
        <v>43757</v>
      </c>
      <c r="H305" s="8">
        <v>363.5</v>
      </c>
      <c r="I305" s="8">
        <v>19</v>
      </c>
      <c r="K305" s="8" t="s">
        <v>1547</v>
      </c>
      <c r="M305" s="250">
        <f t="shared" si="4"/>
        <v>10</v>
      </c>
    </row>
    <row r="306" spans="1:13" hidden="1" outlineLevel="1">
      <c r="A306" s="4">
        <v>306</v>
      </c>
      <c r="B306" s="8" t="s">
        <v>112</v>
      </c>
      <c r="C306" s="8" t="str">
        <f>IF(B306="","",VLOOKUP(B306,小圆机汇总表!A:AP,2,FALSE))</f>
        <v>A5035w黑</v>
      </c>
      <c r="D306" s="8">
        <f>IF(B306="","",VLOOKUP(B306,小圆机汇总表!A:AP,7,FALSE))</f>
        <v>35</v>
      </c>
      <c r="E306" s="8" t="str">
        <f>IF(B306="","",VLOOKUP(B306,小圆机汇总表!A:AP,5,FALSE))</f>
        <v>黑</v>
      </c>
      <c r="F306" s="8" t="str">
        <f>IF(B306="","",VLOOKUP(B306,小圆机汇总表!A:AP,8,FALSE))</f>
        <v>固力</v>
      </c>
      <c r="G306" s="23">
        <v>43757</v>
      </c>
      <c r="H306" s="8">
        <v>704.8</v>
      </c>
      <c r="I306" s="8">
        <f>28+4</f>
        <v>32</v>
      </c>
      <c r="K306" s="8" t="s">
        <v>1548</v>
      </c>
      <c r="M306" s="250">
        <f t="shared" si="4"/>
        <v>10</v>
      </c>
    </row>
    <row r="307" spans="1:13" hidden="1" outlineLevel="1">
      <c r="A307" s="4">
        <v>307</v>
      </c>
      <c r="B307" s="8" t="s">
        <v>47</v>
      </c>
      <c r="C307" s="8" t="str">
        <f>IF(B307="","",VLOOKUP(B307,小圆机汇总表!A:AP,2,FALSE))</f>
        <v>A5035w</v>
      </c>
      <c r="D307" s="8">
        <f>IF(B307="","",VLOOKUP(B307,小圆机汇总表!A:AP,7,FALSE))</f>
        <v>35</v>
      </c>
      <c r="E307" s="8" t="str">
        <f>IF(B307="","",VLOOKUP(B307,小圆机汇总表!A:AP,5,FALSE))</f>
        <v>白</v>
      </c>
      <c r="F307" s="8" t="str">
        <f>IF(B307="","",VLOOKUP(B307,小圆机汇总表!A:AP,8,FALSE))</f>
        <v>长乐</v>
      </c>
      <c r="G307" s="23">
        <v>43757</v>
      </c>
      <c r="H307" s="8">
        <v>242.4</v>
      </c>
      <c r="I307" s="8">
        <v>12</v>
      </c>
      <c r="K307" s="8" t="s">
        <v>1549</v>
      </c>
      <c r="M307" s="250">
        <f t="shared" si="4"/>
        <v>10</v>
      </c>
    </row>
    <row r="308" spans="1:13" hidden="1" outlineLevel="1">
      <c r="A308" s="4">
        <v>308</v>
      </c>
      <c r="B308" s="8" t="s">
        <v>1239</v>
      </c>
      <c r="C308" s="8" t="str">
        <f>IF(B308="","",VLOOKUP(B308,小圆机汇总表!A:AP,2,FALSE))</f>
        <v>A5032w 32针</v>
      </c>
      <c r="D308" s="8">
        <f>IF(B308="","",VLOOKUP(B308,小圆机汇总表!A:AP,7,FALSE))</f>
        <v>32</v>
      </c>
      <c r="E308" s="8" t="str">
        <f>IF(B308="","",VLOOKUP(B308,小圆机汇总表!A:AP,5,FALSE))</f>
        <v>白</v>
      </c>
      <c r="F308" s="8" t="str">
        <f>IF(B308="","",VLOOKUP(B308,小圆机汇总表!A:AP,8,FALSE))</f>
        <v>长乐/32针</v>
      </c>
      <c r="G308" s="23">
        <v>43757</v>
      </c>
      <c r="H308" s="8">
        <v>101</v>
      </c>
      <c r="I308" s="8">
        <v>5</v>
      </c>
      <c r="K308" s="8" t="s">
        <v>1550</v>
      </c>
      <c r="M308" s="250">
        <f t="shared" si="4"/>
        <v>10</v>
      </c>
    </row>
    <row r="309" spans="1:13" hidden="1" outlineLevel="1">
      <c r="A309" s="4">
        <v>309</v>
      </c>
      <c r="B309" s="8" t="s">
        <v>737</v>
      </c>
      <c r="C309" s="8" t="str">
        <f>IF(B309="","",VLOOKUP(B309,小圆机汇总表!A:AP,2,FALSE))</f>
        <v>A5035大W</v>
      </c>
      <c r="D309" s="8">
        <f>IF(B309="","",VLOOKUP(B309,小圆机汇总表!A:AP,7,FALSE))</f>
        <v>35</v>
      </c>
      <c r="E309" s="8" t="str">
        <f>IF(B309="","",VLOOKUP(B309,小圆机汇总表!A:AP,5,FALSE))</f>
        <v>白</v>
      </c>
      <c r="F309" s="8" t="str">
        <f>IF(B309="","",VLOOKUP(B309,小圆机汇总表!A:AP,8,FALSE))</f>
        <v>长乐</v>
      </c>
      <c r="G309" s="23">
        <v>43757</v>
      </c>
      <c r="H309" s="8">
        <v>41.4</v>
      </c>
      <c r="I309" s="8">
        <v>2</v>
      </c>
      <c r="K309" s="8" t="s">
        <v>1551</v>
      </c>
      <c r="M309" s="250">
        <f t="shared" si="4"/>
        <v>10</v>
      </c>
    </row>
    <row r="310" spans="1:13" hidden="1" outlineLevel="1">
      <c r="A310" s="4">
        <v>310</v>
      </c>
      <c r="B310" s="8" t="s">
        <v>68</v>
      </c>
      <c r="C310" s="8" t="str">
        <f>IF(B310="","",VLOOKUP(B310,小圆机汇总表!A:AP,2,FALSE))</f>
        <v>A5036直平纹</v>
      </c>
      <c r="D310" s="8">
        <f>IF(B310="","",VLOOKUP(B310,小圆机汇总表!A:AP,7,FALSE))</f>
        <v>36</v>
      </c>
      <c r="E310" s="8" t="str">
        <f>IF(B310="","",VLOOKUP(B310,小圆机汇总表!A:AP,5,FALSE))</f>
        <v>白</v>
      </c>
      <c r="F310" s="8" t="str">
        <f>IF(B310="","",VLOOKUP(B310,小圆机汇总表!A:AP,8,FALSE))</f>
        <v>长乐</v>
      </c>
      <c r="G310" s="23">
        <v>43757</v>
      </c>
      <c r="H310" s="8">
        <v>30</v>
      </c>
      <c r="I310" s="8">
        <v>1</v>
      </c>
      <c r="K310" s="8" t="s">
        <v>1551</v>
      </c>
      <c r="M310" s="250">
        <f t="shared" si="4"/>
        <v>10</v>
      </c>
    </row>
    <row r="311" spans="1:13" hidden="1" outlineLevel="1">
      <c r="A311" s="4">
        <v>311</v>
      </c>
      <c r="B311" s="8" t="s">
        <v>116</v>
      </c>
      <c r="C311" s="8" t="str">
        <f>IF(B311="","",VLOOKUP(B311,小圆机汇总表!A:AP,2,FALSE))</f>
        <v>B5036大W高温丝</v>
      </c>
      <c r="D311" s="8">
        <f>IF(B311="","",VLOOKUP(B311,小圆机汇总表!A:AP,7,FALSE))</f>
        <v>36</v>
      </c>
      <c r="E311" s="8" t="str">
        <f>IF(B311="","",VLOOKUP(B311,小圆机汇总表!A:AP,5,FALSE))</f>
        <v>白高温</v>
      </c>
      <c r="F311" s="8" t="str">
        <f>IF(B311="","",VLOOKUP(B311,小圆机汇总表!A:AP,8,FALSE))</f>
        <v>长乐</v>
      </c>
      <c r="G311" s="23">
        <v>43757</v>
      </c>
      <c r="H311" s="8">
        <v>735.4</v>
      </c>
      <c r="I311" s="8">
        <v>37</v>
      </c>
      <c r="K311" s="8" t="s">
        <v>1545</v>
      </c>
      <c r="M311" s="250">
        <f t="shared" si="4"/>
        <v>10</v>
      </c>
    </row>
    <row r="312" spans="1:13" hidden="1" outlineLevel="1">
      <c r="A312" s="4">
        <v>312</v>
      </c>
      <c r="B312" s="8" t="s">
        <v>1146</v>
      </c>
      <c r="C312" s="8" t="str">
        <f>IF(B312="","",VLOOKUP(B312,小圆机汇总表!A:AP,2,FALSE))</f>
        <v>A5042w</v>
      </c>
      <c r="D312" s="8">
        <f>IF(B312="","",VLOOKUP(B312,小圆机汇总表!A:AP,7,FALSE))</f>
        <v>42</v>
      </c>
      <c r="E312" s="8" t="str">
        <f>IF(B312="","",VLOOKUP(B312,小圆机汇总表!A:AP,5,FALSE))</f>
        <v>白</v>
      </c>
      <c r="F312" s="8" t="str">
        <f>IF(B312="","",VLOOKUP(B312,小圆机汇总表!A:AP,8,FALSE))</f>
        <v>长乐</v>
      </c>
      <c r="G312" s="23">
        <v>43757</v>
      </c>
      <c r="H312" s="8">
        <v>404.4</v>
      </c>
      <c r="I312" s="8">
        <v>21</v>
      </c>
      <c r="K312" s="8" t="s">
        <v>1549</v>
      </c>
      <c r="M312" s="250">
        <f t="shared" si="4"/>
        <v>10</v>
      </c>
    </row>
    <row r="313" spans="1:13" hidden="1" outlineLevel="1">
      <c r="A313" s="4">
        <v>313</v>
      </c>
      <c r="B313" s="8" t="s">
        <v>1019</v>
      </c>
      <c r="C313" s="8" t="str">
        <f>IF(B313="","",VLOOKUP(B313,小圆机汇总表!A:AP,2,FALSE))</f>
        <v>A5040w</v>
      </c>
      <c r="D313" s="8">
        <f>IF(B313="","",VLOOKUP(B313,小圆机汇总表!A:AP,7,FALSE))</f>
        <v>40</v>
      </c>
      <c r="E313" s="8" t="str">
        <f>IF(B313="","",VLOOKUP(B313,小圆机汇总表!A:AP,5,FALSE))</f>
        <v>白</v>
      </c>
      <c r="F313" s="8" t="str">
        <f>IF(B313="","",VLOOKUP(B313,小圆机汇总表!A:AP,8,FALSE))</f>
        <v>长乐</v>
      </c>
      <c r="G313" s="23">
        <v>43757</v>
      </c>
      <c r="H313" s="8">
        <v>240</v>
      </c>
      <c r="I313" s="8">
        <v>12</v>
      </c>
      <c r="K313" s="8" t="s">
        <v>1552</v>
      </c>
      <c r="M313" s="250">
        <f t="shared" si="4"/>
        <v>10</v>
      </c>
    </row>
    <row r="314" spans="1:13" hidden="1" outlineLevel="1">
      <c r="A314" s="4">
        <v>314</v>
      </c>
      <c r="B314" s="8" t="s">
        <v>749</v>
      </c>
      <c r="C314" s="8" t="str">
        <f>IF(B314="","",VLOOKUP(B314,小圆机汇总表!A:AP,2,FALSE))</f>
        <v>C7542大W 白丝</v>
      </c>
      <c r="D314" s="8">
        <f>IF(B314="","",VLOOKUP(B314,小圆机汇总表!A:AP,7,FALSE))</f>
        <v>42</v>
      </c>
      <c r="E314" s="8" t="str">
        <f>IF(B314="","",VLOOKUP(B314,小圆机汇总表!A:AP,5,FALSE))</f>
        <v>白高温</v>
      </c>
      <c r="F314" s="8" t="str">
        <f>IF(B314="","",VLOOKUP(B314,小圆机汇总表!A:AP,8,FALSE))</f>
        <v>申久</v>
      </c>
      <c r="G314" s="23">
        <v>43757</v>
      </c>
      <c r="H314" s="8">
        <v>404.2</v>
      </c>
      <c r="I314" s="8">
        <v>20</v>
      </c>
      <c r="K314" s="8" t="s">
        <v>1545</v>
      </c>
      <c r="M314" s="250">
        <f t="shared" si="4"/>
        <v>10</v>
      </c>
    </row>
    <row r="315" spans="1:13" hidden="1" outlineLevel="1">
      <c r="A315" s="4">
        <v>315</v>
      </c>
      <c r="B315" s="8" t="s">
        <v>128</v>
      </c>
      <c r="C315" s="8" t="str">
        <f>IF(B315="","",VLOOKUP(B315,小圆机汇总表!A:AP,2,FALSE))</f>
        <v>A7545斜乱平纹</v>
      </c>
      <c r="D315" s="8">
        <f>IF(B315="","",VLOOKUP(B315,小圆机汇总表!A:AP,7,FALSE))</f>
        <v>45</v>
      </c>
      <c r="E315" s="8" t="str">
        <f>IF(B315="","",VLOOKUP(B315,小圆机汇总表!A:AP,5,FALSE))</f>
        <v>白</v>
      </c>
      <c r="F315" s="8" t="str">
        <f>IF(B315="","",VLOOKUP(B315,小圆机汇总表!A:AP,8,FALSE))</f>
        <v>长乐</v>
      </c>
      <c r="G315" s="23">
        <v>43757</v>
      </c>
      <c r="H315" s="8">
        <v>762.8</v>
      </c>
      <c r="I315" s="8">
        <v>38</v>
      </c>
      <c r="K315" s="8" t="s">
        <v>1550</v>
      </c>
      <c r="M315" s="250">
        <f t="shared" si="4"/>
        <v>10</v>
      </c>
    </row>
    <row r="316" spans="1:13" hidden="1" outlineLevel="1">
      <c r="A316" s="4">
        <v>316</v>
      </c>
      <c r="B316" s="8" t="s">
        <v>129</v>
      </c>
      <c r="C316" s="8" t="str">
        <f>IF(B316="","",VLOOKUP(B316,小圆机汇总表!A:AP,2,FALSE))</f>
        <v>A7548斜乱平纹</v>
      </c>
      <c r="D316" s="8">
        <f>IF(B316="","",VLOOKUP(B316,小圆机汇总表!A:AP,7,FALSE))</f>
        <v>48</v>
      </c>
      <c r="E316" s="8" t="str">
        <f>IF(B316="","",VLOOKUP(B316,小圆机汇总表!A:AP,5,FALSE))</f>
        <v>白高温</v>
      </c>
      <c r="F316" s="8" t="str">
        <f>IF(B316="","",VLOOKUP(B316,小圆机汇总表!A:AP,8,FALSE))</f>
        <v>长乐</v>
      </c>
      <c r="G316" s="23">
        <v>43757</v>
      </c>
      <c r="H316" s="8">
        <v>121.8</v>
      </c>
      <c r="I316" s="8">
        <v>6</v>
      </c>
      <c r="K316" s="8" t="s">
        <v>1546</v>
      </c>
      <c r="M316" s="250">
        <f t="shared" si="4"/>
        <v>10</v>
      </c>
    </row>
    <row r="317" spans="1:13" hidden="1" outlineLevel="1">
      <c r="A317" s="4">
        <v>317</v>
      </c>
      <c r="B317" s="8" t="s">
        <v>104</v>
      </c>
      <c r="C317" s="8" t="str">
        <f>IF(B317="","",VLOOKUP(B317,小圆机汇总表!A:AP,2,FALSE))</f>
        <v>B7549w</v>
      </c>
      <c r="D317" s="8">
        <f>IF(B317="","",VLOOKUP(B317,小圆机汇总表!A:AP,7,FALSE))</f>
        <v>49</v>
      </c>
      <c r="E317" s="8" t="str">
        <f>IF(B317="","",VLOOKUP(B317,小圆机汇总表!A:AP,5,FALSE))</f>
        <v>白</v>
      </c>
      <c r="F317" s="8" t="str">
        <f>IF(B317="","",VLOOKUP(B317,小圆机汇总表!A:AP,8,FALSE))</f>
        <v>长乐</v>
      </c>
      <c r="G317" s="23">
        <v>43757</v>
      </c>
      <c r="H317" s="8">
        <v>101.5</v>
      </c>
      <c r="I317" s="8">
        <v>5</v>
      </c>
      <c r="K317" s="8" t="s">
        <v>1548</v>
      </c>
      <c r="M317" s="250">
        <f t="shared" si="4"/>
        <v>10</v>
      </c>
    </row>
    <row r="318" spans="1:13" hidden="1" outlineLevel="1">
      <c r="A318" s="4">
        <v>318</v>
      </c>
      <c r="B318" s="8" t="s">
        <v>990</v>
      </c>
      <c r="C318" s="8" t="str">
        <f>IF(B318="","",VLOOKUP(B318,小圆机汇总表!A:AP,2,FALSE))</f>
        <v>B7543大W</v>
      </c>
      <c r="D318" s="8">
        <f>IF(B318="","",VLOOKUP(B318,小圆机汇总表!A:AP,7,FALSE))</f>
        <v>43</v>
      </c>
      <c r="E318" s="8" t="str">
        <f>IF(B318="","",VLOOKUP(B318,小圆机汇总表!A:AP,5,FALSE))</f>
        <v>白</v>
      </c>
      <c r="F318" s="8" t="str">
        <f>IF(B318="","",VLOOKUP(B318,小圆机汇总表!A:AP,8,FALSE))</f>
        <v>长乐</v>
      </c>
      <c r="G318" s="23">
        <v>43757</v>
      </c>
      <c r="H318" s="8">
        <v>291.89999999999998</v>
      </c>
      <c r="I318" s="8">
        <v>14</v>
      </c>
      <c r="K318" s="8" t="s">
        <v>1553</v>
      </c>
      <c r="M318" s="250">
        <f t="shared" si="4"/>
        <v>10</v>
      </c>
    </row>
    <row r="319" spans="1:13" hidden="1" outlineLevel="1">
      <c r="A319" s="4">
        <v>319</v>
      </c>
      <c r="B319" s="8" t="s">
        <v>1234</v>
      </c>
      <c r="C319" s="8" t="str">
        <f>IF(B319="","",VLOOKUP(B319,小圆机汇总表!A:AP,2,FALSE))</f>
        <v>B10063大W</v>
      </c>
      <c r="D319" s="8">
        <f>IF(B319="","",VLOOKUP(B319,小圆机汇总表!A:AP,7,FALSE))</f>
        <v>63</v>
      </c>
      <c r="E319" s="8" t="str">
        <f>IF(B319="","",VLOOKUP(B319,小圆机汇总表!A:AP,5,FALSE))</f>
        <v>白</v>
      </c>
      <c r="F319" s="8" t="str">
        <f>IF(B319="","",VLOOKUP(B319,小圆机汇总表!A:AP,8,FALSE))</f>
        <v>申久</v>
      </c>
      <c r="G319" s="23">
        <v>43757</v>
      </c>
      <c r="H319" s="8">
        <v>39.799999999999997</v>
      </c>
      <c r="I319" s="8">
        <v>2</v>
      </c>
      <c r="K319" s="8" t="s">
        <v>1550</v>
      </c>
      <c r="M319" s="250">
        <f t="shared" si="4"/>
        <v>10</v>
      </c>
    </row>
    <row r="320" spans="1:13" hidden="1" outlineLevel="1">
      <c r="A320" s="4">
        <v>320</v>
      </c>
      <c r="B320" s="8" t="s">
        <v>1127</v>
      </c>
      <c r="C320" s="8" t="str">
        <f>IF(B320="","",VLOOKUP(B320,小圆机汇总表!A:AP,2,FALSE))</f>
        <v>B3023乱平纹</v>
      </c>
      <c r="D320" s="8">
        <f>IF(B320="","",VLOOKUP(B320,小圆机汇总表!A:AP,7,FALSE))</f>
        <v>23</v>
      </c>
      <c r="E320" s="8" t="str">
        <f>IF(B320="","",VLOOKUP(B320,小圆机汇总表!A:AP,5,FALSE))</f>
        <v>白</v>
      </c>
      <c r="F320" s="8" t="str">
        <f>IF(B320="","",VLOOKUP(B320,小圆机汇总表!A:AP,8,FALSE))</f>
        <v>银宇</v>
      </c>
      <c r="G320" s="23">
        <v>43758</v>
      </c>
      <c r="H320" s="8">
        <v>56.7</v>
      </c>
      <c r="I320" s="24">
        <v>3</v>
      </c>
      <c r="K320" s="24" t="s">
        <v>252</v>
      </c>
      <c r="M320" s="250">
        <f t="shared" si="4"/>
        <v>10</v>
      </c>
    </row>
    <row r="321" spans="1:13" hidden="1" outlineLevel="1">
      <c r="A321" s="4">
        <v>321</v>
      </c>
      <c r="B321" s="8" t="s">
        <v>239</v>
      </c>
      <c r="C321" s="8" t="str">
        <f>IF(B321="","",VLOOKUP(B321,小圆机汇总表!A:AP,2,FALSE))</f>
        <v>B3023乱平纹</v>
      </c>
      <c r="D321" s="8">
        <f>IF(B321="","",VLOOKUP(B321,小圆机汇总表!A:AP,7,FALSE))</f>
        <v>23</v>
      </c>
      <c r="E321" s="8" t="str">
        <f>IF(B321="","",VLOOKUP(B321,小圆机汇总表!A:AP,5,FALSE))</f>
        <v>白</v>
      </c>
      <c r="F321" s="8" t="str">
        <f>IF(B321="","",VLOOKUP(B321,小圆机汇总表!A:AP,8,FALSE))</f>
        <v>长乐</v>
      </c>
      <c r="G321" s="23">
        <v>43758</v>
      </c>
      <c r="H321" s="8">
        <v>58.8</v>
      </c>
      <c r="I321" s="24">
        <v>3</v>
      </c>
      <c r="K321" s="24" t="s">
        <v>252</v>
      </c>
      <c r="M321" s="250">
        <f t="shared" si="4"/>
        <v>10</v>
      </c>
    </row>
    <row r="322" spans="1:13" hidden="1" outlineLevel="1">
      <c r="A322" s="4">
        <v>322</v>
      </c>
      <c r="B322" s="8" t="s">
        <v>121</v>
      </c>
      <c r="C322" s="8" t="str">
        <f>IF(B322="","",VLOOKUP(B322,小圆机汇总表!A:AP,2,FALSE))</f>
        <v>A5032w</v>
      </c>
      <c r="D322" s="8">
        <f>IF(B322="","",VLOOKUP(B322,小圆机汇总表!A:AP,7,FALSE))</f>
        <v>32</v>
      </c>
      <c r="E322" s="8" t="str">
        <f>IF(B322="","",VLOOKUP(B322,小圆机汇总表!A:AP,5,FALSE))</f>
        <v>白</v>
      </c>
      <c r="F322" s="8" t="str">
        <f>IF(B322="","",VLOOKUP(B322,小圆机汇总表!A:AP,8,FALSE))</f>
        <v>长乐</v>
      </c>
      <c r="G322" s="23">
        <v>43758</v>
      </c>
      <c r="H322" s="8">
        <v>153.6</v>
      </c>
      <c r="I322" s="24">
        <v>9</v>
      </c>
      <c r="K322" s="24" t="s">
        <v>1589</v>
      </c>
      <c r="M322" s="250">
        <f t="shared" si="4"/>
        <v>10</v>
      </c>
    </row>
    <row r="323" spans="1:13" hidden="1" outlineLevel="1">
      <c r="A323" s="4">
        <v>323</v>
      </c>
      <c r="B323" s="8" t="s">
        <v>122</v>
      </c>
      <c r="C323" s="8" t="str">
        <f>IF(B323="","",VLOOKUP(B323,小圆机汇总表!A:AP,2,FALSE))</f>
        <v>B5034大W</v>
      </c>
      <c r="D323" s="8">
        <f>IF(B323="","",VLOOKUP(B323,小圆机汇总表!A:AP,7,FALSE))</f>
        <v>34</v>
      </c>
      <c r="E323" s="8" t="str">
        <f>IF(B323="","",VLOOKUP(B323,小圆机汇总表!A:AP,5,FALSE))</f>
        <v>白高温</v>
      </c>
      <c r="F323" s="8" t="str">
        <f>IF(B323="","",VLOOKUP(B323,小圆机汇总表!A:AP,8,FALSE))</f>
        <v>长乐</v>
      </c>
      <c r="G323" s="23">
        <v>43758</v>
      </c>
      <c r="H323" s="8">
        <v>299.39999999999998</v>
      </c>
      <c r="I323" s="24">
        <v>15</v>
      </c>
      <c r="K323" s="24" t="s">
        <v>1591</v>
      </c>
      <c r="M323" s="250">
        <f t="shared" ref="M323:M386" si="5">IF(B323="","",MONTH(G323))</f>
        <v>10</v>
      </c>
    </row>
    <row r="324" spans="1:13" hidden="1" outlineLevel="1">
      <c r="A324" s="4">
        <v>324</v>
      </c>
      <c r="B324" s="8" t="s">
        <v>123</v>
      </c>
      <c r="C324" s="8" t="str">
        <f>IF(B324="","",VLOOKUP(B324,小圆机汇总表!A:AP,2,FALSE))</f>
        <v>B7539斜乱平纹</v>
      </c>
      <c r="D324" s="8">
        <f>IF(B324="","",VLOOKUP(B324,小圆机汇总表!A:AP,7,FALSE))</f>
        <v>39</v>
      </c>
      <c r="E324" s="8" t="str">
        <f>IF(B324="","",VLOOKUP(B324,小圆机汇总表!A:AP,5,FALSE))</f>
        <v>白</v>
      </c>
      <c r="F324" s="8" t="str">
        <f>IF(B324="","",VLOOKUP(B324,小圆机汇总表!A:AP,8,FALSE))</f>
        <v>盛元</v>
      </c>
      <c r="G324" s="23">
        <v>43758</v>
      </c>
      <c r="H324" s="8">
        <v>307.5</v>
      </c>
      <c r="I324" s="24">
        <v>15</v>
      </c>
      <c r="K324" s="24" t="s">
        <v>1592</v>
      </c>
      <c r="M324" s="250">
        <f t="shared" si="5"/>
        <v>10</v>
      </c>
    </row>
    <row r="325" spans="1:13" hidden="1" outlineLevel="1">
      <c r="A325" s="4">
        <v>325</v>
      </c>
      <c r="B325" s="8" t="s">
        <v>961</v>
      </c>
      <c r="C325" s="8" t="str">
        <f>IF(B325="","",VLOOKUP(B325,小圆机汇总表!A:AP,2,FALSE))</f>
        <v>C5034w</v>
      </c>
      <c r="D325" s="8">
        <f>IF(B325="","",VLOOKUP(B325,小圆机汇总表!A:AP,7,FALSE))</f>
        <v>34</v>
      </c>
      <c r="E325" s="8" t="str">
        <f>IF(B325="","",VLOOKUP(B325,小圆机汇总表!A:AP,5,FALSE))</f>
        <v>白</v>
      </c>
      <c r="F325" s="8" t="str">
        <f>IF(B325="","",VLOOKUP(B325,小圆机汇总表!A:AP,8,FALSE))</f>
        <v>长乐</v>
      </c>
      <c r="G325" s="23">
        <v>43758</v>
      </c>
      <c r="H325" s="8">
        <v>424.5</v>
      </c>
      <c r="I325" s="24">
        <v>22</v>
      </c>
      <c r="K325" s="24" t="s">
        <v>1593</v>
      </c>
      <c r="M325" s="250">
        <f t="shared" si="5"/>
        <v>10</v>
      </c>
    </row>
    <row r="326" spans="1:13" hidden="1" outlineLevel="1">
      <c r="A326" s="4">
        <v>326</v>
      </c>
      <c r="B326" s="8" t="s">
        <v>112</v>
      </c>
      <c r="C326" s="8" t="str">
        <f>IF(B326="","",VLOOKUP(B326,小圆机汇总表!A:AP,2,FALSE))</f>
        <v>A5035w黑</v>
      </c>
      <c r="D326" s="8">
        <f>IF(B326="","",VLOOKUP(B326,小圆机汇总表!A:AP,7,FALSE))</f>
        <v>35</v>
      </c>
      <c r="E326" s="8" t="str">
        <f>IF(B326="","",VLOOKUP(B326,小圆机汇总表!A:AP,5,FALSE))</f>
        <v>黑</v>
      </c>
      <c r="F326" s="8" t="str">
        <f>IF(B326="","",VLOOKUP(B326,小圆机汇总表!A:AP,8,FALSE))</f>
        <v>固力</v>
      </c>
      <c r="G326" s="23">
        <v>43758</v>
      </c>
      <c r="H326" s="8">
        <v>726.6</v>
      </c>
      <c r="I326" s="8">
        <f>28+5</f>
        <v>33</v>
      </c>
      <c r="K326" s="24" t="s">
        <v>1594</v>
      </c>
      <c r="M326" s="250">
        <f t="shared" si="5"/>
        <v>10</v>
      </c>
    </row>
    <row r="327" spans="1:13" hidden="1" outlineLevel="1">
      <c r="A327" s="4">
        <v>327</v>
      </c>
      <c r="B327" s="8" t="s">
        <v>47</v>
      </c>
      <c r="C327" s="8" t="str">
        <f>IF(B327="","",VLOOKUP(B327,小圆机汇总表!A:AP,2,FALSE))</f>
        <v>A5035w</v>
      </c>
      <c r="D327" s="8">
        <f>IF(B327="","",VLOOKUP(B327,小圆机汇总表!A:AP,7,FALSE))</f>
        <v>35</v>
      </c>
      <c r="E327" s="8" t="str">
        <f>IF(B327="","",VLOOKUP(B327,小圆机汇总表!A:AP,5,FALSE))</f>
        <v>白</v>
      </c>
      <c r="F327" s="8" t="str">
        <f>IF(B327="","",VLOOKUP(B327,小圆机汇总表!A:AP,8,FALSE))</f>
        <v>长乐</v>
      </c>
      <c r="G327" s="23">
        <v>43758</v>
      </c>
      <c r="H327" s="8">
        <v>35</v>
      </c>
      <c r="I327" s="24">
        <v>2</v>
      </c>
      <c r="K327" s="24" t="s">
        <v>1595</v>
      </c>
      <c r="M327" s="250">
        <f t="shared" si="5"/>
        <v>10</v>
      </c>
    </row>
    <row r="328" spans="1:13" hidden="1" outlineLevel="1">
      <c r="A328" s="4">
        <v>328</v>
      </c>
      <c r="B328" s="8" t="s">
        <v>1239</v>
      </c>
      <c r="C328" s="8" t="str">
        <f>IF(B328="","",VLOOKUP(B328,小圆机汇总表!A:AP,2,FALSE))</f>
        <v>A5032w 32针</v>
      </c>
      <c r="D328" s="8">
        <f>IF(B328="","",VLOOKUP(B328,小圆机汇总表!A:AP,7,FALSE))</f>
        <v>32</v>
      </c>
      <c r="E328" s="8" t="str">
        <f>IF(B328="","",VLOOKUP(B328,小圆机汇总表!A:AP,5,FALSE))</f>
        <v>白</v>
      </c>
      <c r="F328" s="8" t="str">
        <f>IF(B328="","",VLOOKUP(B328,小圆机汇总表!A:AP,8,FALSE))</f>
        <v>长乐/32针</v>
      </c>
      <c r="G328" s="23">
        <v>43758</v>
      </c>
      <c r="H328" s="8">
        <v>101</v>
      </c>
      <c r="I328" s="24">
        <v>5</v>
      </c>
      <c r="K328" s="24" t="s">
        <v>1596</v>
      </c>
      <c r="M328" s="250">
        <f t="shared" si="5"/>
        <v>10</v>
      </c>
    </row>
    <row r="329" spans="1:13" hidden="1" outlineLevel="1">
      <c r="A329" s="4">
        <v>329</v>
      </c>
      <c r="B329" s="8" t="s">
        <v>737</v>
      </c>
      <c r="C329" s="8" t="str">
        <f>IF(B329="","",VLOOKUP(B329,小圆机汇总表!A:AP,2,FALSE))</f>
        <v>A5035大W</v>
      </c>
      <c r="D329" s="8">
        <f>IF(B329="","",VLOOKUP(B329,小圆机汇总表!A:AP,7,FALSE))</f>
        <v>35</v>
      </c>
      <c r="E329" s="8" t="str">
        <f>IF(B329="","",VLOOKUP(B329,小圆机汇总表!A:AP,5,FALSE))</f>
        <v>白</v>
      </c>
      <c r="F329" s="8" t="str">
        <f>IF(B329="","",VLOOKUP(B329,小圆机汇总表!A:AP,8,FALSE))</f>
        <v>长乐</v>
      </c>
      <c r="G329" s="23">
        <v>43758</v>
      </c>
      <c r="H329" s="8">
        <v>283.5</v>
      </c>
      <c r="I329" s="24">
        <v>14</v>
      </c>
      <c r="K329" s="24" t="s">
        <v>1597</v>
      </c>
      <c r="M329" s="250">
        <f t="shared" si="5"/>
        <v>10</v>
      </c>
    </row>
    <row r="330" spans="1:13" hidden="1" outlineLevel="1">
      <c r="A330" s="4">
        <v>330</v>
      </c>
      <c r="B330" s="8" t="s">
        <v>116</v>
      </c>
      <c r="C330" s="8" t="str">
        <f>IF(B330="","",VLOOKUP(B330,小圆机汇总表!A:AP,2,FALSE))</f>
        <v>B5036大W高温丝</v>
      </c>
      <c r="D330" s="8">
        <f>IF(B330="","",VLOOKUP(B330,小圆机汇总表!A:AP,7,FALSE))</f>
        <v>36</v>
      </c>
      <c r="E330" s="8" t="str">
        <f>IF(B330="","",VLOOKUP(B330,小圆机汇总表!A:AP,5,FALSE))</f>
        <v>白高温</v>
      </c>
      <c r="F330" s="8" t="str">
        <f>IF(B330="","",VLOOKUP(B330,小圆机汇总表!A:AP,8,FALSE))</f>
        <v>长乐</v>
      </c>
      <c r="G330" s="23">
        <v>43758</v>
      </c>
      <c r="H330" s="8">
        <v>891.6</v>
      </c>
      <c r="I330" s="24">
        <v>44</v>
      </c>
      <c r="K330" s="24" t="s">
        <v>1591</v>
      </c>
      <c r="M330" s="250">
        <f t="shared" si="5"/>
        <v>10</v>
      </c>
    </row>
    <row r="331" spans="1:13" hidden="1" outlineLevel="1">
      <c r="A331" s="4">
        <v>331</v>
      </c>
      <c r="B331" s="8" t="s">
        <v>70</v>
      </c>
      <c r="C331" s="8" t="str">
        <f>IF(B331="","",VLOOKUP(B331,小圆机汇总表!A:AP,2,FALSE))</f>
        <v>A5038w</v>
      </c>
      <c r="D331" s="8">
        <f>IF(B331="","",VLOOKUP(B331,小圆机汇总表!A:AP,7,FALSE))</f>
        <v>38</v>
      </c>
      <c r="E331" s="8" t="str">
        <f>IF(B331="","",VLOOKUP(B331,小圆机汇总表!A:AP,5,FALSE))</f>
        <v>白</v>
      </c>
      <c r="F331" s="8" t="str">
        <f>IF(B331="","",VLOOKUP(B331,小圆机汇总表!A:AP,8,FALSE))</f>
        <v>长乐</v>
      </c>
      <c r="G331" s="23">
        <v>43758</v>
      </c>
      <c r="H331" s="8">
        <v>367.5</v>
      </c>
      <c r="I331" s="24">
        <v>18</v>
      </c>
      <c r="K331" s="24" t="s">
        <v>1598</v>
      </c>
      <c r="M331" s="250">
        <f t="shared" si="5"/>
        <v>10</v>
      </c>
    </row>
    <row r="332" spans="1:13" hidden="1" outlineLevel="1">
      <c r="A332" s="4">
        <v>332</v>
      </c>
      <c r="B332" s="8" t="s">
        <v>1146</v>
      </c>
      <c r="C332" s="8" t="str">
        <f>IF(B332="","",VLOOKUP(B332,小圆机汇总表!A:AP,2,FALSE))</f>
        <v>A5042w</v>
      </c>
      <c r="D332" s="8">
        <f>IF(B332="","",VLOOKUP(B332,小圆机汇总表!A:AP,7,FALSE))</f>
        <v>42</v>
      </c>
      <c r="E332" s="8" t="str">
        <f>IF(B332="","",VLOOKUP(B332,小圆机汇总表!A:AP,5,FALSE))</f>
        <v>白</v>
      </c>
      <c r="F332" s="8" t="str">
        <f>IF(B332="","",VLOOKUP(B332,小圆机汇总表!A:AP,8,FALSE))</f>
        <v>长乐</v>
      </c>
      <c r="G332" s="23">
        <v>43758</v>
      </c>
      <c r="H332" s="8">
        <v>398.6</v>
      </c>
      <c r="I332" s="24">
        <v>21</v>
      </c>
      <c r="K332" s="24" t="s">
        <v>1595</v>
      </c>
      <c r="M332" s="250">
        <f t="shared" si="5"/>
        <v>10</v>
      </c>
    </row>
    <row r="333" spans="1:13" hidden="1" outlineLevel="1">
      <c r="A333" s="4">
        <v>333</v>
      </c>
      <c r="B333" s="8" t="s">
        <v>1019</v>
      </c>
      <c r="C333" s="8" t="str">
        <f>IF(B333="","",VLOOKUP(B333,小圆机汇总表!A:AP,2,FALSE))</f>
        <v>A5040w</v>
      </c>
      <c r="D333" s="8">
        <f>IF(B333="","",VLOOKUP(B333,小圆机汇总表!A:AP,7,FALSE))</f>
        <v>40</v>
      </c>
      <c r="E333" s="8" t="str">
        <f>IF(B333="","",VLOOKUP(B333,小圆机汇总表!A:AP,5,FALSE))</f>
        <v>白</v>
      </c>
      <c r="F333" s="8" t="str">
        <f>IF(B333="","",VLOOKUP(B333,小圆机汇总表!A:AP,8,FALSE))</f>
        <v>长乐</v>
      </c>
      <c r="G333" s="23">
        <v>43758</v>
      </c>
      <c r="H333" s="8">
        <v>301.60000000000002</v>
      </c>
      <c r="I333" s="24">
        <v>15</v>
      </c>
      <c r="K333" s="24" t="s">
        <v>1599</v>
      </c>
      <c r="M333" s="250">
        <f t="shared" si="5"/>
        <v>10</v>
      </c>
    </row>
    <row r="334" spans="1:13" hidden="1" outlineLevel="1">
      <c r="A334" s="4">
        <v>334</v>
      </c>
      <c r="B334" s="8" t="s">
        <v>749</v>
      </c>
      <c r="C334" s="8" t="str">
        <f>IF(B334="","",VLOOKUP(B334,小圆机汇总表!A:AP,2,FALSE))</f>
        <v>C7542大W 白丝</v>
      </c>
      <c r="D334" s="8">
        <f>IF(B334="","",VLOOKUP(B334,小圆机汇总表!A:AP,7,FALSE))</f>
        <v>42</v>
      </c>
      <c r="E334" s="8" t="str">
        <f>IF(B334="","",VLOOKUP(B334,小圆机汇总表!A:AP,5,FALSE))</f>
        <v>白高温</v>
      </c>
      <c r="F334" s="8" t="str">
        <f>IF(B334="","",VLOOKUP(B334,小圆机汇总表!A:AP,8,FALSE))</f>
        <v>申久</v>
      </c>
      <c r="G334" s="23">
        <v>43758</v>
      </c>
      <c r="H334" s="8">
        <v>444</v>
      </c>
      <c r="I334" s="24">
        <v>22</v>
      </c>
      <c r="K334" s="24" t="s">
        <v>1592</v>
      </c>
      <c r="M334" s="250">
        <f t="shared" si="5"/>
        <v>10</v>
      </c>
    </row>
    <row r="335" spans="1:13" hidden="1" outlineLevel="1">
      <c r="A335" s="4">
        <v>335</v>
      </c>
      <c r="B335" s="8" t="s">
        <v>128</v>
      </c>
      <c r="C335" s="8" t="str">
        <f>IF(B335="","",VLOOKUP(B335,小圆机汇总表!A:AP,2,FALSE))</f>
        <v>A7545斜乱平纹</v>
      </c>
      <c r="D335" s="8">
        <f>IF(B335="","",VLOOKUP(B335,小圆机汇总表!A:AP,7,FALSE))</f>
        <v>45</v>
      </c>
      <c r="E335" s="8" t="str">
        <f>IF(B335="","",VLOOKUP(B335,小圆机汇总表!A:AP,5,FALSE))</f>
        <v>白</v>
      </c>
      <c r="F335" s="8" t="str">
        <f>IF(B335="","",VLOOKUP(B335,小圆机汇总表!A:AP,8,FALSE))</f>
        <v>长乐</v>
      </c>
      <c r="G335" s="23">
        <v>43758</v>
      </c>
      <c r="H335" s="8">
        <v>843.2</v>
      </c>
      <c r="I335" s="24">
        <v>42</v>
      </c>
      <c r="K335" s="24" t="s">
        <v>1596</v>
      </c>
      <c r="M335" s="250">
        <f t="shared" si="5"/>
        <v>10</v>
      </c>
    </row>
    <row r="336" spans="1:13" hidden="1" outlineLevel="1">
      <c r="A336" s="4">
        <v>336</v>
      </c>
      <c r="B336" s="8" t="s">
        <v>129</v>
      </c>
      <c r="C336" s="8" t="str">
        <f>IF(B336="","",VLOOKUP(B336,小圆机汇总表!A:AP,2,FALSE))</f>
        <v>A7548斜乱平纹</v>
      </c>
      <c r="D336" s="8">
        <f>IF(B336="","",VLOOKUP(B336,小圆机汇总表!A:AP,7,FALSE))</f>
        <v>48</v>
      </c>
      <c r="E336" s="8" t="str">
        <f>IF(B336="","",VLOOKUP(B336,小圆机汇总表!A:AP,5,FALSE))</f>
        <v>白高温</v>
      </c>
      <c r="F336" s="8" t="str">
        <f>IF(B336="","",VLOOKUP(B336,小圆机汇总表!A:AP,8,FALSE))</f>
        <v>长乐</v>
      </c>
      <c r="G336" s="23">
        <v>43758</v>
      </c>
      <c r="H336" s="8">
        <v>142.1</v>
      </c>
      <c r="I336" s="24">
        <v>7</v>
      </c>
      <c r="K336" s="24" t="s">
        <v>1592</v>
      </c>
      <c r="M336" s="250">
        <f t="shared" si="5"/>
        <v>10</v>
      </c>
    </row>
    <row r="337" spans="1:13" hidden="1" outlineLevel="1">
      <c r="A337" s="4">
        <v>337</v>
      </c>
      <c r="B337" s="8" t="s">
        <v>104</v>
      </c>
      <c r="C337" s="8" t="str">
        <f>IF(B337="","",VLOOKUP(B337,小圆机汇总表!A:AP,2,FALSE))</f>
        <v>B7549w</v>
      </c>
      <c r="D337" s="8">
        <f>IF(B337="","",VLOOKUP(B337,小圆机汇总表!A:AP,7,FALSE))</f>
        <v>49</v>
      </c>
      <c r="E337" s="8" t="str">
        <f>IF(B337="","",VLOOKUP(B337,小圆机汇总表!A:AP,5,FALSE))</f>
        <v>白</v>
      </c>
      <c r="F337" s="8" t="str">
        <f>IF(B337="","",VLOOKUP(B337,小圆机汇总表!A:AP,8,FALSE))</f>
        <v>长乐</v>
      </c>
      <c r="G337" s="23">
        <v>43758</v>
      </c>
      <c r="H337" s="8">
        <v>121.8</v>
      </c>
      <c r="I337" s="24">
        <v>6</v>
      </c>
      <c r="K337" s="24" t="s">
        <v>1594</v>
      </c>
      <c r="M337" s="250">
        <f t="shared" si="5"/>
        <v>10</v>
      </c>
    </row>
    <row r="338" spans="1:13" hidden="1" outlineLevel="1">
      <c r="A338" s="4">
        <v>338</v>
      </c>
      <c r="B338" s="8" t="s">
        <v>990</v>
      </c>
      <c r="C338" s="8" t="str">
        <f>IF(B338="","",VLOOKUP(B338,小圆机汇总表!A:AP,2,FALSE))</f>
        <v>B7543大W</v>
      </c>
      <c r="D338" s="8">
        <f>IF(B338="","",VLOOKUP(B338,小圆机汇总表!A:AP,7,FALSE))</f>
        <v>43</v>
      </c>
      <c r="E338" s="8" t="str">
        <f>IF(B338="","",VLOOKUP(B338,小圆机汇总表!A:AP,5,FALSE))</f>
        <v>白</v>
      </c>
      <c r="F338" s="8" t="str">
        <f>IF(B338="","",VLOOKUP(B338,小圆机汇总表!A:AP,8,FALSE))</f>
        <v>长乐</v>
      </c>
      <c r="G338" s="23">
        <v>43758</v>
      </c>
      <c r="H338" s="8">
        <v>271</v>
      </c>
      <c r="I338" s="24">
        <v>13</v>
      </c>
      <c r="K338" s="24" t="s">
        <v>1600</v>
      </c>
      <c r="M338" s="250">
        <f t="shared" si="5"/>
        <v>10</v>
      </c>
    </row>
    <row r="339" spans="1:13" hidden="1" outlineLevel="1">
      <c r="A339" s="4">
        <v>339</v>
      </c>
      <c r="B339" s="8" t="s">
        <v>1127</v>
      </c>
      <c r="C339" s="8" t="str">
        <f>IF(B339="","",VLOOKUP(B339,小圆机汇总表!A:AP,2,FALSE))</f>
        <v>B3023乱平纹</v>
      </c>
      <c r="D339" s="8">
        <f>IF(B339="","",VLOOKUP(B339,小圆机汇总表!A:AP,7,FALSE))</f>
        <v>23</v>
      </c>
      <c r="E339" s="8" t="str">
        <f>IF(B339="","",VLOOKUP(B339,小圆机汇总表!A:AP,5,FALSE))</f>
        <v>白</v>
      </c>
      <c r="F339" s="8" t="str">
        <f>IF(B339="","",VLOOKUP(B339,小圆机汇总表!A:AP,8,FALSE))</f>
        <v>银宇</v>
      </c>
      <c r="G339" s="23">
        <v>43759</v>
      </c>
      <c r="H339" s="8">
        <v>56.7</v>
      </c>
      <c r="I339" s="8">
        <v>3</v>
      </c>
      <c r="K339" s="8" t="s">
        <v>252</v>
      </c>
      <c r="M339" s="250">
        <f t="shared" si="5"/>
        <v>10</v>
      </c>
    </row>
    <row r="340" spans="1:13" hidden="1" outlineLevel="1">
      <c r="A340" s="4">
        <v>340</v>
      </c>
      <c r="B340" s="8" t="s">
        <v>239</v>
      </c>
      <c r="C340" s="8" t="str">
        <f>IF(B340="","",VLOOKUP(B340,小圆机汇总表!A:AP,2,FALSE))</f>
        <v>B3023乱平纹</v>
      </c>
      <c r="D340" s="8">
        <f>IF(B340="","",VLOOKUP(B340,小圆机汇总表!A:AP,7,FALSE))</f>
        <v>23</v>
      </c>
      <c r="E340" s="8" t="str">
        <f>IF(B340="","",VLOOKUP(B340,小圆机汇总表!A:AP,5,FALSE))</f>
        <v>白</v>
      </c>
      <c r="F340" s="8" t="str">
        <f>IF(B340="","",VLOOKUP(B340,小圆机汇总表!A:AP,8,FALSE))</f>
        <v>长乐</v>
      </c>
      <c r="G340" s="23">
        <v>43759</v>
      </c>
      <c r="H340" s="8">
        <v>58.8</v>
      </c>
      <c r="I340" s="8">
        <v>3</v>
      </c>
      <c r="K340" s="8" t="s">
        <v>252</v>
      </c>
      <c r="M340" s="250">
        <f t="shared" si="5"/>
        <v>10</v>
      </c>
    </row>
    <row r="341" spans="1:13" hidden="1" outlineLevel="1">
      <c r="A341" s="4">
        <v>341</v>
      </c>
      <c r="B341" s="8" t="s">
        <v>122</v>
      </c>
      <c r="C341" s="8" t="str">
        <f>IF(B341="","",VLOOKUP(B341,小圆机汇总表!A:AP,2,FALSE))</f>
        <v>B5034大W</v>
      </c>
      <c r="D341" s="8">
        <f>IF(B341="","",VLOOKUP(B341,小圆机汇总表!A:AP,7,FALSE))</f>
        <v>34</v>
      </c>
      <c r="E341" s="8" t="str">
        <f>IF(B341="","",VLOOKUP(B341,小圆机汇总表!A:AP,5,FALSE))</f>
        <v>白高温</v>
      </c>
      <c r="F341" s="8" t="str">
        <f>IF(B341="","",VLOOKUP(B341,小圆机汇总表!A:AP,8,FALSE))</f>
        <v>长乐</v>
      </c>
      <c r="G341" s="23">
        <v>43759</v>
      </c>
      <c r="H341" s="8">
        <v>239.4</v>
      </c>
      <c r="I341" s="8">
        <v>12</v>
      </c>
      <c r="K341" s="8" t="s">
        <v>1591</v>
      </c>
      <c r="M341" s="250">
        <f t="shared" si="5"/>
        <v>10</v>
      </c>
    </row>
    <row r="342" spans="1:13" hidden="1" outlineLevel="1">
      <c r="A342" s="4">
        <v>342</v>
      </c>
      <c r="B342" s="8" t="s">
        <v>123</v>
      </c>
      <c r="C342" s="8" t="str">
        <f>IF(B342="","",VLOOKUP(B342,小圆机汇总表!A:AP,2,FALSE))</f>
        <v>B7539斜乱平纹</v>
      </c>
      <c r="D342" s="8">
        <f>IF(B342="","",VLOOKUP(B342,小圆机汇总表!A:AP,7,FALSE))</f>
        <v>39</v>
      </c>
      <c r="E342" s="8" t="str">
        <f>IF(B342="","",VLOOKUP(B342,小圆机汇总表!A:AP,5,FALSE))</f>
        <v>白</v>
      </c>
      <c r="F342" s="8" t="str">
        <f>IF(B342="","",VLOOKUP(B342,小圆机汇总表!A:AP,8,FALSE))</f>
        <v>盛元</v>
      </c>
      <c r="G342" s="23">
        <v>43759</v>
      </c>
      <c r="H342" s="8">
        <v>307.5</v>
      </c>
      <c r="I342" s="8">
        <v>15</v>
      </c>
      <c r="K342" s="8" t="s">
        <v>1592</v>
      </c>
      <c r="M342" s="250">
        <f t="shared" si="5"/>
        <v>10</v>
      </c>
    </row>
    <row r="343" spans="1:13" hidden="1" outlineLevel="1">
      <c r="A343" s="4">
        <v>343</v>
      </c>
      <c r="B343" s="8" t="s">
        <v>961</v>
      </c>
      <c r="C343" s="8" t="str">
        <f>IF(B343="","",VLOOKUP(B343,小圆机汇总表!A:AP,2,FALSE))</f>
        <v>C5034w</v>
      </c>
      <c r="D343" s="8">
        <f>IF(B343="","",VLOOKUP(B343,小圆机汇总表!A:AP,7,FALSE))</f>
        <v>34</v>
      </c>
      <c r="E343" s="8" t="str">
        <f>IF(B343="","",VLOOKUP(B343,小圆机汇总表!A:AP,5,FALSE))</f>
        <v>白</v>
      </c>
      <c r="F343" s="8" t="str">
        <f>IF(B343="","",VLOOKUP(B343,小圆机汇总表!A:AP,8,FALSE))</f>
        <v>长乐</v>
      </c>
      <c r="G343" s="23">
        <v>43759</v>
      </c>
      <c r="H343" s="8">
        <v>385.3</v>
      </c>
      <c r="I343" s="8">
        <v>20</v>
      </c>
      <c r="K343" s="8" t="s">
        <v>1593</v>
      </c>
      <c r="M343" s="250">
        <f t="shared" si="5"/>
        <v>10</v>
      </c>
    </row>
    <row r="344" spans="1:13" hidden="1" outlineLevel="1">
      <c r="A344" s="4">
        <v>344</v>
      </c>
      <c r="B344" s="8" t="s">
        <v>112</v>
      </c>
      <c r="C344" s="8" t="str">
        <f>IF(B344="","",VLOOKUP(B344,小圆机汇总表!A:AP,2,FALSE))</f>
        <v>A5035w黑</v>
      </c>
      <c r="D344" s="8">
        <f>IF(B344="","",VLOOKUP(B344,小圆机汇总表!A:AP,7,FALSE))</f>
        <v>35</v>
      </c>
      <c r="E344" s="8" t="str">
        <f>IF(B344="","",VLOOKUP(B344,小圆机汇总表!A:AP,5,FALSE))</f>
        <v>黑</v>
      </c>
      <c r="F344" s="8" t="str">
        <f>IF(B344="","",VLOOKUP(B344,小圆机汇总表!A:AP,8,FALSE))</f>
        <v>固力</v>
      </c>
      <c r="G344" s="23">
        <v>43759</v>
      </c>
      <c r="H344" s="8">
        <v>704.9</v>
      </c>
      <c r="I344" s="8">
        <f>28+4</f>
        <v>32</v>
      </c>
      <c r="K344" s="8" t="s">
        <v>1594</v>
      </c>
      <c r="M344" s="250">
        <f t="shared" si="5"/>
        <v>10</v>
      </c>
    </row>
    <row r="345" spans="1:13" hidden="1" outlineLevel="1">
      <c r="A345" s="4">
        <v>345</v>
      </c>
      <c r="B345" s="8" t="s">
        <v>1239</v>
      </c>
      <c r="C345" s="8" t="str">
        <f>IF(B345="","",VLOOKUP(B345,小圆机汇总表!A:AP,2,FALSE))</f>
        <v>A5032w 32针</v>
      </c>
      <c r="D345" s="8">
        <f>IF(B345="","",VLOOKUP(B345,小圆机汇总表!A:AP,7,FALSE))</f>
        <v>32</v>
      </c>
      <c r="E345" s="8" t="str">
        <f>IF(B345="","",VLOOKUP(B345,小圆机汇总表!A:AP,5,FALSE))</f>
        <v>白</v>
      </c>
      <c r="F345" s="8" t="str">
        <f>IF(B345="","",VLOOKUP(B345,小圆机汇总表!A:AP,8,FALSE))</f>
        <v>长乐/32针</v>
      </c>
      <c r="G345" s="23">
        <v>43759</v>
      </c>
      <c r="H345" s="8">
        <v>121.2</v>
      </c>
      <c r="I345" s="8">
        <v>6</v>
      </c>
      <c r="K345" s="8" t="s">
        <v>1596</v>
      </c>
      <c r="M345" s="250">
        <f t="shared" si="5"/>
        <v>10</v>
      </c>
    </row>
    <row r="346" spans="1:13" hidden="1" outlineLevel="1">
      <c r="A346" s="4">
        <v>346</v>
      </c>
      <c r="B346" s="8" t="s">
        <v>737</v>
      </c>
      <c r="C346" s="8" t="str">
        <f>IF(B346="","",VLOOKUP(B346,小圆机汇总表!A:AP,2,FALSE))</f>
        <v>A5035大W</v>
      </c>
      <c r="D346" s="8">
        <f>IF(B346="","",VLOOKUP(B346,小圆机汇总表!A:AP,7,FALSE))</f>
        <v>35</v>
      </c>
      <c r="E346" s="8" t="str">
        <f>IF(B346="","",VLOOKUP(B346,小圆机汇总表!A:AP,5,FALSE))</f>
        <v>白</v>
      </c>
      <c r="F346" s="8" t="str">
        <f>IF(B346="","",VLOOKUP(B346,小圆机汇总表!A:AP,8,FALSE))</f>
        <v>长乐</v>
      </c>
      <c r="G346" s="23">
        <v>43759</v>
      </c>
      <c r="H346" s="8">
        <v>342.6</v>
      </c>
      <c r="I346" s="8">
        <v>17</v>
      </c>
      <c r="K346" s="8" t="s">
        <v>1597</v>
      </c>
      <c r="M346" s="250">
        <f t="shared" si="5"/>
        <v>10</v>
      </c>
    </row>
    <row r="347" spans="1:13" hidden="1" outlineLevel="1">
      <c r="A347" s="4">
        <v>347</v>
      </c>
      <c r="B347" s="8" t="s">
        <v>116</v>
      </c>
      <c r="C347" s="8" t="str">
        <f>IF(B347="","",VLOOKUP(B347,小圆机汇总表!A:AP,2,FALSE))</f>
        <v>B5036大W高温丝</v>
      </c>
      <c r="D347" s="8">
        <f>IF(B347="","",VLOOKUP(B347,小圆机汇总表!A:AP,7,FALSE))</f>
        <v>36</v>
      </c>
      <c r="E347" s="8" t="str">
        <f>IF(B347="","",VLOOKUP(B347,小圆机汇总表!A:AP,5,FALSE))</f>
        <v>白高温</v>
      </c>
      <c r="F347" s="8" t="str">
        <f>IF(B347="","",VLOOKUP(B347,小圆机汇总表!A:AP,8,FALSE))</f>
        <v>长乐</v>
      </c>
      <c r="G347" s="23">
        <v>43759</v>
      </c>
      <c r="H347" s="8">
        <v>955.5</v>
      </c>
      <c r="I347" s="8">
        <v>48</v>
      </c>
      <c r="K347" s="8" t="s">
        <v>1591</v>
      </c>
      <c r="M347" s="250">
        <f t="shared" si="5"/>
        <v>10</v>
      </c>
    </row>
    <row r="348" spans="1:13" hidden="1" outlineLevel="1">
      <c r="A348" s="4">
        <v>348</v>
      </c>
      <c r="B348" s="8" t="s">
        <v>70</v>
      </c>
      <c r="C348" s="8" t="str">
        <f>IF(B348="","",VLOOKUP(B348,小圆机汇总表!A:AP,2,FALSE))</f>
        <v>A5038w</v>
      </c>
      <c r="D348" s="8">
        <f>IF(B348="","",VLOOKUP(B348,小圆机汇总表!A:AP,7,FALSE))</f>
        <v>38</v>
      </c>
      <c r="E348" s="8" t="str">
        <f>IF(B348="","",VLOOKUP(B348,小圆机汇总表!A:AP,5,FALSE))</f>
        <v>白</v>
      </c>
      <c r="F348" s="8" t="str">
        <f>IF(B348="","",VLOOKUP(B348,小圆机汇总表!A:AP,8,FALSE))</f>
        <v>长乐</v>
      </c>
      <c r="G348" s="23">
        <v>43759</v>
      </c>
      <c r="H348" s="8">
        <v>445</v>
      </c>
      <c r="I348" s="8">
        <v>22</v>
      </c>
      <c r="K348" s="8" t="s">
        <v>1598</v>
      </c>
      <c r="M348" s="250">
        <f t="shared" si="5"/>
        <v>10</v>
      </c>
    </row>
    <row r="349" spans="1:13" hidden="1" outlineLevel="1">
      <c r="A349" s="4">
        <v>349</v>
      </c>
      <c r="B349" s="8" t="s">
        <v>1146</v>
      </c>
      <c r="C349" s="8" t="str">
        <f>IF(B349="","",VLOOKUP(B349,小圆机汇总表!A:AP,2,FALSE))</f>
        <v>A5042w</v>
      </c>
      <c r="D349" s="8">
        <f>IF(B349="","",VLOOKUP(B349,小圆机汇总表!A:AP,7,FALSE))</f>
        <v>42</v>
      </c>
      <c r="E349" s="8" t="str">
        <f>IF(B349="","",VLOOKUP(B349,小圆机汇总表!A:AP,5,FALSE))</f>
        <v>白</v>
      </c>
      <c r="F349" s="8" t="str">
        <f>IF(B349="","",VLOOKUP(B349,小圆机汇总表!A:AP,8,FALSE))</f>
        <v>长乐</v>
      </c>
      <c r="G349" s="23">
        <v>43759</v>
      </c>
      <c r="H349" s="8">
        <v>398</v>
      </c>
      <c r="I349" s="8">
        <v>21</v>
      </c>
      <c r="K349" s="8" t="s">
        <v>1595</v>
      </c>
      <c r="M349" s="250">
        <f t="shared" si="5"/>
        <v>10</v>
      </c>
    </row>
    <row r="350" spans="1:13" hidden="1" outlineLevel="1">
      <c r="A350" s="4">
        <v>350</v>
      </c>
      <c r="B350" s="8" t="s">
        <v>1019</v>
      </c>
      <c r="C350" s="8" t="str">
        <f>IF(B350="","",VLOOKUP(B350,小圆机汇总表!A:AP,2,FALSE))</f>
        <v>A5040w</v>
      </c>
      <c r="D350" s="8">
        <f>IF(B350="","",VLOOKUP(B350,小圆机汇总表!A:AP,7,FALSE))</f>
        <v>40</v>
      </c>
      <c r="E350" s="8" t="str">
        <f>IF(B350="","",VLOOKUP(B350,小圆机汇总表!A:AP,5,FALSE))</f>
        <v>白</v>
      </c>
      <c r="F350" s="8" t="str">
        <f>IF(B350="","",VLOOKUP(B350,小圆机汇总表!A:AP,8,FALSE))</f>
        <v>长乐</v>
      </c>
      <c r="G350" s="23">
        <v>43759</v>
      </c>
      <c r="H350" s="8">
        <v>304.2</v>
      </c>
      <c r="I350" s="8">
        <v>15</v>
      </c>
      <c r="K350" s="8" t="s">
        <v>1599</v>
      </c>
      <c r="M350" s="250">
        <f t="shared" si="5"/>
        <v>10</v>
      </c>
    </row>
    <row r="351" spans="1:13" hidden="1" outlineLevel="1">
      <c r="A351" s="4">
        <v>351</v>
      </c>
      <c r="B351" s="8" t="s">
        <v>749</v>
      </c>
      <c r="C351" s="8" t="str">
        <f>IF(B351="","",VLOOKUP(B351,小圆机汇总表!A:AP,2,FALSE))</f>
        <v>C7542大W 白丝</v>
      </c>
      <c r="D351" s="8">
        <f>IF(B351="","",VLOOKUP(B351,小圆机汇总表!A:AP,7,FALSE))</f>
        <v>42</v>
      </c>
      <c r="E351" s="8" t="str">
        <f>IF(B351="","",VLOOKUP(B351,小圆机汇总表!A:AP,5,FALSE))</f>
        <v>白高温</v>
      </c>
      <c r="F351" s="8" t="str">
        <f>IF(B351="","",VLOOKUP(B351,小圆机汇总表!A:AP,8,FALSE))</f>
        <v>申久</v>
      </c>
      <c r="G351" s="23">
        <v>43759</v>
      </c>
      <c r="H351" s="8">
        <v>403.5</v>
      </c>
      <c r="I351" s="8">
        <v>20</v>
      </c>
      <c r="K351" s="8" t="s">
        <v>1591</v>
      </c>
      <c r="M351" s="250">
        <f t="shared" si="5"/>
        <v>10</v>
      </c>
    </row>
    <row r="352" spans="1:13" hidden="1" outlineLevel="1">
      <c r="A352" s="4">
        <v>352</v>
      </c>
      <c r="B352" s="8" t="s">
        <v>128</v>
      </c>
      <c r="C352" s="8" t="str">
        <f>IF(B352="","",VLOOKUP(B352,小圆机汇总表!A:AP,2,FALSE))</f>
        <v>A7545斜乱平纹</v>
      </c>
      <c r="D352" s="8">
        <f>IF(B352="","",VLOOKUP(B352,小圆机汇总表!A:AP,7,FALSE))</f>
        <v>45</v>
      </c>
      <c r="E352" s="8" t="str">
        <f>IF(B352="","",VLOOKUP(B352,小圆机汇总表!A:AP,5,FALSE))</f>
        <v>白</v>
      </c>
      <c r="F352" s="8" t="str">
        <f>IF(B352="","",VLOOKUP(B352,小圆机汇总表!A:AP,8,FALSE))</f>
        <v>长乐</v>
      </c>
      <c r="G352" s="23">
        <v>43759</v>
      </c>
      <c r="H352" s="8">
        <v>783.2</v>
      </c>
      <c r="I352" s="8">
        <v>39</v>
      </c>
      <c r="K352" s="8" t="s">
        <v>1596</v>
      </c>
      <c r="M352" s="250">
        <f t="shared" si="5"/>
        <v>10</v>
      </c>
    </row>
    <row r="353" spans="1:13" hidden="1" outlineLevel="1">
      <c r="A353" s="4">
        <v>353</v>
      </c>
      <c r="B353" s="8" t="s">
        <v>129</v>
      </c>
      <c r="C353" s="8" t="str">
        <f>IF(B353="","",VLOOKUP(B353,小圆机汇总表!A:AP,2,FALSE))</f>
        <v>A7548斜乱平纹</v>
      </c>
      <c r="D353" s="8">
        <f>IF(B353="","",VLOOKUP(B353,小圆机汇总表!A:AP,7,FALSE))</f>
        <v>48</v>
      </c>
      <c r="E353" s="8" t="str">
        <f>IF(B353="","",VLOOKUP(B353,小圆机汇总表!A:AP,5,FALSE))</f>
        <v>白高温</v>
      </c>
      <c r="F353" s="8" t="str">
        <f>IF(B353="","",VLOOKUP(B353,小圆机汇总表!A:AP,8,FALSE))</f>
        <v>长乐</v>
      </c>
      <c r="G353" s="23">
        <v>43759</v>
      </c>
      <c r="H353" s="8">
        <v>162.4</v>
      </c>
      <c r="I353" s="8">
        <v>8</v>
      </c>
      <c r="K353" s="8" t="s">
        <v>1592</v>
      </c>
      <c r="M353" s="250">
        <f t="shared" si="5"/>
        <v>10</v>
      </c>
    </row>
    <row r="354" spans="1:13" hidden="1" outlineLevel="1">
      <c r="A354" s="4">
        <v>354</v>
      </c>
      <c r="B354" s="8" t="s">
        <v>104</v>
      </c>
      <c r="C354" s="8" t="str">
        <f>IF(B354="","",VLOOKUP(B354,小圆机汇总表!A:AP,2,FALSE))</f>
        <v>B7549w</v>
      </c>
      <c r="D354" s="8">
        <f>IF(B354="","",VLOOKUP(B354,小圆机汇总表!A:AP,7,FALSE))</f>
        <v>49</v>
      </c>
      <c r="E354" s="8" t="str">
        <f>IF(B354="","",VLOOKUP(B354,小圆机汇总表!A:AP,5,FALSE))</f>
        <v>白</v>
      </c>
      <c r="F354" s="8" t="str">
        <f>IF(B354="","",VLOOKUP(B354,小圆机汇总表!A:AP,8,FALSE))</f>
        <v>长乐</v>
      </c>
      <c r="G354" s="23">
        <v>43759</v>
      </c>
      <c r="H354" s="8">
        <v>121.8</v>
      </c>
      <c r="I354" s="8">
        <v>6</v>
      </c>
      <c r="K354" s="8" t="s">
        <v>1594</v>
      </c>
      <c r="M354" s="250">
        <f t="shared" si="5"/>
        <v>10</v>
      </c>
    </row>
    <row r="355" spans="1:13" hidden="1" outlineLevel="1">
      <c r="A355" s="4">
        <v>355</v>
      </c>
      <c r="B355" s="8" t="s">
        <v>990</v>
      </c>
      <c r="C355" s="8" t="str">
        <f>IF(B355="","",VLOOKUP(B355,小圆机汇总表!A:AP,2,FALSE))</f>
        <v>B7543大W</v>
      </c>
      <c r="D355" s="8">
        <f>IF(B355="","",VLOOKUP(B355,小圆机汇总表!A:AP,7,FALSE))</f>
        <v>43</v>
      </c>
      <c r="E355" s="8" t="str">
        <f>IF(B355="","",VLOOKUP(B355,小圆机汇总表!A:AP,5,FALSE))</f>
        <v>白</v>
      </c>
      <c r="F355" s="8" t="str">
        <f>IF(B355="","",VLOOKUP(B355,小圆机汇总表!A:AP,8,FALSE))</f>
        <v>长乐</v>
      </c>
      <c r="G355" s="23">
        <v>43759</v>
      </c>
      <c r="H355" s="8">
        <v>208.3</v>
      </c>
      <c r="I355" s="8">
        <v>10</v>
      </c>
      <c r="K355" s="8" t="s">
        <v>1600</v>
      </c>
      <c r="M355" s="250">
        <f t="shared" si="5"/>
        <v>10</v>
      </c>
    </row>
    <row r="356" spans="1:13" hidden="1" outlineLevel="1">
      <c r="A356" s="4">
        <v>356</v>
      </c>
      <c r="B356" s="8" t="s">
        <v>1644</v>
      </c>
      <c r="C356" s="8" t="str">
        <f>IF(B356="","",VLOOKUP(B356,小圆机汇总表!A:AP,2,FALSE))</f>
        <v>B7550大W</v>
      </c>
      <c r="D356" s="8">
        <f>IF(B356="","",VLOOKUP(B356,小圆机汇总表!A:AP,7,FALSE))</f>
        <v>50</v>
      </c>
      <c r="E356" s="8" t="str">
        <f>IF(B356="","",VLOOKUP(B356,小圆机汇总表!A:AP,5,FALSE))</f>
        <v>白</v>
      </c>
      <c r="F356" s="8" t="str">
        <f>IF(B356="","",VLOOKUP(B356,小圆机汇总表!A:AP,8,FALSE))</f>
        <v>长乐</v>
      </c>
      <c r="G356" s="23">
        <v>43759</v>
      </c>
      <c r="H356" s="8">
        <v>62.1</v>
      </c>
      <c r="I356" s="8">
        <v>3</v>
      </c>
      <c r="K356" s="8" t="s">
        <v>1596</v>
      </c>
      <c r="M356" s="250">
        <f t="shared" si="5"/>
        <v>10</v>
      </c>
    </row>
    <row r="357" spans="1:13" hidden="1" outlineLevel="1">
      <c r="A357" s="4">
        <v>357</v>
      </c>
      <c r="B357" s="8" t="s">
        <v>1781</v>
      </c>
      <c r="C357" s="8" t="str">
        <f>IF(B357="","",VLOOKUP(B357,小圆机汇总表!A:AP,2,FALSE))</f>
        <v>B3023乱平纹</v>
      </c>
      <c r="D357" s="8">
        <f>IF(B357="","",VLOOKUP(B357,小圆机汇总表!A:AP,7,FALSE))</f>
        <v>23</v>
      </c>
      <c r="E357" s="8" t="str">
        <f>IF(B357="","",VLOOKUP(B357,小圆机汇总表!A:AP,5,FALSE))</f>
        <v>白</v>
      </c>
      <c r="F357" s="8" t="str">
        <f>IF(B357="","",VLOOKUP(B357,小圆机汇总表!A:AP,8,FALSE))</f>
        <v>长乐</v>
      </c>
      <c r="G357" s="23">
        <v>43760</v>
      </c>
      <c r="H357" s="8">
        <v>18.899999999999999</v>
      </c>
      <c r="I357" s="8">
        <v>1</v>
      </c>
      <c r="K357" s="8" t="s">
        <v>252</v>
      </c>
      <c r="M357" s="250">
        <f t="shared" si="5"/>
        <v>10</v>
      </c>
    </row>
    <row r="358" spans="1:13" hidden="1" outlineLevel="1">
      <c r="A358" s="4">
        <v>358</v>
      </c>
      <c r="B358" s="8" t="s">
        <v>1776</v>
      </c>
      <c r="C358" s="8" t="str">
        <f>IF(B358="","",VLOOKUP(B358,小圆机汇总表!A:AP,2,FALSE))</f>
        <v>B3023乱平纹</v>
      </c>
      <c r="D358" s="8">
        <f>IF(B358="","",VLOOKUP(B358,小圆机汇总表!A:AP,7,FALSE))</f>
        <v>23</v>
      </c>
      <c r="E358" s="8" t="str">
        <f>IF(B358="","",VLOOKUP(B358,小圆机汇总表!A:AP,5,FALSE))</f>
        <v>白</v>
      </c>
      <c r="F358" s="8" t="str">
        <f>IF(B358="","",VLOOKUP(B358,小圆机汇总表!A:AP,8,FALSE))</f>
        <v>恒力</v>
      </c>
      <c r="G358" s="23">
        <v>43760</v>
      </c>
      <c r="H358" s="8">
        <v>40</v>
      </c>
      <c r="I358" s="8">
        <v>2</v>
      </c>
      <c r="K358" s="8" t="s">
        <v>252</v>
      </c>
      <c r="M358" s="250">
        <f t="shared" si="5"/>
        <v>10</v>
      </c>
    </row>
    <row r="359" spans="1:13" hidden="1" outlineLevel="1">
      <c r="A359" s="4">
        <v>359</v>
      </c>
      <c r="B359" s="8" t="s">
        <v>1779</v>
      </c>
      <c r="C359" s="8" t="str">
        <f>IF(B359="","",VLOOKUP(B359,小圆机汇总表!A:AP,2,FALSE))</f>
        <v>B3023大W</v>
      </c>
      <c r="D359" s="8">
        <f>IF(B359="","",VLOOKUP(B359,小圆机汇总表!A:AP,7,FALSE))</f>
        <v>23</v>
      </c>
      <c r="E359" s="8" t="str">
        <f>IF(B359="","",VLOOKUP(B359,小圆机汇总表!A:AP,5,FALSE))</f>
        <v>白</v>
      </c>
      <c r="F359" s="8" t="str">
        <f>IF(B359="","",VLOOKUP(B359,小圆机汇总表!A:AP,8,FALSE))</f>
        <v>银宇</v>
      </c>
      <c r="G359" s="23">
        <v>43760</v>
      </c>
      <c r="H359" s="8">
        <v>19.100000000000001</v>
      </c>
      <c r="I359" s="8">
        <v>1</v>
      </c>
      <c r="K359" s="8" t="s">
        <v>1596</v>
      </c>
      <c r="M359" s="250">
        <f t="shared" si="5"/>
        <v>10</v>
      </c>
    </row>
    <row r="360" spans="1:13" hidden="1" outlineLevel="1">
      <c r="A360" s="4">
        <v>360</v>
      </c>
      <c r="B360" s="8" t="s">
        <v>122</v>
      </c>
      <c r="C360" s="8" t="str">
        <f>IF(B360="","",VLOOKUP(B360,小圆机汇总表!A:AP,2,FALSE))</f>
        <v>B5034大W</v>
      </c>
      <c r="D360" s="8">
        <f>IF(B360="","",VLOOKUP(B360,小圆机汇总表!A:AP,7,FALSE))</f>
        <v>34</v>
      </c>
      <c r="E360" s="8" t="str">
        <f>IF(B360="","",VLOOKUP(B360,小圆机汇总表!A:AP,5,FALSE))</f>
        <v>白高温</v>
      </c>
      <c r="F360" s="8" t="str">
        <f>IF(B360="","",VLOOKUP(B360,小圆机汇总表!A:AP,8,FALSE))</f>
        <v>长乐</v>
      </c>
      <c r="G360" s="23">
        <v>43760</v>
      </c>
      <c r="H360" s="8">
        <v>279.39999999999998</v>
      </c>
      <c r="I360" s="8">
        <v>14</v>
      </c>
      <c r="K360" s="8" t="s">
        <v>1591</v>
      </c>
      <c r="M360" s="250">
        <f t="shared" si="5"/>
        <v>10</v>
      </c>
    </row>
    <row r="361" spans="1:13" hidden="1" outlineLevel="1">
      <c r="A361" s="4">
        <v>361</v>
      </c>
      <c r="B361" s="8" t="s">
        <v>123</v>
      </c>
      <c r="C361" s="8" t="str">
        <f>IF(B361="","",VLOOKUP(B361,小圆机汇总表!A:AP,2,FALSE))</f>
        <v>B7539斜乱平纹</v>
      </c>
      <c r="D361" s="8">
        <f>IF(B361="","",VLOOKUP(B361,小圆机汇总表!A:AP,7,FALSE))</f>
        <v>39</v>
      </c>
      <c r="E361" s="8" t="str">
        <f>IF(B361="","",VLOOKUP(B361,小圆机汇总表!A:AP,5,FALSE))</f>
        <v>白</v>
      </c>
      <c r="F361" s="8" t="str">
        <f>IF(B361="","",VLOOKUP(B361,小圆机汇总表!A:AP,8,FALSE))</f>
        <v>盛元</v>
      </c>
      <c r="G361" s="23">
        <v>43760</v>
      </c>
      <c r="H361" s="8">
        <v>307.5</v>
      </c>
      <c r="I361" s="8">
        <v>15</v>
      </c>
      <c r="K361" s="8" t="s">
        <v>1592</v>
      </c>
      <c r="M361" s="250">
        <f t="shared" si="5"/>
        <v>10</v>
      </c>
    </row>
    <row r="362" spans="1:13" hidden="1" outlineLevel="1">
      <c r="A362" s="4">
        <v>362</v>
      </c>
      <c r="B362" s="8" t="s">
        <v>961</v>
      </c>
      <c r="C362" s="8" t="str">
        <f>IF(B362="","",VLOOKUP(B362,小圆机汇总表!A:AP,2,FALSE))</f>
        <v>C5034w</v>
      </c>
      <c r="D362" s="8">
        <f>IF(B362="","",VLOOKUP(B362,小圆机汇总表!A:AP,7,FALSE))</f>
        <v>34</v>
      </c>
      <c r="E362" s="8" t="str">
        <f>IF(B362="","",VLOOKUP(B362,小圆机汇总表!A:AP,5,FALSE))</f>
        <v>白</v>
      </c>
      <c r="F362" s="8" t="str">
        <f>IF(B362="","",VLOOKUP(B362,小圆机汇总表!A:AP,8,FALSE))</f>
        <v>长乐</v>
      </c>
      <c r="G362" s="23">
        <v>43760</v>
      </c>
      <c r="H362" s="8">
        <v>366.5</v>
      </c>
      <c r="I362" s="8">
        <v>19</v>
      </c>
      <c r="K362" s="8" t="s">
        <v>1593</v>
      </c>
      <c r="M362" s="250">
        <f t="shared" si="5"/>
        <v>10</v>
      </c>
    </row>
    <row r="363" spans="1:13" hidden="1" outlineLevel="1">
      <c r="A363" s="4">
        <v>363</v>
      </c>
      <c r="B363" s="8" t="s">
        <v>112</v>
      </c>
      <c r="C363" s="8" t="str">
        <f>IF(B363="","",VLOOKUP(B363,小圆机汇总表!A:AP,2,FALSE))</f>
        <v>A5035w黑</v>
      </c>
      <c r="D363" s="8">
        <f>IF(B363="","",VLOOKUP(B363,小圆机汇总表!A:AP,7,FALSE))</f>
        <v>35</v>
      </c>
      <c r="E363" s="8" t="str">
        <f>IF(B363="","",VLOOKUP(B363,小圆机汇总表!A:AP,5,FALSE))</f>
        <v>黑</v>
      </c>
      <c r="F363" s="8" t="str">
        <f>IF(B363="","",VLOOKUP(B363,小圆机汇总表!A:AP,8,FALSE))</f>
        <v>固力</v>
      </c>
      <c r="G363" s="23">
        <v>43760</v>
      </c>
      <c r="H363" s="8">
        <v>700.3</v>
      </c>
      <c r="I363" s="8">
        <f>28+4</f>
        <v>32</v>
      </c>
      <c r="K363" s="8" t="s">
        <v>1594</v>
      </c>
      <c r="M363" s="250">
        <f t="shared" si="5"/>
        <v>10</v>
      </c>
    </row>
    <row r="364" spans="1:13" hidden="1" outlineLevel="1">
      <c r="A364" s="4">
        <v>364</v>
      </c>
      <c r="B364" s="8" t="s">
        <v>1239</v>
      </c>
      <c r="C364" s="8" t="str">
        <f>IF(B364="","",VLOOKUP(B364,小圆机汇总表!A:AP,2,FALSE))</f>
        <v>A5032w 32针</v>
      </c>
      <c r="D364" s="8">
        <f>IF(B364="","",VLOOKUP(B364,小圆机汇总表!A:AP,7,FALSE))</f>
        <v>32</v>
      </c>
      <c r="E364" s="8" t="str">
        <f>IF(B364="","",VLOOKUP(B364,小圆机汇总表!A:AP,5,FALSE))</f>
        <v>白</v>
      </c>
      <c r="F364" s="8" t="str">
        <f>IF(B364="","",VLOOKUP(B364,小圆机汇总表!A:AP,8,FALSE))</f>
        <v>长乐/32针</v>
      </c>
      <c r="G364" s="23">
        <v>43760</v>
      </c>
      <c r="H364" s="8">
        <v>91.8</v>
      </c>
      <c r="I364" s="8">
        <v>5</v>
      </c>
      <c r="K364" s="8" t="s">
        <v>1596</v>
      </c>
      <c r="M364" s="250">
        <f t="shared" si="5"/>
        <v>10</v>
      </c>
    </row>
    <row r="365" spans="1:13" hidden="1" outlineLevel="1">
      <c r="A365" s="4">
        <v>365</v>
      </c>
      <c r="B365" s="8" t="s">
        <v>737</v>
      </c>
      <c r="C365" s="8" t="str">
        <f>IF(B365="","",VLOOKUP(B365,小圆机汇总表!A:AP,2,FALSE))</f>
        <v>A5035大W</v>
      </c>
      <c r="D365" s="8">
        <f>IF(B365="","",VLOOKUP(B365,小圆机汇总表!A:AP,7,FALSE))</f>
        <v>35</v>
      </c>
      <c r="E365" s="8" t="str">
        <f>IF(B365="","",VLOOKUP(B365,小圆机汇总表!A:AP,5,FALSE))</f>
        <v>白</v>
      </c>
      <c r="F365" s="8" t="str">
        <f>IF(B365="","",VLOOKUP(B365,小圆机汇总表!A:AP,8,FALSE))</f>
        <v>长乐</v>
      </c>
      <c r="G365" s="23">
        <v>43760</v>
      </c>
      <c r="H365" s="8">
        <v>322.8</v>
      </c>
      <c r="I365" s="8">
        <v>16</v>
      </c>
      <c r="K365" s="8" t="s">
        <v>1597</v>
      </c>
      <c r="M365" s="250">
        <f t="shared" si="5"/>
        <v>10</v>
      </c>
    </row>
    <row r="366" spans="1:13" hidden="1" outlineLevel="1">
      <c r="A366" s="4">
        <v>366</v>
      </c>
      <c r="B366" s="8" t="s">
        <v>116</v>
      </c>
      <c r="C366" s="8" t="str">
        <f>IF(B366="","",VLOOKUP(B366,小圆机汇总表!A:AP,2,FALSE))</f>
        <v>B5036大W高温丝</v>
      </c>
      <c r="D366" s="8">
        <f>IF(B366="","",VLOOKUP(B366,小圆机汇总表!A:AP,7,FALSE))</f>
        <v>36</v>
      </c>
      <c r="E366" s="8" t="str">
        <f>IF(B366="","",VLOOKUP(B366,小圆机汇总表!A:AP,5,FALSE))</f>
        <v>白高温</v>
      </c>
      <c r="F366" s="8" t="str">
        <f>IF(B366="","",VLOOKUP(B366,小圆机汇总表!A:AP,8,FALSE))</f>
        <v>长乐</v>
      </c>
      <c r="G366" s="23">
        <v>43760</v>
      </c>
      <c r="H366" s="8">
        <v>957.7</v>
      </c>
      <c r="I366" s="8">
        <v>48</v>
      </c>
      <c r="K366" s="8" t="s">
        <v>1591</v>
      </c>
      <c r="M366" s="250">
        <f t="shared" si="5"/>
        <v>10</v>
      </c>
    </row>
    <row r="367" spans="1:13" hidden="1" outlineLevel="1">
      <c r="A367" s="4">
        <v>367</v>
      </c>
      <c r="B367" s="8" t="s">
        <v>70</v>
      </c>
      <c r="C367" s="8" t="str">
        <f>IF(B367="","",VLOOKUP(B367,小圆机汇总表!A:AP,2,FALSE))</f>
        <v>A5038w</v>
      </c>
      <c r="D367" s="8">
        <f>IF(B367="","",VLOOKUP(B367,小圆机汇总表!A:AP,7,FALSE))</f>
        <v>38</v>
      </c>
      <c r="E367" s="8" t="str">
        <f>IF(B367="","",VLOOKUP(B367,小圆机汇总表!A:AP,5,FALSE))</f>
        <v>白</v>
      </c>
      <c r="F367" s="8" t="str">
        <f>IF(B367="","",VLOOKUP(B367,小圆机汇总表!A:AP,8,FALSE))</f>
        <v>长乐</v>
      </c>
      <c r="G367" s="23">
        <v>43760</v>
      </c>
      <c r="H367" s="8">
        <v>427.4</v>
      </c>
      <c r="I367" s="8">
        <v>21</v>
      </c>
      <c r="K367" s="8" t="s">
        <v>1598</v>
      </c>
      <c r="M367" s="250">
        <f t="shared" si="5"/>
        <v>10</v>
      </c>
    </row>
    <row r="368" spans="1:13" hidden="1" outlineLevel="1">
      <c r="A368" s="4">
        <v>368</v>
      </c>
      <c r="B368" s="8" t="s">
        <v>1146</v>
      </c>
      <c r="C368" s="8" t="str">
        <f>IF(B368="","",VLOOKUP(B368,小圆机汇总表!A:AP,2,FALSE))</f>
        <v>A5042w</v>
      </c>
      <c r="D368" s="8">
        <f>IF(B368="","",VLOOKUP(B368,小圆机汇总表!A:AP,7,FALSE))</f>
        <v>42</v>
      </c>
      <c r="E368" s="8" t="str">
        <f>IF(B368="","",VLOOKUP(B368,小圆机汇总表!A:AP,5,FALSE))</f>
        <v>白</v>
      </c>
      <c r="F368" s="8" t="str">
        <f>IF(B368="","",VLOOKUP(B368,小圆机汇总表!A:AP,8,FALSE))</f>
        <v>长乐</v>
      </c>
      <c r="G368" s="23">
        <v>43760</v>
      </c>
      <c r="H368" s="8">
        <v>441.2</v>
      </c>
      <c r="I368" s="8">
        <v>23</v>
      </c>
      <c r="K368" s="8" t="s">
        <v>1595</v>
      </c>
      <c r="M368" s="250">
        <f t="shared" si="5"/>
        <v>10</v>
      </c>
    </row>
    <row r="369" spans="1:13" hidden="1" outlineLevel="1">
      <c r="A369" s="4">
        <v>369</v>
      </c>
      <c r="B369" s="8" t="s">
        <v>1019</v>
      </c>
      <c r="C369" s="8" t="str">
        <f>IF(B369="","",VLOOKUP(B369,小圆机汇总表!A:AP,2,FALSE))</f>
        <v>A5040w</v>
      </c>
      <c r="D369" s="8">
        <f>IF(B369="","",VLOOKUP(B369,小圆机汇总表!A:AP,7,FALSE))</f>
        <v>40</v>
      </c>
      <c r="E369" s="8" t="str">
        <f>IF(B369="","",VLOOKUP(B369,小圆机汇总表!A:AP,5,FALSE))</f>
        <v>白</v>
      </c>
      <c r="F369" s="8" t="str">
        <f>IF(B369="","",VLOOKUP(B369,小圆机汇总表!A:AP,8,FALSE))</f>
        <v>长乐</v>
      </c>
      <c r="G369" s="23">
        <v>43760</v>
      </c>
      <c r="H369" s="8">
        <v>304.5</v>
      </c>
      <c r="I369" s="8">
        <v>15</v>
      </c>
      <c r="K369" s="8" t="s">
        <v>1599</v>
      </c>
      <c r="M369" s="250">
        <f t="shared" si="5"/>
        <v>10</v>
      </c>
    </row>
    <row r="370" spans="1:13" hidden="1" outlineLevel="1">
      <c r="A370" s="4">
        <v>370</v>
      </c>
      <c r="B370" s="8" t="s">
        <v>749</v>
      </c>
      <c r="C370" s="8" t="str">
        <f>IF(B370="","",VLOOKUP(B370,小圆机汇总表!A:AP,2,FALSE))</f>
        <v>C7542大W 白丝</v>
      </c>
      <c r="D370" s="8">
        <f>IF(B370="","",VLOOKUP(B370,小圆机汇总表!A:AP,7,FALSE))</f>
        <v>42</v>
      </c>
      <c r="E370" s="8" t="str">
        <f>IF(B370="","",VLOOKUP(B370,小圆机汇总表!A:AP,5,FALSE))</f>
        <v>白高温</v>
      </c>
      <c r="F370" s="8" t="str">
        <f>IF(B370="","",VLOOKUP(B370,小圆机汇总表!A:AP,8,FALSE))</f>
        <v>申久</v>
      </c>
      <c r="G370" s="23">
        <v>43760</v>
      </c>
      <c r="H370" s="8">
        <v>423.5</v>
      </c>
      <c r="I370" s="8">
        <v>21</v>
      </c>
      <c r="K370" s="8" t="s">
        <v>1591</v>
      </c>
      <c r="M370" s="250">
        <f t="shared" si="5"/>
        <v>10</v>
      </c>
    </row>
    <row r="371" spans="1:13" hidden="1" outlineLevel="1">
      <c r="A371" s="4">
        <v>371</v>
      </c>
      <c r="B371" s="8" t="s">
        <v>128</v>
      </c>
      <c r="C371" s="8" t="str">
        <f>IF(B371="","",VLOOKUP(B371,小圆机汇总表!A:AP,2,FALSE))</f>
        <v>A7545斜乱平纹</v>
      </c>
      <c r="D371" s="8">
        <f>IF(B371="","",VLOOKUP(B371,小圆机汇总表!A:AP,7,FALSE))</f>
        <v>45</v>
      </c>
      <c r="E371" s="8" t="str">
        <f>IF(B371="","",VLOOKUP(B371,小圆机汇总表!A:AP,5,FALSE))</f>
        <v>白</v>
      </c>
      <c r="F371" s="8" t="str">
        <f>IF(B371="","",VLOOKUP(B371,小圆机汇总表!A:AP,8,FALSE))</f>
        <v>长乐</v>
      </c>
      <c r="G371" s="23">
        <v>43760</v>
      </c>
      <c r="H371" s="8">
        <v>762.8</v>
      </c>
      <c r="I371" s="8">
        <v>38</v>
      </c>
      <c r="K371" s="8" t="s">
        <v>1596</v>
      </c>
      <c r="M371" s="250">
        <f t="shared" si="5"/>
        <v>10</v>
      </c>
    </row>
    <row r="372" spans="1:13" hidden="1" outlineLevel="1">
      <c r="A372" s="4">
        <v>372</v>
      </c>
      <c r="B372" s="8" t="s">
        <v>129</v>
      </c>
      <c r="C372" s="8" t="str">
        <f>IF(B372="","",VLOOKUP(B372,小圆机汇总表!A:AP,2,FALSE))</f>
        <v>A7548斜乱平纹</v>
      </c>
      <c r="D372" s="8">
        <f>IF(B372="","",VLOOKUP(B372,小圆机汇总表!A:AP,7,FALSE))</f>
        <v>48</v>
      </c>
      <c r="E372" s="8" t="str">
        <f>IF(B372="","",VLOOKUP(B372,小圆机汇总表!A:AP,5,FALSE))</f>
        <v>白高温</v>
      </c>
      <c r="F372" s="8" t="str">
        <f>IF(B372="","",VLOOKUP(B372,小圆机汇总表!A:AP,8,FALSE))</f>
        <v>长乐</v>
      </c>
      <c r="G372" s="23">
        <v>43760</v>
      </c>
      <c r="H372" s="8">
        <v>142.1</v>
      </c>
      <c r="I372" s="8">
        <v>7</v>
      </c>
      <c r="K372" s="8" t="s">
        <v>1592</v>
      </c>
      <c r="M372" s="250">
        <f t="shared" si="5"/>
        <v>10</v>
      </c>
    </row>
    <row r="373" spans="1:13" hidden="1" outlineLevel="1">
      <c r="A373" s="4">
        <v>373</v>
      </c>
      <c r="B373" s="8" t="s">
        <v>104</v>
      </c>
      <c r="C373" s="8" t="str">
        <f>IF(B373="","",VLOOKUP(B373,小圆机汇总表!A:AP,2,FALSE))</f>
        <v>B7549w</v>
      </c>
      <c r="D373" s="8">
        <f>IF(B373="","",VLOOKUP(B373,小圆机汇总表!A:AP,7,FALSE))</f>
        <v>49</v>
      </c>
      <c r="E373" s="8" t="str">
        <f>IF(B373="","",VLOOKUP(B373,小圆机汇总表!A:AP,5,FALSE))</f>
        <v>白</v>
      </c>
      <c r="F373" s="8" t="str">
        <f>IF(B373="","",VLOOKUP(B373,小圆机汇总表!A:AP,8,FALSE))</f>
        <v>长乐</v>
      </c>
      <c r="G373" s="23">
        <v>43760</v>
      </c>
      <c r="H373" s="8">
        <v>204.6</v>
      </c>
      <c r="I373" s="8">
        <v>10</v>
      </c>
      <c r="K373" s="8" t="s">
        <v>1594</v>
      </c>
      <c r="M373" s="250">
        <f t="shared" si="5"/>
        <v>10</v>
      </c>
    </row>
    <row r="374" spans="1:13" hidden="1" outlineLevel="1">
      <c r="A374" s="4">
        <v>374</v>
      </c>
      <c r="B374" s="8" t="s">
        <v>1644</v>
      </c>
      <c r="C374" s="8" t="str">
        <f>IF(B374="","",VLOOKUP(B374,小圆机汇总表!A:AP,2,FALSE))</f>
        <v>B7550大W</v>
      </c>
      <c r="D374" s="8">
        <f>IF(B374="","",VLOOKUP(B374,小圆机汇总表!A:AP,7,FALSE))</f>
        <v>50</v>
      </c>
      <c r="E374" s="8" t="str">
        <f>IF(B374="","",VLOOKUP(B374,小圆机汇总表!A:AP,5,FALSE))</f>
        <v>白</v>
      </c>
      <c r="F374" s="8" t="str">
        <f>IF(B374="","",VLOOKUP(B374,小圆机汇总表!A:AP,8,FALSE))</f>
        <v>长乐</v>
      </c>
      <c r="G374" s="23">
        <v>43760</v>
      </c>
      <c r="H374" s="8">
        <v>100.5</v>
      </c>
      <c r="I374" s="8">
        <v>5</v>
      </c>
      <c r="K374" s="8" t="s">
        <v>1596</v>
      </c>
      <c r="M374" s="250">
        <f t="shared" si="5"/>
        <v>10</v>
      </c>
    </row>
    <row r="375" spans="1:13" hidden="1" outlineLevel="1">
      <c r="A375" s="4">
        <v>375</v>
      </c>
      <c r="B375" s="8" t="s">
        <v>2303</v>
      </c>
      <c r="C375" s="8" t="str">
        <f>IF(B375="","",VLOOKUP(B375,小圆机汇总表!A:AP,2,FALSE))</f>
        <v>B3023大W</v>
      </c>
      <c r="D375" s="8">
        <f>IF(B375="","",VLOOKUP(B375,小圆机汇总表!A:AP,7,FALSE))</f>
        <v>23</v>
      </c>
      <c r="E375" s="8" t="str">
        <f>IF(B375="","",VLOOKUP(B375,小圆机汇总表!A:AP,5,FALSE))</f>
        <v>白</v>
      </c>
      <c r="F375" s="8" t="str">
        <f>IF(B375="","",VLOOKUP(B375,小圆机汇总表!A:AP,8,FALSE))</f>
        <v>银宇</v>
      </c>
      <c r="G375" s="23">
        <v>43762</v>
      </c>
      <c r="H375" s="8">
        <v>38.200000000000003</v>
      </c>
      <c r="I375" s="8">
        <v>2</v>
      </c>
      <c r="K375" s="8" t="s">
        <v>252</v>
      </c>
      <c r="M375" s="250">
        <f t="shared" si="5"/>
        <v>10</v>
      </c>
    </row>
    <row r="376" spans="1:13" hidden="1" outlineLevel="1">
      <c r="A376" s="4">
        <v>376</v>
      </c>
      <c r="B376" s="8" t="s">
        <v>1776</v>
      </c>
      <c r="C376" s="8" t="str">
        <f>IF(B376="","",VLOOKUP(B376,小圆机汇总表!A:AP,2,FALSE))</f>
        <v>B3023乱平纹</v>
      </c>
      <c r="D376" s="8">
        <f>IF(B376="","",VLOOKUP(B376,小圆机汇总表!A:AP,7,FALSE))</f>
        <v>23</v>
      </c>
      <c r="E376" s="8" t="str">
        <f>IF(B376="","",VLOOKUP(B376,小圆机汇总表!A:AP,5,FALSE))</f>
        <v>白</v>
      </c>
      <c r="F376" s="8" t="str">
        <f>IF(B376="","",VLOOKUP(B376,小圆机汇总表!A:AP,8,FALSE))</f>
        <v>恒力</v>
      </c>
      <c r="G376" s="23">
        <v>43762</v>
      </c>
      <c r="H376" s="8">
        <v>40</v>
      </c>
      <c r="I376" s="8">
        <v>2</v>
      </c>
      <c r="K376" s="8" t="s">
        <v>252</v>
      </c>
      <c r="M376" s="250">
        <f t="shared" si="5"/>
        <v>10</v>
      </c>
    </row>
    <row r="377" spans="1:13" hidden="1" outlineLevel="1">
      <c r="A377" s="4">
        <v>377</v>
      </c>
      <c r="B377" s="8" t="s">
        <v>122</v>
      </c>
      <c r="C377" s="8" t="str">
        <f>IF(B377="","",VLOOKUP(B377,小圆机汇总表!A:AP,2,FALSE))</f>
        <v>B5034大W</v>
      </c>
      <c r="D377" s="8">
        <f>IF(B377="","",VLOOKUP(B377,小圆机汇总表!A:AP,7,FALSE))</f>
        <v>34</v>
      </c>
      <c r="E377" s="8" t="str">
        <f>IF(B377="","",VLOOKUP(B377,小圆机汇总表!A:AP,5,FALSE))</f>
        <v>白高温</v>
      </c>
      <c r="F377" s="8" t="str">
        <f>IF(B377="","",VLOOKUP(B377,小圆机汇总表!A:AP,8,FALSE))</f>
        <v>长乐</v>
      </c>
      <c r="G377" s="23">
        <v>43762</v>
      </c>
      <c r="H377" s="8">
        <v>259.5</v>
      </c>
      <c r="I377" s="8">
        <v>13</v>
      </c>
      <c r="K377" s="8" t="s">
        <v>2236</v>
      </c>
      <c r="M377" s="250">
        <f t="shared" si="5"/>
        <v>10</v>
      </c>
    </row>
    <row r="378" spans="1:13" hidden="1" outlineLevel="1">
      <c r="A378" s="4">
        <v>378</v>
      </c>
      <c r="B378" s="8" t="s">
        <v>123</v>
      </c>
      <c r="C378" s="8" t="str">
        <f>IF(B378="","",VLOOKUP(B378,小圆机汇总表!A:AP,2,FALSE))</f>
        <v>B7539斜乱平纹</v>
      </c>
      <c r="D378" s="8">
        <f>IF(B378="","",VLOOKUP(B378,小圆机汇总表!A:AP,7,FALSE))</f>
        <v>39</v>
      </c>
      <c r="E378" s="8" t="str">
        <f>IF(B378="","",VLOOKUP(B378,小圆机汇总表!A:AP,5,FALSE))</f>
        <v>白</v>
      </c>
      <c r="F378" s="8" t="str">
        <f>IF(B378="","",VLOOKUP(B378,小圆机汇总表!A:AP,8,FALSE))</f>
        <v>盛元</v>
      </c>
      <c r="G378" s="23">
        <v>43762</v>
      </c>
      <c r="H378" s="8">
        <v>307.5</v>
      </c>
      <c r="I378" s="8">
        <v>15</v>
      </c>
      <c r="K378" s="8" t="s">
        <v>2237</v>
      </c>
      <c r="M378" s="250">
        <f t="shared" si="5"/>
        <v>10</v>
      </c>
    </row>
    <row r="379" spans="1:13" hidden="1" outlineLevel="1">
      <c r="A379" s="4">
        <v>379</v>
      </c>
      <c r="B379" s="8" t="s">
        <v>961</v>
      </c>
      <c r="C379" s="8" t="str">
        <f>IF(B379="","",VLOOKUP(B379,小圆机汇总表!A:AP,2,FALSE))</f>
        <v>C5034w</v>
      </c>
      <c r="D379" s="8">
        <f>IF(B379="","",VLOOKUP(B379,小圆机汇总表!A:AP,7,FALSE))</f>
        <v>34</v>
      </c>
      <c r="E379" s="8" t="str">
        <f>IF(B379="","",VLOOKUP(B379,小圆机汇总表!A:AP,5,FALSE))</f>
        <v>白</v>
      </c>
      <c r="F379" s="8" t="str">
        <f>IF(B379="","",VLOOKUP(B379,小圆机汇总表!A:AP,8,FALSE))</f>
        <v>长乐</v>
      </c>
      <c r="G379" s="23">
        <v>43762</v>
      </c>
      <c r="H379" s="8">
        <v>327.9</v>
      </c>
      <c r="I379" s="8">
        <v>17</v>
      </c>
      <c r="K379" s="8" t="s">
        <v>2238</v>
      </c>
      <c r="M379" s="250">
        <f t="shared" si="5"/>
        <v>10</v>
      </c>
    </row>
    <row r="380" spans="1:13" hidden="1" outlineLevel="1">
      <c r="A380" s="4">
        <v>380</v>
      </c>
      <c r="B380" s="8" t="s">
        <v>736</v>
      </c>
      <c r="C380" s="8" t="str">
        <f>IF(B380="","",VLOOKUP(B380,小圆机汇总表!A:AP,2,FALSE))</f>
        <v>A5034斜乱平纹</v>
      </c>
      <c r="D380" s="8">
        <f>IF(B380="","",VLOOKUP(B380,小圆机汇总表!A:AP,7,FALSE))</f>
        <v>34</v>
      </c>
      <c r="E380" s="8" t="str">
        <f>IF(B380="","",VLOOKUP(B380,小圆机汇总表!A:AP,5,FALSE))</f>
        <v>白</v>
      </c>
      <c r="F380" s="8" t="str">
        <f>IF(B380="","",VLOOKUP(B380,小圆机汇总表!A:AP,8,FALSE))</f>
        <v>长乐</v>
      </c>
      <c r="G380" s="23">
        <v>43762</v>
      </c>
      <c r="H380" s="8">
        <v>165.2</v>
      </c>
      <c r="I380" s="8">
        <v>8</v>
      </c>
      <c r="K380" s="8" t="s">
        <v>2239</v>
      </c>
      <c r="M380" s="250">
        <f t="shared" si="5"/>
        <v>10</v>
      </c>
    </row>
    <row r="381" spans="1:13" hidden="1" outlineLevel="1">
      <c r="A381" s="4">
        <v>381</v>
      </c>
      <c r="B381" s="8" t="s">
        <v>112</v>
      </c>
      <c r="C381" s="8" t="str">
        <f>IF(B381="","",VLOOKUP(B381,小圆机汇总表!A:AP,2,FALSE))</f>
        <v>A5035w黑</v>
      </c>
      <c r="D381" s="8">
        <f>IF(B381="","",VLOOKUP(B381,小圆机汇总表!A:AP,7,FALSE))</f>
        <v>35</v>
      </c>
      <c r="E381" s="8" t="str">
        <f>IF(B381="","",VLOOKUP(B381,小圆机汇总表!A:AP,5,FALSE))</f>
        <v>黑</v>
      </c>
      <c r="F381" s="8" t="str">
        <f>IF(B381="","",VLOOKUP(B381,小圆机汇总表!A:AP,8,FALSE))</f>
        <v>固力</v>
      </c>
      <c r="G381" s="23">
        <v>43762</v>
      </c>
      <c r="H381" s="8">
        <v>791.4</v>
      </c>
      <c r="I381" s="8">
        <f>3+29+4</f>
        <v>36</v>
      </c>
      <c r="K381" s="8" t="s">
        <v>2240</v>
      </c>
      <c r="M381" s="250">
        <f t="shared" si="5"/>
        <v>10</v>
      </c>
    </row>
    <row r="382" spans="1:13" hidden="1" outlineLevel="1">
      <c r="A382" s="4">
        <v>382</v>
      </c>
      <c r="B382" s="8" t="s">
        <v>2234</v>
      </c>
      <c r="C382" s="8" t="str">
        <f>IF(B382="","",VLOOKUP(B382,小圆机汇总表!A:AP,2,FALSE))</f>
        <v>A5035w</v>
      </c>
      <c r="D382" s="8">
        <f>IF(B382="","",VLOOKUP(B382,小圆机汇总表!A:AP,7,FALSE))</f>
        <v>35</v>
      </c>
      <c r="E382" s="8" t="str">
        <f>IF(B382="","",VLOOKUP(B382,小圆机汇总表!A:AP,5,FALSE))</f>
        <v>白</v>
      </c>
      <c r="F382" s="8" t="str">
        <f>IF(B382="","",VLOOKUP(B382,小圆机汇总表!A:AP,8,FALSE))</f>
        <v>长乐</v>
      </c>
      <c r="G382" s="23">
        <v>43762</v>
      </c>
      <c r="H382" s="8">
        <v>163.19999999999999</v>
      </c>
      <c r="I382" s="8">
        <v>8</v>
      </c>
      <c r="K382" s="8" t="s">
        <v>2241</v>
      </c>
      <c r="M382" s="250">
        <f t="shared" si="5"/>
        <v>10</v>
      </c>
    </row>
    <row r="383" spans="1:13" hidden="1" outlineLevel="1">
      <c r="A383" s="4">
        <v>383</v>
      </c>
      <c r="B383" s="8" t="s">
        <v>1239</v>
      </c>
      <c r="C383" s="8" t="str">
        <f>IF(B383="","",VLOOKUP(B383,小圆机汇总表!A:AP,2,FALSE))</f>
        <v>A5032w 32针</v>
      </c>
      <c r="D383" s="8">
        <f>IF(B383="","",VLOOKUP(B383,小圆机汇总表!A:AP,7,FALSE))</f>
        <v>32</v>
      </c>
      <c r="E383" s="8" t="str">
        <f>IF(B383="","",VLOOKUP(B383,小圆机汇总表!A:AP,5,FALSE))</f>
        <v>白</v>
      </c>
      <c r="F383" s="8" t="str">
        <f>IF(B383="","",VLOOKUP(B383,小圆机汇总表!A:AP,8,FALSE))</f>
        <v>长乐/32针</v>
      </c>
      <c r="G383" s="23">
        <v>43762</v>
      </c>
      <c r="H383" s="8">
        <v>101</v>
      </c>
      <c r="I383" s="8">
        <v>5</v>
      </c>
      <c r="K383" s="8" t="s">
        <v>2242</v>
      </c>
      <c r="M383" s="250">
        <f t="shared" si="5"/>
        <v>10</v>
      </c>
    </row>
    <row r="384" spans="1:13" hidden="1" outlineLevel="1">
      <c r="A384" s="4">
        <v>384</v>
      </c>
      <c r="B384" s="8" t="s">
        <v>737</v>
      </c>
      <c r="C384" s="8" t="str">
        <f>IF(B384="","",VLOOKUP(B384,小圆机汇总表!A:AP,2,FALSE))</f>
        <v>A5035大W</v>
      </c>
      <c r="D384" s="8">
        <f>IF(B384="","",VLOOKUP(B384,小圆机汇总表!A:AP,7,FALSE))</f>
        <v>35</v>
      </c>
      <c r="E384" s="8" t="str">
        <f>IF(B384="","",VLOOKUP(B384,小圆机汇总表!A:AP,5,FALSE))</f>
        <v>白</v>
      </c>
      <c r="F384" s="8" t="str">
        <f>IF(B384="","",VLOOKUP(B384,小圆机汇总表!A:AP,8,FALSE))</f>
        <v>长乐</v>
      </c>
      <c r="G384" s="23">
        <v>43762</v>
      </c>
      <c r="H384" s="8">
        <v>363.3</v>
      </c>
      <c r="I384" s="8">
        <v>18</v>
      </c>
      <c r="K384" s="8" t="s">
        <v>2243</v>
      </c>
      <c r="M384" s="250">
        <f t="shared" si="5"/>
        <v>10</v>
      </c>
    </row>
    <row r="385" spans="1:13" hidden="1" outlineLevel="1">
      <c r="A385" s="4">
        <v>385</v>
      </c>
      <c r="B385" s="8" t="s">
        <v>116</v>
      </c>
      <c r="C385" s="8" t="str">
        <f>IF(B385="","",VLOOKUP(B385,小圆机汇总表!A:AP,2,FALSE))</f>
        <v>B5036大W高温丝</v>
      </c>
      <c r="D385" s="8">
        <f>IF(B385="","",VLOOKUP(B385,小圆机汇总表!A:AP,7,FALSE))</f>
        <v>36</v>
      </c>
      <c r="E385" s="8" t="str">
        <f>IF(B385="","",VLOOKUP(B385,小圆机汇总表!A:AP,5,FALSE))</f>
        <v>白高温</v>
      </c>
      <c r="F385" s="8" t="str">
        <f>IF(B385="","",VLOOKUP(B385,小圆机汇总表!A:AP,8,FALSE))</f>
        <v>长乐</v>
      </c>
      <c r="G385" s="23">
        <v>43762</v>
      </c>
      <c r="H385" s="8">
        <v>911.8</v>
      </c>
      <c r="I385" s="8">
        <v>46</v>
      </c>
      <c r="K385" s="8" t="s">
        <v>2236</v>
      </c>
      <c r="M385" s="250">
        <f t="shared" si="5"/>
        <v>10</v>
      </c>
    </row>
    <row r="386" spans="1:13" hidden="1" outlineLevel="1">
      <c r="A386" s="4">
        <v>386</v>
      </c>
      <c r="B386" s="8" t="s">
        <v>70</v>
      </c>
      <c r="C386" s="8" t="str">
        <f>IF(B386="","",VLOOKUP(B386,小圆机汇总表!A:AP,2,FALSE))</f>
        <v>A5038w</v>
      </c>
      <c r="D386" s="8">
        <f>IF(B386="","",VLOOKUP(B386,小圆机汇总表!A:AP,7,FALSE))</f>
        <v>38</v>
      </c>
      <c r="E386" s="8" t="str">
        <f>IF(B386="","",VLOOKUP(B386,小圆机汇总表!A:AP,5,FALSE))</f>
        <v>白</v>
      </c>
      <c r="F386" s="8" t="str">
        <f>IF(B386="","",VLOOKUP(B386,小圆机汇总表!A:AP,8,FALSE))</f>
        <v>长乐</v>
      </c>
      <c r="G386" s="23">
        <v>43762</v>
      </c>
      <c r="H386" s="8">
        <v>469.5</v>
      </c>
      <c r="I386" s="8">
        <v>23</v>
      </c>
      <c r="K386" s="8" t="s">
        <v>2244</v>
      </c>
      <c r="M386" s="250">
        <f t="shared" si="5"/>
        <v>10</v>
      </c>
    </row>
    <row r="387" spans="1:13" hidden="1" outlineLevel="1">
      <c r="A387" s="4">
        <v>387</v>
      </c>
      <c r="B387" s="8" t="s">
        <v>2247</v>
      </c>
      <c r="C387" s="8" t="str">
        <f>IF(B387="","",VLOOKUP(B387,小圆机汇总表!A:AP,2,FALSE))</f>
        <v>C5040w</v>
      </c>
      <c r="D387" s="8">
        <f>IF(B387="","",VLOOKUP(B387,小圆机汇总表!A:AP,7,FALSE))</f>
        <v>40</v>
      </c>
      <c r="E387" s="8" t="str">
        <f>IF(B387="","",VLOOKUP(B387,小圆机汇总表!A:AP,5,FALSE))</f>
        <v>白无温</v>
      </c>
      <c r="F387" s="8" t="str">
        <f>IF(B387="","",VLOOKUP(B387,小圆机汇总表!A:AP,8,FALSE))</f>
        <v>申久</v>
      </c>
      <c r="G387" s="23">
        <v>43762</v>
      </c>
      <c r="H387" s="8">
        <v>78</v>
      </c>
      <c r="I387" s="8">
        <v>4</v>
      </c>
      <c r="K387" s="8" t="s">
        <v>2245</v>
      </c>
      <c r="M387" s="250">
        <f t="shared" ref="M387:M450" si="6">IF(B387="","",MONTH(G387))</f>
        <v>10</v>
      </c>
    </row>
    <row r="388" spans="1:13" hidden="1" outlineLevel="1">
      <c r="A388" s="4">
        <v>388</v>
      </c>
      <c r="B388" s="8" t="s">
        <v>1146</v>
      </c>
      <c r="C388" s="8" t="str">
        <f>IF(B388="","",VLOOKUP(B388,小圆机汇总表!A:AP,2,FALSE))</f>
        <v>A5042w</v>
      </c>
      <c r="D388" s="8">
        <f>IF(B388="","",VLOOKUP(B388,小圆机汇总表!A:AP,7,FALSE))</f>
        <v>42</v>
      </c>
      <c r="E388" s="8" t="str">
        <f>IF(B388="","",VLOOKUP(B388,小圆机汇总表!A:AP,5,FALSE))</f>
        <v>白</v>
      </c>
      <c r="F388" s="8" t="str">
        <f>IF(B388="","",VLOOKUP(B388,小圆机汇总表!A:AP,8,FALSE))</f>
        <v>长乐</v>
      </c>
      <c r="G388" s="23">
        <v>43762</v>
      </c>
      <c r="H388" s="8">
        <v>351.2</v>
      </c>
      <c r="I388" s="8">
        <v>19</v>
      </c>
      <c r="K388" s="8" t="s">
        <v>2241</v>
      </c>
      <c r="M388" s="250">
        <f t="shared" si="6"/>
        <v>10</v>
      </c>
    </row>
    <row r="389" spans="1:13" hidden="1" outlineLevel="1">
      <c r="A389" s="4">
        <v>389</v>
      </c>
      <c r="B389" s="8" t="s">
        <v>749</v>
      </c>
      <c r="C389" s="8" t="str">
        <f>IF(B389="","",VLOOKUP(B389,小圆机汇总表!A:AP,2,FALSE))</f>
        <v>C7542大W 白丝</v>
      </c>
      <c r="D389" s="8">
        <f>IF(B389="","",VLOOKUP(B389,小圆机汇总表!A:AP,7,FALSE))</f>
        <v>42</v>
      </c>
      <c r="E389" s="8" t="str">
        <f>IF(B389="","",VLOOKUP(B389,小圆机汇总表!A:AP,5,FALSE))</f>
        <v>白高温</v>
      </c>
      <c r="F389" s="8" t="str">
        <f>IF(B389="","",VLOOKUP(B389,小圆机汇总表!A:AP,8,FALSE))</f>
        <v>申久</v>
      </c>
      <c r="G389" s="23">
        <v>43762</v>
      </c>
      <c r="H389" s="8">
        <v>421.8</v>
      </c>
      <c r="I389" s="8">
        <v>21</v>
      </c>
      <c r="K389" s="8" t="s">
        <v>2236</v>
      </c>
      <c r="M389" s="250">
        <f t="shared" si="6"/>
        <v>10</v>
      </c>
    </row>
    <row r="390" spans="1:13" hidden="1" outlineLevel="1">
      <c r="A390" s="4">
        <v>390</v>
      </c>
      <c r="B390" s="8" t="s">
        <v>128</v>
      </c>
      <c r="C390" s="8" t="str">
        <f>IF(B390="","",VLOOKUP(B390,小圆机汇总表!A:AP,2,FALSE))</f>
        <v>A7545斜乱平纹</v>
      </c>
      <c r="D390" s="8">
        <f>IF(B390="","",VLOOKUP(B390,小圆机汇总表!A:AP,7,FALSE))</f>
        <v>45</v>
      </c>
      <c r="E390" s="8" t="str">
        <f>IF(B390="","",VLOOKUP(B390,小圆机汇总表!A:AP,5,FALSE))</f>
        <v>白</v>
      </c>
      <c r="F390" s="8" t="str">
        <f>IF(B390="","",VLOOKUP(B390,小圆机汇总表!A:AP,8,FALSE))</f>
        <v>长乐</v>
      </c>
      <c r="G390" s="23">
        <v>43762</v>
      </c>
      <c r="H390" s="8">
        <v>640</v>
      </c>
      <c r="I390" s="8">
        <v>32</v>
      </c>
      <c r="K390" s="8" t="s">
        <v>2242</v>
      </c>
      <c r="M390" s="250">
        <f t="shared" si="6"/>
        <v>10</v>
      </c>
    </row>
    <row r="391" spans="1:13" hidden="1" outlineLevel="1">
      <c r="A391" s="4">
        <v>391</v>
      </c>
      <c r="B391" s="8" t="s">
        <v>129</v>
      </c>
      <c r="C391" s="8" t="str">
        <f>IF(B391="","",VLOOKUP(B391,小圆机汇总表!A:AP,2,FALSE))</f>
        <v>A7548斜乱平纹</v>
      </c>
      <c r="D391" s="8">
        <f>IF(B391="","",VLOOKUP(B391,小圆机汇总表!A:AP,7,FALSE))</f>
        <v>48</v>
      </c>
      <c r="E391" s="8" t="str">
        <f>IF(B391="","",VLOOKUP(B391,小圆机汇总表!A:AP,5,FALSE))</f>
        <v>白高温</v>
      </c>
      <c r="F391" s="8" t="str">
        <f>IF(B391="","",VLOOKUP(B391,小圆机汇总表!A:AP,8,FALSE))</f>
        <v>长乐</v>
      </c>
      <c r="G391" s="23">
        <v>43762</v>
      </c>
      <c r="H391" s="8">
        <v>81.2</v>
      </c>
      <c r="I391" s="8">
        <v>4</v>
      </c>
      <c r="K391" s="8" t="s">
        <v>2237</v>
      </c>
      <c r="M391" s="250">
        <f t="shared" si="6"/>
        <v>10</v>
      </c>
    </row>
    <row r="392" spans="1:13" hidden="1" outlineLevel="1">
      <c r="A392" s="4">
        <v>392</v>
      </c>
      <c r="B392" s="8" t="s">
        <v>2235</v>
      </c>
      <c r="C392" s="8" t="str">
        <f>IF(B392="","",VLOOKUP(B392,小圆机汇总表!A:AP,2,FALSE))</f>
        <v>A7549斜乱平纹</v>
      </c>
      <c r="D392" s="8">
        <f>IF(B392="","",VLOOKUP(B392,小圆机汇总表!A:AP,7,FALSE))</f>
        <v>49</v>
      </c>
      <c r="E392" s="8" t="str">
        <f>IF(B392="","",VLOOKUP(B392,小圆机汇总表!A:AP,5,FALSE))</f>
        <v>白</v>
      </c>
      <c r="F392" s="8" t="str">
        <f>IF(B392="","",VLOOKUP(B392,小圆机汇总表!A:AP,8,FALSE))</f>
        <v>长乐</v>
      </c>
      <c r="G392" s="23">
        <v>43762</v>
      </c>
      <c r="H392" s="8">
        <v>142.80000000000001</v>
      </c>
      <c r="I392" s="8">
        <v>7</v>
      </c>
      <c r="K392" s="8" t="s">
        <v>2243</v>
      </c>
      <c r="M392" s="250">
        <f t="shared" si="6"/>
        <v>10</v>
      </c>
    </row>
    <row r="393" spans="1:13" hidden="1" outlineLevel="1">
      <c r="A393" s="4">
        <v>393</v>
      </c>
      <c r="B393" s="8" t="s">
        <v>104</v>
      </c>
      <c r="C393" s="8" t="str">
        <f>IF(B393="","",VLOOKUP(B393,小圆机汇总表!A:AP,2,FALSE))</f>
        <v>B7549w</v>
      </c>
      <c r="D393" s="8">
        <f>IF(B393="","",VLOOKUP(B393,小圆机汇总表!A:AP,7,FALSE))</f>
        <v>49</v>
      </c>
      <c r="E393" s="8" t="str">
        <f>IF(B393="","",VLOOKUP(B393,小圆机汇总表!A:AP,5,FALSE))</f>
        <v>白</v>
      </c>
      <c r="F393" s="8" t="str">
        <f>IF(B393="","",VLOOKUP(B393,小圆机汇总表!A:AP,8,FALSE))</f>
        <v>长乐</v>
      </c>
      <c r="G393" s="23">
        <v>43762</v>
      </c>
      <c r="H393" s="8">
        <v>225.7</v>
      </c>
      <c r="I393" s="8">
        <v>11</v>
      </c>
      <c r="K393" s="8" t="s">
        <v>2240</v>
      </c>
      <c r="M393" s="250">
        <f t="shared" si="6"/>
        <v>10</v>
      </c>
    </row>
    <row r="394" spans="1:13" hidden="1" outlineLevel="1">
      <c r="A394" s="4">
        <v>394</v>
      </c>
      <c r="B394" s="8" t="s">
        <v>1644</v>
      </c>
      <c r="C394" s="8" t="str">
        <f>IF(B394="","",VLOOKUP(B394,小圆机汇总表!A:AP,2,FALSE))</f>
        <v>B7550大W</v>
      </c>
      <c r="D394" s="8">
        <f>IF(B394="","",VLOOKUP(B394,小圆机汇总表!A:AP,7,FALSE))</f>
        <v>50</v>
      </c>
      <c r="E394" s="8" t="str">
        <f>IF(B394="","",VLOOKUP(B394,小圆机汇总表!A:AP,5,FALSE))</f>
        <v>白</v>
      </c>
      <c r="F394" s="8" t="str">
        <f>IF(B394="","",VLOOKUP(B394,小圆机汇总表!A:AP,8,FALSE))</f>
        <v>长乐</v>
      </c>
      <c r="G394" s="23">
        <v>43762</v>
      </c>
      <c r="H394" s="8">
        <v>120.6</v>
      </c>
      <c r="I394" s="8">
        <v>6</v>
      </c>
      <c r="K394" s="8" t="s">
        <v>2242</v>
      </c>
      <c r="L394" s="206"/>
      <c r="M394" s="250">
        <f t="shared" si="6"/>
        <v>10</v>
      </c>
    </row>
    <row r="395" spans="1:13" hidden="1" outlineLevel="1">
      <c r="A395" s="4">
        <v>395</v>
      </c>
      <c r="B395" s="8" t="s">
        <v>1776</v>
      </c>
      <c r="C395" s="8" t="str">
        <f>IF(B395="","",VLOOKUP(B395,小圆机汇总表!A:AP,2,FALSE))</f>
        <v>B3023乱平纹</v>
      </c>
      <c r="D395" s="8">
        <f>IF(B395="","",VLOOKUP(B395,小圆机汇总表!A:AP,7,FALSE))</f>
        <v>23</v>
      </c>
      <c r="E395" s="8" t="str">
        <f>IF(B395="","",VLOOKUP(B395,小圆机汇总表!A:AP,5,FALSE))</f>
        <v>白</v>
      </c>
      <c r="F395" s="8" t="str">
        <f>IF(B395="","",VLOOKUP(B395,小圆机汇总表!A:AP,8,FALSE))</f>
        <v>恒力</v>
      </c>
      <c r="G395" s="23">
        <v>43761</v>
      </c>
      <c r="H395" s="8">
        <v>60</v>
      </c>
      <c r="I395" s="8">
        <v>3</v>
      </c>
      <c r="K395" s="8" t="s">
        <v>252</v>
      </c>
      <c r="M395" s="250">
        <f t="shared" si="6"/>
        <v>10</v>
      </c>
    </row>
    <row r="396" spans="1:13" hidden="1" outlineLevel="1">
      <c r="A396" s="4">
        <v>396</v>
      </c>
      <c r="B396" s="8" t="s">
        <v>1779</v>
      </c>
      <c r="C396" s="8" t="str">
        <f>IF(B396="","",VLOOKUP(B396,小圆机汇总表!A:AP,2,FALSE))</f>
        <v>B3023大W</v>
      </c>
      <c r="D396" s="8">
        <f>IF(B396="","",VLOOKUP(B396,小圆机汇总表!A:AP,7,FALSE))</f>
        <v>23</v>
      </c>
      <c r="E396" s="8" t="str">
        <f>IF(B396="","",VLOOKUP(B396,小圆机汇总表!A:AP,5,FALSE))</f>
        <v>白</v>
      </c>
      <c r="F396" s="8" t="str">
        <f>IF(B396="","",VLOOKUP(B396,小圆机汇总表!A:AP,8,FALSE))</f>
        <v>银宇</v>
      </c>
      <c r="G396" s="23">
        <v>43761</v>
      </c>
      <c r="H396" s="8">
        <v>57.3</v>
      </c>
      <c r="I396" s="8">
        <v>3</v>
      </c>
      <c r="K396" s="8" t="s">
        <v>2242</v>
      </c>
      <c r="M396" s="250">
        <f t="shared" si="6"/>
        <v>10</v>
      </c>
    </row>
    <row r="397" spans="1:13" hidden="1" outlineLevel="1">
      <c r="A397" s="4">
        <v>397</v>
      </c>
      <c r="B397" s="8" t="s">
        <v>122</v>
      </c>
      <c r="C397" s="8" t="str">
        <f>IF(B397="","",VLOOKUP(B397,小圆机汇总表!A:AP,2,FALSE))</f>
        <v>B5034大W</v>
      </c>
      <c r="D397" s="8">
        <f>IF(B397="","",VLOOKUP(B397,小圆机汇总表!A:AP,7,FALSE))</f>
        <v>34</v>
      </c>
      <c r="E397" s="8" t="str">
        <f>IF(B397="","",VLOOKUP(B397,小圆机汇总表!A:AP,5,FALSE))</f>
        <v>白高温</v>
      </c>
      <c r="F397" s="8" t="str">
        <f>IF(B397="","",VLOOKUP(B397,小圆机汇总表!A:AP,8,FALSE))</f>
        <v>长乐</v>
      </c>
      <c r="G397" s="23">
        <v>43761</v>
      </c>
      <c r="H397" s="8">
        <v>259.39999999999998</v>
      </c>
      <c r="I397" s="8">
        <v>13</v>
      </c>
      <c r="K397" s="8" t="s">
        <v>2236</v>
      </c>
      <c r="M397" s="250">
        <f t="shared" si="6"/>
        <v>10</v>
      </c>
    </row>
    <row r="398" spans="1:13" hidden="1" outlineLevel="1">
      <c r="A398" s="4">
        <v>398</v>
      </c>
      <c r="B398" s="8" t="s">
        <v>123</v>
      </c>
      <c r="C398" s="8" t="str">
        <f>IF(B398="","",VLOOKUP(B398,小圆机汇总表!A:AP,2,FALSE))</f>
        <v>B7539斜乱平纹</v>
      </c>
      <c r="D398" s="8">
        <f>IF(B398="","",VLOOKUP(B398,小圆机汇总表!A:AP,7,FALSE))</f>
        <v>39</v>
      </c>
      <c r="E398" s="8" t="str">
        <f>IF(B398="","",VLOOKUP(B398,小圆机汇总表!A:AP,5,FALSE))</f>
        <v>白</v>
      </c>
      <c r="F398" s="8" t="str">
        <f>IF(B398="","",VLOOKUP(B398,小圆机汇总表!A:AP,8,FALSE))</f>
        <v>盛元</v>
      </c>
      <c r="G398" s="23">
        <v>43761</v>
      </c>
      <c r="H398" s="8">
        <v>307.5</v>
      </c>
      <c r="I398" s="8">
        <v>15</v>
      </c>
      <c r="K398" s="8" t="s">
        <v>2237</v>
      </c>
      <c r="M398" s="250">
        <f t="shared" si="6"/>
        <v>10</v>
      </c>
    </row>
    <row r="399" spans="1:13" hidden="1" outlineLevel="1">
      <c r="A399" s="4">
        <v>399</v>
      </c>
      <c r="B399" s="8" t="s">
        <v>961</v>
      </c>
      <c r="C399" s="8" t="str">
        <f>IF(B399="","",VLOOKUP(B399,小圆机汇总表!A:AP,2,FALSE))</f>
        <v>C5034w</v>
      </c>
      <c r="D399" s="8">
        <f>IF(B399="","",VLOOKUP(B399,小圆机汇总表!A:AP,7,FALSE))</f>
        <v>34</v>
      </c>
      <c r="E399" s="8" t="str">
        <f>IF(B399="","",VLOOKUP(B399,小圆机汇总表!A:AP,5,FALSE))</f>
        <v>白</v>
      </c>
      <c r="F399" s="8" t="str">
        <f>IF(B399="","",VLOOKUP(B399,小圆机汇总表!A:AP,8,FALSE))</f>
        <v>长乐</v>
      </c>
      <c r="G399" s="23">
        <v>43761</v>
      </c>
      <c r="H399" s="8">
        <v>385.5</v>
      </c>
      <c r="I399" s="8">
        <v>20</v>
      </c>
      <c r="K399" s="8" t="s">
        <v>2238</v>
      </c>
      <c r="M399" s="250">
        <f t="shared" si="6"/>
        <v>10</v>
      </c>
    </row>
    <row r="400" spans="1:13" hidden="1" outlineLevel="1">
      <c r="A400" s="4">
        <v>400</v>
      </c>
      <c r="B400" s="8" t="s">
        <v>736</v>
      </c>
      <c r="C400" s="8" t="str">
        <f>IF(B400="","",VLOOKUP(B400,小圆机汇总表!A:AP,2,FALSE))</f>
        <v>A5034斜乱平纹</v>
      </c>
      <c r="D400" s="8">
        <f>IF(B400="","",VLOOKUP(B400,小圆机汇总表!A:AP,7,FALSE))</f>
        <v>34</v>
      </c>
      <c r="E400" s="8" t="str">
        <f>IF(B400="","",VLOOKUP(B400,小圆机汇总表!A:AP,5,FALSE))</f>
        <v>白</v>
      </c>
      <c r="F400" s="8" t="str">
        <f>IF(B400="","",VLOOKUP(B400,小圆机汇总表!A:AP,8,FALSE))</f>
        <v>长乐</v>
      </c>
      <c r="G400" s="23">
        <v>43761</v>
      </c>
      <c r="H400" s="8">
        <v>144.4</v>
      </c>
      <c r="I400" s="8">
        <v>7</v>
      </c>
      <c r="K400" s="8" t="s">
        <v>2239</v>
      </c>
      <c r="M400" s="250">
        <f t="shared" si="6"/>
        <v>10</v>
      </c>
    </row>
    <row r="401" spans="1:13" hidden="1" outlineLevel="1">
      <c r="A401" s="4">
        <v>401</v>
      </c>
      <c r="B401" s="8" t="s">
        <v>112</v>
      </c>
      <c r="C401" s="8" t="str">
        <f>IF(B401="","",VLOOKUP(B401,小圆机汇总表!A:AP,2,FALSE))</f>
        <v>A5035w黑</v>
      </c>
      <c r="D401" s="8">
        <f>IF(B401="","",VLOOKUP(B401,小圆机汇总表!A:AP,7,FALSE))</f>
        <v>35</v>
      </c>
      <c r="E401" s="8" t="str">
        <f>IF(B401="","",VLOOKUP(B401,小圆机汇总表!A:AP,5,FALSE))</f>
        <v>黑</v>
      </c>
      <c r="F401" s="8" t="str">
        <f>IF(B401="","",VLOOKUP(B401,小圆机汇总表!A:AP,8,FALSE))</f>
        <v>固力</v>
      </c>
      <c r="G401" s="23">
        <v>43761</v>
      </c>
      <c r="H401" s="8">
        <v>682.4</v>
      </c>
      <c r="I401" s="8">
        <f>26+5</f>
        <v>31</v>
      </c>
      <c r="K401" s="8" t="s">
        <v>2240</v>
      </c>
      <c r="M401" s="250">
        <f t="shared" si="6"/>
        <v>10</v>
      </c>
    </row>
    <row r="402" spans="1:13" hidden="1" outlineLevel="1">
      <c r="A402" s="4">
        <v>402</v>
      </c>
      <c r="B402" s="8" t="s">
        <v>2234</v>
      </c>
      <c r="C402" s="8" t="str">
        <f>IF(B402="","",VLOOKUP(B402,小圆机汇总表!A:AP,2,FALSE))</f>
        <v>A5035w</v>
      </c>
      <c r="D402" s="8">
        <f>IF(B402="","",VLOOKUP(B402,小圆机汇总表!A:AP,7,FALSE))</f>
        <v>35</v>
      </c>
      <c r="E402" s="8" t="str">
        <f>IF(B402="","",VLOOKUP(B402,小圆机汇总表!A:AP,5,FALSE))</f>
        <v>白</v>
      </c>
      <c r="F402" s="8" t="str">
        <f>IF(B402="","",VLOOKUP(B402,小圆机汇总表!A:AP,8,FALSE))</f>
        <v>长乐</v>
      </c>
      <c r="G402" s="23">
        <v>43761</v>
      </c>
      <c r="H402" s="8">
        <v>122.4</v>
      </c>
      <c r="I402" s="8">
        <v>6</v>
      </c>
      <c r="K402" s="8" t="s">
        <v>2241</v>
      </c>
      <c r="M402" s="250">
        <f t="shared" si="6"/>
        <v>10</v>
      </c>
    </row>
    <row r="403" spans="1:13" hidden="1" outlineLevel="1">
      <c r="A403" s="4">
        <v>403</v>
      </c>
      <c r="B403" s="8" t="s">
        <v>1239</v>
      </c>
      <c r="C403" s="8" t="str">
        <f>IF(B403="","",VLOOKUP(B403,小圆机汇总表!A:AP,2,FALSE))</f>
        <v>A5032w 32针</v>
      </c>
      <c r="D403" s="8">
        <f>IF(B403="","",VLOOKUP(B403,小圆机汇总表!A:AP,7,FALSE))</f>
        <v>32</v>
      </c>
      <c r="E403" s="8" t="str">
        <f>IF(B403="","",VLOOKUP(B403,小圆机汇总表!A:AP,5,FALSE))</f>
        <v>白</v>
      </c>
      <c r="F403" s="8" t="str">
        <f>IF(B403="","",VLOOKUP(B403,小圆机汇总表!A:AP,8,FALSE))</f>
        <v>长乐/32针</v>
      </c>
      <c r="G403" s="23">
        <v>43761</v>
      </c>
      <c r="H403" s="8">
        <v>101</v>
      </c>
      <c r="I403" s="8">
        <v>5</v>
      </c>
      <c r="K403" s="8" t="s">
        <v>1596</v>
      </c>
      <c r="M403" s="250">
        <f t="shared" si="6"/>
        <v>10</v>
      </c>
    </row>
    <row r="404" spans="1:13" hidden="1" outlineLevel="1">
      <c r="A404" s="4">
        <v>404</v>
      </c>
      <c r="B404" s="8" t="s">
        <v>737</v>
      </c>
      <c r="C404" s="8" t="str">
        <f>IF(B404="","",VLOOKUP(B404,小圆机汇总表!A:AP,2,FALSE))</f>
        <v>A5035大W</v>
      </c>
      <c r="D404" s="8">
        <f>IF(B404="","",VLOOKUP(B404,小圆机汇总表!A:AP,7,FALSE))</f>
        <v>35</v>
      </c>
      <c r="E404" s="8" t="str">
        <f>IF(B404="","",VLOOKUP(B404,小圆机汇总表!A:AP,5,FALSE))</f>
        <v>白</v>
      </c>
      <c r="F404" s="8" t="str">
        <f>IF(B404="","",VLOOKUP(B404,小圆机汇总表!A:AP,8,FALSE))</f>
        <v>长乐</v>
      </c>
      <c r="G404" s="23">
        <v>43761</v>
      </c>
      <c r="H404" s="8">
        <v>342.5</v>
      </c>
      <c r="I404" s="8">
        <v>17</v>
      </c>
      <c r="K404" s="8" t="s">
        <v>2243</v>
      </c>
      <c r="M404" s="250">
        <f t="shared" si="6"/>
        <v>10</v>
      </c>
    </row>
    <row r="405" spans="1:13" hidden="1" outlineLevel="1">
      <c r="A405" s="4">
        <v>405</v>
      </c>
      <c r="B405" s="8" t="s">
        <v>116</v>
      </c>
      <c r="C405" s="8" t="str">
        <f>IF(B405="","",VLOOKUP(B405,小圆机汇总表!A:AP,2,FALSE))</f>
        <v>B5036大W高温丝</v>
      </c>
      <c r="D405" s="8">
        <f>IF(B405="","",VLOOKUP(B405,小圆机汇总表!A:AP,7,FALSE))</f>
        <v>36</v>
      </c>
      <c r="E405" s="8" t="str">
        <f>IF(B405="","",VLOOKUP(B405,小圆机汇总表!A:AP,5,FALSE))</f>
        <v>白高温</v>
      </c>
      <c r="F405" s="8" t="str">
        <f>IF(B405="","",VLOOKUP(B405,小圆机汇总表!A:AP,8,FALSE))</f>
        <v>长乐</v>
      </c>
      <c r="G405" s="23">
        <v>43761</v>
      </c>
      <c r="H405" s="8">
        <v>926.4</v>
      </c>
      <c r="I405" s="8">
        <v>46</v>
      </c>
      <c r="K405" s="8" t="s">
        <v>2236</v>
      </c>
      <c r="M405" s="250">
        <f t="shared" si="6"/>
        <v>10</v>
      </c>
    </row>
    <row r="406" spans="1:13" hidden="1" outlineLevel="1">
      <c r="A406" s="4">
        <v>406</v>
      </c>
      <c r="B406" s="8" t="s">
        <v>70</v>
      </c>
      <c r="C406" s="8" t="str">
        <f>IF(B406="","",VLOOKUP(B406,小圆机汇总表!A:AP,2,FALSE))</f>
        <v>A5038w</v>
      </c>
      <c r="D406" s="8">
        <f>IF(B406="","",VLOOKUP(B406,小圆机汇总表!A:AP,7,FALSE))</f>
        <v>38</v>
      </c>
      <c r="E406" s="8" t="str">
        <f>IF(B406="","",VLOOKUP(B406,小圆机汇总表!A:AP,5,FALSE))</f>
        <v>白</v>
      </c>
      <c r="F406" s="8" t="str">
        <f>IF(B406="","",VLOOKUP(B406,小圆机汇总表!A:AP,8,FALSE))</f>
        <v>长乐</v>
      </c>
      <c r="G406" s="23">
        <v>43761</v>
      </c>
      <c r="H406" s="8">
        <v>490</v>
      </c>
      <c r="I406" s="8">
        <v>24</v>
      </c>
      <c r="K406" s="8" t="s">
        <v>2244</v>
      </c>
      <c r="M406" s="250">
        <f t="shared" si="6"/>
        <v>10</v>
      </c>
    </row>
    <row r="407" spans="1:13" hidden="1" outlineLevel="1">
      <c r="A407" s="4">
        <v>407</v>
      </c>
      <c r="B407" s="8" t="s">
        <v>1146</v>
      </c>
      <c r="C407" s="8" t="str">
        <f>IF(B407="","",VLOOKUP(B407,小圆机汇总表!A:AP,2,FALSE))</f>
        <v>A5042w</v>
      </c>
      <c r="D407" s="8">
        <f>IF(B407="","",VLOOKUP(B407,小圆机汇总表!A:AP,7,FALSE))</f>
        <v>42</v>
      </c>
      <c r="E407" s="8" t="str">
        <f>IF(B407="","",VLOOKUP(B407,小圆机汇总表!A:AP,5,FALSE))</f>
        <v>白</v>
      </c>
      <c r="F407" s="8" t="str">
        <f>IF(B407="","",VLOOKUP(B407,小圆机汇总表!A:AP,8,FALSE))</f>
        <v>长乐</v>
      </c>
      <c r="G407" s="23">
        <v>43761</v>
      </c>
      <c r="H407" s="8">
        <v>365.2</v>
      </c>
      <c r="I407" s="8">
        <v>19</v>
      </c>
      <c r="K407" s="8" t="s">
        <v>2241</v>
      </c>
      <c r="M407" s="250">
        <f t="shared" si="6"/>
        <v>10</v>
      </c>
    </row>
    <row r="408" spans="1:13" hidden="1" outlineLevel="1">
      <c r="A408" s="4">
        <v>408</v>
      </c>
      <c r="B408" s="8" t="s">
        <v>1019</v>
      </c>
      <c r="C408" s="8" t="str">
        <f>IF(B408="","",VLOOKUP(B408,小圆机汇总表!A:AP,2,FALSE))</f>
        <v>A5040w</v>
      </c>
      <c r="D408" s="8">
        <f>IF(B408="","",VLOOKUP(B408,小圆机汇总表!A:AP,7,FALSE))</f>
        <v>40</v>
      </c>
      <c r="E408" s="8" t="str">
        <f>IF(B408="","",VLOOKUP(B408,小圆机汇总表!A:AP,5,FALSE))</f>
        <v>白</v>
      </c>
      <c r="F408" s="8" t="str">
        <f>IF(B408="","",VLOOKUP(B408,小圆机汇总表!A:AP,8,FALSE))</f>
        <v>长乐</v>
      </c>
      <c r="G408" s="23">
        <v>43761</v>
      </c>
      <c r="H408" s="8">
        <v>46.1</v>
      </c>
      <c r="I408" s="8">
        <v>3</v>
      </c>
      <c r="K408" s="8" t="s">
        <v>2296</v>
      </c>
      <c r="M408" s="250">
        <f t="shared" si="6"/>
        <v>10</v>
      </c>
    </row>
    <row r="409" spans="1:13" hidden="1" outlineLevel="1">
      <c r="A409" s="4">
        <v>409</v>
      </c>
      <c r="B409" s="8" t="s">
        <v>749</v>
      </c>
      <c r="C409" s="8" t="str">
        <f>IF(B409="","",VLOOKUP(B409,小圆机汇总表!A:AP,2,FALSE))</f>
        <v>C7542大W 白丝</v>
      </c>
      <c r="D409" s="8">
        <f>IF(B409="","",VLOOKUP(B409,小圆机汇总表!A:AP,7,FALSE))</f>
        <v>42</v>
      </c>
      <c r="E409" s="8" t="str">
        <f>IF(B409="","",VLOOKUP(B409,小圆机汇总表!A:AP,5,FALSE))</f>
        <v>白高温</v>
      </c>
      <c r="F409" s="8" t="str">
        <f>IF(B409="","",VLOOKUP(B409,小圆机汇总表!A:AP,8,FALSE))</f>
        <v>申久</v>
      </c>
      <c r="G409" s="23">
        <v>43761</v>
      </c>
      <c r="H409" s="8">
        <v>423.7</v>
      </c>
      <c r="I409" s="8">
        <v>21</v>
      </c>
      <c r="K409" s="8" t="s">
        <v>2236</v>
      </c>
      <c r="M409" s="250">
        <f t="shared" si="6"/>
        <v>10</v>
      </c>
    </row>
    <row r="410" spans="1:13" hidden="1" outlineLevel="1">
      <c r="A410" s="4">
        <v>410</v>
      </c>
      <c r="B410" s="8" t="s">
        <v>128</v>
      </c>
      <c r="C410" s="8" t="str">
        <f>IF(B410="","",VLOOKUP(B410,小圆机汇总表!A:AP,2,FALSE))</f>
        <v>A7545斜乱平纹</v>
      </c>
      <c r="D410" s="8">
        <f>IF(B410="","",VLOOKUP(B410,小圆机汇总表!A:AP,7,FALSE))</f>
        <v>45</v>
      </c>
      <c r="E410" s="8" t="str">
        <f>IF(B410="","",VLOOKUP(B410,小圆机汇总表!A:AP,5,FALSE))</f>
        <v>白</v>
      </c>
      <c r="F410" s="8" t="str">
        <f>IF(B410="","",VLOOKUP(B410,小圆机汇总表!A:AP,8,FALSE))</f>
        <v>长乐</v>
      </c>
      <c r="G410" s="23">
        <v>43761</v>
      </c>
      <c r="H410" s="8">
        <v>656</v>
      </c>
      <c r="I410" s="8">
        <v>33</v>
      </c>
      <c r="K410" s="8" t="s">
        <v>2242</v>
      </c>
      <c r="M410" s="250">
        <f t="shared" si="6"/>
        <v>10</v>
      </c>
    </row>
    <row r="411" spans="1:13" hidden="1" outlineLevel="1">
      <c r="A411" s="4">
        <v>411</v>
      </c>
      <c r="B411" s="8" t="s">
        <v>129</v>
      </c>
      <c r="C411" s="8" t="str">
        <f>IF(B411="","",VLOOKUP(B411,小圆机汇总表!A:AP,2,FALSE))</f>
        <v>A7548斜乱平纹</v>
      </c>
      <c r="D411" s="8">
        <f>IF(B411="","",VLOOKUP(B411,小圆机汇总表!A:AP,7,FALSE))</f>
        <v>48</v>
      </c>
      <c r="E411" s="8" t="str">
        <f>IF(B411="","",VLOOKUP(B411,小圆机汇总表!A:AP,5,FALSE))</f>
        <v>白高温</v>
      </c>
      <c r="F411" s="8" t="str">
        <f>IF(B411="","",VLOOKUP(B411,小圆机汇总表!A:AP,8,FALSE))</f>
        <v>长乐</v>
      </c>
      <c r="G411" s="23">
        <v>43761</v>
      </c>
      <c r="H411" s="8">
        <v>142.1</v>
      </c>
      <c r="I411" s="8">
        <v>7</v>
      </c>
      <c r="K411" s="8" t="s">
        <v>2237</v>
      </c>
      <c r="M411" s="250">
        <f t="shared" si="6"/>
        <v>10</v>
      </c>
    </row>
    <row r="412" spans="1:13" hidden="1" outlineLevel="1">
      <c r="A412" s="4">
        <v>412</v>
      </c>
      <c r="B412" s="8" t="s">
        <v>2235</v>
      </c>
      <c r="C412" s="8" t="str">
        <f>IF(B412="","",VLOOKUP(B412,小圆机汇总表!A:AP,2,FALSE))</f>
        <v>A7549斜乱平纹</v>
      </c>
      <c r="D412" s="8">
        <f>IF(B412="","",VLOOKUP(B412,小圆机汇总表!A:AP,7,FALSE))</f>
        <v>49</v>
      </c>
      <c r="E412" s="8" t="str">
        <f>IF(B412="","",VLOOKUP(B412,小圆机汇总表!A:AP,5,FALSE))</f>
        <v>白</v>
      </c>
      <c r="F412" s="8" t="str">
        <f>IF(B412="","",VLOOKUP(B412,小圆机汇总表!A:AP,8,FALSE))</f>
        <v>长乐</v>
      </c>
      <c r="G412" s="23">
        <v>43761</v>
      </c>
      <c r="H412" s="8">
        <v>142.80000000000001</v>
      </c>
      <c r="I412" s="8">
        <v>7</v>
      </c>
      <c r="K412" s="8" t="s">
        <v>2242</v>
      </c>
      <c r="M412" s="250">
        <f t="shared" si="6"/>
        <v>10</v>
      </c>
    </row>
    <row r="413" spans="1:13" hidden="1" outlineLevel="1">
      <c r="A413" s="4">
        <v>413</v>
      </c>
      <c r="B413" s="8" t="s">
        <v>104</v>
      </c>
      <c r="C413" s="8" t="str">
        <f>IF(B413="","",VLOOKUP(B413,小圆机汇总表!A:AP,2,FALSE))</f>
        <v>B7549w</v>
      </c>
      <c r="D413" s="8">
        <f>IF(B413="","",VLOOKUP(B413,小圆机汇总表!A:AP,7,FALSE))</f>
        <v>49</v>
      </c>
      <c r="E413" s="8" t="str">
        <f>IF(B413="","",VLOOKUP(B413,小圆机汇总表!A:AP,5,FALSE))</f>
        <v>白</v>
      </c>
      <c r="F413" s="8" t="str">
        <f>IF(B413="","",VLOOKUP(B413,小圆机汇总表!A:AP,8,FALSE))</f>
        <v>长乐</v>
      </c>
      <c r="G413" s="23">
        <v>43761</v>
      </c>
      <c r="H413" s="8">
        <v>246</v>
      </c>
      <c r="I413" s="8">
        <v>12</v>
      </c>
      <c r="K413" s="8" t="s">
        <v>2240</v>
      </c>
      <c r="M413" s="250">
        <f t="shared" si="6"/>
        <v>10</v>
      </c>
    </row>
    <row r="414" spans="1:13" hidden="1" outlineLevel="1">
      <c r="A414" s="4">
        <v>414</v>
      </c>
      <c r="B414" s="8" t="s">
        <v>1644</v>
      </c>
      <c r="C414" s="8" t="str">
        <f>IF(B414="","",VLOOKUP(B414,小圆机汇总表!A:AP,2,FALSE))</f>
        <v>B7550大W</v>
      </c>
      <c r="D414" s="8">
        <f>IF(B414="","",VLOOKUP(B414,小圆机汇总表!A:AP,7,FALSE))</f>
        <v>50</v>
      </c>
      <c r="E414" s="8" t="str">
        <f>IF(B414="","",VLOOKUP(B414,小圆机汇总表!A:AP,5,FALSE))</f>
        <v>白</v>
      </c>
      <c r="F414" s="8" t="str">
        <f>IF(B414="","",VLOOKUP(B414,小圆机汇总表!A:AP,8,FALSE))</f>
        <v>长乐</v>
      </c>
      <c r="G414" s="23">
        <v>43761</v>
      </c>
      <c r="H414" s="8">
        <v>120.6</v>
      </c>
      <c r="I414" s="8">
        <v>6</v>
      </c>
      <c r="K414" s="8" t="s">
        <v>2242</v>
      </c>
      <c r="M414" s="250">
        <f t="shared" si="6"/>
        <v>10</v>
      </c>
    </row>
    <row r="415" spans="1:13" hidden="1" outlineLevel="1">
      <c r="A415" s="4">
        <v>415</v>
      </c>
      <c r="B415" s="8" t="s">
        <v>1776</v>
      </c>
      <c r="C415" s="8" t="str">
        <f>IF(B415="","",VLOOKUP(B415,小圆机汇总表!A:AP,2,FALSE))</f>
        <v>B3023乱平纹</v>
      </c>
      <c r="D415" s="8">
        <f>IF(B415="","",VLOOKUP(B415,小圆机汇总表!A:AP,7,FALSE))</f>
        <v>23</v>
      </c>
      <c r="E415" s="8" t="str">
        <f>IF(B415="","",VLOOKUP(B415,小圆机汇总表!A:AP,5,FALSE))</f>
        <v>白</v>
      </c>
      <c r="F415" s="8" t="str">
        <f>IF(B415="","",VLOOKUP(B415,小圆机汇总表!A:AP,8,FALSE))</f>
        <v>恒力</v>
      </c>
      <c r="G415" s="23">
        <v>43763</v>
      </c>
      <c r="H415" s="8">
        <v>40</v>
      </c>
      <c r="I415" s="8">
        <v>2</v>
      </c>
      <c r="K415" s="8" t="s">
        <v>252</v>
      </c>
      <c r="M415" s="250">
        <f t="shared" si="6"/>
        <v>10</v>
      </c>
    </row>
    <row r="416" spans="1:13" hidden="1" outlineLevel="1">
      <c r="A416" s="4">
        <v>416</v>
      </c>
      <c r="B416" s="8" t="s">
        <v>122</v>
      </c>
      <c r="C416" s="8" t="str">
        <f>IF(B416="","",VLOOKUP(B416,小圆机汇总表!A:AP,2,FALSE))</f>
        <v>B5034大W</v>
      </c>
      <c r="D416" s="8">
        <f>IF(B416="","",VLOOKUP(B416,小圆机汇总表!A:AP,7,FALSE))</f>
        <v>34</v>
      </c>
      <c r="E416" s="8" t="str">
        <f>IF(B416="","",VLOOKUP(B416,小圆机汇总表!A:AP,5,FALSE))</f>
        <v>白高温</v>
      </c>
      <c r="F416" s="8" t="str">
        <f>IF(B416="","",VLOOKUP(B416,小圆机汇总表!A:AP,8,FALSE))</f>
        <v>长乐</v>
      </c>
      <c r="G416" s="23">
        <v>43763</v>
      </c>
      <c r="H416" s="8">
        <v>279.39999999999998</v>
      </c>
      <c r="I416" s="8">
        <v>14</v>
      </c>
      <c r="K416" s="8" t="s">
        <v>2236</v>
      </c>
      <c r="M416" s="250">
        <f t="shared" si="6"/>
        <v>10</v>
      </c>
    </row>
    <row r="417" spans="1:13" hidden="1" outlineLevel="1">
      <c r="A417" s="4">
        <v>417</v>
      </c>
      <c r="B417" s="8" t="s">
        <v>123</v>
      </c>
      <c r="C417" s="8" t="str">
        <f>IF(B417="","",VLOOKUP(B417,小圆机汇总表!A:AP,2,FALSE))</f>
        <v>B7539斜乱平纹</v>
      </c>
      <c r="D417" s="8">
        <f>IF(B417="","",VLOOKUP(B417,小圆机汇总表!A:AP,7,FALSE))</f>
        <v>39</v>
      </c>
      <c r="E417" s="8" t="str">
        <f>IF(B417="","",VLOOKUP(B417,小圆机汇总表!A:AP,5,FALSE))</f>
        <v>白</v>
      </c>
      <c r="F417" s="8" t="str">
        <f>IF(B417="","",VLOOKUP(B417,小圆机汇总表!A:AP,8,FALSE))</f>
        <v>盛元</v>
      </c>
      <c r="G417" s="23">
        <v>43763</v>
      </c>
      <c r="H417" s="8">
        <v>266.5</v>
      </c>
      <c r="I417" s="8">
        <v>13</v>
      </c>
      <c r="K417" s="8" t="s">
        <v>2237</v>
      </c>
      <c r="M417" s="250">
        <f t="shared" si="6"/>
        <v>10</v>
      </c>
    </row>
    <row r="418" spans="1:13" hidden="1" outlineLevel="1">
      <c r="A418" s="4">
        <v>418</v>
      </c>
      <c r="B418" s="8" t="s">
        <v>961</v>
      </c>
      <c r="C418" s="8" t="str">
        <f>IF(B418="","",VLOOKUP(B418,小圆机汇总表!A:AP,2,FALSE))</f>
        <v>C5034w</v>
      </c>
      <c r="D418" s="8">
        <f>IF(B418="","",VLOOKUP(B418,小圆机汇总表!A:AP,7,FALSE))</f>
        <v>34</v>
      </c>
      <c r="E418" s="8" t="str">
        <f>IF(B418="","",VLOOKUP(B418,小圆机汇总表!A:AP,5,FALSE))</f>
        <v>白</v>
      </c>
      <c r="F418" s="8" t="str">
        <f>IF(B418="","",VLOOKUP(B418,小圆机汇总表!A:AP,8,FALSE))</f>
        <v>长乐</v>
      </c>
      <c r="G418" s="23">
        <v>43763</v>
      </c>
      <c r="H418" s="8">
        <v>209.9</v>
      </c>
      <c r="I418" s="8">
        <v>11</v>
      </c>
      <c r="K418" s="8" t="s">
        <v>2238</v>
      </c>
      <c r="M418" s="250">
        <f t="shared" si="6"/>
        <v>10</v>
      </c>
    </row>
    <row r="419" spans="1:13" hidden="1" outlineLevel="1">
      <c r="A419" s="4">
        <v>419</v>
      </c>
      <c r="B419" s="8" t="s">
        <v>736</v>
      </c>
      <c r="C419" s="8" t="str">
        <f>IF(B419="","",VLOOKUP(B419,小圆机汇总表!A:AP,2,FALSE))</f>
        <v>A5034斜乱平纹</v>
      </c>
      <c r="D419" s="8">
        <f>IF(B419="","",VLOOKUP(B419,小圆机汇总表!A:AP,7,FALSE))</f>
        <v>34</v>
      </c>
      <c r="E419" s="8" t="str">
        <f>IF(B419="","",VLOOKUP(B419,小圆机汇总表!A:AP,5,FALSE))</f>
        <v>白</v>
      </c>
      <c r="F419" s="8" t="str">
        <f>IF(B419="","",VLOOKUP(B419,小圆机汇总表!A:AP,8,FALSE))</f>
        <v>长乐</v>
      </c>
      <c r="G419" s="23">
        <v>43763</v>
      </c>
      <c r="H419" s="8">
        <v>165.2</v>
      </c>
      <c r="I419" s="8">
        <v>8</v>
      </c>
      <c r="K419" s="8" t="s">
        <v>2239</v>
      </c>
      <c r="M419" s="250">
        <f t="shared" si="6"/>
        <v>10</v>
      </c>
    </row>
    <row r="420" spans="1:13" hidden="1" outlineLevel="1">
      <c r="A420" s="4">
        <v>420</v>
      </c>
      <c r="B420" s="8" t="s">
        <v>112</v>
      </c>
      <c r="C420" s="8" t="str">
        <f>IF(B420="","",VLOOKUP(B420,小圆机汇总表!A:AP,2,FALSE))</f>
        <v>A5035w黑</v>
      </c>
      <c r="D420" s="8">
        <f>IF(B420="","",VLOOKUP(B420,小圆机汇总表!A:AP,7,FALSE))</f>
        <v>35</v>
      </c>
      <c r="E420" s="8" t="str">
        <f>IF(B420="","",VLOOKUP(B420,小圆机汇总表!A:AP,5,FALSE))</f>
        <v>黑</v>
      </c>
      <c r="F420" s="8" t="str">
        <f>IF(B420="","",VLOOKUP(B420,小圆机汇总表!A:AP,8,FALSE))</f>
        <v>固力</v>
      </c>
      <c r="G420" s="23">
        <v>43763</v>
      </c>
      <c r="H420" s="8">
        <v>814.5</v>
      </c>
      <c r="I420" s="8">
        <f>5+27+5</f>
        <v>37</v>
      </c>
      <c r="K420" s="8" t="s">
        <v>2240</v>
      </c>
      <c r="M420" s="250">
        <f t="shared" si="6"/>
        <v>10</v>
      </c>
    </row>
    <row r="421" spans="1:13" hidden="1" outlineLevel="1">
      <c r="A421" s="4">
        <v>421</v>
      </c>
      <c r="B421" s="8" t="s">
        <v>2234</v>
      </c>
      <c r="C421" s="8" t="str">
        <f>IF(B421="","",VLOOKUP(B421,小圆机汇总表!A:AP,2,FALSE))</f>
        <v>A5035w</v>
      </c>
      <c r="D421" s="8">
        <f>IF(B421="","",VLOOKUP(B421,小圆机汇总表!A:AP,7,FALSE))</f>
        <v>35</v>
      </c>
      <c r="E421" s="8" t="str">
        <f>IF(B421="","",VLOOKUP(B421,小圆机汇总表!A:AP,5,FALSE))</f>
        <v>白</v>
      </c>
      <c r="F421" s="8" t="str">
        <f>IF(B421="","",VLOOKUP(B421,小圆机汇总表!A:AP,8,FALSE))</f>
        <v>长乐</v>
      </c>
      <c r="G421" s="23">
        <v>43763</v>
      </c>
      <c r="H421" s="8">
        <v>163.19999999999999</v>
      </c>
      <c r="I421" s="8">
        <v>8</v>
      </c>
      <c r="K421" s="8" t="s">
        <v>2241</v>
      </c>
      <c r="M421" s="250">
        <f t="shared" si="6"/>
        <v>10</v>
      </c>
    </row>
    <row r="422" spans="1:13" hidden="1" outlineLevel="1">
      <c r="A422" s="4">
        <v>422</v>
      </c>
      <c r="B422" s="8" t="s">
        <v>1239</v>
      </c>
      <c r="C422" s="8" t="str">
        <f>IF(B422="","",VLOOKUP(B422,小圆机汇总表!A:AP,2,FALSE))</f>
        <v>A5032w 32针</v>
      </c>
      <c r="D422" s="8">
        <f>IF(B422="","",VLOOKUP(B422,小圆机汇总表!A:AP,7,FALSE))</f>
        <v>32</v>
      </c>
      <c r="E422" s="8" t="str">
        <f>IF(B422="","",VLOOKUP(B422,小圆机汇总表!A:AP,5,FALSE))</f>
        <v>白</v>
      </c>
      <c r="F422" s="8" t="str">
        <f>IF(B422="","",VLOOKUP(B422,小圆机汇总表!A:AP,8,FALSE))</f>
        <v>长乐/32针</v>
      </c>
      <c r="G422" s="23">
        <v>43763</v>
      </c>
      <c r="H422" s="8">
        <v>181</v>
      </c>
      <c r="I422" s="8">
        <v>9</v>
      </c>
      <c r="K422" s="8" t="s">
        <v>2242</v>
      </c>
      <c r="M422" s="250">
        <f t="shared" si="6"/>
        <v>10</v>
      </c>
    </row>
    <row r="423" spans="1:13" hidden="1" outlineLevel="1">
      <c r="A423" s="4">
        <v>423</v>
      </c>
      <c r="B423" s="8" t="s">
        <v>737</v>
      </c>
      <c r="C423" s="8" t="str">
        <f>IF(B423="","",VLOOKUP(B423,小圆机汇总表!A:AP,2,FALSE))</f>
        <v>A5035大W</v>
      </c>
      <c r="D423" s="8">
        <f>IF(B423="","",VLOOKUP(B423,小圆机汇总表!A:AP,7,FALSE))</f>
        <v>35</v>
      </c>
      <c r="E423" s="8" t="str">
        <f>IF(B423="","",VLOOKUP(B423,小圆机汇总表!A:AP,5,FALSE))</f>
        <v>白</v>
      </c>
      <c r="F423" s="8" t="str">
        <f>IF(B423="","",VLOOKUP(B423,小圆机汇总表!A:AP,8,FALSE))</f>
        <v>长乐</v>
      </c>
      <c r="G423" s="23">
        <v>43763</v>
      </c>
      <c r="H423" s="8">
        <v>322.8</v>
      </c>
      <c r="I423" s="8">
        <v>16</v>
      </c>
      <c r="K423" s="8" t="s">
        <v>2243</v>
      </c>
      <c r="M423" s="250">
        <f t="shared" si="6"/>
        <v>10</v>
      </c>
    </row>
    <row r="424" spans="1:13" hidden="1" outlineLevel="1">
      <c r="A424" s="4">
        <v>424</v>
      </c>
      <c r="B424" s="8" t="s">
        <v>116</v>
      </c>
      <c r="C424" s="8" t="str">
        <f>IF(B424="","",VLOOKUP(B424,小圆机汇总表!A:AP,2,FALSE))</f>
        <v>B5036大W高温丝</v>
      </c>
      <c r="D424" s="8">
        <f>IF(B424="","",VLOOKUP(B424,小圆机汇总表!A:AP,7,FALSE))</f>
        <v>36</v>
      </c>
      <c r="E424" s="8" t="str">
        <f>IF(B424="","",VLOOKUP(B424,小圆机汇总表!A:AP,5,FALSE))</f>
        <v>白高温</v>
      </c>
      <c r="F424" s="8" t="str">
        <f>IF(B424="","",VLOOKUP(B424,小圆机汇总表!A:AP,8,FALSE))</f>
        <v>长乐</v>
      </c>
      <c r="G424" s="23">
        <v>43763</v>
      </c>
      <c r="H424" s="8">
        <v>866.5</v>
      </c>
      <c r="I424" s="8">
        <v>43</v>
      </c>
      <c r="K424" s="8" t="s">
        <v>2236</v>
      </c>
      <c r="M424" s="250">
        <f t="shared" si="6"/>
        <v>10</v>
      </c>
    </row>
    <row r="425" spans="1:13" hidden="1" outlineLevel="1">
      <c r="A425" s="4">
        <v>425</v>
      </c>
      <c r="B425" s="8" t="s">
        <v>70</v>
      </c>
      <c r="C425" s="8" t="str">
        <f>IF(B425="","",VLOOKUP(B425,小圆机汇总表!A:AP,2,FALSE))</f>
        <v>A5038w</v>
      </c>
      <c r="D425" s="8">
        <f>IF(B425="","",VLOOKUP(B425,小圆机汇总表!A:AP,7,FALSE))</f>
        <v>38</v>
      </c>
      <c r="E425" s="8" t="str">
        <f>IF(B425="","",VLOOKUP(B425,小圆机汇总表!A:AP,5,FALSE))</f>
        <v>白</v>
      </c>
      <c r="F425" s="8" t="str">
        <f>IF(B425="","",VLOOKUP(B425,小圆机汇总表!A:AP,8,FALSE))</f>
        <v>长乐</v>
      </c>
      <c r="G425" s="23">
        <v>43763</v>
      </c>
      <c r="H425" s="8">
        <v>422.3</v>
      </c>
      <c r="I425" s="8">
        <v>21</v>
      </c>
      <c r="K425" s="8" t="s">
        <v>2244</v>
      </c>
      <c r="M425" s="250">
        <f t="shared" si="6"/>
        <v>10</v>
      </c>
    </row>
    <row r="426" spans="1:13" hidden="1" outlineLevel="1">
      <c r="A426" s="4">
        <v>426</v>
      </c>
      <c r="B426" s="8" t="s">
        <v>2247</v>
      </c>
      <c r="C426" s="8" t="str">
        <f>IF(B426="","",VLOOKUP(B426,小圆机汇总表!A:AP,2,FALSE))</f>
        <v>C5040w</v>
      </c>
      <c r="D426" s="8">
        <f>IF(B426="","",VLOOKUP(B426,小圆机汇总表!A:AP,7,FALSE))</f>
        <v>40</v>
      </c>
      <c r="E426" s="8" t="str">
        <f>IF(B426="","",VLOOKUP(B426,小圆机汇总表!A:AP,5,FALSE))</f>
        <v>白无温</v>
      </c>
      <c r="F426" s="8" t="str">
        <f>IF(B426="","",VLOOKUP(B426,小圆机汇总表!A:AP,8,FALSE))</f>
        <v>申久</v>
      </c>
      <c r="G426" s="23">
        <v>43763</v>
      </c>
      <c r="H426" s="8">
        <v>176.7</v>
      </c>
      <c r="I426" s="8">
        <v>9</v>
      </c>
      <c r="K426" s="8" t="s">
        <v>2245</v>
      </c>
      <c r="M426" s="250">
        <f t="shared" si="6"/>
        <v>10</v>
      </c>
    </row>
    <row r="427" spans="1:13" hidden="1" outlineLevel="1">
      <c r="A427" s="4">
        <v>427</v>
      </c>
      <c r="B427" s="8" t="s">
        <v>1146</v>
      </c>
      <c r="C427" s="8" t="str">
        <f>IF(B427="","",VLOOKUP(B427,小圆机汇总表!A:AP,2,FALSE))</f>
        <v>A5042w</v>
      </c>
      <c r="D427" s="8">
        <f>IF(B427="","",VLOOKUP(B427,小圆机汇总表!A:AP,7,FALSE))</f>
        <v>42</v>
      </c>
      <c r="E427" s="8" t="str">
        <f>IF(B427="","",VLOOKUP(B427,小圆机汇总表!A:AP,5,FALSE))</f>
        <v>白</v>
      </c>
      <c r="F427" s="8" t="str">
        <f>IF(B427="","",VLOOKUP(B427,小圆机汇总表!A:AP,8,FALSE))</f>
        <v>长乐</v>
      </c>
      <c r="G427" s="23">
        <v>43763</v>
      </c>
      <c r="H427" s="8">
        <v>326.10000000000002</v>
      </c>
      <c r="I427" s="8">
        <v>17</v>
      </c>
      <c r="K427" s="8" t="s">
        <v>2244</v>
      </c>
      <c r="M427" s="250">
        <f t="shared" si="6"/>
        <v>10</v>
      </c>
    </row>
    <row r="428" spans="1:13" hidden="1" outlineLevel="1">
      <c r="A428" s="4">
        <v>428</v>
      </c>
      <c r="B428" s="8" t="s">
        <v>749</v>
      </c>
      <c r="C428" s="8" t="str">
        <f>IF(B428="","",VLOOKUP(B428,小圆机汇总表!A:AP,2,FALSE))</f>
        <v>C7542大W 白丝</v>
      </c>
      <c r="D428" s="8">
        <f>IF(B428="","",VLOOKUP(B428,小圆机汇总表!A:AP,7,FALSE))</f>
        <v>42</v>
      </c>
      <c r="E428" s="8" t="str">
        <f>IF(B428="","",VLOOKUP(B428,小圆机汇总表!A:AP,5,FALSE))</f>
        <v>白高温</v>
      </c>
      <c r="F428" s="8" t="str">
        <f>IF(B428="","",VLOOKUP(B428,小圆机汇总表!A:AP,8,FALSE))</f>
        <v>申久</v>
      </c>
      <c r="G428" s="23">
        <v>43763</v>
      </c>
      <c r="H428" s="8">
        <v>403.5</v>
      </c>
      <c r="I428" s="8">
        <v>20</v>
      </c>
      <c r="K428" s="8" t="s">
        <v>2236</v>
      </c>
      <c r="M428" s="250">
        <f t="shared" si="6"/>
        <v>10</v>
      </c>
    </row>
    <row r="429" spans="1:13" hidden="1" outlineLevel="1">
      <c r="A429" s="4">
        <v>429</v>
      </c>
      <c r="B429" s="8" t="s">
        <v>128</v>
      </c>
      <c r="C429" s="8" t="str">
        <f>IF(B429="","",VLOOKUP(B429,小圆机汇总表!A:AP,2,FALSE))</f>
        <v>A7545斜乱平纹</v>
      </c>
      <c r="D429" s="8">
        <f>IF(B429="","",VLOOKUP(B429,小圆机汇总表!A:AP,7,FALSE))</f>
        <v>45</v>
      </c>
      <c r="E429" s="8" t="str">
        <f>IF(B429="","",VLOOKUP(B429,小圆机汇总表!A:AP,5,FALSE))</f>
        <v>白</v>
      </c>
      <c r="F429" s="8" t="str">
        <f>IF(B429="","",VLOOKUP(B429,小圆机汇总表!A:AP,8,FALSE))</f>
        <v>长乐</v>
      </c>
      <c r="G429" s="23">
        <v>43763</v>
      </c>
      <c r="H429" s="8">
        <v>620</v>
      </c>
      <c r="I429" s="8">
        <v>31</v>
      </c>
      <c r="K429" s="8" t="s">
        <v>2242</v>
      </c>
      <c r="M429" s="250">
        <f t="shared" si="6"/>
        <v>10</v>
      </c>
    </row>
    <row r="430" spans="1:13" hidden="1" outlineLevel="1">
      <c r="A430" s="4">
        <v>430</v>
      </c>
      <c r="B430" s="8" t="s">
        <v>129</v>
      </c>
      <c r="C430" s="8" t="str">
        <f>IF(B430="","",VLOOKUP(B430,小圆机汇总表!A:AP,2,FALSE))</f>
        <v>A7548斜乱平纹</v>
      </c>
      <c r="D430" s="8">
        <f>IF(B430="","",VLOOKUP(B430,小圆机汇总表!A:AP,7,FALSE))</f>
        <v>48</v>
      </c>
      <c r="E430" s="8" t="str">
        <f>IF(B430="","",VLOOKUP(B430,小圆机汇总表!A:AP,5,FALSE))</f>
        <v>白高温</v>
      </c>
      <c r="F430" s="8" t="str">
        <f>IF(B430="","",VLOOKUP(B430,小圆机汇总表!A:AP,8,FALSE))</f>
        <v>长乐</v>
      </c>
      <c r="G430" s="23">
        <v>43763</v>
      </c>
      <c r="H430" s="8">
        <v>121.8</v>
      </c>
      <c r="I430" s="8">
        <v>6</v>
      </c>
      <c r="K430" s="8" t="s">
        <v>2237</v>
      </c>
      <c r="M430" s="250">
        <f t="shared" si="6"/>
        <v>10</v>
      </c>
    </row>
    <row r="431" spans="1:13" hidden="1" outlineLevel="1">
      <c r="A431" s="4">
        <v>431</v>
      </c>
      <c r="B431" s="8" t="s">
        <v>2235</v>
      </c>
      <c r="C431" s="8" t="str">
        <f>IF(B431="","",VLOOKUP(B431,小圆机汇总表!A:AP,2,FALSE))</f>
        <v>A7549斜乱平纹</v>
      </c>
      <c r="D431" s="8">
        <f>IF(B431="","",VLOOKUP(B431,小圆机汇总表!A:AP,7,FALSE))</f>
        <v>49</v>
      </c>
      <c r="E431" s="8" t="str">
        <f>IF(B431="","",VLOOKUP(B431,小圆机汇总表!A:AP,5,FALSE))</f>
        <v>白</v>
      </c>
      <c r="F431" s="8" t="str">
        <f>IF(B431="","",VLOOKUP(B431,小圆机汇总表!A:AP,8,FALSE))</f>
        <v>长乐</v>
      </c>
      <c r="G431" s="23">
        <v>43763</v>
      </c>
      <c r="H431" s="8">
        <v>142.80000000000001</v>
      </c>
      <c r="I431" s="8">
        <v>7</v>
      </c>
      <c r="K431" s="8" t="s">
        <v>2243</v>
      </c>
      <c r="M431" s="250">
        <f t="shared" si="6"/>
        <v>10</v>
      </c>
    </row>
    <row r="432" spans="1:13" hidden="1" outlineLevel="1">
      <c r="A432" s="4">
        <v>432</v>
      </c>
      <c r="B432" s="8" t="s">
        <v>104</v>
      </c>
      <c r="C432" s="8" t="str">
        <f>IF(B432="","",VLOOKUP(B432,小圆机汇总表!A:AP,2,FALSE))</f>
        <v>B7549w</v>
      </c>
      <c r="D432" s="8">
        <f>IF(B432="","",VLOOKUP(B432,小圆机汇总表!A:AP,7,FALSE))</f>
        <v>49</v>
      </c>
      <c r="E432" s="8" t="str">
        <f>IF(B432="","",VLOOKUP(B432,小圆机汇总表!A:AP,5,FALSE))</f>
        <v>白</v>
      </c>
      <c r="F432" s="8" t="str">
        <f>IF(B432="","",VLOOKUP(B432,小圆机汇总表!A:AP,8,FALSE))</f>
        <v>长乐</v>
      </c>
      <c r="G432" s="23">
        <v>43763</v>
      </c>
      <c r="H432" s="8">
        <v>225.3</v>
      </c>
      <c r="I432" s="8">
        <v>11</v>
      </c>
      <c r="K432" s="8" t="s">
        <v>2240</v>
      </c>
      <c r="M432" s="250">
        <f t="shared" si="6"/>
        <v>10</v>
      </c>
    </row>
    <row r="433" spans="1:13" hidden="1" outlineLevel="1">
      <c r="A433" s="4">
        <v>433</v>
      </c>
      <c r="B433" s="8" t="s">
        <v>1644</v>
      </c>
      <c r="C433" s="8" t="str">
        <f>IF(B433="","",VLOOKUP(B433,小圆机汇总表!A:AP,2,FALSE))</f>
        <v>B7550大W</v>
      </c>
      <c r="D433" s="8">
        <f>IF(B433="","",VLOOKUP(B433,小圆机汇总表!A:AP,7,FALSE))</f>
        <v>50</v>
      </c>
      <c r="E433" s="8" t="str">
        <f>IF(B433="","",VLOOKUP(B433,小圆机汇总表!A:AP,5,FALSE))</f>
        <v>白</v>
      </c>
      <c r="F433" s="8" t="str">
        <f>IF(B433="","",VLOOKUP(B433,小圆机汇总表!A:AP,8,FALSE))</f>
        <v>长乐</v>
      </c>
      <c r="G433" s="23">
        <v>43763</v>
      </c>
      <c r="H433" s="8">
        <v>120.6</v>
      </c>
      <c r="I433" s="8">
        <v>6</v>
      </c>
      <c r="K433" s="8" t="s">
        <v>2242</v>
      </c>
      <c r="M433" s="250">
        <f t="shared" si="6"/>
        <v>10</v>
      </c>
    </row>
    <row r="434" spans="1:13" hidden="1" outlineLevel="1">
      <c r="A434" s="4">
        <v>434</v>
      </c>
      <c r="B434" s="8" t="s">
        <v>1776</v>
      </c>
      <c r="C434" s="8" t="str">
        <f>IF(B434="","",VLOOKUP(B434,小圆机汇总表!A:AP,2,FALSE))</f>
        <v>B3023乱平纹</v>
      </c>
      <c r="D434" s="8">
        <f>IF(B434="","",VLOOKUP(B434,小圆机汇总表!A:AP,7,FALSE))</f>
        <v>23</v>
      </c>
      <c r="E434" s="8" t="str">
        <f>IF(B434="","",VLOOKUP(B434,小圆机汇总表!A:AP,5,FALSE))</f>
        <v>白</v>
      </c>
      <c r="F434" s="8" t="str">
        <f>IF(B434="","",VLOOKUP(B434,小圆机汇总表!A:AP,8,FALSE))</f>
        <v>恒力</v>
      </c>
      <c r="G434" s="23">
        <v>43764</v>
      </c>
      <c r="H434" s="8">
        <v>60</v>
      </c>
      <c r="I434" s="8">
        <v>3</v>
      </c>
      <c r="K434" s="8" t="s">
        <v>252</v>
      </c>
      <c r="M434" s="250">
        <f t="shared" si="6"/>
        <v>10</v>
      </c>
    </row>
    <row r="435" spans="1:13" hidden="1" outlineLevel="1">
      <c r="A435" s="4">
        <v>435</v>
      </c>
      <c r="B435" s="8" t="s">
        <v>122</v>
      </c>
      <c r="C435" s="8" t="str">
        <f>IF(B435="","",VLOOKUP(B435,小圆机汇总表!A:AP,2,FALSE))</f>
        <v>B5034大W</v>
      </c>
      <c r="D435" s="8">
        <f>IF(B435="","",VLOOKUP(B435,小圆机汇总表!A:AP,7,FALSE))</f>
        <v>34</v>
      </c>
      <c r="E435" s="8" t="str">
        <f>IF(B435="","",VLOOKUP(B435,小圆机汇总表!A:AP,5,FALSE))</f>
        <v>白高温</v>
      </c>
      <c r="F435" s="8" t="str">
        <f>IF(B435="","",VLOOKUP(B435,小圆机汇总表!A:AP,8,FALSE))</f>
        <v>长乐</v>
      </c>
      <c r="G435" s="23">
        <v>43764</v>
      </c>
      <c r="H435" s="8">
        <v>259.39999999999998</v>
      </c>
      <c r="I435" s="8">
        <v>13</v>
      </c>
      <c r="K435" s="8" t="s">
        <v>2236</v>
      </c>
      <c r="M435" s="250">
        <f t="shared" si="6"/>
        <v>10</v>
      </c>
    </row>
    <row r="436" spans="1:13" hidden="1" outlineLevel="1">
      <c r="A436" s="4">
        <v>436</v>
      </c>
      <c r="B436" s="8" t="s">
        <v>123</v>
      </c>
      <c r="C436" s="8" t="str">
        <f>IF(B436="","",VLOOKUP(B436,小圆机汇总表!A:AP,2,FALSE))</f>
        <v>B7539斜乱平纹</v>
      </c>
      <c r="D436" s="8">
        <f>IF(B436="","",VLOOKUP(B436,小圆机汇总表!A:AP,7,FALSE))</f>
        <v>39</v>
      </c>
      <c r="E436" s="8" t="str">
        <f>IF(B436="","",VLOOKUP(B436,小圆机汇总表!A:AP,5,FALSE))</f>
        <v>白</v>
      </c>
      <c r="F436" s="8" t="str">
        <f>IF(B436="","",VLOOKUP(B436,小圆机汇总表!A:AP,8,FALSE))</f>
        <v>盛元</v>
      </c>
      <c r="G436" s="23">
        <v>43764</v>
      </c>
      <c r="H436" s="8">
        <v>328</v>
      </c>
      <c r="I436" s="8">
        <v>16</v>
      </c>
      <c r="K436" s="8" t="s">
        <v>2237</v>
      </c>
      <c r="M436" s="250">
        <f t="shared" si="6"/>
        <v>10</v>
      </c>
    </row>
    <row r="437" spans="1:13" hidden="1" outlineLevel="1">
      <c r="A437" s="4">
        <v>437</v>
      </c>
      <c r="B437" s="8" t="s">
        <v>80</v>
      </c>
      <c r="C437" s="8" t="str">
        <f>IF(B437="","",VLOOKUP(B437,小圆机汇总表!A:AP,2,FALSE))</f>
        <v>C5034w</v>
      </c>
      <c r="D437" s="8">
        <f>IF(B437="","",VLOOKUP(B437,小圆机汇总表!A:AP,7,FALSE))</f>
        <v>34</v>
      </c>
      <c r="E437" s="8" t="str">
        <f>IF(B437="","",VLOOKUP(B437,小圆机汇总表!A:AP,5,FALSE))</f>
        <v>白</v>
      </c>
      <c r="F437" s="8" t="str">
        <f>IF(B437="","",VLOOKUP(B437,小圆机汇总表!A:AP,8,FALSE))</f>
        <v>长乐</v>
      </c>
      <c r="G437" s="23">
        <v>43764</v>
      </c>
      <c r="H437" s="8">
        <v>223.8</v>
      </c>
      <c r="I437" s="8">
        <v>12</v>
      </c>
      <c r="K437" s="8" t="s">
        <v>2238</v>
      </c>
      <c r="M437" s="250">
        <f t="shared" si="6"/>
        <v>10</v>
      </c>
    </row>
    <row r="438" spans="1:13" hidden="1" outlineLevel="1">
      <c r="A438" s="4">
        <v>438</v>
      </c>
      <c r="B438" s="8" t="s">
        <v>736</v>
      </c>
      <c r="C438" s="8" t="str">
        <f>IF(B438="","",VLOOKUP(B438,小圆机汇总表!A:AP,2,FALSE))</f>
        <v>A5034斜乱平纹</v>
      </c>
      <c r="D438" s="8">
        <f>IF(B438="","",VLOOKUP(B438,小圆机汇总表!A:AP,7,FALSE))</f>
        <v>34</v>
      </c>
      <c r="E438" s="8" t="str">
        <f>IF(B438="","",VLOOKUP(B438,小圆机汇总表!A:AP,5,FALSE))</f>
        <v>白</v>
      </c>
      <c r="F438" s="8" t="str">
        <f>IF(B438="","",VLOOKUP(B438,小圆机汇总表!A:AP,8,FALSE))</f>
        <v>长乐</v>
      </c>
      <c r="G438" s="23">
        <v>43764</v>
      </c>
      <c r="H438" s="8">
        <v>165.2</v>
      </c>
      <c r="I438" s="8">
        <v>8</v>
      </c>
      <c r="K438" s="8" t="s">
        <v>2245</v>
      </c>
      <c r="M438" s="250">
        <f t="shared" si="6"/>
        <v>10</v>
      </c>
    </row>
    <row r="439" spans="1:13" hidden="1" outlineLevel="1">
      <c r="A439" s="4">
        <v>439</v>
      </c>
      <c r="B439" s="8" t="s">
        <v>125</v>
      </c>
      <c r="C439" s="8" t="str">
        <f>IF(B439="","",VLOOKUP(B439,小圆机汇总表!A:AP,2,FALSE))</f>
        <v>A5035w黑</v>
      </c>
      <c r="D439" s="8">
        <f>IF(B439="","",VLOOKUP(B439,小圆机汇总表!A:AP,7,FALSE))</f>
        <v>35</v>
      </c>
      <c r="E439" s="8" t="str">
        <f>IF(B439="","",VLOOKUP(B439,小圆机汇总表!A:AP,5,FALSE))</f>
        <v>黑</v>
      </c>
      <c r="F439" s="8" t="str">
        <f>IF(B439="","",VLOOKUP(B439,小圆机汇总表!A:AP,8,FALSE))</f>
        <v>固力</v>
      </c>
      <c r="G439" s="23">
        <v>43764</v>
      </c>
      <c r="H439" s="8">
        <v>833.5</v>
      </c>
      <c r="I439" s="8">
        <f>8+26+4</f>
        <v>38</v>
      </c>
      <c r="K439" s="8" t="s">
        <v>2240</v>
      </c>
      <c r="M439" s="250">
        <f t="shared" si="6"/>
        <v>10</v>
      </c>
    </row>
    <row r="440" spans="1:13" hidden="1" outlineLevel="1">
      <c r="A440" s="4">
        <v>440</v>
      </c>
      <c r="B440" s="8" t="s">
        <v>45</v>
      </c>
      <c r="C440" s="8" t="str">
        <f>IF(B440="","",VLOOKUP(B440,小圆机汇总表!A:AP,2,FALSE))</f>
        <v>A5035w</v>
      </c>
      <c r="D440" s="8">
        <f>IF(B440="","",VLOOKUP(B440,小圆机汇总表!A:AP,7,FALSE))</f>
        <v>35</v>
      </c>
      <c r="E440" s="8" t="str">
        <f>IF(B440="","",VLOOKUP(B440,小圆机汇总表!A:AP,5,FALSE))</f>
        <v>白</v>
      </c>
      <c r="F440" s="8" t="str">
        <f>IF(B440="","",VLOOKUP(B440,小圆机汇总表!A:AP,8,FALSE))</f>
        <v>长乐</v>
      </c>
      <c r="G440" s="23">
        <v>43764</v>
      </c>
      <c r="H440" s="8">
        <v>418.4</v>
      </c>
      <c r="I440" s="8">
        <v>21</v>
      </c>
      <c r="K440" s="8" t="s">
        <v>2241</v>
      </c>
      <c r="M440" s="250">
        <f t="shared" si="6"/>
        <v>10</v>
      </c>
    </row>
    <row r="441" spans="1:13" hidden="1" outlineLevel="1">
      <c r="A441" s="4">
        <v>441</v>
      </c>
      <c r="B441" s="8" t="s">
        <v>740</v>
      </c>
      <c r="C441" s="8" t="str">
        <f>IF(B441="","",VLOOKUP(B441,小圆机汇总表!A:AP,2,FALSE))</f>
        <v>A5032w 32针</v>
      </c>
      <c r="D441" s="8">
        <f>IF(B441="","",VLOOKUP(B441,小圆机汇总表!A:AP,7,FALSE))</f>
        <v>32</v>
      </c>
      <c r="E441" s="8" t="str">
        <f>IF(B441="","",VLOOKUP(B441,小圆机汇总表!A:AP,5,FALSE))</f>
        <v>白</v>
      </c>
      <c r="F441" s="8" t="str">
        <f>IF(B441="","",VLOOKUP(B441,小圆机汇总表!A:AP,8,FALSE))</f>
        <v>长乐/32针</v>
      </c>
      <c r="G441" s="23">
        <v>43764</v>
      </c>
      <c r="H441" s="8">
        <v>201</v>
      </c>
      <c r="I441" s="8">
        <v>10</v>
      </c>
      <c r="K441" s="8" t="s">
        <v>2242</v>
      </c>
      <c r="M441" s="250">
        <f t="shared" si="6"/>
        <v>10</v>
      </c>
    </row>
    <row r="442" spans="1:13" hidden="1" outlineLevel="1">
      <c r="A442" s="4">
        <v>442</v>
      </c>
      <c r="B442" s="8" t="s">
        <v>737</v>
      </c>
      <c r="C442" s="8" t="str">
        <f>IF(B442="","",VLOOKUP(B442,小圆机汇总表!A:AP,2,FALSE))</f>
        <v>A5035大W</v>
      </c>
      <c r="D442" s="8">
        <f>IF(B442="","",VLOOKUP(B442,小圆机汇总表!A:AP,7,FALSE))</f>
        <v>35</v>
      </c>
      <c r="E442" s="8" t="str">
        <f>IF(B442="","",VLOOKUP(B442,小圆机汇总表!A:AP,5,FALSE))</f>
        <v>白</v>
      </c>
      <c r="F442" s="8" t="str">
        <f>IF(B442="","",VLOOKUP(B442,小圆机汇总表!A:AP,8,FALSE))</f>
        <v>长乐</v>
      </c>
      <c r="G442" s="23">
        <v>43764</v>
      </c>
      <c r="H442" s="8">
        <v>322.8</v>
      </c>
      <c r="I442" s="8">
        <v>16</v>
      </c>
      <c r="K442" s="8" t="s">
        <v>2243</v>
      </c>
      <c r="M442" s="250">
        <f t="shared" si="6"/>
        <v>10</v>
      </c>
    </row>
    <row r="443" spans="1:13" hidden="1" outlineLevel="1">
      <c r="A443" s="4">
        <v>443</v>
      </c>
      <c r="B443" s="8" t="s">
        <v>116</v>
      </c>
      <c r="C443" s="8" t="str">
        <f>IF(B443="","",VLOOKUP(B443,小圆机汇总表!A:AP,2,FALSE))</f>
        <v>B5036大W高温丝</v>
      </c>
      <c r="D443" s="8">
        <f>IF(B443="","",VLOOKUP(B443,小圆机汇总表!A:AP,7,FALSE))</f>
        <v>36</v>
      </c>
      <c r="E443" s="8" t="str">
        <f>IF(B443="","",VLOOKUP(B443,小圆机汇总表!A:AP,5,FALSE))</f>
        <v>白高温</v>
      </c>
      <c r="F443" s="8" t="str">
        <f>IF(B443="","",VLOOKUP(B443,小圆机汇总表!A:AP,8,FALSE))</f>
        <v>长乐</v>
      </c>
      <c r="G443" s="23">
        <v>43764</v>
      </c>
      <c r="H443" s="8">
        <v>1010.5</v>
      </c>
      <c r="I443" s="8">
        <v>51</v>
      </c>
      <c r="K443" s="8" t="s">
        <v>2236</v>
      </c>
      <c r="M443" s="250">
        <f t="shared" si="6"/>
        <v>10</v>
      </c>
    </row>
    <row r="444" spans="1:13" hidden="1" outlineLevel="1">
      <c r="A444" s="4">
        <v>444</v>
      </c>
      <c r="B444" s="8" t="s">
        <v>70</v>
      </c>
      <c r="C444" s="8" t="str">
        <f>IF(B444="","",VLOOKUP(B444,小圆机汇总表!A:AP,2,FALSE))</f>
        <v>A5038w</v>
      </c>
      <c r="D444" s="8">
        <f>IF(B444="","",VLOOKUP(B444,小圆机汇总表!A:AP,7,FALSE))</f>
        <v>38</v>
      </c>
      <c r="E444" s="8" t="str">
        <f>IF(B444="","",VLOOKUP(B444,小圆机汇总表!A:AP,5,FALSE))</f>
        <v>白</v>
      </c>
      <c r="F444" s="8" t="str">
        <f>IF(B444="","",VLOOKUP(B444,小圆机汇总表!A:AP,8,FALSE))</f>
        <v>长乐</v>
      </c>
      <c r="G444" s="23">
        <v>43764</v>
      </c>
      <c r="H444" s="8">
        <v>454.1</v>
      </c>
      <c r="I444" s="8">
        <v>22</v>
      </c>
      <c r="K444" s="8" t="s">
        <v>2244</v>
      </c>
      <c r="M444" s="250">
        <f t="shared" si="6"/>
        <v>10</v>
      </c>
    </row>
    <row r="445" spans="1:13" hidden="1" outlineLevel="1">
      <c r="A445" s="4">
        <v>445</v>
      </c>
      <c r="B445" s="8" t="s">
        <v>741</v>
      </c>
      <c r="C445" s="8" t="str">
        <f>IF(B445="","",VLOOKUP(B445,小圆机汇总表!A:AP,2,FALSE))</f>
        <v>C5040w</v>
      </c>
      <c r="D445" s="8">
        <f>IF(B445="","",VLOOKUP(B445,小圆机汇总表!A:AP,7,FALSE))</f>
        <v>40</v>
      </c>
      <c r="E445" s="8" t="str">
        <f>IF(B445="","",VLOOKUP(B445,小圆机汇总表!A:AP,5,FALSE))</f>
        <v>白无温</v>
      </c>
      <c r="F445" s="8" t="str">
        <f>IF(B445="","",VLOOKUP(B445,小圆机汇总表!A:AP,8,FALSE))</f>
        <v>申久</v>
      </c>
      <c r="G445" s="23">
        <v>43764</v>
      </c>
      <c r="H445" s="8">
        <v>237</v>
      </c>
      <c r="I445" s="8">
        <v>12</v>
      </c>
      <c r="K445" s="8" t="s">
        <v>2245</v>
      </c>
      <c r="M445" s="250">
        <f t="shared" si="6"/>
        <v>10</v>
      </c>
    </row>
    <row r="446" spans="1:13" hidden="1" outlineLevel="1">
      <c r="A446" s="4">
        <v>446</v>
      </c>
      <c r="B446" s="8" t="s">
        <v>79</v>
      </c>
      <c r="C446" s="8" t="str">
        <f>IF(B446="","",VLOOKUP(B446,小圆机汇总表!A:AP,2,FALSE))</f>
        <v>A5042w</v>
      </c>
      <c r="D446" s="8">
        <f>IF(B446="","",VLOOKUP(B446,小圆机汇总表!A:AP,7,FALSE))</f>
        <v>42</v>
      </c>
      <c r="E446" s="8" t="str">
        <f>IF(B446="","",VLOOKUP(B446,小圆机汇总表!A:AP,5,FALSE))</f>
        <v>白</v>
      </c>
      <c r="F446" s="8" t="str">
        <f>IF(B446="","",VLOOKUP(B446,小圆机汇总表!A:AP,8,FALSE))</f>
        <v>长乐</v>
      </c>
      <c r="G446" s="23">
        <v>43764</v>
      </c>
      <c r="H446" s="8">
        <v>61.2</v>
      </c>
      <c r="I446" s="8">
        <v>4</v>
      </c>
      <c r="K446" s="8" t="s">
        <v>2241</v>
      </c>
      <c r="M446" s="250">
        <f t="shared" si="6"/>
        <v>10</v>
      </c>
    </row>
    <row r="447" spans="1:13" hidden="1" outlineLevel="1">
      <c r="A447" s="4">
        <v>447</v>
      </c>
      <c r="B447" s="8" t="s">
        <v>749</v>
      </c>
      <c r="C447" s="8" t="str">
        <f>IF(B447="","",VLOOKUP(B447,小圆机汇总表!A:AP,2,FALSE))</f>
        <v>C7542大W 白丝</v>
      </c>
      <c r="D447" s="8">
        <f>IF(B447="","",VLOOKUP(B447,小圆机汇总表!A:AP,7,FALSE))</f>
        <v>42</v>
      </c>
      <c r="E447" s="8" t="str">
        <f>IF(B447="","",VLOOKUP(B447,小圆机汇总表!A:AP,5,FALSE))</f>
        <v>白高温</v>
      </c>
      <c r="F447" s="8" t="str">
        <f>IF(B447="","",VLOOKUP(B447,小圆机汇总表!A:AP,8,FALSE))</f>
        <v>申久</v>
      </c>
      <c r="G447" s="23">
        <v>43764</v>
      </c>
      <c r="H447" s="8">
        <v>463.9</v>
      </c>
      <c r="I447" s="8">
        <v>23</v>
      </c>
      <c r="K447" s="8" t="s">
        <v>2236</v>
      </c>
      <c r="M447" s="250">
        <f t="shared" si="6"/>
        <v>10</v>
      </c>
    </row>
    <row r="448" spans="1:13" hidden="1" outlineLevel="1">
      <c r="A448" s="4">
        <v>448</v>
      </c>
      <c r="B448" s="8" t="s">
        <v>128</v>
      </c>
      <c r="C448" s="8" t="str">
        <f>IF(B448="","",VLOOKUP(B448,小圆机汇总表!A:AP,2,FALSE))</f>
        <v>A7545斜乱平纹</v>
      </c>
      <c r="D448" s="8">
        <f>IF(B448="","",VLOOKUP(B448,小圆机汇总表!A:AP,7,FALSE))</f>
        <v>45</v>
      </c>
      <c r="E448" s="8" t="str">
        <f>IF(B448="","",VLOOKUP(B448,小圆机汇总表!A:AP,5,FALSE))</f>
        <v>白</v>
      </c>
      <c r="F448" s="8" t="str">
        <f>IF(B448="","",VLOOKUP(B448,小圆机汇总表!A:AP,8,FALSE))</f>
        <v>长乐</v>
      </c>
      <c r="G448" s="23">
        <v>43764</v>
      </c>
      <c r="H448" s="8">
        <v>621.79999999999995</v>
      </c>
      <c r="I448" s="8">
        <v>31</v>
      </c>
      <c r="K448" s="8" t="s">
        <v>2242</v>
      </c>
      <c r="M448" s="250">
        <f t="shared" si="6"/>
        <v>10</v>
      </c>
    </row>
    <row r="449" spans="1:13" hidden="1" outlineLevel="1">
      <c r="A449" s="4">
        <v>449</v>
      </c>
      <c r="B449" s="8" t="s">
        <v>129</v>
      </c>
      <c r="C449" s="8" t="str">
        <f>IF(B449="","",VLOOKUP(B449,小圆机汇总表!A:AP,2,FALSE))</f>
        <v>A7548斜乱平纹</v>
      </c>
      <c r="D449" s="8">
        <f>IF(B449="","",VLOOKUP(B449,小圆机汇总表!A:AP,7,FALSE))</f>
        <v>48</v>
      </c>
      <c r="E449" s="8" t="str">
        <f>IF(B449="","",VLOOKUP(B449,小圆机汇总表!A:AP,5,FALSE))</f>
        <v>白高温</v>
      </c>
      <c r="F449" s="8" t="str">
        <f>IF(B449="","",VLOOKUP(B449,小圆机汇总表!A:AP,8,FALSE))</f>
        <v>长乐</v>
      </c>
      <c r="G449" s="23">
        <v>43764</v>
      </c>
      <c r="H449" s="8">
        <v>242.6</v>
      </c>
      <c r="I449" s="8">
        <v>12</v>
      </c>
      <c r="K449" s="8" t="s">
        <v>2237</v>
      </c>
      <c r="M449" s="250">
        <f t="shared" si="6"/>
        <v>10</v>
      </c>
    </row>
    <row r="450" spans="1:13" hidden="1" outlineLevel="1">
      <c r="A450" s="4">
        <v>450</v>
      </c>
      <c r="B450" s="8" t="s">
        <v>746</v>
      </c>
      <c r="C450" s="8" t="str">
        <f>IF(B450="","",VLOOKUP(B450,小圆机汇总表!A:AP,2,FALSE))</f>
        <v>A7549斜乱平纹</v>
      </c>
      <c r="D450" s="8">
        <f>IF(B450="","",VLOOKUP(B450,小圆机汇总表!A:AP,7,FALSE))</f>
        <v>49</v>
      </c>
      <c r="E450" s="8" t="str">
        <f>IF(B450="","",VLOOKUP(B450,小圆机汇总表!A:AP,5,FALSE))</f>
        <v>白</v>
      </c>
      <c r="F450" s="8" t="str">
        <f>IF(B450="","",VLOOKUP(B450,小圆机汇总表!A:AP,8,FALSE))</f>
        <v>长乐</v>
      </c>
      <c r="G450" s="23">
        <v>43764</v>
      </c>
      <c r="H450" s="8">
        <v>29.4</v>
      </c>
      <c r="I450" s="8">
        <v>2</v>
      </c>
      <c r="K450" s="8" t="s">
        <v>2243</v>
      </c>
      <c r="M450" s="250">
        <f t="shared" si="6"/>
        <v>10</v>
      </c>
    </row>
    <row r="451" spans="1:13" hidden="1" outlineLevel="1">
      <c r="A451" s="4">
        <v>451</v>
      </c>
      <c r="B451" s="8" t="s">
        <v>104</v>
      </c>
      <c r="C451" s="8" t="str">
        <f>IF(B451="","",VLOOKUP(B451,小圆机汇总表!A:AP,2,FALSE))</f>
        <v>B7549w</v>
      </c>
      <c r="D451" s="8">
        <f>IF(B451="","",VLOOKUP(B451,小圆机汇总表!A:AP,7,FALSE))</f>
        <v>49</v>
      </c>
      <c r="E451" s="8" t="str">
        <f>IF(B451="","",VLOOKUP(B451,小圆机汇总表!A:AP,5,FALSE))</f>
        <v>白</v>
      </c>
      <c r="F451" s="8" t="str">
        <f>IF(B451="","",VLOOKUP(B451,小圆机汇总表!A:AP,8,FALSE))</f>
        <v>长乐</v>
      </c>
      <c r="G451" s="23">
        <v>43764</v>
      </c>
      <c r="H451" s="8">
        <v>325.2</v>
      </c>
      <c r="I451" s="8">
        <v>16</v>
      </c>
      <c r="K451" s="8" t="s">
        <v>2240</v>
      </c>
      <c r="M451" s="250">
        <f t="shared" ref="M451:M514" si="7">IF(B451="","",MONTH(G451))</f>
        <v>10</v>
      </c>
    </row>
    <row r="452" spans="1:13" hidden="1" outlineLevel="1">
      <c r="A452" s="4">
        <v>452</v>
      </c>
      <c r="B452" s="8" t="s">
        <v>1776</v>
      </c>
      <c r="C452" s="8" t="str">
        <f>IF(B452="","",VLOOKUP(B452,小圆机汇总表!A:AP,2,FALSE))</f>
        <v>B3023乱平纹</v>
      </c>
      <c r="D452" s="8">
        <f>IF(B452="","",VLOOKUP(B452,小圆机汇总表!A:AP,7,FALSE))</f>
        <v>23</v>
      </c>
      <c r="E452" s="8" t="str">
        <f>IF(B452="","",VLOOKUP(B452,小圆机汇总表!A:AP,5,FALSE))</f>
        <v>白</v>
      </c>
      <c r="F452" s="8" t="str">
        <f>IF(B452="","",VLOOKUP(B452,小圆机汇总表!A:AP,8,FALSE))</f>
        <v>恒力</v>
      </c>
      <c r="G452" s="23">
        <v>43765</v>
      </c>
      <c r="H452" s="8">
        <v>40</v>
      </c>
      <c r="I452" s="8">
        <v>2</v>
      </c>
      <c r="K452" s="8" t="s">
        <v>252</v>
      </c>
      <c r="M452" s="250">
        <f t="shared" si="7"/>
        <v>10</v>
      </c>
    </row>
    <row r="453" spans="1:13" hidden="1" outlineLevel="1">
      <c r="A453" s="4">
        <v>453</v>
      </c>
      <c r="B453" s="8" t="s">
        <v>1779</v>
      </c>
      <c r="C453" s="8" t="str">
        <f>IF(B453="","",VLOOKUP(B453,小圆机汇总表!A:AP,2,FALSE))</f>
        <v>B3023大W</v>
      </c>
      <c r="D453" s="8">
        <f>IF(B453="","",VLOOKUP(B453,小圆机汇总表!A:AP,7,FALSE))</f>
        <v>23</v>
      </c>
      <c r="E453" s="8" t="str">
        <f>IF(B453="","",VLOOKUP(B453,小圆机汇总表!A:AP,5,FALSE))</f>
        <v>白</v>
      </c>
      <c r="F453" s="8" t="str">
        <f>IF(B453="","",VLOOKUP(B453,小圆机汇总表!A:AP,8,FALSE))</f>
        <v>银宇</v>
      </c>
      <c r="G453" s="23">
        <v>43765</v>
      </c>
      <c r="H453" s="8">
        <v>37.799999999999997</v>
      </c>
      <c r="I453" s="8">
        <v>2</v>
      </c>
      <c r="K453" s="8" t="s">
        <v>2462</v>
      </c>
      <c r="M453" s="250">
        <f t="shared" si="7"/>
        <v>10</v>
      </c>
    </row>
    <row r="454" spans="1:13" hidden="1" outlineLevel="1">
      <c r="A454" s="4">
        <v>454</v>
      </c>
      <c r="B454" s="8" t="s">
        <v>122</v>
      </c>
      <c r="C454" s="8" t="str">
        <f>IF(B454="","",VLOOKUP(B454,小圆机汇总表!A:AP,2,FALSE))</f>
        <v>B5034大W</v>
      </c>
      <c r="D454" s="8">
        <f>IF(B454="","",VLOOKUP(B454,小圆机汇总表!A:AP,7,FALSE))</f>
        <v>34</v>
      </c>
      <c r="E454" s="8" t="str">
        <f>IF(B454="","",VLOOKUP(B454,小圆机汇总表!A:AP,5,FALSE))</f>
        <v>白高温</v>
      </c>
      <c r="F454" s="8" t="str">
        <f>IF(B454="","",VLOOKUP(B454,小圆机汇总表!A:AP,8,FALSE))</f>
        <v>长乐</v>
      </c>
      <c r="G454" s="23">
        <v>43765</v>
      </c>
      <c r="H454" s="8">
        <v>279.39999999999998</v>
      </c>
      <c r="I454" s="8">
        <v>14</v>
      </c>
      <c r="K454" s="8" t="s">
        <v>2236</v>
      </c>
      <c r="M454" s="250">
        <f t="shared" si="7"/>
        <v>10</v>
      </c>
    </row>
    <row r="455" spans="1:13" hidden="1" outlineLevel="1">
      <c r="A455" s="4">
        <v>455</v>
      </c>
      <c r="B455" s="8" t="s">
        <v>123</v>
      </c>
      <c r="C455" s="8" t="str">
        <f>IF(B455="","",VLOOKUP(B455,小圆机汇总表!A:AP,2,FALSE))</f>
        <v>B7539斜乱平纹</v>
      </c>
      <c r="D455" s="8">
        <f>IF(B455="","",VLOOKUP(B455,小圆机汇总表!A:AP,7,FALSE))</f>
        <v>39</v>
      </c>
      <c r="E455" s="8" t="str">
        <f>IF(B455="","",VLOOKUP(B455,小圆机汇总表!A:AP,5,FALSE))</f>
        <v>白</v>
      </c>
      <c r="F455" s="8" t="str">
        <f>IF(B455="","",VLOOKUP(B455,小圆机汇总表!A:AP,8,FALSE))</f>
        <v>盛元</v>
      </c>
      <c r="G455" s="23">
        <v>43765</v>
      </c>
      <c r="H455" s="8">
        <v>287</v>
      </c>
      <c r="I455" s="8">
        <v>14</v>
      </c>
      <c r="K455" s="8" t="s">
        <v>2237</v>
      </c>
      <c r="M455" s="250">
        <f t="shared" si="7"/>
        <v>10</v>
      </c>
    </row>
    <row r="456" spans="1:13" hidden="1" outlineLevel="1">
      <c r="A456" s="4">
        <v>456</v>
      </c>
      <c r="B456" s="8" t="s">
        <v>80</v>
      </c>
      <c r="C456" s="8" t="str">
        <f>IF(B456="","",VLOOKUP(B456,小圆机汇总表!A:AP,2,FALSE))</f>
        <v>C5034w</v>
      </c>
      <c r="D456" s="8">
        <f>IF(B456="","",VLOOKUP(B456,小圆机汇总表!A:AP,7,FALSE))</f>
        <v>34</v>
      </c>
      <c r="E456" s="8" t="str">
        <f>IF(B456="","",VLOOKUP(B456,小圆机汇总表!A:AP,5,FALSE))</f>
        <v>白</v>
      </c>
      <c r="F456" s="8" t="str">
        <f>IF(B456="","",VLOOKUP(B456,小圆机汇总表!A:AP,8,FALSE))</f>
        <v>长乐</v>
      </c>
      <c r="G456" s="23">
        <v>43765</v>
      </c>
      <c r="H456" s="8">
        <v>188.8</v>
      </c>
      <c r="I456" s="8">
        <v>10</v>
      </c>
      <c r="K456" s="8" t="s">
        <v>2238</v>
      </c>
      <c r="M456" s="250">
        <f t="shared" si="7"/>
        <v>10</v>
      </c>
    </row>
    <row r="457" spans="1:13" hidden="1" outlineLevel="1">
      <c r="A457" s="4">
        <v>457</v>
      </c>
      <c r="B457" s="8" t="s">
        <v>736</v>
      </c>
      <c r="C457" s="8" t="str">
        <f>IF(B457="","",VLOOKUP(B457,小圆机汇总表!A:AP,2,FALSE))</f>
        <v>A5034斜乱平纹</v>
      </c>
      <c r="D457" s="8">
        <f>IF(B457="","",VLOOKUP(B457,小圆机汇总表!A:AP,7,FALSE))</f>
        <v>34</v>
      </c>
      <c r="E457" s="8" t="str">
        <f>IF(B457="","",VLOOKUP(B457,小圆机汇总表!A:AP,5,FALSE))</f>
        <v>白</v>
      </c>
      <c r="F457" s="8" t="str">
        <f>IF(B457="","",VLOOKUP(B457,小圆机汇总表!A:AP,8,FALSE))</f>
        <v>长乐</v>
      </c>
      <c r="G457" s="23">
        <v>43765</v>
      </c>
      <c r="H457" s="8">
        <v>185.7</v>
      </c>
      <c r="I457" s="8">
        <v>9</v>
      </c>
      <c r="K457" s="8" t="s">
        <v>2245</v>
      </c>
      <c r="M457" s="250">
        <f t="shared" si="7"/>
        <v>10</v>
      </c>
    </row>
    <row r="458" spans="1:13" hidden="1" outlineLevel="1">
      <c r="A458" s="4">
        <v>458</v>
      </c>
      <c r="B458" s="8" t="s">
        <v>125</v>
      </c>
      <c r="C458" s="8" t="str">
        <f>IF(B458="","",VLOOKUP(B458,小圆机汇总表!A:AP,2,FALSE))</f>
        <v>A5035w黑</v>
      </c>
      <c r="D458" s="8">
        <f>IF(B458="","",VLOOKUP(B458,小圆机汇总表!A:AP,7,FALSE))</f>
        <v>35</v>
      </c>
      <c r="E458" s="8" t="str">
        <f>IF(B458="","",VLOOKUP(B458,小圆机汇总表!A:AP,5,FALSE))</f>
        <v>黑</v>
      </c>
      <c r="F458" s="8" t="str">
        <f>IF(B458="","",VLOOKUP(B458,小圆机汇总表!A:AP,8,FALSE))</f>
        <v>固力</v>
      </c>
      <c r="G458" s="23">
        <v>43765</v>
      </c>
      <c r="H458" s="8">
        <v>1059</v>
      </c>
      <c r="I458" s="8">
        <f>15+29+4</f>
        <v>48</v>
      </c>
      <c r="K458" s="8" t="s">
        <v>2240</v>
      </c>
      <c r="M458" s="250">
        <f t="shared" si="7"/>
        <v>10</v>
      </c>
    </row>
    <row r="459" spans="1:13" hidden="1" outlineLevel="1">
      <c r="A459" s="4">
        <v>459</v>
      </c>
      <c r="B459" s="8" t="s">
        <v>45</v>
      </c>
      <c r="C459" s="8" t="str">
        <f>IF(B459="","",VLOOKUP(B459,小圆机汇总表!A:AP,2,FALSE))</f>
        <v>A5035w</v>
      </c>
      <c r="D459" s="8">
        <f>IF(B459="","",VLOOKUP(B459,小圆机汇总表!A:AP,7,FALSE))</f>
        <v>35</v>
      </c>
      <c r="E459" s="8" t="str">
        <f>IF(B459="","",VLOOKUP(B459,小圆机汇总表!A:AP,5,FALSE))</f>
        <v>白</v>
      </c>
      <c r="F459" s="8" t="str">
        <f>IF(B459="","",VLOOKUP(B459,小圆机汇总表!A:AP,8,FALSE))</f>
        <v>长乐</v>
      </c>
      <c r="G459" s="23">
        <v>43765</v>
      </c>
      <c r="H459" s="8">
        <v>395.2</v>
      </c>
      <c r="I459" s="8">
        <v>20</v>
      </c>
      <c r="K459" s="8" t="s">
        <v>2241</v>
      </c>
      <c r="M459" s="250">
        <f t="shared" si="7"/>
        <v>10</v>
      </c>
    </row>
    <row r="460" spans="1:13" hidden="1" outlineLevel="1">
      <c r="A460" s="4">
        <v>460</v>
      </c>
      <c r="B460" s="8" t="s">
        <v>740</v>
      </c>
      <c r="C460" s="8" t="str">
        <f>IF(B460="","",VLOOKUP(B460,小圆机汇总表!A:AP,2,FALSE))</f>
        <v>A5032w 32针</v>
      </c>
      <c r="D460" s="8">
        <f>IF(B460="","",VLOOKUP(B460,小圆机汇总表!A:AP,7,FALSE))</f>
        <v>32</v>
      </c>
      <c r="E460" s="8" t="str">
        <f>IF(B460="","",VLOOKUP(B460,小圆机汇总表!A:AP,5,FALSE))</f>
        <v>白</v>
      </c>
      <c r="F460" s="8" t="str">
        <f>IF(B460="","",VLOOKUP(B460,小圆机汇总表!A:AP,8,FALSE))</f>
        <v>长乐/32针</v>
      </c>
      <c r="G460" s="23">
        <v>43765</v>
      </c>
      <c r="H460" s="8">
        <v>100</v>
      </c>
      <c r="I460" s="8">
        <v>5</v>
      </c>
      <c r="K460" s="8" t="s">
        <v>2242</v>
      </c>
      <c r="M460" s="250">
        <f t="shared" si="7"/>
        <v>10</v>
      </c>
    </row>
    <row r="461" spans="1:13" hidden="1" outlineLevel="1">
      <c r="A461" s="4">
        <v>461</v>
      </c>
      <c r="B461" s="8" t="s">
        <v>737</v>
      </c>
      <c r="C461" s="8" t="str">
        <f>IF(B461="","",VLOOKUP(B461,小圆机汇总表!A:AP,2,FALSE))</f>
        <v>A5035大W</v>
      </c>
      <c r="D461" s="8">
        <f>IF(B461="","",VLOOKUP(B461,小圆机汇总表!A:AP,7,FALSE))</f>
        <v>35</v>
      </c>
      <c r="E461" s="8" t="str">
        <f>IF(B461="","",VLOOKUP(B461,小圆机汇总表!A:AP,5,FALSE))</f>
        <v>白</v>
      </c>
      <c r="F461" s="8" t="str">
        <f>IF(B461="","",VLOOKUP(B461,小圆机汇总表!A:AP,8,FALSE))</f>
        <v>长乐</v>
      </c>
      <c r="G461" s="23">
        <v>43765</v>
      </c>
      <c r="H461" s="8">
        <v>322.8</v>
      </c>
      <c r="I461" s="8">
        <v>16</v>
      </c>
      <c r="K461" s="8" t="s">
        <v>2243</v>
      </c>
      <c r="M461" s="250">
        <f t="shared" si="7"/>
        <v>10</v>
      </c>
    </row>
    <row r="462" spans="1:13" hidden="1" outlineLevel="1">
      <c r="A462" s="4">
        <v>462</v>
      </c>
      <c r="B462" s="8" t="s">
        <v>116</v>
      </c>
      <c r="C462" s="8" t="str">
        <f>IF(B462="","",VLOOKUP(B462,小圆机汇总表!A:AP,2,FALSE))</f>
        <v>B5036大W高温丝</v>
      </c>
      <c r="D462" s="8">
        <f>IF(B462="","",VLOOKUP(B462,小圆机汇总表!A:AP,7,FALSE))</f>
        <v>36</v>
      </c>
      <c r="E462" s="8" t="str">
        <f>IF(B462="","",VLOOKUP(B462,小圆机汇总表!A:AP,5,FALSE))</f>
        <v>白高温</v>
      </c>
      <c r="F462" s="8" t="str">
        <f>IF(B462="","",VLOOKUP(B462,小圆机汇总表!A:AP,8,FALSE))</f>
        <v>长乐</v>
      </c>
      <c r="G462" s="23">
        <v>43765</v>
      </c>
      <c r="H462" s="8">
        <v>992.5</v>
      </c>
      <c r="I462" s="8">
        <v>49</v>
      </c>
      <c r="K462" s="8" t="s">
        <v>2236</v>
      </c>
      <c r="M462" s="250">
        <f t="shared" si="7"/>
        <v>10</v>
      </c>
    </row>
    <row r="463" spans="1:13" hidden="1" outlineLevel="1">
      <c r="A463" s="4">
        <v>463</v>
      </c>
      <c r="B463" s="8" t="s">
        <v>70</v>
      </c>
      <c r="C463" s="8" t="str">
        <f>IF(B463="","",VLOOKUP(B463,小圆机汇总表!A:AP,2,FALSE))</f>
        <v>A5038w</v>
      </c>
      <c r="D463" s="8">
        <f>IF(B463="","",VLOOKUP(B463,小圆机汇总表!A:AP,7,FALSE))</f>
        <v>38</v>
      </c>
      <c r="E463" s="8" t="str">
        <f>IF(B463="","",VLOOKUP(B463,小圆机汇总表!A:AP,5,FALSE))</f>
        <v>白</v>
      </c>
      <c r="F463" s="8" t="str">
        <f>IF(B463="","",VLOOKUP(B463,小圆机汇总表!A:AP,8,FALSE))</f>
        <v>长乐</v>
      </c>
      <c r="G463" s="23">
        <v>43765</v>
      </c>
      <c r="H463" s="8">
        <v>387.9</v>
      </c>
      <c r="I463" s="8">
        <v>19</v>
      </c>
      <c r="K463" s="8" t="s">
        <v>2244</v>
      </c>
      <c r="M463" s="250">
        <f t="shared" si="7"/>
        <v>10</v>
      </c>
    </row>
    <row r="464" spans="1:13" hidden="1" outlineLevel="1">
      <c r="A464" s="4">
        <v>464</v>
      </c>
      <c r="B464" s="8" t="s">
        <v>741</v>
      </c>
      <c r="C464" s="8" t="str">
        <f>IF(B464="","",VLOOKUP(B464,小圆机汇总表!A:AP,2,FALSE))</f>
        <v>C5040w</v>
      </c>
      <c r="D464" s="8">
        <f>IF(B464="","",VLOOKUP(B464,小圆机汇总表!A:AP,7,FALSE))</f>
        <v>40</v>
      </c>
      <c r="E464" s="8" t="str">
        <f>IF(B464="","",VLOOKUP(B464,小圆机汇总表!A:AP,5,FALSE))</f>
        <v>白无温</v>
      </c>
      <c r="F464" s="8" t="str">
        <f>IF(B464="","",VLOOKUP(B464,小圆机汇总表!A:AP,8,FALSE))</f>
        <v>申久</v>
      </c>
      <c r="G464" s="23">
        <v>43765</v>
      </c>
      <c r="H464" s="8">
        <v>296</v>
      </c>
      <c r="I464" s="8">
        <v>15</v>
      </c>
      <c r="K464" s="8" t="s">
        <v>2245</v>
      </c>
      <c r="M464" s="250">
        <f t="shared" si="7"/>
        <v>10</v>
      </c>
    </row>
    <row r="465" spans="1:13" hidden="1" outlineLevel="1">
      <c r="A465" s="4">
        <v>465</v>
      </c>
      <c r="B465" s="8" t="s">
        <v>749</v>
      </c>
      <c r="C465" s="8" t="str">
        <f>IF(B465="","",VLOOKUP(B465,小圆机汇总表!A:AP,2,FALSE))</f>
        <v>C7542大W 白丝</v>
      </c>
      <c r="D465" s="8">
        <f>IF(B465="","",VLOOKUP(B465,小圆机汇总表!A:AP,7,FALSE))</f>
        <v>42</v>
      </c>
      <c r="E465" s="8" t="str">
        <f>IF(B465="","",VLOOKUP(B465,小圆机汇总表!A:AP,5,FALSE))</f>
        <v>白高温</v>
      </c>
      <c r="F465" s="8" t="str">
        <f>IF(B465="","",VLOOKUP(B465,小圆机汇总表!A:AP,8,FALSE))</f>
        <v>申久</v>
      </c>
      <c r="G465" s="23">
        <v>43765</v>
      </c>
      <c r="H465" s="8">
        <v>342.9</v>
      </c>
      <c r="I465" s="8">
        <v>17</v>
      </c>
      <c r="K465" s="8" t="s">
        <v>2236</v>
      </c>
      <c r="M465" s="250">
        <f t="shared" si="7"/>
        <v>10</v>
      </c>
    </row>
    <row r="466" spans="1:13" hidden="1" outlineLevel="1">
      <c r="A466" s="4">
        <v>466</v>
      </c>
      <c r="B466" s="8" t="s">
        <v>128</v>
      </c>
      <c r="C466" s="8" t="str">
        <f>IF(B466="","",VLOOKUP(B466,小圆机汇总表!A:AP,2,FALSE))</f>
        <v>A7545斜乱平纹</v>
      </c>
      <c r="D466" s="8">
        <f>IF(B466="","",VLOOKUP(B466,小圆机汇总表!A:AP,7,FALSE))</f>
        <v>45</v>
      </c>
      <c r="E466" s="8" t="str">
        <f>IF(B466="","",VLOOKUP(B466,小圆机汇总表!A:AP,5,FALSE))</f>
        <v>白</v>
      </c>
      <c r="F466" s="8" t="str">
        <f>IF(B466="","",VLOOKUP(B466,小圆机汇总表!A:AP,8,FALSE))</f>
        <v>长乐</v>
      </c>
      <c r="G466" s="23">
        <v>43765</v>
      </c>
      <c r="H466" s="8">
        <v>622.4</v>
      </c>
      <c r="I466" s="8">
        <v>31</v>
      </c>
      <c r="K466" s="8" t="s">
        <v>2242</v>
      </c>
      <c r="M466" s="250">
        <f t="shared" si="7"/>
        <v>10</v>
      </c>
    </row>
    <row r="467" spans="1:13" hidden="1" outlineLevel="1">
      <c r="A467" s="4">
        <v>467</v>
      </c>
      <c r="B467" s="8" t="s">
        <v>129</v>
      </c>
      <c r="C467" s="8" t="str">
        <f>IF(B467="","",VLOOKUP(B467,小圆机汇总表!A:AP,2,FALSE))</f>
        <v>A7548斜乱平纹</v>
      </c>
      <c r="D467" s="8">
        <f>IF(B467="","",VLOOKUP(B467,小圆机汇总表!A:AP,7,FALSE))</f>
        <v>48</v>
      </c>
      <c r="E467" s="8" t="str">
        <f>IF(B467="","",VLOOKUP(B467,小圆机汇总表!A:AP,5,FALSE))</f>
        <v>白高温</v>
      </c>
      <c r="F467" s="8" t="str">
        <f>IF(B467="","",VLOOKUP(B467,小圆机汇总表!A:AP,8,FALSE))</f>
        <v>长乐</v>
      </c>
      <c r="G467" s="23">
        <v>43765</v>
      </c>
      <c r="H467" s="8">
        <v>303.10000000000002</v>
      </c>
      <c r="I467" s="8">
        <v>15</v>
      </c>
      <c r="K467" s="8" t="s">
        <v>2237</v>
      </c>
      <c r="M467" s="250">
        <f t="shared" si="7"/>
        <v>10</v>
      </c>
    </row>
    <row r="468" spans="1:13" hidden="1" outlineLevel="1">
      <c r="A468" s="4">
        <v>468</v>
      </c>
      <c r="B468" s="8" t="s">
        <v>104</v>
      </c>
      <c r="C468" s="8" t="str">
        <f>IF(B468="","",VLOOKUP(B468,小圆机汇总表!A:AP,2,FALSE))</f>
        <v>B7549w</v>
      </c>
      <c r="D468" s="8">
        <f>IF(B468="","",VLOOKUP(B468,小圆机汇总表!A:AP,7,FALSE))</f>
        <v>49</v>
      </c>
      <c r="E468" s="8" t="str">
        <f>IF(B468="","",VLOOKUP(B468,小圆机汇总表!A:AP,5,FALSE))</f>
        <v>白</v>
      </c>
      <c r="F468" s="8" t="str">
        <f>IF(B468="","",VLOOKUP(B468,小圆机汇总表!A:AP,8,FALSE))</f>
        <v>长乐</v>
      </c>
      <c r="G468" s="23">
        <v>43765</v>
      </c>
      <c r="H468" s="8">
        <v>342.1</v>
      </c>
      <c r="I468" s="8">
        <v>17</v>
      </c>
      <c r="K468" s="8" t="s">
        <v>2240</v>
      </c>
      <c r="M468" s="250">
        <f t="shared" si="7"/>
        <v>10</v>
      </c>
    </row>
    <row r="469" spans="1:13" hidden="1" outlineLevel="1">
      <c r="A469" s="4">
        <v>469</v>
      </c>
      <c r="B469" s="8" t="s">
        <v>1776</v>
      </c>
      <c r="C469" s="8" t="str">
        <f>IF(B469="","",VLOOKUP(B469,小圆机汇总表!A:AP,2,FALSE))</f>
        <v>B3023乱平纹</v>
      </c>
      <c r="D469" s="8">
        <f>IF(B469="","",VLOOKUP(B469,小圆机汇总表!A:AP,7,FALSE))</f>
        <v>23</v>
      </c>
      <c r="E469" s="8" t="str">
        <f>IF(B469="","",VLOOKUP(B469,小圆机汇总表!A:AP,5,FALSE))</f>
        <v>白</v>
      </c>
      <c r="F469" s="8" t="str">
        <f>IF(B469="","",VLOOKUP(B469,小圆机汇总表!A:AP,8,FALSE))</f>
        <v>恒力</v>
      </c>
      <c r="G469" s="23">
        <v>43766</v>
      </c>
      <c r="H469" s="8">
        <v>60</v>
      </c>
      <c r="I469" s="8">
        <v>3</v>
      </c>
      <c r="K469" s="8" t="s">
        <v>252</v>
      </c>
      <c r="M469" s="250">
        <f t="shared" si="7"/>
        <v>10</v>
      </c>
    </row>
    <row r="470" spans="1:13" hidden="1" outlineLevel="1">
      <c r="A470" s="4">
        <v>470</v>
      </c>
      <c r="B470" s="8" t="s">
        <v>2471</v>
      </c>
      <c r="C470" s="8" t="str">
        <f>IF(B470="","",VLOOKUP(B470,小圆机汇总表!A:AP,2,FALSE))</f>
        <v>B3023大W</v>
      </c>
      <c r="D470" s="8">
        <f>IF(B470="","",VLOOKUP(B470,小圆机汇总表!A:AP,7,FALSE))</f>
        <v>23</v>
      </c>
      <c r="E470" s="8" t="str">
        <f>IF(B470="","",VLOOKUP(B470,小圆机汇总表!A:AP,5,FALSE))</f>
        <v>白</v>
      </c>
      <c r="F470" s="8" t="str">
        <f>IF(B470="","",VLOOKUP(B470,小圆机汇总表!A:AP,8,FALSE))</f>
        <v>银宇</v>
      </c>
      <c r="G470" s="23">
        <v>43766</v>
      </c>
      <c r="H470" s="8">
        <v>94.9</v>
      </c>
      <c r="I470" s="8">
        <v>5</v>
      </c>
      <c r="K470" s="8" t="s">
        <v>2462</v>
      </c>
      <c r="L470" s="206"/>
      <c r="M470" s="250">
        <f t="shared" si="7"/>
        <v>10</v>
      </c>
    </row>
    <row r="471" spans="1:13" hidden="1" outlineLevel="1">
      <c r="A471" s="4">
        <v>471</v>
      </c>
      <c r="B471" s="8" t="s">
        <v>122</v>
      </c>
      <c r="C471" s="8" t="str">
        <f>IF(B471="","",VLOOKUP(B471,小圆机汇总表!A:AP,2,FALSE))</f>
        <v>B5034大W</v>
      </c>
      <c r="D471" s="8">
        <f>IF(B471="","",VLOOKUP(B471,小圆机汇总表!A:AP,7,FALSE))</f>
        <v>34</v>
      </c>
      <c r="E471" s="8" t="str">
        <f>IF(B471="","",VLOOKUP(B471,小圆机汇总表!A:AP,5,FALSE))</f>
        <v>白高温</v>
      </c>
      <c r="F471" s="8" t="str">
        <f>IF(B471="","",VLOOKUP(B471,小圆机汇总表!A:AP,8,FALSE))</f>
        <v>长乐</v>
      </c>
      <c r="G471" s="23">
        <v>43766</v>
      </c>
      <c r="H471" s="8">
        <v>259.39999999999998</v>
      </c>
      <c r="I471" s="8">
        <v>13</v>
      </c>
      <c r="K471" s="8" t="s">
        <v>2236</v>
      </c>
      <c r="L471" s="206"/>
      <c r="M471" s="250">
        <f t="shared" si="7"/>
        <v>10</v>
      </c>
    </row>
    <row r="472" spans="1:13" hidden="1" outlineLevel="1">
      <c r="A472" s="4">
        <v>472</v>
      </c>
      <c r="B472" s="8" t="s">
        <v>123</v>
      </c>
      <c r="C472" s="8" t="str">
        <f>IF(B472="","",VLOOKUP(B472,小圆机汇总表!A:AP,2,FALSE))</f>
        <v>B7539斜乱平纹</v>
      </c>
      <c r="D472" s="8">
        <f>IF(B472="","",VLOOKUP(B472,小圆机汇总表!A:AP,7,FALSE))</f>
        <v>39</v>
      </c>
      <c r="E472" s="8" t="str">
        <f>IF(B472="","",VLOOKUP(B472,小圆机汇总表!A:AP,5,FALSE))</f>
        <v>白</v>
      </c>
      <c r="F472" s="8" t="str">
        <f>IF(B472="","",VLOOKUP(B472,小圆机汇总表!A:AP,8,FALSE))</f>
        <v>盛元</v>
      </c>
      <c r="G472" s="23">
        <v>43766</v>
      </c>
      <c r="H472" s="8">
        <v>307.5</v>
      </c>
      <c r="I472" s="8">
        <v>15</v>
      </c>
      <c r="K472" s="8" t="s">
        <v>2237</v>
      </c>
      <c r="L472" s="206"/>
      <c r="M472" s="250">
        <f t="shared" si="7"/>
        <v>10</v>
      </c>
    </row>
    <row r="473" spans="1:13" hidden="1" outlineLevel="1">
      <c r="A473" s="4">
        <v>473</v>
      </c>
      <c r="B473" s="8" t="s">
        <v>80</v>
      </c>
      <c r="C473" s="8" t="str">
        <f>IF(B473="","",VLOOKUP(B473,小圆机汇总表!A:AP,2,FALSE))</f>
        <v>C5034w</v>
      </c>
      <c r="D473" s="8">
        <f>IF(B473="","",VLOOKUP(B473,小圆机汇总表!A:AP,7,FALSE))</f>
        <v>34</v>
      </c>
      <c r="E473" s="8" t="str">
        <f>IF(B473="","",VLOOKUP(B473,小圆机汇总表!A:AP,5,FALSE))</f>
        <v>白</v>
      </c>
      <c r="F473" s="8" t="str">
        <f>IF(B473="","",VLOOKUP(B473,小圆机汇总表!A:AP,8,FALSE))</f>
        <v>长乐</v>
      </c>
      <c r="G473" s="23">
        <v>43766</v>
      </c>
      <c r="H473" s="8">
        <v>114.6</v>
      </c>
      <c r="I473" s="8">
        <v>6</v>
      </c>
      <c r="K473" s="8" t="s">
        <v>2238</v>
      </c>
      <c r="L473" s="206"/>
      <c r="M473" s="250">
        <f t="shared" si="7"/>
        <v>10</v>
      </c>
    </row>
    <row r="474" spans="1:13" hidden="1" outlineLevel="1">
      <c r="A474" s="4">
        <v>474</v>
      </c>
      <c r="B474" s="8" t="s">
        <v>736</v>
      </c>
      <c r="C474" s="8" t="str">
        <f>IF(B474="","",VLOOKUP(B474,小圆机汇总表!A:AP,2,FALSE))</f>
        <v>A5034斜乱平纹</v>
      </c>
      <c r="D474" s="8">
        <f>IF(B474="","",VLOOKUP(B474,小圆机汇总表!A:AP,7,FALSE))</f>
        <v>34</v>
      </c>
      <c r="E474" s="8" t="str">
        <f>IF(B474="","",VLOOKUP(B474,小圆机汇总表!A:AP,5,FALSE))</f>
        <v>白</v>
      </c>
      <c r="F474" s="8" t="str">
        <f>IF(B474="","",VLOOKUP(B474,小圆机汇总表!A:AP,8,FALSE))</f>
        <v>长乐</v>
      </c>
      <c r="G474" s="23">
        <v>43766</v>
      </c>
      <c r="H474" s="8">
        <v>60.5</v>
      </c>
      <c r="I474" s="8">
        <v>3</v>
      </c>
      <c r="K474" s="8" t="s">
        <v>2245</v>
      </c>
      <c r="L474" s="206"/>
      <c r="M474" s="250">
        <f t="shared" si="7"/>
        <v>10</v>
      </c>
    </row>
    <row r="475" spans="1:13" hidden="1" outlineLevel="1">
      <c r="A475" s="4">
        <v>475</v>
      </c>
      <c r="B475" s="8" t="s">
        <v>125</v>
      </c>
      <c r="C475" s="8" t="str">
        <f>IF(B475="","",VLOOKUP(B475,小圆机汇总表!A:AP,2,FALSE))</f>
        <v>A5035w黑</v>
      </c>
      <c r="D475" s="8">
        <f>IF(B475="","",VLOOKUP(B475,小圆机汇总表!A:AP,7,FALSE))</f>
        <v>35</v>
      </c>
      <c r="E475" s="8" t="str">
        <f>IF(B475="","",VLOOKUP(B475,小圆机汇总表!A:AP,5,FALSE))</f>
        <v>黑</v>
      </c>
      <c r="F475" s="8" t="str">
        <f>IF(B475="","",VLOOKUP(B475,小圆机汇总表!A:AP,8,FALSE))</f>
        <v>固力</v>
      </c>
      <c r="G475" s="23">
        <v>43766</v>
      </c>
      <c r="H475" s="8">
        <v>1103</v>
      </c>
      <c r="I475" s="8">
        <f>20+26+4</f>
        <v>50</v>
      </c>
      <c r="K475" s="8" t="s">
        <v>2240</v>
      </c>
      <c r="L475" s="206"/>
      <c r="M475" s="250">
        <f t="shared" si="7"/>
        <v>10</v>
      </c>
    </row>
    <row r="476" spans="1:13" hidden="1" outlineLevel="1">
      <c r="A476" s="4">
        <v>476</v>
      </c>
      <c r="B476" s="8" t="s">
        <v>45</v>
      </c>
      <c r="C476" s="8" t="str">
        <f>IF(B476="","",VLOOKUP(B476,小圆机汇总表!A:AP,2,FALSE))</f>
        <v>A5035w</v>
      </c>
      <c r="D476" s="8">
        <f>IF(B476="","",VLOOKUP(B476,小圆机汇总表!A:AP,7,FALSE))</f>
        <v>35</v>
      </c>
      <c r="E476" s="8" t="str">
        <f>IF(B476="","",VLOOKUP(B476,小圆机汇总表!A:AP,5,FALSE))</f>
        <v>白</v>
      </c>
      <c r="F476" s="8" t="str">
        <f>IF(B476="","",VLOOKUP(B476,小圆机汇总表!A:AP,8,FALSE))</f>
        <v>长乐</v>
      </c>
      <c r="G476" s="23">
        <v>43766</v>
      </c>
      <c r="H476" s="8">
        <v>375.8</v>
      </c>
      <c r="I476" s="8">
        <v>19</v>
      </c>
      <c r="K476" s="8" t="s">
        <v>2241</v>
      </c>
      <c r="L476" s="206"/>
      <c r="M476" s="250">
        <f t="shared" si="7"/>
        <v>10</v>
      </c>
    </row>
    <row r="477" spans="1:13" hidden="1" outlineLevel="1">
      <c r="A477" s="4">
        <v>477</v>
      </c>
      <c r="B477" s="8" t="s">
        <v>740</v>
      </c>
      <c r="C477" s="8" t="str">
        <f>IF(B477="","",VLOOKUP(B477,小圆机汇总表!A:AP,2,FALSE))</f>
        <v>A5032w 32针</v>
      </c>
      <c r="D477" s="8">
        <f>IF(B477="","",VLOOKUP(B477,小圆机汇总表!A:AP,7,FALSE))</f>
        <v>32</v>
      </c>
      <c r="E477" s="8" t="str">
        <f>IF(B477="","",VLOOKUP(B477,小圆机汇总表!A:AP,5,FALSE))</f>
        <v>白</v>
      </c>
      <c r="F477" s="8" t="str">
        <f>IF(B477="","",VLOOKUP(B477,小圆机汇总表!A:AP,8,FALSE))</f>
        <v>长乐/32针</v>
      </c>
      <c r="G477" s="23">
        <v>43766</v>
      </c>
      <c r="H477" s="8">
        <v>16</v>
      </c>
      <c r="I477" s="8">
        <v>1</v>
      </c>
      <c r="K477" s="8" t="s">
        <v>2242</v>
      </c>
      <c r="L477" s="206"/>
      <c r="M477" s="250">
        <f t="shared" si="7"/>
        <v>10</v>
      </c>
    </row>
    <row r="478" spans="1:13" hidden="1" outlineLevel="1">
      <c r="A478" s="4">
        <v>478</v>
      </c>
      <c r="B478" s="8" t="s">
        <v>737</v>
      </c>
      <c r="C478" s="8" t="str">
        <f>IF(B478="","",VLOOKUP(B478,小圆机汇总表!A:AP,2,FALSE))</f>
        <v>A5035大W</v>
      </c>
      <c r="D478" s="8">
        <f>IF(B478="","",VLOOKUP(B478,小圆机汇总表!A:AP,7,FALSE))</f>
        <v>35</v>
      </c>
      <c r="E478" s="8" t="str">
        <f>IF(B478="","",VLOOKUP(B478,小圆机汇总表!A:AP,5,FALSE))</f>
        <v>白</v>
      </c>
      <c r="F478" s="8" t="str">
        <f>IF(B478="","",VLOOKUP(B478,小圆机汇总表!A:AP,8,FALSE))</f>
        <v>长乐</v>
      </c>
      <c r="G478" s="23">
        <v>43766</v>
      </c>
      <c r="H478" s="8">
        <v>322.8</v>
      </c>
      <c r="I478" s="8">
        <v>17</v>
      </c>
      <c r="K478" s="8" t="s">
        <v>2244</v>
      </c>
      <c r="L478" s="206"/>
      <c r="M478" s="250">
        <f t="shared" si="7"/>
        <v>10</v>
      </c>
    </row>
    <row r="479" spans="1:13" hidden="1" outlineLevel="1">
      <c r="A479" s="4">
        <v>479</v>
      </c>
      <c r="B479" s="8" t="s">
        <v>116</v>
      </c>
      <c r="C479" s="8" t="str">
        <f>IF(B479="","",VLOOKUP(B479,小圆机汇总表!A:AP,2,FALSE))</f>
        <v>B5036大W高温丝</v>
      </c>
      <c r="D479" s="8">
        <f>IF(B479="","",VLOOKUP(B479,小圆机汇总表!A:AP,7,FALSE))</f>
        <v>36</v>
      </c>
      <c r="E479" s="8" t="str">
        <f>IF(B479="","",VLOOKUP(B479,小圆机汇总表!A:AP,5,FALSE))</f>
        <v>白高温</v>
      </c>
      <c r="F479" s="8" t="str">
        <f>IF(B479="","",VLOOKUP(B479,小圆机汇总表!A:AP,8,FALSE))</f>
        <v>长乐</v>
      </c>
      <c r="G479" s="23">
        <v>43766</v>
      </c>
      <c r="H479" s="8">
        <v>942.2</v>
      </c>
      <c r="I479" s="8">
        <v>47</v>
      </c>
      <c r="K479" s="8" t="s">
        <v>2236</v>
      </c>
      <c r="L479" s="206"/>
      <c r="M479" s="250">
        <f t="shared" si="7"/>
        <v>10</v>
      </c>
    </row>
    <row r="480" spans="1:13" hidden="1" outlineLevel="1">
      <c r="A480" s="4">
        <v>480</v>
      </c>
      <c r="B480" s="8" t="s">
        <v>2469</v>
      </c>
      <c r="C480" s="8" t="str">
        <f>IF(B480="","",VLOOKUP(B480,小圆机汇总表!A:AP,2,FALSE))</f>
        <v>A5036斜乱平纹</v>
      </c>
      <c r="D480" s="8">
        <f>IF(B480="","",VLOOKUP(B480,小圆机汇总表!A:AP,7,FALSE))</f>
        <v>36</v>
      </c>
      <c r="E480" s="8" t="str">
        <f>IF(B480="","",VLOOKUP(B480,小圆机汇总表!A:AP,5,FALSE))</f>
        <v>白</v>
      </c>
      <c r="F480" s="8" t="str">
        <f>IF(B480="","",VLOOKUP(B480,小圆机汇总表!A:AP,8,FALSE))</f>
        <v>长乐</v>
      </c>
      <c r="G480" s="23">
        <v>43766</v>
      </c>
      <c r="H480" s="8">
        <v>117.6</v>
      </c>
      <c r="I480" s="8">
        <v>6</v>
      </c>
      <c r="K480" s="8" t="s">
        <v>2242</v>
      </c>
      <c r="L480" s="206"/>
      <c r="M480" s="250">
        <f t="shared" si="7"/>
        <v>10</v>
      </c>
    </row>
    <row r="481" spans="1:13" hidden="1" outlineLevel="1">
      <c r="A481" s="4">
        <v>481</v>
      </c>
      <c r="B481" s="8" t="s">
        <v>70</v>
      </c>
      <c r="C481" s="8" t="str">
        <f>IF(B481="","",VLOOKUP(B481,小圆机汇总表!A:AP,2,FALSE))</f>
        <v>A5038w</v>
      </c>
      <c r="D481" s="8">
        <f>IF(B481="","",VLOOKUP(B481,小圆机汇总表!A:AP,7,FALSE))</f>
        <v>38</v>
      </c>
      <c r="E481" s="8" t="str">
        <f>IF(B481="","",VLOOKUP(B481,小圆机汇总表!A:AP,5,FALSE))</f>
        <v>白</v>
      </c>
      <c r="F481" s="8" t="str">
        <f>IF(B481="","",VLOOKUP(B481,小圆机汇总表!A:AP,8,FALSE))</f>
        <v>长乐</v>
      </c>
      <c r="G481" s="23">
        <v>43766</v>
      </c>
      <c r="H481" s="8">
        <v>332.8</v>
      </c>
      <c r="I481" s="8">
        <v>17</v>
      </c>
      <c r="K481" s="8" t="s">
        <v>2244</v>
      </c>
      <c r="L481" s="206"/>
      <c r="M481" s="250">
        <f t="shared" si="7"/>
        <v>10</v>
      </c>
    </row>
    <row r="482" spans="1:13" hidden="1" outlineLevel="1">
      <c r="A482" s="4">
        <v>482</v>
      </c>
      <c r="B482" s="8" t="s">
        <v>741</v>
      </c>
      <c r="C482" s="8" t="str">
        <f>IF(B482="","",VLOOKUP(B482,小圆机汇总表!A:AP,2,FALSE))</f>
        <v>C5040w</v>
      </c>
      <c r="D482" s="8">
        <f>IF(B482="","",VLOOKUP(B482,小圆机汇总表!A:AP,7,FALSE))</f>
        <v>40</v>
      </c>
      <c r="E482" s="8" t="str">
        <f>IF(B482="","",VLOOKUP(B482,小圆机汇总表!A:AP,5,FALSE))</f>
        <v>白无温</v>
      </c>
      <c r="F482" s="8" t="str">
        <f>IF(B482="","",VLOOKUP(B482,小圆机汇总表!A:AP,8,FALSE))</f>
        <v>申久</v>
      </c>
      <c r="G482" s="23">
        <v>43766</v>
      </c>
      <c r="H482" s="8">
        <v>354.2</v>
      </c>
      <c r="I482" s="8">
        <v>18</v>
      </c>
      <c r="K482" s="8" t="s">
        <v>2245</v>
      </c>
      <c r="L482" s="206"/>
      <c r="M482" s="250">
        <f t="shared" si="7"/>
        <v>10</v>
      </c>
    </row>
    <row r="483" spans="1:13" hidden="1" outlineLevel="1">
      <c r="A483" s="4">
        <v>483</v>
      </c>
      <c r="B483" s="8" t="s">
        <v>749</v>
      </c>
      <c r="C483" s="8" t="str">
        <f>IF(B483="","",VLOOKUP(B483,小圆机汇总表!A:AP,2,FALSE))</f>
        <v>C7542大W 白丝</v>
      </c>
      <c r="D483" s="8">
        <f>IF(B483="","",VLOOKUP(B483,小圆机汇总表!A:AP,7,FALSE))</f>
        <v>42</v>
      </c>
      <c r="E483" s="8" t="str">
        <f>IF(B483="","",VLOOKUP(B483,小圆机汇总表!A:AP,5,FALSE))</f>
        <v>白高温</v>
      </c>
      <c r="F483" s="8" t="str">
        <f>IF(B483="","",VLOOKUP(B483,小圆机汇总表!A:AP,8,FALSE))</f>
        <v>申久</v>
      </c>
      <c r="G483" s="23">
        <v>43766</v>
      </c>
      <c r="H483" s="8">
        <v>361.6</v>
      </c>
      <c r="I483" s="8">
        <v>19</v>
      </c>
      <c r="K483" s="8" t="s">
        <v>2236</v>
      </c>
      <c r="L483" s="206"/>
      <c r="M483" s="250">
        <f t="shared" si="7"/>
        <v>10</v>
      </c>
    </row>
    <row r="484" spans="1:13" hidden="1" outlineLevel="1">
      <c r="A484" s="4">
        <v>484</v>
      </c>
      <c r="B484" s="8" t="s">
        <v>128</v>
      </c>
      <c r="C484" s="8" t="str">
        <f>IF(B484="","",VLOOKUP(B484,小圆机汇总表!A:AP,2,FALSE))</f>
        <v>A7545斜乱平纹</v>
      </c>
      <c r="D484" s="8">
        <f>IF(B484="","",VLOOKUP(B484,小圆机汇总表!A:AP,7,FALSE))</f>
        <v>45</v>
      </c>
      <c r="E484" s="8" t="str">
        <f>IF(B484="","",VLOOKUP(B484,小圆机汇总表!A:AP,5,FALSE))</f>
        <v>白</v>
      </c>
      <c r="F484" s="8" t="str">
        <f>IF(B484="","",VLOOKUP(B484,小圆机汇总表!A:AP,8,FALSE))</f>
        <v>长乐</v>
      </c>
      <c r="G484" s="23">
        <v>43766</v>
      </c>
      <c r="H484" s="8">
        <v>602.1</v>
      </c>
      <c r="I484" s="8">
        <v>30</v>
      </c>
      <c r="K484" s="8" t="s">
        <v>2242</v>
      </c>
      <c r="L484" s="206"/>
      <c r="M484" s="250">
        <f t="shared" si="7"/>
        <v>10</v>
      </c>
    </row>
    <row r="485" spans="1:13" hidden="1" outlineLevel="1">
      <c r="A485" s="4">
        <v>485</v>
      </c>
      <c r="B485" s="8" t="s">
        <v>129</v>
      </c>
      <c r="C485" s="8" t="str">
        <f>IF(B485="","",VLOOKUP(B485,小圆机汇总表!A:AP,2,FALSE))</f>
        <v>A7548斜乱平纹</v>
      </c>
      <c r="D485" s="8">
        <f>IF(B485="","",VLOOKUP(B485,小圆机汇总表!A:AP,7,FALSE))</f>
        <v>48</v>
      </c>
      <c r="E485" s="8" t="str">
        <f>IF(B485="","",VLOOKUP(B485,小圆机汇总表!A:AP,5,FALSE))</f>
        <v>白高温</v>
      </c>
      <c r="F485" s="8" t="str">
        <f>IF(B485="","",VLOOKUP(B485,小圆机汇总表!A:AP,8,FALSE))</f>
        <v>长乐</v>
      </c>
      <c r="G485" s="23">
        <v>43766</v>
      </c>
      <c r="H485" s="8">
        <v>302.89999999999998</v>
      </c>
      <c r="I485" s="8">
        <v>15</v>
      </c>
      <c r="K485" s="8" t="s">
        <v>2237</v>
      </c>
      <c r="L485" s="206"/>
      <c r="M485" s="250">
        <f t="shared" si="7"/>
        <v>10</v>
      </c>
    </row>
    <row r="486" spans="1:13" hidden="1" outlineLevel="1">
      <c r="A486" s="4">
        <v>486</v>
      </c>
      <c r="B486" s="8" t="s">
        <v>104</v>
      </c>
      <c r="C486" s="8" t="str">
        <f>IF(B486="","",VLOOKUP(B486,小圆机汇总表!A:AP,2,FALSE))</f>
        <v>B7549w</v>
      </c>
      <c r="D486" s="8">
        <f>IF(B486="","",VLOOKUP(B486,小圆机汇总表!A:AP,7,FALSE))</f>
        <v>49</v>
      </c>
      <c r="E486" s="8" t="str">
        <f>IF(B486="","",VLOOKUP(B486,小圆机汇总表!A:AP,5,FALSE))</f>
        <v>白</v>
      </c>
      <c r="F486" s="8" t="str">
        <f>IF(B486="","",VLOOKUP(B486,小圆机汇总表!A:AP,8,FALSE))</f>
        <v>长乐</v>
      </c>
      <c r="G486" s="23">
        <v>43766</v>
      </c>
      <c r="H486" s="8">
        <v>362.4</v>
      </c>
      <c r="I486" s="8">
        <v>18</v>
      </c>
      <c r="K486" s="8" t="s">
        <v>2240</v>
      </c>
      <c r="L486" s="206"/>
      <c r="M486" s="250">
        <f t="shared" si="7"/>
        <v>10</v>
      </c>
    </row>
    <row r="487" spans="1:13" hidden="1" outlineLevel="1">
      <c r="A487" s="4">
        <v>487</v>
      </c>
      <c r="B487" s="8" t="s">
        <v>1776</v>
      </c>
      <c r="C487" s="8" t="str">
        <f>IF(B487="","",VLOOKUP(B487,小圆机汇总表!A:AP,2,FALSE))</f>
        <v>B3023乱平纹</v>
      </c>
      <c r="D487" s="8">
        <f>IF(B487="","",VLOOKUP(B487,小圆机汇总表!A:AP,7,FALSE))</f>
        <v>23</v>
      </c>
      <c r="E487" s="8" t="str">
        <f>IF(B487="","",VLOOKUP(B487,小圆机汇总表!A:AP,5,FALSE))</f>
        <v>白</v>
      </c>
      <c r="F487" s="8" t="str">
        <f>IF(B487="","",VLOOKUP(B487,小圆机汇总表!A:AP,8,FALSE))</f>
        <v>恒力</v>
      </c>
      <c r="G487" s="23">
        <v>43767</v>
      </c>
      <c r="H487" s="8">
        <v>40</v>
      </c>
      <c r="I487" s="8">
        <v>2</v>
      </c>
      <c r="K487" s="8" t="s">
        <v>252</v>
      </c>
      <c r="L487" s="177">
        <v>1</v>
      </c>
      <c r="M487" s="250">
        <f t="shared" si="7"/>
        <v>10</v>
      </c>
    </row>
    <row r="488" spans="1:13" hidden="1" outlineLevel="1">
      <c r="A488" s="4">
        <v>488</v>
      </c>
      <c r="B488" s="8" t="s">
        <v>1779</v>
      </c>
      <c r="C488" s="8" t="str">
        <f>IF(B488="","",VLOOKUP(B488,小圆机汇总表!A:AP,2,FALSE))</f>
        <v>B3023大W</v>
      </c>
      <c r="D488" s="8">
        <f>IF(B488="","",VLOOKUP(B488,小圆机汇总表!A:AP,7,FALSE))</f>
        <v>23</v>
      </c>
      <c r="E488" s="8" t="str">
        <f>IF(B488="","",VLOOKUP(B488,小圆机汇总表!A:AP,5,FALSE))</f>
        <v>白</v>
      </c>
      <c r="F488" s="8" t="str">
        <f>IF(B488="","",VLOOKUP(B488,小圆机汇总表!A:AP,8,FALSE))</f>
        <v>银宇</v>
      </c>
      <c r="G488" s="23">
        <v>43767</v>
      </c>
      <c r="H488" s="8">
        <v>113.7</v>
      </c>
      <c r="I488" s="8">
        <v>6</v>
      </c>
      <c r="K488" s="8" t="s">
        <v>2462</v>
      </c>
      <c r="L488" s="206">
        <v>2</v>
      </c>
      <c r="M488" s="250">
        <f t="shared" si="7"/>
        <v>10</v>
      </c>
    </row>
    <row r="489" spans="1:13" hidden="1" outlineLevel="1">
      <c r="A489" s="4">
        <v>489</v>
      </c>
      <c r="B489" s="8" t="s">
        <v>122</v>
      </c>
      <c r="C489" s="8" t="str">
        <f>IF(B489="","",VLOOKUP(B489,小圆机汇总表!A:AP,2,FALSE))</f>
        <v>B5034大W</v>
      </c>
      <c r="D489" s="8">
        <f>IF(B489="","",VLOOKUP(B489,小圆机汇总表!A:AP,7,FALSE))</f>
        <v>34</v>
      </c>
      <c r="E489" s="8" t="str">
        <f>IF(B489="","",VLOOKUP(B489,小圆机汇总表!A:AP,5,FALSE))</f>
        <v>白高温</v>
      </c>
      <c r="F489" s="8" t="str">
        <f>IF(B489="","",VLOOKUP(B489,小圆机汇总表!A:AP,8,FALSE))</f>
        <v>长乐</v>
      </c>
      <c r="G489" s="23">
        <v>43767</v>
      </c>
      <c r="H489" s="8">
        <v>279.39999999999998</v>
      </c>
      <c r="I489" s="8">
        <v>14</v>
      </c>
      <c r="K489" s="8" t="s">
        <v>2236</v>
      </c>
      <c r="L489" s="206">
        <v>4</v>
      </c>
      <c r="M489" s="250">
        <f t="shared" si="7"/>
        <v>10</v>
      </c>
    </row>
    <row r="490" spans="1:13" hidden="1" outlineLevel="1">
      <c r="A490" s="4">
        <v>490</v>
      </c>
      <c r="B490" s="8" t="s">
        <v>123</v>
      </c>
      <c r="C490" s="8" t="str">
        <f>IF(B490="","",VLOOKUP(B490,小圆机汇总表!A:AP,2,FALSE))</f>
        <v>B7539斜乱平纹</v>
      </c>
      <c r="D490" s="8">
        <f>IF(B490="","",VLOOKUP(B490,小圆机汇总表!A:AP,7,FALSE))</f>
        <v>39</v>
      </c>
      <c r="E490" s="8" t="str">
        <f>IF(B490="","",VLOOKUP(B490,小圆机汇总表!A:AP,5,FALSE))</f>
        <v>白</v>
      </c>
      <c r="F490" s="8" t="str">
        <f>IF(B490="","",VLOOKUP(B490,小圆机汇总表!A:AP,8,FALSE))</f>
        <v>盛元</v>
      </c>
      <c r="G490" s="23">
        <v>43767</v>
      </c>
      <c r="H490" s="8">
        <v>266.5</v>
      </c>
      <c r="I490" s="8">
        <v>13</v>
      </c>
      <c r="K490" s="8" t="s">
        <v>2237</v>
      </c>
      <c r="L490" s="206">
        <v>2</v>
      </c>
      <c r="M490" s="250">
        <f t="shared" si="7"/>
        <v>10</v>
      </c>
    </row>
    <row r="491" spans="1:13" hidden="1" outlineLevel="1">
      <c r="A491" s="4">
        <v>491</v>
      </c>
      <c r="B491" s="8" t="s">
        <v>80</v>
      </c>
      <c r="C491" s="8" t="str">
        <f>IF(B491="","",VLOOKUP(B491,小圆机汇总表!A:AP,2,FALSE))</f>
        <v>C5034w</v>
      </c>
      <c r="D491" s="8">
        <f>IF(B491="","",VLOOKUP(B491,小圆机汇总表!A:AP,7,FALSE))</f>
        <v>34</v>
      </c>
      <c r="E491" s="8" t="str">
        <f>IF(B491="","",VLOOKUP(B491,小圆机汇总表!A:AP,5,FALSE))</f>
        <v>白</v>
      </c>
      <c r="F491" s="8" t="str">
        <f>IF(B491="","",VLOOKUP(B491,小圆机汇总表!A:AP,8,FALSE))</f>
        <v>长乐</v>
      </c>
      <c r="G491" s="23">
        <v>43767</v>
      </c>
      <c r="H491" s="8">
        <v>113.8</v>
      </c>
      <c r="I491" s="8">
        <v>6</v>
      </c>
      <c r="K491" s="8" t="s">
        <v>2238</v>
      </c>
      <c r="L491" s="206">
        <v>1</v>
      </c>
      <c r="M491" s="250">
        <f t="shared" si="7"/>
        <v>10</v>
      </c>
    </row>
    <row r="492" spans="1:13" hidden="1" outlineLevel="1">
      <c r="A492" s="4">
        <v>492</v>
      </c>
      <c r="B492" s="8" t="s">
        <v>125</v>
      </c>
      <c r="C492" s="8" t="str">
        <f>IF(B492="","",VLOOKUP(B492,小圆机汇总表!A:AP,2,FALSE))</f>
        <v>A5035w黑</v>
      </c>
      <c r="D492" s="8">
        <f>IF(B492="","",VLOOKUP(B492,小圆机汇总表!A:AP,7,FALSE))</f>
        <v>35</v>
      </c>
      <c r="E492" s="8" t="str">
        <f>IF(B492="","",VLOOKUP(B492,小圆机汇总表!A:AP,5,FALSE))</f>
        <v>黑</v>
      </c>
      <c r="F492" s="8" t="str">
        <f>IF(B492="","",VLOOKUP(B492,小圆机汇总表!A:AP,8,FALSE))</f>
        <v>固力</v>
      </c>
      <c r="G492" s="23">
        <v>43767</v>
      </c>
      <c r="H492" s="8">
        <v>1046</v>
      </c>
      <c r="I492" s="8">
        <f>20+24+4</f>
        <v>48</v>
      </c>
      <c r="K492" s="8" t="s">
        <v>2240</v>
      </c>
      <c r="L492" s="206">
        <v>12</v>
      </c>
      <c r="M492" s="250">
        <f t="shared" si="7"/>
        <v>10</v>
      </c>
    </row>
    <row r="493" spans="1:13" hidden="1" outlineLevel="1">
      <c r="A493" s="4">
        <v>493</v>
      </c>
      <c r="B493" s="8" t="s">
        <v>45</v>
      </c>
      <c r="C493" s="8" t="str">
        <f>IF(B493="","",VLOOKUP(B493,小圆机汇总表!A:AP,2,FALSE))</f>
        <v>A5035w</v>
      </c>
      <c r="D493" s="8">
        <f>IF(B493="","",VLOOKUP(B493,小圆机汇总表!A:AP,7,FALSE))</f>
        <v>35</v>
      </c>
      <c r="E493" s="8" t="str">
        <f>IF(B493="","",VLOOKUP(B493,小圆机汇总表!A:AP,5,FALSE))</f>
        <v>白</v>
      </c>
      <c r="F493" s="8" t="str">
        <f>IF(B493="","",VLOOKUP(B493,小圆机汇总表!A:AP,8,FALSE))</f>
        <v>长乐</v>
      </c>
      <c r="G493" s="23">
        <v>43767</v>
      </c>
      <c r="H493" s="8">
        <v>596.20000000000005</v>
      </c>
      <c r="I493" s="8">
        <v>30</v>
      </c>
      <c r="K493" s="8" t="s">
        <v>2241</v>
      </c>
      <c r="L493" s="206">
        <v>9</v>
      </c>
      <c r="M493" s="250">
        <f t="shared" si="7"/>
        <v>10</v>
      </c>
    </row>
    <row r="494" spans="1:13" hidden="1" outlineLevel="1">
      <c r="A494" s="4">
        <v>494</v>
      </c>
      <c r="B494" s="8" t="s">
        <v>737</v>
      </c>
      <c r="C494" s="8" t="str">
        <f>IF(B494="","",VLOOKUP(B494,小圆机汇总表!A:AP,2,FALSE))</f>
        <v>A5035大W</v>
      </c>
      <c r="D494" s="8">
        <f>IF(B494="","",VLOOKUP(B494,小圆机汇总表!A:AP,7,FALSE))</f>
        <v>35</v>
      </c>
      <c r="E494" s="8" t="str">
        <f>IF(B494="","",VLOOKUP(B494,小圆机汇总表!A:AP,5,FALSE))</f>
        <v>白</v>
      </c>
      <c r="F494" s="8" t="str">
        <f>IF(B494="","",VLOOKUP(B494,小圆机汇总表!A:AP,8,FALSE))</f>
        <v>长乐</v>
      </c>
      <c r="G494" s="23">
        <v>43767</v>
      </c>
      <c r="H494" s="8">
        <v>229.4</v>
      </c>
      <c r="I494" s="8">
        <v>12</v>
      </c>
      <c r="K494" s="8" t="s">
        <v>2243</v>
      </c>
      <c r="L494" s="206">
        <v>2</v>
      </c>
      <c r="M494" s="250">
        <f t="shared" si="7"/>
        <v>10</v>
      </c>
    </row>
    <row r="495" spans="1:13" hidden="1" outlineLevel="1">
      <c r="A495" s="4">
        <v>495</v>
      </c>
      <c r="B495" s="8" t="s">
        <v>116</v>
      </c>
      <c r="C495" s="8" t="str">
        <f>IF(B495="","",VLOOKUP(B495,小圆机汇总表!A:AP,2,FALSE))</f>
        <v>B5036大W高温丝</v>
      </c>
      <c r="D495" s="8">
        <f>IF(B495="","",VLOOKUP(B495,小圆机汇总表!A:AP,7,FALSE))</f>
        <v>36</v>
      </c>
      <c r="E495" s="8" t="str">
        <f>IF(B495="","",VLOOKUP(B495,小圆机汇总表!A:AP,5,FALSE))</f>
        <v>白高温</v>
      </c>
      <c r="F495" s="8" t="str">
        <f>IF(B495="","",VLOOKUP(B495,小圆机汇总表!A:AP,8,FALSE))</f>
        <v>长乐</v>
      </c>
      <c r="G495" s="23">
        <v>43767</v>
      </c>
      <c r="H495" s="8">
        <v>903.8</v>
      </c>
      <c r="I495" s="8">
        <v>45</v>
      </c>
      <c r="K495" s="8" t="s">
        <v>2236</v>
      </c>
      <c r="L495" s="206">
        <v>15</v>
      </c>
      <c r="M495" s="250">
        <f t="shared" si="7"/>
        <v>10</v>
      </c>
    </row>
    <row r="496" spans="1:13" hidden="1" outlineLevel="1">
      <c r="A496" s="4">
        <v>496</v>
      </c>
      <c r="B496" s="8" t="s">
        <v>2469</v>
      </c>
      <c r="C496" s="8" t="str">
        <f>IF(B496="","",VLOOKUP(B496,小圆机汇总表!A:AP,2,FALSE))</f>
        <v>A5036斜乱平纹</v>
      </c>
      <c r="D496" s="8">
        <f>IF(B496="","",VLOOKUP(B496,小圆机汇总表!A:AP,7,FALSE))</f>
        <v>36</v>
      </c>
      <c r="E496" s="8" t="str">
        <f>IF(B496="","",VLOOKUP(B496,小圆机汇总表!A:AP,5,FALSE))</f>
        <v>白</v>
      </c>
      <c r="F496" s="8" t="str">
        <f>IF(B496="","",VLOOKUP(B496,小圆机汇总表!A:AP,8,FALSE))</f>
        <v>长乐</v>
      </c>
      <c r="G496" s="23">
        <v>43767</v>
      </c>
      <c r="H496" s="8">
        <v>117.4</v>
      </c>
      <c r="I496" s="8">
        <v>6</v>
      </c>
      <c r="K496" s="8" t="s">
        <v>2242</v>
      </c>
      <c r="L496" s="206">
        <v>2</v>
      </c>
      <c r="M496" s="250">
        <f t="shared" si="7"/>
        <v>10</v>
      </c>
    </row>
    <row r="497" spans="1:13" hidden="1" outlineLevel="1">
      <c r="A497" s="4">
        <v>497</v>
      </c>
      <c r="B497" s="8" t="s">
        <v>70</v>
      </c>
      <c r="C497" s="8" t="str">
        <f>IF(B497="","",VLOOKUP(B497,小圆机汇总表!A:AP,2,FALSE))</f>
        <v>A5038w</v>
      </c>
      <c r="D497" s="8">
        <f>IF(B497="","",VLOOKUP(B497,小圆机汇总表!A:AP,7,FALSE))</f>
        <v>38</v>
      </c>
      <c r="E497" s="8" t="str">
        <f>IF(B497="","",VLOOKUP(B497,小圆机汇总表!A:AP,5,FALSE))</f>
        <v>白</v>
      </c>
      <c r="F497" s="8" t="str">
        <f>IF(B497="","",VLOOKUP(B497,小圆机汇总表!A:AP,8,FALSE))</f>
        <v>长乐</v>
      </c>
      <c r="G497" s="23">
        <v>43767</v>
      </c>
      <c r="H497" s="8">
        <v>134.69999999999999</v>
      </c>
      <c r="I497" s="8">
        <v>7</v>
      </c>
      <c r="K497" s="8" t="s">
        <v>2244</v>
      </c>
      <c r="L497" s="206">
        <v>0</v>
      </c>
      <c r="M497" s="250">
        <f t="shared" si="7"/>
        <v>10</v>
      </c>
    </row>
    <row r="498" spans="1:13" hidden="1" outlineLevel="1">
      <c r="A498" s="4">
        <v>498</v>
      </c>
      <c r="B498" s="8" t="s">
        <v>741</v>
      </c>
      <c r="C498" s="8" t="str">
        <f>IF(B498="","",VLOOKUP(B498,小圆机汇总表!A:AP,2,FALSE))</f>
        <v>C5040w</v>
      </c>
      <c r="D498" s="8">
        <f>IF(B498="","",VLOOKUP(B498,小圆机汇总表!A:AP,7,FALSE))</f>
        <v>40</v>
      </c>
      <c r="E498" s="8" t="str">
        <f>IF(B498="","",VLOOKUP(B498,小圆机汇总表!A:AP,5,FALSE))</f>
        <v>白无温</v>
      </c>
      <c r="F498" s="8" t="str">
        <f>IF(B498="","",VLOOKUP(B498,小圆机汇总表!A:AP,8,FALSE))</f>
        <v>申久</v>
      </c>
      <c r="G498" s="23">
        <v>43767</v>
      </c>
      <c r="H498" s="8">
        <v>373.4</v>
      </c>
      <c r="I498" s="8">
        <v>19</v>
      </c>
      <c r="K498" s="8" t="s">
        <v>2245</v>
      </c>
      <c r="L498" s="206">
        <v>5</v>
      </c>
      <c r="M498" s="250">
        <f t="shared" si="7"/>
        <v>10</v>
      </c>
    </row>
    <row r="499" spans="1:13" hidden="1" outlineLevel="1">
      <c r="A499" s="4">
        <v>499</v>
      </c>
      <c r="B499" s="8" t="s">
        <v>2304</v>
      </c>
      <c r="C499" s="8" t="str">
        <f>IF(B499="","",VLOOKUP(B499,小圆机汇总表!A:AP,2,FALSE))</f>
        <v>A5038大W</v>
      </c>
      <c r="D499" s="8">
        <f>IF(B499="","",VLOOKUP(B499,小圆机汇总表!A:AP,7,FALSE))</f>
        <v>38</v>
      </c>
      <c r="E499" s="8" t="str">
        <f>IF(B499="","",VLOOKUP(B499,小圆机汇总表!A:AP,5,FALSE))</f>
        <v>白</v>
      </c>
      <c r="F499" s="8" t="str">
        <f>IF(B499="","",VLOOKUP(B499,小圆机汇总表!A:AP,8,FALSE))</f>
        <v>长乐</v>
      </c>
      <c r="G499" s="23">
        <v>43767</v>
      </c>
      <c r="H499" s="8">
        <v>83.8</v>
      </c>
      <c r="I499" s="8">
        <v>4</v>
      </c>
      <c r="K499" s="8" t="s">
        <v>2243</v>
      </c>
      <c r="L499" s="206">
        <v>2</v>
      </c>
      <c r="M499" s="250">
        <f t="shared" si="7"/>
        <v>10</v>
      </c>
    </row>
    <row r="500" spans="1:13" hidden="1" outlineLevel="1">
      <c r="A500" s="4">
        <v>500</v>
      </c>
      <c r="B500" s="8" t="s">
        <v>749</v>
      </c>
      <c r="C500" s="8" t="str">
        <f>IF(B500="","",VLOOKUP(B500,小圆机汇总表!A:AP,2,FALSE))</f>
        <v>C7542大W 白丝</v>
      </c>
      <c r="D500" s="8">
        <f>IF(B500="","",VLOOKUP(B500,小圆机汇总表!A:AP,7,FALSE))</f>
        <v>42</v>
      </c>
      <c r="E500" s="8" t="str">
        <f>IF(B500="","",VLOOKUP(B500,小圆机汇总表!A:AP,5,FALSE))</f>
        <v>白高温</v>
      </c>
      <c r="F500" s="8" t="str">
        <f>IF(B500="","",VLOOKUP(B500,小圆机汇总表!A:AP,8,FALSE))</f>
        <v>申久</v>
      </c>
      <c r="G500" s="23">
        <v>43767</v>
      </c>
      <c r="H500" s="8">
        <v>423.7</v>
      </c>
      <c r="I500" s="8">
        <v>21</v>
      </c>
      <c r="K500" s="8" t="s">
        <v>2236</v>
      </c>
      <c r="L500" s="206">
        <v>4</v>
      </c>
      <c r="M500" s="250">
        <f t="shared" si="7"/>
        <v>10</v>
      </c>
    </row>
    <row r="501" spans="1:13" hidden="1" outlineLevel="1">
      <c r="A501" s="4">
        <v>501</v>
      </c>
      <c r="B501" s="8" t="s">
        <v>128</v>
      </c>
      <c r="C501" s="8" t="str">
        <f>IF(B501="","",VLOOKUP(B501,小圆机汇总表!A:AP,2,FALSE))</f>
        <v>A7545斜乱平纹</v>
      </c>
      <c r="D501" s="8">
        <f>IF(B501="","",VLOOKUP(B501,小圆机汇总表!A:AP,7,FALSE))</f>
        <v>45</v>
      </c>
      <c r="E501" s="8" t="str">
        <f>IF(B501="","",VLOOKUP(B501,小圆机汇总表!A:AP,5,FALSE))</f>
        <v>白</v>
      </c>
      <c r="F501" s="8" t="str">
        <f>IF(B501="","",VLOOKUP(B501,小圆机汇总表!A:AP,8,FALSE))</f>
        <v>长乐</v>
      </c>
      <c r="G501" s="23">
        <v>43767</v>
      </c>
      <c r="H501" s="8">
        <v>622.1</v>
      </c>
      <c r="I501" s="8">
        <v>31</v>
      </c>
      <c r="K501" s="8" t="s">
        <v>2242</v>
      </c>
      <c r="L501" s="206">
        <v>4</v>
      </c>
      <c r="M501" s="250">
        <f t="shared" si="7"/>
        <v>10</v>
      </c>
    </row>
    <row r="502" spans="1:13" hidden="1" outlineLevel="1">
      <c r="A502" s="4">
        <v>502</v>
      </c>
      <c r="B502" s="8" t="s">
        <v>129</v>
      </c>
      <c r="C502" s="8" t="str">
        <f>IF(B502="","",VLOOKUP(B502,小圆机汇总表!A:AP,2,FALSE))</f>
        <v>A7548斜乱平纹</v>
      </c>
      <c r="D502" s="8">
        <f>IF(B502="","",VLOOKUP(B502,小圆机汇总表!A:AP,7,FALSE))</f>
        <v>48</v>
      </c>
      <c r="E502" s="8" t="str">
        <f>IF(B502="","",VLOOKUP(B502,小圆机汇总表!A:AP,5,FALSE))</f>
        <v>白高温</v>
      </c>
      <c r="F502" s="8" t="str">
        <f>IF(B502="","",VLOOKUP(B502,小圆机汇总表!A:AP,8,FALSE))</f>
        <v>长乐</v>
      </c>
      <c r="G502" s="23">
        <v>43767</v>
      </c>
      <c r="H502" s="8">
        <v>262.7</v>
      </c>
      <c r="I502" s="8">
        <v>13</v>
      </c>
      <c r="K502" s="8" t="s">
        <v>2237</v>
      </c>
      <c r="L502" s="206">
        <v>2</v>
      </c>
      <c r="M502" s="250">
        <f t="shared" si="7"/>
        <v>10</v>
      </c>
    </row>
    <row r="503" spans="1:13" hidden="1" outlineLevel="1">
      <c r="A503" s="4">
        <v>503</v>
      </c>
      <c r="B503" s="8" t="s">
        <v>104</v>
      </c>
      <c r="C503" s="8" t="str">
        <f>IF(B503="","",VLOOKUP(B503,小圆机汇总表!A:AP,2,FALSE))</f>
        <v>B7549w</v>
      </c>
      <c r="D503" s="8">
        <f>IF(B503="","",VLOOKUP(B503,小圆机汇总表!A:AP,7,FALSE))</f>
        <v>49</v>
      </c>
      <c r="E503" s="8" t="str">
        <f>IF(B503="","",VLOOKUP(B503,小圆机汇总表!A:AP,5,FALSE))</f>
        <v>白</v>
      </c>
      <c r="F503" s="8" t="str">
        <f>IF(B503="","",VLOOKUP(B503,小圆机汇总表!A:AP,8,FALSE))</f>
        <v>长乐</v>
      </c>
      <c r="G503" s="23">
        <v>43767</v>
      </c>
      <c r="H503" s="8">
        <v>362.4</v>
      </c>
      <c r="I503" s="8">
        <v>18</v>
      </c>
      <c r="K503" s="8" t="s">
        <v>2240</v>
      </c>
      <c r="L503" s="206">
        <v>3</v>
      </c>
      <c r="M503" s="250">
        <f t="shared" si="7"/>
        <v>10</v>
      </c>
    </row>
    <row r="504" spans="1:13" hidden="1" outlineLevel="1">
      <c r="A504" s="4">
        <v>504</v>
      </c>
      <c r="B504" s="8" t="s">
        <v>1776</v>
      </c>
      <c r="C504" s="8" t="str">
        <f>IF(B504="","",VLOOKUP(B504,小圆机汇总表!A:AP,2,FALSE))</f>
        <v>B3023乱平纹</v>
      </c>
      <c r="D504" s="8">
        <f>IF(B504="","",VLOOKUP(B504,小圆机汇总表!A:AP,7,FALSE))</f>
        <v>23</v>
      </c>
      <c r="E504" s="8" t="str">
        <f>IF(B504="","",VLOOKUP(B504,小圆机汇总表!A:AP,5,FALSE))</f>
        <v>白</v>
      </c>
      <c r="F504" s="8" t="str">
        <f>IF(B504="","",VLOOKUP(B504,小圆机汇总表!A:AP,8,FALSE))</f>
        <v>恒力</v>
      </c>
      <c r="G504" s="23">
        <v>43768</v>
      </c>
      <c r="H504" s="8">
        <v>32.6</v>
      </c>
      <c r="I504" s="8">
        <v>2</v>
      </c>
      <c r="K504" s="8" t="s">
        <v>252</v>
      </c>
      <c r="M504" s="250">
        <f t="shared" si="7"/>
        <v>10</v>
      </c>
    </row>
    <row r="505" spans="1:13" hidden="1" outlineLevel="1">
      <c r="A505" s="4">
        <v>505</v>
      </c>
      <c r="B505" s="8" t="s">
        <v>1779</v>
      </c>
      <c r="C505" s="8" t="str">
        <f>IF(B505="","",VLOOKUP(B505,小圆机汇总表!A:AP,2,FALSE))</f>
        <v>B3023大W</v>
      </c>
      <c r="D505" s="8">
        <f>IF(B505="","",VLOOKUP(B505,小圆机汇总表!A:AP,7,FALSE))</f>
        <v>23</v>
      </c>
      <c r="E505" s="8" t="str">
        <f>IF(B505="","",VLOOKUP(B505,小圆机汇总表!A:AP,5,FALSE))</f>
        <v>白</v>
      </c>
      <c r="F505" s="8" t="str">
        <f>IF(B505="","",VLOOKUP(B505,小圆机汇总表!A:AP,8,FALSE))</f>
        <v>银宇</v>
      </c>
      <c r="G505" s="23">
        <v>43768</v>
      </c>
      <c r="H505" s="8">
        <v>114</v>
      </c>
      <c r="I505" s="8">
        <v>6</v>
      </c>
      <c r="K505" s="8" t="s">
        <v>2530</v>
      </c>
      <c r="M505" s="250">
        <f t="shared" si="7"/>
        <v>10</v>
      </c>
    </row>
    <row r="506" spans="1:13" hidden="1" outlineLevel="1">
      <c r="A506" s="4">
        <v>506</v>
      </c>
      <c r="B506" s="8" t="s">
        <v>122</v>
      </c>
      <c r="C506" s="8" t="str">
        <f>IF(B506="","",VLOOKUP(B506,小圆机汇总表!A:AP,2,FALSE))</f>
        <v>B5034大W</v>
      </c>
      <c r="D506" s="8">
        <f>IF(B506="","",VLOOKUP(B506,小圆机汇总表!A:AP,7,FALSE))</f>
        <v>34</v>
      </c>
      <c r="E506" s="8" t="str">
        <f>IF(B506="","",VLOOKUP(B506,小圆机汇总表!A:AP,5,FALSE))</f>
        <v>白高温</v>
      </c>
      <c r="F506" s="8" t="str">
        <f>IF(B506="","",VLOOKUP(B506,小圆机汇总表!A:AP,8,FALSE))</f>
        <v>长乐</v>
      </c>
      <c r="G506" s="23">
        <v>43768</v>
      </c>
      <c r="H506" s="8">
        <v>93.8</v>
      </c>
      <c r="I506" s="8">
        <v>5</v>
      </c>
      <c r="K506" s="8" t="s">
        <v>2531</v>
      </c>
      <c r="M506" s="250">
        <f t="shared" si="7"/>
        <v>10</v>
      </c>
    </row>
    <row r="507" spans="1:13" hidden="1" outlineLevel="1">
      <c r="A507" s="4">
        <v>507</v>
      </c>
      <c r="B507" s="8" t="s">
        <v>123</v>
      </c>
      <c r="C507" s="8" t="str">
        <f>IF(B507="","",VLOOKUP(B507,小圆机汇总表!A:AP,2,FALSE))</f>
        <v>B7539斜乱平纹</v>
      </c>
      <c r="D507" s="8">
        <f>IF(B507="","",VLOOKUP(B507,小圆机汇总表!A:AP,7,FALSE))</f>
        <v>39</v>
      </c>
      <c r="E507" s="8" t="str">
        <f>IF(B507="","",VLOOKUP(B507,小圆机汇总表!A:AP,5,FALSE))</f>
        <v>白</v>
      </c>
      <c r="F507" s="8" t="str">
        <f>IF(B507="","",VLOOKUP(B507,小圆机汇总表!A:AP,8,FALSE))</f>
        <v>盛元</v>
      </c>
      <c r="G507" s="23">
        <v>43768</v>
      </c>
      <c r="H507" s="8">
        <v>143.5</v>
      </c>
      <c r="I507" s="8">
        <v>7</v>
      </c>
      <c r="K507" s="8" t="s">
        <v>2532</v>
      </c>
      <c r="M507" s="250">
        <f t="shared" si="7"/>
        <v>10</v>
      </c>
    </row>
    <row r="508" spans="1:13" hidden="1" outlineLevel="1">
      <c r="A508" s="4">
        <v>508</v>
      </c>
      <c r="B508" s="8" t="s">
        <v>80</v>
      </c>
      <c r="C508" s="8" t="str">
        <f>IF(B508="","",VLOOKUP(B508,小圆机汇总表!A:AP,2,FALSE))</f>
        <v>C5034w</v>
      </c>
      <c r="D508" s="8">
        <f>IF(B508="","",VLOOKUP(B508,小圆机汇总表!A:AP,7,FALSE))</f>
        <v>34</v>
      </c>
      <c r="E508" s="8" t="str">
        <f>IF(B508="","",VLOOKUP(B508,小圆机汇总表!A:AP,5,FALSE))</f>
        <v>白</v>
      </c>
      <c r="F508" s="8" t="str">
        <f>IF(B508="","",VLOOKUP(B508,小圆机汇总表!A:AP,8,FALSE))</f>
        <v>长乐</v>
      </c>
      <c r="G508" s="23">
        <v>43768</v>
      </c>
      <c r="H508" s="8">
        <v>56.1</v>
      </c>
      <c r="I508" s="8">
        <v>3</v>
      </c>
      <c r="K508" s="8" t="s">
        <v>2533</v>
      </c>
      <c r="M508" s="250">
        <f t="shared" si="7"/>
        <v>10</v>
      </c>
    </row>
    <row r="509" spans="1:13" hidden="1" outlineLevel="1">
      <c r="A509" s="4">
        <v>509</v>
      </c>
      <c r="B509" s="8" t="s">
        <v>125</v>
      </c>
      <c r="C509" s="8" t="str">
        <f>IF(B509="","",VLOOKUP(B509,小圆机汇总表!A:AP,2,FALSE))</f>
        <v>A5035w黑</v>
      </c>
      <c r="D509" s="8">
        <f>IF(B509="","",VLOOKUP(B509,小圆机汇总表!A:AP,7,FALSE))</f>
        <v>35</v>
      </c>
      <c r="E509" s="8" t="str">
        <f>IF(B509="","",VLOOKUP(B509,小圆机汇总表!A:AP,5,FALSE))</f>
        <v>黑</v>
      </c>
      <c r="F509" s="8" t="str">
        <f>IF(B509="","",VLOOKUP(B509,小圆机汇总表!A:AP,8,FALSE))</f>
        <v>固力</v>
      </c>
      <c r="G509" s="23">
        <v>43768</v>
      </c>
      <c r="H509" s="8">
        <v>1167.8</v>
      </c>
      <c r="I509" s="8">
        <f>22+26+5</f>
        <v>53</v>
      </c>
      <c r="K509" s="8" t="s">
        <v>2534</v>
      </c>
      <c r="M509" s="250">
        <f t="shared" si="7"/>
        <v>10</v>
      </c>
    </row>
    <row r="510" spans="1:13" hidden="1" outlineLevel="1">
      <c r="A510" s="4">
        <v>510</v>
      </c>
      <c r="B510" s="8" t="s">
        <v>45</v>
      </c>
      <c r="C510" s="8" t="str">
        <f>IF(B510="","",VLOOKUP(B510,小圆机汇总表!A:AP,2,FALSE))</f>
        <v>A5035w</v>
      </c>
      <c r="D510" s="8">
        <f>IF(B510="","",VLOOKUP(B510,小圆机汇总表!A:AP,7,FALSE))</f>
        <v>35</v>
      </c>
      <c r="E510" s="8" t="str">
        <f>IF(B510="","",VLOOKUP(B510,小圆机汇总表!A:AP,5,FALSE))</f>
        <v>白</v>
      </c>
      <c r="F510" s="8" t="str">
        <f>IF(B510="","",VLOOKUP(B510,小圆机汇总表!A:AP,8,FALSE))</f>
        <v>长乐</v>
      </c>
      <c r="G510" s="23">
        <v>43768</v>
      </c>
      <c r="H510" s="8">
        <v>744.4</v>
      </c>
      <c r="I510" s="8">
        <v>37</v>
      </c>
      <c r="K510" s="8" t="s">
        <v>2535</v>
      </c>
      <c r="M510" s="250">
        <f t="shared" si="7"/>
        <v>10</v>
      </c>
    </row>
    <row r="511" spans="1:13" hidden="1" outlineLevel="1">
      <c r="A511" s="4">
        <v>511</v>
      </c>
      <c r="B511" s="8" t="s">
        <v>737</v>
      </c>
      <c r="C511" s="8" t="str">
        <f>IF(B511="","",VLOOKUP(B511,小圆机汇总表!A:AP,2,FALSE))</f>
        <v>A5035大W</v>
      </c>
      <c r="D511" s="8">
        <f>IF(B511="","",VLOOKUP(B511,小圆机汇总表!A:AP,7,FALSE))</f>
        <v>35</v>
      </c>
      <c r="E511" s="8" t="str">
        <f>IF(B511="","",VLOOKUP(B511,小圆机汇总表!A:AP,5,FALSE))</f>
        <v>白</v>
      </c>
      <c r="F511" s="8" t="str">
        <f>IF(B511="","",VLOOKUP(B511,小圆机汇总表!A:AP,8,FALSE))</f>
        <v>长乐</v>
      </c>
      <c r="G511" s="23">
        <v>43768</v>
      </c>
      <c r="H511" s="8">
        <v>158</v>
      </c>
      <c r="I511" s="8">
        <v>8</v>
      </c>
      <c r="K511" s="8" t="s">
        <v>2536</v>
      </c>
      <c r="M511" s="250">
        <f t="shared" si="7"/>
        <v>10</v>
      </c>
    </row>
    <row r="512" spans="1:13" hidden="1" outlineLevel="1">
      <c r="A512" s="4">
        <v>512</v>
      </c>
      <c r="B512" s="8" t="s">
        <v>116</v>
      </c>
      <c r="C512" s="8" t="str">
        <f>IF(B512="","",VLOOKUP(B512,小圆机汇总表!A:AP,2,FALSE))</f>
        <v>B5036大W高温丝</v>
      </c>
      <c r="D512" s="8">
        <f>IF(B512="","",VLOOKUP(B512,小圆机汇总表!A:AP,7,FALSE))</f>
        <v>36</v>
      </c>
      <c r="E512" s="8" t="str">
        <f>IF(B512="","",VLOOKUP(B512,小圆机汇总表!A:AP,5,FALSE))</f>
        <v>白高温</v>
      </c>
      <c r="F512" s="8" t="str">
        <f>IF(B512="","",VLOOKUP(B512,小圆机汇总表!A:AP,8,FALSE))</f>
        <v>长乐</v>
      </c>
      <c r="G512" s="23">
        <v>43768</v>
      </c>
      <c r="H512" s="8">
        <v>1147.5</v>
      </c>
      <c r="I512" s="8">
        <v>57</v>
      </c>
      <c r="K512" s="8" t="s">
        <v>2531</v>
      </c>
      <c r="M512" s="250">
        <f t="shared" si="7"/>
        <v>10</v>
      </c>
    </row>
    <row r="513" spans="1:13" hidden="1" outlineLevel="1">
      <c r="A513" s="4">
        <v>513</v>
      </c>
      <c r="B513" s="8" t="s">
        <v>2469</v>
      </c>
      <c r="C513" s="8" t="str">
        <f>IF(B513="","",VLOOKUP(B513,小圆机汇总表!A:AP,2,FALSE))</f>
        <v>A5036斜乱平纹</v>
      </c>
      <c r="D513" s="8">
        <f>IF(B513="","",VLOOKUP(B513,小圆机汇总表!A:AP,7,FALSE))</f>
        <v>36</v>
      </c>
      <c r="E513" s="8" t="str">
        <f>IF(B513="","",VLOOKUP(B513,小圆机汇总表!A:AP,5,FALSE))</f>
        <v>白</v>
      </c>
      <c r="F513" s="8" t="str">
        <f>IF(B513="","",VLOOKUP(B513,小圆机汇总表!A:AP,8,FALSE))</f>
        <v>长乐</v>
      </c>
      <c r="G513" s="23">
        <v>43768</v>
      </c>
      <c r="H513" s="8">
        <v>156.80000000000001</v>
      </c>
      <c r="I513" s="8">
        <v>8</v>
      </c>
      <c r="K513" s="8" t="s">
        <v>2537</v>
      </c>
      <c r="M513" s="250">
        <f t="shared" si="7"/>
        <v>10</v>
      </c>
    </row>
    <row r="514" spans="1:13" hidden="1" outlineLevel="1">
      <c r="A514" s="4">
        <v>514</v>
      </c>
      <c r="B514" s="8" t="s">
        <v>741</v>
      </c>
      <c r="C514" s="8" t="str">
        <f>IF(B514="","",VLOOKUP(B514,小圆机汇总表!A:AP,2,FALSE))</f>
        <v>C5040w</v>
      </c>
      <c r="D514" s="8">
        <f>IF(B514="","",VLOOKUP(B514,小圆机汇总表!A:AP,7,FALSE))</f>
        <v>40</v>
      </c>
      <c r="E514" s="8" t="str">
        <f>IF(B514="","",VLOOKUP(B514,小圆机汇总表!A:AP,5,FALSE))</f>
        <v>白无温</v>
      </c>
      <c r="F514" s="8" t="str">
        <f>IF(B514="","",VLOOKUP(B514,小圆机汇总表!A:AP,8,FALSE))</f>
        <v>申久</v>
      </c>
      <c r="G514" s="23">
        <v>43768</v>
      </c>
      <c r="H514" s="8">
        <v>431.8</v>
      </c>
      <c r="I514" s="8">
        <v>22</v>
      </c>
      <c r="K514" s="8" t="s">
        <v>2538</v>
      </c>
      <c r="M514" s="250">
        <f t="shared" si="7"/>
        <v>10</v>
      </c>
    </row>
    <row r="515" spans="1:13" hidden="1" outlineLevel="1">
      <c r="A515" s="4">
        <v>515</v>
      </c>
      <c r="B515" s="8" t="s">
        <v>2304</v>
      </c>
      <c r="C515" s="8" t="str">
        <f>IF(B515="","",VLOOKUP(B515,小圆机汇总表!A:AP,2,FALSE))</f>
        <v>A5038大W</v>
      </c>
      <c r="D515" s="8">
        <f>IF(B515="","",VLOOKUP(B515,小圆机汇总表!A:AP,7,FALSE))</f>
        <v>38</v>
      </c>
      <c r="E515" s="8" t="str">
        <f>IF(B515="","",VLOOKUP(B515,小圆机汇总表!A:AP,5,FALSE))</f>
        <v>白</v>
      </c>
      <c r="F515" s="8" t="str">
        <f>IF(B515="","",VLOOKUP(B515,小圆机汇总表!A:AP,8,FALSE))</f>
        <v>长乐</v>
      </c>
      <c r="G515" s="23">
        <v>43768</v>
      </c>
      <c r="H515" s="8">
        <v>167.6</v>
      </c>
      <c r="I515" s="8">
        <v>8</v>
      </c>
      <c r="K515" s="8" t="s">
        <v>2536</v>
      </c>
      <c r="M515" s="250">
        <f t="shared" ref="M515:M578" si="8">IF(B515="","",MONTH(G515))</f>
        <v>10</v>
      </c>
    </row>
    <row r="516" spans="1:13" hidden="1" outlineLevel="1">
      <c r="A516" s="4">
        <v>516</v>
      </c>
      <c r="B516" s="8" t="s">
        <v>749</v>
      </c>
      <c r="C516" s="8" t="str">
        <f>IF(B516="","",VLOOKUP(B516,小圆机汇总表!A:AP,2,FALSE))</f>
        <v>C7542大W 白丝</v>
      </c>
      <c r="D516" s="8">
        <f>IF(B516="","",VLOOKUP(B516,小圆机汇总表!A:AP,7,FALSE))</f>
        <v>42</v>
      </c>
      <c r="E516" s="8" t="str">
        <f>IF(B516="","",VLOOKUP(B516,小圆机汇总表!A:AP,5,FALSE))</f>
        <v>白高温</v>
      </c>
      <c r="F516" s="8" t="str">
        <f>IF(B516="","",VLOOKUP(B516,小圆机汇总表!A:AP,8,FALSE))</f>
        <v>申久</v>
      </c>
      <c r="G516" s="23">
        <v>43768</v>
      </c>
      <c r="H516" s="8">
        <v>443.8</v>
      </c>
      <c r="I516" s="8">
        <v>22</v>
      </c>
      <c r="K516" s="8" t="s">
        <v>2531</v>
      </c>
      <c r="M516" s="250">
        <f t="shared" si="8"/>
        <v>10</v>
      </c>
    </row>
    <row r="517" spans="1:13" hidden="1" outlineLevel="1">
      <c r="A517" s="4">
        <v>517</v>
      </c>
      <c r="B517" s="8" t="s">
        <v>128</v>
      </c>
      <c r="C517" s="8" t="str">
        <f>IF(B517="","",VLOOKUP(B517,小圆机汇总表!A:AP,2,FALSE))</f>
        <v>A7545斜乱平纹</v>
      </c>
      <c r="D517" s="8">
        <f>IF(B517="","",VLOOKUP(B517,小圆机汇总表!A:AP,7,FALSE))</f>
        <v>45</v>
      </c>
      <c r="E517" s="8" t="str">
        <f>IF(B517="","",VLOOKUP(B517,小圆机汇总表!A:AP,5,FALSE))</f>
        <v>白</v>
      </c>
      <c r="F517" s="8" t="str">
        <f>IF(B517="","",VLOOKUP(B517,小圆机汇总表!A:AP,8,FALSE))</f>
        <v>长乐</v>
      </c>
      <c r="G517" s="23">
        <v>43768</v>
      </c>
      <c r="H517" s="8">
        <v>411.9</v>
      </c>
      <c r="I517" s="8">
        <v>21</v>
      </c>
      <c r="K517" s="8" t="s">
        <v>2537</v>
      </c>
      <c r="M517" s="250">
        <f t="shared" si="8"/>
        <v>10</v>
      </c>
    </row>
    <row r="518" spans="1:13" hidden="1" outlineLevel="1">
      <c r="A518" s="4">
        <v>518</v>
      </c>
      <c r="B518" s="8" t="s">
        <v>2525</v>
      </c>
      <c r="C518" s="8" t="str">
        <f>IF(B518="","",VLOOKUP(B518,小圆机汇总表!A:AP,2,FALSE))</f>
        <v>B7545w</v>
      </c>
      <c r="D518" s="8">
        <f>IF(B518="","",VLOOKUP(B518,小圆机汇总表!A:AP,7,FALSE))</f>
        <v>45</v>
      </c>
      <c r="E518" s="8" t="str">
        <f>IF(B518="","",VLOOKUP(B518,小圆机汇总表!A:AP,5,FALSE))</f>
        <v>白</v>
      </c>
      <c r="F518" s="8" t="str">
        <f>IF(B518="","",VLOOKUP(B518,小圆机汇总表!A:AP,8,FALSE))</f>
        <v>长乐</v>
      </c>
      <c r="G518" s="23">
        <v>43768</v>
      </c>
      <c r="H518" s="8">
        <v>103.4</v>
      </c>
      <c r="I518" s="8">
        <v>5</v>
      </c>
      <c r="K518" s="8" t="s">
        <v>2539</v>
      </c>
      <c r="M518" s="250">
        <f t="shared" si="8"/>
        <v>10</v>
      </c>
    </row>
    <row r="519" spans="1:13" hidden="1" outlineLevel="1">
      <c r="A519" s="4">
        <v>519</v>
      </c>
      <c r="B519" s="8" t="s">
        <v>129</v>
      </c>
      <c r="C519" s="8" t="str">
        <f>IF(B519="","",VLOOKUP(B519,小圆机汇总表!A:AP,2,FALSE))</f>
        <v>A7548斜乱平纹</v>
      </c>
      <c r="D519" s="8">
        <f>IF(B519="","",VLOOKUP(B519,小圆机汇总表!A:AP,7,FALSE))</f>
        <v>48</v>
      </c>
      <c r="E519" s="8" t="str">
        <f>IF(B519="","",VLOOKUP(B519,小圆机汇总表!A:AP,5,FALSE))</f>
        <v>白高温</v>
      </c>
      <c r="F519" s="8" t="str">
        <f>IF(B519="","",VLOOKUP(B519,小圆机汇总表!A:AP,8,FALSE))</f>
        <v>长乐</v>
      </c>
      <c r="G519" s="23">
        <v>43768</v>
      </c>
      <c r="H519" s="8">
        <v>302.89999999999998</v>
      </c>
      <c r="I519" s="8">
        <v>15</v>
      </c>
      <c r="K519" s="8" t="s">
        <v>2532</v>
      </c>
      <c r="M519" s="250">
        <f t="shared" si="8"/>
        <v>10</v>
      </c>
    </row>
    <row r="520" spans="1:13" hidden="1" outlineLevel="1">
      <c r="A520" s="4">
        <v>520</v>
      </c>
      <c r="B520" s="8" t="s">
        <v>104</v>
      </c>
      <c r="C520" s="8" t="str">
        <f>IF(B520="","",VLOOKUP(B520,小圆机汇总表!A:AP,2,FALSE))</f>
        <v>B7549w</v>
      </c>
      <c r="D520" s="8">
        <f>IF(B520="","",VLOOKUP(B520,小圆机汇总表!A:AP,7,FALSE))</f>
        <v>49</v>
      </c>
      <c r="E520" s="8" t="str">
        <f>IF(B520="","",VLOOKUP(B520,小圆机汇总表!A:AP,5,FALSE))</f>
        <v>白</v>
      </c>
      <c r="F520" s="8" t="str">
        <f>IF(B520="","",VLOOKUP(B520,小圆机汇总表!A:AP,8,FALSE))</f>
        <v>长乐</v>
      </c>
      <c r="G520" s="23">
        <v>43768</v>
      </c>
      <c r="H520" s="8">
        <v>302</v>
      </c>
      <c r="I520" s="8">
        <v>15</v>
      </c>
      <c r="K520" s="8" t="s">
        <v>2534</v>
      </c>
      <c r="M520" s="250">
        <f t="shared" si="8"/>
        <v>10</v>
      </c>
    </row>
    <row r="521" spans="1:13" hidden="1" outlineLevel="1">
      <c r="A521" s="4">
        <v>521</v>
      </c>
      <c r="B521" s="8" t="s">
        <v>2556</v>
      </c>
      <c r="C521" s="8" t="str">
        <f>IF(B521="","",VLOOKUP(B521,小圆机汇总表!A:AP,2,FALSE))</f>
        <v>A7541斜乱平纹</v>
      </c>
      <c r="D521" s="8">
        <f>IF(B521="","",VLOOKUP(B521,小圆机汇总表!A:AP,7,FALSE))</f>
        <v>51</v>
      </c>
      <c r="E521" s="8" t="str">
        <f>IF(B521="","",VLOOKUP(B521,小圆机汇总表!A:AP,5,FALSE))</f>
        <v>黑</v>
      </c>
      <c r="F521" s="8" t="str">
        <f>IF(B521="","",VLOOKUP(B521,小圆机汇总表!A:AP,8,FALSE))</f>
        <v>固力</v>
      </c>
      <c r="G521" s="23">
        <v>43768</v>
      </c>
      <c r="H521" s="8">
        <v>44.4</v>
      </c>
      <c r="I521" s="8">
        <v>2</v>
      </c>
      <c r="K521" s="8" t="s">
        <v>2540</v>
      </c>
      <c r="M521" s="250">
        <f t="shared" si="8"/>
        <v>10</v>
      </c>
    </row>
    <row r="522" spans="1:13" hidden="1" outlineLevel="1">
      <c r="A522" s="4">
        <v>522</v>
      </c>
      <c r="B522" s="8" t="s">
        <v>1127</v>
      </c>
      <c r="C522" s="8" t="str">
        <f>IF(B522="","",VLOOKUP(B522,小圆机汇总表!A:AP,2,FALSE))</f>
        <v>B3023乱平纹</v>
      </c>
      <c r="D522" s="8">
        <f>IF(B522="","",VLOOKUP(B522,小圆机汇总表!A:AP,7,FALSE))</f>
        <v>23</v>
      </c>
      <c r="E522" s="8" t="str">
        <f>IF(B522="","",VLOOKUP(B522,小圆机汇总表!A:AP,5,FALSE))</f>
        <v>白</v>
      </c>
      <c r="F522" s="8" t="str">
        <f>IF(B522="","",VLOOKUP(B522,小圆机汇总表!A:AP,8,FALSE))</f>
        <v>银宇</v>
      </c>
      <c r="G522" s="23">
        <v>43769</v>
      </c>
      <c r="H522" s="8">
        <v>56.7</v>
      </c>
      <c r="I522" s="8">
        <v>3</v>
      </c>
      <c r="K522" s="8" t="s">
        <v>252</v>
      </c>
      <c r="M522" s="250">
        <f t="shared" si="8"/>
        <v>10</v>
      </c>
    </row>
    <row r="523" spans="1:13" hidden="1" outlineLevel="1">
      <c r="A523" s="4">
        <v>523</v>
      </c>
      <c r="B523" s="8" t="s">
        <v>1779</v>
      </c>
      <c r="C523" s="8" t="str">
        <f>IF(B523="","",VLOOKUP(B523,小圆机汇总表!A:AP,2,FALSE))</f>
        <v>B3023大W</v>
      </c>
      <c r="D523" s="8">
        <f>IF(B523="","",VLOOKUP(B523,小圆机汇总表!A:AP,7,FALSE))</f>
        <v>23</v>
      </c>
      <c r="E523" s="8" t="str">
        <f>IF(B523="","",VLOOKUP(B523,小圆机汇总表!A:AP,5,FALSE))</f>
        <v>白</v>
      </c>
      <c r="F523" s="8" t="str">
        <f>IF(B523="","",VLOOKUP(B523,小圆机汇总表!A:AP,8,FALSE))</f>
        <v>银宇</v>
      </c>
      <c r="G523" s="23">
        <v>43769</v>
      </c>
      <c r="H523" s="8">
        <v>114</v>
      </c>
      <c r="I523" s="8">
        <v>6</v>
      </c>
      <c r="K523" s="8" t="s">
        <v>2530</v>
      </c>
      <c r="M523" s="250">
        <f t="shared" si="8"/>
        <v>10</v>
      </c>
    </row>
    <row r="524" spans="1:13" hidden="1" outlineLevel="1">
      <c r="A524" s="4">
        <v>524</v>
      </c>
      <c r="B524" s="8" t="s">
        <v>123</v>
      </c>
      <c r="C524" s="8" t="str">
        <f>IF(B524="","",VLOOKUP(B524,小圆机汇总表!A:AP,2,FALSE))</f>
        <v>B7539斜乱平纹</v>
      </c>
      <c r="D524" s="8">
        <f>IF(B524="","",VLOOKUP(B524,小圆机汇总表!A:AP,7,FALSE))</f>
        <v>39</v>
      </c>
      <c r="E524" s="8" t="str">
        <f>IF(B524="","",VLOOKUP(B524,小圆机汇总表!A:AP,5,FALSE))</f>
        <v>白</v>
      </c>
      <c r="F524" s="8" t="str">
        <f>IF(B524="","",VLOOKUP(B524,小圆机汇总表!A:AP,8,FALSE))</f>
        <v>盛元</v>
      </c>
      <c r="G524" s="23">
        <v>43769</v>
      </c>
      <c r="H524" s="8">
        <v>164</v>
      </c>
      <c r="I524" s="8">
        <v>8</v>
      </c>
      <c r="K524" s="8" t="s">
        <v>2532</v>
      </c>
      <c r="M524" s="250">
        <f t="shared" si="8"/>
        <v>10</v>
      </c>
    </row>
    <row r="525" spans="1:13" hidden="1" outlineLevel="1">
      <c r="A525" s="4">
        <v>525</v>
      </c>
      <c r="B525" s="8" t="s">
        <v>80</v>
      </c>
      <c r="C525" s="8" t="str">
        <f>IF(B525="","",VLOOKUP(B525,小圆机汇总表!A:AP,2,FALSE))</f>
        <v>C5034w</v>
      </c>
      <c r="D525" s="8">
        <f>IF(B525="","",VLOOKUP(B525,小圆机汇总表!A:AP,7,FALSE))</f>
        <v>34</v>
      </c>
      <c r="E525" s="8" t="str">
        <f>IF(B525="","",VLOOKUP(B525,小圆机汇总表!A:AP,5,FALSE))</f>
        <v>白</v>
      </c>
      <c r="F525" s="8" t="str">
        <f>IF(B525="","",VLOOKUP(B525,小圆机汇总表!A:AP,8,FALSE))</f>
        <v>长乐</v>
      </c>
      <c r="G525" s="23">
        <v>43769</v>
      </c>
      <c r="H525" s="8">
        <v>16</v>
      </c>
      <c r="I525" s="8">
        <v>1</v>
      </c>
      <c r="K525" s="8" t="s">
        <v>2533</v>
      </c>
      <c r="M525" s="250">
        <f t="shared" si="8"/>
        <v>10</v>
      </c>
    </row>
    <row r="526" spans="1:13" hidden="1" outlineLevel="1">
      <c r="A526" s="4">
        <v>526</v>
      </c>
      <c r="B526" s="8" t="s">
        <v>125</v>
      </c>
      <c r="C526" s="8" t="str">
        <f>IF(B526="","",VLOOKUP(B526,小圆机汇总表!A:AP,2,FALSE))</f>
        <v>A5035w黑</v>
      </c>
      <c r="D526" s="8">
        <f>IF(B526="","",VLOOKUP(B526,小圆机汇总表!A:AP,7,FALSE))</f>
        <v>35</v>
      </c>
      <c r="E526" s="8" t="str">
        <f>IF(B526="","",VLOOKUP(B526,小圆机汇总表!A:AP,5,FALSE))</f>
        <v>黑</v>
      </c>
      <c r="F526" s="8" t="str">
        <f>IF(B526="","",VLOOKUP(B526,小圆机汇总表!A:AP,8,FALSE))</f>
        <v>固力</v>
      </c>
      <c r="G526" s="23">
        <v>43769</v>
      </c>
      <c r="H526" s="8">
        <v>1099.8</v>
      </c>
      <c r="I526" s="8">
        <f>21+25+4</f>
        <v>50</v>
      </c>
      <c r="K526" s="8" t="s">
        <v>2534</v>
      </c>
      <c r="M526" s="250">
        <f t="shared" si="8"/>
        <v>10</v>
      </c>
    </row>
    <row r="527" spans="1:13" hidden="1" outlineLevel="1">
      <c r="A527" s="4">
        <v>527</v>
      </c>
      <c r="B527" s="8" t="s">
        <v>45</v>
      </c>
      <c r="C527" s="8" t="str">
        <f>IF(B527="","",VLOOKUP(B527,小圆机汇总表!A:AP,2,FALSE))</f>
        <v>A5035w</v>
      </c>
      <c r="D527" s="8">
        <f>IF(B527="","",VLOOKUP(B527,小圆机汇总表!A:AP,7,FALSE))</f>
        <v>35</v>
      </c>
      <c r="E527" s="8" t="str">
        <f>IF(B527="","",VLOOKUP(B527,小圆机汇总表!A:AP,5,FALSE))</f>
        <v>白</v>
      </c>
      <c r="F527" s="8" t="str">
        <f>IF(B527="","",VLOOKUP(B527,小圆机汇总表!A:AP,8,FALSE))</f>
        <v>长乐</v>
      </c>
      <c r="G527" s="23">
        <v>43769</v>
      </c>
      <c r="H527" s="8">
        <v>695.7</v>
      </c>
      <c r="I527" s="8">
        <v>35</v>
      </c>
      <c r="K527" s="8" t="s">
        <v>2535</v>
      </c>
      <c r="M527" s="250">
        <f t="shared" si="8"/>
        <v>10</v>
      </c>
    </row>
    <row r="528" spans="1:13" hidden="1" outlineLevel="1">
      <c r="A528" s="4">
        <v>528</v>
      </c>
      <c r="B528" s="8" t="s">
        <v>737</v>
      </c>
      <c r="C528" s="8" t="str">
        <f>IF(B528="","",VLOOKUP(B528,小圆机汇总表!A:AP,2,FALSE))</f>
        <v>A5035大W</v>
      </c>
      <c r="D528" s="8">
        <f>IF(B528="","",VLOOKUP(B528,小圆机汇总表!A:AP,7,FALSE))</f>
        <v>35</v>
      </c>
      <c r="E528" s="8" t="str">
        <f>IF(B528="","",VLOOKUP(B528,小圆机汇总表!A:AP,5,FALSE))</f>
        <v>白</v>
      </c>
      <c r="F528" s="8" t="str">
        <f>IF(B528="","",VLOOKUP(B528,小圆机汇总表!A:AP,8,FALSE))</f>
        <v>长乐</v>
      </c>
      <c r="G528" s="23">
        <v>43769</v>
      </c>
      <c r="H528" s="8">
        <v>217.3</v>
      </c>
      <c r="I528" s="8">
        <v>11</v>
      </c>
      <c r="K528" s="8" t="s">
        <v>2536</v>
      </c>
      <c r="M528" s="250">
        <f t="shared" si="8"/>
        <v>10</v>
      </c>
    </row>
    <row r="529" spans="1:13" hidden="1" outlineLevel="1">
      <c r="A529" s="4">
        <v>529</v>
      </c>
      <c r="B529" s="8" t="s">
        <v>116</v>
      </c>
      <c r="C529" s="8" t="str">
        <f>IF(B529="","",VLOOKUP(B529,小圆机汇总表!A:AP,2,FALSE))</f>
        <v>B5036大W高温丝</v>
      </c>
      <c r="D529" s="8">
        <f>IF(B529="","",VLOOKUP(B529,小圆机汇总表!A:AP,7,FALSE))</f>
        <v>36</v>
      </c>
      <c r="E529" s="8" t="str">
        <f>IF(B529="","",VLOOKUP(B529,小圆机汇总表!A:AP,5,FALSE))</f>
        <v>白高温</v>
      </c>
      <c r="F529" s="8" t="str">
        <f>IF(B529="","",VLOOKUP(B529,小圆机汇总表!A:AP,8,FALSE))</f>
        <v>长乐</v>
      </c>
      <c r="G529" s="23">
        <v>43769</v>
      </c>
      <c r="H529" s="8">
        <v>1105.9000000000001</v>
      </c>
      <c r="I529" s="8">
        <v>56</v>
      </c>
      <c r="K529" s="8" t="s">
        <v>2531</v>
      </c>
      <c r="M529" s="250">
        <f t="shared" si="8"/>
        <v>10</v>
      </c>
    </row>
    <row r="530" spans="1:13" hidden="1" outlineLevel="1">
      <c r="A530" s="4">
        <v>530</v>
      </c>
      <c r="B530" s="8" t="s">
        <v>2469</v>
      </c>
      <c r="C530" s="8" t="str">
        <f>IF(B530="","",VLOOKUP(B530,小圆机汇总表!A:AP,2,FALSE))</f>
        <v>A5036斜乱平纹</v>
      </c>
      <c r="D530" s="8">
        <f>IF(B530="","",VLOOKUP(B530,小圆机汇总表!A:AP,7,FALSE))</f>
        <v>36</v>
      </c>
      <c r="E530" s="8" t="str">
        <f>IF(B530="","",VLOOKUP(B530,小圆机汇总表!A:AP,5,FALSE))</f>
        <v>白</v>
      </c>
      <c r="F530" s="8" t="str">
        <f>IF(B530="","",VLOOKUP(B530,小圆机汇总表!A:AP,8,FALSE))</f>
        <v>长乐</v>
      </c>
      <c r="G530" s="23">
        <v>43769</v>
      </c>
      <c r="H530" s="8">
        <v>176.3</v>
      </c>
      <c r="I530" s="8">
        <v>9</v>
      </c>
      <c r="K530" s="8" t="s">
        <v>2537</v>
      </c>
      <c r="M530" s="250">
        <f t="shared" si="8"/>
        <v>10</v>
      </c>
    </row>
    <row r="531" spans="1:13" hidden="1" outlineLevel="1">
      <c r="A531" s="4">
        <v>531</v>
      </c>
      <c r="B531" s="8" t="s">
        <v>741</v>
      </c>
      <c r="C531" s="8" t="str">
        <f>IF(B531="","",VLOOKUP(B531,小圆机汇总表!A:AP,2,FALSE))</f>
        <v>C5040w</v>
      </c>
      <c r="D531" s="8">
        <f>IF(B531="","",VLOOKUP(B531,小圆机汇总表!A:AP,7,FALSE))</f>
        <v>40</v>
      </c>
      <c r="E531" s="8" t="str">
        <f>IF(B531="","",VLOOKUP(B531,小圆机汇总表!A:AP,5,FALSE))</f>
        <v>白无温</v>
      </c>
      <c r="F531" s="8" t="str">
        <f>IF(B531="","",VLOOKUP(B531,小圆机汇总表!A:AP,8,FALSE))</f>
        <v>申久</v>
      </c>
      <c r="G531" s="23">
        <v>43769</v>
      </c>
      <c r="H531" s="8">
        <v>547.5</v>
      </c>
      <c r="I531" s="8">
        <v>28</v>
      </c>
      <c r="K531" s="8" t="s">
        <v>2538</v>
      </c>
      <c r="M531" s="250">
        <f t="shared" si="8"/>
        <v>10</v>
      </c>
    </row>
    <row r="532" spans="1:13" hidden="1" outlineLevel="1">
      <c r="A532" s="4">
        <v>532</v>
      </c>
      <c r="B532" s="8" t="s">
        <v>2304</v>
      </c>
      <c r="C532" s="8" t="str">
        <f>IF(B532="","",VLOOKUP(B532,小圆机汇总表!A:AP,2,FALSE))</f>
        <v>A5038大W</v>
      </c>
      <c r="D532" s="8">
        <f>IF(B532="","",VLOOKUP(B532,小圆机汇总表!A:AP,7,FALSE))</f>
        <v>38</v>
      </c>
      <c r="E532" s="8" t="str">
        <f>IF(B532="","",VLOOKUP(B532,小圆机汇总表!A:AP,5,FALSE))</f>
        <v>白</v>
      </c>
      <c r="F532" s="8" t="str">
        <f>IF(B532="","",VLOOKUP(B532,小圆机汇总表!A:AP,8,FALSE))</f>
        <v>长乐</v>
      </c>
      <c r="G532" s="23">
        <v>43769</v>
      </c>
      <c r="H532" s="8">
        <v>143</v>
      </c>
      <c r="I532" s="8">
        <v>7</v>
      </c>
      <c r="K532" s="8" t="s">
        <v>2536</v>
      </c>
      <c r="M532" s="250">
        <f t="shared" si="8"/>
        <v>10</v>
      </c>
    </row>
    <row r="533" spans="1:13" hidden="1" outlineLevel="1">
      <c r="A533" s="4">
        <v>533</v>
      </c>
      <c r="B533" s="8" t="s">
        <v>749</v>
      </c>
      <c r="C533" s="8" t="str">
        <f>IF(B533="","",VLOOKUP(B533,小圆机汇总表!A:AP,2,FALSE))</f>
        <v>C7542大W 白丝</v>
      </c>
      <c r="D533" s="8">
        <f>IF(B533="","",VLOOKUP(B533,小圆机汇总表!A:AP,7,FALSE))</f>
        <v>42</v>
      </c>
      <c r="E533" s="8" t="str">
        <f>IF(B533="","",VLOOKUP(B533,小圆机汇总表!A:AP,5,FALSE))</f>
        <v>白高温</v>
      </c>
      <c r="F533" s="8" t="str">
        <f>IF(B533="","",VLOOKUP(B533,小圆机汇总表!A:AP,8,FALSE))</f>
        <v>申久</v>
      </c>
      <c r="G533" s="23">
        <v>43769</v>
      </c>
      <c r="H533" s="8">
        <v>383.2</v>
      </c>
      <c r="I533" s="8">
        <v>19</v>
      </c>
      <c r="K533" s="8" t="s">
        <v>2531</v>
      </c>
      <c r="M533" s="250">
        <f t="shared" si="8"/>
        <v>10</v>
      </c>
    </row>
    <row r="534" spans="1:13" hidden="1" outlineLevel="1">
      <c r="A534" s="4">
        <v>534</v>
      </c>
      <c r="B534" s="8" t="s">
        <v>128</v>
      </c>
      <c r="C534" s="8" t="str">
        <f>IF(B534="","",VLOOKUP(B534,小圆机汇总表!A:AP,2,FALSE))</f>
        <v>A7545斜乱平纹</v>
      </c>
      <c r="D534" s="8">
        <f>IF(B534="","",VLOOKUP(B534,小圆机汇总表!A:AP,7,FALSE))</f>
        <v>45</v>
      </c>
      <c r="E534" s="8" t="str">
        <f>IF(B534="","",VLOOKUP(B534,小圆机汇总表!A:AP,5,FALSE))</f>
        <v>白</v>
      </c>
      <c r="F534" s="8" t="str">
        <f>IF(B534="","",VLOOKUP(B534,小圆机汇总表!A:AP,8,FALSE))</f>
        <v>长乐</v>
      </c>
      <c r="G534" s="23">
        <v>43769</v>
      </c>
      <c r="H534" s="8">
        <v>539</v>
      </c>
      <c r="I534" s="8">
        <v>27</v>
      </c>
      <c r="K534" s="8" t="s">
        <v>2537</v>
      </c>
      <c r="M534" s="250">
        <f t="shared" si="8"/>
        <v>10</v>
      </c>
    </row>
    <row r="535" spans="1:13" hidden="1" outlineLevel="1">
      <c r="A535" s="4">
        <v>535</v>
      </c>
      <c r="B535" s="8" t="s">
        <v>2525</v>
      </c>
      <c r="C535" s="8" t="str">
        <f>IF(B535="","",VLOOKUP(B535,小圆机汇总表!A:AP,2,FALSE))</f>
        <v>B7545w</v>
      </c>
      <c r="D535" s="8">
        <f>IF(B535="","",VLOOKUP(B535,小圆机汇总表!A:AP,7,FALSE))</f>
        <v>45</v>
      </c>
      <c r="E535" s="8" t="str">
        <f>IF(B535="","",VLOOKUP(B535,小圆机汇总表!A:AP,5,FALSE))</f>
        <v>白</v>
      </c>
      <c r="F535" s="8" t="str">
        <f>IF(B535="","",VLOOKUP(B535,小圆机汇总表!A:AP,8,FALSE))</f>
        <v>长乐</v>
      </c>
      <c r="G535" s="23">
        <v>43769</v>
      </c>
      <c r="H535" s="8">
        <v>144.19999999999999</v>
      </c>
      <c r="I535" s="8">
        <v>7</v>
      </c>
      <c r="K535" s="8" t="s">
        <v>2539</v>
      </c>
      <c r="M535" s="250">
        <f t="shared" si="8"/>
        <v>10</v>
      </c>
    </row>
    <row r="536" spans="1:13" hidden="1" outlineLevel="1">
      <c r="A536" s="4">
        <v>536</v>
      </c>
      <c r="B536" s="8" t="s">
        <v>129</v>
      </c>
      <c r="C536" s="8" t="str">
        <f>IF(B536="","",VLOOKUP(B536,小圆机汇总表!A:AP,2,FALSE))</f>
        <v>A7548斜乱平纹</v>
      </c>
      <c r="D536" s="8">
        <f>IF(B536="","",VLOOKUP(B536,小圆机汇总表!A:AP,7,FALSE))</f>
        <v>48</v>
      </c>
      <c r="E536" s="8" t="str">
        <f>IF(B536="","",VLOOKUP(B536,小圆机汇总表!A:AP,5,FALSE))</f>
        <v>白高温</v>
      </c>
      <c r="F536" s="8" t="str">
        <f>IF(B536="","",VLOOKUP(B536,小圆机汇总表!A:AP,8,FALSE))</f>
        <v>长乐</v>
      </c>
      <c r="G536" s="23">
        <v>43769</v>
      </c>
      <c r="H536" s="8">
        <v>282.8</v>
      </c>
      <c r="I536" s="8">
        <v>14</v>
      </c>
      <c r="K536" s="8" t="s">
        <v>2532</v>
      </c>
      <c r="M536" s="250">
        <f t="shared" si="8"/>
        <v>10</v>
      </c>
    </row>
    <row r="537" spans="1:13" hidden="1" outlineLevel="1">
      <c r="A537" s="4">
        <v>537</v>
      </c>
      <c r="B537" s="8" t="s">
        <v>104</v>
      </c>
      <c r="C537" s="8" t="str">
        <f>IF(B537="","",VLOOKUP(B537,小圆机汇总表!A:AP,2,FALSE))</f>
        <v>B7549w</v>
      </c>
      <c r="D537" s="8">
        <f>IF(B537="","",VLOOKUP(B537,小圆机汇总表!A:AP,7,FALSE))</f>
        <v>49</v>
      </c>
      <c r="E537" s="8" t="str">
        <f>IF(B537="","",VLOOKUP(B537,小圆机汇总表!A:AP,5,FALSE))</f>
        <v>白</v>
      </c>
      <c r="F537" s="8" t="str">
        <f>IF(B537="","",VLOOKUP(B537,小圆机汇总表!A:AP,8,FALSE))</f>
        <v>长乐</v>
      </c>
      <c r="G537" s="23">
        <v>43769</v>
      </c>
      <c r="H537" s="8">
        <v>362.4</v>
      </c>
      <c r="I537" s="8">
        <v>18</v>
      </c>
      <c r="K537" s="8" t="s">
        <v>2534</v>
      </c>
      <c r="M537" s="250">
        <f t="shared" si="8"/>
        <v>10</v>
      </c>
    </row>
    <row r="538" spans="1:13" hidden="1" outlineLevel="1">
      <c r="A538" s="4">
        <v>538</v>
      </c>
      <c r="B538" s="8" t="s">
        <v>2529</v>
      </c>
      <c r="C538" s="8" t="str">
        <f>IF(B538="","",VLOOKUP(B538,小圆机汇总表!A:AP,2,FALSE))</f>
        <v>A7541斜乱平纹</v>
      </c>
      <c r="D538" s="8">
        <f>IF(B538="","",VLOOKUP(B538,小圆机汇总表!A:AP,7,FALSE))</f>
        <v>51</v>
      </c>
      <c r="E538" s="8" t="str">
        <f>IF(B538="","",VLOOKUP(B538,小圆机汇总表!A:AP,5,FALSE))</f>
        <v>白</v>
      </c>
      <c r="F538" s="8" t="str">
        <f>IF(B538="","",VLOOKUP(B538,小圆机汇总表!A:AP,8,FALSE))</f>
        <v>长乐</v>
      </c>
      <c r="G538" s="23">
        <v>43769</v>
      </c>
      <c r="H538" s="8">
        <v>40.200000000000003</v>
      </c>
      <c r="I538" s="8">
        <v>2</v>
      </c>
      <c r="K538" s="8" t="s">
        <v>2540</v>
      </c>
      <c r="M538" s="250">
        <f t="shared" si="8"/>
        <v>10</v>
      </c>
    </row>
    <row r="539" spans="1:13" collapsed="1">
      <c r="A539" s="4">
        <v>539</v>
      </c>
      <c r="B539" s="8" t="s">
        <v>1127</v>
      </c>
      <c r="C539" s="8" t="str">
        <f>IF(B539="","",VLOOKUP(B539,小圆机汇总表!A:AP,2,FALSE))</f>
        <v>B3023乱平纹</v>
      </c>
      <c r="D539" s="8">
        <f>IF(B539="","",VLOOKUP(B539,小圆机汇总表!A:AP,7,FALSE))</f>
        <v>23</v>
      </c>
      <c r="E539" s="8" t="str">
        <f>IF(B539="","",VLOOKUP(B539,小圆机汇总表!A:AP,5,FALSE))</f>
        <v>白</v>
      </c>
      <c r="F539" s="8" t="str">
        <f>IF(B539="","",VLOOKUP(B539,小圆机汇总表!A:AP,8,FALSE))</f>
        <v>银宇</v>
      </c>
      <c r="G539" s="23">
        <v>43770</v>
      </c>
      <c r="H539" s="8">
        <v>56.7</v>
      </c>
      <c r="I539" s="8">
        <v>3</v>
      </c>
      <c r="K539" s="8" t="s">
        <v>252</v>
      </c>
      <c r="M539" s="250">
        <f t="shared" si="8"/>
        <v>11</v>
      </c>
    </row>
    <row r="540" spans="1:13">
      <c r="A540" s="4">
        <v>540</v>
      </c>
      <c r="B540" s="8" t="s">
        <v>1779</v>
      </c>
      <c r="C540" s="8" t="str">
        <f>IF(B540="","",VLOOKUP(B540,小圆机汇总表!A:AP,2,FALSE))</f>
        <v>B3023大W</v>
      </c>
      <c r="D540" s="8">
        <f>IF(B540="","",VLOOKUP(B540,小圆机汇总表!A:AP,7,FALSE))</f>
        <v>23</v>
      </c>
      <c r="E540" s="8" t="str">
        <f>IF(B540="","",VLOOKUP(B540,小圆机汇总表!A:AP,5,FALSE))</f>
        <v>白</v>
      </c>
      <c r="F540" s="8" t="str">
        <f>IF(B540="","",VLOOKUP(B540,小圆机汇总表!A:AP,8,FALSE))</f>
        <v>银宇</v>
      </c>
      <c r="G540" s="23">
        <v>43770</v>
      </c>
      <c r="H540" s="8">
        <v>95.1</v>
      </c>
      <c r="I540" s="8">
        <v>5</v>
      </c>
      <c r="K540" s="8" t="s">
        <v>2530</v>
      </c>
      <c r="M540" s="250">
        <f t="shared" si="8"/>
        <v>11</v>
      </c>
    </row>
    <row r="541" spans="1:13">
      <c r="A541" s="4">
        <v>541</v>
      </c>
      <c r="B541" s="8" t="s">
        <v>2578</v>
      </c>
      <c r="C541" s="8" t="str">
        <f>IF(B541="","",VLOOKUP(B541,小圆机汇总表!A:AP,2,FALSE))</f>
        <v>A5027直平纹</v>
      </c>
      <c r="D541" s="8">
        <f>IF(B541="","",VLOOKUP(B541,小圆机汇总表!A:AP,7,FALSE))</f>
        <v>27</v>
      </c>
      <c r="E541" s="8" t="str">
        <f>IF(B541="","",VLOOKUP(B541,小圆机汇总表!A:AP,5,FALSE))</f>
        <v>白</v>
      </c>
      <c r="F541" s="8" t="str">
        <f>IF(B541="","",VLOOKUP(B541,小圆机汇总表!A:AP,8,FALSE))</f>
        <v>长乐</v>
      </c>
      <c r="G541" s="23">
        <v>43770</v>
      </c>
      <c r="H541" s="8">
        <v>61.2</v>
      </c>
      <c r="I541" s="8">
        <v>3</v>
      </c>
      <c r="K541" s="8" t="s">
        <v>2579</v>
      </c>
      <c r="M541" s="250">
        <f t="shared" si="8"/>
        <v>11</v>
      </c>
    </row>
    <row r="542" spans="1:13">
      <c r="A542" s="4">
        <v>542</v>
      </c>
      <c r="B542" s="8" t="s">
        <v>123</v>
      </c>
      <c r="C542" s="8" t="str">
        <f>IF(B542="","",VLOOKUP(B542,小圆机汇总表!A:AP,2,FALSE))</f>
        <v>B7539斜乱平纹</v>
      </c>
      <c r="D542" s="8">
        <f>IF(B542="","",VLOOKUP(B542,小圆机汇总表!A:AP,7,FALSE))</f>
        <v>39</v>
      </c>
      <c r="E542" s="8" t="str">
        <f>IF(B542="","",VLOOKUP(B542,小圆机汇总表!A:AP,5,FALSE))</f>
        <v>白</v>
      </c>
      <c r="F542" s="8" t="str">
        <f>IF(B542="","",VLOOKUP(B542,小圆机汇总表!A:AP,8,FALSE))</f>
        <v>盛元</v>
      </c>
      <c r="G542" s="23">
        <v>43770</v>
      </c>
      <c r="H542" s="8">
        <v>102.5</v>
      </c>
      <c r="I542" s="8">
        <v>5</v>
      </c>
      <c r="K542" s="8" t="s">
        <v>2532</v>
      </c>
      <c r="M542" s="250">
        <f t="shared" si="8"/>
        <v>11</v>
      </c>
    </row>
    <row r="543" spans="1:13">
      <c r="A543" s="4">
        <v>543</v>
      </c>
      <c r="B543" s="8" t="s">
        <v>125</v>
      </c>
      <c r="C543" s="8" t="str">
        <f>IF(B543="","",VLOOKUP(B543,小圆机汇总表!A:AP,2,FALSE))</f>
        <v>A5035w黑</v>
      </c>
      <c r="D543" s="8">
        <f>IF(B543="","",VLOOKUP(B543,小圆机汇总表!A:AP,7,FALSE))</f>
        <v>35</v>
      </c>
      <c r="E543" s="8" t="str">
        <f>IF(B543="","",VLOOKUP(B543,小圆机汇总表!A:AP,5,FALSE))</f>
        <v>黑</v>
      </c>
      <c r="F543" s="8" t="str">
        <f>IF(B543="","",VLOOKUP(B543,小圆机汇总表!A:AP,8,FALSE))</f>
        <v>固力</v>
      </c>
      <c r="G543" s="23">
        <v>43770</v>
      </c>
      <c r="H543" s="8">
        <v>1094.3</v>
      </c>
      <c r="I543" s="8">
        <f>19+27+4</f>
        <v>50</v>
      </c>
      <c r="K543" s="8" t="s">
        <v>2534</v>
      </c>
      <c r="M543" s="250">
        <f t="shared" si="8"/>
        <v>11</v>
      </c>
    </row>
    <row r="544" spans="1:13">
      <c r="A544" s="4">
        <v>544</v>
      </c>
      <c r="B544" s="8" t="s">
        <v>2564</v>
      </c>
      <c r="C544" s="8" t="str">
        <f>IF(B544="","",VLOOKUP(B544,小圆机汇总表!A:AP,2,FALSE))</f>
        <v>A5035w</v>
      </c>
      <c r="D544" s="8">
        <f>IF(B544="","",VLOOKUP(B544,小圆机汇总表!A:AP,7,FALSE))</f>
        <v>35</v>
      </c>
      <c r="E544" s="8" t="str">
        <f>IF(B544="","",VLOOKUP(B544,小圆机汇总表!A:AP,5,FALSE))</f>
        <v>白</v>
      </c>
      <c r="F544" s="8" t="str">
        <f>IF(B544="","",VLOOKUP(B544,小圆机汇总表!A:AP,8,FALSE))</f>
        <v>长乐</v>
      </c>
      <c r="G544" s="23">
        <v>43770</v>
      </c>
      <c r="H544" s="8">
        <v>733.2</v>
      </c>
      <c r="I544" s="8">
        <v>37</v>
      </c>
      <c r="K544" s="8" t="s">
        <v>2535</v>
      </c>
      <c r="M544" s="250">
        <f t="shared" si="8"/>
        <v>11</v>
      </c>
    </row>
    <row r="545" spans="1:13">
      <c r="A545" s="4">
        <v>545</v>
      </c>
      <c r="B545" s="8" t="s">
        <v>737</v>
      </c>
      <c r="C545" s="8" t="str">
        <f>IF(B545="","",VLOOKUP(B545,小圆机汇总表!A:AP,2,FALSE))</f>
        <v>A5035大W</v>
      </c>
      <c r="D545" s="8">
        <f>IF(B545="","",VLOOKUP(B545,小圆机汇总表!A:AP,7,FALSE))</f>
        <v>35</v>
      </c>
      <c r="E545" s="8" t="str">
        <f>IF(B545="","",VLOOKUP(B545,小圆机汇总表!A:AP,5,FALSE))</f>
        <v>白</v>
      </c>
      <c r="F545" s="8" t="str">
        <f>IF(B545="","",VLOOKUP(B545,小圆机汇总表!A:AP,8,FALSE))</f>
        <v>长乐</v>
      </c>
      <c r="G545" s="23">
        <v>43770</v>
      </c>
      <c r="H545" s="8">
        <v>158</v>
      </c>
      <c r="I545" s="8">
        <v>8</v>
      </c>
      <c r="K545" s="8" t="s">
        <v>2536</v>
      </c>
      <c r="M545" s="250">
        <f t="shared" si="8"/>
        <v>11</v>
      </c>
    </row>
    <row r="546" spans="1:13">
      <c r="A546" s="4">
        <v>546</v>
      </c>
      <c r="B546" s="8" t="s">
        <v>116</v>
      </c>
      <c r="C546" s="8" t="str">
        <f>IF(B546="","",VLOOKUP(B546,小圆机汇总表!A:AP,2,FALSE))</f>
        <v>B5036大W高温丝</v>
      </c>
      <c r="D546" s="8">
        <f>IF(B546="","",VLOOKUP(B546,小圆机汇总表!A:AP,7,FALSE))</f>
        <v>36</v>
      </c>
      <c r="E546" s="8" t="str">
        <f>IF(B546="","",VLOOKUP(B546,小圆机汇总表!A:AP,5,FALSE))</f>
        <v>白高温</v>
      </c>
      <c r="F546" s="8" t="str">
        <f>IF(B546="","",VLOOKUP(B546,小圆机汇总表!A:AP,8,FALSE))</f>
        <v>长乐</v>
      </c>
      <c r="G546" s="23">
        <v>43770</v>
      </c>
      <c r="H546" s="8">
        <v>1128.4000000000001</v>
      </c>
      <c r="I546" s="8">
        <v>57</v>
      </c>
      <c r="K546" s="8" t="s">
        <v>2531</v>
      </c>
      <c r="M546" s="250">
        <f t="shared" si="8"/>
        <v>11</v>
      </c>
    </row>
    <row r="547" spans="1:13">
      <c r="A547" s="4">
        <v>547</v>
      </c>
      <c r="B547" s="8" t="s">
        <v>2469</v>
      </c>
      <c r="C547" s="8" t="str">
        <f>IF(B547="","",VLOOKUP(B547,小圆机汇总表!A:AP,2,FALSE))</f>
        <v>A5036斜乱平纹</v>
      </c>
      <c r="D547" s="8">
        <f>IF(B547="","",VLOOKUP(B547,小圆机汇总表!A:AP,7,FALSE))</f>
        <v>36</v>
      </c>
      <c r="E547" s="8" t="str">
        <f>IF(B547="","",VLOOKUP(B547,小圆机汇总表!A:AP,5,FALSE))</f>
        <v>白</v>
      </c>
      <c r="F547" s="8" t="str">
        <f>IF(B547="","",VLOOKUP(B547,小圆机汇总表!A:AP,8,FALSE))</f>
        <v>长乐</v>
      </c>
      <c r="G547" s="23">
        <v>43770</v>
      </c>
      <c r="H547" s="8">
        <v>98.3</v>
      </c>
      <c r="I547" s="8">
        <v>5</v>
      </c>
      <c r="K547" s="8" t="s">
        <v>2537</v>
      </c>
      <c r="M547" s="250">
        <f t="shared" si="8"/>
        <v>11</v>
      </c>
    </row>
    <row r="548" spans="1:13">
      <c r="A548" s="4">
        <v>548</v>
      </c>
      <c r="B548" s="8" t="s">
        <v>741</v>
      </c>
      <c r="C548" s="8" t="str">
        <f>IF(B548="","",VLOOKUP(B548,小圆机汇总表!A:AP,2,FALSE))</f>
        <v>C5040w</v>
      </c>
      <c r="D548" s="8">
        <f>IF(B548="","",VLOOKUP(B548,小圆机汇总表!A:AP,7,FALSE))</f>
        <v>40</v>
      </c>
      <c r="E548" s="8" t="str">
        <f>IF(B548="","",VLOOKUP(B548,小圆机汇总表!A:AP,5,FALSE))</f>
        <v>白无温</v>
      </c>
      <c r="F548" s="8" t="str">
        <f>IF(B548="","",VLOOKUP(B548,小圆机汇总表!A:AP,8,FALSE))</f>
        <v>申久</v>
      </c>
      <c r="G548" s="23">
        <v>43770</v>
      </c>
      <c r="H548" s="8">
        <v>526.6</v>
      </c>
      <c r="I548" s="8">
        <v>27</v>
      </c>
      <c r="K548" s="8" t="s">
        <v>2538</v>
      </c>
      <c r="M548" s="250">
        <f t="shared" si="8"/>
        <v>11</v>
      </c>
    </row>
    <row r="549" spans="1:13">
      <c r="A549" s="4">
        <v>549</v>
      </c>
      <c r="B549" s="8" t="s">
        <v>2304</v>
      </c>
      <c r="C549" s="8" t="str">
        <f>IF(B549="","",VLOOKUP(B549,小圆机汇总表!A:AP,2,FALSE))</f>
        <v>A5038大W</v>
      </c>
      <c r="D549" s="8">
        <f>IF(B549="","",VLOOKUP(B549,小圆机汇总表!A:AP,7,FALSE))</f>
        <v>38</v>
      </c>
      <c r="E549" s="8" t="str">
        <f>IF(B549="","",VLOOKUP(B549,小圆机汇总表!A:AP,5,FALSE))</f>
        <v>白</v>
      </c>
      <c r="F549" s="8" t="str">
        <f>IF(B549="","",VLOOKUP(B549,小圆机汇总表!A:AP,8,FALSE))</f>
        <v>长乐</v>
      </c>
      <c r="G549" s="23">
        <v>43770</v>
      </c>
      <c r="H549" s="8">
        <v>176.4</v>
      </c>
      <c r="I549" s="8">
        <v>9</v>
      </c>
      <c r="K549" s="8" t="s">
        <v>2536</v>
      </c>
      <c r="M549" s="250">
        <f t="shared" si="8"/>
        <v>11</v>
      </c>
    </row>
    <row r="550" spans="1:13">
      <c r="A550" s="4">
        <v>550</v>
      </c>
      <c r="B550" s="8" t="s">
        <v>749</v>
      </c>
      <c r="C550" s="8" t="str">
        <f>IF(B550="","",VLOOKUP(B550,小圆机汇总表!A:AP,2,FALSE))</f>
        <v>C7542大W 白丝</v>
      </c>
      <c r="D550" s="8">
        <f>IF(B550="","",VLOOKUP(B550,小圆机汇总表!A:AP,7,FALSE))</f>
        <v>42</v>
      </c>
      <c r="E550" s="8" t="str">
        <f>IF(B550="","",VLOOKUP(B550,小圆机汇总表!A:AP,5,FALSE))</f>
        <v>白高温</v>
      </c>
      <c r="F550" s="8" t="str">
        <f>IF(B550="","",VLOOKUP(B550,小圆机汇总表!A:AP,8,FALSE))</f>
        <v>申久</v>
      </c>
      <c r="G550" s="23">
        <v>43770</v>
      </c>
      <c r="H550" s="8">
        <v>423.7</v>
      </c>
      <c r="I550" s="8">
        <v>21</v>
      </c>
      <c r="K550" s="8" t="s">
        <v>2531</v>
      </c>
      <c r="M550" s="250">
        <f t="shared" si="8"/>
        <v>11</v>
      </c>
    </row>
    <row r="551" spans="1:13">
      <c r="A551" s="4">
        <v>551</v>
      </c>
      <c r="B551" s="8" t="s">
        <v>128</v>
      </c>
      <c r="C551" s="8" t="str">
        <f>IF(B551="","",VLOOKUP(B551,小圆机汇总表!A:AP,2,FALSE))</f>
        <v>A7545斜乱平纹</v>
      </c>
      <c r="D551" s="8">
        <f>IF(B551="","",VLOOKUP(B551,小圆机汇总表!A:AP,7,FALSE))</f>
        <v>45</v>
      </c>
      <c r="E551" s="8" t="str">
        <f>IF(B551="","",VLOOKUP(B551,小圆机汇总表!A:AP,5,FALSE))</f>
        <v>白</v>
      </c>
      <c r="F551" s="8" t="str">
        <f>IF(B551="","",VLOOKUP(B551,小圆机汇总表!A:AP,8,FALSE))</f>
        <v>长乐</v>
      </c>
      <c r="G551" s="23">
        <v>43770</v>
      </c>
      <c r="H551" s="8">
        <v>602.4</v>
      </c>
      <c r="I551" s="8">
        <v>30</v>
      </c>
      <c r="K551" s="8" t="s">
        <v>2537</v>
      </c>
      <c r="M551" s="250">
        <f t="shared" si="8"/>
        <v>11</v>
      </c>
    </row>
    <row r="552" spans="1:13">
      <c r="A552" s="4">
        <v>552</v>
      </c>
      <c r="B552" s="8" t="s">
        <v>2525</v>
      </c>
      <c r="C552" s="8" t="str">
        <f>IF(B552="","",VLOOKUP(B552,小圆机汇总表!A:AP,2,FALSE))</f>
        <v>B7545w</v>
      </c>
      <c r="D552" s="8">
        <f>IF(B552="","",VLOOKUP(B552,小圆机汇总表!A:AP,7,FALSE))</f>
        <v>45</v>
      </c>
      <c r="E552" s="8" t="str">
        <f>IF(B552="","",VLOOKUP(B552,小圆机汇总表!A:AP,5,FALSE))</f>
        <v>白</v>
      </c>
      <c r="F552" s="8" t="str">
        <f>IF(B552="","",VLOOKUP(B552,小圆机汇总表!A:AP,8,FALSE))</f>
        <v>长乐</v>
      </c>
      <c r="G552" s="23">
        <v>43770</v>
      </c>
      <c r="H552" s="8">
        <v>123.6</v>
      </c>
      <c r="I552" s="8">
        <v>6</v>
      </c>
      <c r="K552" s="8" t="s">
        <v>2539</v>
      </c>
      <c r="M552" s="250">
        <f t="shared" si="8"/>
        <v>11</v>
      </c>
    </row>
    <row r="553" spans="1:13">
      <c r="A553" s="4">
        <v>553</v>
      </c>
      <c r="B553" s="8" t="s">
        <v>129</v>
      </c>
      <c r="C553" s="8" t="str">
        <f>IF(B553="","",VLOOKUP(B553,小圆机汇总表!A:AP,2,FALSE))</f>
        <v>A7548斜乱平纹</v>
      </c>
      <c r="D553" s="8">
        <f>IF(B553="","",VLOOKUP(B553,小圆机汇总表!A:AP,7,FALSE))</f>
        <v>48</v>
      </c>
      <c r="E553" s="8" t="str">
        <f>IF(B553="","",VLOOKUP(B553,小圆机汇总表!A:AP,5,FALSE))</f>
        <v>白高温</v>
      </c>
      <c r="F553" s="8" t="str">
        <f>IF(B553="","",VLOOKUP(B553,小圆机汇总表!A:AP,8,FALSE))</f>
        <v>长乐</v>
      </c>
      <c r="G553" s="23">
        <v>43770</v>
      </c>
      <c r="H553" s="8">
        <v>262.7</v>
      </c>
      <c r="I553" s="8">
        <v>13</v>
      </c>
      <c r="K553" s="8" t="s">
        <v>2532</v>
      </c>
      <c r="M553" s="250">
        <f t="shared" si="8"/>
        <v>11</v>
      </c>
    </row>
    <row r="554" spans="1:13">
      <c r="A554" s="4">
        <v>554</v>
      </c>
      <c r="B554" s="8" t="s">
        <v>104</v>
      </c>
      <c r="C554" s="8" t="str">
        <f>IF(B554="","",VLOOKUP(B554,小圆机汇总表!A:AP,2,FALSE))</f>
        <v>B7549w</v>
      </c>
      <c r="D554" s="8">
        <f>IF(B554="","",VLOOKUP(B554,小圆机汇总表!A:AP,7,FALSE))</f>
        <v>49</v>
      </c>
      <c r="E554" s="8" t="str">
        <f>IF(B554="","",VLOOKUP(B554,小圆机汇总表!A:AP,5,FALSE))</f>
        <v>白</v>
      </c>
      <c r="F554" s="8" t="str">
        <f>IF(B554="","",VLOOKUP(B554,小圆机汇总表!A:AP,8,FALSE))</f>
        <v>长乐</v>
      </c>
      <c r="G554" s="23">
        <v>43770</v>
      </c>
      <c r="H554" s="8">
        <v>362.4</v>
      </c>
      <c r="I554" s="8">
        <v>18</v>
      </c>
      <c r="K554" s="8" t="s">
        <v>2534</v>
      </c>
      <c r="M554" s="250">
        <f t="shared" si="8"/>
        <v>11</v>
      </c>
    </row>
    <row r="555" spans="1:13">
      <c r="A555" s="4">
        <v>555</v>
      </c>
      <c r="B555" s="8" t="s">
        <v>1127</v>
      </c>
      <c r="C555" s="8" t="str">
        <f>IF(B555="","",VLOOKUP(B555,小圆机汇总表!A:AP,2,FALSE))</f>
        <v>B3023乱平纹</v>
      </c>
      <c r="D555" s="8">
        <f>IF(B555="","",VLOOKUP(B555,小圆机汇总表!A:AP,7,FALSE))</f>
        <v>23</v>
      </c>
      <c r="E555" s="8" t="str">
        <f>IF(B555="","",VLOOKUP(B555,小圆机汇总表!A:AP,5,FALSE))</f>
        <v>白</v>
      </c>
      <c r="F555" s="8" t="str">
        <f>IF(B555="","",VLOOKUP(B555,小圆机汇总表!A:AP,8,FALSE))</f>
        <v>银宇</v>
      </c>
      <c r="G555" s="23">
        <v>43771</v>
      </c>
      <c r="H555" s="8">
        <v>56.7</v>
      </c>
      <c r="I555" s="8">
        <v>3</v>
      </c>
      <c r="K555" s="8" t="s">
        <v>252</v>
      </c>
      <c r="L555" s="250"/>
      <c r="M555" s="250">
        <f t="shared" ref="M555" si="9">IF(B555="","",MONTH(G555))</f>
        <v>11</v>
      </c>
    </row>
    <row r="556" spans="1:13">
      <c r="A556" s="4">
        <v>556</v>
      </c>
      <c r="B556" s="8" t="s">
        <v>1779</v>
      </c>
      <c r="C556" s="8" t="str">
        <f>IF(B556="","",VLOOKUP(B556,小圆机汇总表!A:AP,2,FALSE))</f>
        <v>B3023大W</v>
      </c>
      <c r="D556" s="8">
        <f>IF(B556="","",VLOOKUP(B556,小圆机汇总表!A:AP,7,FALSE))</f>
        <v>23</v>
      </c>
      <c r="E556" s="8" t="str">
        <f>IF(B556="","",VLOOKUP(B556,小圆机汇总表!A:AP,5,FALSE))</f>
        <v>白</v>
      </c>
      <c r="F556" s="8" t="str">
        <f>IF(B556="","",VLOOKUP(B556,小圆机汇总表!A:AP,8,FALSE))</f>
        <v>银宇</v>
      </c>
      <c r="G556" s="23">
        <v>43771</v>
      </c>
      <c r="H556" s="8">
        <v>94.9</v>
      </c>
      <c r="I556" s="8">
        <v>5</v>
      </c>
      <c r="K556" s="8" t="s">
        <v>2530</v>
      </c>
      <c r="M556" s="250">
        <f t="shared" si="8"/>
        <v>11</v>
      </c>
    </row>
    <row r="557" spans="1:13">
      <c r="A557" s="4">
        <v>557</v>
      </c>
      <c r="B557" s="8" t="s">
        <v>2574</v>
      </c>
      <c r="C557" s="8" t="str">
        <f>IF(B557="","",VLOOKUP(B557,小圆机汇总表!A:AP,2,FALSE))</f>
        <v>A5027直平纹</v>
      </c>
      <c r="D557" s="8">
        <f>IF(B557="","",VLOOKUP(B557,小圆机汇总表!A:AP,7,FALSE))</f>
        <v>27</v>
      </c>
      <c r="E557" s="8" t="str">
        <f>IF(B557="","",VLOOKUP(B557,小圆机汇总表!A:AP,5,FALSE))</f>
        <v>白</v>
      </c>
      <c r="F557" s="8" t="str">
        <f>IF(B557="","",VLOOKUP(B557,小圆机汇总表!A:AP,8,FALSE))</f>
        <v>长乐</v>
      </c>
      <c r="G557" s="23">
        <v>43771</v>
      </c>
      <c r="H557" s="8">
        <v>206.5</v>
      </c>
      <c r="I557" s="8">
        <v>10</v>
      </c>
      <c r="K557" s="8" t="s">
        <v>2579</v>
      </c>
      <c r="M557" s="250">
        <f t="shared" si="8"/>
        <v>11</v>
      </c>
    </row>
    <row r="558" spans="1:13">
      <c r="A558" s="4">
        <v>558</v>
      </c>
      <c r="B558" s="8" t="s">
        <v>122</v>
      </c>
      <c r="C558" s="8" t="str">
        <f>IF(B558="","",VLOOKUP(B558,小圆机汇总表!A:AP,2,FALSE))</f>
        <v>B5034大W</v>
      </c>
      <c r="D558" s="8">
        <f>IF(B558="","",VLOOKUP(B558,小圆机汇总表!A:AP,7,FALSE))</f>
        <v>34</v>
      </c>
      <c r="E558" s="8" t="str">
        <f>IF(B558="","",VLOOKUP(B558,小圆机汇总表!A:AP,5,FALSE))</f>
        <v>白高温</v>
      </c>
      <c r="F558" s="8" t="str">
        <f>IF(B558="","",VLOOKUP(B558,小圆机汇总表!A:AP,8,FALSE))</f>
        <v>长乐</v>
      </c>
      <c r="G558" s="23">
        <v>43771</v>
      </c>
      <c r="H558" s="8">
        <v>81</v>
      </c>
      <c r="I558" s="8">
        <v>4</v>
      </c>
      <c r="K558" s="8" t="s">
        <v>2531</v>
      </c>
      <c r="M558" s="250">
        <f t="shared" si="8"/>
        <v>11</v>
      </c>
    </row>
    <row r="559" spans="1:13">
      <c r="A559" s="4">
        <v>559</v>
      </c>
      <c r="B559" s="8" t="s">
        <v>125</v>
      </c>
      <c r="C559" s="8" t="str">
        <f>IF(B559="","",VLOOKUP(B559,小圆机汇总表!A:AP,2,FALSE))</f>
        <v>A5035w黑</v>
      </c>
      <c r="D559" s="8">
        <f>IF(B559="","",VLOOKUP(B559,小圆机汇总表!A:AP,7,FALSE))</f>
        <v>35</v>
      </c>
      <c r="E559" s="8" t="str">
        <f>IF(B559="","",VLOOKUP(B559,小圆机汇总表!A:AP,5,FALSE))</f>
        <v>黑</v>
      </c>
      <c r="F559" s="8" t="str">
        <f>IF(B559="","",VLOOKUP(B559,小圆机汇总表!A:AP,8,FALSE))</f>
        <v>固力</v>
      </c>
      <c r="G559" s="23">
        <v>43771</v>
      </c>
      <c r="H559" s="8">
        <v>1167.0999999999999</v>
      </c>
      <c r="I559" s="8">
        <f>19+29+5</f>
        <v>53</v>
      </c>
      <c r="K559" s="8" t="s">
        <v>2534</v>
      </c>
      <c r="M559" s="250">
        <f t="shared" si="8"/>
        <v>11</v>
      </c>
    </row>
    <row r="560" spans="1:13">
      <c r="A560" s="4">
        <v>560</v>
      </c>
      <c r="B560" s="8" t="s">
        <v>45</v>
      </c>
      <c r="C560" s="8" t="str">
        <f>IF(B560="","",VLOOKUP(B560,小圆机汇总表!A:AP,2,FALSE))</f>
        <v>A5035w</v>
      </c>
      <c r="D560" s="8">
        <f>IF(B560="","",VLOOKUP(B560,小圆机汇总表!A:AP,7,FALSE))</f>
        <v>35</v>
      </c>
      <c r="E560" s="8" t="str">
        <f>IF(B560="","",VLOOKUP(B560,小圆机汇总表!A:AP,5,FALSE))</f>
        <v>白</v>
      </c>
      <c r="F560" s="8" t="str">
        <f>IF(B560="","",VLOOKUP(B560,小圆机汇总表!A:AP,8,FALSE))</f>
        <v>长乐</v>
      </c>
      <c r="G560" s="23">
        <v>43771</v>
      </c>
      <c r="H560" s="8">
        <v>613.6</v>
      </c>
      <c r="I560" s="8">
        <v>31</v>
      </c>
      <c r="K560" s="8" t="s">
        <v>2535</v>
      </c>
      <c r="M560" s="250">
        <f t="shared" si="8"/>
        <v>11</v>
      </c>
    </row>
    <row r="561" spans="1:13">
      <c r="A561" s="4">
        <v>561</v>
      </c>
      <c r="B561" s="8" t="s">
        <v>737</v>
      </c>
      <c r="C561" s="8" t="str">
        <f>IF(B561="","",VLOOKUP(B561,小圆机汇总表!A:AP,2,FALSE))</f>
        <v>A5035大W</v>
      </c>
      <c r="D561" s="8">
        <f>IF(B561="","",VLOOKUP(B561,小圆机汇总表!A:AP,7,FALSE))</f>
        <v>35</v>
      </c>
      <c r="E561" s="8" t="str">
        <f>IF(B561="","",VLOOKUP(B561,小圆机汇总表!A:AP,5,FALSE))</f>
        <v>白</v>
      </c>
      <c r="F561" s="8" t="str">
        <f>IF(B561="","",VLOOKUP(B561,小圆机汇总表!A:AP,8,FALSE))</f>
        <v>长乐</v>
      </c>
      <c r="G561" s="23">
        <v>43771</v>
      </c>
      <c r="H561" s="8">
        <v>177.7</v>
      </c>
      <c r="I561" s="8">
        <v>9</v>
      </c>
      <c r="K561" s="8" t="s">
        <v>2536</v>
      </c>
      <c r="M561" s="250">
        <f t="shared" si="8"/>
        <v>11</v>
      </c>
    </row>
    <row r="562" spans="1:13">
      <c r="A562" s="4">
        <v>562</v>
      </c>
      <c r="B562" s="8" t="s">
        <v>116</v>
      </c>
      <c r="C562" s="8" t="str">
        <f>IF(B562="","",VLOOKUP(B562,小圆机汇总表!A:AP,2,FALSE))</f>
        <v>B5036大W高温丝</v>
      </c>
      <c r="D562" s="8">
        <f>IF(B562="","",VLOOKUP(B562,小圆机汇总表!A:AP,7,FALSE))</f>
        <v>36</v>
      </c>
      <c r="E562" s="8" t="str">
        <f>IF(B562="","",VLOOKUP(B562,小圆机汇总表!A:AP,5,FALSE))</f>
        <v>白高温</v>
      </c>
      <c r="F562" s="8" t="str">
        <f>IF(B562="","",VLOOKUP(B562,小圆机汇总表!A:AP,8,FALSE))</f>
        <v>长乐</v>
      </c>
      <c r="G562" s="23">
        <v>43771</v>
      </c>
      <c r="H562" s="8">
        <v>1138.9000000000001</v>
      </c>
      <c r="I562" s="8">
        <v>57</v>
      </c>
      <c r="K562" s="8" t="s">
        <v>2531</v>
      </c>
      <c r="M562" s="250">
        <f t="shared" si="8"/>
        <v>11</v>
      </c>
    </row>
    <row r="563" spans="1:13">
      <c r="A563" s="4">
        <v>563</v>
      </c>
      <c r="B563" s="8" t="s">
        <v>2469</v>
      </c>
      <c r="C563" s="8" t="str">
        <f>IF(B563="","",VLOOKUP(B563,小圆机汇总表!A:AP,2,FALSE))</f>
        <v>A5036斜乱平纹</v>
      </c>
      <c r="D563" s="8">
        <f>IF(B563="","",VLOOKUP(B563,小圆机汇总表!A:AP,7,FALSE))</f>
        <v>36</v>
      </c>
      <c r="E563" s="8" t="str">
        <f>IF(B563="","",VLOOKUP(B563,小圆机汇总表!A:AP,5,FALSE))</f>
        <v>白</v>
      </c>
      <c r="F563" s="8" t="str">
        <f>IF(B563="","",VLOOKUP(B563,小圆机汇总表!A:AP,8,FALSE))</f>
        <v>长乐</v>
      </c>
      <c r="G563" s="23">
        <v>43771</v>
      </c>
      <c r="H563" s="8">
        <v>39.4</v>
      </c>
      <c r="I563" s="8">
        <v>2</v>
      </c>
      <c r="K563" s="8" t="s">
        <v>2537</v>
      </c>
      <c r="M563" s="250">
        <f t="shared" si="8"/>
        <v>11</v>
      </c>
    </row>
    <row r="564" spans="1:13">
      <c r="A564" s="4">
        <v>564</v>
      </c>
      <c r="B564" s="8" t="s">
        <v>2731</v>
      </c>
      <c r="C564" s="8" t="str">
        <f>IF(B564="","",VLOOKUP(B564,小圆机汇总表!A:AP,2,FALSE))</f>
        <v>A5036斜乱平纹</v>
      </c>
      <c r="D564" s="8">
        <f>IF(B564="","",VLOOKUP(B564,小圆机汇总表!A:AP,7,FALSE))</f>
        <v>36</v>
      </c>
      <c r="E564" s="8" t="str">
        <f>IF(B564="","",VLOOKUP(B564,小圆机汇总表!A:AP,5,FALSE))</f>
        <v>黑</v>
      </c>
      <c r="F564" s="8" t="str">
        <f>IF(B564="","",VLOOKUP(B564,小圆机汇总表!A:AP,8,FALSE))</f>
        <v>固力</v>
      </c>
      <c r="G564" s="23">
        <v>43771</v>
      </c>
      <c r="H564" s="8">
        <v>44.2</v>
      </c>
      <c r="I564" s="8">
        <v>2</v>
      </c>
      <c r="K564" s="8" t="s">
        <v>2536</v>
      </c>
      <c r="M564" s="250">
        <f t="shared" si="8"/>
        <v>11</v>
      </c>
    </row>
    <row r="565" spans="1:13">
      <c r="A565" s="4">
        <v>565</v>
      </c>
      <c r="B565" s="8" t="s">
        <v>741</v>
      </c>
      <c r="C565" s="8" t="str">
        <f>IF(B565="","",VLOOKUP(B565,小圆机汇总表!A:AP,2,FALSE))</f>
        <v>C5040w</v>
      </c>
      <c r="D565" s="8">
        <f>IF(B565="","",VLOOKUP(B565,小圆机汇总表!A:AP,7,FALSE))</f>
        <v>40</v>
      </c>
      <c r="E565" s="8" t="str">
        <f>IF(B565="","",VLOOKUP(B565,小圆机汇总表!A:AP,5,FALSE))</f>
        <v>白无温</v>
      </c>
      <c r="F565" s="8" t="str">
        <f>IF(B565="","",VLOOKUP(B565,小圆机汇总表!A:AP,8,FALSE))</f>
        <v>申久</v>
      </c>
      <c r="G565" s="23">
        <v>43771</v>
      </c>
      <c r="H565" s="8">
        <v>526.79999999999995</v>
      </c>
      <c r="I565" s="8">
        <v>27</v>
      </c>
      <c r="K565" s="8" t="s">
        <v>2538</v>
      </c>
      <c r="M565" s="250">
        <f t="shared" si="8"/>
        <v>11</v>
      </c>
    </row>
    <row r="566" spans="1:13">
      <c r="A566" s="4">
        <v>566</v>
      </c>
      <c r="B566" s="8" t="s">
        <v>2730</v>
      </c>
      <c r="C566" s="8" t="str">
        <f>IF(B566="","",VLOOKUP(B566,小圆机汇总表!A:AP,2,FALSE))</f>
        <v>A5038大W</v>
      </c>
      <c r="D566" s="8">
        <f>IF(B566="","",VLOOKUP(B566,小圆机汇总表!A:AP,7,FALSE))</f>
        <v>38</v>
      </c>
      <c r="E566" s="8" t="str">
        <f>IF(B566="","",VLOOKUP(B566,小圆机汇总表!A:AP,5,FALSE))</f>
        <v>白</v>
      </c>
      <c r="F566" s="8" t="str">
        <f>IF(B566="","",VLOOKUP(B566,小圆机汇总表!A:AP,8,FALSE))</f>
        <v>长乐</v>
      </c>
      <c r="G566" s="23">
        <v>43771</v>
      </c>
      <c r="H566" s="8">
        <v>124.8</v>
      </c>
      <c r="I566" s="8">
        <v>6</v>
      </c>
      <c r="K566" s="8" t="s">
        <v>2536</v>
      </c>
      <c r="M566" s="250">
        <f t="shared" si="8"/>
        <v>11</v>
      </c>
    </row>
    <row r="567" spans="1:13">
      <c r="A567" s="4">
        <v>567</v>
      </c>
      <c r="B567" s="8" t="s">
        <v>749</v>
      </c>
      <c r="C567" s="8" t="str">
        <f>IF(B567="","",VLOOKUP(B567,小圆机汇总表!A:AP,2,FALSE))</f>
        <v>C7542大W 白丝</v>
      </c>
      <c r="D567" s="8">
        <f>IF(B567="","",VLOOKUP(B567,小圆机汇总表!A:AP,7,FALSE))</f>
        <v>42</v>
      </c>
      <c r="E567" s="8" t="str">
        <f>IF(B567="","",VLOOKUP(B567,小圆机汇总表!A:AP,5,FALSE))</f>
        <v>白高温</v>
      </c>
      <c r="F567" s="8" t="str">
        <f>IF(B567="","",VLOOKUP(B567,小圆机汇总表!A:AP,8,FALSE))</f>
        <v>申久</v>
      </c>
      <c r="G567" s="23">
        <v>43771</v>
      </c>
      <c r="H567" s="8">
        <v>401.5</v>
      </c>
      <c r="I567" s="8">
        <v>20</v>
      </c>
      <c r="K567" s="8" t="s">
        <v>2531</v>
      </c>
      <c r="M567" s="250">
        <f t="shared" si="8"/>
        <v>11</v>
      </c>
    </row>
    <row r="568" spans="1:13">
      <c r="A568" s="4">
        <v>568</v>
      </c>
      <c r="B568" s="8" t="s">
        <v>128</v>
      </c>
      <c r="C568" s="8" t="str">
        <f>IF(B568="","",VLOOKUP(B568,小圆机汇总表!A:AP,2,FALSE))</f>
        <v>A7545斜乱平纹</v>
      </c>
      <c r="D568" s="8">
        <f>IF(B568="","",VLOOKUP(B568,小圆机汇总表!A:AP,7,FALSE))</f>
        <v>45</v>
      </c>
      <c r="E568" s="8" t="str">
        <f>IF(B568="","",VLOOKUP(B568,小圆机汇总表!A:AP,5,FALSE))</f>
        <v>白</v>
      </c>
      <c r="F568" s="8" t="str">
        <f>IF(B568="","",VLOOKUP(B568,小圆机汇总表!A:AP,8,FALSE))</f>
        <v>长乐</v>
      </c>
      <c r="G568" s="23">
        <v>43771</v>
      </c>
      <c r="H568" s="8">
        <v>603.20000000000005</v>
      </c>
      <c r="I568" s="8">
        <v>30</v>
      </c>
      <c r="K568" s="8" t="s">
        <v>2537</v>
      </c>
      <c r="M568" s="250">
        <f t="shared" si="8"/>
        <v>11</v>
      </c>
    </row>
    <row r="569" spans="1:13">
      <c r="A569" s="4">
        <v>569</v>
      </c>
      <c r="B569" s="8" t="s">
        <v>83</v>
      </c>
      <c r="C569" s="8" t="str">
        <f>IF(B569="","",VLOOKUP(B569,小圆机汇总表!A:AP,2,FALSE))</f>
        <v>B7545w</v>
      </c>
      <c r="D569" s="8">
        <f>IF(B569="","",VLOOKUP(B569,小圆机汇总表!A:AP,7,FALSE))</f>
        <v>45</v>
      </c>
      <c r="E569" s="8" t="str">
        <f>IF(B569="","",VLOOKUP(B569,小圆机汇总表!A:AP,5,FALSE))</f>
        <v>白</v>
      </c>
      <c r="F569" s="8" t="str">
        <f>IF(B569="","",VLOOKUP(B569,小圆机汇总表!A:AP,8,FALSE))</f>
        <v>长乐</v>
      </c>
      <c r="G569" s="23">
        <v>43771</v>
      </c>
      <c r="H569" s="8">
        <v>558.29999999999995</v>
      </c>
      <c r="I569" s="8">
        <v>25</v>
      </c>
      <c r="K569" s="8" t="s">
        <v>2539</v>
      </c>
      <c r="M569" s="250">
        <f t="shared" si="8"/>
        <v>11</v>
      </c>
    </row>
    <row r="570" spans="1:13">
      <c r="A570" s="4">
        <v>570</v>
      </c>
      <c r="B570" s="8" t="s">
        <v>129</v>
      </c>
      <c r="C570" s="8" t="str">
        <f>IF(B570="","",VLOOKUP(B570,小圆机汇总表!A:AP,2,FALSE))</f>
        <v>A7548斜乱平纹</v>
      </c>
      <c r="D570" s="8">
        <f>IF(B570="","",VLOOKUP(B570,小圆机汇总表!A:AP,7,FALSE))</f>
        <v>48</v>
      </c>
      <c r="E570" s="8" t="str">
        <f>IF(B570="","",VLOOKUP(B570,小圆机汇总表!A:AP,5,FALSE))</f>
        <v>白高温</v>
      </c>
      <c r="F570" s="8" t="str">
        <f>IF(B570="","",VLOOKUP(B570,小圆机汇总表!A:AP,8,FALSE))</f>
        <v>长乐</v>
      </c>
      <c r="G570" s="23">
        <v>43771</v>
      </c>
      <c r="H570" s="8">
        <v>262.5</v>
      </c>
      <c r="I570" s="8">
        <v>13</v>
      </c>
      <c r="K570" s="8" t="s">
        <v>2532</v>
      </c>
      <c r="M570" s="250">
        <f t="shared" si="8"/>
        <v>11</v>
      </c>
    </row>
    <row r="571" spans="1:13">
      <c r="A571" s="4">
        <v>571</v>
      </c>
      <c r="B571" s="8" t="s">
        <v>104</v>
      </c>
      <c r="C571" s="8" t="str">
        <f>IF(B571="","",VLOOKUP(B571,小圆机汇总表!A:AP,2,FALSE))</f>
        <v>B7549w</v>
      </c>
      <c r="D571" s="8">
        <f>IF(B571="","",VLOOKUP(B571,小圆机汇总表!A:AP,7,FALSE))</f>
        <v>49</v>
      </c>
      <c r="E571" s="8" t="str">
        <f>IF(B571="","",VLOOKUP(B571,小圆机汇总表!A:AP,5,FALSE))</f>
        <v>白</v>
      </c>
      <c r="F571" s="8" t="str">
        <f>IF(B571="","",VLOOKUP(B571,小圆机汇总表!A:AP,8,FALSE))</f>
        <v>长乐</v>
      </c>
      <c r="G571" s="23">
        <v>43771</v>
      </c>
      <c r="H571" s="8">
        <v>82</v>
      </c>
      <c r="I571" s="8">
        <v>4</v>
      </c>
      <c r="K571" s="8" t="s">
        <v>2534</v>
      </c>
      <c r="M571" s="250">
        <f t="shared" si="8"/>
        <v>11</v>
      </c>
    </row>
    <row r="572" spans="1:13">
      <c r="A572" s="4">
        <v>572</v>
      </c>
      <c r="B572" s="8" t="s">
        <v>1127</v>
      </c>
      <c r="C572" s="8" t="str">
        <f>IF(B572="","",VLOOKUP(B572,小圆机汇总表!A:AP,2,FALSE))</f>
        <v>B3023乱平纹</v>
      </c>
      <c r="D572" s="8">
        <f>IF(B572="","",VLOOKUP(B572,小圆机汇总表!A:AP,7,FALSE))</f>
        <v>23</v>
      </c>
      <c r="E572" s="8" t="str">
        <f>IF(B572="","",VLOOKUP(B572,小圆机汇总表!A:AP,5,FALSE))</f>
        <v>白</v>
      </c>
      <c r="F572" s="8" t="str">
        <f>IF(B572="","",VLOOKUP(B572,小圆机汇总表!A:AP,8,FALSE))</f>
        <v>银宇</v>
      </c>
      <c r="G572" s="23">
        <v>43772</v>
      </c>
      <c r="H572" s="8">
        <v>56.7</v>
      </c>
      <c r="I572" s="8">
        <v>3</v>
      </c>
      <c r="K572" s="8" t="s">
        <v>252</v>
      </c>
      <c r="M572" s="250">
        <f t="shared" si="8"/>
        <v>11</v>
      </c>
    </row>
    <row r="573" spans="1:13">
      <c r="A573" s="4">
        <v>573</v>
      </c>
      <c r="B573" s="8" t="s">
        <v>1779</v>
      </c>
      <c r="C573" s="8" t="str">
        <f>IF(B573="","",VLOOKUP(B573,小圆机汇总表!A:AP,2,FALSE))</f>
        <v>B3023大W</v>
      </c>
      <c r="D573" s="8">
        <f>IF(B573="","",VLOOKUP(B573,小圆机汇总表!A:AP,7,FALSE))</f>
        <v>23</v>
      </c>
      <c r="E573" s="8" t="str">
        <f>IF(B573="","",VLOOKUP(B573,小圆机汇总表!A:AP,5,FALSE))</f>
        <v>白</v>
      </c>
      <c r="F573" s="8" t="str">
        <f>IF(B573="","",VLOOKUP(B573,小圆机汇总表!A:AP,8,FALSE))</f>
        <v>银宇</v>
      </c>
      <c r="G573" s="23">
        <v>43772</v>
      </c>
      <c r="H573" s="8">
        <v>114</v>
      </c>
      <c r="I573" s="8">
        <v>6</v>
      </c>
      <c r="K573" s="8" t="s">
        <v>2530</v>
      </c>
      <c r="M573" s="250">
        <f t="shared" si="8"/>
        <v>11</v>
      </c>
    </row>
    <row r="574" spans="1:13">
      <c r="A574" s="4">
        <v>574</v>
      </c>
      <c r="B574" s="8" t="s">
        <v>2574</v>
      </c>
      <c r="C574" s="8" t="str">
        <f>IF(B574="","",VLOOKUP(B574,小圆机汇总表!A:AP,2,FALSE))</f>
        <v>A5027直平纹</v>
      </c>
      <c r="D574" s="8">
        <f>IF(B574="","",VLOOKUP(B574,小圆机汇总表!A:AP,7,FALSE))</f>
        <v>27</v>
      </c>
      <c r="E574" s="8" t="str">
        <f>IF(B574="","",VLOOKUP(B574,小圆机汇总表!A:AP,5,FALSE))</f>
        <v>白</v>
      </c>
      <c r="F574" s="8" t="str">
        <f>IF(B574="","",VLOOKUP(B574,小圆机汇总表!A:AP,8,FALSE))</f>
        <v>长乐</v>
      </c>
      <c r="G574" s="23">
        <v>43772</v>
      </c>
      <c r="H574" s="8">
        <v>375</v>
      </c>
      <c r="I574" s="8">
        <v>18</v>
      </c>
      <c r="K574" s="8" t="s">
        <v>2579</v>
      </c>
      <c r="M574" s="250">
        <f t="shared" si="8"/>
        <v>11</v>
      </c>
    </row>
    <row r="575" spans="1:13">
      <c r="A575" s="4">
        <v>575</v>
      </c>
      <c r="B575" s="8" t="s">
        <v>1502</v>
      </c>
      <c r="C575" s="8" t="str">
        <f>IF(B575="","",VLOOKUP(B575,小圆机汇总表!A:AP,2,FALSE))</f>
        <v>A5032大W</v>
      </c>
      <c r="D575" s="8">
        <f>IF(B575="","",VLOOKUP(B575,小圆机汇总表!A:AP,7,FALSE))</f>
        <v>32</v>
      </c>
      <c r="E575" s="8" t="str">
        <f>IF(B575="","",VLOOKUP(B575,小圆机汇总表!A:AP,5,FALSE))</f>
        <v>白</v>
      </c>
      <c r="F575" s="8" t="str">
        <f>IF(B575="","",VLOOKUP(B575,小圆机汇总表!A:AP,8,FALSE))</f>
        <v>长乐</v>
      </c>
      <c r="G575" s="23">
        <v>43772</v>
      </c>
      <c r="H575" s="8">
        <v>120</v>
      </c>
      <c r="I575" s="8">
        <v>6</v>
      </c>
      <c r="K575" s="8" t="s">
        <v>2532</v>
      </c>
      <c r="M575" s="250">
        <f t="shared" si="8"/>
        <v>11</v>
      </c>
    </row>
    <row r="576" spans="1:13">
      <c r="A576" s="4">
        <v>576</v>
      </c>
      <c r="B576" s="8" t="s">
        <v>122</v>
      </c>
      <c r="C576" s="8" t="str">
        <f>IF(B576="","",VLOOKUP(B576,小圆机汇总表!A:AP,2,FALSE))</f>
        <v>B5034大W</v>
      </c>
      <c r="D576" s="8">
        <f>IF(B576="","",VLOOKUP(B576,小圆机汇总表!A:AP,7,FALSE))</f>
        <v>34</v>
      </c>
      <c r="E576" s="8" t="str">
        <f>IF(B576="","",VLOOKUP(B576,小圆机汇总表!A:AP,5,FALSE))</f>
        <v>白高温</v>
      </c>
      <c r="F576" s="8" t="str">
        <f>IF(B576="","",VLOOKUP(B576,小圆机汇总表!A:AP,8,FALSE))</f>
        <v>长乐</v>
      </c>
      <c r="G576" s="23">
        <v>43772</v>
      </c>
      <c r="H576" s="8">
        <v>200.2</v>
      </c>
      <c r="I576" s="8">
        <v>10</v>
      </c>
      <c r="K576" s="8" t="s">
        <v>2531</v>
      </c>
      <c r="M576" s="250">
        <f t="shared" si="8"/>
        <v>11</v>
      </c>
    </row>
    <row r="577" spans="1:13">
      <c r="A577" s="4">
        <v>577</v>
      </c>
      <c r="B577" s="8" t="s">
        <v>125</v>
      </c>
      <c r="C577" s="8" t="str">
        <f>IF(B577="","",VLOOKUP(B577,小圆机汇总表!A:AP,2,FALSE))</f>
        <v>A5035w黑</v>
      </c>
      <c r="D577" s="8">
        <f>IF(B577="","",VLOOKUP(B577,小圆机汇总表!A:AP,7,FALSE))</f>
        <v>35</v>
      </c>
      <c r="E577" s="8" t="str">
        <f>IF(B577="","",VLOOKUP(B577,小圆机汇总表!A:AP,5,FALSE))</f>
        <v>黑</v>
      </c>
      <c r="F577" s="8" t="str">
        <f>IF(B577="","",VLOOKUP(B577,小圆机汇总表!A:AP,8,FALSE))</f>
        <v>固力</v>
      </c>
      <c r="G577" s="23">
        <v>43772</v>
      </c>
      <c r="H577" s="8">
        <v>1145.7</v>
      </c>
      <c r="I577" s="8">
        <f>21+26+5</f>
        <v>52</v>
      </c>
      <c r="K577" s="8" t="s">
        <v>2534</v>
      </c>
      <c r="M577" s="250">
        <f t="shared" si="8"/>
        <v>11</v>
      </c>
    </row>
    <row r="578" spans="1:13">
      <c r="A578" s="4">
        <v>578</v>
      </c>
      <c r="B578" s="8" t="s">
        <v>45</v>
      </c>
      <c r="C578" s="8" t="str">
        <f>IF(B578="","",VLOOKUP(B578,小圆机汇总表!A:AP,2,FALSE))</f>
        <v>A5035w</v>
      </c>
      <c r="D578" s="8">
        <f>IF(B578="","",VLOOKUP(B578,小圆机汇总表!A:AP,7,FALSE))</f>
        <v>35</v>
      </c>
      <c r="E578" s="8" t="str">
        <f>IF(B578="","",VLOOKUP(B578,小圆机汇总表!A:AP,5,FALSE))</f>
        <v>白</v>
      </c>
      <c r="F578" s="8" t="str">
        <f>IF(B578="","",VLOOKUP(B578,小圆机汇总表!A:AP,8,FALSE))</f>
        <v>长乐</v>
      </c>
      <c r="G578" s="23">
        <v>43772</v>
      </c>
      <c r="H578" s="8">
        <v>454.7</v>
      </c>
      <c r="I578" s="8">
        <v>23</v>
      </c>
      <c r="K578" s="8" t="s">
        <v>2535</v>
      </c>
      <c r="M578" s="250">
        <f t="shared" si="8"/>
        <v>11</v>
      </c>
    </row>
    <row r="579" spans="1:13">
      <c r="A579" s="4">
        <v>579</v>
      </c>
      <c r="B579" s="8" t="s">
        <v>737</v>
      </c>
      <c r="C579" s="8" t="str">
        <f>IF(B579="","",VLOOKUP(B579,小圆机汇总表!A:AP,2,FALSE))</f>
        <v>A5035大W</v>
      </c>
      <c r="D579" s="8">
        <f>IF(B579="","",VLOOKUP(B579,小圆机汇总表!A:AP,7,FALSE))</f>
        <v>35</v>
      </c>
      <c r="E579" s="8" t="str">
        <f>IF(B579="","",VLOOKUP(B579,小圆机汇总表!A:AP,5,FALSE))</f>
        <v>白</v>
      </c>
      <c r="F579" s="8" t="str">
        <f>IF(B579="","",VLOOKUP(B579,小圆机汇总表!A:AP,8,FALSE))</f>
        <v>长乐</v>
      </c>
      <c r="G579" s="23">
        <v>43772</v>
      </c>
      <c r="H579" s="8">
        <v>158</v>
      </c>
      <c r="I579" s="8">
        <v>8</v>
      </c>
      <c r="K579" s="8" t="s">
        <v>2536</v>
      </c>
      <c r="M579" s="250">
        <f t="shared" ref="M579:M642" si="10">IF(B579="","",MONTH(G579))</f>
        <v>11</v>
      </c>
    </row>
    <row r="580" spans="1:13">
      <c r="A580" s="4">
        <v>580</v>
      </c>
      <c r="B580" s="8" t="s">
        <v>116</v>
      </c>
      <c r="C580" s="8" t="str">
        <f>IF(B580="","",VLOOKUP(B580,小圆机汇总表!A:AP,2,FALSE))</f>
        <v>B5036大W高温丝</v>
      </c>
      <c r="D580" s="8">
        <f>IF(B580="","",VLOOKUP(B580,小圆机汇总表!A:AP,7,FALSE))</f>
        <v>36</v>
      </c>
      <c r="E580" s="8" t="str">
        <f>IF(B580="","",VLOOKUP(B580,小圆机汇总表!A:AP,5,FALSE))</f>
        <v>白高温</v>
      </c>
      <c r="F580" s="8" t="str">
        <f>IF(B580="","",VLOOKUP(B580,小圆机汇总表!A:AP,8,FALSE))</f>
        <v>长乐</v>
      </c>
      <c r="G580" s="23">
        <v>43772</v>
      </c>
      <c r="H580" s="8">
        <v>1045.9000000000001</v>
      </c>
      <c r="I580" s="8">
        <v>52</v>
      </c>
      <c r="K580" s="8" t="s">
        <v>2531</v>
      </c>
      <c r="M580" s="250">
        <f t="shared" si="10"/>
        <v>11</v>
      </c>
    </row>
    <row r="581" spans="1:13">
      <c r="A581" s="4">
        <v>581</v>
      </c>
      <c r="B581" s="8" t="s">
        <v>741</v>
      </c>
      <c r="C581" s="8" t="str">
        <f>IF(B581="","",VLOOKUP(B581,小圆机汇总表!A:AP,2,FALSE))</f>
        <v>C5040w</v>
      </c>
      <c r="D581" s="8">
        <f>IF(B581="","",VLOOKUP(B581,小圆机汇总表!A:AP,7,FALSE))</f>
        <v>40</v>
      </c>
      <c r="E581" s="8" t="str">
        <f>IF(B581="","",VLOOKUP(B581,小圆机汇总表!A:AP,5,FALSE))</f>
        <v>白无温</v>
      </c>
      <c r="F581" s="8" t="str">
        <f>IF(B581="","",VLOOKUP(B581,小圆机汇总表!A:AP,8,FALSE))</f>
        <v>申久</v>
      </c>
      <c r="G581" s="23">
        <v>43772</v>
      </c>
      <c r="H581" s="8">
        <v>546.70000000000005</v>
      </c>
      <c r="I581" s="8">
        <v>28</v>
      </c>
      <c r="K581" s="8" t="s">
        <v>2538</v>
      </c>
      <c r="M581" s="250">
        <f t="shared" si="10"/>
        <v>11</v>
      </c>
    </row>
    <row r="582" spans="1:13">
      <c r="A582" s="4">
        <v>582</v>
      </c>
      <c r="B582" s="8" t="s">
        <v>2730</v>
      </c>
      <c r="C582" s="8" t="str">
        <f>IF(B582="","",VLOOKUP(B582,小圆机汇总表!A:AP,2,FALSE))</f>
        <v>A5038大W</v>
      </c>
      <c r="D582" s="8">
        <f>IF(B582="","",VLOOKUP(B582,小圆机汇总表!A:AP,7,FALSE))</f>
        <v>38</v>
      </c>
      <c r="E582" s="8" t="str">
        <f>IF(B582="","",VLOOKUP(B582,小圆机汇总表!A:AP,5,FALSE))</f>
        <v>白</v>
      </c>
      <c r="F582" s="8" t="str">
        <f>IF(B582="","",VLOOKUP(B582,小圆机汇总表!A:AP,8,FALSE))</f>
        <v>长乐</v>
      </c>
      <c r="G582" s="23">
        <v>43772</v>
      </c>
      <c r="H582" s="8">
        <v>41.6</v>
      </c>
      <c r="I582" s="8">
        <v>2</v>
      </c>
      <c r="K582" s="8" t="s">
        <v>2536</v>
      </c>
      <c r="M582" s="250">
        <f t="shared" si="10"/>
        <v>11</v>
      </c>
    </row>
    <row r="583" spans="1:13">
      <c r="A583" s="4">
        <v>583</v>
      </c>
      <c r="B583" s="8" t="s">
        <v>749</v>
      </c>
      <c r="C583" s="8" t="str">
        <f>IF(B583="","",VLOOKUP(B583,小圆机汇总表!A:AP,2,FALSE))</f>
        <v>C7542大W 白丝</v>
      </c>
      <c r="D583" s="8">
        <f>IF(B583="","",VLOOKUP(B583,小圆机汇总表!A:AP,7,FALSE))</f>
        <v>42</v>
      </c>
      <c r="E583" s="8" t="str">
        <f>IF(B583="","",VLOOKUP(B583,小圆机汇总表!A:AP,5,FALSE))</f>
        <v>白高温</v>
      </c>
      <c r="F583" s="8" t="str">
        <f>IF(B583="","",VLOOKUP(B583,小圆机汇总表!A:AP,8,FALSE))</f>
        <v>申久</v>
      </c>
      <c r="G583" s="23">
        <v>43772</v>
      </c>
      <c r="H583" s="8">
        <v>403.5</v>
      </c>
      <c r="I583" s="8">
        <v>20</v>
      </c>
      <c r="K583" s="8" t="s">
        <v>2531</v>
      </c>
      <c r="M583" s="250">
        <f t="shared" si="10"/>
        <v>11</v>
      </c>
    </row>
    <row r="584" spans="1:13">
      <c r="A584" s="4">
        <v>584</v>
      </c>
      <c r="B584" s="8" t="s">
        <v>128</v>
      </c>
      <c r="C584" s="8" t="str">
        <f>IF(B584="","",VLOOKUP(B584,小圆机汇总表!A:AP,2,FALSE))</f>
        <v>A7545斜乱平纹</v>
      </c>
      <c r="D584" s="8">
        <f>IF(B584="","",VLOOKUP(B584,小圆机汇总表!A:AP,7,FALSE))</f>
        <v>45</v>
      </c>
      <c r="E584" s="8" t="str">
        <f>IF(B584="","",VLOOKUP(B584,小圆机汇总表!A:AP,5,FALSE))</f>
        <v>白</v>
      </c>
      <c r="F584" s="8" t="str">
        <f>IF(B584="","",VLOOKUP(B584,小圆机汇总表!A:AP,8,FALSE))</f>
        <v>长乐</v>
      </c>
      <c r="G584" s="23">
        <v>43772</v>
      </c>
      <c r="H584" s="8">
        <v>660</v>
      </c>
      <c r="I584" s="8">
        <v>33</v>
      </c>
      <c r="K584" s="8" t="s">
        <v>2537</v>
      </c>
      <c r="M584" s="250">
        <f t="shared" si="10"/>
        <v>11</v>
      </c>
    </row>
    <row r="585" spans="1:13">
      <c r="A585" s="4">
        <v>585</v>
      </c>
      <c r="B585" s="8" t="s">
        <v>83</v>
      </c>
      <c r="C585" s="8" t="str">
        <f>IF(B585="","",VLOOKUP(B585,小圆机汇总表!A:AP,2,FALSE))</f>
        <v>B7545w</v>
      </c>
      <c r="D585" s="8">
        <f>IF(B585="","",VLOOKUP(B585,小圆机汇总表!A:AP,7,FALSE))</f>
        <v>45</v>
      </c>
      <c r="E585" s="8" t="str">
        <f>IF(B585="","",VLOOKUP(B585,小圆机汇总表!A:AP,5,FALSE))</f>
        <v>白</v>
      </c>
      <c r="F585" s="8" t="str">
        <f>IF(B585="","",VLOOKUP(B585,小圆机汇总表!A:AP,8,FALSE))</f>
        <v>长乐</v>
      </c>
      <c r="G585" s="23">
        <v>43772</v>
      </c>
      <c r="H585" s="8">
        <v>623.4</v>
      </c>
      <c r="I585" s="8">
        <v>30</v>
      </c>
      <c r="K585" s="8" t="s">
        <v>2539</v>
      </c>
      <c r="M585" s="250">
        <f t="shared" si="10"/>
        <v>11</v>
      </c>
    </row>
    <row r="586" spans="1:13">
      <c r="A586" s="4">
        <v>586</v>
      </c>
      <c r="B586" s="8" t="s">
        <v>129</v>
      </c>
      <c r="C586" s="8" t="str">
        <f>IF(B586="","",VLOOKUP(B586,小圆机汇总表!A:AP,2,FALSE))</f>
        <v>A7548斜乱平纹</v>
      </c>
      <c r="D586" s="8">
        <f>IF(B586="","",VLOOKUP(B586,小圆机汇总表!A:AP,7,FALSE))</f>
        <v>48</v>
      </c>
      <c r="E586" s="8" t="str">
        <f>IF(B586="","",VLOOKUP(B586,小圆机汇总表!A:AP,5,FALSE))</f>
        <v>白高温</v>
      </c>
      <c r="F586" s="8" t="str">
        <f>IF(B586="","",VLOOKUP(B586,小圆机汇总表!A:AP,8,FALSE))</f>
        <v>长乐</v>
      </c>
      <c r="G586" s="23">
        <v>43772</v>
      </c>
      <c r="H586" s="8">
        <v>323.2</v>
      </c>
      <c r="I586" s="8">
        <v>16</v>
      </c>
      <c r="K586" s="8" t="s">
        <v>2532</v>
      </c>
      <c r="M586" s="250">
        <f t="shared" si="10"/>
        <v>11</v>
      </c>
    </row>
    <row r="587" spans="1:13">
      <c r="A587" s="4">
        <v>587</v>
      </c>
      <c r="B587" s="8" t="s">
        <v>1127</v>
      </c>
      <c r="C587" s="8" t="str">
        <f>IF(B587="","",VLOOKUP(B587,小圆机汇总表!A:AP,2,FALSE))</f>
        <v>B3023乱平纹</v>
      </c>
      <c r="D587" s="8">
        <f>IF(B587="","",VLOOKUP(B587,小圆机汇总表!A:AP,7,FALSE))</f>
        <v>23</v>
      </c>
      <c r="E587" s="8" t="str">
        <f>IF(B587="","",VLOOKUP(B587,小圆机汇总表!A:AP,5,FALSE))</f>
        <v>白</v>
      </c>
      <c r="F587" s="8" t="str">
        <f>IF(B587="","",VLOOKUP(B587,小圆机汇总表!A:AP,8,FALSE))</f>
        <v>银宇</v>
      </c>
      <c r="G587" s="23">
        <v>43773</v>
      </c>
      <c r="H587" s="8">
        <v>56.7</v>
      </c>
      <c r="I587" s="8">
        <v>3</v>
      </c>
      <c r="K587" s="8" t="s">
        <v>252</v>
      </c>
      <c r="M587" s="250">
        <f t="shared" si="10"/>
        <v>11</v>
      </c>
    </row>
    <row r="588" spans="1:13">
      <c r="A588" s="4">
        <v>588</v>
      </c>
      <c r="B588" s="8" t="s">
        <v>1779</v>
      </c>
      <c r="C588" s="8" t="str">
        <f>IF(B588="","",VLOOKUP(B588,小圆机汇总表!A:AP,2,FALSE))</f>
        <v>B3023大W</v>
      </c>
      <c r="D588" s="8">
        <f>IF(B588="","",VLOOKUP(B588,小圆机汇总表!A:AP,7,FALSE))</f>
        <v>23</v>
      </c>
      <c r="E588" s="8" t="str">
        <f>IF(B588="","",VLOOKUP(B588,小圆机汇总表!A:AP,5,FALSE))</f>
        <v>白</v>
      </c>
      <c r="F588" s="8" t="str">
        <f>IF(B588="","",VLOOKUP(B588,小圆机汇总表!A:AP,8,FALSE))</f>
        <v>银宇</v>
      </c>
      <c r="G588" s="23">
        <v>43773</v>
      </c>
      <c r="H588" s="8">
        <v>94.3</v>
      </c>
      <c r="I588" s="8">
        <v>5</v>
      </c>
      <c r="K588" s="8" t="s">
        <v>2530</v>
      </c>
      <c r="M588" s="250">
        <f t="shared" si="10"/>
        <v>11</v>
      </c>
    </row>
    <row r="589" spans="1:13">
      <c r="A589" s="4">
        <v>589</v>
      </c>
      <c r="B589" s="8" t="s">
        <v>2574</v>
      </c>
      <c r="C589" s="8" t="str">
        <f>IF(B589="","",VLOOKUP(B589,小圆机汇总表!A:AP,2,FALSE))</f>
        <v>A5027直平纹</v>
      </c>
      <c r="D589" s="8">
        <f>IF(B589="","",VLOOKUP(B589,小圆机汇总表!A:AP,7,FALSE))</f>
        <v>27</v>
      </c>
      <c r="E589" s="8" t="str">
        <f>IF(B589="","",VLOOKUP(B589,小圆机汇总表!A:AP,5,FALSE))</f>
        <v>白</v>
      </c>
      <c r="F589" s="8" t="str">
        <f>IF(B589="","",VLOOKUP(B589,小圆机汇总表!A:AP,8,FALSE))</f>
        <v>长乐</v>
      </c>
      <c r="G589" s="23">
        <v>43773</v>
      </c>
      <c r="H589" s="8">
        <v>409</v>
      </c>
      <c r="I589" s="8">
        <v>20</v>
      </c>
      <c r="K589" s="8" t="s">
        <v>2579</v>
      </c>
      <c r="M589" s="250">
        <f t="shared" si="10"/>
        <v>11</v>
      </c>
    </row>
    <row r="590" spans="1:13">
      <c r="A590" s="4">
        <v>590</v>
      </c>
      <c r="B590" s="8" t="s">
        <v>1502</v>
      </c>
      <c r="C590" s="8" t="str">
        <f>IF(B590="","",VLOOKUP(B590,小圆机汇总表!A:AP,2,FALSE))</f>
        <v>A5032大W</v>
      </c>
      <c r="D590" s="8">
        <f>IF(B590="","",VLOOKUP(B590,小圆机汇总表!A:AP,7,FALSE))</f>
        <v>32</v>
      </c>
      <c r="E590" s="8" t="str">
        <f>IF(B590="","",VLOOKUP(B590,小圆机汇总表!A:AP,5,FALSE))</f>
        <v>白</v>
      </c>
      <c r="F590" s="8" t="str">
        <f>IF(B590="","",VLOOKUP(B590,小圆机汇总表!A:AP,8,FALSE))</f>
        <v>长乐</v>
      </c>
      <c r="G590" s="23">
        <v>43773</v>
      </c>
      <c r="H590" s="8">
        <v>200</v>
      </c>
      <c r="I590" s="8">
        <v>10</v>
      </c>
      <c r="K590" s="8" t="s">
        <v>2532</v>
      </c>
      <c r="M590" s="250">
        <f t="shared" si="10"/>
        <v>11</v>
      </c>
    </row>
    <row r="591" spans="1:13">
      <c r="A591" s="4">
        <v>591</v>
      </c>
      <c r="B591" s="8" t="s">
        <v>122</v>
      </c>
      <c r="C591" s="8" t="str">
        <f>IF(B591="","",VLOOKUP(B591,小圆机汇总表!A:AP,2,FALSE))</f>
        <v>B5034大W</v>
      </c>
      <c r="D591" s="8">
        <f>IF(B591="","",VLOOKUP(B591,小圆机汇总表!A:AP,7,FALSE))</f>
        <v>34</v>
      </c>
      <c r="E591" s="8" t="str">
        <f>IF(B591="","",VLOOKUP(B591,小圆机汇总表!A:AP,5,FALSE))</f>
        <v>白高温</v>
      </c>
      <c r="F591" s="8" t="str">
        <f>IF(B591="","",VLOOKUP(B591,小圆机汇总表!A:AP,8,FALSE))</f>
        <v>长乐</v>
      </c>
      <c r="G591" s="23">
        <v>43773</v>
      </c>
      <c r="H591" s="8">
        <v>189.9</v>
      </c>
      <c r="I591" s="8">
        <v>10</v>
      </c>
      <c r="K591" s="8" t="s">
        <v>2531</v>
      </c>
      <c r="M591" s="250">
        <f t="shared" si="10"/>
        <v>11</v>
      </c>
    </row>
    <row r="592" spans="1:13">
      <c r="A592" s="4">
        <v>592</v>
      </c>
      <c r="B592" s="8" t="s">
        <v>125</v>
      </c>
      <c r="C592" s="8" t="str">
        <f>IF(B592="","",VLOOKUP(B592,小圆机汇总表!A:AP,2,FALSE))</f>
        <v>A5035w黑</v>
      </c>
      <c r="D592" s="8">
        <f>IF(B592="","",VLOOKUP(B592,小圆机汇总表!A:AP,7,FALSE))</f>
        <v>35</v>
      </c>
      <c r="E592" s="8" t="str">
        <f>IF(B592="","",VLOOKUP(B592,小圆机汇总表!A:AP,5,FALSE))</f>
        <v>黑</v>
      </c>
      <c r="F592" s="8" t="str">
        <f>IF(B592="","",VLOOKUP(B592,小圆机汇总表!A:AP,8,FALSE))</f>
        <v>固力</v>
      </c>
      <c r="G592" s="23">
        <v>43773</v>
      </c>
      <c r="H592" s="8">
        <v>1189.0999999999999</v>
      </c>
      <c r="I592" s="8">
        <f>23+27+4</f>
        <v>54</v>
      </c>
      <c r="K592" s="8" t="s">
        <v>2534</v>
      </c>
      <c r="M592" s="250">
        <f t="shared" si="10"/>
        <v>11</v>
      </c>
    </row>
    <row r="593" spans="1:13">
      <c r="A593" s="4">
        <v>593</v>
      </c>
      <c r="B593" s="8" t="s">
        <v>45</v>
      </c>
      <c r="C593" s="8" t="str">
        <f>IF(B593="","",VLOOKUP(B593,小圆机汇总表!A:AP,2,FALSE))</f>
        <v>A5035w</v>
      </c>
      <c r="D593" s="8">
        <f>IF(B593="","",VLOOKUP(B593,小圆机汇总表!A:AP,7,FALSE))</f>
        <v>35</v>
      </c>
      <c r="E593" s="8" t="str">
        <f>IF(B593="","",VLOOKUP(B593,小圆机汇总表!A:AP,5,FALSE))</f>
        <v>白</v>
      </c>
      <c r="F593" s="8" t="str">
        <f>IF(B593="","",VLOOKUP(B593,小圆机汇总表!A:AP,8,FALSE))</f>
        <v>长乐</v>
      </c>
      <c r="G593" s="23">
        <v>43773</v>
      </c>
      <c r="H593" s="8">
        <v>481.8</v>
      </c>
      <c r="I593" s="8">
        <v>25</v>
      </c>
      <c r="K593" s="8" t="s">
        <v>2535</v>
      </c>
      <c r="M593" s="250">
        <f t="shared" si="10"/>
        <v>11</v>
      </c>
    </row>
    <row r="594" spans="1:13">
      <c r="A594" s="4">
        <v>594</v>
      </c>
      <c r="B594" s="8" t="s">
        <v>737</v>
      </c>
      <c r="C594" s="8" t="str">
        <f>IF(B594="","",VLOOKUP(B594,小圆机汇总表!A:AP,2,FALSE))</f>
        <v>A5035大W</v>
      </c>
      <c r="D594" s="8">
        <f>IF(B594="","",VLOOKUP(B594,小圆机汇总表!A:AP,7,FALSE))</f>
        <v>35</v>
      </c>
      <c r="E594" s="8" t="str">
        <f>IF(B594="","",VLOOKUP(B594,小圆机汇总表!A:AP,5,FALSE))</f>
        <v>白</v>
      </c>
      <c r="F594" s="8" t="str">
        <f>IF(B594="","",VLOOKUP(B594,小圆机汇总表!A:AP,8,FALSE))</f>
        <v>长乐</v>
      </c>
      <c r="G594" s="23">
        <v>43773</v>
      </c>
      <c r="H594" s="8">
        <v>177.8</v>
      </c>
      <c r="I594" s="8">
        <v>9</v>
      </c>
      <c r="K594" s="8" t="s">
        <v>2536</v>
      </c>
      <c r="M594" s="250">
        <f t="shared" si="10"/>
        <v>11</v>
      </c>
    </row>
    <row r="595" spans="1:13">
      <c r="A595" s="4">
        <v>595</v>
      </c>
      <c r="B595" s="8" t="s">
        <v>116</v>
      </c>
      <c r="C595" s="8" t="str">
        <f>IF(B595="","",VLOOKUP(B595,小圆机汇总表!A:AP,2,FALSE))</f>
        <v>B5036大W高温丝</v>
      </c>
      <c r="D595" s="8">
        <f>IF(B595="","",VLOOKUP(B595,小圆机汇总表!A:AP,7,FALSE))</f>
        <v>36</v>
      </c>
      <c r="E595" s="8" t="str">
        <f>IF(B595="","",VLOOKUP(B595,小圆机汇总表!A:AP,5,FALSE))</f>
        <v>白高温</v>
      </c>
      <c r="F595" s="8" t="str">
        <f>IF(B595="","",VLOOKUP(B595,小圆机汇总表!A:AP,8,FALSE))</f>
        <v>长乐</v>
      </c>
      <c r="G595" s="23">
        <v>43773</v>
      </c>
      <c r="H595" s="8">
        <v>1104.5</v>
      </c>
      <c r="I595" s="8">
        <v>55</v>
      </c>
      <c r="K595" s="8" t="s">
        <v>2531</v>
      </c>
      <c r="M595" s="250">
        <f t="shared" si="10"/>
        <v>11</v>
      </c>
    </row>
    <row r="596" spans="1:13">
      <c r="A596" s="4">
        <v>596</v>
      </c>
      <c r="B596" s="8" t="s">
        <v>741</v>
      </c>
      <c r="C596" s="8" t="str">
        <f>IF(B596="","",VLOOKUP(B596,小圆机汇总表!A:AP,2,FALSE))</f>
        <v>C5040w</v>
      </c>
      <c r="D596" s="8">
        <f>IF(B596="","",VLOOKUP(B596,小圆机汇总表!A:AP,7,FALSE))</f>
        <v>40</v>
      </c>
      <c r="E596" s="8" t="str">
        <f>IF(B596="","",VLOOKUP(B596,小圆机汇总表!A:AP,5,FALSE))</f>
        <v>白无温</v>
      </c>
      <c r="F596" s="8" t="str">
        <f>IF(B596="","",VLOOKUP(B596,小圆机汇总表!A:AP,8,FALSE))</f>
        <v>申久</v>
      </c>
      <c r="G596" s="23">
        <v>43773</v>
      </c>
      <c r="H596" s="8">
        <v>526.79999999999995</v>
      </c>
      <c r="I596" s="8">
        <v>27</v>
      </c>
      <c r="K596" s="8" t="s">
        <v>2538</v>
      </c>
      <c r="M596" s="250">
        <f t="shared" si="10"/>
        <v>11</v>
      </c>
    </row>
    <row r="597" spans="1:13">
      <c r="A597" s="4">
        <v>597</v>
      </c>
      <c r="B597" s="8" t="s">
        <v>749</v>
      </c>
      <c r="C597" s="8" t="str">
        <f>IF(B597="","",VLOOKUP(B597,小圆机汇总表!A:AP,2,FALSE))</f>
        <v>C7542大W 白丝</v>
      </c>
      <c r="D597" s="8">
        <f>IF(B597="","",VLOOKUP(B597,小圆机汇总表!A:AP,7,FALSE))</f>
        <v>42</v>
      </c>
      <c r="E597" s="8" t="str">
        <f>IF(B597="","",VLOOKUP(B597,小圆机汇总表!A:AP,5,FALSE))</f>
        <v>白高温</v>
      </c>
      <c r="F597" s="8" t="str">
        <f>IF(B597="","",VLOOKUP(B597,小圆机汇总表!A:AP,8,FALSE))</f>
        <v>申久</v>
      </c>
      <c r="G597" s="23">
        <v>43773</v>
      </c>
      <c r="H597" s="8">
        <v>464</v>
      </c>
      <c r="I597" s="8">
        <v>23</v>
      </c>
      <c r="K597" s="8" t="s">
        <v>2531</v>
      </c>
      <c r="M597" s="250">
        <f t="shared" si="10"/>
        <v>11</v>
      </c>
    </row>
    <row r="598" spans="1:13">
      <c r="A598" s="4">
        <v>598</v>
      </c>
      <c r="B598" s="8" t="s">
        <v>128</v>
      </c>
      <c r="C598" s="8" t="str">
        <f>IF(B598="","",VLOOKUP(B598,小圆机汇总表!A:AP,2,FALSE))</f>
        <v>A7545斜乱平纹</v>
      </c>
      <c r="D598" s="8">
        <f>IF(B598="","",VLOOKUP(B598,小圆机汇总表!A:AP,7,FALSE))</f>
        <v>45</v>
      </c>
      <c r="E598" s="8" t="str">
        <f>IF(B598="","",VLOOKUP(B598,小圆机汇总表!A:AP,5,FALSE))</f>
        <v>白</v>
      </c>
      <c r="F598" s="8" t="str">
        <f>IF(B598="","",VLOOKUP(B598,小圆机汇总表!A:AP,8,FALSE))</f>
        <v>长乐</v>
      </c>
      <c r="G598" s="23">
        <v>43773</v>
      </c>
      <c r="H598" s="8">
        <v>646.4</v>
      </c>
      <c r="I598" s="8">
        <v>32</v>
      </c>
      <c r="K598" s="8" t="s">
        <v>2537</v>
      </c>
      <c r="M598" s="250">
        <f t="shared" si="10"/>
        <v>11</v>
      </c>
    </row>
    <row r="599" spans="1:13">
      <c r="A599" s="4">
        <v>599</v>
      </c>
      <c r="B599" s="8" t="s">
        <v>83</v>
      </c>
      <c r="C599" s="8" t="str">
        <f>IF(B599="","",VLOOKUP(B599,小圆机汇总表!A:AP,2,FALSE))</f>
        <v>B7545w</v>
      </c>
      <c r="D599" s="8">
        <f>IF(B599="","",VLOOKUP(B599,小圆机汇总表!A:AP,7,FALSE))</f>
        <v>45</v>
      </c>
      <c r="E599" s="8" t="str">
        <f>IF(B599="","",VLOOKUP(B599,小圆机汇总表!A:AP,5,FALSE))</f>
        <v>白</v>
      </c>
      <c r="F599" s="8" t="str">
        <f>IF(B599="","",VLOOKUP(B599,小圆机汇总表!A:AP,8,FALSE))</f>
        <v>长乐</v>
      </c>
      <c r="G599" s="23">
        <v>43773</v>
      </c>
      <c r="H599" s="8">
        <v>613.9</v>
      </c>
      <c r="I599" s="8">
        <v>30</v>
      </c>
      <c r="K599" s="8" t="s">
        <v>2539</v>
      </c>
      <c r="M599" s="250">
        <f t="shared" si="10"/>
        <v>11</v>
      </c>
    </row>
    <row r="600" spans="1:13">
      <c r="A600" s="4">
        <v>600</v>
      </c>
      <c r="B600" s="8" t="s">
        <v>129</v>
      </c>
      <c r="C600" s="8" t="str">
        <f>IF(B600="","",VLOOKUP(B600,小圆机汇总表!A:AP,2,FALSE))</f>
        <v>A7548斜乱平纹</v>
      </c>
      <c r="D600" s="8">
        <f>IF(B600="","",VLOOKUP(B600,小圆机汇总表!A:AP,7,FALSE))</f>
        <v>48</v>
      </c>
      <c r="E600" s="8" t="str">
        <f>IF(B600="","",VLOOKUP(B600,小圆机汇总表!A:AP,5,FALSE))</f>
        <v>白高温</v>
      </c>
      <c r="F600" s="8" t="str">
        <f>IF(B600="","",VLOOKUP(B600,小圆机汇总表!A:AP,8,FALSE))</f>
        <v>长乐</v>
      </c>
      <c r="G600" s="23">
        <v>43773</v>
      </c>
      <c r="H600" s="8">
        <v>282.8</v>
      </c>
      <c r="I600" s="8">
        <v>14</v>
      </c>
      <c r="K600" s="8" t="s">
        <v>2532</v>
      </c>
      <c r="M600" s="250">
        <f t="shared" si="10"/>
        <v>11</v>
      </c>
    </row>
    <row r="601" spans="1:13">
      <c r="A601" s="4">
        <v>601</v>
      </c>
      <c r="B601" s="8" t="s">
        <v>1127</v>
      </c>
      <c r="C601" s="8" t="str">
        <f>IF(B601="","",VLOOKUP(B601,小圆机汇总表!A:AP,2,FALSE))</f>
        <v>B3023乱平纹</v>
      </c>
      <c r="D601" s="8">
        <f>IF(B601="","",VLOOKUP(B601,小圆机汇总表!A:AP,7,FALSE))</f>
        <v>23</v>
      </c>
      <c r="E601" s="8" t="str">
        <f>IF(B601="","",VLOOKUP(B601,小圆机汇总表!A:AP,5,FALSE))</f>
        <v>白</v>
      </c>
      <c r="F601" s="8" t="str">
        <f>IF(B601="","",VLOOKUP(B601,小圆机汇总表!A:AP,8,FALSE))</f>
        <v>银宇</v>
      </c>
      <c r="G601" s="23">
        <v>43774</v>
      </c>
      <c r="H601" s="8">
        <v>46.8</v>
      </c>
      <c r="I601" s="8">
        <v>3</v>
      </c>
      <c r="K601" s="8" t="s">
        <v>252</v>
      </c>
      <c r="L601" s="177">
        <v>1</v>
      </c>
      <c r="M601" s="250">
        <f t="shared" si="10"/>
        <v>11</v>
      </c>
    </row>
    <row r="602" spans="1:13">
      <c r="A602" s="4">
        <v>602</v>
      </c>
      <c r="B602" s="8" t="s">
        <v>1779</v>
      </c>
      <c r="C602" s="8" t="str">
        <f>IF(B602="","",VLOOKUP(B602,小圆机汇总表!A:AP,2,FALSE))</f>
        <v>B3023大W</v>
      </c>
      <c r="D602" s="8">
        <f>IF(B602="","",VLOOKUP(B602,小圆机汇总表!A:AP,7,FALSE))</f>
        <v>23</v>
      </c>
      <c r="E602" s="8" t="str">
        <f>IF(B602="","",VLOOKUP(B602,小圆机汇总表!A:AP,5,FALSE))</f>
        <v>白</v>
      </c>
      <c r="F602" s="8" t="str">
        <f>IF(B602="","",VLOOKUP(B602,小圆机汇总表!A:AP,8,FALSE))</f>
        <v>银宇</v>
      </c>
      <c r="G602" s="23">
        <v>43774</v>
      </c>
      <c r="H602" s="8">
        <v>16</v>
      </c>
      <c r="I602" s="8">
        <v>1</v>
      </c>
      <c r="K602" s="8" t="s">
        <v>2530</v>
      </c>
      <c r="L602" s="250">
        <v>0</v>
      </c>
      <c r="M602" s="250">
        <f t="shared" si="10"/>
        <v>11</v>
      </c>
    </row>
    <row r="603" spans="1:13">
      <c r="A603" s="4">
        <v>603</v>
      </c>
      <c r="B603" s="8" t="s">
        <v>2574</v>
      </c>
      <c r="C603" s="8" t="str">
        <f>IF(B603="","",VLOOKUP(B603,小圆机汇总表!A:AP,2,FALSE))</f>
        <v>A5027直平纹</v>
      </c>
      <c r="D603" s="8">
        <f>IF(B603="","",VLOOKUP(B603,小圆机汇总表!A:AP,7,FALSE))</f>
        <v>27</v>
      </c>
      <c r="E603" s="8" t="str">
        <f>IF(B603="","",VLOOKUP(B603,小圆机汇总表!A:AP,5,FALSE))</f>
        <v>白</v>
      </c>
      <c r="F603" s="8" t="str">
        <f>IF(B603="","",VLOOKUP(B603,小圆机汇总表!A:AP,8,FALSE))</f>
        <v>长乐</v>
      </c>
      <c r="G603" s="23">
        <v>43774</v>
      </c>
      <c r="H603" s="8">
        <v>409</v>
      </c>
      <c r="I603" s="8">
        <v>20</v>
      </c>
      <c r="K603" s="8" t="s">
        <v>2579</v>
      </c>
      <c r="L603" s="250">
        <v>4</v>
      </c>
      <c r="M603" s="250">
        <f t="shared" si="10"/>
        <v>11</v>
      </c>
    </row>
    <row r="604" spans="1:13">
      <c r="A604" s="4">
        <v>604</v>
      </c>
      <c r="B604" s="8" t="s">
        <v>1502</v>
      </c>
      <c r="C604" s="8" t="str">
        <f>IF(B604="","",VLOOKUP(B604,小圆机汇总表!A:AP,2,FALSE))</f>
        <v>A5032大W</v>
      </c>
      <c r="D604" s="8">
        <f>IF(B604="","",VLOOKUP(B604,小圆机汇总表!A:AP,7,FALSE))</f>
        <v>32</v>
      </c>
      <c r="E604" s="8" t="str">
        <f>IF(B604="","",VLOOKUP(B604,小圆机汇总表!A:AP,5,FALSE))</f>
        <v>白</v>
      </c>
      <c r="F604" s="8" t="str">
        <f>IF(B604="","",VLOOKUP(B604,小圆机汇总表!A:AP,8,FALSE))</f>
        <v>长乐</v>
      </c>
      <c r="G604" s="23">
        <v>43774</v>
      </c>
      <c r="H604" s="8">
        <v>191.7</v>
      </c>
      <c r="I604" s="8">
        <v>10</v>
      </c>
      <c r="K604" s="8" t="s">
        <v>2532</v>
      </c>
      <c r="L604" s="250">
        <v>2</v>
      </c>
      <c r="M604" s="250">
        <f t="shared" si="10"/>
        <v>11</v>
      </c>
    </row>
    <row r="605" spans="1:13">
      <c r="A605" s="4">
        <v>605</v>
      </c>
      <c r="B605" s="8" t="s">
        <v>122</v>
      </c>
      <c r="C605" s="8" t="str">
        <f>IF(B605="","",VLOOKUP(B605,小圆机汇总表!A:AP,2,FALSE))</f>
        <v>B5034大W</v>
      </c>
      <c r="D605" s="8">
        <f>IF(B605="","",VLOOKUP(B605,小圆机汇总表!A:AP,7,FALSE))</f>
        <v>34</v>
      </c>
      <c r="E605" s="8" t="str">
        <f>IF(B605="","",VLOOKUP(B605,小圆机汇总表!A:AP,5,FALSE))</f>
        <v>白高温</v>
      </c>
      <c r="F605" s="8" t="str">
        <f>IF(B605="","",VLOOKUP(B605,小圆机汇总表!A:AP,8,FALSE))</f>
        <v>长乐</v>
      </c>
      <c r="G605" s="23">
        <v>43774</v>
      </c>
      <c r="H605" s="8">
        <v>200</v>
      </c>
      <c r="I605" s="8">
        <v>10</v>
      </c>
      <c r="K605" s="8" t="s">
        <v>2534</v>
      </c>
      <c r="L605" s="250">
        <v>1</v>
      </c>
      <c r="M605" s="250">
        <f t="shared" si="10"/>
        <v>11</v>
      </c>
    </row>
    <row r="606" spans="1:13">
      <c r="A606" s="4">
        <v>606</v>
      </c>
      <c r="B606" s="8" t="s">
        <v>125</v>
      </c>
      <c r="C606" s="8" t="str">
        <f>IF(B606="","",VLOOKUP(B606,小圆机汇总表!A:AP,2,FALSE))</f>
        <v>A5035w黑</v>
      </c>
      <c r="D606" s="8">
        <f>IF(B606="","",VLOOKUP(B606,小圆机汇总表!A:AP,7,FALSE))</f>
        <v>35</v>
      </c>
      <c r="E606" s="8" t="str">
        <f>IF(B606="","",VLOOKUP(B606,小圆机汇总表!A:AP,5,FALSE))</f>
        <v>黑</v>
      </c>
      <c r="F606" s="8" t="str">
        <f>IF(B606="","",VLOOKUP(B606,小圆机汇总表!A:AP,8,FALSE))</f>
        <v>固力</v>
      </c>
      <c r="G606" s="23">
        <v>43774</v>
      </c>
      <c r="H606" s="8">
        <v>1130</v>
      </c>
      <c r="I606" s="8">
        <f>21+27+4</f>
        <v>52</v>
      </c>
      <c r="K606" s="8" t="s">
        <v>2534</v>
      </c>
      <c r="L606" s="250">
        <v>12</v>
      </c>
      <c r="M606" s="250">
        <f t="shared" si="10"/>
        <v>11</v>
      </c>
    </row>
    <row r="607" spans="1:13">
      <c r="A607" s="4">
        <v>607</v>
      </c>
      <c r="B607" s="8" t="s">
        <v>45</v>
      </c>
      <c r="C607" s="8" t="str">
        <f>IF(B607="","",VLOOKUP(B607,小圆机汇总表!A:AP,2,FALSE))</f>
        <v>A5035w</v>
      </c>
      <c r="D607" s="8">
        <f>IF(B607="","",VLOOKUP(B607,小圆机汇总表!A:AP,7,FALSE))</f>
        <v>35</v>
      </c>
      <c r="E607" s="8" t="str">
        <f>IF(B607="","",VLOOKUP(B607,小圆机汇总表!A:AP,5,FALSE))</f>
        <v>白</v>
      </c>
      <c r="F607" s="8" t="str">
        <f>IF(B607="","",VLOOKUP(B607,小圆机汇总表!A:AP,8,FALSE))</f>
        <v>长乐</v>
      </c>
      <c r="G607" s="23">
        <v>43774</v>
      </c>
      <c r="H607" s="8">
        <v>236.7</v>
      </c>
      <c r="I607" s="8">
        <v>13</v>
      </c>
      <c r="K607" s="8" t="s">
        <v>2535</v>
      </c>
      <c r="L607" s="250">
        <v>1</v>
      </c>
      <c r="M607" s="250">
        <f t="shared" si="10"/>
        <v>11</v>
      </c>
    </row>
    <row r="608" spans="1:13">
      <c r="A608" s="4">
        <v>608</v>
      </c>
      <c r="B608" s="8" t="s">
        <v>2935</v>
      </c>
      <c r="C608" s="8" t="str">
        <f>IF(B608="","",VLOOKUP(B608,小圆机汇总表!A:AP,2,FALSE))</f>
        <v>A5035w 32针</v>
      </c>
      <c r="D608" s="8">
        <f>IF(B608="","",VLOOKUP(B608,小圆机汇总表!A:AP,7,FALSE))</f>
        <v>35</v>
      </c>
      <c r="E608" s="8" t="str">
        <f>IF(B608="","",VLOOKUP(B608,小圆机汇总表!A:AP,5,FALSE))</f>
        <v>白</v>
      </c>
      <c r="F608" s="8" t="str">
        <f>IF(B608="","",VLOOKUP(B608,小圆机汇总表!A:AP,8,FALSE))</f>
        <v>长乐</v>
      </c>
      <c r="G608" s="23">
        <v>43774</v>
      </c>
      <c r="H608" s="8">
        <v>150.19999999999999</v>
      </c>
      <c r="I608" s="8">
        <v>8</v>
      </c>
      <c r="K608" s="8" t="s">
        <v>2536</v>
      </c>
      <c r="L608" s="250">
        <v>2</v>
      </c>
      <c r="M608" s="250">
        <f t="shared" si="10"/>
        <v>11</v>
      </c>
    </row>
    <row r="609" spans="1:13">
      <c r="A609" s="4">
        <v>609</v>
      </c>
      <c r="B609" s="8" t="s">
        <v>737</v>
      </c>
      <c r="C609" s="8" t="str">
        <f>IF(B609="","",VLOOKUP(B609,小圆机汇总表!A:AP,2,FALSE))</f>
        <v>A5035大W</v>
      </c>
      <c r="D609" s="8">
        <f>IF(B609="","",VLOOKUP(B609,小圆机汇总表!A:AP,7,FALSE))</f>
        <v>35</v>
      </c>
      <c r="E609" s="8" t="str">
        <f>IF(B609="","",VLOOKUP(B609,小圆机汇总表!A:AP,5,FALSE))</f>
        <v>白</v>
      </c>
      <c r="F609" s="8" t="str">
        <f>IF(B609="","",VLOOKUP(B609,小圆机汇总表!A:AP,8,FALSE))</f>
        <v>长乐</v>
      </c>
      <c r="G609" s="23">
        <v>43774</v>
      </c>
      <c r="H609" s="8">
        <v>158</v>
      </c>
      <c r="I609" s="8">
        <v>8</v>
      </c>
      <c r="K609" s="8" t="s">
        <v>2536</v>
      </c>
      <c r="L609" s="250">
        <v>2</v>
      </c>
      <c r="M609" s="250">
        <f t="shared" si="10"/>
        <v>11</v>
      </c>
    </row>
    <row r="610" spans="1:13">
      <c r="A610" s="4">
        <v>610</v>
      </c>
      <c r="B610" s="8" t="s">
        <v>116</v>
      </c>
      <c r="C610" s="8" t="str">
        <f>IF(B610="","",VLOOKUP(B610,小圆机汇总表!A:AP,2,FALSE))</f>
        <v>B5036大W高温丝</v>
      </c>
      <c r="D610" s="8">
        <f>IF(B610="","",VLOOKUP(B610,小圆机汇总表!A:AP,7,FALSE))</f>
        <v>36</v>
      </c>
      <c r="E610" s="8" t="str">
        <f>IF(B610="","",VLOOKUP(B610,小圆机汇总表!A:AP,5,FALSE))</f>
        <v>白高温</v>
      </c>
      <c r="F610" s="8" t="str">
        <f>IF(B610="","",VLOOKUP(B610,小圆机汇总表!A:AP,8,FALSE))</f>
        <v>长乐</v>
      </c>
      <c r="G610" s="23">
        <v>43774</v>
      </c>
      <c r="H610" s="8">
        <v>1061.9000000000001</v>
      </c>
      <c r="I610" s="8">
        <v>53</v>
      </c>
      <c r="K610" s="8" t="s">
        <v>2531</v>
      </c>
      <c r="L610" s="250">
        <v>19</v>
      </c>
      <c r="M610" s="250">
        <f t="shared" si="10"/>
        <v>11</v>
      </c>
    </row>
    <row r="611" spans="1:13">
      <c r="A611" s="4">
        <v>611</v>
      </c>
      <c r="B611" s="8" t="s">
        <v>70</v>
      </c>
      <c r="C611" s="8" t="str">
        <f>IF(B611="","",VLOOKUP(B611,小圆机汇总表!A:AP,2,FALSE))</f>
        <v>A5038w</v>
      </c>
      <c r="D611" s="8">
        <f>IF(B611="","",VLOOKUP(B611,小圆机汇总表!A:AP,7,FALSE))</f>
        <v>38</v>
      </c>
      <c r="E611" s="8" t="str">
        <f>IF(B611="","",VLOOKUP(B611,小圆机汇总表!A:AP,5,FALSE))</f>
        <v>白</v>
      </c>
      <c r="F611" s="8" t="str">
        <f>IF(B611="","",VLOOKUP(B611,小圆机汇总表!A:AP,8,FALSE))</f>
        <v>长乐</v>
      </c>
      <c r="G611" s="23">
        <v>43774</v>
      </c>
      <c r="H611" s="8">
        <v>200</v>
      </c>
      <c r="I611" s="8">
        <v>10</v>
      </c>
      <c r="K611" s="8" t="s">
        <v>2534</v>
      </c>
      <c r="L611" s="250">
        <v>5</v>
      </c>
      <c r="M611" s="250">
        <f t="shared" si="10"/>
        <v>11</v>
      </c>
    </row>
    <row r="612" spans="1:13">
      <c r="A612" s="4">
        <v>612</v>
      </c>
      <c r="B612" s="8" t="s">
        <v>741</v>
      </c>
      <c r="C612" s="8" t="str">
        <f>IF(B612="","",VLOOKUP(B612,小圆机汇总表!A:AP,2,FALSE))</f>
        <v>C5040w</v>
      </c>
      <c r="D612" s="8">
        <f>IF(B612="","",VLOOKUP(B612,小圆机汇总表!A:AP,7,FALSE))</f>
        <v>40</v>
      </c>
      <c r="E612" s="8" t="str">
        <f>IF(B612="","",VLOOKUP(B612,小圆机汇总表!A:AP,5,FALSE))</f>
        <v>白无温</v>
      </c>
      <c r="F612" s="8" t="str">
        <f>IF(B612="","",VLOOKUP(B612,小圆机汇总表!A:AP,8,FALSE))</f>
        <v>申久</v>
      </c>
      <c r="G612" s="23">
        <v>43774</v>
      </c>
      <c r="H612" s="8">
        <v>546.9</v>
      </c>
      <c r="I612" s="8">
        <v>28</v>
      </c>
      <c r="K612" s="8" t="s">
        <v>2538</v>
      </c>
      <c r="L612" s="250">
        <v>6</v>
      </c>
      <c r="M612" s="250">
        <f t="shared" si="10"/>
        <v>11</v>
      </c>
    </row>
    <row r="613" spans="1:13">
      <c r="A613" s="4">
        <v>613</v>
      </c>
      <c r="B613" s="8" t="s">
        <v>749</v>
      </c>
      <c r="C613" s="8" t="str">
        <f>IF(B613="","",VLOOKUP(B613,小圆机汇总表!A:AP,2,FALSE))</f>
        <v>C7542大W 白丝</v>
      </c>
      <c r="D613" s="8">
        <f>IF(B613="","",VLOOKUP(B613,小圆机汇总表!A:AP,7,FALSE))</f>
        <v>42</v>
      </c>
      <c r="E613" s="8" t="str">
        <f>IF(B613="","",VLOOKUP(B613,小圆机汇总表!A:AP,5,FALSE))</f>
        <v>白高温</v>
      </c>
      <c r="F613" s="8" t="str">
        <f>IF(B613="","",VLOOKUP(B613,小圆机汇总表!A:AP,8,FALSE))</f>
        <v>申久</v>
      </c>
      <c r="G613" s="23">
        <v>43774</v>
      </c>
      <c r="H613" s="8">
        <v>383.2</v>
      </c>
      <c r="I613" s="8">
        <v>19</v>
      </c>
      <c r="K613" s="8" t="s">
        <v>2531</v>
      </c>
      <c r="L613" s="250">
        <v>4</v>
      </c>
      <c r="M613" s="250">
        <f t="shared" si="10"/>
        <v>11</v>
      </c>
    </row>
    <row r="614" spans="1:13">
      <c r="A614" s="4">
        <v>614</v>
      </c>
      <c r="B614" s="8" t="s">
        <v>128</v>
      </c>
      <c r="C614" s="8" t="str">
        <f>IF(B614="","",VLOOKUP(B614,小圆机汇总表!A:AP,2,FALSE))</f>
        <v>A7545斜乱平纹</v>
      </c>
      <c r="D614" s="8">
        <f>IF(B614="","",VLOOKUP(B614,小圆机汇总表!A:AP,7,FALSE))</f>
        <v>45</v>
      </c>
      <c r="E614" s="8" t="str">
        <f>IF(B614="","",VLOOKUP(B614,小圆机汇总表!A:AP,5,FALSE))</f>
        <v>白</v>
      </c>
      <c r="F614" s="8" t="str">
        <f>IF(B614="","",VLOOKUP(B614,小圆机汇总表!A:AP,8,FALSE))</f>
        <v>长乐</v>
      </c>
      <c r="G614" s="23">
        <v>43774</v>
      </c>
      <c r="H614" s="8">
        <v>585.6</v>
      </c>
      <c r="I614" s="8">
        <v>29</v>
      </c>
      <c r="K614" s="8" t="s">
        <v>2537</v>
      </c>
      <c r="L614" s="250">
        <v>4</v>
      </c>
      <c r="M614" s="250">
        <f t="shared" si="10"/>
        <v>11</v>
      </c>
    </row>
    <row r="615" spans="1:13">
      <c r="A615" s="4">
        <v>615</v>
      </c>
      <c r="B615" s="8" t="s">
        <v>83</v>
      </c>
      <c r="C615" s="8" t="str">
        <f>IF(B615="","",VLOOKUP(B615,小圆机汇总表!A:AP,2,FALSE))</f>
        <v>B7545w</v>
      </c>
      <c r="D615" s="8">
        <f>IF(B615="","",VLOOKUP(B615,小圆机汇总表!A:AP,7,FALSE))</f>
        <v>45</v>
      </c>
      <c r="E615" s="8" t="str">
        <f>IF(B615="","",VLOOKUP(B615,小圆机汇总表!A:AP,5,FALSE))</f>
        <v>白</v>
      </c>
      <c r="F615" s="8" t="str">
        <f>IF(B615="","",VLOOKUP(B615,小圆机汇总表!A:AP,8,FALSE))</f>
        <v>长乐</v>
      </c>
      <c r="G615" s="23">
        <v>43774</v>
      </c>
      <c r="H615" s="8">
        <v>619.20000000000005</v>
      </c>
      <c r="I615" s="8">
        <v>30</v>
      </c>
      <c r="K615" s="8" t="s">
        <v>2539</v>
      </c>
      <c r="L615" s="250">
        <v>5</v>
      </c>
      <c r="M615" s="250">
        <f t="shared" si="10"/>
        <v>11</v>
      </c>
    </row>
    <row r="616" spans="1:13">
      <c r="A616" s="4">
        <v>616</v>
      </c>
      <c r="B616" s="8" t="s">
        <v>129</v>
      </c>
      <c r="C616" s="8" t="str">
        <f>IF(B616="","",VLOOKUP(B616,小圆机汇总表!A:AP,2,FALSE))</f>
        <v>A7548斜乱平纹</v>
      </c>
      <c r="D616" s="8">
        <f>IF(B616="","",VLOOKUP(B616,小圆机汇总表!A:AP,7,FALSE))</f>
        <v>48</v>
      </c>
      <c r="E616" s="8" t="str">
        <f>IF(B616="","",VLOOKUP(B616,小圆机汇总表!A:AP,5,FALSE))</f>
        <v>白高温</v>
      </c>
      <c r="F616" s="8" t="str">
        <f>IF(B616="","",VLOOKUP(B616,小圆机汇总表!A:AP,8,FALSE))</f>
        <v>长乐</v>
      </c>
      <c r="G616" s="23">
        <v>43774</v>
      </c>
      <c r="H616" s="8">
        <v>242.4</v>
      </c>
      <c r="I616" s="8">
        <v>12</v>
      </c>
      <c r="K616" s="8" t="s">
        <v>2532</v>
      </c>
      <c r="L616" s="250">
        <v>2</v>
      </c>
      <c r="M616" s="250">
        <f t="shared" si="10"/>
        <v>11</v>
      </c>
    </row>
    <row r="617" spans="1:13">
      <c r="A617" s="4">
        <v>617</v>
      </c>
      <c r="B617" s="8" t="s">
        <v>2574</v>
      </c>
      <c r="C617" s="8" t="str">
        <f>IF(B617="","",VLOOKUP(B617,小圆机汇总表!A:AP,2,FALSE))</f>
        <v>A5027直平纹</v>
      </c>
      <c r="D617" s="8">
        <f>IF(B617="","",VLOOKUP(B617,小圆机汇总表!A:AP,7,FALSE))</f>
        <v>27</v>
      </c>
      <c r="E617" s="8" t="str">
        <f>IF(B617="","",VLOOKUP(B617,小圆机汇总表!A:AP,5,FALSE))</f>
        <v>白</v>
      </c>
      <c r="F617" s="8" t="str">
        <f>IF(B617="","",VLOOKUP(B617,小圆机汇总表!A:AP,8,FALSE))</f>
        <v>长乐</v>
      </c>
      <c r="G617" s="23">
        <v>43775</v>
      </c>
      <c r="H617" s="8">
        <v>388.5</v>
      </c>
      <c r="I617" s="8">
        <v>19</v>
      </c>
      <c r="K617" s="8" t="s">
        <v>2579</v>
      </c>
      <c r="L617" s="177">
        <v>4</v>
      </c>
      <c r="M617" s="250">
        <f t="shared" si="10"/>
        <v>11</v>
      </c>
    </row>
    <row r="618" spans="1:13">
      <c r="A618" s="4">
        <v>618</v>
      </c>
      <c r="B618" s="8" t="s">
        <v>1502</v>
      </c>
      <c r="C618" s="8" t="str">
        <f>IF(B618="","",VLOOKUP(B618,小圆机汇总表!A:AP,2,FALSE))</f>
        <v>A5032大W</v>
      </c>
      <c r="D618" s="8">
        <f>IF(B618="","",VLOOKUP(B618,小圆机汇总表!A:AP,7,FALSE))</f>
        <v>32</v>
      </c>
      <c r="E618" s="8" t="str">
        <f>IF(B618="","",VLOOKUP(B618,小圆机汇总表!A:AP,5,FALSE))</f>
        <v>白</v>
      </c>
      <c r="F618" s="8" t="str">
        <f>IF(B618="","",VLOOKUP(B618,小圆机汇总表!A:AP,8,FALSE))</f>
        <v>长乐</v>
      </c>
      <c r="G618" s="23">
        <v>43775</v>
      </c>
      <c r="H618" s="8">
        <v>88.8</v>
      </c>
      <c r="I618" s="8">
        <v>5</v>
      </c>
      <c r="K618" s="8" t="s">
        <v>2532</v>
      </c>
      <c r="L618" s="250">
        <v>1</v>
      </c>
      <c r="M618" s="250">
        <f t="shared" si="10"/>
        <v>11</v>
      </c>
    </row>
    <row r="619" spans="1:13">
      <c r="A619" s="4">
        <v>619</v>
      </c>
      <c r="B619" s="8" t="s">
        <v>122</v>
      </c>
      <c r="C619" s="8" t="str">
        <f>IF(B619="","",VLOOKUP(B619,小圆机汇总表!A:AP,2,FALSE))</f>
        <v>B5034大W</v>
      </c>
      <c r="D619" s="8">
        <f>IF(B619="","",VLOOKUP(B619,小圆机汇总表!A:AP,7,FALSE))</f>
        <v>34</v>
      </c>
      <c r="E619" s="8" t="str">
        <f>IF(B619="","",VLOOKUP(B619,小圆机汇总表!A:AP,5,FALSE))</f>
        <v>白高温</v>
      </c>
      <c r="F619" s="8" t="str">
        <f>IF(B619="","",VLOOKUP(B619,小圆机汇总表!A:AP,8,FALSE))</f>
        <v>长乐</v>
      </c>
      <c r="G619" s="23">
        <v>43775</v>
      </c>
      <c r="H619" s="8">
        <v>263.10000000000002</v>
      </c>
      <c r="I619" s="8">
        <v>13</v>
      </c>
      <c r="K619" s="8" t="s">
        <v>2531</v>
      </c>
      <c r="L619" s="250">
        <v>2</v>
      </c>
      <c r="M619" s="250">
        <f t="shared" si="10"/>
        <v>11</v>
      </c>
    </row>
    <row r="620" spans="1:13">
      <c r="A620" s="4">
        <v>620</v>
      </c>
      <c r="B620" s="8" t="s">
        <v>125</v>
      </c>
      <c r="C620" s="8" t="str">
        <f>IF(B620="","",VLOOKUP(B620,小圆机汇总表!A:AP,2,FALSE))</f>
        <v>A5035w黑</v>
      </c>
      <c r="D620" s="8">
        <f>IF(B620="","",VLOOKUP(B620,小圆机汇总表!A:AP,7,FALSE))</f>
        <v>35</v>
      </c>
      <c r="E620" s="8" t="str">
        <f>IF(B620="","",VLOOKUP(B620,小圆机汇总表!A:AP,5,FALSE))</f>
        <v>黑</v>
      </c>
      <c r="F620" s="8" t="str">
        <f>IF(B620="","",VLOOKUP(B620,小圆机汇总表!A:AP,8,FALSE))</f>
        <v>固力</v>
      </c>
      <c r="G620" s="23">
        <v>43775</v>
      </c>
      <c r="H620" s="8">
        <v>1166.5999999999999</v>
      </c>
      <c r="I620" s="8">
        <f>21+27+5</f>
        <v>53</v>
      </c>
      <c r="K620" s="8" t="s">
        <v>2534</v>
      </c>
      <c r="L620" s="250">
        <v>12</v>
      </c>
      <c r="M620" s="250">
        <f t="shared" si="10"/>
        <v>11</v>
      </c>
    </row>
    <row r="621" spans="1:13">
      <c r="A621" s="4">
        <v>621</v>
      </c>
      <c r="B621" s="8" t="s">
        <v>45</v>
      </c>
      <c r="C621" s="8" t="str">
        <f>IF(B621="","",VLOOKUP(B621,小圆机汇总表!A:AP,2,FALSE))</f>
        <v>A5035w</v>
      </c>
      <c r="D621" s="8">
        <f>IF(B621="","",VLOOKUP(B621,小圆机汇总表!A:AP,7,FALSE))</f>
        <v>35</v>
      </c>
      <c r="E621" s="8" t="str">
        <f>IF(B621="","",VLOOKUP(B621,小圆机汇总表!A:AP,5,FALSE))</f>
        <v>白</v>
      </c>
      <c r="F621" s="8" t="str">
        <f>IF(B621="","",VLOOKUP(B621,小圆机汇总表!A:AP,8,FALSE))</f>
        <v>长乐</v>
      </c>
      <c r="G621" s="23">
        <v>43775</v>
      </c>
      <c r="H621" s="8">
        <v>80.8</v>
      </c>
      <c r="I621" s="8">
        <v>4</v>
      </c>
      <c r="K621" s="8" t="s">
        <v>2535</v>
      </c>
      <c r="L621" s="250">
        <v>1</v>
      </c>
      <c r="M621" s="250">
        <f t="shared" si="10"/>
        <v>11</v>
      </c>
    </row>
    <row r="622" spans="1:13">
      <c r="A622" s="4">
        <v>622</v>
      </c>
      <c r="B622" s="8" t="s">
        <v>2935</v>
      </c>
      <c r="C622" s="8" t="str">
        <f>IF(B622="","",VLOOKUP(B622,小圆机汇总表!A:AP,2,FALSE))</f>
        <v>A5035w 32针</v>
      </c>
      <c r="D622" s="8">
        <f>IF(B622="","",VLOOKUP(B622,小圆机汇总表!A:AP,7,FALSE))</f>
        <v>35</v>
      </c>
      <c r="E622" s="8" t="str">
        <f>IF(B622="","",VLOOKUP(B622,小圆机汇总表!A:AP,5,FALSE))</f>
        <v>白</v>
      </c>
      <c r="F622" s="8" t="str">
        <f>IF(B622="","",VLOOKUP(B622,小圆机汇总表!A:AP,8,FALSE))</f>
        <v>长乐</v>
      </c>
      <c r="G622" s="23">
        <v>43775</v>
      </c>
      <c r="H622" s="8">
        <v>179</v>
      </c>
      <c r="I622" s="8">
        <v>9</v>
      </c>
      <c r="K622" s="8" t="s">
        <v>2536</v>
      </c>
      <c r="L622" s="250">
        <v>2</v>
      </c>
      <c r="M622" s="250">
        <f t="shared" si="10"/>
        <v>11</v>
      </c>
    </row>
    <row r="623" spans="1:13">
      <c r="A623" s="4">
        <v>623</v>
      </c>
      <c r="B623" s="8" t="s">
        <v>737</v>
      </c>
      <c r="C623" s="8" t="str">
        <f>IF(B623="","",VLOOKUP(B623,小圆机汇总表!A:AP,2,FALSE))</f>
        <v>A5035大W</v>
      </c>
      <c r="D623" s="8">
        <f>IF(B623="","",VLOOKUP(B623,小圆机汇总表!A:AP,7,FALSE))</f>
        <v>35</v>
      </c>
      <c r="E623" s="8" t="str">
        <f>IF(B623="","",VLOOKUP(B623,小圆机汇总表!A:AP,5,FALSE))</f>
        <v>白</v>
      </c>
      <c r="F623" s="8" t="str">
        <f>IF(B623="","",VLOOKUP(B623,小圆机汇总表!A:AP,8,FALSE))</f>
        <v>长乐</v>
      </c>
      <c r="G623" s="23">
        <v>43775</v>
      </c>
      <c r="H623" s="8">
        <v>158</v>
      </c>
      <c r="I623" s="8">
        <v>8</v>
      </c>
      <c r="K623" s="8" t="s">
        <v>2536</v>
      </c>
      <c r="L623" s="250">
        <v>2</v>
      </c>
      <c r="M623" s="250">
        <f t="shared" si="10"/>
        <v>11</v>
      </c>
    </row>
    <row r="624" spans="1:13">
      <c r="A624" s="4">
        <v>624</v>
      </c>
      <c r="B624" s="8" t="s">
        <v>116</v>
      </c>
      <c r="C624" s="8" t="str">
        <f>IF(B624="","",VLOOKUP(B624,小圆机汇总表!A:AP,2,FALSE))</f>
        <v>B5036大W高温丝</v>
      </c>
      <c r="D624" s="8">
        <f>IF(B624="","",VLOOKUP(B624,小圆机汇总表!A:AP,7,FALSE))</f>
        <v>36</v>
      </c>
      <c r="E624" s="8" t="str">
        <f>IF(B624="","",VLOOKUP(B624,小圆机汇总表!A:AP,5,FALSE))</f>
        <v>白高温</v>
      </c>
      <c r="F624" s="8" t="str">
        <f>IF(B624="","",VLOOKUP(B624,小圆机汇总表!A:AP,8,FALSE))</f>
        <v>长乐</v>
      </c>
      <c r="G624" s="23">
        <v>43775</v>
      </c>
      <c r="H624" s="8">
        <v>1065</v>
      </c>
      <c r="I624" s="8">
        <v>54</v>
      </c>
      <c r="K624" s="8" t="s">
        <v>2531</v>
      </c>
      <c r="L624" s="250">
        <v>19</v>
      </c>
      <c r="M624" s="250">
        <f t="shared" si="10"/>
        <v>11</v>
      </c>
    </row>
    <row r="625" spans="1:13">
      <c r="A625" s="4">
        <v>625</v>
      </c>
      <c r="B625" s="8" t="s">
        <v>2876</v>
      </c>
      <c r="C625" s="8" t="str">
        <f>IF(B625="","",VLOOKUP(B625,小圆机汇总表!A:AP,2,FALSE))</f>
        <v>A5038w</v>
      </c>
      <c r="D625" s="8">
        <f>IF(B625="","",VLOOKUP(B625,小圆机汇总表!A:AP,7,FALSE))</f>
        <v>38</v>
      </c>
      <c r="E625" s="8" t="str">
        <f>IF(B625="","",VLOOKUP(B625,小圆机汇总表!A:AP,5,FALSE))</f>
        <v>白</v>
      </c>
      <c r="F625" s="8" t="str">
        <f>IF(B625="","",VLOOKUP(B625,小圆机汇总表!A:AP,8,FALSE))</f>
        <v>长乐</v>
      </c>
      <c r="G625" s="23">
        <v>43775</v>
      </c>
      <c r="H625" s="8">
        <v>389.2</v>
      </c>
      <c r="I625" s="8">
        <v>20</v>
      </c>
      <c r="K625" s="8" t="s">
        <v>2534</v>
      </c>
      <c r="L625" s="250">
        <v>5</v>
      </c>
      <c r="M625" s="250">
        <f t="shared" si="10"/>
        <v>11</v>
      </c>
    </row>
    <row r="626" spans="1:13">
      <c r="A626" s="4">
        <v>626</v>
      </c>
      <c r="B626" s="8" t="s">
        <v>741</v>
      </c>
      <c r="C626" s="8" t="str">
        <f>IF(B626="","",VLOOKUP(B626,小圆机汇总表!A:AP,2,FALSE))</f>
        <v>C5040w</v>
      </c>
      <c r="D626" s="8">
        <f>IF(B626="","",VLOOKUP(B626,小圆机汇总表!A:AP,7,FALSE))</f>
        <v>40</v>
      </c>
      <c r="E626" s="8" t="str">
        <f>IF(B626="","",VLOOKUP(B626,小圆机汇总表!A:AP,5,FALSE))</f>
        <v>白无温</v>
      </c>
      <c r="F626" s="8" t="str">
        <f>IF(B626="","",VLOOKUP(B626,小圆机汇总表!A:AP,8,FALSE))</f>
        <v>申久</v>
      </c>
      <c r="G626" s="23">
        <v>43775</v>
      </c>
      <c r="H626" s="8">
        <v>504.4</v>
      </c>
      <c r="I626" s="8">
        <v>26</v>
      </c>
      <c r="K626" s="8" t="s">
        <v>2538</v>
      </c>
      <c r="L626" s="250">
        <v>6</v>
      </c>
      <c r="M626" s="250">
        <f t="shared" si="10"/>
        <v>11</v>
      </c>
    </row>
    <row r="627" spans="1:13">
      <c r="A627" s="4">
        <v>627</v>
      </c>
      <c r="B627" s="8" t="s">
        <v>749</v>
      </c>
      <c r="C627" s="8" t="str">
        <f>IF(B627="","",VLOOKUP(B627,小圆机汇总表!A:AP,2,FALSE))</f>
        <v>C7542大W 白丝</v>
      </c>
      <c r="D627" s="8">
        <f>IF(B627="","",VLOOKUP(B627,小圆机汇总表!A:AP,7,FALSE))</f>
        <v>42</v>
      </c>
      <c r="E627" s="8" t="str">
        <f>IF(B627="","",VLOOKUP(B627,小圆机汇总表!A:AP,5,FALSE))</f>
        <v>白高温</v>
      </c>
      <c r="F627" s="8" t="str">
        <f>IF(B627="","",VLOOKUP(B627,小圆机汇总表!A:AP,8,FALSE))</f>
        <v>申久</v>
      </c>
      <c r="G627" s="23">
        <v>43775</v>
      </c>
      <c r="H627" s="8">
        <v>423.7</v>
      </c>
      <c r="I627" s="8">
        <v>21</v>
      </c>
      <c r="K627" s="8" t="s">
        <v>2531</v>
      </c>
      <c r="L627" s="250">
        <v>4</v>
      </c>
      <c r="M627" s="250">
        <f t="shared" si="10"/>
        <v>11</v>
      </c>
    </row>
    <row r="628" spans="1:13">
      <c r="A628" s="4">
        <v>628</v>
      </c>
      <c r="B628" s="8" t="s">
        <v>128</v>
      </c>
      <c r="C628" s="8" t="str">
        <f>IF(B628="","",VLOOKUP(B628,小圆机汇总表!A:AP,2,FALSE))</f>
        <v>A7545斜乱平纹</v>
      </c>
      <c r="D628" s="8">
        <f>IF(B628="","",VLOOKUP(B628,小圆机汇总表!A:AP,7,FALSE))</f>
        <v>45</v>
      </c>
      <c r="E628" s="8" t="str">
        <f>IF(B628="","",VLOOKUP(B628,小圆机汇总表!A:AP,5,FALSE))</f>
        <v>白</v>
      </c>
      <c r="F628" s="8" t="str">
        <f>IF(B628="","",VLOOKUP(B628,小圆机汇总表!A:AP,8,FALSE))</f>
        <v>长乐</v>
      </c>
      <c r="G628" s="23">
        <v>43775</v>
      </c>
      <c r="H628" s="8">
        <v>626</v>
      </c>
      <c r="I628" s="8">
        <v>31</v>
      </c>
      <c r="K628" s="8" t="s">
        <v>2537</v>
      </c>
      <c r="L628" s="250">
        <v>4</v>
      </c>
      <c r="M628" s="250">
        <f t="shared" si="10"/>
        <v>11</v>
      </c>
    </row>
    <row r="629" spans="1:13">
      <c r="A629" s="4">
        <v>629</v>
      </c>
      <c r="B629" s="8" t="s">
        <v>83</v>
      </c>
      <c r="C629" s="8" t="str">
        <f>IF(B629="","",VLOOKUP(B629,小圆机汇总表!A:AP,2,FALSE))</f>
        <v>B7545w</v>
      </c>
      <c r="D629" s="8">
        <f>IF(B629="","",VLOOKUP(B629,小圆机汇总表!A:AP,7,FALSE))</f>
        <v>45</v>
      </c>
      <c r="E629" s="8" t="str">
        <f>IF(B629="","",VLOOKUP(B629,小圆机汇总表!A:AP,5,FALSE))</f>
        <v>白</v>
      </c>
      <c r="F629" s="8" t="str">
        <f>IF(B629="","",VLOOKUP(B629,小圆机汇总表!A:AP,8,FALSE))</f>
        <v>长乐</v>
      </c>
      <c r="G629" s="23">
        <v>43775</v>
      </c>
      <c r="H629" s="8">
        <v>556.20000000000005</v>
      </c>
      <c r="I629" s="8">
        <v>27</v>
      </c>
      <c r="K629" s="8" t="s">
        <v>2539</v>
      </c>
      <c r="L629" s="250">
        <v>5</v>
      </c>
      <c r="M629" s="250">
        <f t="shared" si="10"/>
        <v>11</v>
      </c>
    </row>
    <row r="630" spans="1:13">
      <c r="A630" s="4">
        <v>630</v>
      </c>
      <c r="B630" s="8" t="s">
        <v>129</v>
      </c>
      <c r="C630" s="8" t="str">
        <f>IF(B630="","",VLOOKUP(B630,小圆机汇总表!A:AP,2,FALSE))</f>
        <v>A7548斜乱平纹</v>
      </c>
      <c r="D630" s="8">
        <f>IF(B630="","",VLOOKUP(B630,小圆机汇总表!A:AP,7,FALSE))</f>
        <v>48</v>
      </c>
      <c r="E630" s="8" t="str">
        <f>IF(B630="","",VLOOKUP(B630,小圆机汇总表!A:AP,5,FALSE))</f>
        <v>白高温</v>
      </c>
      <c r="F630" s="8" t="str">
        <f>IF(B630="","",VLOOKUP(B630,小圆机汇总表!A:AP,8,FALSE))</f>
        <v>长乐</v>
      </c>
      <c r="G630" s="23">
        <v>43775</v>
      </c>
      <c r="H630" s="8">
        <v>282.8</v>
      </c>
      <c r="I630" s="8">
        <v>14</v>
      </c>
      <c r="K630" s="8" t="s">
        <v>2532</v>
      </c>
      <c r="L630" s="250">
        <v>2</v>
      </c>
      <c r="M630" s="250">
        <f t="shared" si="10"/>
        <v>11</v>
      </c>
    </row>
    <row r="631" spans="1:13">
      <c r="A631" s="4">
        <v>631</v>
      </c>
      <c r="C631" s="8" t="str">
        <f>IF(B631="","",VLOOKUP(B631,小圆机汇总表!A:AP,2,FALSE))</f>
        <v/>
      </c>
      <c r="D631" s="8" t="str">
        <f>IF(B631="","",VLOOKUP(B631,小圆机汇总表!A:AP,7,FALSE))</f>
        <v/>
      </c>
      <c r="E631" s="8" t="str">
        <f>IF(B631="","",VLOOKUP(B631,小圆机汇总表!A:AP,5,FALSE))</f>
        <v/>
      </c>
      <c r="F631" s="8" t="str">
        <f>IF(B631="","",VLOOKUP(B631,小圆机汇总表!A:AP,8,FALSE))</f>
        <v/>
      </c>
      <c r="M631" s="250" t="str">
        <f t="shared" si="10"/>
        <v/>
      </c>
    </row>
    <row r="632" spans="1:13">
      <c r="A632" s="4">
        <v>632</v>
      </c>
      <c r="C632" s="8" t="str">
        <f>IF(B632="","",VLOOKUP(B632,小圆机汇总表!A:AP,2,FALSE))</f>
        <v/>
      </c>
      <c r="D632" s="8" t="str">
        <f>IF(B632="","",VLOOKUP(B632,小圆机汇总表!A:AP,7,FALSE))</f>
        <v/>
      </c>
      <c r="E632" s="8" t="str">
        <f>IF(B632="","",VLOOKUP(B632,小圆机汇总表!A:AP,5,FALSE))</f>
        <v/>
      </c>
      <c r="F632" s="8" t="str">
        <f>IF(B632="","",VLOOKUP(B632,小圆机汇总表!A:AP,8,FALSE))</f>
        <v/>
      </c>
      <c r="M632" s="250" t="str">
        <f t="shared" si="10"/>
        <v/>
      </c>
    </row>
    <row r="633" spans="1:13">
      <c r="A633" s="4">
        <v>633</v>
      </c>
      <c r="C633" s="8" t="str">
        <f>IF(B633="","",VLOOKUP(B633,小圆机汇总表!A:AP,2,FALSE))</f>
        <v/>
      </c>
      <c r="D633" s="8" t="str">
        <f>IF(B633="","",VLOOKUP(B633,小圆机汇总表!A:AP,7,FALSE))</f>
        <v/>
      </c>
      <c r="E633" s="8" t="str">
        <f>IF(B633="","",VLOOKUP(B633,小圆机汇总表!A:AP,5,FALSE))</f>
        <v/>
      </c>
      <c r="F633" s="8" t="str">
        <f>IF(B633="","",VLOOKUP(B633,小圆机汇总表!A:AP,8,FALSE))</f>
        <v/>
      </c>
      <c r="M633" s="250" t="str">
        <f t="shared" si="10"/>
        <v/>
      </c>
    </row>
    <row r="634" spans="1:13">
      <c r="A634" s="4">
        <v>634</v>
      </c>
      <c r="C634" s="8" t="str">
        <f>IF(B634="","",VLOOKUP(B634,小圆机汇总表!A:AP,2,FALSE))</f>
        <v/>
      </c>
      <c r="D634" s="8" t="str">
        <f>IF(B634="","",VLOOKUP(B634,小圆机汇总表!A:AP,7,FALSE))</f>
        <v/>
      </c>
      <c r="E634" s="8" t="str">
        <f>IF(B634="","",VLOOKUP(B634,小圆机汇总表!A:AP,5,FALSE))</f>
        <v/>
      </c>
      <c r="F634" s="8" t="str">
        <f>IF(B634="","",VLOOKUP(B634,小圆机汇总表!A:AP,8,FALSE))</f>
        <v/>
      </c>
      <c r="M634" s="250" t="str">
        <f t="shared" si="10"/>
        <v/>
      </c>
    </row>
    <row r="635" spans="1:13">
      <c r="A635" s="4">
        <v>635</v>
      </c>
      <c r="C635" s="8" t="str">
        <f>IF(B635="","",VLOOKUP(B635,小圆机汇总表!A:AP,2,FALSE))</f>
        <v/>
      </c>
      <c r="D635" s="8" t="str">
        <f>IF(B635="","",VLOOKUP(B635,小圆机汇总表!A:AP,7,FALSE))</f>
        <v/>
      </c>
      <c r="E635" s="8" t="str">
        <f>IF(B635="","",VLOOKUP(B635,小圆机汇总表!A:AP,5,FALSE))</f>
        <v/>
      </c>
      <c r="F635" s="8" t="str">
        <f>IF(B635="","",VLOOKUP(B635,小圆机汇总表!A:AP,8,FALSE))</f>
        <v/>
      </c>
      <c r="M635" s="250" t="str">
        <f t="shared" si="10"/>
        <v/>
      </c>
    </row>
    <row r="636" spans="1:13">
      <c r="A636" s="4">
        <v>636</v>
      </c>
      <c r="C636" s="8" t="str">
        <f>IF(B636="","",VLOOKUP(B636,小圆机汇总表!A:AP,2,FALSE))</f>
        <v/>
      </c>
      <c r="D636" s="8" t="str">
        <f>IF(B636="","",VLOOKUP(B636,小圆机汇总表!A:AP,7,FALSE))</f>
        <v/>
      </c>
      <c r="E636" s="8" t="str">
        <f>IF(B636="","",VLOOKUP(B636,小圆机汇总表!A:AP,5,FALSE))</f>
        <v/>
      </c>
      <c r="F636" s="8" t="str">
        <f>IF(B636="","",VLOOKUP(B636,小圆机汇总表!A:AP,8,FALSE))</f>
        <v/>
      </c>
      <c r="M636" s="250" t="str">
        <f t="shared" si="10"/>
        <v/>
      </c>
    </row>
    <row r="637" spans="1:13">
      <c r="A637" s="4">
        <v>637</v>
      </c>
      <c r="C637" s="8" t="str">
        <f>IF(B637="","",VLOOKUP(B637,小圆机汇总表!A:AP,2,FALSE))</f>
        <v/>
      </c>
      <c r="D637" s="8" t="str">
        <f>IF(B637="","",VLOOKUP(B637,小圆机汇总表!A:AP,7,FALSE))</f>
        <v/>
      </c>
      <c r="E637" s="8" t="str">
        <f>IF(B637="","",VLOOKUP(B637,小圆机汇总表!A:AP,5,FALSE))</f>
        <v/>
      </c>
      <c r="F637" s="8" t="str">
        <f>IF(B637="","",VLOOKUP(B637,小圆机汇总表!A:AP,8,FALSE))</f>
        <v/>
      </c>
      <c r="M637" s="250" t="str">
        <f t="shared" si="10"/>
        <v/>
      </c>
    </row>
    <row r="638" spans="1:13">
      <c r="A638" s="4">
        <v>638</v>
      </c>
      <c r="C638" s="8" t="str">
        <f>IF(B638="","",VLOOKUP(B638,小圆机汇总表!A:AP,2,FALSE))</f>
        <v/>
      </c>
      <c r="D638" s="8" t="str">
        <f>IF(B638="","",VLOOKUP(B638,小圆机汇总表!A:AP,7,FALSE))</f>
        <v/>
      </c>
      <c r="E638" s="8" t="str">
        <f>IF(B638="","",VLOOKUP(B638,小圆机汇总表!A:AP,5,FALSE))</f>
        <v/>
      </c>
      <c r="F638" s="8" t="str">
        <f>IF(B638="","",VLOOKUP(B638,小圆机汇总表!A:AP,8,FALSE))</f>
        <v/>
      </c>
      <c r="M638" s="250" t="str">
        <f t="shared" si="10"/>
        <v/>
      </c>
    </row>
    <row r="639" spans="1:13">
      <c r="A639" s="4">
        <v>639</v>
      </c>
      <c r="C639" s="8" t="str">
        <f>IF(B639="","",VLOOKUP(B639,小圆机汇总表!A:AP,2,FALSE))</f>
        <v/>
      </c>
      <c r="D639" s="8" t="str">
        <f>IF(B639="","",VLOOKUP(B639,小圆机汇总表!A:AP,7,FALSE))</f>
        <v/>
      </c>
      <c r="E639" s="8" t="str">
        <f>IF(B639="","",VLOOKUP(B639,小圆机汇总表!A:AP,5,FALSE))</f>
        <v/>
      </c>
      <c r="F639" s="8" t="str">
        <f>IF(B639="","",VLOOKUP(B639,小圆机汇总表!A:AP,8,FALSE))</f>
        <v/>
      </c>
      <c r="M639" s="250" t="str">
        <f t="shared" si="10"/>
        <v/>
      </c>
    </row>
    <row r="640" spans="1:13">
      <c r="A640" s="4">
        <v>640</v>
      </c>
      <c r="C640" s="8" t="str">
        <f>IF(B640="","",VLOOKUP(B640,小圆机汇总表!A:AP,2,FALSE))</f>
        <v/>
      </c>
      <c r="D640" s="8" t="str">
        <f>IF(B640="","",VLOOKUP(B640,小圆机汇总表!A:AP,7,FALSE))</f>
        <v/>
      </c>
      <c r="E640" s="8" t="str">
        <f>IF(B640="","",VLOOKUP(B640,小圆机汇总表!A:AP,5,FALSE))</f>
        <v/>
      </c>
      <c r="F640" s="8" t="str">
        <f>IF(B640="","",VLOOKUP(B640,小圆机汇总表!A:AP,8,FALSE))</f>
        <v/>
      </c>
      <c r="M640" s="250" t="str">
        <f t="shared" si="10"/>
        <v/>
      </c>
    </row>
    <row r="641" spans="1:13">
      <c r="A641" s="4">
        <v>641</v>
      </c>
      <c r="C641" s="8" t="str">
        <f>IF(B641="","",VLOOKUP(B641,小圆机汇总表!A:AP,2,FALSE))</f>
        <v/>
      </c>
      <c r="D641" s="8" t="str">
        <f>IF(B641="","",VLOOKUP(B641,小圆机汇总表!A:AP,7,FALSE))</f>
        <v/>
      </c>
      <c r="E641" s="8" t="str">
        <f>IF(B641="","",VLOOKUP(B641,小圆机汇总表!A:AP,5,FALSE))</f>
        <v/>
      </c>
      <c r="F641" s="8" t="str">
        <f>IF(B641="","",VLOOKUP(B641,小圆机汇总表!A:AP,8,FALSE))</f>
        <v/>
      </c>
      <c r="M641" s="250" t="str">
        <f t="shared" si="10"/>
        <v/>
      </c>
    </row>
    <row r="642" spans="1:13">
      <c r="A642" s="4">
        <v>642</v>
      </c>
      <c r="C642" s="8" t="str">
        <f>IF(B642="","",VLOOKUP(B642,小圆机汇总表!A:AP,2,FALSE))</f>
        <v/>
      </c>
      <c r="D642" s="8" t="str">
        <f>IF(B642="","",VLOOKUP(B642,小圆机汇总表!A:AP,7,FALSE))</f>
        <v/>
      </c>
      <c r="E642" s="8" t="str">
        <f>IF(B642="","",VLOOKUP(B642,小圆机汇总表!A:AP,5,FALSE))</f>
        <v/>
      </c>
      <c r="F642" s="8" t="str">
        <f>IF(B642="","",VLOOKUP(B642,小圆机汇总表!A:AP,8,FALSE))</f>
        <v/>
      </c>
      <c r="M642" s="250" t="str">
        <f t="shared" si="10"/>
        <v/>
      </c>
    </row>
    <row r="643" spans="1:13">
      <c r="A643" s="4">
        <v>643</v>
      </c>
      <c r="C643" s="8" t="str">
        <f>IF(B643="","",VLOOKUP(B643,小圆机汇总表!A:AP,2,FALSE))</f>
        <v/>
      </c>
      <c r="D643" s="8" t="str">
        <f>IF(B643="","",VLOOKUP(B643,小圆机汇总表!A:AP,7,FALSE))</f>
        <v/>
      </c>
      <c r="E643" s="8" t="str">
        <f>IF(B643="","",VLOOKUP(B643,小圆机汇总表!A:AP,5,FALSE))</f>
        <v/>
      </c>
      <c r="F643" s="8" t="str">
        <f>IF(B643="","",VLOOKUP(B643,小圆机汇总表!A:AP,8,FALSE))</f>
        <v/>
      </c>
      <c r="M643" s="250" t="str">
        <f t="shared" ref="M643:M706" si="11">IF(B643="","",MONTH(G643))</f>
        <v/>
      </c>
    </row>
    <row r="644" spans="1:13">
      <c r="A644" s="4">
        <v>644</v>
      </c>
      <c r="C644" s="8" t="str">
        <f>IF(B644="","",VLOOKUP(B644,小圆机汇总表!A:AP,2,FALSE))</f>
        <v/>
      </c>
      <c r="D644" s="8" t="str">
        <f>IF(B644="","",VLOOKUP(B644,小圆机汇总表!A:AP,7,FALSE))</f>
        <v/>
      </c>
      <c r="E644" s="8" t="str">
        <f>IF(B644="","",VLOOKUP(B644,小圆机汇总表!A:AP,5,FALSE))</f>
        <v/>
      </c>
      <c r="F644" s="8" t="str">
        <f>IF(B644="","",VLOOKUP(B644,小圆机汇总表!A:AP,8,FALSE))</f>
        <v/>
      </c>
      <c r="M644" s="250" t="str">
        <f t="shared" si="11"/>
        <v/>
      </c>
    </row>
    <row r="645" spans="1:13">
      <c r="A645" s="4">
        <v>645</v>
      </c>
      <c r="C645" s="8" t="str">
        <f>IF(B645="","",VLOOKUP(B645,小圆机汇总表!A:AP,2,FALSE))</f>
        <v/>
      </c>
      <c r="D645" s="8" t="str">
        <f>IF(B645="","",VLOOKUP(B645,小圆机汇总表!A:AP,7,FALSE))</f>
        <v/>
      </c>
      <c r="E645" s="8" t="str">
        <f>IF(B645="","",VLOOKUP(B645,小圆机汇总表!A:AP,5,FALSE))</f>
        <v/>
      </c>
      <c r="F645" s="8" t="str">
        <f>IF(B645="","",VLOOKUP(B645,小圆机汇总表!A:AP,8,FALSE))</f>
        <v/>
      </c>
      <c r="M645" s="250" t="str">
        <f t="shared" si="11"/>
        <v/>
      </c>
    </row>
    <row r="646" spans="1:13">
      <c r="A646" s="4">
        <v>646</v>
      </c>
      <c r="C646" s="8" t="str">
        <f>IF(B646="","",VLOOKUP(B646,小圆机汇总表!A:AP,2,FALSE))</f>
        <v/>
      </c>
      <c r="D646" s="8" t="str">
        <f>IF(B646="","",VLOOKUP(B646,小圆机汇总表!A:AP,7,FALSE))</f>
        <v/>
      </c>
      <c r="E646" s="8" t="str">
        <f>IF(B646="","",VLOOKUP(B646,小圆机汇总表!A:AP,5,FALSE))</f>
        <v/>
      </c>
      <c r="F646" s="8" t="str">
        <f>IF(B646="","",VLOOKUP(B646,小圆机汇总表!A:AP,8,FALSE))</f>
        <v/>
      </c>
      <c r="M646" s="250" t="str">
        <f t="shared" si="11"/>
        <v/>
      </c>
    </row>
    <row r="647" spans="1:13">
      <c r="A647" s="4">
        <v>647</v>
      </c>
      <c r="C647" s="8" t="str">
        <f>IF(B647="","",VLOOKUP(B647,小圆机汇总表!A:AP,2,FALSE))</f>
        <v/>
      </c>
      <c r="D647" s="8" t="str">
        <f>IF(B647="","",VLOOKUP(B647,小圆机汇总表!A:AP,7,FALSE))</f>
        <v/>
      </c>
      <c r="E647" s="8" t="str">
        <f>IF(B647="","",VLOOKUP(B647,小圆机汇总表!A:AP,5,FALSE))</f>
        <v/>
      </c>
      <c r="F647" s="8" t="str">
        <f>IF(B647="","",VLOOKUP(B647,小圆机汇总表!A:AP,8,FALSE))</f>
        <v/>
      </c>
      <c r="M647" s="250" t="str">
        <f t="shared" si="11"/>
        <v/>
      </c>
    </row>
    <row r="648" spans="1:13">
      <c r="A648" s="4">
        <v>648</v>
      </c>
      <c r="C648" s="8" t="str">
        <f>IF(B648="","",VLOOKUP(B648,小圆机汇总表!A:AP,2,FALSE))</f>
        <v/>
      </c>
      <c r="D648" s="8" t="str">
        <f>IF(B648="","",VLOOKUP(B648,小圆机汇总表!A:AP,7,FALSE))</f>
        <v/>
      </c>
      <c r="E648" s="8" t="str">
        <f>IF(B648="","",VLOOKUP(B648,小圆机汇总表!A:AP,5,FALSE))</f>
        <v/>
      </c>
      <c r="F648" s="8" t="str">
        <f>IF(B648="","",VLOOKUP(B648,小圆机汇总表!A:AP,8,FALSE))</f>
        <v/>
      </c>
      <c r="M648" s="250" t="str">
        <f t="shared" si="11"/>
        <v/>
      </c>
    </row>
    <row r="649" spans="1:13">
      <c r="A649" s="4">
        <v>649</v>
      </c>
      <c r="C649" s="8" t="str">
        <f>IF(B649="","",VLOOKUP(B649,小圆机汇总表!A:AP,2,FALSE))</f>
        <v/>
      </c>
      <c r="D649" s="8" t="str">
        <f>IF(B649="","",VLOOKUP(B649,小圆机汇总表!A:AP,7,FALSE))</f>
        <v/>
      </c>
      <c r="E649" s="8" t="str">
        <f>IF(B649="","",VLOOKUP(B649,小圆机汇总表!A:AP,5,FALSE))</f>
        <v/>
      </c>
      <c r="F649" s="8" t="str">
        <f>IF(B649="","",VLOOKUP(B649,小圆机汇总表!A:AP,8,FALSE))</f>
        <v/>
      </c>
      <c r="M649" s="250" t="str">
        <f t="shared" si="11"/>
        <v/>
      </c>
    </row>
    <row r="650" spans="1:13">
      <c r="A650" s="4">
        <v>650</v>
      </c>
      <c r="C650" s="8" t="str">
        <f>IF(B650="","",VLOOKUP(B650,小圆机汇总表!A:AP,2,FALSE))</f>
        <v/>
      </c>
      <c r="D650" s="8" t="str">
        <f>IF(B650="","",VLOOKUP(B650,小圆机汇总表!A:AP,7,FALSE))</f>
        <v/>
      </c>
      <c r="E650" s="8" t="str">
        <f>IF(B650="","",VLOOKUP(B650,小圆机汇总表!A:AP,5,FALSE))</f>
        <v/>
      </c>
      <c r="F650" s="8" t="str">
        <f>IF(B650="","",VLOOKUP(B650,小圆机汇总表!A:AP,8,FALSE))</f>
        <v/>
      </c>
      <c r="M650" s="250" t="str">
        <f t="shared" si="11"/>
        <v/>
      </c>
    </row>
    <row r="651" spans="1:13">
      <c r="A651" s="4">
        <v>651</v>
      </c>
      <c r="C651" s="8" t="str">
        <f>IF(B651="","",VLOOKUP(B651,小圆机汇总表!A:AP,2,FALSE))</f>
        <v/>
      </c>
      <c r="D651" s="8" t="str">
        <f>IF(B651="","",VLOOKUP(B651,小圆机汇总表!A:AP,7,FALSE))</f>
        <v/>
      </c>
      <c r="E651" s="8" t="str">
        <f>IF(B651="","",VLOOKUP(B651,小圆机汇总表!A:AP,5,FALSE))</f>
        <v/>
      </c>
      <c r="F651" s="8" t="str">
        <f>IF(B651="","",VLOOKUP(B651,小圆机汇总表!A:AP,8,FALSE))</f>
        <v/>
      </c>
      <c r="M651" s="250" t="str">
        <f t="shared" si="11"/>
        <v/>
      </c>
    </row>
    <row r="652" spans="1:13">
      <c r="A652" s="4">
        <v>652</v>
      </c>
      <c r="C652" s="8" t="str">
        <f>IF(B652="","",VLOOKUP(B652,小圆机汇总表!A:AP,2,FALSE))</f>
        <v/>
      </c>
      <c r="D652" s="8" t="str">
        <f>IF(B652="","",VLOOKUP(B652,小圆机汇总表!A:AP,7,FALSE))</f>
        <v/>
      </c>
      <c r="E652" s="8" t="str">
        <f>IF(B652="","",VLOOKUP(B652,小圆机汇总表!A:AP,5,FALSE))</f>
        <v/>
      </c>
      <c r="F652" s="8" t="str">
        <f>IF(B652="","",VLOOKUP(B652,小圆机汇总表!A:AP,8,FALSE))</f>
        <v/>
      </c>
      <c r="M652" s="250" t="str">
        <f t="shared" si="11"/>
        <v/>
      </c>
    </row>
    <row r="653" spans="1:13">
      <c r="A653" s="4">
        <v>653</v>
      </c>
      <c r="C653" s="8" t="str">
        <f>IF(B653="","",VLOOKUP(B653,小圆机汇总表!A:AP,2,FALSE))</f>
        <v/>
      </c>
      <c r="D653" s="8" t="str">
        <f>IF(B653="","",VLOOKUP(B653,小圆机汇总表!A:AP,7,FALSE))</f>
        <v/>
      </c>
      <c r="E653" s="8" t="str">
        <f>IF(B653="","",VLOOKUP(B653,小圆机汇总表!A:AP,5,FALSE))</f>
        <v/>
      </c>
      <c r="F653" s="8" t="str">
        <f>IF(B653="","",VLOOKUP(B653,小圆机汇总表!A:AP,8,FALSE))</f>
        <v/>
      </c>
      <c r="M653" s="250" t="str">
        <f t="shared" si="11"/>
        <v/>
      </c>
    </row>
    <row r="654" spans="1:13">
      <c r="A654" s="4">
        <v>654</v>
      </c>
      <c r="C654" s="8" t="str">
        <f>IF(B654="","",VLOOKUP(B654,小圆机汇总表!A:AP,2,FALSE))</f>
        <v/>
      </c>
      <c r="D654" s="8" t="str">
        <f>IF(B654="","",VLOOKUP(B654,小圆机汇总表!A:AP,7,FALSE))</f>
        <v/>
      </c>
      <c r="E654" s="8" t="str">
        <f>IF(B654="","",VLOOKUP(B654,小圆机汇总表!A:AP,5,FALSE))</f>
        <v/>
      </c>
      <c r="F654" s="8" t="str">
        <f>IF(B654="","",VLOOKUP(B654,小圆机汇总表!A:AP,8,FALSE))</f>
        <v/>
      </c>
      <c r="M654" s="250" t="str">
        <f t="shared" si="11"/>
        <v/>
      </c>
    </row>
    <row r="655" spans="1:13">
      <c r="A655" s="4">
        <v>655</v>
      </c>
      <c r="C655" s="8" t="str">
        <f>IF(B655="","",VLOOKUP(B655,小圆机汇总表!A:AP,2,FALSE))</f>
        <v/>
      </c>
      <c r="D655" s="8" t="str">
        <f>IF(B655="","",VLOOKUP(B655,小圆机汇总表!A:AP,7,FALSE))</f>
        <v/>
      </c>
      <c r="E655" s="8" t="str">
        <f>IF(B655="","",VLOOKUP(B655,小圆机汇总表!A:AP,5,FALSE))</f>
        <v/>
      </c>
      <c r="F655" s="8" t="str">
        <f>IF(B655="","",VLOOKUP(B655,小圆机汇总表!A:AP,8,FALSE))</f>
        <v/>
      </c>
      <c r="M655" s="250" t="str">
        <f t="shared" si="11"/>
        <v/>
      </c>
    </row>
    <row r="656" spans="1:13">
      <c r="A656" s="4">
        <v>656</v>
      </c>
      <c r="C656" s="8" t="str">
        <f>IF(B656="","",VLOOKUP(B656,小圆机汇总表!A:AP,2,FALSE))</f>
        <v/>
      </c>
      <c r="D656" s="8" t="str">
        <f>IF(B656="","",VLOOKUP(B656,小圆机汇总表!A:AP,7,FALSE))</f>
        <v/>
      </c>
      <c r="E656" s="8" t="str">
        <f>IF(B656="","",VLOOKUP(B656,小圆机汇总表!A:AP,5,FALSE))</f>
        <v/>
      </c>
      <c r="F656" s="8" t="str">
        <f>IF(B656="","",VLOOKUP(B656,小圆机汇总表!A:AP,8,FALSE))</f>
        <v/>
      </c>
      <c r="M656" s="250" t="str">
        <f t="shared" si="11"/>
        <v/>
      </c>
    </row>
    <row r="657" spans="1:13">
      <c r="A657" s="4">
        <v>657</v>
      </c>
      <c r="C657" s="8" t="str">
        <f>IF(B657="","",VLOOKUP(B657,小圆机汇总表!A:AP,2,FALSE))</f>
        <v/>
      </c>
      <c r="D657" s="8" t="str">
        <f>IF(B657="","",VLOOKUP(B657,小圆机汇总表!A:AP,7,FALSE))</f>
        <v/>
      </c>
      <c r="E657" s="8" t="str">
        <f>IF(B657="","",VLOOKUP(B657,小圆机汇总表!A:AP,5,FALSE))</f>
        <v/>
      </c>
      <c r="F657" s="8" t="str">
        <f>IF(B657="","",VLOOKUP(B657,小圆机汇总表!A:AP,8,FALSE))</f>
        <v/>
      </c>
      <c r="M657" s="250" t="str">
        <f t="shared" si="11"/>
        <v/>
      </c>
    </row>
    <row r="658" spans="1:13">
      <c r="A658" s="4">
        <v>658</v>
      </c>
      <c r="C658" s="8" t="str">
        <f>IF(B658="","",VLOOKUP(B658,小圆机汇总表!A:AP,2,FALSE))</f>
        <v/>
      </c>
      <c r="D658" s="8" t="str">
        <f>IF(B658="","",VLOOKUP(B658,小圆机汇总表!A:AP,7,FALSE))</f>
        <v/>
      </c>
      <c r="E658" s="8" t="str">
        <f>IF(B658="","",VLOOKUP(B658,小圆机汇总表!A:AP,5,FALSE))</f>
        <v/>
      </c>
      <c r="F658" s="8" t="str">
        <f>IF(B658="","",VLOOKUP(B658,小圆机汇总表!A:AP,8,FALSE))</f>
        <v/>
      </c>
      <c r="M658" s="250" t="str">
        <f t="shared" si="11"/>
        <v/>
      </c>
    </row>
    <row r="659" spans="1:13">
      <c r="A659" s="4">
        <v>659</v>
      </c>
      <c r="C659" s="8" t="str">
        <f>IF(B659="","",VLOOKUP(B659,小圆机汇总表!A:AP,2,FALSE))</f>
        <v/>
      </c>
      <c r="D659" s="8" t="str">
        <f>IF(B659="","",VLOOKUP(B659,小圆机汇总表!A:AP,7,FALSE))</f>
        <v/>
      </c>
      <c r="E659" s="8" t="str">
        <f>IF(B659="","",VLOOKUP(B659,小圆机汇总表!A:AP,5,FALSE))</f>
        <v/>
      </c>
      <c r="F659" s="8" t="str">
        <f>IF(B659="","",VLOOKUP(B659,小圆机汇总表!A:AP,8,FALSE))</f>
        <v/>
      </c>
      <c r="M659" s="250" t="str">
        <f t="shared" si="11"/>
        <v/>
      </c>
    </row>
    <row r="660" spans="1:13">
      <c r="A660" s="4">
        <v>660</v>
      </c>
      <c r="C660" s="8" t="str">
        <f>IF(B660="","",VLOOKUP(B660,小圆机汇总表!A:AP,2,FALSE))</f>
        <v/>
      </c>
      <c r="D660" s="8" t="str">
        <f>IF(B660="","",VLOOKUP(B660,小圆机汇总表!A:AP,7,FALSE))</f>
        <v/>
      </c>
      <c r="E660" s="8" t="str">
        <f>IF(B660="","",VLOOKUP(B660,小圆机汇总表!A:AP,5,FALSE))</f>
        <v/>
      </c>
      <c r="F660" s="8" t="str">
        <f>IF(B660="","",VLOOKUP(B660,小圆机汇总表!A:AP,8,FALSE))</f>
        <v/>
      </c>
      <c r="M660" s="250" t="str">
        <f t="shared" si="11"/>
        <v/>
      </c>
    </row>
    <row r="661" spans="1:13">
      <c r="A661" s="4">
        <v>661</v>
      </c>
      <c r="C661" s="8" t="str">
        <f>IF(B661="","",VLOOKUP(B661,小圆机汇总表!A:AP,2,FALSE))</f>
        <v/>
      </c>
      <c r="D661" s="8" t="str">
        <f>IF(B661="","",VLOOKUP(B661,小圆机汇总表!A:AP,7,FALSE))</f>
        <v/>
      </c>
      <c r="E661" s="8" t="str">
        <f>IF(B661="","",VLOOKUP(B661,小圆机汇总表!A:AP,5,FALSE))</f>
        <v/>
      </c>
      <c r="F661" s="8" t="str">
        <f>IF(B661="","",VLOOKUP(B661,小圆机汇总表!A:AP,8,FALSE))</f>
        <v/>
      </c>
      <c r="M661" s="250" t="str">
        <f t="shared" si="11"/>
        <v/>
      </c>
    </row>
    <row r="662" spans="1:13">
      <c r="A662" s="4">
        <v>662</v>
      </c>
      <c r="C662" s="8" t="str">
        <f>IF(B662="","",VLOOKUP(B662,小圆机汇总表!A:AP,2,FALSE))</f>
        <v/>
      </c>
      <c r="D662" s="8" t="str">
        <f>IF(B662="","",VLOOKUP(B662,小圆机汇总表!A:AP,7,FALSE))</f>
        <v/>
      </c>
      <c r="E662" s="8" t="str">
        <f>IF(B662="","",VLOOKUP(B662,小圆机汇总表!A:AP,5,FALSE))</f>
        <v/>
      </c>
      <c r="F662" s="8" t="str">
        <f>IF(B662="","",VLOOKUP(B662,小圆机汇总表!A:AP,8,FALSE))</f>
        <v/>
      </c>
      <c r="M662" s="250" t="str">
        <f t="shared" si="11"/>
        <v/>
      </c>
    </row>
    <row r="663" spans="1:13">
      <c r="A663" s="4">
        <v>663</v>
      </c>
      <c r="C663" s="8" t="str">
        <f>IF(B663="","",VLOOKUP(B663,小圆机汇总表!A:AP,2,FALSE))</f>
        <v/>
      </c>
      <c r="D663" s="8" t="str">
        <f>IF(B663="","",VLOOKUP(B663,小圆机汇总表!A:AP,7,FALSE))</f>
        <v/>
      </c>
      <c r="E663" s="8" t="str">
        <f>IF(B663="","",VLOOKUP(B663,小圆机汇总表!A:AP,5,FALSE))</f>
        <v/>
      </c>
      <c r="F663" s="8" t="str">
        <f>IF(B663="","",VLOOKUP(B663,小圆机汇总表!A:AP,8,FALSE))</f>
        <v/>
      </c>
      <c r="M663" s="250" t="str">
        <f t="shared" si="11"/>
        <v/>
      </c>
    </row>
    <row r="664" spans="1:13">
      <c r="A664" s="4">
        <v>664</v>
      </c>
      <c r="C664" s="8" t="str">
        <f>IF(B664="","",VLOOKUP(B664,小圆机汇总表!A:AP,2,FALSE))</f>
        <v/>
      </c>
      <c r="D664" s="8" t="str">
        <f>IF(B664="","",VLOOKUP(B664,小圆机汇总表!A:AP,7,FALSE))</f>
        <v/>
      </c>
      <c r="E664" s="8" t="str">
        <f>IF(B664="","",VLOOKUP(B664,小圆机汇总表!A:AP,5,FALSE))</f>
        <v/>
      </c>
      <c r="F664" s="8" t="str">
        <f>IF(B664="","",VLOOKUP(B664,小圆机汇总表!A:AP,8,FALSE))</f>
        <v/>
      </c>
      <c r="M664" s="250" t="str">
        <f t="shared" si="11"/>
        <v/>
      </c>
    </row>
    <row r="665" spans="1:13">
      <c r="A665" s="4">
        <v>665</v>
      </c>
      <c r="C665" s="8" t="str">
        <f>IF(B665="","",VLOOKUP(B665,小圆机汇总表!A:AP,2,FALSE))</f>
        <v/>
      </c>
      <c r="D665" s="8" t="str">
        <f>IF(B665="","",VLOOKUP(B665,小圆机汇总表!A:AP,7,FALSE))</f>
        <v/>
      </c>
      <c r="E665" s="8" t="str">
        <f>IF(B665="","",VLOOKUP(B665,小圆机汇总表!A:AP,5,FALSE))</f>
        <v/>
      </c>
      <c r="F665" s="8" t="str">
        <f>IF(B665="","",VLOOKUP(B665,小圆机汇总表!A:AP,8,FALSE))</f>
        <v/>
      </c>
      <c r="M665" s="250" t="str">
        <f t="shared" si="11"/>
        <v/>
      </c>
    </row>
    <row r="666" spans="1:13">
      <c r="A666" s="4">
        <v>666</v>
      </c>
      <c r="C666" s="8" t="str">
        <f>IF(B666="","",VLOOKUP(B666,小圆机汇总表!A:AP,2,FALSE))</f>
        <v/>
      </c>
      <c r="D666" s="8" t="str">
        <f>IF(B666="","",VLOOKUP(B666,小圆机汇总表!A:AP,7,FALSE))</f>
        <v/>
      </c>
      <c r="E666" s="8" t="str">
        <f>IF(B666="","",VLOOKUP(B666,小圆机汇总表!A:AP,5,FALSE))</f>
        <v/>
      </c>
      <c r="F666" s="8" t="str">
        <f>IF(B666="","",VLOOKUP(B666,小圆机汇总表!A:AP,8,FALSE))</f>
        <v/>
      </c>
      <c r="M666" s="250" t="str">
        <f t="shared" si="11"/>
        <v/>
      </c>
    </row>
    <row r="667" spans="1:13">
      <c r="A667" s="4">
        <v>667</v>
      </c>
      <c r="C667" s="8" t="str">
        <f>IF(B667="","",VLOOKUP(B667,小圆机汇总表!A:AP,2,FALSE))</f>
        <v/>
      </c>
      <c r="D667" s="8" t="str">
        <f>IF(B667="","",VLOOKUP(B667,小圆机汇总表!A:AP,7,FALSE))</f>
        <v/>
      </c>
      <c r="E667" s="8" t="str">
        <f>IF(B667="","",VLOOKUP(B667,小圆机汇总表!A:AP,5,FALSE))</f>
        <v/>
      </c>
      <c r="F667" s="8" t="str">
        <f>IF(B667="","",VLOOKUP(B667,小圆机汇总表!A:AP,8,FALSE))</f>
        <v/>
      </c>
      <c r="M667" s="250" t="str">
        <f t="shared" si="11"/>
        <v/>
      </c>
    </row>
    <row r="668" spans="1:13">
      <c r="A668" s="4">
        <v>668</v>
      </c>
      <c r="C668" s="8" t="str">
        <f>IF(B668="","",VLOOKUP(B668,小圆机汇总表!A:AP,2,FALSE))</f>
        <v/>
      </c>
      <c r="D668" s="8" t="str">
        <f>IF(B668="","",VLOOKUP(B668,小圆机汇总表!A:AP,7,FALSE))</f>
        <v/>
      </c>
      <c r="E668" s="8" t="str">
        <f>IF(B668="","",VLOOKUP(B668,小圆机汇总表!A:AP,5,FALSE))</f>
        <v/>
      </c>
      <c r="F668" s="8" t="str">
        <f>IF(B668="","",VLOOKUP(B668,小圆机汇总表!A:AP,8,FALSE))</f>
        <v/>
      </c>
      <c r="M668" s="250" t="str">
        <f t="shared" si="11"/>
        <v/>
      </c>
    </row>
    <row r="669" spans="1:13">
      <c r="A669" s="4">
        <v>669</v>
      </c>
      <c r="B669" s="25"/>
      <c r="C669" s="8" t="str">
        <f>IF(B669="","",VLOOKUP(B669,小圆机汇总表!A:AP,2,FALSE))</f>
        <v/>
      </c>
      <c r="D669" s="8" t="str">
        <f>IF(B669="","",VLOOKUP(B669,小圆机汇总表!A:AP,7,FALSE))</f>
        <v/>
      </c>
      <c r="E669" s="8" t="str">
        <f>IF(B669="","",VLOOKUP(B669,小圆机汇总表!A:AP,5,FALSE))</f>
        <v/>
      </c>
      <c r="F669" s="8" t="str">
        <f>IF(B669="","",VLOOKUP(B669,小圆机汇总表!A:AP,8,FALSE))</f>
        <v/>
      </c>
      <c r="G669" s="26"/>
      <c r="H669" s="25"/>
      <c r="I669" s="25"/>
      <c r="J669" s="25"/>
      <c r="K669" s="25"/>
      <c r="M669" s="250" t="str">
        <f t="shared" si="11"/>
        <v/>
      </c>
    </row>
    <row r="670" spans="1:13">
      <c r="A670" s="4">
        <v>670</v>
      </c>
      <c r="C670" s="8" t="str">
        <f>IF(B670="","",VLOOKUP(B670,小圆机汇总表!A:AP,2,FALSE))</f>
        <v/>
      </c>
      <c r="D670" s="8" t="str">
        <f>IF(B670="","",VLOOKUP(B670,小圆机汇总表!A:AP,7,FALSE))</f>
        <v/>
      </c>
      <c r="E670" s="8" t="str">
        <f>IF(B670="","",VLOOKUP(B670,小圆机汇总表!A:AP,5,FALSE))</f>
        <v/>
      </c>
      <c r="F670" s="8" t="str">
        <f>IF(B670="","",VLOOKUP(B670,小圆机汇总表!A:AP,8,FALSE))</f>
        <v/>
      </c>
      <c r="M670" s="250" t="str">
        <f t="shared" si="11"/>
        <v/>
      </c>
    </row>
    <row r="671" spans="1:13">
      <c r="A671" s="4">
        <v>671</v>
      </c>
      <c r="C671" s="8" t="str">
        <f>IF(B671="","",VLOOKUP(B671,小圆机汇总表!A:AP,2,FALSE))</f>
        <v/>
      </c>
      <c r="D671" s="8" t="str">
        <f>IF(B671="","",VLOOKUP(B671,小圆机汇总表!A:AP,7,FALSE))</f>
        <v/>
      </c>
      <c r="E671" s="8" t="str">
        <f>IF(B671="","",VLOOKUP(B671,小圆机汇总表!A:AP,5,FALSE))</f>
        <v/>
      </c>
      <c r="F671" s="8" t="str">
        <f>IF(B671="","",VLOOKUP(B671,小圆机汇总表!A:AP,8,FALSE))</f>
        <v/>
      </c>
      <c r="M671" s="250" t="str">
        <f t="shared" si="11"/>
        <v/>
      </c>
    </row>
    <row r="672" spans="1:13">
      <c r="A672" s="4">
        <v>672</v>
      </c>
      <c r="C672" s="8" t="str">
        <f>IF(B672="","",VLOOKUP(B672,小圆机汇总表!A:AP,2,FALSE))</f>
        <v/>
      </c>
      <c r="D672" s="8" t="str">
        <f>IF(B672="","",VLOOKUP(B672,小圆机汇总表!A:AP,7,FALSE))</f>
        <v/>
      </c>
      <c r="E672" s="8" t="str">
        <f>IF(B672="","",VLOOKUP(B672,小圆机汇总表!A:AP,5,FALSE))</f>
        <v/>
      </c>
      <c r="F672" s="8" t="str">
        <f>IF(B672="","",VLOOKUP(B672,小圆机汇总表!A:AP,8,FALSE))</f>
        <v/>
      </c>
      <c r="M672" s="250" t="str">
        <f t="shared" si="11"/>
        <v/>
      </c>
    </row>
    <row r="673" spans="1:13">
      <c r="A673" s="4">
        <v>673</v>
      </c>
      <c r="C673" s="8" t="str">
        <f>IF(B673="","",VLOOKUP(B673,小圆机汇总表!A:AP,2,FALSE))</f>
        <v/>
      </c>
      <c r="D673" s="8" t="str">
        <f>IF(B673="","",VLOOKUP(B673,小圆机汇总表!A:AP,7,FALSE))</f>
        <v/>
      </c>
      <c r="E673" s="8" t="str">
        <f>IF(B673="","",VLOOKUP(B673,小圆机汇总表!A:AP,5,FALSE))</f>
        <v/>
      </c>
      <c r="F673" s="8" t="str">
        <f>IF(B673="","",VLOOKUP(B673,小圆机汇总表!A:AP,8,FALSE))</f>
        <v/>
      </c>
      <c r="M673" s="250" t="str">
        <f t="shared" si="11"/>
        <v/>
      </c>
    </row>
    <row r="674" spans="1:13">
      <c r="A674" s="4">
        <v>674</v>
      </c>
      <c r="C674" s="8" t="str">
        <f>IF(B674="","",VLOOKUP(B674,小圆机汇总表!A:AP,2,FALSE))</f>
        <v/>
      </c>
      <c r="D674" s="8" t="str">
        <f>IF(B674="","",VLOOKUP(B674,小圆机汇总表!A:AP,7,FALSE))</f>
        <v/>
      </c>
      <c r="E674" s="8" t="str">
        <f>IF(B674="","",VLOOKUP(B674,小圆机汇总表!A:AP,5,FALSE))</f>
        <v/>
      </c>
      <c r="F674" s="8" t="str">
        <f>IF(B674="","",VLOOKUP(B674,小圆机汇总表!A:AP,8,FALSE))</f>
        <v/>
      </c>
      <c r="M674" s="250" t="str">
        <f t="shared" si="11"/>
        <v/>
      </c>
    </row>
    <row r="675" spans="1:13">
      <c r="A675" s="4">
        <v>675</v>
      </c>
      <c r="C675" s="8" t="str">
        <f>IF(B675="","",VLOOKUP(B675,小圆机汇总表!A:AP,2,FALSE))</f>
        <v/>
      </c>
      <c r="D675" s="8" t="str">
        <f>IF(B675="","",VLOOKUP(B675,小圆机汇总表!A:AP,7,FALSE))</f>
        <v/>
      </c>
      <c r="E675" s="8" t="str">
        <f>IF(B675="","",VLOOKUP(B675,小圆机汇总表!A:AP,5,FALSE))</f>
        <v/>
      </c>
      <c r="F675" s="8" t="str">
        <f>IF(B675="","",VLOOKUP(B675,小圆机汇总表!A:AP,8,FALSE))</f>
        <v/>
      </c>
      <c r="M675" s="250" t="str">
        <f t="shared" si="11"/>
        <v/>
      </c>
    </row>
    <row r="676" spans="1:13">
      <c r="A676" s="4">
        <v>676</v>
      </c>
      <c r="C676" s="8" t="str">
        <f>IF(B676="","",VLOOKUP(B676,小圆机汇总表!A:AP,2,FALSE))</f>
        <v/>
      </c>
      <c r="D676" s="8" t="str">
        <f>IF(B676="","",VLOOKUP(B676,小圆机汇总表!A:AP,7,FALSE))</f>
        <v/>
      </c>
      <c r="E676" s="8" t="str">
        <f>IF(B676="","",VLOOKUP(B676,小圆机汇总表!A:AP,5,FALSE))</f>
        <v/>
      </c>
      <c r="F676" s="8" t="str">
        <f>IF(B676="","",VLOOKUP(B676,小圆机汇总表!A:AP,8,FALSE))</f>
        <v/>
      </c>
      <c r="M676" s="250" t="str">
        <f t="shared" si="11"/>
        <v/>
      </c>
    </row>
    <row r="677" spans="1:13">
      <c r="A677" s="4">
        <v>677</v>
      </c>
      <c r="C677" s="8" t="str">
        <f>IF(B677="","",VLOOKUP(B677,小圆机汇总表!A:AP,2,FALSE))</f>
        <v/>
      </c>
      <c r="D677" s="8" t="str">
        <f>IF(B677="","",VLOOKUP(B677,小圆机汇总表!A:AP,7,FALSE))</f>
        <v/>
      </c>
      <c r="E677" s="8" t="str">
        <f>IF(B677="","",VLOOKUP(B677,小圆机汇总表!A:AP,5,FALSE))</f>
        <v/>
      </c>
      <c r="F677" s="8" t="str">
        <f>IF(B677="","",VLOOKUP(B677,小圆机汇总表!A:AP,8,FALSE))</f>
        <v/>
      </c>
      <c r="M677" s="250" t="str">
        <f t="shared" si="11"/>
        <v/>
      </c>
    </row>
    <row r="678" spans="1:13">
      <c r="A678" s="4">
        <v>678</v>
      </c>
      <c r="C678" s="8" t="str">
        <f>IF(B678="","",VLOOKUP(B678,小圆机汇总表!A:AP,2,FALSE))</f>
        <v/>
      </c>
      <c r="D678" s="8" t="str">
        <f>IF(B678="","",VLOOKUP(B678,小圆机汇总表!A:AP,7,FALSE))</f>
        <v/>
      </c>
      <c r="E678" s="8" t="str">
        <f>IF(B678="","",VLOOKUP(B678,小圆机汇总表!A:AP,5,FALSE))</f>
        <v/>
      </c>
      <c r="F678" s="8" t="str">
        <f>IF(B678="","",VLOOKUP(B678,小圆机汇总表!A:AP,8,FALSE))</f>
        <v/>
      </c>
      <c r="M678" s="250" t="str">
        <f t="shared" si="11"/>
        <v/>
      </c>
    </row>
    <row r="679" spans="1:13">
      <c r="A679" s="4">
        <v>679</v>
      </c>
      <c r="C679" s="8" t="str">
        <f>IF(B679="","",VLOOKUP(B679,小圆机汇总表!A:AP,2,FALSE))</f>
        <v/>
      </c>
      <c r="D679" s="8" t="str">
        <f>IF(B679="","",VLOOKUP(B679,小圆机汇总表!A:AP,7,FALSE))</f>
        <v/>
      </c>
      <c r="E679" s="8" t="str">
        <f>IF(B679="","",VLOOKUP(B679,小圆机汇总表!A:AP,5,FALSE))</f>
        <v/>
      </c>
      <c r="F679" s="8" t="str">
        <f>IF(B679="","",VLOOKUP(B679,小圆机汇总表!A:AP,8,FALSE))</f>
        <v/>
      </c>
      <c r="M679" s="250" t="str">
        <f t="shared" si="11"/>
        <v/>
      </c>
    </row>
    <row r="680" spans="1:13">
      <c r="A680" s="4">
        <v>680</v>
      </c>
      <c r="C680" s="8" t="str">
        <f>IF(B680="","",VLOOKUP(B680,小圆机汇总表!A:AP,2,FALSE))</f>
        <v/>
      </c>
      <c r="D680" s="8" t="str">
        <f>IF(B680="","",VLOOKUP(B680,小圆机汇总表!A:AP,7,FALSE))</f>
        <v/>
      </c>
      <c r="E680" s="8" t="str">
        <f>IF(B680="","",VLOOKUP(B680,小圆机汇总表!A:AP,5,FALSE))</f>
        <v/>
      </c>
      <c r="F680" s="8" t="str">
        <f>IF(B680="","",VLOOKUP(B680,小圆机汇总表!A:AP,8,FALSE))</f>
        <v/>
      </c>
      <c r="M680" s="250" t="str">
        <f t="shared" si="11"/>
        <v/>
      </c>
    </row>
    <row r="681" spans="1:13">
      <c r="A681" s="4">
        <v>681</v>
      </c>
      <c r="C681" s="8" t="str">
        <f>IF(B681="","",VLOOKUP(B681,小圆机汇总表!A:AP,2,FALSE))</f>
        <v/>
      </c>
      <c r="D681" s="8" t="str">
        <f>IF(B681="","",VLOOKUP(B681,小圆机汇总表!A:AP,7,FALSE))</f>
        <v/>
      </c>
      <c r="E681" s="8" t="str">
        <f>IF(B681="","",VLOOKUP(B681,小圆机汇总表!A:AP,5,FALSE))</f>
        <v/>
      </c>
      <c r="F681" s="8" t="str">
        <f>IF(B681="","",VLOOKUP(B681,小圆机汇总表!A:AP,8,FALSE))</f>
        <v/>
      </c>
      <c r="M681" s="250" t="str">
        <f t="shared" si="11"/>
        <v/>
      </c>
    </row>
    <row r="682" spans="1:13">
      <c r="A682" s="4">
        <v>682</v>
      </c>
      <c r="C682" s="8" t="str">
        <f>IF(B682="","",VLOOKUP(B682,小圆机汇总表!A:AP,2,FALSE))</f>
        <v/>
      </c>
      <c r="D682" s="8" t="str">
        <f>IF(B682="","",VLOOKUP(B682,小圆机汇总表!A:AP,7,FALSE))</f>
        <v/>
      </c>
      <c r="E682" s="8" t="str">
        <f>IF(B682="","",VLOOKUP(B682,小圆机汇总表!A:AP,5,FALSE))</f>
        <v/>
      </c>
      <c r="F682" s="8" t="str">
        <f>IF(B682="","",VLOOKUP(B682,小圆机汇总表!A:AP,8,FALSE))</f>
        <v/>
      </c>
      <c r="M682" s="250" t="str">
        <f t="shared" si="11"/>
        <v/>
      </c>
    </row>
    <row r="683" spans="1:13">
      <c r="A683" s="4">
        <v>683</v>
      </c>
      <c r="C683" s="8" t="str">
        <f>IF(B683="","",VLOOKUP(B683,小圆机汇总表!A:AP,2,FALSE))</f>
        <v/>
      </c>
      <c r="D683" s="8" t="str">
        <f>IF(B683="","",VLOOKUP(B683,小圆机汇总表!A:AP,7,FALSE))</f>
        <v/>
      </c>
      <c r="E683" s="8" t="str">
        <f>IF(B683="","",VLOOKUP(B683,小圆机汇总表!A:AP,5,FALSE))</f>
        <v/>
      </c>
      <c r="F683" s="8" t="str">
        <f>IF(B683="","",VLOOKUP(B683,小圆机汇总表!A:AP,8,FALSE))</f>
        <v/>
      </c>
      <c r="M683" s="250" t="str">
        <f t="shared" si="11"/>
        <v/>
      </c>
    </row>
    <row r="684" spans="1:13">
      <c r="A684" s="4">
        <v>684</v>
      </c>
      <c r="C684" s="8" t="str">
        <f>IF(B684="","",VLOOKUP(B684,小圆机汇总表!A:AP,2,FALSE))</f>
        <v/>
      </c>
      <c r="D684" s="8" t="str">
        <f>IF(B684="","",VLOOKUP(B684,小圆机汇总表!A:AP,7,FALSE))</f>
        <v/>
      </c>
      <c r="E684" s="8" t="str">
        <f>IF(B684="","",VLOOKUP(B684,小圆机汇总表!A:AP,5,FALSE))</f>
        <v/>
      </c>
      <c r="F684" s="8" t="str">
        <f>IF(B684="","",VLOOKUP(B684,小圆机汇总表!A:AP,8,FALSE))</f>
        <v/>
      </c>
      <c r="M684" s="250" t="str">
        <f t="shared" si="11"/>
        <v/>
      </c>
    </row>
    <row r="685" spans="1:13">
      <c r="A685" s="4">
        <v>685</v>
      </c>
      <c r="C685" s="8" t="str">
        <f>IF(B685="","",VLOOKUP(B685,小圆机汇总表!A:AP,2,FALSE))</f>
        <v/>
      </c>
      <c r="D685" s="8" t="str">
        <f>IF(B685="","",VLOOKUP(B685,小圆机汇总表!A:AP,7,FALSE))</f>
        <v/>
      </c>
      <c r="E685" s="8" t="str">
        <f>IF(B685="","",VLOOKUP(B685,小圆机汇总表!A:AP,5,FALSE))</f>
        <v/>
      </c>
      <c r="F685" s="8" t="str">
        <f>IF(B685="","",VLOOKUP(B685,小圆机汇总表!A:AP,8,FALSE))</f>
        <v/>
      </c>
      <c r="M685" s="250" t="str">
        <f t="shared" si="11"/>
        <v/>
      </c>
    </row>
    <row r="686" spans="1:13">
      <c r="A686" s="4">
        <v>686</v>
      </c>
      <c r="C686" s="8" t="str">
        <f>IF(B686="","",VLOOKUP(B686,小圆机汇总表!A:AP,2,FALSE))</f>
        <v/>
      </c>
      <c r="D686" s="8" t="str">
        <f>IF(B686="","",VLOOKUP(B686,小圆机汇总表!A:AP,7,FALSE))</f>
        <v/>
      </c>
      <c r="E686" s="8" t="str">
        <f>IF(B686="","",VLOOKUP(B686,小圆机汇总表!A:AP,5,FALSE))</f>
        <v/>
      </c>
      <c r="F686" s="8" t="str">
        <f>IF(B686="","",VLOOKUP(B686,小圆机汇总表!A:AP,8,FALSE))</f>
        <v/>
      </c>
      <c r="M686" s="250" t="str">
        <f t="shared" si="11"/>
        <v/>
      </c>
    </row>
    <row r="687" spans="1:13">
      <c r="A687" s="4">
        <v>687</v>
      </c>
      <c r="C687" s="8" t="str">
        <f>IF(B687="","",VLOOKUP(B687,小圆机汇总表!A:AP,2,FALSE))</f>
        <v/>
      </c>
      <c r="D687" s="8" t="str">
        <f>IF(B687="","",VLOOKUP(B687,小圆机汇总表!A:AP,7,FALSE))</f>
        <v/>
      </c>
      <c r="E687" s="8" t="str">
        <f>IF(B687="","",VLOOKUP(B687,小圆机汇总表!A:AP,5,FALSE))</f>
        <v/>
      </c>
      <c r="F687" s="8" t="str">
        <f>IF(B687="","",VLOOKUP(B687,小圆机汇总表!A:AP,8,FALSE))</f>
        <v/>
      </c>
      <c r="M687" s="250" t="str">
        <f t="shared" si="11"/>
        <v/>
      </c>
    </row>
    <row r="688" spans="1:13">
      <c r="A688" s="4">
        <v>688</v>
      </c>
      <c r="C688" s="8" t="str">
        <f>IF(B688="","",VLOOKUP(B688,小圆机汇总表!A:AP,2,FALSE))</f>
        <v/>
      </c>
      <c r="D688" s="8" t="str">
        <f>IF(B688="","",VLOOKUP(B688,小圆机汇总表!A:AP,7,FALSE))</f>
        <v/>
      </c>
      <c r="E688" s="8" t="str">
        <f>IF(B688="","",VLOOKUP(B688,小圆机汇总表!A:AP,5,FALSE))</f>
        <v/>
      </c>
      <c r="F688" s="8" t="str">
        <f>IF(B688="","",VLOOKUP(B688,小圆机汇总表!A:AP,8,FALSE))</f>
        <v/>
      </c>
      <c r="M688" s="250" t="str">
        <f t="shared" si="11"/>
        <v/>
      </c>
    </row>
    <row r="689" spans="1:13">
      <c r="A689" s="4">
        <v>689</v>
      </c>
      <c r="C689" s="8" t="str">
        <f>IF(B689="","",VLOOKUP(B689,小圆机汇总表!A:AP,2,FALSE))</f>
        <v/>
      </c>
      <c r="D689" s="8" t="str">
        <f>IF(B689="","",VLOOKUP(B689,小圆机汇总表!A:AP,7,FALSE))</f>
        <v/>
      </c>
      <c r="E689" s="8" t="str">
        <f>IF(B689="","",VLOOKUP(B689,小圆机汇总表!A:AP,5,FALSE))</f>
        <v/>
      </c>
      <c r="F689" s="8" t="str">
        <f>IF(B689="","",VLOOKUP(B689,小圆机汇总表!A:AP,8,FALSE))</f>
        <v/>
      </c>
      <c r="M689" s="250" t="str">
        <f t="shared" si="11"/>
        <v/>
      </c>
    </row>
    <row r="690" spans="1:13">
      <c r="A690" s="4">
        <v>690</v>
      </c>
      <c r="C690" s="8" t="str">
        <f>IF(B690="","",VLOOKUP(B690,小圆机汇总表!A:AP,2,FALSE))</f>
        <v/>
      </c>
      <c r="D690" s="8" t="str">
        <f>IF(B690="","",VLOOKUP(B690,小圆机汇总表!A:AP,7,FALSE))</f>
        <v/>
      </c>
      <c r="E690" s="8" t="str">
        <f>IF(B690="","",VLOOKUP(B690,小圆机汇总表!A:AP,5,FALSE))</f>
        <v/>
      </c>
      <c r="F690" s="8" t="str">
        <f>IF(B690="","",VLOOKUP(B690,小圆机汇总表!A:AP,8,FALSE))</f>
        <v/>
      </c>
      <c r="M690" s="250" t="str">
        <f t="shared" si="11"/>
        <v/>
      </c>
    </row>
    <row r="691" spans="1:13">
      <c r="A691" s="4">
        <v>691</v>
      </c>
      <c r="C691" s="8" t="str">
        <f>IF(B691="","",VLOOKUP(B691,小圆机汇总表!A:AP,2,FALSE))</f>
        <v/>
      </c>
      <c r="D691" s="8" t="str">
        <f>IF(B691="","",VLOOKUP(B691,小圆机汇总表!A:AP,7,FALSE))</f>
        <v/>
      </c>
      <c r="E691" s="8" t="str">
        <f>IF(B691="","",VLOOKUP(B691,小圆机汇总表!A:AP,5,FALSE))</f>
        <v/>
      </c>
      <c r="F691" s="8" t="str">
        <f>IF(B691="","",VLOOKUP(B691,小圆机汇总表!A:AP,8,FALSE))</f>
        <v/>
      </c>
      <c r="M691" s="250" t="str">
        <f t="shared" si="11"/>
        <v/>
      </c>
    </row>
    <row r="692" spans="1:13">
      <c r="A692" s="4">
        <v>692</v>
      </c>
      <c r="C692" s="8" t="str">
        <f>IF(B692="","",VLOOKUP(B692,小圆机汇总表!A:AP,2,FALSE))</f>
        <v/>
      </c>
      <c r="D692" s="8" t="str">
        <f>IF(B692="","",VLOOKUP(B692,小圆机汇总表!A:AP,7,FALSE))</f>
        <v/>
      </c>
      <c r="E692" s="8" t="str">
        <f>IF(B692="","",VLOOKUP(B692,小圆机汇总表!A:AP,5,FALSE))</f>
        <v/>
      </c>
      <c r="F692" s="8" t="str">
        <f>IF(B692="","",VLOOKUP(B692,小圆机汇总表!A:AP,8,FALSE))</f>
        <v/>
      </c>
      <c r="M692" s="250" t="str">
        <f t="shared" si="11"/>
        <v/>
      </c>
    </row>
    <row r="693" spans="1:13">
      <c r="A693" s="4">
        <v>693</v>
      </c>
      <c r="C693" s="8" t="str">
        <f>IF(B693="","",VLOOKUP(B693,小圆机汇总表!A:AP,2,FALSE))</f>
        <v/>
      </c>
      <c r="D693" s="8" t="str">
        <f>IF(B693="","",VLOOKUP(B693,小圆机汇总表!A:AP,7,FALSE))</f>
        <v/>
      </c>
      <c r="E693" s="8" t="str">
        <f>IF(B693="","",VLOOKUP(B693,小圆机汇总表!A:AP,5,FALSE))</f>
        <v/>
      </c>
      <c r="F693" s="8" t="str">
        <f>IF(B693="","",VLOOKUP(B693,小圆机汇总表!A:AP,8,FALSE))</f>
        <v/>
      </c>
      <c r="M693" s="250" t="str">
        <f t="shared" si="11"/>
        <v/>
      </c>
    </row>
    <row r="694" spans="1:13">
      <c r="A694" s="4">
        <v>694</v>
      </c>
      <c r="C694" s="8" t="str">
        <f>IF(B694="","",VLOOKUP(B694,小圆机汇总表!A:AP,2,FALSE))</f>
        <v/>
      </c>
      <c r="D694" s="8" t="str">
        <f>IF(B694="","",VLOOKUP(B694,小圆机汇总表!A:AP,7,FALSE))</f>
        <v/>
      </c>
      <c r="E694" s="8" t="str">
        <f>IF(B694="","",VLOOKUP(B694,小圆机汇总表!A:AP,5,FALSE))</f>
        <v/>
      </c>
      <c r="F694" s="8" t="str">
        <f>IF(B694="","",VLOOKUP(B694,小圆机汇总表!A:AP,8,FALSE))</f>
        <v/>
      </c>
      <c r="M694" s="250" t="str">
        <f t="shared" si="11"/>
        <v/>
      </c>
    </row>
    <row r="695" spans="1:13">
      <c r="A695" s="4">
        <v>695</v>
      </c>
      <c r="C695" s="8" t="str">
        <f>IF(B695="","",VLOOKUP(B695,小圆机汇总表!A:AP,2,FALSE))</f>
        <v/>
      </c>
      <c r="D695" s="8" t="str">
        <f>IF(B695="","",VLOOKUP(B695,小圆机汇总表!A:AP,7,FALSE))</f>
        <v/>
      </c>
      <c r="E695" s="8" t="str">
        <f>IF(B695="","",VLOOKUP(B695,小圆机汇总表!A:AP,5,FALSE))</f>
        <v/>
      </c>
      <c r="F695" s="8" t="str">
        <f>IF(B695="","",VLOOKUP(B695,小圆机汇总表!A:AP,8,FALSE))</f>
        <v/>
      </c>
      <c r="M695" s="250" t="str">
        <f t="shared" si="11"/>
        <v/>
      </c>
    </row>
    <row r="696" spans="1:13">
      <c r="A696" s="4">
        <v>696</v>
      </c>
      <c r="C696" s="8" t="str">
        <f>IF(B696="","",VLOOKUP(B696,小圆机汇总表!A:AP,2,FALSE))</f>
        <v/>
      </c>
      <c r="D696" s="8" t="str">
        <f>IF(B696="","",VLOOKUP(B696,小圆机汇总表!A:AP,7,FALSE))</f>
        <v/>
      </c>
      <c r="E696" s="8" t="str">
        <f>IF(B696="","",VLOOKUP(B696,小圆机汇总表!A:AP,5,FALSE))</f>
        <v/>
      </c>
      <c r="F696" s="8" t="str">
        <f>IF(B696="","",VLOOKUP(B696,小圆机汇总表!A:AP,8,FALSE))</f>
        <v/>
      </c>
      <c r="M696" s="250" t="str">
        <f t="shared" si="11"/>
        <v/>
      </c>
    </row>
    <row r="697" spans="1:13">
      <c r="A697" s="4">
        <v>697</v>
      </c>
      <c r="C697" s="8" t="str">
        <f>IF(B697="","",VLOOKUP(B697,小圆机汇总表!A:AP,2,FALSE))</f>
        <v/>
      </c>
      <c r="D697" s="8" t="str">
        <f>IF(B697="","",VLOOKUP(B697,小圆机汇总表!A:AP,7,FALSE))</f>
        <v/>
      </c>
      <c r="E697" s="8" t="str">
        <f>IF(B697="","",VLOOKUP(B697,小圆机汇总表!A:AP,5,FALSE))</f>
        <v/>
      </c>
      <c r="F697" s="8" t="str">
        <f>IF(B697="","",VLOOKUP(B697,小圆机汇总表!A:AP,8,FALSE))</f>
        <v/>
      </c>
      <c r="M697" s="250" t="str">
        <f t="shared" si="11"/>
        <v/>
      </c>
    </row>
    <row r="698" spans="1:13">
      <c r="A698" s="4">
        <v>698</v>
      </c>
      <c r="C698" s="8" t="str">
        <f>IF(B698="","",VLOOKUP(B698,小圆机汇总表!A:AP,2,FALSE))</f>
        <v/>
      </c>
      <c r="D698" s="8" t="str">
        <f>IF(B698="","",VLOOKUP(B698,小圆机汇总表!A:AP,7,FALSE))</f>
        <v/>
      </c>
      <c r="E698" s="8" t="str">
        <f>IF(B698="","",VLOOKUP(B698,小圆机汇总表!A:AP,5,FALSE))</f>
        <v/>
      </c>
      <c r="F698" s="8" t="str">
        <f>IF(B698="","",VLOOKUP(B698,小圆机汇总表!A:AP,8,FALSE))</f>
        <v/>
      </c>
      <c r="M698" s="250" t="str">
        <f t="shared" si="11"/>
        <v/>
      </c>
    </row>
    <row r="699" spans="1:13">
      <c r="A699" s="4">
        <v>699</v>
      </c>
      <c r="C699" s="8" t="str">
        <f>IF(B699="","",VLOOKUP(B699,小圆机汇总表!A:AP,2,FALSE))</f>
        <v/>
      </c>
      <c r="D699" s="8" t="str">
        <f>IF(B699="","",VLOOKUP(B699,小圆机汇总表!A:AP,7,FALSE))</f>
        <v/>
      </c>
      <c r="E699" s="8" t="str">
        <f>IF(B699="","",VLOOKUP(B699,小圆机汇总表!A:AP,5,FALSE))</f>
        <v/>
      </c>
      <c r="F699" s="8" t="str">
        <f>IF(B699="","",VLOOKUP(B699,小圆机汇总表!A:AP,8,FALSE))</f>
        <v/>
      </c>
      <c r="M699" s="250" t="str">
        <f t="shared" si="11"/>
        <v/>
      </c>
    </row>
    <row r="700" spans="1:13">
      <c r="A700" s="4">
        <v>700</v>
      </c>
      <c r="C700" s="8" t="str">
        <f>IF(B700="","",VLOOKUP(B700,小圆机汇总表!A:AP,2,FALSE))</f>
        <v/>
      </c>
      <c r="D700" s="8" t="str">
        <f>IF(B700="","",VLOOKUP(B700,小圆机汇总表!A:AP,7,FALSE))</f>
        <v/>
      </c>
      <c r="E700" s="8" t="str">
        <f>IF(B700="","",VLOOKUP(B700,小圆机汇总表!A:AP,5,FALSE))</f>
        <v/>
      </c>
      <c r="F700" s="8" t="str">
        <f>IF(B700="","",VLOOKUP(B700,小圆机汇总表!A:AP,8,FALSE))</f>
        <v/>
      </c>
      <c r="M700" s="250" t="str">
        <f t="shared" si="11"/>
        <v/>
      </c>
    </row>
    <row r="701" spans="1:13">
      <c r="A701" s="4">
        <v>701</v>
      </c>
      <c r="C701" s="8" t="str">
        <f>IF(B701="","",VLOOKUP(B701,小圆机汇总表!A:AP,2,FALSE))</f>
        <v/>
      </c>
      <c r="D701" s="8" t="str">
        <f>IF(B701="","",VLOOKUP(B701,小圆机汇总表!A:AP,7,FALSE))</f>
        <v/>
      </c>
      <c r="E701" s="8" t="str">
        <f>IF(B701="","",VLOOKUP(B701,小圆机汇总表!A:AP,5,FALSE))</f>
        <v/>
      </c>
      <c r="F701" s="8" t="str">
        <f>IF(B701="","",VLOOKUP(B701,小圆机汇总表!A:AP,8,FALSE))</f>
        <v/>
      </c>
      <c r="M701" s="250" t="str">
        <f t="shared" si="11"/>
        <v/>
      </c>
    </row>
    <row r="702" spans="1:13">
      <c r="A702" s="4">
        <v>702</v>
      </c>
      <c r="C702" s="8" t="str">
        <f>IF(B702="","",VLOOKUP(B702,小圆机汇总表!A:AP,2,FALSE))</f>
        <v/>
      </c>
      <c r="D702" s="8" t="str">
        <f>IF(B702="","",VLOOKUP(B702,小圆机汇总表!A:AP,7,FALSE))</f>
        <v/>
      </c>
      <c r="E702" s="8" t="str">
        <f>IF(B702="","",VLOOKUP(B702,小圆机汇总表!A:AP,5,FALSE))</f>
        <v/>
      </c>
      <c r="F702" s="8" t="str">
        <f>IF(B702="","",VLOOKUP(B702,小圆机汇总表!A:AP,8,FALSE))</f>
        <v/>
      </c>
      <c r="M702" s="250" t="str">
        <f t="shared" si="11"/>
        <v/>
      </c>
    </row>
    <row r="703" spans="1:13">
      <c r="A703" s="4">
        <v>703</v>
      </c>
      <c r="C703" s="8" t="str">
        <f>IF(B703="","",VLOOKUP(B703,小圆机汇总表!A:AP,2,FALSE))</f>
        <v/>
      </c>
      <c r="D703" s="8" t="str">
        <f>IF(B703="","",VLOOKUP(B703,小圆机汇总表!A:AP,7,FALSE))</f>
        <v/>
      </c>
      <c r="E703" s="8" t="str">
        <f>IF(B703="","",VLOOKUP(B703,小圆机汇总表!A:AP,5,FALSE))</f>
        <v/>
      </c>
      <c r="F703" s="8" t="str">
        <f>IF(B703="","",VLOOKUP(B703,小圆机汇总表!A:AP,8,FALSE))</f>
        <v/>
      </c>
      <c r="M703" s="250" t="str">
        <f t="shared" si="11"/>
        <v/>
      </c>
    </row>
    <row r="704" spans="1:13">
      <c r="A704" s="4">
        <v>704</v>
      </c>
      <c r="C704" s="8" t="str">
        <f>IF(B704="","",VLOOKUP(B704,小圆机汇总表!A:AP,2,FALSE))</f>
        <v/>
      </c>
      <c r="D704" s="8" t="str">
        <f>IF(B704="","",VLOOKUP(B704,小圆机汇总表!A:AP,7,FALSE))</f>
        <v/>
      </c>
      <c r="E704" s="8" t="str">
        <f>IF(B704="","",VLOOKUP(B704,小圆机汇总表!A:AP,5,FALSE))</f>
        <v/>
      </c>
      <c r="F704" s="8" t="str">
        <f>IF(B704="","",VLOOKUP(B704,小圆机汇总表!A:AP,8,FALSE))</f>
        <v/>
      </c>
      <c r="M704" s="250" t="str">
        <f t="shared" si="11"/>
        <v/>
      </c>
    </row>
    <row r="705" spans="1:13">
      <c r="A705" s="4">
        <v>705</v>
      </c>
      <c r="C705" s="8" t="str">
        <f>IF(B705="","",VLOOKUP(B705,小圆机汇总表!A:AP,2,FALSE))</f>
        <v/>
      </c>
      <c r="D705" s="8" t="str">
        <f>IF(B705="","",VLOOKUP(B705,小圆机汇总表!A:AP,7,FALSE))</f>
        <v/>
      </c>
      <c r="E705" s="8" t="str">
        <f>IF(B705="","",VLOOKUP(B705,小圆机汇总表!A:AP,5,FALSE))</f>
        <v/>
      </c>
      <c r="F705" s="8" t="str">
        <f>IF(B705="","",VLOOKUP(B705,小圆机汇总表!A:AP,8,FALSE))</f>
        <v/>
      </c>
      <c r="M705" s="250" t="str">
        <f t="shared" si="11"/>
        <v/>
      </c>
    </row>
    <row r="706" spans="1:13">
      <c r="A706" s="4">
        <v>706</v>
      </c>
      <c r="C706" s="8" t="str">
        <f>IF(B706="","",VLOOKUP(B706,小圆机汇总表!A:AP,2,FALSE))</f>
        <v/>
      </c>
      <c r="D706" s="8" t="str">
        <f>IF(B706="","",VLOOKUP(B706,小圆机汇总表!A:AP,7,FALSE))</f>
        <v/>
      </c>
      <c r="E706" s="8" t="str">
        <f>IF(B706="","",VLOOKUP(B706,小圆机汇总表!A:AP,5,FALSE))</f>
        <v/>
      </c>
      <c r="F706" s="8" t="str">
        <f>IF(B706="","",VLOOKUP(B706,小圆机汇总表!A:AP,8,FALSE))</f>
        <v/>
      </c>
      <c r="M706" s="250" t="str">
        <f t="shared" si="11"/>
        <v/>
      </c>
    </row>
    <row r="707" spans="1:13">
      <c r="A707" s="4">
        <v>707</v>
      </c>
      <c r="C707" s="8" t="str">
        <f>IF(B707="","",VLOOKUP(B707,小圆机汇总表!A:AP,2,FALSE))</f>
        <v/>
      </c>
      <c r="D707" s="8" t="str">
        <f>IF(B707="","",VLOOKUP(B707,小圆机汇总表!A:AP,7,FALSE))</f>
        <v/>
      </c>
      <c r="E707" s="8" t="str">
        <f>IF(B707="","",VLOOKUP(B707,小圆机汇总表!A:AP,5,FALSE))</f>
        <v/>
      </c>
      <c r="F707" s="8" t="str">
        <f>IF(B707="","",VLOOKUP(B707,小圆机汇总表!A:AP,8,FALSE))</f>
        <v/>
      </c>
      <c r="M707" s="250" t="str">
        <f t="shared" ref="M707:M770" si="12">IF(B707="","",MONTH(G707))</f>
        <v/>
      </c>
    </row>
    <row r="708" spans="1:13">
      <c r="A708" s="4">
        <v>708</v>
      </c>
      <c r="C708" s="8" t="str">
        <f>IF(B708="","",VLOOKUP(B708,小圆机汇总表!A:AP,2,FALSE))</f>
        <v/>
      </c>
      <c r="D708" s="8" t="str">
        <f>IF(B708="","",VLOOKUP(B708,小圆机汇总表!A:AP,7,FALSE))</f>
        <v/>
      </c>
      <c r="E708" s="8" t="str">
        <f>IF(B708="","",VLOOKUP(B708,小圆机汇总表!A:AP,5,FALSE))</f>
        <v/>
      </c>
      <c r="F708" s="8" t="str">
        <f>IF(B708="","",VLOOKUP(B708,小圆机汇总表!A:AP,8,FALSE))</f>
        <v/>
      </c>
      <c r="M708" s="250" t="str">
        <f t="shared" si="12"/>
        <v/>
      </c>
    </row>
    <row r="709" spans="1:13">
      <c r="A709" s="4">
        <v>709</v>
      </c>
      <c r="C709" s="8" t="str">
        <f>IF(B709="","",VLOOKUP(B709,小圆机汇总表!A:AP,2,FALSE))</f>
        <v/>
      </c>
      <c r="D709" s="8" t="str">
        <f>IF(B709="","",VLOOKUP(B709,小圆机汇总表!A:AP,7,FALSE))</f>
        <v/>
      </c>
      <c r="E709" s="8" t="str">
        <f>IF(B709="","",VLOOKUP(B709,小圆机汇总表!A:AP,5,FALSE))</f>
        <v/>
      </c>
      <c r="F709" s="8" t="str">
        <f>IF(B709="","",VLOOKUP(B709,小圆机汇总表!A:AP,8,FALSE))</f>
        <v/>
      </c>
      <c r="M709" s="250" t="str">
        <f t="shared" si="12"/>
        <v/>
      </c>
    </row>
    <row r="710" spans="1:13">
      <c r="A710" s="4">
        <v>710</v>
      </c>
      <c r="C710" s="8" t="str">
        <f>IF(B710="","",VLOOKUP(B710,小圆机汇总表!A:AP,2,FALSE))</f>
        <v/>
      </c>
      <c r="D710" s="8" t="str">
        <f>IF(B710="","",VLOOKUP(B710,小圆机汇总表!A:AP,7,FALSE))</f>
        <v/>
      </c>
      <c r="E710" s="8" t="str">
        <f>IF(B710="","",VLOOKUP(B710,小圆机汇总表!A:AP,5,FALSE))</f>
        <v/>
      </c>
      <c r="F710" s="8" t="str">
        <f>IF(B710="","",VLOOKUP(B710,小圆机汇总表!A:AP,8,FALSE))</f>
        <v/>
      </c>
      <c r="M710" s="250" t="str">
        <f t="shared" si="12"/>
        <v/>
      </c>
    </row>
    <row r="711" spans="1:13">
      <c r="A711" s="4">
        <v>711</v>
      </c>
      <c r="C711" s="8" t="str">
        <f>IF(B711="","",VLOOKUP(B711,小圆机汇总表!A:AP,2,FALSE))</f>
        <v/>
      </c>
      <c r="D711" s="8" t="str">
        <f>IF(B711="","",VLOOKUP(B711,小圆机汇总表!A:AP,7,FALSE))</f>
        <v/>
      </c>
      <c r="E711" s="8" t="str">
        <f>IF(B711="","",VLOOKUP(B711,小圆机汇总表!A:AP,5,FALSE))</f>
        <v/>
      </c>
      <c r="F711" s="8" t="str">
        <f>IF(B711="","",VLOOKUP(B711,小圆机汇总表!A:AP,8,FALSE))</f>
        <v/>
      </c>
      <c r="M711" s="250" t="str">
        <f t="shared" si="12"/>
        <v/>
      </c>
    </row>
    <row r="712" spans="1:13">
      <c r="A712" s="4">
        <v>712</v>
      </c>
      <c r="C712" s="8" t="str">
        <f>IF(B712="","",VLOOKUP(B712,小圆机汇总表!A:AP,2,FALSE))</f>
        <v/>
      </c>
      <c r="D712" s="8" t="str">
        <f>IF(B712="","",VLOOKUP(B712,小圆机汇总表!A:AP,7,FALSE))</f>
        <v/>
      </c>
      <c r="E712" s="8" t="str">
        <f>IF(B712="","",VLOOKUP(B712,小圆机汇总表!A:AP,5,FALSE))</f>
        <v/>
      </c>
      <c r="F712" s="8" t="str">
        <f>IF(B712="","",VLOOKUP(B712,小圆机汇总表!A:AP,8,FALSE))</f>
        <v/>
      </c>
      <c r="M712" s="250" t="str">
        <f t="shared" si="12"/>
        <v/>
      </c>
    </row>
    <row r="713" spans="1:13">
      <c r="A713" s="4">
        <v>713</v>
      </c>
      <c r="C713" s="8" t="str">
        <f>IF(B713="","",VLOOKUP(B713,小圆机汇总表!A:AP,2,FALSE))</f>
        <v/>
      </c>
      <c r="D713" s="8" t="str">
        <f>IF(B713="","",VLOOKUP(B713,小圆机汇总表!A:AP,7,FALSE))</f>
        <v/>
      </c>
      <c r="E713" s="8" t="str">
        <f>IF(B713="","",VLOOKUP(B713,小圆机汇总表!A:AP,5,FALSE))</f>
        <v/>
      </c>
      <c r="F713" s="8" t="str">
        <f>IF(B713="","",VLOOKUP(B713,小圆机汇总表!A:AP,8,FALSE))</f>
        <v/>
      </c>
      <c r="M713" s="250" t="str">
        <f t="shared" si="12"/>
        <v/>
      </c>
    </row>
    <row r="714" spans="1:13">
      <c r="A714" s="4">
        <v>714</v>
      </c>
      <c r="C714" s="8" t="str">
        <f>IF(B714="","",VLOOKUP(B714,小圆机汇总表!A:AP,2,FALSE))</f>
        <v/>
      </c>
      <c r="D714" s="8" t="str">
        <f>IF(B714="","",VLOOKUP(B714,小圆机汇总表!A:AP,7,FALSE))</f>
        <v/>
      </c>
      <c r="E714" s="8" t="str">
        <f>IF(B714="","",VLOOKUP(B714,小圆机汇总表!A:AP,5,FALSE))</f>
        <v/>
      </c>
      <c r="F714" s="8" t="str">
        <f>IF(B714="","",VLOOKUP(B714,小圆机汇总表!A:AP,8,FALSE))</f>
        <v/>
      </c>
      <c r="M714" s="250" t="str">
        <f t="shared" si="12"/>
        <v/>
      </c>
    </row>
    <row r="715" spans="1:13">
      <c r="A715" s="4">
        <v>715</v>
      </c>
      <c r="C715" s="8" t="str">
        <f>IF(B715="","",VLOOKUP(B715,小圆机汇总表!A:AP,2,FALSE))</f>
        <v/>
      </c>
      <c r="D715" s="8" t="str">
        <f>IF(B715="","",VLOOKUP(B715,小圆机汇总表!A:AP,7,FALSE))</f>
        <v/>
      </c>
      <c r="E715" s="8" t="str">
        <f>IF(B715="","",VLOOKUP(B715,小圆机汇总表!A:AP,5,FALSE))</f>
        <v/>
      </c>
      <c r="F715" s="8" t="str">
        <f>IF(B715="","",VLOOKUP(B715,小圆机汇总表!A:AP,8,FALSE))</f>
        <v/>
      </c>
      <c r="M715" s="250" t="str">
        <f t="shared" si="12"/>
        <v/>
      </c>
    </row>
    <row r="716" spans="1:13">
      <c r="A716" s="4">
        <v>716</v>
      </c>
      <c r="C716" s="8" t="str">
        <f>IF(B716="","",VLOOKUP(B716,小圆机汇总表!A:AP,2,FALSE))</f>
        <v/>
      </c>
      <c r="D716" s="8" t="str">
        <f>IF(B716="","",VLOOKUP(B716,小圆机汇总表!A:AP,7,FALSE))</f>
        <v/>
      </c>
      <c r="E716" s="8" t="str">
        <f>IF(B716="","",VLOOKUP(B716,小圆机汇总表!A:AP,5,FALSE))</f>
        <v/>
      </c>
      <c r="F716" s="8" t="str">
        <f>IF(B716="","",VLOOKUP(B716,小圆机汇总表!A:AP,8,FALSE))</f>
        <v/>
      </c>
      <c r="M716" s="250" t="str">
        <f t="shared" si="12"/>
        <v/>
      </c>
    </row>
    <row r="717" spans="1:13">
      <c r="A717" s="4">
        <v>717</v>
      </c>
      <c r="C717" s="8" t="str">
        <f>IF(B717="","",VLOOKUP(B717,小圆机汇总表!A:AP,2,FALSE))</f>
        <v/>
      </c>
      <c r="D717" s="8" t="str">
        <f>IF(B717="","",VLOOKUP(B717,小圆机汇总表!A:AP,7,FALSE))</f>
        <v/>
      </c>
      <c r="E717" s="8" t="str">
        <f>IF(B717="","",VLOOKUP(B717,小圆机汇总表!A:AP,5,FALSE))</f>
        <v/>
      </c>
      <c r="F717" s="8" t="str">
        <f>IF(B717="","",VLOOKUP(B717,小圆机汇总表!A:AP,8,FALSE))</f>
        <v/>
      </c>
      <c r="M717" s="250" t="str">
        <f t="shared" si="12"/>
        <v/>
      </c>
    </row>
    <row r="718" spans="1:13">
      <c r="A718" s="4">
        <v>718</v>
      </c>
      <c r="C718" s="8" t="str">
        <f>IF(B718="","",VLOOKUP(B718,小圆机汇总表!A:AP,2,FALSE))</f>
        <v/>
      </c>
      <c r="D718" s="8" t="str">
        <f>IF(B718="","",VLOOKUP(B718,小圆机汇总表!A:AP,7,FALSE))</f>
        <v/>
      </c>
      <c r="E718" s="8" t="str">
        <f>IF(B718="","",VLOOKUP(B718,小圆机汇总表!A:AP,5,FALSE))</f>
        <v/>
      </c>
      <c r="F718" s="8" t="str">
        <f>IF(B718="","",VLOOKUP(B718,小圆机汇总表!A:AP,8,FALSE))</f>
        <v/>
      </c>
      <c r="M718" s="250" t="str">
        <f t="shared" si="12"/>
        <v/>
      </c>
    </row>
    <row r="719" spans="1:13">
      <c r="A719" s="4">
        <v>719</v>
      </c>
      <c r="C719" s="8" t="str">
        <f>IF(B719="","",VLOOKUP(B719,小圆机汇总表!A:AP,2,FALSE))</f>
        <v/>
      </c>
      <c r="D719" s="8" t="str">
        <f>IF(B719="","",VLOOKUP(B719,小圆机汇总表!A:AP,7,FALSE))</f>
        <v/>
      </c>
      <c r="E719" s="8" t="str">
        <f>IF(B719="","",VLOOKUP(B719,小圆机汇总表!A:AP,5,FALSE))</f>
        <v/>
      </c>
      <c r="F719" s="8" t="str">
        <f>IF(B719="","",VLOOKUP(B719,小圆机汇总表!A:AP,8,FALSE))</f>
        <v/>
      </c>
      <c r="M719" s="250" t="str">
        <f t="shared" si="12"/>
        <v/>
      </c>
    </row>
    <row r="720" spans="1:13">
      <c r="A720" s="4">
        <v>720</v>
      </c>
      <c r="C720" s="8" t="str">
        <f>IF(B720="","",VLOOKUP(B720,小圆机汇总表!A:AP,2,FALSE))</f>
        <v/>
      </c>
      <c r="D720" s="8" t="str">
        <f>IF(B720="","",VLOOKUP(B720,小圆机汇总表!A:AP,7,FALSE))</f>
        <v/>
      </c>
      <c r="E720" s="8" t="str">
        <f>IF(B720="","",VLOOKUP(B720,小圆机汇总表!A:AP,5,FALSE))</f>
        <v/>
      </c>
      <c r="F720" s="8" t="str">
        <f>IF(B720="","",VLOOKUP(B720,小圆机汇总表!A:AP,8,FALSE))</f>
        <v/>
      </c>
      <c r="M720" s="250" t="str">
        <f t="shared" si="12"/>
        <v/>
      </c>
    </row>
    <row r="721" spans="1:13">
      <c r="A721" s="4">
        <v>721</v>
      </c>
      <c r="C721" s="8" t="str">
        <f>IF(B721="","",VLOOKUP(B721,小圆机汇总表!A:AP,2,FALSE))</f>
        <v/>
      </c>
      <c r="D721" s="8" t="str">
        <f>IF(B721="","",VLOOKUP(B721,小圆机汇总表!A:AP,7,FALSE))</f>
        <v/>
      </c>
      <c r="E721" s="8" t="str">
        <f>IF(B721="","",VLOOKUP(B721,小圆机汇总表!A:AP,5,FALSE))</f>
        <v/>
      </c>
      <c r="F721" s="8" t="str">
        <f>IF(B721="","",VLOOKUP(B721,小圆机汇总表!A:AP,8,FALSE))</f>
        <v/>
      </c>
      <c r="M721" s="250" t="str">
        <f t="shared" si="12"/>
        <v/>
      </c>
    </row>
    <row r="722" spans="1:13">
      <c r="A722" s="4">
        <v>722</v>
      </c>
      <c r="C722" s="8" t="str">
        <f>IF(B722="","",VLOOKUP(B722,小圆机汇总表!A:AP,2,FALSE))</f>
        <v/>
      </c>
      <c r="D722" s="8" t="str">
        <f>IF(B722="","",VLOOKUP(B722,小圆机汇总表!A:AP,7,FALSE))</f>
        <v/>
      </c>
      <c r="E722" s="8" t="str">
        <f>IF(B722="","",VLOOKUP(B722,小圆机汇总表!A:AP,5,FALSE))</f>
        <v/>
      </c>
      <c r="F722" s="8" t="str">
        <f>IF(B722="","",VLOOKUP(B722,小圆机汇总表!A:AP,8,FALSE))</f>
        <v/>
      </c>
      <c r="M722" s="250" t="str">
        <f t="shared" si="12"/>
        <v/>
      </c>
    </row>
    <row r="723" spans="1:13">
      <c r="A723" s="4">
        <v>723</v>
      </c>
      <c r="C723" s="8" t="str">
        <f>IF(B723="","",VLOOKUP(B723,小圆机汇总表!A:AP,2,FALSE))</f>
        <v/>
      </c>
      <c r="D723" s="8" t="str">
        <f>IF(B723="","",VLOOKUP(B723,小圆机汇总表!A:AP,7,FALSE))</f>
        <v/>
      </c>
      <c r="E723" s="8" t="str">
        <f>IF(B723="","",VLOOKUP(B723,小圆机汇总表!A:AP,5,FALSE))</f>
        <v/>
      </c>
      <c r="F723" s="8" t="str">
        <f>IF(B723="","",VLOOKUP(B723,小圆机汇总表!A:AP,8,FALSE))</f>
        <v/>
      </c>
      <c r="M723" s="250" t="str">
        <f t="shared" si="12"/>
        <v/>
      </c>
    </row>
    <row r="724" spans="1:13">
      <c r="A724" s="4">
        <v>724</v>
      </c>
      <c r="C724" s="8" t="str">
        <f>IF(B724="","",VLOOKUP(B724,小圆机汇总表!A:AP,2,FALSE))</f>
        <v/>
      </c>
      <c r="D724" s="8" t="str">
        <f>IF(B724="","",VLOOKUP(B724,小圆机汇总表!A:AP,7,FALSE))</f>
        <v/>
      </c>
      <c r="E724" s="8" t="str">
        <f>IF(B724="","",VLOOKUP(B724,小圆机汇总表!A:AP,5,FALSE))</f>
        <v/>
      </c>
      <c r="F724" s="8" t="str">
        <f>IF(B724="","",VLOOKUP(B724,小圆机汇总表!A:AP,8,FALSE))</f>
        <v/>
      </c>
      <c r="M724" s="250" t="str">
        <f t="shared" si="12"/>
        <v/>
      </c>
    </row>
    <row r="725" spans="1:13">
      <c r="A725" s="4">
        <v>725</v>
      </c>
      <c r="C725" s="8" t="str">
        <f>IF(B725="","",VLOOKUP(B725,小圆机汇总表!A:AP,2,FALSE))</f>
        <v/>
      </c>
      <c r="D725" s="8" t="str">
        <f>IF(B725="","",VLOOKUP(B725,小圆机汇总表!A:AP,7,FALSE))</f>
        <v/>
      </c>
      <c r="E725" s="8" t="str">
        <f>IF(B725="","",VLOOKUP(B725,小圆机汇总表!A:AP,5,FALSE))</f>
        <v/>
      </c>
      <c r="F725" s="8" t="str">
        <f>IF(B725="","",VLOOKUP(B725,小圆机汇总表!A:AP,8,FALSE))</f>
        <v/>
      </c>
      <c r="M725" s="250" t="str">
        <f t="shared" si="12"/>
        <v/>
      </c>
    </row>
    <row r="726" spans="1:13">
      <c r="A726" s="4">
        <v>726</v>
      </c>
      <c r="C726" s="8" t="str">
        <f>IF(B726="","",VLOOKUP(B726,小圆机汇总表!A:AP,2,FALSE))</f>
        <v/>
      </c>
      <c r="D726" s="8" t="str">
        <f>IF(B726="","",VLOOKUP(B726,小圆机汇总表!A:AP,7,FALSE))</f>
        <v/>
      </c>
      <c r="E726" s="8" t="str">
        <f>IF(B726="","",VLOOKUP(B726,小圆机汇总表!A:AP,5,FALSE))</f>
        <v/>
      </c>
      <c r="F726" s="8" t="str">
        <f>IF(B726="","",VLOOKUP(B726,小圆机汇总表!A:AP,8,FALSE))</f>
        <v/>
      </c>
      <c r="M726" s="250" t="str">
        <f t="shared" si="12"/>
        <v/>
      </c>
    </row>
    <row r="727" spans="1:13">
      <c r="A727" s="4">
        <v>727</v>
      </c>
      <c r="C727" s="8" t="str">
        <f>IF(B727="","",VLOOKUP(B727,小圆机汇总表!A:AP,2,FALSE))</f>
        <v/>
      </c>
      <c r="D727" s="8" t="str">
        <f>IF(B727="","",VLOOKUP(B727,小圆机汇总表!A:AP,7,FALSE))</f>
        <v/>
      </c>
      <c r="E727" s="8" t="str">
        <f>IF(B727="","",VLOOKUP(B727,小圆机汇总表!A:AP,5,FALSE))</f>
        <v/>
      </c>
      <c r="F727" s="8" t="str">
        <f>IF(B727="","",VLOOKUP(B727,小圆机汇总表!A:AP,8,FALSE))</f>
        <v/>
      </c>
      <c r="M727" s="250" t="str">
        <f t="shared" si="12"/>
        <v/>
      </c>
    </row>
    <row r="728" spans="1:13">
      <c r="A728" s="4">
        <v>728</v>
      </c>
      <c r="C728" s="8" t="str">
        <f>IF(B728="","",VLOOKUP(B728,小圆机汇总表!A:AP,2,FALSE))</f>
        <v/>
      </c>
      <c r="D728" s="8" t="str">
        <f>IF(B728="","",VLOOKUP(B728,小圆机汇总表!A:AP,7,FALSE))</f>
        <v/>
      </c>
      <c r="E728" s="8" t="str">
        <f>IF(B728="","",VLOOKUP(B728,小圆机汇总表!A:AP,5,FALSE))</f>
        <v/>
      </c>
      <c r="F728" s="8" t="str">
        <f>IF(B728="","",VLOOKUP(B728,小圆机汇总表!A:AP,8,FALSE))</f>
        <v/>
      </c>
      <c r="M728" s="250" t="str">
        <f t="shared" si="12"/>
        <v/>
      </c>
    </row>
    <row r="729" spans="1:13">
      <c r="A729" s="4">
        <v>729</v>
      </c>
      <c r="C729" s="8" t="str">
        <f>IF(B729="","",VLOOKUP(B729,小圆机汇总表!A:AP,2,FALSE))</f>
        <v/>
      </c>
      <c r="D729" s="8" t="str">
        <f>IF(B729="","",VLOOKUP(B729,小圆机汇总表!A:AP,7,FALSE))</f>
        <v/>
      </c>
      <c r="E729" s="8" t="str">
        <f>IF(B729="","",VLOOKUP(B729,小圆机汇总表!A:AP,5,FALSE))</f>
        <v/>
      </c>
      <c r="F729" s="8" t="str">
        <f>IF(B729="","",VLOOKUP(B729,小圆机汇总表!A:AP,8,FALSE))</f>
        <v/>
      </c>
      <c r="M729" s="250" t="str">
        <f t="shared" si="12"/>
        <v/>
      </c>
    </row>
    <row r="730" spans="1:13">
      <c r="A730" s="4">
        <v>730</v>
      </c>
      <c r="C730" s="8" t="str">
        <f>IF(B730="","",VLOOKUP(B730,小圆机汇总表!A:AP,2,FALSE))</f>
        <v/>
      </c>
      <c r="D730" s="8" t="str">
        <f>IF(B730="","",VLOOKUP(B730,小圆机汇总表!A:AP,7,FALSE))</f>
        <v/>
      </c>
      <c r="E730" s="8" t="str">
        <f>IF(B730="","",VLOOKUP(B730,小圆机汇总表!A:AP,5,FALSE))</f>
        <v/>
      </c>
      <c r="F730" s="8" t="str">
        <f>IF(B730="","",VLOOKUP(B730,小圆机汇总表!A:AP,8,FALSE))</f>
        <v/>
      </c>
      <c r="M730" s="250" t="str">
        <f t="shared" si="12"/>
        <v/>
      </c>
    </row>
    <row r="731" spans="1:13">
      <c r="A731" s="4">
        <v>731</v>
      </c>
      <c r="C731" s="8" t="str">
        <f>IF(B731="","",VLOOKUP(B731,小圆机汇总表!A:AP,2,FALSE))</f>
        <v/>
      </c>
      <c r="D731" s="8" t="str">
        <f>IF(B731="","",VLOOKUP(B731,小圆机汇总表!A:AP,7,FALSE))</f>
        <v/>
      </c>
      <c r="E731" s="8" t="str">
        <f>IF(B731="","",VLOOKUP(B731,小圆机汇总表!A:AP,5,FALSE))</f>
        <v/>
      </c>
      <c r="F731" s="8" t="str">
        <f>IF(B731="","",VLOOKUP(B731,小圆机汇总表!A:AP,8,FALSE))</f>
        <v/>
      </c>
      <c r="M731" s="250" t="str">
        <f t="shared" si="12"/>
        <v/>
      </c>
    </row>
    <row r="732" spans="1:13">
      <c r="A732" s="4">
        <v>732</v>
      </c>
      <c r="C732" s="8" t="str">
        <f>IF(B732="","",VLOOKUP(B732,小圆机汇总表!A:AP,2,FALSE))</f>
        <v/>
      </c>
      <c r="D732" s="8" t="str">
        <f>IF(B732="","",VLOOKUP(B732,小圆机汇总表!A:AP,7,FALSE))</f>
        <v/>
      </c>
      <c r="E732" s="8" t="str">
        <f>IF(B732="","",VLOOKUP(B732,小圆机汇总表!A:AP,5,FALSE))</f>
        <v/>
      </c>
      <c r="F732" s="8" t="str">
        <f>IF(B732="","",VLOOKUP(B732,小圆机汇总表!A:AP,8,FALSE))</f>
        <v/>
      </c>
      <c r="M732" s="250" t="str">
        <f t="shared" si="12"/>
        <v/>
      </c>
    </row>
    <row r="733" spans="1:13">
      <c r="A733" s="4">
        <v>733</v>
      </c>
      <c r="C733" s="8" t="str">
        <f>IF(B733="","",VLOOKUP(B733,小圆机汇总表!A:AP,2,FALSE))</f>
        <v/>
      </c>
      <c r="D733" s="8" t="str">
        <f>IF(B733="","",VLOOKUP(B733,小圆机汇总表!A:AP,7,FALSE))</f>
        <v/>
      </c>
      <c r="E733" s="8" t="str">
        <f>IF(B733="","",VLOOKUP(B733,小圆机汇总表!A:AP,5,FALSE))</f>
        <v/>
      </c>
      <c r="F733" s="8" t="str">
        <f>IF(B733="","",VLOOKUP(B733,小圆机汇总表!A:AP,8,FALSE))</f>
        <v/>
      </c>
      <c r="M733" s="250" t="str">
        <f t="shared" si="12"/>
        <v/>
      </c>
    </row>
    <row r="734" spans="1:13">
      <c r="A734" s="4">
        <v>734</v>
      </c>
      <c r="C734" s="8" t="str">
        <f>IF(B734="","",VLOOKUP(B734,小圆机汇总表!A:AP,2,FALSE))</f>
        <v/>
      </c>
      <c r="D734" s="8" t="str">
        <f>IF(B734="","",VLOOKUP(B734,小圆机汇总表!A:AP,7,FALSE))</f>
        <v/>
      </c>
      <c r="E734" s="8" t="str">
        <f>IF(B734="","",VLOOKUP(B734,小圆机汇总表!A:AP,5,FALSE))</f>
        <v/>
      </c>
      <c r="F734" s="8" t="str">
        <f>IF(B734="","",VLOOKUP(B734,小圆机汇总表!A:AP,8,FALSE))</f>
        <v/>
      </c>
      <c r="M734" s="250" t="str">
        <f t="shared" si="12"/>
        <v/>
      </c>
    </row>
    <row r="735" spans="1:13">
      <c r="A735" s="4">
        <v>735</v>
      </c>
      <c r="C735" s="8" t="str">
        <f>IF(B735="","",VLOOKUP(B735,小圆机汇总表!A:AP,2,FALSE))</f>
        <v/>
      </c>
      <c r="D735" s="8" t="str">
        <f>IF(B735="","",VLOOKUP(B735,小圆机汇总表!A:AP,7,FALSE))</f>
        <v/>
      </c>
      <c r="E735" s="8" t="str">
        <f>IF(B735="","",VLOOKUP(B735,小圆机汇总表!A:AP,5,FALSE))</f>
        <v/>
      </c>
      <c r="F735" s="8" t="str">
        <f>IF(B735="","",VLOOKUP(B735,小圆机汇总表!A:AP,8,FALSE))</f>
        <v/>
      </c>
      <c r="M735" s="250" t="str">
        <f t="shared" si="12"/>
        <v/>
      </c>
    </row>
    <row r="736" spans="1:13">
      <c r="A736" s="4">
        <v>736</v>
      </c>
      <c r="C736" s="8" t="str">
        <f>IF(B736="","",VLOOKUP(B736,小圆机汇总表!A:AP,2,FALSE))</f>
        <v/>
      </c>
      <c r="D736" s="8" t="str">
        <f>IF(B736="","",VLOOKUP(B736,小圆机汇总表!A:AP,7,FALSE))</f>
        <v/>
      </c>
      <c r="E736" s="8" t="str">
        <f>IF(B736="","",VLOOKUP(B736,小圆机汇总表!A:AP,5,FALSE))</f>
        <v/>
      </c>
      <c r="F736" s="8" t="str">
        <f>IF(B736="","",VLOOKUP(B736,小圆机汇总表!A:AP,8,FALSE))</f>
        <v/>
      </c>
      <c r="M736" s="250" t="str">
        <f t="shared" si="12"/>
        <v/>
      </c>
    </row>
    <row r="737" spans="1:13">
      <c r="A737" s="4">
        <v>737</v>
      </c>
      <c r="C737" s="8" t="str">
        <f>IF(B737="","",VLOOKUP(B737,小圆机汇总表!A:AP,2,FALSE))</f>
        <v/>
      </c>
      <c r="D737" s="8" t="str">
        <f>IF(B737="","",VLOOKUP(B737,小圆机汇总表!A:AP,7,FALSE))</f>
        <v/>
      </c>
      <c r="E737" s="8" t="str">
        <f>IF(B737="","",VLOOKUP(B737,小圆机汇总表!A:AP,5,FALSE))</f>
        <v/>
      </c>
      <c r="F737" s="8" t="str">
        <f>IF(B737="","",VLOOKUP(B737,小圆机汇总表!A:AP,8,FALSE))</f>
        <v/>
      </c>
      <c r="M737" s="250" t="str">
        <f t="shared" si="12"/>
        <v/>
      </c>
    </row>
    <row r="738" spans="1:13">
      <c r="A738" s="4">
        <v>738</v>
      </c>
      <c r="C738" s="8" t="str">
        <f>IF(B738="","",VLOOKUP(B738,小圆机汇总表!A:AP,2,FALSE))</f>
        <v/>
      </c>
      <c r="D738" s="8" t="str">
        <f>IF(B738="","",VLOOKUP(B738,小圆机汇总表!A:AP,7,FALSE))</f>
        <v/>
      </c>
      <c r="E738" s="8" t="str">
        <f>IF(B738="","",VLOOKUP(B738,小圆机汇总表!A:AP,5,FALSE))</f>
        <v/>
      </c>
      <c r="F738" s="8" t="str">
        <f>IF(B738="","",VLOOKUP(B738,小圆机汇总表!A:AP,8,FALSE))</f>
        <v/>
      </c>
      <c r="M738" s="250" t="str">
        <f t="shared" si="12"/>
        <v/>
      </c>
    </row>
    <row r="739" spans="1:13">
      <c r="A739" s="4">
        <v>739</v>
      </c>
      <c r="C739" s="8" t="str">
        <f>IF(B739="","",VLOOKUP(B739,小圆机汇总表!A:AP,2,FALSE))</f>
        <v/>
      </c>
      <c r="D739" s="8" t="str">
        <f>IF(B739="","",VLOOKUP(B739,小圆机汇总表!A:AP,7,FALSE))</f>
        <v/>
      </c>
      <c r="E739" s="8" t="str">
        <f>IF(B739="","",VLOOKUP(B739,小圆机汇总表!A:AP,5,FALSE))</f>
        <v/>
      </c>
      <c r="F739" s="8" t="str">
        <f>IF(B739="","",VLOOKUP(B739,小圆机汇总表!A:AP,8,FALSE))</f>
        <v/>
      </c>
      <c r="M739" s="250" t="str">
        <f t="shared" si="12"/>
        <v/>
      </c>
    </row>
    <row r="740" spans="1:13">
      <c r="A740" s="4">
        <v>740</v>
      </c>
      <c r="C740" s="8" t="str">
        <f>IF(B740="","",VLOOKUP(B740,小圆机汇总表!A:AP,2,FALSE))</f>
        <v/>
      </c>
      <c r="D740" s="8" t="str">
        <f>IF(B740="","",VLOOKUP(B740,小圆机汇总表!A:AP,7,FALSE))</f>
        <v/>
      </c>
      <c r="E740" s="8" t="str">
        <f>IF(B740="","",VLOOKUP(B740,小圆机汇总表!A:AP,5,FALSE))</f>
        <v/>
      </c>
      <c r="F740" s="8" t="str">
        <f>IF(B740="","",VLOOKUP(B740,小圆机汇总表!A:AP,8,FALSE))</f>
        <v/>
      </c>
      <c r="M740" s="250" t="str">
        <f t="shared" si="12"/>
        <v/>
      </c>
    </row>
    <row r="741" spans="1:13">
      <c r="A741" s="4">
        <v>741</v>
      </c>
      <c r="C741" s="8" t="str">
        <f>IF(B741="","",VLOOKUP(B741,小圆机汇总表!A:AP,2,FALSE))</f>
        <v/>
      </c>
      <c r="D741" s="8" t="str">
        <f>IF(B741="","",VLOOKUP(B741,小圆机汇总表!A:AP,7,FALSE))</f>
        <v/>
      </c>
      <c r="E741" s="8" t="str">
        <f>IF(B741="","",VLOOKUP(B741,小圆机汇总表!A:AP,5,FALSE))</f>
        <v/>
      </c>
      <c r="F741" s="8" t="str">
        <f>IF(B741="","",VLOOKUP(B741,小圆机汇总表!A:AP,8,FALSE))</f>
        <v/>
      </c>
      <c r="M741" s="250" t="str">
        <f t="shared" si="12"/>
        <v/>
      </c>
    </row>
    <row r="742" spans="1:13">
      <c r="A742" s="4">
        <v>742</v>
      </c>
      <c r="C742" s="8" t="str">
        <f>IF(B742="","",VLOOKUP(B742,小圆机汇总表!A:AP,2,FALSE))</f>
        <v/>
      </c>
      <c r="D742" s="8" t="str">
        <f>IF(B742="","",VLOOKUP(B742,小圆机汇总表!A:AP,7,FALSE))</f>
        <v/>
      </c>
      <c r="E742" s="8" t="str">
        <f>IF(B742="","",VLOOKUP(B742,小圆机汇总表!A:AP,5,FALSE))</f>
        <v/>
      </c>
      <c r="F742" s="8" t="str">
        <f>IF(B742="","",VLOOKUP(B742,小圆机汇总表!A:AP,8,FALSE))</f>
        <v/>
      </c>
      <c r="M742" s="250" t="str">
        <f t="shared" si="12"/>
        <v/>
      </c>
    </row>
    <row r="743" spans="1:13">
      <c r="A743" s="4">
        <v>743</v>
      </c>
      <c r="C743" s="8" t="str">
        <f>IF(B743="","",VLOOKUP(B743,小圆机汇总表!A:AP,2,FALSE))</f>
        <v/>
      </c>
      <c r="D743" s="8" t="str">
        <f>IF(B743="","",VLOOKUP(B743,小圆机汇总表!A:AP,7,FALSE))</f>
        <v/>
      </c>
      <c r="E743" s="8" t="str">
        <f>IF(B743="","",VLOOKUP(B743,小圆机汇总表!A:AP,5,FALSE))</f>
        <v/>
      </c>
      <c r="F743" s="8" t="str">
        <f>IF(B743="","",VLOOKUP(B743,小圆机汇总表!A:AP,8,FALSE))</f>
        <v/>
      </c>
      <c r="M743" s="250" t="str">
        <f t="shared" si="12"/>
        <v/>
      </c>
    </row>
    <row r="744" spans="1:13">
      <c r="A744" s="4">
        <v>744</v>
      </c>
      <c r="C744" s="8" t="str">
        <f>IF(B744="","",VLOOKUP(B744,小圆机汇总表!A:AP,2,FALSE))</f>
        <v/>
      </c>
      <c r="D744" s="8" t="str">
        <f>IF(B744="","",VLOOKUP(B744,小圆机汇总表!A:AP,7,FALSE))</f>
        <v/>
      </c>
      <c r="E744" s="8" t="str">
        <f>IF(B744="","",VLOOKUP(B744,小圆机汇总表!A:AP,5,FALSE))</f>
        <v/>
      </c>
      <c r="F744" s="8" t="str">
        <f>IF(B744="","",VLOOKUP(B744,小圆机汇总表!A:AP,8,FALSE))</f>
        <v/>
      </c>
      <c r="M744" s="250" t="str">
        <f t="shared" si="12"/>
        <v/>
      </c>
    </row>
    <row r="745" spans="1:13">
      <c r="A745" s="4">
        <v>745</v>
      </c>
      <c r="C745" s="8" t="str">
        <f>IF(B745="","",VLOOKUP(B745,小圆机汇总表!A:AP,2,FALSE))</f>
        <v/>
      </c>
      <c r="D745" s="8" t="str">
        <f>IF(B745="","",VLOOKUP(B745,小圆机汇总表!A:AP,7,FALSE))</f>
        <v/>
      </c>
      <c r="E745" s="8" t="str">
        <f>IF(B745="","",VLOOKUP(B745,小圆机汇总表!A:AP,5,FALSE))</f>
        <v/>
      </c>
      <c r="F745" s="8" t="str">
        <f>IF(B745="","",VLOOKUP(B745,小圆机汇总表!A:AP,8,FALSE))</f>
        <v/>
      </c>
      <c r="M745" s="250" t="str">
        <f t="shared" si="12"/>
        <v/>
      </c>
    </row>
    <row r="746" spans="1:13">
      <c r="A746" s="4">
        <v>746</v>
      </c>
      <c r="C746" s="8" t="str">
        <f>IF(B746="","",VLOOKUP(B746,小圆机汇总表!A:AP,2,FALSE))</f>
        <v/>
      </c>
      <c r="D746" s="8" t="str">
        <f>IF(B746="","",VLOOKUP(B746,小圆机汇总表!A:AP,7,FALSE))</f>
        <v/>
      </c>
      <c r="E746" s="8" t="str">
        <f>IF(B746="","",VLOOKUP(B746,小圆机汇总表!A:AP,5,FALSE))</f>
        <v/>
      </c>
      <c r="F746" s="8" t="str">
        <f>IF(B746="","",VLOOKUP(B746,小圆机汇总表!A:AP,8,FALSE))</f>
        <v/>
      </c>
      <c r="M746" s="250" t="str">
        <f t="shared" si="12"/>
        <v/>
      </c>
    </row>
    <row r="747" spans="1:13">
      <c r="A747" s="4">
        <v>747</v>
      </c>
      <c r="C747" s="8" t="str">
        <f>IF(B747="","",VLOOKUP(B747,小圆机汇总表!A:AP,2,FALSE))</f>
        <v/>
      </c>
      <c r="D747" s="8" t="str">
        <f>IF(B747="","",VLOOKUP(B747,小圆机汇总表!A:AP,7,FALSE))</f>
        <v/>
      </c>
      <c r="E747" s="8" t="str">
        <f>IF(B747="","",VLOOKUP(B747,小圆机汇总表!A:AP,5,FALSE))</f>
        <v/>
      </c>
      <c r="F747" s="8" t="str">
        <f>IF(B747="","",VLOOKUP(B747,小圆机汇总表!A:AP,8,FALSE))</f>
        <v/>
      </c>
      <c r="M747" s="250" t="str">
        <f t="shared" si="12"/>
        <v/>
      </c>
    </row>
    <row r="748" spans="1:13">
      <c r="A748" s="4">
        <v>748</v>
      </c>
      <c r="C748" s="8" t="str">
        <f>IF(B748="","",VLOOKUP(B748,小圆机汇总表!A:AP,2,FALSE))</f>
        <v/>
      </c>
      <c r="D748" s="8" t="str">
        <f>IF(B748="","",VLOOKUP(B748,小圆机汇总表!A:AP,7,FALSE))</f>
        <v/>
      </c>
      <c r="E748" s="8" t="str">
        <f>IF(B748="","",VLOOKUP(B748,小圆机汇总表!A:AP,5,FALSE))</f>
        <v/>
      </c>
      <c r="F748" s="8" t="str">
        <f>IF(B748="","",VLOOKUP(B748,小圆机汇总表!A:AP,8,FALSE))</f>
        <v/>
      </c>
      <c r="M748" s="250" t="str">
        <f t="shared" si="12"/>
        <v/>
      </c>
    </row>
    <row r="749" spans="1:13">
      <c r="A749" s="4">
        <v>749</v>
      </c>
      <c r="C749" s="8" t="str">
        <f>IF(B749="","",VLOOKUP(B749,小圆机汇总表!A:AP,2,FALSE))</f>
        <v/>
      </c>
      <c r="D749" s="8" t="str">
        <f>IF(B749="","",VLOOKUP(B749,小圆机汇总表!A:AP,7,FALSE))</f>
        <v/>
      </c>
      <c r="E749" s="8" t="str">
        <f>IF(B749="","",VLOOKUP(B749,小圆机汇总表!A:AP,5,FALSE))</f>
        <v/>
      </c>
      <c r="F749" s="8" t="str">
        <f>IF(B749="","",VLOOKUP(B749,小圆机汇总表!A:AP,8,FALSE))</f>
        <v/>
      </c>
      <c r="M749" s="250" t="str">
        <f t="shared" si="12"/>
        <v/>
      </c>
    </row>
    <row r="750" spans="1:13">
      <c r="A750" s="4">
        <v>750</v>
      </c>
      <c r="C750" s="8" t="str">
        <f>IF(B750="","",VLOOKUP(B750,小圆机汇总表!A:AP,2,FALSE))</f>
        <v/>
      </c>
      <c r="D750" s="8" t="str">
        <f>IF(B750="","",VLOOKUP(B750,小圆机汇总表!A:AP,7,FALSE))</f>
        <v/>
      </c>
      <c r="E750" s="8" t="str">
        <f>IF(B750="","",VLOOKUP(B750,小圆机汇总表!A:AP,5,FALSE))</f>
        <v/>
      </c>
      <c r="F750" s="8" t="str">
        <f>IF(B750="","",VLOOKUP(B750,小圆机汇总表!A:AP,8,FALSE))</f>
        <v/>
      </c>
      <c r="M750" s="250" t="str">
        <f t="shared" si="12"/>
        <v/>
      </c>
    </row>
    <row r="751" spans="1:13">
      <c r="A751" s="4">
        <v>751</v>
      </c>
      <c r="C751" s="8" t="str">
        <f>IF(B751="","",VLOOKUP(B751,小圆机汇总表!A:AP,2,FALSE))</f>
        <v/>
      </c>
      <c r="D751" s="8" t="str">
        <f>IF(B751="","",VLOOKUP(B751,小圆机汇总表!A:AP,7,FALSE))</f>
        <v/>
      </c>
      <c r="E751" s="8" t="str">
        <f>IF(B751="","",VLOOKUP(B751,小圆机汇总表!A:AP,5,FALSE))</f>
        <v/>
      </c>
      <c r="F751" s="8" t="str">
        <f>IF(B751="","",VLOOKUP(B751,小圆机汇总表!A:AP,8,FALSE))</f>
        <v/>
      </c>
      <c r="M751" s="250" t="str">
        <f t="shared" si="12"/>
        <v/>
      </c>
    </row>
    <row r="752" spans="1:13">
      <c r="A752" s="4">
        <v>752</v>
      </c>
      <c r="C752" s="8" t="str">
        <f>IF(B752="","",VLOOKUP(B752,小圆机汇总表!A:AP,2,FALSE))</f>
        <v/>
      </c>
      <c r="D752" s="8" t="str">
        <f>IF(B752="","",VLOOKUP(B752,小圆机汇总表!A:AP,7,FALSE))</f>
        <v/>
      </c>
      <c r="E752" s="8" t="str">
        <f>IF(B752="","",VLOOKUP(B752,小圆机汇总表!A:AP,5,FALSE))</f>
        <v/>
      </c>
      <c r="F752" s="8" t="str">
        <f>IF(B752="","",VLOOKUP(B752,小圆机汇总表!A:AP,8,FALSE))</f>
        <v/>
      </c>
      <c r="M752" s="250" t="str">
        <f t="shared" si="12"/>
        <v/>
      </c>
    </row>
    <row r="753" spans="1:13">
      <c r="A753" s="4">
        <v>753</v>
      </c>
      <c r="C753" s="8" t="str">
        <f>IF(B753="","",VLOOKUP(B753,小圆机汇总表!A:AP,2,FALSE))</f>
        <v/>
      </c>
      <c r="D753" s="8" t="str">
        <f>IF(B753="","",VLOOKUP(B753,小圆机汇总表!A:AP,7,FALSE))</f>
        <v/>
      </c>
      <c r="E753" s="8" t="str">
        <f>IF(B753="","",VLOOKUP(B753,小圆机汇总表!A:AP,5,FALSE))</f>
        <v/>
      </c>
      <c r="F753" s="8" t="str">
        <f>IF(B753="","",VLOOKUP(B753,小圆机汇总表!A:AP,8,FALSE))</f>
        <v/>
      </c>
      <c r="M753" s="250" t="str">
        <f t="shared" si="12"/>
        <v/>
      </c>
    </row>
    <row r="754" spans="1:13">
      <c r="A754" s="4">
        <v>754</v>
      </c>
      <c r="C754" s="8" t="str">
        <f>IF(B754="","",VLOOKUP(B754,小圆机汇总表!A:AP,2,FALSE))</f>
        <v/>
      </c>
      <c r="D754" s="8" t="str">
        <f>IF(B754="","",VLOOKUP(B754,小圆机汇总表!A:AP,7,FALSE))</f>
        <v/>
      </c>
      <c r="E754" s="8" t="str">
        <f>IF(B754="","",VLOOKUP(B754,小圆机汇总表!A:AP,5,FALSE))</f>
        <v/>
      </c>
      <c r="F754" s="8" t="str">
        <f>IF(B754="","",VLOOKUP(B754,小圆机汇总表!A:AP,8,FALSE))</f>
        <v/>
      </c>
      <c r="M754" s="250" t="str">
        <f t="shared" si="12"/>
        <v/>
      </c>
    </row>
    <row r="755" spans="1:13">
      <c r="A755" s="4">
        <v>755</v>
      </c>
      <c r="C755" s="8" t="str">
        <f>IF(B755="","",VLOOKUP(B755,小圆机汇总表!A:AP,2,FALSE))</f>
        <v/>
      </c>
      <c r="D755" s="8" t="str">
        <f>IF(B755="","",VLOOKUP(B755,小圆机汇总表!A:AP,7,FALSE))</f>
        <v/>
      </c>
      <c r="E755" s="8" t="str">
        <f>IF(B755="","",VLOOKUP(B755,小圆机汇总表!A:AP,5,FALSE))</f>
        <v/>
      </c>
      <c r="F755" s="8" t="str">
        <f>IF(B755="","",VLOOKUP(B755,小圆机汇总表!A:AP,8,FALSE))</f>
        <v/>
      </c>
      <c r="M755" s="250" t="str">
        <f t="shared" si="12"/>
        <v/>
      </c>
    </row>
    <row r="756" spans="1:13">
      <c r="A756" s="4">
        <v>756</v>
      </c>
      <c r="C756" s="8" t="str">
        <f>IF(B756="","",VLOOKUP(B756,小圆机汇总表!A:AP,2,FALSE))</f>
        <v/>
      </c>
      <c r="D756" s="8" t="str">
        <f>IF(B756="","",VLOOKUP(B756,小圆机汇总表!A:AP,7,FALSE))</f>
        <v/>
      </c>
      <c r="E756" s="8" t="str">
        <f>IF(B756="","",VLOOKUP(B756,小圆机汇总表!A:AP,5,FALSE))</f>
        <v/>
      </c>
      <c r="F756" s="8" t="str">
        <f>IF(B756="","",VLOOKUP(B756,小圆机汇总表!A:AP,8,FALSE))</f>
        <v/>
      </c>
      <c r="M756" s="250" t="str">
        <f t="shared" si="12"/>
        <v/>
      </c>
    </row>
    <row r="757" spans="1:13">
      <c r="A757" s="4">
        <v>757</v>
      </c>
      <c r="C757" s="8" t="str">
        <f>IF(B757="","",VLOOKUP(B757,小圆机汇总表!A:AP,2,FALSE))</f>
        <v/>
      </c>
      <c r="D757" s="8" t="str">
        <f>IF(B757="","",VLOOKUP(B757,小圆机汇总表!A:AP,7,FALSE))</f>
        <v/>
      </c>
      <c r="E757" s="8" t="str">
        <f>IF(B757="","",VLOOKUP(B757,小圆机汇总表!A:AP,5,FALSE))</f>
        <v/>
      </c>
      <c r="F757" s="8" t="str">
        <f>IF(B757="","",VLOOKUP(B757,小圆机汇总表!A:AP,8,FALSE))</f>
        <v/>
      </c>
      <c r="M757" s="250" t="str">
        <f t="shared" si="12"/>
        <v/>
      </c>
    </row>
    <row r="758" spans="1:13">
      <c r="A758" s="4">
        <v>758</v>
      </c>
      <c r="C758" s="8" t="str">
        <f>IF(B758="","",VLOOKUP(B758,小圆机汇总表!A:AP,2,FALSE))</f>
        <v/>
      </c>
      <c r="D758" s="8" t="str">
        <f>IF(B758="","",VLOOKUP(B758,小圆机汇总表!A:AP,7,FALSE))</f>
        <v/>
      </c>
      <c r="E758" s="8" t="str">
        <f>IF(B758="","",VLOOKUP(B758,小圆机汇总表!A:AP,5,FALSE))</f>
        <v/>
      </c>
      <c r="F758" s="8" t="str">
        <f>IF(B758="","",VLOOKUP(B758,小圆机汇总表!A:AP,8,FALSE))</f>
        <v/>
      </c>
      <c r="M758" s="250" t="str">
        <f t="shared" si="12"/>
        <v/>
      </c>
    </row>
    <row r="759" spans="1:13">
      <c r="A759" s="4">
        <v>759</v>
      </c>
      <c r="C759" s="8" t="str">
        <f>IF(B759="","",VLOOKUP(B759,小圆机汇总表!A:AP,2,FALSE))</f>
        <v/>
      </c>
      <c r="D759" s="8" t="str">
        <f>IF(B759="","",VLOOKUP(B759,小圆机汇总表!A:AP,7,FALSE))</f>
        <v/>
      </c>
      <c r="E759" s="8" t="str">
        <f>IF(B759="","",VLOOKUP(B759,小圆机汇总表!A:AP,5,FALSE))</f>
        <v/>
      </c>
      <c r="F759" s="8" t="str">
        <f>IF(B759="","",VLOOKUP(B759,小圆机汇总表!A:AP,8,FALSE))</f>
        <v/>
      </c>
      <c r="M759" s="250" t="str">
        <f t="shared" si="12"/>
        <v/>
      </c>
    </row>
    <row r="760" spans="1:13">
      <c r="A760" s="4">
        <v>760</v>
      </c>
      <c r="C760" s="8" t="str">
        <f>IF(B760="","",VLOOKUP(B760,小圆机汇总表!A:AP,2,FALSE))</f>
        <v/>
      </c>
      <c r="D760" s="8" t="str">
        <f>IF(B760="","",VLOOKUP(B760,小圆机汇总表!A:AP,7,FALSE))</f>
        <v/>
      </c>
      <c r="E760" s="8" t="str">
        <f>IF(B760="","",VLOOKUP(B760,小圆机汇总表!A:AP,5,FALSE))</f>
        <v/>
      </c>
      <c r="F760" s="8" t="str">
        <f>IF(B760="","",VLOOKUP(B760,小圆机汇总表!A:AP,8,FALSE))</f>
        <v/>
      </c>
      <c r="M760" s="250" t="str">
        <f t="shared" si="12"/>
        <v/>
      </c>
    </row>
    <row r="761" spans="1:13">
      <c r="A761" s="4">
        <v>761</v>
      </c>
      <c r="C761" s="8" t="str">
        <f>IF(B761="","",VLOOKUP(B761,小圆机汇总表!A:AP,2,FALSE))</f>
        <v/>
      </c>
      <c r="D761" s="8" t="str">
        <f>IF(B761="","",VLOOKUP(B761,小圆机汇总表!A:AP,7,FALSE))</f>
        <v/>
      </c>
      <c r="E761" s="8" t="str">
        <f>IF(B761="","",VLOOKUP(B761,小圆机汇总表!A:AP,5,FALSE))</f>
        <v/>
      </c>
      <c r="F761" s="8" t="str">
        <f>IF(B761="","",VLOOKUP(B761,小圆机汇总表!A:AP,8,FALSE))</f>
        <v/>
      </c>
      <c r="M761" s="250" t="str">
        <f t="shared" si="12"/>
        <v/>
      </c>
    </row>
    <row r="762" spans="1:13">
      <c r="A762" s="4">
        <v>762</v>
      </c>
      <c r="C762" s="8" t="str">
        <f>IF(B762="","",VLOOKUP(B762,小圆机汇总表!A:AP,2,FALSE))</f>
        <v/>
      </c>
      <c r="D762" s="8" t="str">
        <f>IF(B762="","",VLOOKUP(B762,小圆机汇总表!A:AP,7,FALSE))</f>
        <v/>
      </c>
      <c r="E762" s="8" t="str">
        <f>IF(B762="","",VLOOKUP(B762,小圆机汇总表!A:AP,5,FALSE))</f>
        <v/>
      </c>
      <c r="F762" s="8" t="str">
        <f>IF(B762="","",VLOOKUP(B762,小圆机汇总表!A:AP,8,FALSE))</f>
        <v/>
      </c>
      <c r="M762" s="250" t="str">
        <f t="shared" si="12"/>
        <v/>
      </c>
    </row>
    <row r="763" spans="1:13">
      <c r="A763" s="4">
        <v>763</v>
      </c>
      <c r="C763" s="8" t="str">
        <f>IF(B763="","",VLOOKUP(B763,小圆机汇总表!A:AP,2,FALSE))</f>
        <v/>
      </c>
      <c r="D763" s="8" t="str">
        <f>IF(B763="","",VLOOKUP(B763,小圆机汇总表!A:AP,7,FALSE))</f>
        <v/>
      </c>
      <c r="E763" s="8" t="str">
        <f>IF(B763="","",VLOOKUP(B763,小圆机汇总表!A:AP,5,FALSE))</f>
        <v/>
      </c>
      <c r="F763" s="8" t="str">
        <f>IF(B763="","",VLOOKUP(B763,小圆机汇总表!A:AP,8,FALSE))</f>
        <v/>
      </c>
      <c r="M763" s="250" t="str">
        <f t="shared" si="12"/>
        <v/>
      </c>
    </row>
    <row r="764" spans="1:13">
      <c r="A764" s="4">
        <v>764</v>
      </c>
      <c r="C764" s="8" t="str">
        <f>IF(B764="","",VLOOKUP(B764,小圆机汇总表!A:AP,2,FALSE))</f>
        <v/>
      </c>
      <c r="D764" s="8" t="str">
        <f>IF(B764="","",VLOOKUP(B764,小圆机汇总表!A:AP,7,FALSE))</f>
        <v/>
      </c>
      <c r="E764" s="8" t="str">
        <f>IF(B764="","",VLOOKUP(B764,小圆机汇总表!A:AP,5,FALSE))</f>
        <v/>
      </c>
      <c r="F764" s="8" t="str">
        <f>IF(B764="","",VLOOKUP(B764,小圆机汇总表!A:AP,8,FALSE))</f>
        <v/>
      </c>
      <c r="M764" s="250" t="str">
        <f t="shared" si="12"/>
        <v/>
      </c>
    </row>
    <row r="765" spans="1:13">
      <c r="A765" s="4">
        <v>765</v>
      </c>
      <c r="C765" s="8" t="str">
        <f>IF(B765="","",VLOOKUP(B765,小圆机汇总表!A:AP,2,FALSE))</f>
        <v/>
      </c>
      <c r="D765" s="8" t="str">
        <f>IF(B765="","",VLOOKUP(B765,小圆机汇总表!A:AP,7,FALSE))</f>
        <v/>
      </c>
      <c r="E765" s="8" t="str">
        <f>IF(B765="","",VLOOKUP(B765,小圆机汇总表!A:AP,5,FALSE))</f>
        <v/>
      </c>
      <c r="F765" s="8" t="str">
        <f>IF(B765="","",VLOOKUP(B765,小圆机汇总表!A:AP,8,FALSE))</f>
        <v/>
      </c>
      <c r="M765" s="250" t="str">
        <f t="shared" si="12"/>
        <v/>
      </c>
    </row>
    <row r="766" spans="1:13">
      <c r="A766" s="4">
        <v>766</v>
      </c>
      <c r="C766" s="8" t="str">
        <f>IF(B766="","",VLOOKUP(B766,小圆机汇总表!A:AP,2,FALSE))</f>
        <v/>
      </c>
      <c r="D766" s="8" t="str">
        <f>IF(B766="","",VLOOKUP(B766,小圆机汇总表!A:AP,7,FALSE))</f>
        <v/>
      </c>
      <c r="E766" s="8" t="str">
        <f>IF(B766="","",VLOOKUP(B766,小圆机汇总表!A:AP,5,FALSE))</f>
        <v/>
      </c>
      <c r="F766" s="8" t="str">
        <f>IF(B766="","",VLOOKUP(B766,小圆机汇总表!A:AP,8,FALSE))</f>
        <v/>
      </c>
      <c r="M766" s="250" t="str">
        <f t="shared" si="12"/>
        <v/>
      </c>
    </row>
    <row r="767" spans="1:13">
      <c r="A767" s="4">
        <v>767</v>
      </c>
      <c r="C767" s="8" t="str">
        <f>IF(B767="","",VLOOKUP(B767,小圆机汇总表!A:AP,2,FALSE))</f>
        <v/>
      </c>
      <c r="D767" s="8" t="str">
        <f>IF(B767="","",VLOOKUP(B767,小圆机汇总表!A:AP,7,FALSE))</f>
        <v/>
      </c>
      <c r="E767" s="8" t="str">
        <f>IF(B767="","",VLOOKUP(B767,小圆机汇总表!A:AP,5,FALSE))</f>
        <v/>
      </c>
      <c r="F767" s="8" t="str">
        <f>IF(B767="","",VLOOKUP(B767,小圆机汇总表!A:AP,8,FALSE))</f>
        <v/>
      </c>
      <c r="M767" s="250" t="str">
        <f t="shared" si="12"/>
        <v/>
      </c>
    </row>
    <row r="768" spans="1:13">
      <c r="A768" s="4">
        <v>768</v>
      </c>
      <c r="C768" s="8" t="str">
        <f>IF(B768="","",VLOOKUP(B768,小圆机汇总表!A:AP,2,FALSE))</f>
        <v/>
      </c>
      <c r="D768" s="8" t="str">
        <f>IF(B768="","",VLOOKUP(B768,小圆机汇总表!A:AP,7,FALSE))</f>
        <v/>
      </c>
      <c r="E768" s="8" t="str">
        <f>IF(B768="","",VLOOKUP(B768,小圆机汇总表!A:AP,5,FALSE))</f>
        <v/>
      </c>
      <c r="F768" s="8" t="str">
        <f>IF(B768="","",VLOOKUP(B768,小圆机汇总表!A:AP,8,FALSE))</f>
        <v/>
      </c>
      <c r="M768" s="250" t="str">
        <f t="shared" si="12"/>
        <v/>
      </c>
    </row>
    <row r="769" spans="1:13">
      <c r="A769" s="4">
        <v>769</v>
      </c>
      <c r="C769" s="8" t="str">
        <f>IF(B769="","",VLOOKUP(B769,小圆机汇总表!A:AP,2,FALSE))</f>
        <v/>
      </c>
      <c r="D769" s="8" t="str">
        <f>IF(B769="","",VLOOKUP(B769,小圆机汇总表!A:AP,7,FALSE))</f>
        <v/>
      </c>
      <c r="E769" s="8" t="str">
        <f>IF(B769="","",VLOOKUP(B769,小圆机汇总表!A:AP,5,FALSE))</f>
        <v/>
      </c>
      <c r="F769" s="8" t="str">
        <f>IF(B769="","",VLOOKUP(B769,小圆机汇总表!A:AP,8,FALSE))</f>
        <v/>
      </c>
      <c r="M769" s="250" t="str">
        <f t="shared" si="12"/>
        <v/>
      </c>
    </row>
    <row r="770" spans="1:13">
      <c r="A770" s="4">
        <v>770</v>
      </c>
      <c r="C770" s="8" t="str">
        <f>IF(B770="","",VLOOKUP(B770,小圆机汇总表!A:AP,2,FALSE))</f>
        <v/>
      </c>
      <c r="D770" s="8" t="str">
        <f>IF(B770="","",VLOOKUP(B770,小圆机汇总表!A:AP,7,FALSE))</f>
        <v/>
      </c>
      <c r="E770" s="8" t="str">
        <f>IF(B770="","",VLOOKUP(B770,小圆机汇总表!A:AP,5,FALSE))</f>
        <v/>
      </c>
      <c r="F770" s="8" t="str">
        <f>IF(B770="","",VLOOKUP(B770,小圆机汇总表!A:AP,8,FALSE))</f>
        <v/>
      </c>
      <c r="M770" s="250" t="str">
        <f t="shared" si="12"/>
        <v/>
      </c>
    </row>
    <row r="771" spans="1:13">
      <c r="A771" s="4">
        <v>771</v>
      </c>
      <c r="C771" s="8" t="str">
        <f>IF(B771="","",VLOOKUP(B771,小圆机汇总表!A:AP,2,FALSE))</f>
        <v/>
      </c>
      <c r="D771" s="8" t="str">
        <f>IF(B771="","",VLOOKUP(B771,小圆机汇总表!A:AP,7,FALSE))</f>
        <v/>
      </c>
      <c r="E771" s="8" t="str">
        <f>IF(B771="","",VLOOKUP(B771,小圆机汇总表!A:AP,5,FALSE))</f>
        <v/>
      </c>
      <c r="F771" s="8" t="str">
        <f>IF(B771="","",VLOOKUP(B771,小圆机汇总表!A:AP,8,FALSE))</f>
        <v/>
      </c>
      <c r="M771" s="250" t="str">
        <f t="shared" ref="M771:M834" si="13">IF(B771="","",MONTH(G771))</f>
        <v/>
      </c>
    </row>
    <row r="772" spans="1:13">
      <c r="A772" s="4">
        <v>772</v>
      </c>
      <c r="C772" s="8" t="str">
        <f>IF(B772="","",VLOOKUP(B772,小圆机汇总表!A:AP,2,FALSE))</f>
        <v/>
      </c>
      <c r="D772" s="8" t="str">
        <f>IF(B772="","",VLOOKUP(B772,小圆机汇总表!A:AP,7,FALSE))</f>
        <v/>
      </c>
      <c r="E772" s="8" t="str">
        <f>IF(B772="","",VLOOKUP(B772,小圆机汇总表!A:AP,5,FALSE))</f>
        <v/>
      </c>
      <c r="F772" s="8" t="str">
        <f>IF(B772="","",VLOOKUP(B772,小圆机汇总表!A:AP,8,FALSE))</f>
        <v/>
      </c>
      <c r="M772" s="250" t="str">
        <f t="shared" si="13"/>
        <v/>
      </c>
    </row>
    <row r="773" spans="1:13">
      <c r="A773" s="4">
        <v>773</v>
      </c>
      <c r="C773" s="8" t="str">
        <f>IF(B773="","",VLOOKUP(B773,小圆机汇总表!A:AP,2,FALSE))</f>
        <v/>
      </c>
      <c r="D773" s="8" t="str">
        <f>IF(B773="","",VLOOKUP(B773,小圆机汇总表!A:AP,7,FALSE))</f>
        <v/>
      </c>
      <c r="E773" s="8" t="str">
        <f>IF(B773="","",VLOOKUP(B773,小圆机汇总表!A:AP,5,FALSE))</f>
        <v/>
      </c>
      <c r="F773" s="8" t="str">
        <f>IF(B773="","",VLOOKUP(B773,小圆机汇总表!A:AP,8,FALSE))</f>
        <v/>
      </c>
      <c r="M773" s="250" t="str">
        <f t="shared" si="13"/>
        <v/>
      </c>
    </row>
    <row r="774" spans="1:13">
      <c r="A774" s="4">
        <v>774</v>
      </c>
      <c r="C774" s="8" t="str">
        <f>IF(B774="","",VLOOKUP(B774,小圆机汇总表!A:AP,2,FALSE))</f>
        <v/>
      </c>
      <c r="D774" s="8" t="str">
        <f>IF(B774="","",VLOOKUP(B774,小圆机汇总表!A:AP,7,FALSE))</f>
        <v/>
      </c>
      <c r="E774" s="8" t="str">
        <f>IF(B774="","",VLOOKUP(B774,小圆机汇总表!A:AP,5,FALSE))</f>
        <v/>
      </c>
      <c r="F774" s="8" t="str">
        <f>IF(B774="","",VLOOKUP(B774,小圆机汇总表!A:AP,8,FALSE))</f>
        <v/>
      </c>
      <c r="M774" s="250" t="str">
        <f t="shared" si="13"/>
        <v/>
      </c>
    </row>
    <row r="775" spans="1:13">
      <c r="A775" s="4">
        <v>775</v>
      </c>
      <c r="C775" s="8" t="str">
        <f>IF(B775="","",VLOOKUP(B775,小圆机汇总表!A:AP,2,FALSE))</f>
        <v/>
      </c>
      <c r="D775" s="8" t="str">
        <f>IF(B775="","",VLOOKUP(B775,小圆机汇总表!A:AP,7,FALSE))</f>
        <v/>
      </c>
      <c r="E775" s="8" t="str">
        <f>IF(B775="","",VLOOKUP(B775,小圆机汇总表!A:AP,5,FALSE))</f>
        <v/>
      </c>
      <c r="F775" s="8" t="str">
        <f>IF(B775="","",VLOOKUP(B775,小圆机汇总表!A:AP,8,FALSE))</f>
        <v/>
      </c>
      <c r="M775" s="250" t="str">
        <f t="shared" si="13"/>
        <v/>
      </c>
    </row>
    <row r="776" spans="1:13">
      <c r="A776" s="4">
        <v>776</v>
      </c>
      <c r="C776" s="8" t="str">
        <f>IF(B776="","",VLOOKUP(B776,小圆机汇总表!A:AP,2,FALSE))</f>
        <v/>
      </c>
      <c r="D776" s="8" t="str">
        <f>IF(B776="","",VLOOKUP(B776,小圆机汇总表!A:AP,7,FALSE))</f>
        <v/>
      </c>
      <c r="E776" s="8" t="str">
        <f>IF(B776="","",VLOOKUP(B776,小圆机汇总表!A:AP,5,FALSE))</f>
        <v/>
      </c>
      <c r="F776" s="8" t="str">
        <f>IF(B776="","",VLOOKUP(B776,小圆机汇总表!A:AP,8,FALSE))</f>
        <v/>
      </c>
      <c r="M776" s="250" t="str">
        <f t="shared" si="13"/>
        <v/>
      </c>
    </row>
    <row r="777" spans="1:13">
      <c r="A777" s="4">
        <v>777</v>
      </c>
      <c r="C777" s="8" t="str">
        <f>IF(B777="","",VLOOKUP(B777,小圆机汇总表!A:AP,2,FALSE))</f>
        <v/>
      </c>
      <c r="D777" s="8" t="str">
        <f>IF(B777="","",VLOOKUP(B777,小圆机汇总表!A:AP,7,FALSE))</f>
        <v/>
      </c>
      <c r="E777" s="8" t="str">
        <f>IF(B777="","",VLOOKUP(B777,小圆机汇总表!A:AP,5,FALSE))</f>
        <v/>
      </c>
      <c r="F777" s="8" t="str">
        <f>IF(B777="","",VLOOKUP(B777,小圆机汇总表!A:AP,8,FALSE))</f>
        <v/>
      </c>
      <c r="M777" s="250" t="str">
        <f t="shared" si="13"/>
        <v/>
      </c>
    </row>
    <row r="778" spans="1:13">
      <c r="A778" s="4">
        <v>778</v>
      </c>
      <c r="C778" s="8" t="str">
        <f>IF(B778="","",VLOOKUP(B778,小圆机汇总表!A:AP,2,FALSE))</f>
        <v/>
      </c>
      <c r="D778" s="8" t="str">
        <f>IF(B778="","",VLOOKUP(B778,小圆机汇总表!A:AP,7,FALSE))</f>
        <v/>
      </c>
      <c r="E778" s="8" t="str">
        <f>IF(B778="","",VLOOKUP(B778,小圆机汇总表!A:AP,5,FALSE))</f>
        <v/>
      </c>
      <c r="F778" s="8" t="str">
        <f>IF(B778="","",VLOOKUP(B778,小圆机汇总表!A:AP,8,FALSE))</f>
        <v/>
      </c>
      <c r="M778" s="250" t="str">
        <f t="shared" si="13"/>
        <v/>
      </c>
    </row>
    <row r="779" spans="1:13">
      <c r="A779" s="4">
        <v>779</v>
      </c>
      <c r="C779" s="8" t="str">
        <f>IF(B779="","",VLOOKUP(B779,小圆机汇总表!A:AP,2,FALSE))</f>
        <v/>
      </c>
      <c r="D779" s="8" t="str">
        <f>IF(B779="","",VLOOKUP(B779,小圆机汇总表!A:AP,7,FALSE))</f>
        <v/>
      </c>
      <c r="E779" s="8" t="str">
        <f>IF(B779="","",VLOOKUP(B779,小圆机汇总表!A:AP,5,FALSE))</f>
        <v/>
      </c>
      <c r="F779" s="8" t="str">
        <f>IF(B779="","",VLOOKUP(B779,小圆机汇总表!A:AP,8,FALSE))</f>
        <v/>
      </c>
      <c r="M779" s="250" t="str">
        <f t="shared" si="13"/>
        <v/>
      </c>
    </row>
    <row r="780" spans="1:13">
      <c r="A780" s="4">
        <v>780</v>
      </c>
      <c r="C780" s="8" t="str">
        <f>IF(B780="","",VLOOKUP(B780,小圆机汇总表!A:AP,2,FALSE))</f>
        <v/>
      </c>
      <c r="D780" s="8" t="str">
        <f>IF(B780="","",VLOOKUP(B780,小圆机汇总表!A:AP,7,FALSE))</f>
        <v/>
      </c>
      <c r="E780" s="8" t="str">
        <f>IF(B780="","",VLOOKUP(B780,小圆机汇总表!A:AP,5,FALSE))</f>
        <v/>
      </c>
      <c r="F780" s="8" t="str">
        <f>IF(B780="","",VLOOKUP(B780,小圆机汇总表!A:AP,8,FALSE))</f>
        <v/>
      </c>
      <c r="M780" s="250" t="str">
        <f t="shared" si="13"/>
        <v/>
      </c>
    </row>
    <row r="781" spans="1:13">
      <c r="A781" s="4">
        <v>781</v>
      </c>
      <c r="C781" s="8" t="str">
        <f>IF(B781="","",VLOOKUP(B781,小圆机汇总表!A:AP,2,FALSE))</f>
        <v/>
      </c>
      <c r="D781" s="8" t="str">
        <f>IF(B781="","",VLOOKUP(B781,小圆机汇总表!A:AP,7,FALSE))</f>
        <v/>
      </c>
      <c r="E781" s="8" t="str">
        <f>IF(B781="","",VLOOKUP(B781,小圆机汇总表!A:AP,5,FALSE))</f>
        <v/>
      </c>
      <c r="F781" s="8" t="str">
        <f>IF(B781="","",VLOOKUP(B781,小圆机汇总表!A:AP,8,FALSE))</f>
        <v/>
      </c>
      <c r="M781" s="250" t="str">
        <f t="shared" si="13"/>
        <v/>
      </c>
    </row>
    <row r="782" spans="1:13">
      <c r="A782" s="4">
        <v>782</v>
      </c>
      <c r="C782" s="8" t="str">
        <f>IF(B782="","",VLOOKUP(B782,小圆机汇总表!A:AP,2,FALSE))</f>
        <v/>
      </c>
      <c r="D782" s="8" t="str">
        <f>IF(B782="","",VLOOKUP(B782,小圆机汇总表!A:AP,7,FALSE))</f>
        <v/>
      </c>
      <c r="E782" s="8" t="str">
        <f>IF(B782="","",VLOOKUP(B782,小圆机汇总表!A:AP,5,FALSE))</f>
        <v/>
      </c>
      <c r="F782" s="8" t="str">
        <f>IF(B782="","",VLOOKUP(B782,小圆机汇总表!A:AP,8,FALSE))</f>
        <v/>
      </c>
      <c r="M782" s="250" t="str">
        <f t="shared" si="13"/>
        <v/>
      </c>
    </row>
    <row r="783" spans="1:13">
      <c r="A783" s="4">
        <v>783</v>
      </c>
      <c r="C783" s="8" t="str">
        <f>IF(B783="","",VLOOKUP(B783,小圆机汇总表!A:AP,2,FALSE))</f>
        <v/>
      </c>
      <c r="D783" s="8" t="str">
        <f>IF(B783="","",VLOOKUP(B783,小圆机汇总表!A:AP,7,FALSE))</f>
        <v/>
      </c>
      <c r="E783" s="8" t="str">
        <f>IF(B783="","",VLOOKUP(B783,小圆机汇总表!A:AP,5,FALSE))</f>
        <v/>
      </c>
      <c r="F783" s="8" t="str">
        <f>IF(B783="","",VLOOKUP(B783,小圆机汇总表!A:AP,8,FALSE))</f>
        <v/>
      </c>
      <c r="M783" s="250" t="str">
        <f t="shared" si="13"/>
        <v/>
      </c>
    </row>
    <row r="784" spans="1:13">
      <c r="A784" s="4">
        <v>784</v>
      </c>
      <c r="C784" s="8" t="str">
        <f>IF(B784="","",VLOOKUP(B784,小圆机汇总表!A:AP,2,FALSE))</f>
        <v/>
      </c>
      <c r="D784" s="8" t="str">
        <f>IF(B784="","",VLOOKUP(B784,小圆机汇总表!A:AP,7,FALSE))</f>
        <v/>
      </c>
      <c r="E784" s="8" t="str">
        <f>IF(B784="","",VLOOKUP(B784,小圆机汇总表!A:AP,5,FALSE))</f>
        <v/>
      </c>
      <c r="F784" s="8" t="str">
        <f>IF(B784="","",VLOOKUP(B784,小圆机汇总表!A:AP,8,FALSE))</f>
        <v/>
      </c>
      <c r="M784" s="250" t="str">
        <f t="shared" si="13"/>
        <v/>
      </c>
    </row>
    <row r="785" spans="1:13">
      <c r="A785" s="4">
        <v>785</v>
      </c>
      <c r="C785" s="8" t="str">
        <f>IF(B785="","",VLOOKUP(B785,小圆机汇总表!A:AP,2,FALSE))</f>
        <v/>
      </c>
      <c r="D785" s="8" t="str">
        <f>IF(B785="","",VLOOKUP(B785,小圆机汇总表!A:AP,7,FALSE))</f>
        <v/>
      </c>
      <c r="E785" s="8" t="str">
        <f>IF(B785="","",VLOOKUP(B785,小圆机汇总表!A:AP,5,FALSE))</f>
        <v/>
      </c>
      <c r="F785" s="8" t="str">
        <f>IF(B785="","",VLOOKUP(B785,小圆机汇总表!A:AP,8,FALSE))</f>
        <v/>
      </c>
      <c r="M785" s="250" t="str">
        <f t="shared" si="13"/>
        <v/>
      </c>
    </row>
    <row r="786" spans="1:13">
      <c r="A786" s="4">
        <v>786</v>
      </c>
      <c r="C786" s="8" t="str">
        <f>IF(B786="","",VLOOKUP(B786,小圆机汇总表!A:AP,2,FALSE))</f>
        <v/>
      </c>
      <c r="D786" s="8" t="str">
        <f>IF(B786="","",VLOOKUP(B786,小圆机汇总表!A:AP,7,FALSE))</f>
        <v/>
      </c>
      <c r="E786" s="8" t="str">
        <f>IF(B786="","",VLOOKUP(B786,小圆机汇总表!A:AP,5,FALSE))</f>
        <v/>
      </c>
      <c r="F786" s="8" t="str">
        <f>IF(B786="","",VLOOKUP(B786,小圆机汇总表!A:AP,8,FALSE))</f>
        <v/>
      </c>
      <c r="M786" s="250" t="str">
        <f t="shared" si="13"/>
        <v/>
      </c>
    </row>
    <row r="787" spans="1:13">
      <c r="A787" s="4">
        <v>787</v>
      </c>
      <c r="C787" s="8" t="str">
        <f>IF(B787="","",VLOOKUP(B787,小圆机汇总表!A:AP,2,FALSE))</f>
        <v/>
      </c>
      <c r="D787" s="8" t="str">
        <f>IF(B787="","",VLOOKUP(B787,小圆机汇总表!A:AP,7,FALSE))</f>
        <v/>
      </c>
      <c r="E787" s="8" t="str">
        <f>IF(B787="","",VLOOKUP(B787,小圆机汇总表!A:AP,5,FALSE))</f>
        <v/>
      </c>
      <c r="F787" s="8" t="str">
        <f>IF(B787="","",VLOOKUP(B787,小圆机汇总表!A:AP,8,FALSE))</f>
        <v/>
      </c>
      <c r="M787" s="250" t="str">
        <f t="shared" si="13"/>
        <v/>
      </c>
    </row>
    <row r="788" spans="1:13">
      <c r="A788" s="4">
        <v>788</v>
      </c>
      <c r="C788" s="8" t="str">
        <f>IF(B788="","",VLOOKUP(B788,小圆机汇总表!A:AP,2,FALSE))</f>
        <v/>
      </c>
      <c r="D788" s="8" t="str">
        <f>IF(B788="","",VLOOKUP(B788,小圆机汇总表!A:AP,7,FALSE))</f>
        <v/>
      </c>
      <c r="E788" s="8" t="str">
        <f>IF(B788="","",VLOOKUP(B788,小圆机汇总表!A:AP,5,FALSE))</f>
        <v/>
      </c>
      <c r="F788" s="8" t="str">
        <f>IF(B788="","",VLOOKUP(B788,小圆机汇总表!A:AP,8,FALSE))</f>
        <v/>
      </c>
      <c r="M788" s="250" t="str">
        <f t="shared" si="13"/>
        <v/>
      </c>
    </row>
    <row r="789" spans="1:13">
      <c r="A789" s="4">
        <v>789</v>
      </c>
      <c r="C789" s="8" t="str">
        <f>IF(B789="","",VLOOKUP(B789,小圆机汇总表!A:AP,2,FALSE))</f>
        <v/>
      </c>
      <c r="D789" s="8" t="str">
        <f>IF(B789="","",VLOOKUP(B789,小圆机汇总表!A:AP,7,FALSE))</f>
        <v/>
      </c>
      <c r="E789" s="8" t="str">
        <f>IF(B789="","",VLOOKUP(B789,小圆机汇总表!A:AP,5,FALSE))</f>
        <v/>
      </c>
      <c r="F789" s="8" t="str">
        <f>IF(B789="","",VLOOKUP(B789,小圆机汇总表!A:AP,8,FALSE))</f>
        <v/>
      </c>
      <c r="M789" s="250" t="str">
        <f t="shared" si="13"/>
        <v/>
      </c>
    </row>
    <row r="790" spans="1:13">
      <c r="A790" s="4">
        <v>790</v>
      </c>
      <c r="C790" s="8" t="str">
        <f>IF(B790="","",VLOOKUP(B790,小圆机汇总表!A:AP,2,FALSE))</f>
        <v/>
      </c>
      <c r="D790" s="8" t="str">
        <f>IF(B790="","",VLOOKUP(B790,小圆机汇总表!A:AP,7,FALSE))</f>
        <v/>
      </c>
      <c r="E790" s="8" t="str">
        <f>IF(B790="","",VLOOKUP(B790,小圆机汇总表!A:AP,5,FALSE))</f>
        <v/>
      </c>
      <c r="F790" s="8" t="str">
        <f>IF(B790="","",VLOOKUP(B790,小圆机汇总表!A:AP,8,FALSE))</f>
        <v/>
      </c>
      <c r="M790" s="250" t="str">
        <f t="shared" si="13"/>
        <v/>
      </c>
    </row>
    <row r="791" spans="1:13">
      <c r="A791" s="4">
        <v>791</v>
      </c>
      <c r="C791" s="8" t="str">
        <f>IF(B791="","",VLOOKUP(B791,小圆机汇总表!A:AP,2,FALSE))</f>
        <v/>
      </c>
      <c r="D791" s="8" t="str">
        <f>IF(B791="","",VLOOKUP(B791,小圆机汇总表!A:AP,7,FALSE))</f>
        <v/>
      </c>
      <c r="E791" s="8" t="str">
        <f>IF(B791="","",VLOOKUP(B791,小圆机汇总表!A:AP,5,FALSE))</f>
        <v/>
      </c>
      <c r="F791" s="8" t="str">
        <f>IF(B791="","",VLOOKUP(B791,小圆机汇总表!A:AP,8,FALSE))</f>
        <v/>
      </c>
      <c r="M791" s="250" t="str">
        <f t="shared" si="13"/>
        <v/>
      </c>
    </row>
    <row r="792" spans="1:13">
      <c r="A792" s="4">
        <v>792</v>
      </c>
      <c r="C792" s="8" t="str">
        <f>IF(B792="","",VLOOKUP(B792,小圆机汇总表!A:AP,2,FALSE))</f>
        <v/>
      </c>
      <c r="D792" s="8" t="str">
        <f>IF(B792="","",VLOOKUP(B792,小圆机汇总表!A:AP,7,FALSE))</f>
        <v/>
      </c>
      <c r="E792" s="8" t="str">
        <f>IF(B792="","",VLOOKUP(B792,小圆机汇总表!A:AP,5,FALSE))</f>
        <v/>
      </c>
      <c r="F792" s="8" t="str">
        <f>IF(B792="","",VLOOKUP(B792,小圆机汇总表!A:AP,8,FALSE))</f>
        <v/>
      </c>
      <c r="M792" s="250" t="str">
        <f t="shared" si="13"/>
        <v/>
      </c>
    </row>
    <row r="793" spans="1:13">
      <c r="A793" s="4">
        <v>793</v>
      </c>
      <c r="C793" s="8" t="str">
        <f>IF(B793="","",VLOOKUP(B793,小圆机汇总表!A:AP,2,FALSE))</f>
        <v/>
      </c>
      <c r="D793" s="8" t="str">
        <f>IF(B793="","",VLOOKUP(B793,小圆机汇总表!A:AP,7,FALSE))</f>
        <v/>
      </c>
      <c r="E793" s="8" t="str">
        <f>IF(B793="","",VLOOKUP(B793,小圆机汇总表!A:AP,5,FALSE))</f>
        <v/>
      </c>
      <c r="F793" s="8" t="str">
        <f>IF(B793="","",VLOOKUP(B793,小圆机汇总表!A:AP,8,FALSE))</f>
        <v/>
      </c>
      <c r="M793" s="250" t="str">
        <f t="shared" si="13"/>
        <v/>
      </c>
    </row>
    <row r="794" spans="1:13">
      <c r="A794" s="4">
        <v>794</v>
      </c>
      <c r="C794" s="8" t="str">
        <f>IF(B794="","",VLOOKUP(B794,小圆机汇总表!A:AP,2,FALSE))</f>
        <v/>
      </c>
      <c r="D794" s="8" t="str">
        <f>IF(B794="","",VLOOKUP(B794,小圆机汇总表!A:AP,7,FALSE))</f>
        <v/>
      </c>
      <c r="E794" s="8" t="str">
        <f>IF(B794="","",VLOOKUP(B794,小圆机汇总表!A:AP,5,FALSE))</f>
        <v/>
      </c>
      <c r="F794" s="8" t="str">
        <f>IF(B794="","",VLOOKUP(B794,小圆机汇总表!A:AP,8,FALSE))</f>
        <v/>
      </c>
      <c r="M794" s="250" t="str">
        <f t="shared" si="13"/>
        <v/>
      </c>
    </row>
    <row r="795" spans="1:13">
      <c r="A795" s="4">
        <v>795</v>
      </c>
      <c r="C795" s="8" t="str">
        <f>IF(B795="","",VLOOKUP(B795,小圆机汇总表!A:AP,2,FALSE))</f>
        <v/>
      </c>
      <c r="D795" s="8" t="str">
        <f>IF(B795="","",VLOOKUP(B795,小圆机汇总表!A:AP,7,FALSE))</f>
        <v/>
      </c>
      <c r="E795" s="8" t="str">
        <f>IF(B795="","",VLOOKUP(B795,小圆机汇总表!A:AP,5,FALSE))</f>
        <v/>
      </c>
      <c r="F795" s="8" t="str">
        <f>IF(B795="","",VLOOKUP(B795,小圆机汇总表!A:AP,8,FALSE))</f>
        <v/>
      </c>
      <c r="M795" s="250" t="str">
        <f t="shared" si="13"/>
        <v/>
      </c>
    </row>
    <row r="796" spans="1:13">
      <c r="A796" s="4">
        <v>796</v>
      </c>
      <c r="C796" s="8" t="str">
        <f>IF(B796="","",VLOOKUP(B796,小圆机汇总表!A:AP,2,FALSE))</f>
        <v/>
      </c>
      <c r="D796" s="8" t="str">
        <f>IF(B796="","",VLOOKUP(B796,小圆机汇总表!A:AP,7,FALSE))</f>
        <v/>
      </c>
      <c r="E796" s="8" t="str">
        <f>IF(B796="","",VLOOKUP(B796,小圆机汇总表!A:AP,5,FALSE))</f>
        <v/>
      </c>
      <c r="F796" s="8" t="str">
        <f>IF(B796="","",VLOOKUP(B796,小圆机汇总表!A:AP,8,FALSE))</f>
        <v/>
      </c>
      <c r="M796" s="250" t="str">
        <f t="shared" si="13"/>
        <v/>
      </c>
    </row>
    <row r="797" spans="1:13">
      <c r="A797" s="4">
        <v>797</v>
      </c>
      <c r="C797" s="8" t="str">
        <f>IF(B797="","",VLOOKUP(B797,小圆机汇总表!A:AP,2,FALSE))</f>
        <v/>
      </c>
      <c r="D797" s="8" t="str">
        <f>IF(B797="","",VLOOKUP(B797,小圆机汇总表!A:AP,7,FALSE))</f>
        <v/>
      </c>
      <c r="E797" s="8" t="str">
        <f>IF(B797="","",VLOOKUP(B797,小圆机汇总表!A:AP,5,FALSE))</f>
        <v/>
      </c>
      <c r="F797" s="8" t="str">
        <f>IF(B797="","",VLOOKUP(B797,小圆机汇总表!A:AP,8,FALSE))</f>
        <v/>
      </c>
      <c r="M797" s="250" t="str">
        <f t="shared" si="13"/>
        <v/>
      </c>
    </row>
    <row r="798" spans="1:13">
      <c r="A798" s="4">
        <v>798</v>
      </c>
      <c r="C798" s="8" t="str">
        <f>IF(B798="","",VLOOKUP(B798,小圆机汇总表!A:AP,2,FALSE))</f>
        <v/>
      </c>
      <c r="D798" s="8" t="str">
        <f>IF(B798="","",VLOOKUP(B798,小圆机汇总表!A:AP,7,FALSE))</f>
        <v/>
      </c>
      <c r="E798" s="8" t="str">
        <f>IF(B798="","",VLOOKUP(B798,小圆机汇总表!A:AP,5,FALSE))</f>
        <v/>
      </c>
      <c r="F798" s="8" t="str">
        <f>IF(B798="","",VLOOKUP(B798,小圆机汇总表!A:AP,8,FALSE))</f>
        <v/>
      </c>
      <c r="M798" s="250" t="str">
        <f t="shared" si="13"/>
        <v/>
      </c>
    </row>
    <row r="799" spans="1:13">
      <c r="A799" s="4">
        <v>799</v>
      </c>
      <c r="C799" s="8" t="str">
        <f>IF(B799="","",VLOOKUP(B799,小圆机汇总表!A:AP,2,FALSE))</f>
        <v/>
      </c>
      <c r="D799" s="8" t="str">
        <f>IF(B799="","",VLOOKUP(B799,小圆机汇总表!A:AP,7,FALSE))</f>
        <v/>
      </c>
      <c r="E799" s="8" t="str">
        <f>IF(B799="","",VLOOKUP(B799,小圆机汇总表!A:AP,5,FALSE))</f>
        <v/>
      </c>
      <c r="F799" s="8" t="str">
        <f>IF(B799="","",VLOOKUP(B799,小圆机汇总表!A:AP,8,FALSE))</f>
        <v/>
      </c>
      <c r="M799" s="250" t="str">
        <f t="shared" si="13"/>
        <v/>
      </c>
    </row>
    <row r="800" spans="1:13">
      <c r="A800" s="4">
        <v>800</v>
      </c>
      <c r="C800" s="8" t="str">
        <f>IF(B800="","",VLOOKUP(B800,小圆机汇总表!A:AP,2,FALSE))</f>
        <v/>
      </c>
      <c r="D800" s="8" t="str">
        <f>IF(B800="","",VLOOKUP(B800,小圆机汇总表!A:AP,7,FALSE))</f>
        <v/>
      </c>
      <c r="E800" s="8" t="str">
        <f>IF(B800="","",VLOOKUP(B800,小圆机汇总表!A:AP,5,FALSE))</f>
        <v/>
      </c>
      <c r="F800" s="8" t="str">
        <f>IF(B800="","",VLOOKUP(B800,小圆机汇总表!A:AP,8,FALSE))</f>
        <v/>
      </c>
      <c r="M800" s="250" t="str">
        <f t="shared" si="13"/>
        <v/>
      </c>
    </row>
    <row r="801" spans="1:13">
      <c r="A801" s="4">
        <v>801</v>
      </c>
      <c r="C801" s="8" t="str">
        <f>IF(B801="","",VLOOKUP(B801,小圆机汇总表!A:AP,2,FALSE))</f>
        <v/>
      </c>
      <c r="D801" s="8" t="str">
        <f>IF(B801="","",VLOOKUP(B801,小圆机汇总表!A:AP,7,FALSE))</f>
        <v/>
      </c>
      <c r="E801" s="8" t="str">
        <f>IF(B801="","",VLOOKUP(B801,小圆机汇总表!A:AP,5,FALSE))</f>
        <v/>
      </c>
      <c r="F801" s="8" t="str">
        <f>IF(B801="","",VLOOKUP(B801,小圆机汇总表!A:AP,8,FALSE))</f>
        <v/>
      </c>
      <c r="M801" s="250" t="str">
        <f t="shared" si="13"/>
        <v/>
      </c>
    </row>
    <row r="802" spans="1:13">
      <c r="A802" s="4">
        <v>802</v>
      </c>
      <c r="C802" s="8" t="str">
        <f>IF(B802="","",VLOOKUP(B802,小圆机汇总表!A:AP,2,FALSE))</f>
        <v/>
      </c>
      <c r="D802" s="8" t="str">
        <f>IF(B802="","",VLOOKUP(B802,小圆机汇总表!A:AP,7,FALSE))</f>
        <v/>
      </c>
      <c r="E802" s="8" t="str">
        <f>IF(B802="","",VLOOKUP(B802,小圆机汇总表!A:AP,5,FALSE))</f>
        <v/>
      </c>
      <c r="F802" s="8" t="str">
        <f>IF(B802="","",VLOOKUP(B802,小圆机汇总表!A:AP,8,FALSE))</f>
        <v/>
      </c>
      <c r="M802" s="250" t="str">
        <f t="shared" si="13"/>
        <v/>
      </c>
    </row>
    <row r="803" spans="1:13">
      <c r="A803" s="4">
        <v>803</v>
      </c>
      <c r="C803" s="8" t="str">
        <f>IF(B803="","",VLOOKUP(B803,小圆机汇总表!A:AP,2,FALSE))</f>
        <v/>
      </c>
      <c r="D803" s="8" t="str">
        <f>IF(B803="","",VLOOKUP(B803,小圆机汇总表!A:AP,7,FALSE))</f>
        <v/>
      </c>
      <c r="E803" s="8" t="str">
        <f>IF(B803="","",VLOOKUP(B803,小圆机汇总表!A:AP,5,FALSE))</f>
        <v/>
      </c>
      <c r="F803" s="8" t="str">
        <f>IF(B803="","",VLOOKUP(B803,小圆机汇总表!A:AP,8,FALSE))</f>
        <v/>
      </c>
      <c r="M803" s="250" t="str">
        <f t="shared" si="13"/>
        <v/>
      </c>
    </row>
    <row r="804" spans="1:13">
      <c r="A804" s="4">
        <v>804</v>
      </c>
      <c r="C804" s="8" t="str">
        <f>IF(B804="","",VLOOKUP(B804,小圆机汇总表!A:AP,2,FALSE))</f>
        <v/>
      </c>
      <c r="D804" s="8" t="str">
        <f>IF(B804="","",VLOOKUP(B804,小圆机汇总表!A:AP,7,FALSE))</f>
        <v/>
      </c>
      <c r="E804" s="8" t="str">
        <f>IF(B804="","",VLOOKUP(B804,小圆机汇总表!A:AP,5,FALSE))</f>
        <v/>
      </c>
      <c r="F804" s="8" t="str">
        <f>IF(B804="","",VLOOKUP(B804,小圆机汇总表!A:AP,8,FALSE))</f>
        <v/>
      </c>
      <c r="M804" s="250" t="str">
        <f t="shared" si="13"/>
        <v/>
      </c>
    </row>
    <row r="805" spans="1:13">
      <c r="A805" s="4">
        <v>805</v>
      </c>
      <c r="C805" s="8" t="str">
        <f>IF(B805="","",VLOOKUP(B805,小圆机汇总表!A:AP,2,FALSE))</f>
        <v/>
      </c>
      <c r="D805" s="8" t="str">
        <f>IF(B805="","",VLOOKUP(B805,小圆机汇总表!A:AP,7,FALSE))</f>
        <v/>
      </c>
      <c r="E805" s="8" t="str">
        <f>IF(B805="","",VLOOKUP(B805,小圆机汇总表!A:AP,5,FALSE))</f>
        <v/>
      </c>
      <c r="F805" s="8" t="str">
        <f>IF(B805="","",VLOOKUP(B805,小圆机汇总表!A:AP,8,FALSE))</f>
        <v/>
      </c>
      <c r="M805" s="250" t="str">
        <f t="shared" si="13"/>
        <v/>
      </c>
    </row>
    <row r="806" spans="1:13">
      <c r="A806" s="4">
        <v>806</v>
      </c>
      <c r="C806" s="8" t="str">
        <f>IF(B806="","",VLOOKUP(B806,小圆机汇总表!A:AP,2,FALSE))</f>
        <v/>
      </c>
      <c r="D806" s="8" t="str">
        <f>IF(B806="","",VLOOKUP(B806,小圆机汇总表!A:AP,7,FALSE))</f>
        <v/>
      </c>
      <c r="E806" s="8" t="str">
        <f>IF(B806="","",VLOOKUP(B806,小圆机汇总表!A:AP,5,FALSE))</f>
        <v/>
      </c>
      <c r="F806" s="8" t="str">
        <f>IF(B806="","",VLOOKUP(B806,小圆机汇总表!A:AP,8,FALSE))</f>
        <v/>
      </c>
      <c r="M806" s="250" t="str">
        <f t="shared" si="13"/>
        <v/>
      </c>
    </row>
    <row r="807" spans="1:13">
      <c r="A807" s="4">
        <v>807</v>
      </c>
      <c r="C807" s="8" t="str">
        <f>IF(B807="","",VLOOKUP(B807,小圆机汇总表!A:AP,2,FALSE))</f>
        <v/>
      </c>
      <c r="D807" s="8" t="str">
        <f>IF(B807="","",VLOOKUP(B807,小圆机汇总表!A:AP,7,FALSE))</f>
        <v/>
      </c>
      <c r="E807" s="8" t="str">
        <f>IF(B807="","",VLOOKUP(B807,小圆机汇总表!A:AP,5,FALSE))</f>
        <v/>
      </c>
      <c r="F807" s="8" t="str">
        <f>IF(B807="","",VLOOKUP(B807,小圆机汇总表!A:AP,8,FALSE))</f>
        <v/>
      </c>
      <c r="M807" s="250" t="str">
        <f t="shared" si="13"/>
        <v/>
      </c>
    </row>
    <row r="808" spans="1:13">
      <c r="A808" s="4">
        <v>808</v>
      </c>
      <c r="C808" s="8" t="str">
        <f>IF(B808="","",VLOOKUP(B808,小圆机汇总表!A:AP,2,FALSE))</f>
        <v/>
      </c>
      <c r="D808" s="8" t="str">
        <f>IF(B808="","",VLOOKUP(B808,小圆机汇总表!A:AP,7,FALSE))</f>
        <v/>
      </c>
      <c r="E808" s="8" t="str">
        <f>IF(B808="","",VLOOKUP(B808,小圆机汇总表!A:AP,5,FALSE))</f>
        <v/>
      </c>
      <c r="F808" s="8" t="str">
        <f>IF(B808="","",VLOOKUP(B808,小圆机汇总表!A:AP,8,FALSE))</f>
        <v/>
      </c>
      <c r="M808" s="250" t="str">
        <f t="shared" si="13"/>
        <v/>
      </c>
    </row>
    <row r="809" spans="1:13">
      <c r="A809" s="4">
        <v>809</v>
      </c>
      <c r="C809" s="8" t="str">
        <f>IF(B809="","",VLOOKUP(B809,小圆机汇总表!A:AP,2,FALSE))</f>
        <v/>
      </c>
      <c r="D809" s="8" t="str">
        <f>IF(B809="","",VLOOKUP(B809,小圆机汇总表!A:AP,7,FALSE))</f>
        <v/>
      </c>
      <c r="E809" s="8" t="str">
        <f>IF(B809="","",VLOOKUP(B809,小圆机汇总表!A:AP,5,FALSE))</f>
        <v/>
      </c>
      <c r="F809" s="8" t="str">
        <f>IF(B809="","",VLOOKUP(B809,小圆机汇总表!A:AP,8,FALSE))</f>
        <v/>
      </c>
      <c r="M809" s="250" t="str">
        <f t="shared" si="13"/>
        <v/>
      </c>
    </row>
    <row r="810" spans="1:13">
      <c r="A810" s="4">
        <v>810</v>
      </c>
      <c r="C810" s="8" t="str">
        <f>IF(B810="","",VLOOKUP(B810,小圆机汇总表!A:AP,2,FALSE))</f>
        <v/>
      </c>
      <c r="D810" s="8" t="str">
        <f>IF(B810="","",VLOOKUP(B810,小圆机汇总表!A:AP,7,FALSE))</f>
        <v/>
      </c>
      <c r="E810" s="8" t="str">
        <f>IF(B810="","",VLOOKUP(B810,小圆机汇总表!A:AP,5,FALSE))</f>
        <v/>
      </c>
      <c r="F810" s="8" t="str">
        <f>IF(B810="","",VLOOKUP(B810,小圆机汇总表!A:AP,8,FALSE))</f>
        <v/>
      </c>
      <c r="M810" s="250" t="str">
        <f t="shared" si="13"/>
        <v/>
      </c>
    </row>
    <row r="811" spans="1:13">
      <c r="A811" s="4">
        <v>811</v>
      </c>
      <c r="C811" s="8" t="str">
        <f>IF(B811="","",VLOOKUP(B811,小圆机汇总表!A:AP,2,FALSE))</f>
        <v/>
      </c>
      <c r="D811" s="8" t="str">
        <f>IF(B811="","",VLOOKUP(B811,小圆机汇总表!A:AP,7,FALSE))</f>
        <v/>
      </c>
      <c r="E811" s="8" t="str">
        <f>IF(B811="","",VLOOKUP(B811,小圆机汇总表!A:AP,5,FALSE))</f>
        <v/>
      </c>
      <c r="F811" s="8" t="str">
        <f>IF(B811="","",VLOOKUP(B811,小圆机汇总表!A:AP,8,FALSE))</f>
        <v/>
      </c>
      <c r="M811" s="250" t="str">
        <f t="shared" si="13"/>
        <v/>
      </c>
    </row>
    <row r="812" spans="1:13">
      <c r="A812" s="4">
        <v>812</v>
      </c>
      <c r="C812" s="8" t="str">
        <f>IF(B812="","",VLOOKUP(B812,小圆机汇总表!A:AP,2,FALSE))</f>
        <v/>
      </c>
      <c r="D812" s="8" t="str">
        <f>IF(B812="","",VLOOKUP(B812,小圆机汇总表!A:AP,7,FALSE))</f>
        <v/>
      </c>
      <c r="E812" s="8" t="str">
        <f>IF(B812="","",VLOOKUP(B812,小圆机汇总表!A:AP,5,FALSE))</f>
        <v/>
      </c>
      <c r="F812" s="8" t="str">
        <f>IF(B812="","",VLOOKUP(B812,小圆机汇总表!A:AP,8,FALSE))</f>
        <v/>
      </c>
      <c r="M812" s="250" t="str">
        <f t="shared" si="13"/>
        <v/>
      </c>
    </row>
    <row r="813" spans="1:13">
      <c r="A813" s="4">
        <v>813</v>
      </c>
      <c r="C813" s="8" t="str">
        <f>IF(B813="","",VLOOKUP(B813,小圆机汇总表!A:AP,2,FALSE))</f>
        <v/>
      </c>
      <c r="D813" s="8" t="str">
        <f>IF(B813="","",VLOOKUP(B813,小圆机汇总表!A:AP,7,FALSE))</f>
        <v/>
      </c>
      <c r="E813" s="8" t="str">
        <f>IF(B813="","",VLOOKUP(B813,小圆机汇总表!A:AP,5,FALSE))</f>
        <v/>
      </c>
      <c r="F813" s="8" t="str">
        <f>IF(B813="","",VLOOKUP(B813,小圆机汇总表!A:AP,8,FALSE))</f>
        <v/>
      </c>
      <c r="M813" s="250" t="str">
        <f t="shared" si="13"/>
        <v/>
      </c>
    </row>
    <row r="814" spans="1:13">
      <c r="A814" s="4">
        <v>814</v>
      </c>
      <c r="C814" s="8" t="str">
        <f>IF(B814="","",VLOOKUP(B814,小圆机汇总表!A:AP,2,FALSE))</f>
        <v/>
      </c>
      <c r="D814" s="8" t="str">
        <f>IF(B814="","",VLOOKUP(B814,小圆机汇总表!A:AP,7,FALSE))</f>
        <v/>
      </c>
      <c r="E814" s="8" t="str">
        <f>IF(B814="","",VLOOKUP(B814,小圆机汇总表!A:AP,5,FALSE))</f>
        <v/>
      </c>
      <c r="F814" s="8" t="str">
        <f>IF(B814="","",VLOOKUP(B814,小圆机汇总表!A:AP,8,FALSE))</f>
        <v/>
      </c>
      <c r="M814" s="250" t="str">
        <f t="shared" si="13"/>
        <v/>
      </c>
    </row>
    <row r="815" spans="1:13">
      <c r="A815" s="4">
        <v>815</v>
      </c>
      <c r="C815" s="8" t="str">
        <f>IF(B815="","",VLOOKUP(B815,小圆机汇总表!A:AP,2,FALSE))</f>
        <v/>
      </c>
      <c r="D815" s="8" t="str">
        <f>IF(B815="","",VLOOKUP(B815,小圆机汇总表!A:AP,7,FALSE))</f>
        <v/>
      </c>
      <c r="E815" s="8" t="str">
        <f>IF(B815="","",VLOOKUP(B815,小圆机汇总表!A:AP,5,FALSE))</f>
        <v/>
      </c>
      <c r="F815" s="8" t="str">
        <f>IF(B815="","",VLOOKUP(B815,小圆机汇总表!A:AP,8,FALSE))</f>
        <v/>
      </c>
      <c r="M815" s="250" t="str">
        <f t="shared" si="13"/>
        <v/>
      </c>
    </row>
    <row r="816" spans="1:13">
      <c r="A816" s="4">
        <v>816</v>
      </c>
      <c r="C816" s="8" t="str">
        <f>IF(B816="","",VLOOKUP(B816,小圆机汇总表!A:AP,2,FALSE))</f>
        <v/>
      </c>
      <c r="D816" s="8" t="str">
        <f>IF(B816="","",VLOOKUP(B816,小圆机汇总表!A:AP,7,FALSE))</f>
        <v/>
      </c>
      <c r="E816" s="8" t="str">
        <f>IF(B816="","",VLOOKUP(B816,小圆机汇总表!A:AP,5,FALSE))</f>
        <v/>
      </c>
      <c r="F816" s="8" t="str">
        <f>IF(B816="","",VLOOKUP(B816,小圆机汇总表!A:AP,8,FALSE))</f>
        <v/>
      </c>
      <c r="M816" s="250" t="str">
        <f t="shared" si="13"/>
        <v/>
      </c>
    </row>
    <row r="817" spans="1:13">
      <c r="A817" s="4">
        <v>817</v>
      </c>
      <c r="C817" s="8" t="str">
        <f>IF(B817="","",VLOOKUP(B817,小圆机汇总表!A:AP,2,FALSE))</f>
        <v/>
      </c>
      <c r="D817" s="8" t="str">
        <f>IF(B817="","",VLOOKUP(B817,小圆机汇总表!A:AP,7,FALSE))</f>
        <v/>
      </c>
      <c r="E817" s="8" t="str">
        <f>IF(B817="","",VLOOKUP(B817,小圆机汇总表!A:AP,5,FALSE))</f>
        <v/>
      </c>
      <c r="F817" s="8" t="str">
        <f>IF(B817="","",VLOOKUP(B817,小圆机汇总表!A:AP,8,FALSE))</f>
        <v/>
      </c>
      <c r="M817" s="250" t="str">
        <f t="shared" si="13"/>
        <v/>
      </c>
    </row>
    <row r="818" spans="1:13">
      <c r="A818" s="4">
        <v>818</v>
      </c>
      <c r="C818" s="8" t="str">
        <f>IF(B818="","",VLOOKUP(B818,小圆机汇总表!A:AP,2,FALSE))</f>
        <v/>
      </c>
      <c r="D818" s="8" t="str">
        <f>IF(B818="","",VLOOKUP(B818,小圆机汇总表!A:AP,7,FALSE))</f>
        <v/>
      </c>
      <c r="E818" s="8" t="str">
        <f>IF(B818="","",VLOOKUP(B818,小圆机汇总表!A:AP,5,FALSE))</f>
        <v/>
      </c>
      <c r="F818" s="8" t="str">
        <f>IF(B818="","",VLOOKUP(B818,小圆机汇总表!A:AP,8,FALSE))</f>
        <v/>
      </c>
      <c r="M818" s="250" t="str">
        <f t="shared" si="13"/>
        <v/>
      </c>
    </row>
    <row r="819" spans="1:13">
      <c r="A819" s="4">
        <v>819</v>
      </c>
      <c r="C819" s="8" t="str">
        <f>IF(B819="","",VLOOKUP(B819,小圆机汇总表!A:AP,2,FALSE))</f>
        <v/>
      </c>
      <c r="D819" s="8" t="str">
        <f>IF(B819="","",VLOOKUP(B819,小圆机汇总表!A:AP,7,FALSE))</f>
        <v/>
      </c>
      <c r="E819" s="8" t="str">
        <f>IF(B819="","",VLOOKUP(B819,小圆机汇总表!A:AP,5,FALSE))</f>
        <v/>
      </c>
      <c r="F819" s="8" t="str">
        <f>IF(B819="","",VLOOKUP(B819,小圆机汇总表!A:AP,8,FALSE))</f>
        <v/>
      </c>
      <c r="M819" s="250" t="str">
        <f t="shared" si="13"/>
        <v/>
      </c>
    </row>
    <row r="820" spans="1:13">
      <c r="A820" s="4">
        <v>820</v>
      </c>
      <c r="C820" s="8" t="str">
        <f>IF(B820="","",VLOOKUP(B820,小圆机汇总表!A:AP,2,FALSE))</f>
        <v/>
      </c>
      <c r="D820" s="8" t="str">
        <f>IF(B820="","",VLOOKUP(B820,小圆机汇总表!A:AP,7,FALSE))</f>
        <v/>
      </c>
      <c r="E820" s="8" t="str">
        <f>IF(B820="","",VLOOKUP(B820,小圆机汇总表!A:AP,5,FALSE))</f>
        <v/>
      </c>
      <c r="F820" s="8" t="str">
        <f>IF(B820="","",VLOOKUP(B820,小圆机汇总表!A:AP,8,FALSE))</f>
        <v/>
      </c>
      <c r="M820" s="250" t="str">
        <f t="shared" si="13"/>
        <v/>
      </c>
    </row>
    <row r="821" spans="1:13">
      <c r="A821" s="4">
        <v>821</v>
      </c>
      <c r="C821" s="8" t="str">
        <f>IF(B821="","",VLOOKUP(B821,小圆机汇总表!A:AP,2,FALSE))</f>
        <v/>
      </c>
      <c r="D821" s="8" t="str">
        <f>IF(B821="","",VLOOKUP(B821,小圆机汇总表!A:AP,7,FALSE))</f>
        <v/>
      </c>
      <c r="E821" s="8" t="str">
        <f>IF(B821="","",VLOOKUP(B821,小圆机汇总表!A:AP,5,FALSE))</f>
        <v/>
      </c>
      <c r="F821" s="8" t="str">
        <f>IF(B821="","",VLOOKUP(B821,小圆机汇总表!A:AP,8,FALSE))</f>
        <v/>
      </c>
      <c r="M821" s="250" t="str">
        <f t="shared" si="13"/>
        <v/>
      </c>
    </row>
    <row r="822" spans="1:13">
      <c r="A822" s="4">
        <v>822</v>
      </c>
      <c r="C822" s="8" t="str">
        <f>IF(B822="","",VLOOKUP(B822,小圆机汇总表!A:AP,2,FALSE))</f>
        <v/>
      </c>
      <c r="D822" s="8" t="str">
        <f>IF(B822="","",VLOOKUP(B822,小圆机汇总表!A:AP,7,FALSE))</f>
        <v/>
      </c>
      <c r="E822" s="8" t="str">
        <f>IF(B822="","",VLOOKUP(B822,小圆机汇总表!A:AP,5,FALSE))</f>
        <v/>
      </c>
      <c r="F822" s="8" t="str">
        <f>IF(B822="","",VLOOKUP(B822,小圆机汇总表!A:AP,8,FALSE))</f>
        <v/>
      </c>
      <c r="M822" s="250" t="str">
        <f t="shared" si="13"/>
        <v/>
      </c>
    </row>
    <row r="823" spans="1:13">
      <c r="A823" s="4">
        <v>823</v>
      </c>
      <c r="C823" s="8" t="str">
        <f>IF(B823="","",VLOOKUP(B823,小圆机汇总表!A:AP,2,FALSE))</f>
        <v/>
      </c>
      <c r="D823" s="8" t="str">
        <f>IF(B823="","",VLOOKUP(B823,小圆机汇总表!A:AP,7,FALSE))</f>
        <v/>
      </c>
      <c r="E823" s="8" t="str">
        <f>IF(B823="","",VLOOKUP(B823,小圆机汇总表!A:AP,5,FALSE))</f>
        <v/>
      </c>
      <c r="F823" s="8" t="str">
        <f>IF(B823="","",VLOOKUP(B823,小圆机汇总表!A:AP,8,FALSE))</f>
        <v/>
      </c>
      <c r="M823" s="250" t="str">
        <f t="shared" si="13"/>
        <v/>
      </c>
    </row>
    <row r="824" spans="1:13">
      <c r="A824" s="4">
        <v>824</v>
      </c>
      <c r="C824" s="8" t="str">
        <f>IF(B824="","",VLOOKUP(B824,小圆机汇总表!A:AP,2,FALSE))</f>
        <v/>
      </c>
      <c r="D824" s="8" t="str">
        <f>IF(B824="","",VLOOKUP(B824,小圆机汇总表!A:AP,7,FALSE))</f>
        <v/>
      </c>
      <c r="E824" s="8" t="str">
        <f>IF(B824="","",VLOOKUP(B824,小圆机汇总表!A:AP,5,FALSE))</f>
        <v/>
      </c>
      <c r="F824" s="8" t="str">
        <f>IF(B824="","",VLOOKUP(B824,小圆机汇总表!A:AP,8,FALSE))</f>
        <v/>
      </c>
      <c r="M824" s="250" t="str">
        <f t="shared" si="13"/>
        <v/>
      </c>
    </row>
    <row r="825" spans="1:13">
      <c r="A825" s="4">
        <v>825</v>
      </c>
      <c r="C825" s="8" t="str">
        <f>IF(B825="","",VLOOKUP(B825,小圆机汇总表!A:AP,2,FALSE))</f>
        <v/>
      </c>
      <c r="D825" s="8" t="str">
        <f>IF(B825="","",VLOOKUP(B825,小圆机汇总表!A:AP,7,FALSE))</f>
        <v/>
      </c>
      <c r="E825" s="8" t="str">
        <f>IF(B825="","",VLOOKUP(B825,小圆机汇总表!A:AP,5,FALSE))</f>
        <v/>
      </c>
      <c r="F825" s="8" t="str">
        <f>IF(B825="","",VLOOKUP(B825,小圆机汇总表!A:AP,8,FALSE))</f>
        <v/>
      </c>
      <c r="M825" s="250" t="str">
        <f t="shared" si="13"/>
        <v/>
      </c>
    </row>
    <row r="826" spans="1:13">
      <c r="A826" s="4">
        <v>826</v>
      </c>
      <c r="C826" s="8" t="str">
        <f>IF(B826="","",VLOOKUP(B826,小圆机汇总表!A:AP,2,FALSE))</f>
        <v/>
      </c>
      <c r="D826" s="8" t="str">
        <f>IF(B826="","",VLOOKUP(B826,小圆机汇总表!A:AP,7,FALSE))</f>
        <v/>
      </c>
      <c r="E826" s="8" t="str">
        <f>IF(B826="","",VLOOKUP(B826,小圆机汇总表!A:AP,5,FALSE))</f>
        <v/>
      </c>
      <c r="F826" s="8" t="str">
        <f>IF(B826="","",VLOOKUP(B826,小圆机汇总表!A:AP,8,FALSE))</f>
        <v/>
      </c>
      <c r="M826" s="250" t="str">
        <f t="shared" si="13"/>
        <v/>
      </c>
    </row>
    <row r="827" spans="1:13">
      <c r="A827" s="4">
        <v>827</v>
      </c>
      <c r="C827" s="8" t="str">
        <f>IF(B827="","",VLOOKUP(B827,小圆机汇总表!A:AP,2,FALSE))</f>
        <v/>
      </c>
      <c r="D827" s="8" t="str">
        <f>IF(B827="","",VLOOKUP(B827,小圆机汇总表!A:AP,7,FALSE))</f>
        <v/>
      </c>
      <c r="E827" s="8" t="str">
        <f>IF(B827="","",VLOOKUP(B827,小圆机汇总表!A:AP,5,FALSE))</f>
        <v/>
      </c>
      <c r="F827" s="8" t="str">
        <f>IF(B827="","",VLOOKUP(B827,小圆机汇总表!A:AP,8,FALSE))</f>
        <v/>
      </c>
      <c r="M827" s="250" t="str">
        <f t="shared" si="13"/>
        <v/>
      </c>
    </row>
    <row r="828" spans="1:13">
      <c r="A828" s="4">
        <v>828</v>
      </c>
      <c r="C828" s="8" t="str">
        <f>IF(B828="","",VLOOKUP(B828,小圆机汇总表!A:AP,2,FALSE))</f>
        <v/>
      </c>
      <c r="D828" s="8" t="str">
        <f>IF(B828="","",VLOOKUP(B828,小圆机汇总表!A:AP,7,FALSE))</f>
        <v/>
      </c>
      <c r="E828" s="8" t="str">
        <f>IF(B828="","",VLOOKUP(B828,小圆机汇总表!A:AP,5,FALSE))</f>
        <v/>
      </c>
      <c r="F828" s="8" t="str">
        <f>IF(B828="","",VLOOKUP(B828,小圆机汇总表!A:AP,8,FALSE))</f>
        <v/>
      </c>
      <c r="M828" s="250" t="str">
        <f t="shared" si="13"/>
        <v/>
      </c>
    </row>
    <row r="829" spans="1:13">
      <c r="A829" s="4">
        <v>829</v>
      </c>
      <c r="C829" s="8" t="str">
        <f>IF(B829="","",VLOOKUP(B829,小圆机汇总表!A:AP,2,FALSE))</f>
        <v/>
      </c>
      <c r="D829" s="8" t="str">
        <f>IF(B829="","",VLOOKUP(B829,小圆机汇总表!A:AP,7,FALSE))</f>
        <v/>
      </c>
      <c r="E829" s="8" t="str">
        <f>IF(B829="","",VLOOKUP(B829,小圆机汇总表!A:AP,5,FALSE))</f>
        <v/>
      </c>
      <c r="F829" s="8" t="str">
        <f>IF(B829="","",VLOOKUP(B829,小圆机汇总表!A:AP,8,FALSE))</f>
        <v/>
      </c>
      <c r="M829" s="250" t="str">
        <f t="shared" si="13"/>
        <v/>
      </c>
    </row>
    <row r="830" spans="1:13">
      <c r="A830" s="4">
        <v>830</v>
      </c>
      <c r="C830" s="8" t="str">
        <f>IF(B830="","",VLOOKUP(B830,小圆机汇总表!A:AP,2,FALSE))</f>
        <v/>
      </c>
      <c r="D830" s="8" t="str">
        <f>IF(B830="","",VLOOKUP(B830,小圆机汇总表!A:AP,7,FALSE))</f>
        <v/>
      </c>
      <c r="E830" s="8" t="str">
        <f>IF(B830="","",VLOOKUP(B830,小圆机汇总表!A:AP,5,FALSE))</f>
        <v/>
      </c>
      <c r="F830" s="8" t="str">
        <f>IF(B830="","",VLOOKUP(B830,小圆机汇总表!A:AP,8,FALSE))</f>
        <v/>
      </c>
      <c r="M830" s="250" t="str">
        <f t="shared" si="13"/>
        <v/>
      </c>
    </row>
    <row r="831" spans="1:13">
      <c r="A831" s="4">
        <v>831</v>
      </c>
      <c r="C831" s="8" t="str">
        <f>IF(B831="","",VLOOKUP(B831,小圆机汇总表!A:AP,2,FALSE))</f>
        <v/>
      </c>
      <c r="D831" s="8" t="str">
        <f>IF(B831="","",VLOOKUP(B831,小圆机汇总表!A:AP,7,FALSE))</f>
        <v/>
      </c>
      <c r="E831" s="8" t="str">
        <f>IF(B831="","",VLOOKUP(B831,小圆机汇总表!A:AP,5,FALSE))</f>
        <v/>
      </c>
      <c r="F831" s="8" t="str">
        <f>IF(B831="","",VLOOKUP(B831,小圆机汇总表!A:AP,8,FALSE))</f>
        <v/>
      </c>
      <c r="M831" s="250" t="str">
        <f t="shared" si="13"/>
        <v/>
      </c>
    </row>
    <row r="832" spans="1:13">
      <c r="A832" s="4">
        <v>832</v>
      </c>
      <c r="C832" s="8" t="str">
        <f>IF(B832="","",VLOOKUP(B832,小圆机汇总表!A:AP,2,FALSE))</f>
        <v/>
      </c>
      <c r="D832" s="8" t="str">
        <f>IF(B832="","",VLOOKUP(B832,小圆机汇总表!A:AP,7,FALSE))</f>
        <v/>
      </c>
      <c r="E832" s="8" t="str">
        <f>IF(B832="","",VLOOKUP(B832,小圆机汇总表!A:AP,5,FALSE))</f>
        <v/>
      </c>
      <c r="F832" s="8" t="str">
        <f>IF(B832="","",VLOOKUP(B832,小圆机汇总表!A:AP,8,FALSE))</f>
        <v/>
      </c>
      <c r="M832" s="250" t="str">
        <f t="shared" si="13"/>
        <v/>
      </c>
    </row>
    <row r="833" spans="1:13">
      <c r="A833" s="4">
        <v>833</v>
      </c>
      <c r="C833" s="8" t="str">
        <f>IF(B833="","",VLOOKUP(B833,小圆机汇总表!A:AP,2,FALSE))</f>
        <v/>
      </c>
      <c r="D833" s="8" t="str">
        <f>IF(B833="","",VLOOKUP(B833,小圆机汇总表!A:AP,7,FALSE))</f>
        <v/>
      </c>
      <c r="E833" s="8" t="str">
        <f>IF(B833="","",VLOOKUP(B833,小圆机汇总表!A:AP,5,FALSE))</f>
        <v/>
      </c>
      <c r="F833" s="8" t="str">
        <f>IF(B833="","",VLOOKUP(B833,小圆机汇总表!A:AP,8,FALSE))</f>
        <v/>
      </c>
      <c r="M833" s="250" t="str">
        <f t="shared" si="13"/>
        <v/>
      </c>
    </row>
    <row r="834" spans="1:13">
      <c r="A834" s="4">
        <v>834</v>
      </c>
      <c r="C834" s="8" t="str">
        <f>IF(B834="","",VLOOKUP(B834,小圆机汇总表!A:AP,2,FALSE))</f>
        <v/>
      </c>
      <c r="D834" s="8" t="str">
        <f>IF(B834="","",VLOOKUP(B834,小圆机汇总表!A:AP,7,FALSE))</f>
        <v/>
      </c>
      <c r="E834" s="8" t="str">
        <f>IF(B834="","",VLOOKUP(B834,小圆机汇总表!A:AP,5,FALSE))</f>
        <v/>
      </c>
      <c r="F834" s="8" t="str">
        <f>IF(B834="","",VLOOKUP(B834,小圆机汇总表!A:AP,8,FALSE))</f>
        <v/>
      </c>
      <c r="M834" s="250" t="str">
        <f t="shared" si="13"/>
        <v/>
      </c>
    </row>
    <row r="835" spans="1:13">
      <c r="A835" s="4">
        <v>835</v>
      </c>
      <c r="C835" s="8" t="str">
        <f>IF(B835="","",VLOOKUP(B835,小圆机汇总表!A:AP,2,FALSE))</f>
        <v/>
      </c>
      <c r="D835" s="8" t="str">
        <f>IF(B835="","",VLOOKUP(B835,小圆机汇总表!A:AP,7,FALSE))</f>
        <v/>
      </c>
      <c r="E835" s="8" t="str">
        <f>IF(B835="","",VLOOKUP(B835,小圆机汇总表!A:AP,5,FALSE))</f>
        <v/>
      </c>
      <c r="F835" s="8" t="str">
        <f>IF(B835="","",VLOOKUP(B835,小圆机汇总表!A:AP,8,FALSE))</f>
        <v/>
      </c>
      <c r="M835" s="250" t="str">
        <f t="shared" ref="M835:M898" si="14">IF(B835="","",MONTH(G835))</f>
        <v/>
      </c>
    </row>
    <row r="836" spans="1:13">
      <c r="A836" s="4">
        <v>836</v>
      </c>
      <c r="C836" s="8" t="str">
        <f>IF(B836="","",VLOOKUP(B836,小圆机汇总表!A:AP,2,FALSE))</f>
        <v/>
      </c>
      <c r="D836" s="8" t="str">
        <f>IF(B836="","",VLOOKUP(B836,小圆机汇总表!A:AP,7,FALSE))</f>
        <v/>
      </c>
      <c r="E836" s="8" t="str">
        <f>IF(B836="","",VLOOKUP(B836,小圆机汇总表!A:AP,5,FALSE))</f>
        <v/>
      </c>
      <c r="F836" s="8" t="str">
        <f>IF(B836="","",VLOOKUP(B836,小圆机汇总表!A:AP,8,FALSE))</f>
        <v/>
      </c>
      <c r="M836" s="250" t="str">
        <f t="shared" si="14"/>
        <v/>
      </c>
    </row>
    <row r="837" spans="1:13">
      <c r="A837" s="4">
        <v>837</v>
      </c>
      <c r="C837" s="8" t="str">
        <f>IF(B837="","",VLOOKUP(B837,小圆机汇总表!A:AP,2,FALSE))</f>
        <v/>
      </c>
      <c r="D837" s="8" t="str">
        <f>IF(B837="","",VLOOKUP(B837,小圆机汇总表!A:AP,7,FALSE))</f>
        <v/>
      </c>
      <c r="E837" s="8" t="str">
        <f>IF(B837="","",VLOOKUP(B837,小圆机汇总表!A:AP,5,FALSE))</f>
        <v/>
      </c>
      <c r="F837" s="8" t="str">
        <f>IF(B837="","",VLOOKUP(B837,小圆机汇总表!A:AP,8,FALSE))</f>
        <v/>
      </c>
      <c r="M837" s="250" t="str">
        <f t="shared" si="14"/>
        <v/>
      </c>
    </row>
    <row r="838" spans="1:13">
      <c r="A838" s="4">
        <v>838</v>
      </c>
      <c r="C838" s="8" t="str">
        <f>IF(B838="","",VLOOKUP(B838,小圆机汇总表!A:AP,2,FALSE))</f>
        <v/>
      </c>
      <c r="D838" s="8" t="str">
        <f>IF(B838="","",VLOOKUP(B838,小圆机汇总表!A:AP,7,FALSE))</f>
        <v/>
      </c>
      <c r="E838" s="8" t="str">
        <f>IF(B838="","",VLOOKUP(B838,小圆机汇总表!A:AP,5,FALSE))</f>
        <v/>
      </c>
      <c r="F838" s="8" t="str">
        <f>IF(B838="","",VLOOKUP(B838,小圆机汇总表!A:AP,8,FALSE))</f>
        <v/>
      </c>
      <c r="M838" s="250" t="str">
        <f t="shared" si="14"/>
        <v/>
      </c>
    </row>
    <row r="839" spans="1:13">
      <c r="A839" s="4">
        <v>839</v>
      </c>
      <c r="C839" s="8" t="str">
        <f>IF(B839="","",VLOOKUP(B839,小圆机汇总表!A:AP,2,FALSE))</f>
        <v/>
      </c>
      <c r="D839" s="8" t="str">
        <f>IF(B839="","",VLOOKUP(B839,小圆机汇总表!A:AP,7,FALSE))</f>
        <v/>
      </c>
      <c r="E839" s="8" t="str">
        <f>IF(B839="","",VLOOKUP(B839,小圆机汇总表!A:AP,5,FALSE))</f>
        <v/>
      </c>
      <c r="F839" s="8" t="str">
        <f>IF(B839="","",VLOOKUP(B839,小圆机汇总表!A:AP,8,FALSE))</f>
        <v/>
      </c>
      <c r="M839" s="250" t="str">
        <f t="shared" si="14"/>
        <v/>
      </c>
    </row>
    <row r="840" spans="1:13">
      <c r="A840" s="4">
        <v>840</v>
      </c>
      <c r="C840" s="8" t="str">
        <f>IF(B840="","",VLOOKUP(B840,小圆机汇总表!A:AP,2,FALSE))</f>
        <v/>
      </c>
      <c r="D840" s="8" t="str">
        <f>IF(B840="","",VLOOKUP(B840,小圆机汇总表!A:AP,7,FALSE))</f>
        <v/>
      </c>
      <c r="E840" s="8" t="str">
        <f>IF(B840="","",VLOOKUP(B840,小圆机汇总表!A:AP,5,FALSE))</f>
        <v/>
      </c>
      <c r="F840" s="8" t="str">
        <f>IF(B840="","",VLOOKUP(B840,小圆机汇总表!A:AP,8,FALSE))</f>
        <v/>
      </c>
      <c r="M840" s="250" t="str">
        <f t="shared" si="14"/>
        <v/>
      </c>
    </row>
    <row r="841" spans="1:13">
      <c r="A841" s="4">
        <v>841</v>
      </c>
      <c r="C841" s="8" t="str">
        <f>IF(B841="","",VLOOKUP(B841,小圆机汇总表!A:AP,2,FALSE))</f>
        <v/>
      </c>
      <c r="D841" s="8" t="str">
        <f>IF(B841="","",VLOOKUP(B841,小圆机汇总表!A:AP,7,FALSE))</f>
        <v/>
      </c>
      <c r="E841" s="8" t="str">
        <f>IF(B841="","",VLOOKUP(B841,小圆机汇总表!A:AP,5,FALSE))</f>
        <v/>
      </c>
      <c r="F841" s="8" t="str">
        <f>IF(B841="","",VLOOKUP(B841,小圆机汇总表!A:AP,8,FALSE))</f>
        <v/>
      </c>
      <c r="M841" s="250" t="str">
        <f t="shared" si="14"/>
        <v/>
      </c>
    </row>
    <row r="842" spans="1:13">
      <c r="A842" s="4">
        <v>842</v>
      </c>
      <c r="C842" s="8" t="str">
        <f>IF(B842="","",VLOOKUP(B842,小圆机汇总表!A:AP,2,FALSE))</f>
        <v/>
      </c>
      <c r="D842" s="8" t="str">
        <f>IF(B842="","",VLOOKUP(B842,小圆机汇总表!A:AP,7,FALSE))</f>
        <v/>
      </c>
      <c r="E842" s="8" t="str">
        <f>IF(B842="","",VLOOKUP(B842,小圆机汇总表!A:AP,5,FALSE))</f>
        <v/>
      </c>
      <c r="F842" s="8" t="str">
        <f>IF(B842="","",VLOOKUP(B842,小圆机汇总表!A:AP,8,FALSE))</f>
        <v/>
      </c>
      <c r="M842" s="250" t="str">
        <f t="shared" si="14"/>
        <v/>
      </c>
    </row>
    <row r="843" spans="1:13">
      <c r="A843" s="4">
        <v>843</v>
      </c>
      <c r="C843" s="8" t="str">
        <f>IF(B843="","",VLOOKUP(B843,小圆机汇总表!A:AP,2,FALSE))</f>
        <v/>
      </c>
      <c r="D843" s="8" t="str">
        <f>IF(B843="","",VLOOKUP(B843,小圆机汇总表!A:AP,7,FALSE))</f>
        <v/>
      </c>
      <c r="E843" s="8" t="str">
        <f>IF(B843="","",VLOOKUP(B843,小圆机汇总表!A:AP,5,FALSE))</f>
        <v/>
      </c>
      <c r="F843" s="8" t="str">
        <f>IF(B843="","",VLOOKUP(B843,小圆机汇总表!A:AP,8,FALSE))</f>
        <v/>
      </c>
      <c r="M843" s="250" t="str">
        <f t="shared" si="14"/>
        <v/>
      </c>
    </row>
    <row r="844" spans="1:13">
      <c r="A844" s="4">
        <v>844</v>
      </c>
      <c r="C844" s="8" t="str">
        <f>IF(B844="","",VLOOKUP(B844,小圆机汇总表!A:AP,2,FALSE))</f>
        <v/>
      </c>
      <c r="D844" s="8" t="str">
        <f>IF(B844="","",VLOOKUP(B844,小圆机汇总表!A:AP,7,FALSE))</f>
        <v/>
      </c>
      <c r="E844" s="8" t="str">
        <f>IF(B844="","",VLOOKUP(B844,小圆机汇总表!A:AP,5,FALSE))</f>
        <v/>
      </c>
      <c r="F844" s="8" t="str">
        <f>IF(B844="","",VLOOKUP(B844,小圆机汇总表!A:AP,8,FALSE))</f>
        <v/>
      </c>
      <c r="M844" s="250" t="str">
        <f t="shared" si="14"/>
        <v/>
      </c>
    </row>
    <row r="845" spans="1:13">
      <c r="A845" s="4">
        <v>845</v>
      </c>
      <c r="C845" s="8" t="str">
        <f>IF(B845="","",VLOOKUP(B845,小圆机汇总表!A:AP,2,FALSE))</f>
        <v/>
      </c>
      <c r="D845" s="8" t="str">
        <f>IF(B845="","",VLOOKUP(B845,小圆机汇总表!A:AP,7,FALSE))</f>
        <v/>
      </c>
      <c r="E845" s="8" t="str">
        <f>IF(B845="","",VLOOKUP(B845,小圆机汇总表!A:AP,5,FALSE))</f>
        <v/>
      </c>
      <c r="F845" s="8" t="str">
        <f>IF(B845="","",VLOOKUP(B845,小圆机汇总表!A:AP,8,FALSE))</f>
        <v/>
      </c>
      <c r="M845" s="250" t="str">
        <f t="shared" si="14"/>
        <v/>
      </c>
    </row>
    <row r="846" spans="1:13">
      <c r="A846" s="4">
        <v>846</v>
      </c>
      <c r="C846" s="8" t="str">
        <f>IF(B846="","",VLOOKUP(B846,小圆机汇总表!A:AP,2,FALSE))</f>
        <v/>
      </c>
      <c r="D846" s="8" t="str">
        <f>IF(B846="","",VLOOKUP(B846,小圆机汇总表!A:AP,7,FALSE))</f>
        <v/>
      </c>
      <c r="E846" s="8" t="str">
        <f>IF(B846="","",VLOOKUP(B846,小圆机汇总表!A:AP,5,FALSE))</f>
        <v/>
      </c>
      <c r="F846" s="8" t="str">
        <f>IF(B846="","",VLOOKUP(B846,小圆机汇总表!A:AP,8,FALSE))</f>
        <v/>
      </c>
      <c r="M846" s="250" t="str">
        <f t="shared" si="14"/>
        <v/>
      </c>
    </row>
    <row r="847" spans="1:13">
      <c r="A847" s="4">
        <v>847</v>
      </c>
      <c r="C847" s="8" t="str">
        <f>IF(B847="","",VLOOKUP(B847,小圆机汇总表!A:AP,2,FALSE))</f>
        <v/>
      </c>
      <c r="D847" s="8" t="str">
        <f>IF(B847="","",VLOOKUP(B847,小圆机汇总表!A:AP,7,FALSE))</f>
        <v/>
      </c>
      <c r="E847" s="8" t="str">
        <f>IF(B847="","",VLOOKUP(B847,小圆机汇总表!A:AP,5,FALSE))</f>
        <v/>
      </c>
      <c r="F847" s="8" t="str">
        <f>IF(B847="","",VLOOKUP(B847,小圆机汇总表!A:AP,8,FALSE))</f>
        <v/>
      </c>
      <c r="M847" s="250" t="str">
        <f t="shared" si="14"/>
        <v/>
      </c>
    </row>
    <row r="848" spans="1:13">
      <c r="A848" s="4">
        <v>848</v>
      </c>
      <c r="C848" s="8" t="str">
        <f>IF(B848="","",VLOOKUP(B848,小圆机汇总表!A:AP,2,FALSE))</f>
        <v/>
      </c>
      <c r="D848" s="8" t="str">
        <f>IF(B848="","",VLOOKUP(B848,小圆机汇总表!A:AP,7,FALSE))</f>
        <v/>
      </c>
      <c r="E848" s="8" t="str">
        <f>IF(B848="","",VLOOKUP(B848,小圆机汇总表!A:AP,5,FALSE))</f>
        <v/>
      </c>
      <c r="F848" s="8" t="str">
        <f>IF(B848="","",VLOOKUP(B848,小圆机汇总表!A:AP,8,FALSE))</f>
        <v/>
      </c>
      <c r="M848" s="250" t="str">
        <f t="shared" si="14"/>
        <v/>
      </c>
    </row>
    <row r="849" spans="1:13">
      <c r="A849" s="4">
        <v>849</v>
      </c>
      <c r="C849" s="8" t="str">
        <f>IF(B849="","",VLOOKUP(B849,小圆机汇总表!A:AP,2,FALSE))</f>
        <v/>
      </c>
      <c r="D849" s="8" t="str">
        <f>IF(B849="","",VLOOKUP(B849,小圆机汇总表!A:AP,7,FALSE))</f>
        <v/>
      </c>
      <c r="E849" s="8" t="str">
        <f>IF(B849="","",VLOOKUP(B849,小圆机汇总表!A:AP,5,FALSE))</f>
        <v/>
      </c>
      <c r="F849" s="8" t="str">
        <f>IF(B849="","",VLOOKUP(B849,小圆机汇总表!A:AP,8,FALSE))</f>
        <v/>
      </c>
      <c r="M849" s="250" t="str">
        <f t="shared" si="14"/>
        <v/>
      </c>
    </row>
    <row r="850" spans="1:13">
      <c r="A850" s="4">
        <v>850</v>
      </c>
      <c r="C850" s="8" t="str">
        <f>IF(B850="","",VLOOKUP(B850,小圆机汇总表!A:AP,2,FALSE))</f>
        <v/>
      </c>
      <c r="D850" s="8" t="str">
        <f>IF(B850="","",VLOOKUP(B850,小圆机汇总表!A:AP,7,FALSE))</f>
        <v/>
      </c>
      <c r="E850" s="8" t="str">
        <f>IF(B850="","",VLOOKUP(B850,小圆机汇总表!A:AP,5,FALSE))</f>
        <v/>
      </c>
      <c r="F850" s="8" t="str">
        <f>IF(B850="","",VLOOKUP(B850,小圆机汇总表!A:AP,8,FALSE))</f>
        <v/>
      </c>
      <c r="M850" s="250" t="str">
        <f t="shared" si="14"/>
        <v/>
      </c>
    </row>
    <row r="851" spans="1:13">
      <c r="A851" s="4">
        <v>851</v>
      </c>
      <c r="C851" s="8" t="str">
        <f>IF(B851="","",VLOOKUP(B851,小圆机汇总表!A:AP,2,FALSE))</f>
        <v/>
      </c>
      <c r="D851" s="8" t="str">
        <f>IF(B851="","",VLOOKUP(B851,小圆机汇总表!A:AP,7,FALSE))</f>
        <v/>
      </c>
      <c r="E851" s="8" t="str">
        <f>IF(B851="","",VLOOKUP(B851,小圆机汇总表!A:AP,5,FALSE))</f>
        <v/>
      </c>
      <c r="F851" s="8" t="str">
        <f>IF(B851="","",VLOOKUP(B851,小圆机汇总表!A:AP,8,FALSE))</f>
        <v/>
      </c>
      <c r="M851" s="250" t="str">
        <f t="shared" si="14"/>
        <v/>
      </c>
    </row>
    <row r="852" spans="1:13">
      <c r="A852" s="4">
        <v>852</v>
      </c>
      <c r="C852" s="8" t="str">
        <f>IF(B852="","",VLOOKUP(B852,小圆机汇总表!A:AP,2,FALSE))</f>
        <v/>
      </c>
      <c r="D852" s="8" t="str">
        <f>IF(B852="","",VLOOKUP(B852,小圆机汇总表!A:AP,7,FALSE))</f>
        <v/>
      </c>
      <c r="E852" s="8" t="str">
        <f>IF(B852="","",VLOOKUP(B852,小圆机汇总表!A:AP,5,FALSE))</f>
        <v/>
      </c>
      <c r="F852" s="8" t="str">
        <f>IF(B852="","",VLOOKUP(B852,小圆机汇总表!A:AP,8,FALSE))</f>
        <v/>
      </c>
      <c r="M852" s="250" t="str">
        <f t="shared" si="14"/>
        <v/>
      </c>
    </row>
    <row r="853" spans="1:13">
      <c r="A853" s="4">
        <v>853</v>
      </c>
      <c r="C853" s="8" t="str">
        <f>IF(B853="","",VLOOKUP(B853,小圆机汇总表!A:AP,2,FALSE))</f>
        <v/>
      </c>
      <c r="D853" s="8" t="str">
        <f>IF(B853="","",VLOOKUP(B853,小圆机汇总表!A:AP,7,FALSE))</f>
        <v/>
      </c>
      <c r="E853" s="8" t="str">
        <f>IF(B853="","",VLOOKUP(B853,小圆机汇总表!A:AP,5,FALSE))</f>
        <v/>
      </c>
      <c r="F853" s="8" t="str">
        <f>IF(B853="","",VLOOKUP(B853,小圆机汇总表!A:AP,8,FALSE))</f>
        <v/>
      </c>
      <c r="M853" s="250" t="str">
        <f t="shared" si="14"/>
        <v/>
      </c>
    </row>
    <row r="854" spans="1:13">
      <c r="A854" s="4">
        <v>854</v>
      </c>
      <c r="C854" s="8" t="str">
        <f>IF(B854="","",VLOOKUP(B854,小圆机汇总表!A:AP,2,FALSE))</f>
        <v/>
      </c>
      <c r="D854" s="8" t="str">
        <f>IF(B854="","",VLOOKUP(B854,小圆机汇总表!A:AP,7,FALSE))</f>
        <v/>
      </c>
      <c r="E854" s="8" t="str">
        <f>IF(B854="","",VLOOKUP(B854,小圆机汇总表!A:AP,5,FALSE))</f>
        <v/>
      </c>
      <c r="F854" s="8" t="str">
        <f>IF(B854="","",VLOOKUP(B854,小圆机汇总表!A:AP,8,FALSE))</f>
        <v/>
      </c>
      <c r="M854" s="250" t="str">
        <f t="shared" si="14"/>
        <v/>
      </c>
    </row>
    <row r="855" spans="1:13">
      <c r="A855" s="4">
        <v>855</v>
      </c>
      <c r="C855" s="8" t="str">
        <f>IF(B855="","",VLOOKUP(B855,小圆机汇总表!A:AP,2,FALSE))</f>
        <v/>
      </c>
      <c r="D855" s="8" t="str">
        <f>IF(B855="","",VLOOKUP(B855,小圆机汇总表!A:AP,7,FALSE))</f>
        <v/>
      </c>
      <c r="E855" s="8" t="str">
        <f>IF(B855="","",VLOOKUP(B855,小圆机汇总表!A:AP,5,FALSE))</f>
        <v/>
      </c>
      <c r="F855" s="8" t="str">
        <f>IF(B855="","",VLOOKUP(B855,小圆机汇总表!A:AP,8,FALSE))</f>
        <v/>
      </c>
      <c r="M855" s="250" t="str">
        <f t="shared" si="14"/>
        <v/>
      </c>
    </row>
    <row r="856" spans="1:13">
      <c r="A856" s="4">
        <v>856</v>
      </c>
      <c r="C856" s="8" t="str">
        <f>IF(B856="","",VLOOKUP(B856,小圆机汇总表!A:AP,2,FALSE))</f>
        <v/>
      </c>
      <c r="D856" s="8" t="str">
        <f>IF(B856="","",VLOOKUP(B856,小圆机汇总表!A:AP,7,FALSE))</f>
        <v/>
      </c>
      <c r="E856" s="8" t="str">
        <f>IF(B856="","",VLOOKUP(B856,小圆机汇总表!A:AP,5,FALSE))</f>
        <v/>
      </c>
      <c r="F856" s="8" t="str">
        <f>IF(B856="","",VLOOKUP(B856,小圆机汇总表!A:AP,8,FALSE))</f>
        <v/>
      </c>
      <c r="M856" s="250" t="str">
        <f t="shared" si="14"/>
        <v/>
      </c>
    </row>
    <row r="857" spans="1:13">
      <c r="A857" s="4">
        <v>857</v>
      </c>
      <c r="C857" s="8" t="str">
        <f>IF(B857="","",VLOOKUP(B857,小圆机汇总表!A:AP,2,FALSE))</f>
        <v/>
      </c>
      <c r="D857" s="8" t="str">
        <f>IF(B857="","",VLOOKUP(B857,小圆机汇总表!A:AP,7,FALSE))</f>
        <v/>
      </c>
      <c r="E857" s="8" t="str">
        <f>IF(B857="","",VLOOKUP(B857,小圆机汇总表!A:AP,5,FALSE))</f>
        <v/>
      </c>
      <c r="F857" s="8" t="str">
        <f>IF(B857="","",VLOOKUP(B857,小圆机汇总表!A:AP,8,FALSE))</f>
        <v/>
      </c>
      <c r="M857" s="250" t="str">
        <f t="shared" si="14"/>
        <v/>
      </c>
    </row>
    <row r="858" spans="1:13">
      <c r="A858" s="4">
        <v>858</v>
      </c>
      <c r="C858" s="8" t="str">
        <f>IF(B858="","",VLOOKUP(B858,小圆机汇总表!A:AP,2,FALSE))</f>
        <v/>
      </c>
      <c r="D858" s="8" t="str">
        <f>IF(B858="","",VLOOKUP(B858,小圆机汇总表!A:AP,7,FALSE))</f>
        <v/>
      </c>
      <c r="E858" s="8" t="str">
        <f>IF(B858="","",VLOOKUP(B858,小圆机汇总表!A:AP,5,FALSE))</f>
        <v/>
      </c>
      <c r="F858" s="8" t="str">
        <f>IF(B858="","",VLOOKUP(B858,小圆机汇总表!A:AP,8,FALSE))</f>
        <v/>
      </c>
      <c r="M858" s="250" t="str">
        <f t="shared" si="14"/>
        <v/>
      </c>
    </row>
    <row r="859" spans="1:13">
      <c r="A859" s="4">
        <v>859</v>
      </c>
      <c r="C859" s="8" t="str">
        <f>IF(B859="","",VLOOKUP(B859,小圆机汇总表!A:AP,2,FALSE))</f>
        <v/>
      </c>
      <c r="D859" s="8" t="str">
        <f>IF(B859="","",VLOOKUP(B859,小圆机汇总表!A:AP,7,FALSE))</f>
        <v/>
      </c>
      <c r="E859" s="8" t="str">
        <f>IF(B859="","",VLOOKUP(B859,小圆机汇总表!A:AP,5,FALSE))</f>
        <v/>
      </c>
      <c r="F859" s="8" t="str">
        <f>IF(B859="","",VLOOKUP(B859,小圆机汇总表!A:AP,8,FALSE))</f>
        <v/>
      </c>
      <c r="M859" s="250" t="str">
        <f t="shared" si="14"/>
        <v/>
      </c>
    </row>
    <row r="860" spans="1:13">
      <c r="A860" s="4">
        <v>860</v>
      </c>
      <c r="C860" s="8" t="str">
        <f>IF(B860="","",VLOOKUP(B860,小圆机汇总表!A:AP,2,FALSE))</f>
        <v/>
      </c>
      <c r="D860" s="8" t="str">
        <f>IF(B860="","",VLOOKUP(B860,小圆机汇总表!A:AP,7,FALSE))</f>
        <v/>
      </c>
      <c r="E860" s="8" t="str">
        <f>IF(B860="","",VLOOKUP(B860,小圆机汇总表!A:AP,5,FALSE))</f>
        <v/>
      </c>
      <c r="F860" s="8" t="str">
        <f>IF(B860="","",VLOOKUP(B860,小圆机汇总表!A:AP,8,FALSE))</f>
        <v/>
      </c>
      <c r="M860" s="250" t="str">
        <f t="shared" si="14"/>
        <v/>
      </c>
    </row>
    <row r="861" spans="1:13">
      <c r="A861" s="4">
        <v>861</v>
      </c>
      <c r="C861" s="8" t="str">
        <f>IF(B861="","",VLOOKUP(B861,小圆机汇总表!A:AP,2,FALSE))</f>
        <v/>
      </c>
      <c r="D861" s="8" t="str">
        <f>IF(B861="","",VLOOKUP(B861,小圆机汇总表!A:AP,7,FALSE))</f>
        <v/>
      </c>
      <c r="E861" s="8" t="str">
        <f>IF(B861="","",VLOOKUP(B861,小圆机汇总表!A:AP,5,FALSE))</f>
        <v/>
      </c>
      <c r="F861" s="8" t="str">
        <f>IF(B861="","",VLOOKUP(B861,小圆机汇总表!A:AP,8,FALSE))</f>
        <v/>
      </c>
      <c r="M861" s="250" t="str">
        <f t="shared" si="14"/>
        <v/>
      </c>
    </row>
    <row r="862" spans="1:13">
      <c r="A862" s="4">
        <v>862</v>
      </c>
      <c r="C862" s="8" t="str">
        <f>IF(B862="","",VLOOKUP(B862,小圆机汇总表!A:AP,2,FALSE))</f>
        <v/>
      </c>
      <c r="D862" s="8" t="str">
        <f>IF(B862="","",VLOOKUP(B862,小圆机汇总表!A:AP,7,FALSE))</f>
        <v/>
      </c>
      <c r="E862" s="8" t="str">
        <f>IF(B862="","",VLOOKUP(B862,小圆机汇总表!A:AP,5,FALSE))</f>
        <v/>
      </c>
      <c r="F862" s="8" t="str">
        <f>IF(B862="","",VLOOKUP(B862,小圆机汇总表!A:AP,8,FALSE))</f>
        <v/>
      </c>
      <c r="M862" s="250" t="str">
        <f t="shared" si="14"/>
        <v/>
      </c>
    </row>
    <row r="863" spans="1:13">
      <c r="A863" s="4">
        <v>863</v>
      </c>
      <c r="C863" s="8" t="str">
        <f>IF(B863="","",VLOOKUP(B863,小圆机汇总表!A:AP,2,FALSE))</f>
        <v/>
      </c>
      <c r="D863" s="8" t="str">
        <f>IF(B863="","",VLOOKUP(B863,小圆机汇总表!A:AP,7,FALSE))</f>
        <v/>
      </c>
      <c r="E863" s="8" t="str">
        <f>IF(B863="","",VLOOKUP(B863,小圆机汇总表!A:AP,5,FALSE))</f>
        <v/>
      </c>
      <c r="F863" s="8" t="str">
        <f>IF(B863="","",VLOOKUP(B863,小圆机汇总表!A:AP,8,FALSE))</f>
        <v/>
      </c>
      <c r="M863" s="250" t="str">
        <f t="shared" si="14"/>
        <v/>
      </c>
    </row>
    <row r="864" spans="1:13">
      <c r="A864" s="4">
        <v>864</v>
      </c>
      <c r="C864" s="8" t="str">
        <f>IF(B864="","",VLOOKUP(B864,小圆机汇总表!A:AP,2,FALSE))</f>
        <v/>
      </c>
      <c r="D864" s="8" t="str">
        <f>IF(B864="","",VLOOKUP(B864,小圆机汇总表!A:AP,7,FALSE))</f>
        <v/>
      </c>
      <c r="E864" s="8" t="str">
        <f>IF(B864="","",VLOOKUP(B864,小圆机汇总表!A:AP,5,FALSE))</f>
        <v/>
      </c>
      <c r="F864" s="8" t="str">
        <f>IF(B864="","",VLOOKUP(B864,小圆机汇总表!A:AP,8,FALSE))</f>
        <v/>
      </c>
      <c r="M864" s="250" t="str">
        <f t="shared" si="14"/>
        <v/>
      </c>
    </row>
    <row r="865" spans="1:13">
      <c r="A865" s="4">
        <v>865</v>
      </c>
      <c r="C865" s="8" t="str">
        <f>IF(B865="","",VLOOKUP(B865,小圆机汇总表!A:AP,2,FALSE))</f>
        <v/>
      </c>
      <c r="D865" s="8" t="str">
        <f>IF(B865="","",VLOOKUP(B865,小圆机汇总表!A:AP,7,FALSE))</f>
        <v/>
      </c>
      <c r="E865" s="8" t="str">
        <f>IF(B865="","",VLOOKUP(B865,小圆机汇总表!A:AP,5,FALSE))</f>
        <v/>
      </c>
      <c r="F865" s="8" t="str">
        <f>IF(B865="","",VLOOKUP(B865,小圆机汇总表!A:AP,8,FALSE))</f>
        <v/>
      </c>
      <c r="M865" s="250" t="str">
        <f t="shared" si="14"/>
        <v/>
      </c>
    </row>
    <row r="866" spans="1:13">
      <c r="A866" s="4">
        <v>866</v>
      </c>
      <c r="C866" s="8" t="str">
        <f>IF(B866="","",VLOOKUP(B866,小圆机汇总表!A:AP,2,FALSE))</f>
        <v/>
      </c>
      <c r="D866" s="8" t="str">
        <f>IF(B866="","",VLOOKUP(B866,小圆机汇总表!A:AP,7,FALSE))</f>
        <v/>
      </c>
      <c r="E866" s="8" t="str">
        <f>IF(B866="","",VLOOKUP(B866,小圆机汇总表!A:AP,5,FALSE))</f>
        <v/>
      </c>
      <c r="F866" s="8" t="str">
        <f>IF(B866="","",VLOOKUP(B866,小圆机汇总表!A:AP,8,FALSE))</f>
        <v/>
      </c>
      <c r="M866" s="250" t="str">
        <f t="shared" si="14"/>
        <v/>
      </c>
    </row>
    <row r="867" spans="1:13">
      <c r="A867" s="4">
        <v>867</v>
      </c>
      <c r="C867" s="8" t="str">
        <f>IF(B867="","",VLOOKUP(B867,小圆机汇总表!A:AP,2,FALSE))</f>
        <v/>
      </c>
      <c r="D867" s="8" t="str">
        <f>IF(B867="","",VLOOKUP(B867,小圆机汇总表!A:AP,7,FALSE))</f>
        <v/>
      </c>
      <c r="E867" s="8" t="str">
        <f>IF(B867="","",VLOOKUP(B867,小圆机汇总表!A:AP,5,FALSE))</f>
        <v/>
      </c>
      <c r="F867" s="8" t="str">
        <f>IF(B867="","",VLOOKUP(B867,小圆机汇总表!A:AP,8,FALSE))</f>
        <v/>
      </c>
      <c r="M867" s="250" t="str">
        <f t="shared" si="14"/>
        <v/>
      </c>
    </row>
    <row r="868" spans="1:13">
      <c r="A868" s="4">
        <v>868</v>
      </c>
      <c r="C868" s="8" t="str">
        <f>IF(B868="","",VLOOKUP(B868,小圆机汇总表!A:AP,2,FALSE))</f>
        <v/>
      </c>
      <c r="D868" s="8" t="str">
        <f>IF(B868="","",VLOOKUP(B868,小圆机汇总表!A:AP,7,FALSE))</f>
        <v/>
      </c>
      <c r="E868" s="8" t="str">
        <f>IF(B868="","",VLOOKUP(B868,小圆机汇总表!A:AP,5,FALSE))</f>
        <v/>
      </c>
      <c r="F868" s="8" t="str">
        <f>IF(B868="","",VLOOKUP(B868,小圆机汇总表!A:AP,8,FALSE))</f>
        <v/>
      </c>
      <c r="M868" s="250" t="str">
        <f t="shared" si="14"/>
        <v/>
      </c>
    </row>
    <row r="869" spans="1:13">
      <c r="A869" s="4">
        <v>869</v>
      </c>
      <c r="C869" s="8" t="str">
        <f>IF(B869="","",VLOOKUP(B869,小圆机汇总表!A:AP,2,FALSE))</f>
        <v/>
      </c>
      <c r="D869" s="8" t="str">
        <f>IF(B869="","",VLOOKUP(B869,小圆机汇总表!A:AP,7,FALSE))</f>
        <v/>
      </c>
      <c r="E869" s="8" t="str">
        <f>IF(B869="","",VLOOKUP(B869,小圆机汇总表!A:AP,5,FALSE))</f>
        <v/>
      </c>
      <c r="F869" s="8" t="str">
        <f>IF(B869="","",VLOOKUP(B869,小圆机汇总表!A:AP,8,FALSE))</f>
        <v/>
      </c>
      <c r="M869" s="250" t="str">
        <f t="shared" si="14"/>
        <v/>
      </c>
    </row>
    <row r="870" spans="1:13">
      <c r="A870" s="4">
        <v>870</v>
      </c>
      <c r="C870" s="8" t="str">
        <f>IF(B870="","",VLOOKUP(B870,小圆机汇总表!A:AP,2,FALSE))</f>
        <v/>
      </c>
      <c r="D870" s="8" t="str">
        <f>IF(B870="","",VLOOKUP(B870,小圆机汇总表!A:AP,7,FALSE))</f>
        <v/>
      </c>
      <c r="E870" s="8" t="str">
        <f>IF(B870="","",VLOOKUP(B870,小圆机汇总表!A:AP,5,FALSE))</f>
        <v/>
      </c>
      <c r="F870" s="8" t="str">
        <f>IF(B870="","",VLOOKUP(B870,小圆机汇总表!A:AP,8,FALSE))</f>
        <v/>
      </c>
      <c r="M870" s="250" t="str">
        <f t="shared" si="14"/>
        <v/>
      </c>
    </row>
    <row r="871" spans="1:13">
      <c r="A871" s="4">
        <v>871</v>
      </c>
      <c r="C871" s="8" t="str">
        <f>IF(B871="","",VLOOKUP(B871,小圆机汇总表!A:AP,2,FALSE))</f>
        <v/>
      </c>
      <c r="D871" s="8" t="str">
        <f>IF(B871="","",VLOOKUP(B871,小圆机汇总表!A:AP,7,FALSE))</f>
        <v/>
      </c>
      <c r="E871" s="8" t="str">
        <f>IF(B871="","",VLOOKUP(B871,小圆机汇总表!A:AP,5,FALSE))</f>
        <v/>
      </c>
      <c r="F871" s="8" t="str">
        <f>IF(B871="","",VLOOKUP(B871,小圆机汇总表!A:AP,8,FALSE))</f>
        <v/>
      </c>
      <c r="M871" s="250" t="str">
        <f t="shared" si="14"/>
        <v/>
      </c>
    </row>
    <row r="872" spans="1:13">
      <c r="A872" s="4">
        <v>872</v>
      </c>
      <c r="C872" s="8" t="str">
        <f>IF(B872="","",VLOOKUP(B872,小圆机汇总表!A:AP,2,FALSE))</f>
        <v/>
      </c>
      <c r="D872" s="8" t="str">
        <f>IF(B872="","",VLOOKUP(B872,小圆机汇总表!A:AP,7,FALSE))</f>
        <v/>
      </c>
      <c r="E872" s="8" t="str">
        <f>IF(B872="","",VLOOKUP(B872,小圆机汇总表!A:AP,5,FALSE))</f>
        <v/>
      </c>
      <c r="F872" s="8" t="str">
        <f>IF(B872="","",VLOOKUP(B872,小圆机汇总表!A:AP,8,FALSE))</f>
        <v/>
      </c>
      <c r="M872" s="250" t="str">
        <f t="shared" si="14"/>
        <v/>
      </c>
    </row>
    <row r="873" spans="1:13">
      <c r="A873" s="4">
        <v>873</v>
      </c>
      <c r="C873" s="8" t="str">
        <f>IF(B873="","",VLOOKUP(B873,小圆机汇总表!A:AP,2,FALSE))</f>
        <v/>
      </c>
      <c r="D873" s="8" t="str">
        <f>IF(B873="","",VLOOKUP(B873,小圆机汇总表!A:AP,7,FALSE))</f>
        <v/>
      </c>
      <c r="E873" s="8" t="str">
        <f>IF(B873="","",VLOOKUP(B873,小圆机汇总表!A:AP,5,FALSE))</f>
        <v/>
      </c>
      <c r="F873" s="8" t="str">
        <f>IF(B873="","",VLOOKUP(B873,小圆机汇总表!A:AP,8,FALSE))</f>
        <v/>
      </c>
      <c r="M873" s="250" t="str">
        <f t="shared" si="14"/>
        <v/>
      </c>
    </row>
    <row r="874" spans="1:13">
      <c r="A874" s="4">
        <v>874</v>
      </c>
      <c r="C874" s="8" t="str">
        <f>IF(B874="","",VLOOKUP(B874,小圆机汇总表!A:AP,2,FALSE))</f>
        <v/>
      </c>
      <c r="D874" s="8" t="str">
        <f>IF(B874="","",VLOOKUP(B874,小圆机汇总表!A:AP,7,FALSE))</f>
        <v/>
      </c>
      <c r="E874" s="8" t="str">
        <f>IF(B874="","",VLOOKUP(B874,小圆机汇总表!A:AP,5,FALSE))</f>
        <v/>
      </c>
      <c r="F874" s="8" t="str">
        <f>IF(B874="","",VLOOKUP(B874,小圆机汇总表!A:AP,8,FALSE))</f>
        <v/>
      </c>
      <c r="M874" s="250" t="str">
        <f t="shared" si="14"/>
        <v/>
      </c>
    </row>
    <row r="875" spans="1:13">
      <c r="A875" s="4">
        <v>875</v>
      </c>
      <c r="C875" s="8" t="str">
        <f>IF(B875="","",VLOOKUP(B875,小圆机汇总表!A:AP,2,FALSE))</f>
        <v/>
      </c>
      <c r="D875" s="8" t="str">
        <f>IF(B875="","",VLOOKUP(B875,小圆机汇总表!A:AP,7,FALSE))</f>
        <v/>
      </c>
      <c r="E875" s="8" t="str">
        <f>IF(B875="","",VLOOKUP(B875,小圆机汇总表!A:AP,5,FALSE))</f>
        <v/>
      </c>
      <c r="F875" s="8" t="str">
        <f>IF(B875="","",VLOOKUP(B875,小圆机汇总表!A:AP,8,FALSE))</f>
        <v/>
      </c>
      <c r="M875" s="250" t="str">
        <f t="shared" si="14"/>
        <v/>
      </c>
    </row>
    <row r="876" spans="1:13">
      <c r="A876" s="4">
        <v>876</v>
      </c>
      <c r="C876" s="8" t="str">
        <f>IF(B876="","",VLOOKUP(B876,小圆机汇总表!A:AP,2,FALSE))</f>
        <v/>
      </c>
      <c r="D876" s="8" t="str">
        <f>IF(B876="","",VLOOKUP(B876,小圆机汇总表!A:AP,7,FALSE))</f>
        <v/>
      </c>
      <c r="E876" s="8" t="str">
        <f>IF(B876="","",VLOOKUP(B876,小圆机汇总表!A:AP,5,FALSE))</f>
        <v/>
      </c>
      <c r="F876" s="8" t="str">
        <f>IF(B876="","",VLOOKUP(B876,小圆机汇总表!A:AP,8,FALSE))</f>
        <v/>
      </c>
      <c r="M876" s="250" t="str">
        <f t="shared" si="14"/>
        <v/>
      </c>
    </row>
    <row r="877" spans="1:13">
      <c r="A877" s="4">
        <v>877</v>
      </c>
      <c r="C877" s="8" t="str">
        <f>IF(B877="","",VLOOKUP(B877,小圆机汇总表!A:AP,2,FALSE))</f>
        <v/>
      </c>
      <c r="D877" s="8" t="str">
        <f>IF(B877="","",VLOOKUP(B877,小圆机汇总表!A:AP,7,FALSE))</f>
        <v/>
      </c>
      <c r="E877" s="8" t="str">
        <f>IF(B877="","",VLOOKUP(B877,小圆机汇总表!A:AP,5,FALSE))</f>
        <v/>
      </c>
      <c r="F877" s="8" t="str">
        <f>IF(B877="","",VLOOKUP(B877,小圆机汇总表!A:AP,8,FALSE))</f>
        <v/>
      </c>
      <c r="M877" s="250" t="str">
        <f t="shared" si="14"/>
        <v/>
      </c>
    </row>
    <row r="878" spans="1:13">
      <c r="A878" s="4">
        <v>878</v>
      </c>
      <c r="C878" s="8" t="str">
        <f>IF(B878="","",VLOOKUP(B878,小圆机汇总表!A:AP,2,FALSE))</f>
        <v/>
      </c>
      <c r="D878" s="8" t="str">
        <f>IF(B878="","",VLOOKUP(B878,小圆机汇总表!A:AP,7,FALSE))</f>
        <v/>
      </c>
      <c r="E878" s="8" t="str">
        <f>IF(B878="","",VLOOKUP(B878,小圆机汇总表!A:AP,5,FALSE))</f>
        <v/>
      </c>
      <c r="F878" s="8" t="str">
        <f>IF(B878="","",VLOOKUP(B878,小圆机汇总表!A:AP,8,FALSE))</f>
        <v/>
      </c>
      <c r="M878" s="250" t="str">
        <f t="shared" si="14"/>
        <v/>
      </c>
    </row>
    <row r="879" spans="1:13">
      <c r="A879" s="4">
        <v>879</v>
      </c>
      <c r="C879" s="8" t="str">
        <f>IF(B879="","",VLOOKUP(B879,小圆机汇总表!A:AP,2,FALSE))</f>
        <v/>
      </c>
      <c r="D879" s="8" t="str">
        <f>IF(B879="","",VLOOKUP(B879,小圆机汇总表!A:AP,7,FALSE))</f>
        <v/>
      </c>
      <c r="E879" s="8" t="str">
        <f>IF(B879="","",VLOOKUP(B879,小圆机汇总表!A:AP,5,FALSE))</f>
        <v/>
      </c>
      <c r="F879" s="8" t="str">
        <f>IF(B879="","",VLOOKUP(B879,小圆机汇总表!A:AP,8,FALSE))</f>
        <v/>
      </c>
      <c r="M879" s="250" t="str">
        <f t="shared" si="14"/>
        <v/>
      </c>
    </row>
    <row r="880" spans="1:13">
      <c r="A880" s="4">
        <v>880</v>
      </c>
      <c r="C880" s="8" t="str">
        <f>IF(B880="","",VLOOKUP(B880,小圆机汇总表!A:AP,2,FALSE))</f>
        <v/>
      </c>
      <c r="D880" s="8" t="str">
        <f>IF(B880="","",VLOOKUP(B880,小圆机汇总表!A:AP,7,FALSE))</f>
        <v/>
      </c>
      <c r="E880" s="8" t="str">
        <f>IF(B880="","",VLOOKUP(B880,小圆机汇总表!A:AP,5,FALSE))</f>
        <v/>
      </c>
      <c r="F880" s="8" t="str">
        <f>IF(B880="","",VLOOKUP(B880,小圆机汇总表!A:AP,8,FALSE))</f>
        <v/>
      </c>
      <c r="M880" s="250" t="str">
        <f t="shared" si="14"/>
        <v/>
      </c>
    </row>
    <row r="881" spans="1:13">
      <c r="A881" s="4">
        <v>881</v>
      </c>
      <c r="C881" s="8" t="str">
        <f>IF(B881="","",VLOOKUP(B881,小圆机汇总表!A:AP,2,FALSE))</f>
        <v/>
      </c>
      <c r="D881" s="8" t="str">
        <f>IF(B881="","",VLOOKUP(B881,小圆机汇总表!A:AP,7,FALSE))</f>
        <v/>
      </c>
      <c r="E881" s="8" t="str">
        <f>IF(B881="","",VLOOKUP(B881,小圆机汇总表!A:AP,5,FALSE))</f>
        <v/>
      </c>
      <c r="F881" s="8" t="str">
        <f>IF(B881="","",VLOOKUP(B881,小圆机汇总表!A:AP,8,FALSE))</f>
        <v/>
      </c>
      <c r="M881" s="250" t="str">
        <f t="shared" si="14"/>
        <v/>
      </c>
    </row>
    <row r="882" spans="1:13">
      <c r="A882" s="4">
        <v>882</v>
      </c>
      <c r="C882" s="8" t="str">
        <f>IF(B882="","",VLOOKUP(B882,小圆机汇总表!A:AP,2,FALSE))</f>
        <v/>
      </c>
      <c r="D882" s="8" t="str">
        <f>IF(B882="","",VLOOKUP(B882,小圆机汇总表!A:AP,7,FALSE))</f>
        <v/>
      </c>
      <c r="E882" s="8" t="str">
        <f>IF(B882="","",VLOOKUP(B882,小圆机汇总表!A:AP,5,FALSE))</f>
        <v/>
      </c>
      <c r="F882" s="8" t="str">
        <f>IF(B882="","",VLOOKUP(B882,小圆机汇总表!A:AP,8,FALSE))</f>
        <v/>
      </c>
      <c r="M882" s="250" t="str">
        <f t="shared" si="14"/>
        <v/>
      </c>
    </row>
    <row r="883" spans="1:13">
      <c r="A883" s="4">
        <v>883</v>
      </c>
      <c r="C883" s="8" t="str">
        <f>IF(B883="","",VLOOKUP(B883,小圆机汇总表!A:AP,2,FALSE))</f>
        <v/>
      </c>
      <c r="D883" s="8" t="str">
        <f>IF(B883="","",VLOOKUP(B883,小圆机汇总表!A:AP,7,FALSE))</f>
        <v/>
      </c>
      <c r="E883" s="8" t="str">
        <f>IF(B883="","",VLOOKUP(B883,小圆机汇总表!A:AP,5,FALSE))</f>
        <v/>
      </c>
      <c r="F883" s="8" t="str">
        <f>IF(B883="","",VLOOKUP(B883,小圆机汇总表!A:AP,8,FALSE))</f>
        <v/>
      </c>
      <c r="M883" s="250" t="str">
        <f t="shared" si="14"/>
        <v/>
      </c>
    </row>
    <row r="884" spans="1:13">
      <c r="A884" s="4">
        <v>884</v>
      </c>
      <c r="C884" s="8" t="str">
        <f>IF(B884="","",VLOOKUP(B884,小圆机汇总表!A:AP,2,FALSE))</f>
        <v/>
      </c>
      <c r="D884" s="8" t="str">
        <f>IF(B884="","",VLOOKUP(B884,小圆机汇总表!A:AP,7,FALSE))</f>
        <v/>
      </c>
      <c r="E884" s="8" t="str">
        <f>IF(B884="","",VLOOKUP(B884,小圆机汇总表!A:AP,5,FALSE))</f>
        <v/>
      </c>
      <c r="F884" s="8" t="str">
        <f>IF(B884="","",VLOOKUP(B884,小圆机汇总表!A:AP,8,FALSE))</f>
        <v/>
      </c>
      <c r="M884" s="250" t="str">
        <f t="shared" si="14"/>
        <v/>
      </c>
    </row>
    <row r="885" spans="1:13">
      <c r="A885" s="4">
        <v>885</v>
      </c>
      <c r="C885" s="8" t="str">
        <f>IF(B885="","",VLOOKUP(B885,小圆机汇总表!A:AP,2,FALSE))</f>
        <v/>
      </c>
      <c r="D885" s="8" t="str">
        <f>IF(B885="","",VLOOKUP(B885,小圆机汇总表!A:AP,7,FALSE))</f>
        <v/>
      </c>
      <c r="E885" s="8" t="str">
        <f>IF(B885="","",VLOOKUP(B885,小圆机汇总表!A:AP,5,FALSE))</f>
        <v/>
      </c>
      <c r="F885" s="8" t="str">
        <f>IF(B885="","",VLOOKUP(B885,小圆机汇总表!A:AP,8,FALSE))</f>
        <v/>
      </c>
      <c r="M885" s="250" t="str">
        <f t="shared" si="14"/>
        <v/>
      </c>
    </row>
    <row r="886" spans="1:13">
      <c r="A886" s="4">
        <v>886</v>
      </c>
      <c r="C886" s="8" t="str">
        <f>IF(B886="","",VLOOKUP(B886,小圆机汇总表!A:AP,2,FALSE))</f>
        <v/>
      </c>
      <c r="D886" s="8" t="str">
        <f>IF(B886="","",VLOOKUP(B886,小圆机汇总表!A:AP,7,FALSE))</f>
        <v/>
      </c>
      <c r="E886" s="8" t="str">
        <f>IF(B886="","",VLOOKUP(B886,小圆机汇总表!A:AP,5,FALSE))</f>
        <v/>
      </c>
      <c r="F886" s="8" t="str">
        <f>IF(B886="","",VLOOKUP(B886,小圆机汇总表!A:AP,8,FALSE))</f>
        <v/>
      </c>
      <c r="M886" s="250" t="str">
        <f t="shared" si="14"/>
        <v/>
      </c>
    </row>
    <row r="887" spans="1:13">
      <c r="A887" s="4">
        <v>887</v>
      </c>
      <c r="C887" s="8" t="str">
        <f>IF(B887="","",VLOOKUP(B887,小圆机汇总表!A:AP,2,FALSE))</f>
        <v/>
      </c>
      <c r="D887" s="8" t="str">
        <f>IF(B887="","",VLOOKUP(B887,小圆机汇总表!A:AP,7,FALSE))</f>
        <v/>
      </c>
      <c r="E887" s="8" t="str">
        <f>IF(B887="","",VLOOKUP(B887,小圆机汇总表!A:AP,5,FALSE))</f>
        <v/>
      </c>
      <c r="F887" s="8" t="str">
        <f>IF(B887="","",VLOOKUP(B887,小圆机汇总表!A:AP,8,FALSE))</f>
        <v/>
      </c>
      <c r="M887" s="250" t="str">
        <f t="shared" si="14"/>
        <v/>
      </c>
    </row>
    <row r="888" spans="1:13">
      <c r="A888" s="4">
        <v>888</v>
      </c>
      <c r="C888" s="8" t="str">
        <f>IF(B888="","",VLOOKUP(B888,小圆机汇总表!A:AP,2,FALSE))</f>
        <v/>
      </c>
      <c r="D888" s="8" t="str">
        <f>IF(B888="","",VLOOKUP(B888,小圆机汇总表!A:AP,7,FALSE))</f>
        <v/>
      </c>
      <c r="E888" s="8" t="str">
        <f>IF(B888="","",VLOOKUP(B888,小圆机汇总表!A:AP,5,FALSE))</f>
        <v/>
      </c>
      <c r="F888" s="8" t="str">
        <f>IF(B888="","",VLOOKUP(B888,小圆机汇总表!A:AP,8,FALSE))</f>
        <v/>
      </c>
      <c r="M888" s="250" t="str">
        <f t="shared" si="14"/>
        <v/>
      </c>
    </row>
    <row r="889" spans="1:13">
      <c r="A889" s="4">
        <v>889</v>
      </c>
      <c r="C889" s="8" t="str">
        <f>IF(B889="","",VLOOKUP(B889,小圆机汇总表!A:AP,2,FALSE))</f>
        <v/>
      </c>
      <c r="D889" s="8" t="str">
        <f>IF(B889="","",VLOOKUP(B889,小圆机汇总表!A:AP,7,FALSE))</f>
        <v/>
      </c>
      <c r="E889" s="8" t="str">
        <f>IF(B889="","",VLOOKUP(B889,小圆机汇总表!A:AP,5,FALSE))</f>
        <v/>
      </c>
      <c r="F889" s="8" t="str">
        <f>IF(B889="","",VLOOKUP(B889,小圆机汇总表!A:AP,8,FALSE))</f>
        <v/>
      </c>
      <c r="M889" s="250" t="str">
        <f t="shared" si="14"/>
        <v/>
      </c>
    </row>
    <row r="890" spans="1:13">
      <c r="A890" s="4">
        <v>890</v>
      </c>
      <c r="C890" s="8" t="str">
        <f>IF(B890="","",VLOOKUP(B890,小圆机汇总表!A:AP,2,FALSE))</f>
        <v/>
      </c>
      <c r="D890" s="8" t="str">
        <f>IF(B890="","",VLOOKUP(B890,小圆机汇总表!A:AP,7,FALSE))</f>
        <v/>
      </c>
      <c r="E890" s="8" t="str">
        <f>IF(B890="","",VLOOKUP(B890,小圆机汇总表!A:AP,5,FALSE))</f>
        <v/>
      </c>
      <c r="F890" s="8" t="str">
        <f>IF(B890="","",VLOOKUP(B890,小圆机汇总表!A:AP,8,FALSE))</f>
        <v/>
      </c>
      <c r="M890" s="250" t="str">
        <f t="shared" si="14"/>
        <v/>
      </c>
    </row>
    <row r="891" spans="1:13">
      <c r="A891" s="4">
        <v>891</v>
      </c>
      <c r="C891" s="8" t="str">
        <f>IF(B891="","",VLOOKUP(B891,小圆机汇总表!A:AP,2,FALSE))</f>
        <v/>
      </c>
      <c r="D891" s="8" t="str">
        <f>IF(B891="","",VLOOKUP(B891,小圆机汇总表!A:AP,7,FALSE))</f>
        <v/>
      </c>
      <c r="E891" s="8" t="str">
        <f>IF(B891="","",VLOOKUP(B891,小圆机汇总表!A:AP,5,FALSE))</f>
        <v/>
      </c>
      <c r="F891" s="8" t="str">
        <f>IF(B891="","",VLOOKUP(B891,小圆机汇总表!A:AP,8,FALSE))</f>
        <v/>
      </c>
      <c r="M891" s="250" t="str">
        <f t="shared" si="14"/>
        <v/>
      </c>
    </row>
    <row r="892" spans="1:13">
      <c r="A892" s="4">
        <v>892</v>
      </c>
      <c r="C892" s="8" t="str">
        <f>IF(B892="","",VLOOKUP(B892,小圆机汇总表!A:AP,2,FALSE))</f>
        <v/>
      </c>
      <c r="D892" s="8" t="str">
        <f>IF(B892="","",VLOOKUP(B892,小圆机汇总表!A:AP,7,FALSE))</f>
        <v/>
      </c>
      <c r="E892" s="8" t="str">
        <f>IF(B892="","",VLOOKUP(B892,小圆机汇总表!A:AP,5,FALSE))</f>
        <v/>
      </c>
      <c r="F892" s="8" t="str">
        <f>IF(B892="","",VLOOKUP(B892,小圆机汇总表!A:AP,8,FALSE))</f>
        <v/>
      </c>
      <c r="M892" s="250" t="str">
        <f t="shared" si="14"/>
        <v/>
      </c>
    </row>
    <row r="893" spans="1:13">
      <c r="A893" s="4">
        <v>893</v>
      </c>
      <c r="C893" s="8" t="str">
        <f>IF(B893="","",VLOOKUP(B893,小圆机汇总表!A:AP,2,FALSE))</f>
        <v/>
      </c>
      <c r="D893" s="8" t="str">
        <f>IF(B893="","",VLOOKUP(B893,小圆机汇总表!A:AP,7,FALSE))</f>
        <v/>
      </c>
      <c r="E893" s="8" t="str">
        <f>IF(B893="","",VLOOKUP(B893,小圆机汇总表!A:AP,5,FALSE))</f>
        <v/>
      </c>
      <c r="F893" s="8" t="str">
        <f>IF(B893="","",VLOOKUP(B893,小圆机汇总表!A:AP,8,FALSE))</f>
        <v/>
      </c>
      <c r="M893" s="250" t="str">
        <f t="shared" si="14"/>
        <v/>
      </c>
    </row>
    <row r="894" spans="1:13">
      <c r="A894" s="4">
        <v>894</v>
      </c>
      <c r="C894" s="8" t="str">
        <f>IF(B894="","",VLOOKUP(B894,小圆机汇总表!A:AP,2,FALSE))</f>
        <v/>
      </c>
      <c r="D894" s="8" t="str">
        <f>IF(B894="","",VLOOKUP(B894,小圆机汇总表!A:AP,7,FALSE))</f>
        <v/>
      </c>
      <c r="E894" s="8" t="str">
        <f>IF(B894="","",VLOOKUP(B894,小圆机汇总表!A:AP,5,FALSE))</f>
        <v/>
      </c>
      <c r="F894" s="8" t="str">
        <f>IF(B894="","",VLOOKUP(B894,小圆机汇总表!A:AP,8,FALSE))</f>
        <v/>
      </c>
      <c r="M894" s="250" t="str">
        <f t="shared" si="14"/>
        <v/>
      </c>
    </row>
    <row r="895" spans="1:13">
      <c r="A895" s="4">
        <v>895</v>
      </c>
      <c r="C895" s="8" t="str">
        <f>IF(B895="","",VLOOKUP(B895,小圆机汇总表!A:AP,2,FALSE))</f>
        <v/>
      </c>
      <c r="D895" s="8" t="str">
        <f>IF(B895="","",VLOOKUP(B895,小圆机汇总表!A:AP,7,FALSE))</f>
        <v/>
      </c>
      <c r="E895" s="8" t="str">
        <f>IF(B895="","",VLOOKUP(B895,小圆机汇总表!A:AP,5,FALSE))</f>
        <v/>
      </c>
      <c r="F895" s="8" t="str">
        <f>IF(B895="","",VLOOKUP(B895,小圆机汇总表!A:AP,8,FALSE))</f>
        <v/>
      </c>
      <c r="M895" s="250" t="str">
        <f t="shared" si="14"/>
        <v/>
      </c>
    </row>
    <row r="896" spans="1:13">
      <c r="A896" s="4">
        <v>896</v>
      </c>
      <c r="C896" s="8" t="str">
        <f>IF(B896="","",VLOOKUP(B896,小圆机汇总表!A:AP,2,FALSE))</f>
        <v/>
      </c>
      <c r="D896" s="8" t="str">
        <f>IF(B896="","",VLOOKUP(B896,小圆机汇总表!A:AP,7,FALSE))</f>
        <v/>
      </c>
      <c r="E896" s="8" t="str">
        <f>IF(B896="","",VLOOKUP(B896,小圆机汇总表!A:AP,5,FALSE))</f>
        <v/>
      </c>
      <c r="F896" s="8" t="str">
        <f>IF(B896="","",VLOOKUP(B896,小圆机汇总表!A:AP,8,FALSE))</f>
        <v/>
      </c>
      <c r="M896" s="250" t="str">
        <f t="shared" si="14"/>
        <v/>
      </c>
    </row>
    <row r="897" spans="1:13">
      <c r="A897" s="4">
        <v>897</v>
      </c>
      <c r="C897" s="8" t="str">
        <f>IF(B897="","",VLOOKUP(B897,小圆机汇总表!A:AP,2,FALSE))</f>
        <v/>
      </c>
      <c r="D897" s="8" t="str">
        <f>IF(B897="","",VLOOKUP(B897,小圆机汇总表!A:AP,7,FALSE))</f>
        <v/>
      </c>
      <c r="E897" s="8" t="str">
        <f>IF(B897="","",VLOOKUP(B897,小圆机汇总表!A:AP,5,FALSE))</f>
        <v/>
      </c>
      <c r="F897" s="8" t="str">
        <f>IF(B897="","",VLOOKUP(B897,小圆机汇总表!A:AP,8,FALSE))</f>
        <v/>
      </c>
      <c r="J897" s="8" t="str">
        <f t="shared" ref="J897:J930" si="15">IF(B897="","",MONTH(G897))</f>
        <v/>
      </c>
      <c r="M897" s="250" t="str">
        <f t="shared" si="14"/>
        <v/>
      </c>
    </row>
    <row r="898" spans="1:13">
      <c r="A898" s="4">
        <v>898</v>
      </c>
      <c r="C898" s="8" t="str">
        <f>IF(B898="","",VLOOKUP(B898,小圆机汇总表!A:AP,2,FALSE))</f>
        <v/>
      </c>
      <c r="D898" s="8" t="str">
        <f>IF(B898="","",VLOOKUP(B898,小圆机汇总表!A:AP,7,FALSE))</f>
        <v/>
      </c>
      <c r="E898" s="8" t="str">
        <f>IF(B898="","",VLOOKUP(B898,小圆机汇总表!A:AP,5,FALSE))</f>
        <v/>
      </c>
      <c r="F898" s="8" t="str">
        <f>IF(B898="","",VLOOKUP(B898,小圆机汇总表!A:AP,8,FALSE))</f>
        <v/>
      </c>
      <c r="J898" s="8" t="str">
        <f t="shared" si="15"/>
        <v/>
      </c>
      <c r="M898" s="250" t="str">
        <f t="shared" si="14"/>
        <v/>
      </c>
    </row>
    <row r="899" spans="1:13">
      <c r="A899" s="4">
        <v>899</v>
      </c>
      <c r="C899" s="8" t="str">
        <f>IF(B899="","",VLOOKUP(B899,小圆机汇总表!A:AP,2,FALSE))</f>
        <v/>
      </c>
      <c r="D899" s="8" t="str">
        <f>IF(B899="","",VLOOKUP(B899,小圆机汇总表!A:AP,7,FALSE))</f>
        <v/>
      </c>
      <c r="E899" s="8" t="str">
        <f>IF(B899="","",VLOOKUP(B899,小圆机汇总表!A:AP,5,FALSE))</f>
        <v/>
      </c>
      <c r="F899" s="8" t="str">
        <f>IF(B899="","",VLOOKUP(B899,小圆机汇总表!A:AP,8,FALSE))</f>
        <v/>
      </c>
      <c r="J899" s="8" t="str">
        <f t="shared" si="15"/>
        <v/>
      </c>
      <c r="M899" s="250" t="str">
        <f t="shared" ref="M899:M962" si="16">IF(B899="","",MONTH(G899))</f>
        <v/>
      </c>
    </row>
    <row r="900" spans="1:13">
      <c r="A900" s="4">
        <v>900</v>
      </c>
      <c r="C900" s="8" t="str">
        <f>IF(B900="","",VLOOKUP(B900,小圆机汇总表!A:AP,2,FALSE))</f>
        <v/>
      </c>
      <c r="D900" s="8" t="str">
        <f>IF(B900="","",VLOOKUP(B900,小圆机汇总表!A:AP,7,FALSE))</f>
        <v/>
      </c>
      <c r="E900" s="8" t="str">
        <f>IF(B900="","",VLOOKUP(B900,小圆机汇总表!A:AP,5,FALSE))</f>
        <v/>
      </c>
      <c r="F900" s="8" t="str">
        <f>IF(B900="","",VLOOKUP(B900,小圆机汇总表!A:AP,8,FALSE))</f>
        <v/>
      </c>
      <c r="J900" s="8" t="str">
        <f t="shared" si="15"/>
        <v/>
      </c>
      <c r="M900" s="250" t="str">
        <f t="shared" si="16"/>
        <v/>
      </c>
    </row>
    <row r="901" spans="1:13">
      <c r="A901" s="4">
        <v>901</v>
      </c>
      <c r="C901" s="8" t="str">
        <f>IF(B901="","",VLOOKUP(B901,小圆机汇总表!A:AP,2,FALSE))</f>
        <v/>
      </c>
      <c r="D901" s="8" t="str">
        <f>IF(B901="","",VLOOKUP(B901,小圆机汇总表!A:AP,7,FALSE))</f>
        <v/>
      </c>
      <c r="E901" s="8" t="str">
        <f>IF(B901="","",VLOOKUP(B901,小圆机汇总表!A:AP,5,FALSE))</f>
        <v/>
      </c>
      <c r="F901" s="8" t="str">
        <f>IF(B901="","",VLOOKUP(B901,小圆机汇总表!A:AP,8,FALSE))</f>
        <v/>
      </c>
      <c r="J901" s="8" t="str">
        <f t="shared" si="15"/>
        <v/>
      </c>
      <c r="M901" s="250" t="str">
        <f t="shared" si="16"/>
        <v/>
      </c>
    </row>
    <row r="902" spans="1:13">
      <c r="A902" s="4">
        <v>902</v>
      </c>
      <c r="C902" s="8" t="str">
        <f>IF(B902="","",VLOOKUP(B902,小圆机汇总表!A:AP,2,FALSE))</f>
        <v/>
      </c>
      <c r="D902" s="8" t="str">
        <f>IF(B902="","",VLOOKUP(B902,小圆机汇总表!A:AP,7,FALSE))</f>
        <v/>
      </c>
      <c r="E902" s="8" t="str">
        <f>IF(B902="","",VLOOKUP(B902,小圆机汇总表!A:AP,5,FALSE))</f>
        <v/>
      </c>
      <c r="F902" s="8" t="str">
        <f>IF(B902="","",VLOOKUP(B902,小圆机汇总表!A:AP,8,FALSE))</f>
        <v/>
      </c>
      <c r="J902" s="8" t="str">
        <f t="shared" si="15"/>
        <v/>
      </c>
      <c r="M902" s="250" t="str">
        <f t="shared" si="16"/>
        <v/>
      </c>
    </row>
    <row r="903" spans="1:13">
      <c r="A903" s="4">
        <v>903</v>
      </c>
      <c r="C903" s="8" t="str">
        <f>IF(B903="","",VLOOKUP(B903,小圆机汇总表!A:AP,2,FALSE))</f>
        <v/>
      </c>
      <c r="D903" s="8" t="str">
        <f>IF(B903="","",VLOOKUP(B903,小圆机汇总表!A:AP,7,FALSE))</f>
        <v/>
      </c>
      <c r="E903" s="8" t="str">
        <f>IF(B903="","",VLOOKUP(B903,小圆机汇总表!A:AP,5,FALSE))</f>
        <v/>
      </c>
      <c r="F903" s="8" t="str">
        <f>IF(B903="","",VLOOKUP(B903,小圆机汇总表!A:AP,8,FALSE))</f>
        <v/>
      </c>
      <c r="J903" s="8" t="str">
        <f t="shared" si="15"/>
        <v/>
      </c>
      <c r="M903" s="250" t="str">
        <f t="shared" si="16"/>
        <v/>
      </c>
    </row>
    <row r="904" spans="1:13">
      <c r="A904" s="4">
        <v>904</v>
      </c>
      <c r="C904" s="8" t="str">
        <f>IF(B904="","",VLOOKUP(B904,小圆机汇总表!A:AP,2,FALSE))</f>
        <v/>
      </c>
      <c r="D904" s="8" t="str">
        <f>IF(B904="","",VLOOKUP(B904,小圆机汇总表!A:AP,7,FALSE))</f>
        <v/>
      </c>
      <c r="E904" s="8" t="str">
        <f>IF(B904="","",VLOOKUP(B904,小圆机汇总表!A:AP,5,FALSE))</f>
        <v/>
      </c>
      <c r="F904" s="8" t="str">
        <f>IF(B904="","",VLOOKUP(B904,小圆机汇总表!A:AP,8,FALSE))</f>
        <v/>
      </c>
      <c r="J904" s="8" t="str">
        <f t="shared" si="15"/>
        <v/>
      </c>
      <c r="M904" s="250" t="str">
        <f t="shared" si="16"/>
        <v/>
      </c>
    </row>
    <row r="905" spans="1:13">
      <c r="A905" s="4">
        <v>905</v>
      </c>
      <c r="C905" s="8" t="str">
        <f>IF(B905="","",VLOOKUP(B905,小圆机汇总表!A:AP,2,FALSE))</f>
        <v/>
      </c>
      <c r="D905" s="8" t="str">
        <f>IF(B905="","",VLOOKUP(B905,小圆机汇总表!A:AP,7,FALSE))</f>
        <v/>
      </c>
      <c r="E905" s="8" t="str">
        <f>IF(B905="","",VLOOKUP(B905,小圆机汇总表!A:AP,5,FALSE))</f>
        <v/>
      </c>
      <c r="F905" s="8" t="str">
        <f>IF(B905="","",VLOOKUP(B905,小圆机汇总表!A:AP,8,FALSE))</f>
        <v/>
      </c>
      <c r="J905" s="8" t="str">
        <f t="shared" si="15"/>
        <v/>
      </c>
      <c r="M905" s="250" t="str">
        <f t="shared" si="16"/>
        <v/>
      </c>
    </row>
    <row r="906" spans="1:13">
      <c r="A906" s="4">
        <v>906</v>
      </c>
      <c r="C906" s="8" t="str">
        <f>IF(B906="","",VLOOKUP(B906,小圆机汇总表!A:AP,2,FALSE))</f>
        <v/>
      </c>
      <c r="D906" s="8" t="str">
        <f>IF(B906="","",VLOOKUP(B906,小圆机汇总表!A:AP,7,FALSE))</f>
        <v/>
      </c>
      <c r="E906" s="8" t="str">
        <f>IF(B906="","",VLOOKUP(B906,小圆机汇总表!A:AP,5,FALSE))</f>
        <v/>
      </c>
      <c r="F906" s="8" t="str">
        <f>IF(B906="","",VLOOKUP(B906,小圆机汇总表!A:AP,8,FALSE))</f>
        <v/>
      </c>
      <c r="J906" s="8" t="str">
        <f t="shared" si="15"/>
        <v/>
      </c>
      <c r="M906" s="250" t="str">
        <f t="shared" si="16"/>
        <v/>
      </c>
    </row>
    <row r="907" spans="1:13">
      <c r="A907" s="4">
        <v>907</v>
      </c>
      <c r="C907" s="8" t="str">
        <f>IF(B907="","",VLOOKUP(B907,小圆机汇总表!A:AP,2,FALSE))</f>
        <v/>
      </c>
      <c r="D907" s="8" t="str">
        <f>IF(B907="","",VLOOKUP(B907,小圆机汇总表!A:AP,7,FALSE))</f>
        <v/>
      </c>
      <c r="E907" s="8" t="str">
        <f>IF(B907="","",VLOOKUP(B907,小圆机汇总表!A:AP,5,FALSE))</f>
        <v/>
      </c>
      <c r="F907" s="8" t="str">
        <f>IF(B907="","",VLOOKUP(B907,小圆机汇总表!A:AP,8,FALSE))</f>
        <v/>
      </c>
      <c r="J907" s="8" t="str">
        <f t="shared" si="15"/>
        <v/>
      </c>
      <c r="M907" s="250" t="str">
        <f t="shared" si="16"/>
        <v/>
      </c>
    </row>
    <row r="908" spans="1:13">
      <c r="A908" s="4">
        <v>908</v>
      </c>
      <c r="C908" s="8" t="str">
        <f>IF(B908="","",VLOOKUP(B908,小圆机汇总表!A:AP,2,FALSE))</f>
        <v/>
      </c>
      <c r="D908" s="8" t="str">
        <f>IF(B908="","",VLOOKUP(B908,小圆机汇总表!A:AP,7,FALSE))</f>
        <v/>
      </c>
      <c r="E908" s="8" t="str">
        <f>IF(B908="","",VLOOKUP(B908,小圆机汇总表!A:AP,5,FALSE))</f>
        <v/>
      </c>
      <c r="F908" s="8" t="str">
        <f>IF(B908="","",VLOOKUP(B908,小圆机汇总表!A:AP,8,FALSE))</f>
        <v/>
      </c>
      <c r="J908" s="8" t="str">
        <f t="shared" si="15"/>
        <v/>
      </c>
      <c r="M908" s="250" t="str">
        <f t="shared" si="16"/>
        <v/>
      </c>
    </row>
    <row r="909" spans="1:13">
      <c r="A909" s="4">
        <v>909</v>
      </c>
      <c r="C909" s="8" t="str">
        <f>IF(B909="","",VLOOKUP(B909,小圆机汇总表!A:AP,2,FALSE))</f>
        <v/>
      </c>
      <c r="D909" s="8" t="str">
        <f>IF(B909="","",VLOOKUP(B909,小圆机汇总表!A:AP,7,FALSE))</f>
        <v/>
      </c>
      <c r="E909" s="8" t="str">
        <f>IF(B909="","",VLOOKUP(B909,小圆机汇总表!A:AP,5,FALSE))</f>
        <v/>
      </c>
      <c r="F909" s="8" t="str">
        <f>IF(B909="","",VLOOKUP(B909,小圆机汇总表!A:AP,8,FALSE))</f>
        <v/>
      </c>
      <c r="J909" s="8" t="str">
        <f t="shared" si="15"/>
        <v/>
      </c>
      <c r="M909" s="250" t="str">
        <f t="shared" si="16"/>
        <v/>
      </c>
    </row>
    <row r="910" spans="1:13">
      <c r="A910" s="4">
        <v>910</v>
      </c>
      <c r="C910" s="8" t="str">
        <f>IF(B910="","",VLOOKUP(B910,小圆机汇总表!A:AP,2,FALSE))</f>
        <v/>
      </c>
      <c r="D910" s="8" t="str">
        <f>IF(B910="","",VLOOKUP(B910,小圆机汇总表!A:AP,7,FALSE))</f>
        <v/>
      </c>
      <c r="E910" s="8" t="str">
        <f>IF(B910="","",VLOOKUP(B910,小圆机汇总表!A:AP,5,FALSE))</f>
        <v/>
      </c>
      <c r="F910" s="8" t="str">
        <f>IF(B910="","",VLOOKUP(B910,小圆机汇总表!A:AP,8,FALSE))</f>
        <v/>
      </c>
      <c r="J910" s="8" t="str">
        <f t="shared" si="15"/>
        <v/>
      </c>
      <c r="M910" s="250" t="str">
        <f t="shared" si="16"/>
        <v/>
      </c>
    </row>
    <row r="911" spans="1:13">
      <c r="A911" s="4">
        <v>911</v>
      </c>
      <c r="C911" s="8" t="str">
        <f>IF(B911="","",VLOOKUP(B911,小圆机汇总表!A:AP,2,FALSE))</f>
        <v/>
      </c>
      <c r="D911" s="8" t="str">
        <f>IF(B911="","",VLOOKUP(B911,小圆机汇总表!A:AP,7,FALSE))</f>
        <v/>
      </c>
      <c r="E911" s="8" t="str">
        <f>IF(B911="","",VLOOKUP(B911,小圆机汇总表!A:AP,5,FALSE))</f>
        <v/>
      </c>
      <c r="F911" s="8" t="str">
        <f>IF(B911="","",VLOOKUP(B911,小圆机汇总表!A:AP,8,FALSE))</f>
        <v/>
      </c>
      <c r="J911" s="8" t="str">
        <f t="shared" si="15"/>
        <v/>
      </c>
      <c r="M911" s="250" t="str">
        <f t="shared" si="16"/>
        <v/>
      </c>
    </row>
    <row r="912" spans="1:13">
      <c r="A912" s="4">
        <v>912</v>
      </c>
      <c r="C912" s="8" t="str">
        <f>IF(B912="","",VLOOKUP(B912,小圆机汇总表!A:AP,2,FALSE))</f>
        <v/>
      </c>
      <c r="D912" s="8" t="str">
        <f>IF(B912="","",VLOOKUP(B912,小圆机汇总表!A:AP,7,FALSE))</f>
        <v/>
      </c>
      <c r="E912" s="8" t="str">
        <f>IF(B912="","",VLOOKUP(B912,小圆机汇总表!A:AP,5,FALSE))</f>
        <v/>
      </c>
      <c r="F912" s="8" t="str">
        <f>IF(B912="","",VLOOKUP(B912,小圆机汇总表!A:AP,8,FALSE))</f>
        <v/>
      </c>
      <c r="J912" s="8" t="str">
        <f t="shared" si="15"/>
        <v/>
      </c>
      <c r="M912" s="250" t="str">
        <f t="shared" si="16"/>
        <v/>
      </c>
    </row>
    <row r="913" spans="1:13">
      <c r="A913" s="4">
        <v>913</v>
      </c>
      <c r="C913" s="8" t="str">
        <f>IF(B913="","",VLOOKUP(B913,小圆机汇总表!A:AP,2,FALSE))</f>
        <v/>
      </c>
      <c r="D913" s="8" t="str">
        <f>IF(B913="","",VLOOKUP(B913,小圆机汇总表!A:AP,7,FALSE))</f>
        <v/>
      </c>
      <c r="E913" s="8" t="str">
        <f>IF(B913="","",VLOOKUP(B913,小圆机汇总表!A:AP,5,FALSE))</f>
        <v/>
      </c>
      <c r="F913" s="8" t="str">
        <f>IF(B913="","",VLOOKUP(B913,小圆机汇总表!A:AP,8,FALSE))</f>
        <v/>
      </c>
      <c r="J913" s="8" t="str">
        <f t="shared" si="15"/>
        <v/>
      </c>
      <c r="M913" s="250" t="str">
        <f t="shared" si="16"/>
        <v/>
      </c>
    </row>
    <row r="914" spans="1:13">
      <c r="A914" s="4">
        <v>914</v>
      </c>
      <c r="C914" s="8" t="str">
        <f>IF(B914="","",VLOOKUP(B914,小圆机汇总表!A:AP,2,FALSE))</f>
        <v/>
      </c>
      <c r="D914" s="8" t="str">
        <f>IF(B914="","",VLOOKUP(B914,小圆机汇总表!A:AP,7,FALSE))</f>
        <v/>
      </c>
      <c r="E914" s="8" t="str">
        <f>IF(B914="","",VLOOKUP(B914,小圆机汇总表!A:AP,5,FALSE))</f>
        <v/>
      </c>
      <c r="F914" s="8" t="str">
        <f>IF(B914="","",VLOOKUP(B914,小圆机汇总表!A:AP,8,FALSE))</f>
        <v/>
      </c>
      <c r="J914" s="8" t="str">
        <f t="shared" si="15"/>
        <v/>
      </c>
      <c r="M914" s="250" t="str">
        <f t="shared" si="16"/>
        <v/>
      </c>
    </row>
    <row r="915" spans="1:13">
      <c r="A915" s="4">
        <v>915</v>
      </c>
      <c r="C915" s="8" t="str">
        <f>IF(B915="","",VLOOKUP(B915,小圆机汇总表!A:AP,2,FALSE))</f>
        <v/>
      </c>
      <c r="D915" s="8" t="str">
        <f>IF(B915="","",VLOOKUP(B915,小圆机汇总表!A:AP,7,FALSE))</f>
        <v/>
      </c>
      <c r="E915" s="8" t="str">
        <f>IF(B915="","",VLOOKUP(B915,小圆机汇总表!A:AP,5,FALSE))</f>
        <v/>
      </c>
      <c r="F915" s="8" t="str">
        <f>IF(B915="","",VLOOKUP(B915,小圆机汇总表!A:AP,8,FALSE))</f>
        <v/>
      </c>
      <c r="J915" s="8" t="str">
        <f t="shared" si="15"/>
        <v/>
      </c>
      <c r="M915" s="250" t="str">
        <f t="shared" si="16"/>
        <v/>
      </c>
    </row>
    <row r="916" spans="1:13">
      <c r="A916" s="4">
        <v>916</v>
      </c>
      <c r="C916" s="8" t="str">
        <f>IF(B916="","",VLOOKUP(B916,小圆机汇总表!A:AP,2,FALSE))</f>
        <v/>
      </c>
      <c r="D916" s="8" t="str">
        <f>IF(B916="","",VLOOKUP(B916,小圆机汇总表!A:AP,7,FALSE))</f>
        <v/>
      </c>
      <c r="E916" s="8" t="str">
        <f>IF(B916="","",VLOOKUP(B916,小圆机汇总表!A:AP,5,FALSE))</f>
        <v/>
      </c>
      <c r="F916" s="8" t="str">
        <f>IF(B916="","",VLOOKUP(B916,小圆机汇总表!A:AP,8,FALSE))</f>
        <v/>
      </c>
      <c r="J916" s="8" t="str">
        <f t="shared" si="15"/>
        <v/>
      </c>
      <c r="M916" s="250" t="str">
        <f t="shared" si="16"/>
        <v/>
      </c>
    </row>
    <row r="917" spans="1:13">
      <c r="A917" s="4">
        <v>917</v>
      </c>
      <c r="C917" s="8" t="str">
        <f>IF(B917="","",VLOOKUP(B917,小圆机汇总表!A:AP,2,FALSE))</f>
        <v/>
      </c>
      <c r="D917" s="8" t="str">
        <f>IF(B917="","",VLOOKUP(B917,小圆机汇总表!A:AP,7,FALSE))</f>
        <v/>
      </c>
      <c r="E917" s="8" t="str">
        <f>IF(B917="","",VLOOKUP(B917,小圆机汇总表!A:AP,5,FALSE))</f>
        <v/>
      </c>
      <c r="F917" s="8" t="str">
        <f>IF(B917="","",VLOOKUP(B917,小圆机汇总表!A:AP,8,FALSE))</f>
        <v/>
      </c>
      <c r="J917" s="8" t="str">
        <f t="shared" si="15"/>
        <v/>
      </c>
      <c r="M917" s="250" t="str">
        <f t="shared" si="16"/>
        <v/>
      </c>
    </row>
    <row r="918" spans="1:13">
      <c r="A918" s="4">
        <v>918</v>
      </c>
      <c r="C918" s="8" t="str">
        <f>IF(B918="","",VLOOKUP(B918,小圆机汇总表!A:AP,2,FALSE))</f>
        <v/>
      </c>
      <c r="D918" s="8" t="str">
        <f>IF(B918="","",VLOOKUP(B918,小圆机汇总表!A:AP,7,FALSE))</f>
        <v/>
      </c>
      <c r="E918" s="8" t="str">
        <f>IF(B918="","",VLOOKUP(B918,小圆机汇总表!A:AP,5,FALSE))</f>
        <v/>
      </c>
      <c r="F918" s="8" t="str">
        <f>IF(B918="","",VLOOKUP(B918,小圆机汇总表!A:AP,8,FALSE))</f>
        <v/>
      </c>
      <c r="J918" s="8" t="str">
        <f t="shared" si="15"/>
        <v/>
      </c>
      <c r="M918" s="250" t="str">
        <f t="shared" si="16"/>
        <v/>
      </c>
    </row>
    <row r="919" spans="1:13">
      <c r="A919" s="4">
        <v>919</v>
      </c>
      <c r="C919" s="8" t="str">
        <f>IF(B919="","",VLOOKUP(B919,小圆机汇总表!A:AP,2,FALSE))</f>
        <v/>
      </c>
      <c r="D919" s="8" t="str">
        <f>IF(B919="","",VLOOKUP(B919,小圆机汇总表!A:AP,7,FALSE))</f>
        <v/>
      </c>
      <c r="E919" s="8" t="str">
        <f>IF(B919="","",VLOOKUP(B919,小圆机汇总表!A:AP,5,FALSE))</f>
        <v/>
      </c>
      <c r="F919" s="8" t="str">
        <f>IF(B919="","",VLOOKUP(B919,小圆机汇总表!A:AP,8,FALSE))</f>
        <v/>
      </c>
      <c r="J919" s="8" t="str">
        <f t="shared" si="15"/>
        <v/>
      </c>
      <c r="M919" s="250" t="str">
        <f t="shared" si="16"/>
        <v/>
      </c>
    </row>
    <row r="920" spans="1:13">
      <c r="A920" s="4">
        <v>920</v>
      </c>
      <c r="C920" s="8" t="str">
        <f>IF(B920="","",VLOOKUP(B920,小圆机汇总表!A:AP,2,FALSE))</f>
        <v/>
      </c>
      <c r="D920" s="8" t="str">
        <f>IF(B920="","",VLOOKUP(B920,小圆机汇总表!A:AP,7,FALSE))</f>
        <v/>
      </c>
      <c r="E920" s="8" t="str">
        <f>IF(B920="","",VLOOKUP(B920,小圆机汇总表!A:AP,5,FALSE))</f>
        <v/>
      </c>
      <c r="F920" s="8" t="str">
        <f>IF(B920="","",VLOOKUP(B920,小圆机汇总表!A:AP,8,FALSE))</f>
        <v/>
      </c>
      <c r="J920" s="8" t="str">
        <f t="shared" si="15"/>
        <v/>
      </c>
      <c r="M920" s="250" t="str">
        <f t="shared" si="16"/>
        <v/>
      </c>
    </row>
    <row r="921" spans="1:13">
      <c r="A921" s="4">
        <v>921</v>
      </c>
      <c r="C921" s="8" t="str">
        <f>IF(B921="","",VLOOKUP(B921,小圆机汇总表!A:AP,2,FALSE))</f>
        <v/>
      </c>
      <c r="D921" s="8" t="str">
        <f>IF(B921="","",VLOOKUP(B921,小圆机汇总表!A:AP,7,FALSE))</f>
        <v/>
      </c>
      <c r="E921" s="8" t="str">
        <f>IF(B921="","",VLOOKUP(B921,小圆机汇总表!A:AP,5,FALSE))</f>
        <v/>
      </c>
      <c r="F921" s="8" t="str">
        <f>IF(B921="","",VLOOKUP(B921,小圆机汇总表!A:AP,8,FALSE))</f>
        <v/>
      </c>
      <c r="J921" s="8" t="str">
        <f t="shared" si="15"/>
        <v/>
      </c>
      <c r="M921" s="250" t="str">
        <f t="shared" si="16"/>
        <v/>
      </c>
    </row>
    <row r="922" spans="1:13">
      <c r="A922" s="4">
        <v>922</v>
      </c>
      <c r="C922" s="8" t="str">
        <f>IF(B922="","",VLOOKUP(B922,小圆机汇总表!A:AP,2,FALSE))</f>
        <v/>
      </c>
      <c r="D922" s="8" t="str">
        <f>IF(B922="","",VLOOKUP(B922,小圆机汇总表!A:AP,7,FALSE))</f>
        <v/>
      </c>
      <c r="E922" s="8" t="str">
        <f>IF(B922="","",VLOOKUP(B922,小圆机汇总表!A:AP,5,FALSE))</f>
        <v/>
      </c>
      <c r="F922" s="8" t="str">
        <f>IF(B922="","",VLOOKUP(B922,小圆机汇总表!A:AP,8,FALSE))</f>
        <v/>
      </c>
      <c r="J922" s="8" t="str">
        <f t="shared" si="15"/>
        <v/>
      </c>
      <c r="M922" s="250" t="str">
        <f t="shared" si="16"/>
        <v/>
      </c>
    </row>
    <row r="923" spans="1:13">
      <c r="A923" s="4">
        <v>923</v>
      </c>
      <c r="C923" s="8" t="str">
        <f>IF(B923="","",VLOOKUP(B923,小圆机汇总表!A:AP,2,FALSE))</f>
        <v/>
      </c>
      <c r="D923" s="8" t="str">
        <f>IF(B923="","",VLOOKUP(B923,小圆机汇总表!A:AP,7,FALSE))</f>
        <v/>
      </c>
      <c r="E923" s="8" t="str">
        <f>IF(B923="","",VLOOKUP(B923,小圆机汇总表!A:AP,5,FALSE))</f>
        <v/>
      </c>
      <c r="F923" s="8" t="str">
        <f>IF(B923="","",VLOOKUP(B923,小圆机汇总表!A:AP,8,FALSE))</f>
        <v/>
      </c>
      <c r="J923" s="8" t="str">
        <f t="shared" si="15"/>
        <v/>
      </c>
      <c r="M923" s="250" t="str">
        <f t="shared" si="16"/>
        <v/>
      </c>
    </row>
    <row r="924" spans="1:13">
      <c r="A924" s="4">
        <v>924</v>
      </c>
      <c r="C924" s="8" t="str">
        <f>IF(B924="","",VLOOKUP(B924,小圆机汇总表!A:AP,2,FALSE))</f>
        <v/>
      </c>
      <c r="D924" s="8" t="str">
        <f>IF(B924="","",VLOOKUP(B924,小圆机汇总表!A:AP,7,FALSE))</f>
        <v/>
      </c>
      <c r="E924" s="8" t="str">
        <f>IF(B924="","",VLOOKUP(B924,小圆机汇总表!A:AP,5,FALSE))</f>
        <v/>
      </c>
      <c r="F924" s="8" t="str">
        <f>IF(B924="","",VLOOKUP(B924,小圆机汇总表!A:AP,8,FALSE))</f>
        <v/>
      </c>
      <c r="J924" s="8" t="str">
        <f t="shared" si="15"/>
        <v/>
      </c>
      <c r="M924" s="250" t="str">
        <f t="shared" si="16"/>
        <v/>
      </c>
    </row>
    <row r="925" spans="1:13">
      <c r="A925" s="4">
        <v>925</v>
      </c>
      <c r="C925" s="8" t="str">
        <f>IF(B925="","",VLOOKUP(B925,小圆机汇总表!A:AP,2,FALSE))</f>
        <v/>
      </c>
      <c r="D925" s="8" t="str">
        <f>IF(B925="","",VLOOKUP(B925,小圆机汇总表!A:AP,7,FALSE))</f>
        <v/>
      </c>
      <c r="E925" s="8" t="str">
        <f>IF(B925="","",VLOOKUP(B925,小圆机汇总表!A:AP,5,FALSE))</f>
        <v/>
      </c>
      <c r="F925" s="8" t="str">
        <f>IF(B925="","",VLOOKUP(B925,小圆机汇总表!A:AP,8,FALSE))</f>
        <v/>
      </c>
      <c r="J925" s="8" t="str">
        <f t="shared" si="15"/>
        <v/>
      </c>
      <c r="M925" s="250" t="str">
        <f t="shared" si="16"/>
        <v/>
      </c>
    </row>
    <row r="926" spans="1:13">
      <c r="A926" s="4">
        <v>926</v>
      </c>
      <c r="C926" s="8" t="str">
        <f>IF(B926="","",VLOOKUP(B926,小圆机汇总表!A:AP,2,FALSE))</f>
        <v/>
      </c>
      <c r="D926" s="8" t="str">
        <f>IF(B926="","",VLOOKUP(B926,小圆机汇总表!A:AP,7,FALSE))</f>
        <v/>
      </c>
      <c r="E926" s="8" t="str">
        <f>IF(B926="","",VLOOKUP(B926,小圆机汇总表!A:AP,5,FALSE))</f>
        <v/>
      </c>
      <c r="F926" s="8" t="str">
        <f>IF(B926="","",VLOOKUP(B926,小圆机汇总表!A:AP,8,FALSE))</f>
        <v/>
      </c>
      <c r="J926" s="8" t="str">
        <f t="shared" si="15"/>
        <v/>
      </c>
      <c r="M926" s="250" t="str">
        <f t="shared" si="16"/>
        <v/>
      </c>
    </row>
    <row r="927" spans="1:13">
      <c r="A927" s="4">
        <v>927</v>
      </c>
      <c r="C927" s="8" t="str">
        <f>IF(B927="","",VLOOKUP(B927,小圆机汇总表!A:AP,2,FALSE))</f>
        <v/>
      </c>
      <c r="D927" s="8" t="str">
        <f>IF(B927="","",VLOOKUP(B927,小圆机汇总表!A:AP,7,FALSE))</f>
        <v/>
      </c>
      <c r="E927" s="8" t="str">
        <f>IF(B927="","",VLOOKUP(B927,小圆机汇总表!A:AP,5,FALSE))</f>
        <v/>
      </c>
      <c r="F927" s="8" t="str">
        <f>IF(B927="","",VLOOKUP(B927,小圆机汇总表!A:AP,8,FALSE))</f>
        <v/>
      </c>
      <c r="J927" s="8" t="str">
        <f t="shared" si="15"/>
        <v/>
      </c>
      <c r="M927" s="250" t="str">
        <f t="shared" si="16"/>
        <v/>
      </c>
    </row>
    <row r="928" spans="1:13">
      <c r="A928" s="4">
        <v>928</v>
      </c>
      <c r="C928" s="8" t="str">
        <f>IF(B928="","",VLOOKUP(B928,小圆机汇总表!A:AP,2,FALSE))</f>
        <v/>
      </c>
      <c r="D928" s="8" t="str">
        <f>IF(B928="","",VLOOKUP(B928,小圆机汇总表!A:AP,7,FALSE))</f>
        <v/>
      </c>
      <c r="E928" s="8" t="str">
        <f>IF(B928="","",VLOOKUP(B928,小圆机汇总表!A:AP,5,FALSE))</f>
        <v/>
      </c>
      <c r="F928" s="8" t="str">
        <f>IF(B928="","",VLOOKUP(B928,小圆机汇总表!A:AP,8,FALSE))</f>
        <v/>
      </c>
      <c r="J928" s="8" t="str">
        <f t="shared" si="15"/>
        <v/>
      </c>
      <c r="M928" s="250" t="str">
        <f t="shared" si="16"/>
        <v/>
      </c>
    </row>
    <row r="929" spans="1:13">
      <c r="A929" s="4">
        <v>929</v>
      </c>
      <c r="C929" s="8" t="str">
        <f>IF(B929="","",VLOOKUP(B929,小圆机汇总表!A:AP,2,FALSE))</f>
        <v/>
      </c>
      <c r="D929" s="8" t="str">
        <f>IF(B929="","",VLOOKUP(B929,小圆机汇总表!A:AP,7,FALSE))</f>
        <v/>
      </c>
      <c r="E929" s="8" t="str">
        <f>IF(B929="","",VLOOKUP(B929,小圆机汇总表!A:AP,5,FALSE))</f>
        <v/>
      </c>
      <c r="F929" s="8" t="str">
        <f>IF(B929="","",VLOOKUP(B929,小圆机汇总表!A:AP,8,FALSE))</f>
        <v/>
      </c>
      <c r="J929" s="8" t="str">
        <f t="shared" si="15"/>
        <v/>
      </c>
      <c r="M929" s="250" t="str">
        <f t="shared" si="16"/>
        <v/>
      </c>
    </row>
    <row r="930" spans="1:13">
      <c r="A930" s="4">
        <v>930</v>
      </c>
      <c r="C930" s="8" t="str">
        <f>IF(B930="","",VLOOKUP(B930,小圆机汇总表!A:AP,2,FALSE))</f>
        <v/>
      </c>
      <c r="D930" s="8" t="str">
        <f>IF(B930="","",VLOOKUP(B930,小圆机汇总表!A:AP,7,FALSE))</f>
        <v/>
      </c>
      <c r="E930" s="8" t="str">
        <f>IF(B930="","",VLOOKUP(B930,小圆机汇总表!A:AP,5,FALSE))</f>
        <v/>
      </c>
      <c r="F930" s="8" t="str">
        <f>IF(B930="","",VLOOKUP(B930,小圆机汇总表!A:AP,8,FALSE))</f>
        <v/>
      </c>
      <c r="J930" s="8" t="str">
        <f t="shared" si="15"/>
        <v/>
      </c>
      <c r="M930" s="250" t="str">
        <f t="shared" si="16"/>
        <v/>
      </c>
    </row>
    <row r="931" spans="1:13">
      <c r="A931" s="4">
        <v>931</v>
      </c>
      <c r="C931" s="8" t="str">
        <f>IF(B931="","",VLOOKUP(B931,小圆机汇总表!A:AP,2,FALSE))</f>
        <v/>
      </c>
      <c r="D931" s="8" t="str">
        <f>IF(B931="","",VLOOKUP(B931,小圆机汇总表!A:AP,7,FALSE))</f>
        <v/>
      </c>
      <c r="E931" s="8" t="str">
        <f>IF(B931="","",VLOOKUP(B931,小圆机汇总表!A:AP,5,FALSE))</f>
        <v/>
      </c>
      <c r="F931" s="8" t="str">
        <f>IF(B931="","",VLOOKUP(B931,小圆机汇总表!A:AP,8,FALSE))</f>
        <v/>
      </c>
      <c r="J931" s="8" t="str">
        <f t="shared" ref="J931:J994" si="17">IF(B931="","",MONTH(G931))</f>
        <v/>
      </c>
      <c r="M931" s="250" t="str">
        <f t="shared" si="16"/>
        <v/>
      </c>
    </row>
    <row r="932" spans="1:13">
      <c r="A932" s="4">
        <v>932</v>
      </c>
      <c r="C932" s="8" t="str">
        <f>IF(B932="","",VLOOKUP(B932,小圆机汇总表!A:AP,2,FALSE))</f>
        <v/>
      </c>
      <c r="D932" s="8" t="str">
        <f>IF(B932="","",VLOOKUP(B932,小圆机汇总表!A:AP,7,FALSE))</f>
        <v/>
      </c>
      <c r="E932" s="8" t="str">
        <f>IF(B932="","",VLOOKUP(B932,小圆机汇总表!A:AP,5,FALSE))</f>
        <v/>
      </c>
      <c r="F932" s="8" t="str">
        <f>IF(B932="","",VLOOKUP(B932,小圆机汇总表!A:AP,8,FALSE))</f>
        <v/>
      </c>
      <c r="J932" s="8" t="str">
        <f t="shared" si="17"/>
        <v/>
      </c>
      <c r="M932" s="250" t="str">
        <f t="shared" si="16"/>
        <v/>
      </c>
    </row>
    <row r="933" spans="1:13">
      <c r="A933" s="4">
        <v>933</v>
      </c>
      <c r="C933" s="8" t="str">
        <f>IF(B933="","",VLOOKUP(B933,小圆机汇总表!A:AP,2,FALSE))</f>
        <v/>
      </c>
      <c r="D933" s="8" t="str">
        <f>IF(B933="","",VLOOKUP(B933,小圆机汇总表!A:AP,7,FALSE))</f>
        <v/>
      </c>
      <c r="E933" s="8" t="str">
        <f>IF(B933="","",VLOOKUP(B933,小圆机汇总表!A:AP,5,FALSE))</f>
        <v/>
      </c>
      <c r="F933" s="8" t="str">
        <f>IF(B933="","",VLOOKUP(B933,小圆机汇总表!A:AP,8,FALSE))</f>
        <v/>
      </c>
      <c r="J933" s="8" t="str">
        <f t="shared" si="17"/>
        <v/>
      </c>
      <c r="M933" s="250" t="str">
        <f t="shared" si="16"/>
        <v/>
      </c>
    </row>
    <row r="934" spans="1:13">
      <c r="A934" s="4">
        <v>934</v>
      </c>
      <c r="C934" s="8" t="str">
        <f>IF(B934="","",VLOOKUP(B934,小圆机汇总表!A:AP,2,FALSE))</f>
        <v/>
      </c>
      <c r="D934" s="8" t="str">
        <f>IF(B934="","",VLOOKUP(B934,小圆机汇总表!A:AP,7,FALSE))</f>
        <v/>
      </c>
      <c r="E934" s="8" t="str">
        <f>IF(B934="","",VLOOKUP(B934,小圆机汇总表!A:AP,5,FALSE))</f>
        <v/>
      </c>
      <c r="F934" s="8" t="str">
        <f>IF(B934="","",VLOOKUP(B934,小圆机汇总表!A:AP,8,FALSE))</f>
        <v/>
      </c>
      <c r="J934" s="8" t="str">
        <f t="shared" si="17"/>
        <v/>
      </c>
      <c r="M934" s="250" t="str">
        <f t="shared" si="16"/>
        <v/>
      </c>
    </row>
    <row r="935" spans="1:13">
      <c r="A935" s="4">
        <v>935</v>
      </c>
      <c r="C935" s="8" t="str">
        <f>IF(B935="","",VLOOKUP(B935,小圆机汇总表!A:AP,2,FALSE))</f>
        <v/>
      </c>
      <c r="D935" s="8" t="str">
        <f>IF(B935="","",VLOOKUP(B935,小圆机汇总表!A:AP,7,FALSE))</f>
        <v/>
      </c>
      <c r="E935" s="8" t="str">
        <f>IF(B935="","",VLOOKUP(B935,小圆机汇总表!A:AP,5,FALSE))</f>
        <v/>
      </c>
      <c r="F935" s="8" t="str">
        <f>IF(B935="","",VLOOKUP(B935,小圆机汇总表!A:AP,8,FALSE))</f>
        <v/>
      </c>
      <c r="J935" s="8" t="str">
        <f t="shared" si="17"/>
        <v/>
      </c>
      <c r="M935" s="250" t="str">
        <f t="shared" si="16"/>
        <v/>
      </c>
    </row>
    <row r="936" spans="1:13">
      <c r="A936" s="4">
        <v>936</v>
      </c>
      <c r="C936" s="8" t="str">
        <f>IF(B936="","",VLOOKUP(B936,小圆机汇总表!A:AP,2,FALSE))</f>
        <v/>
      </c>
      <c r="D936" s="8" t="str">
        <f>IF(B936="","",VLOOKUP(B936,小圆机汇总表!A:AP,7,FALSE))</f>
        <v/>
      </c>
      <c r="E936" s="8" t="str">
        <f>IF(B936="","",VLOOKUP(B936,小圆机汇总表!A:AP,5,FALSE))</f>
        <v/>
      </c>
      <c r="F936" s="8" t="str">
        <f>IF(B936="","",VLOOKUP(B936,小圆机汇总表!A:AP,8,FALSE))</f>
        <v/>
      </c>
      <c r="J936" s="8" t="str">
        <f t="shared" si="17"/>
        <v/>
      </c>
      <c r="M936" s="250" t="str">
        <f t="shared" si="16"/>
        <v/>
      </c>
    </row>
    <row r="937" spans="1:13">
      <c r="A937" s="4">
        <v>937</v>
      </c>
      <c r="C937" s="8" t="str">
        <f>IF(B937="","",VLOOKUP(B937,小圆机汇总表!A:AP,2,FALSE))</f>
        <v/>
      </c>
      <c r="D937" s="8" t="str">
        <f>IF(B937="","",VLOOKUP(B937,小圆机汇总表!A:AP,7,FALSE))</f>
        <v/>
      </c>
      <c r="E937" s="8" t="str">
        <f>IF(B937="","",VLOOKUP(B937,小圆机汇总表!A:AP,5,FALSE))</f>
        <v/>
      </c>
      <c r="F937" s="8" t="str">
        <f>IF(B937="","",VLOOKUP(B937,小圆机汇总表!A:AP,8,FALSE))</f>
        <v/>
      </c>
      <c r="J937" s="8" t="str">
        <f t="shared" si="17"/>
        <v/>
      </c>
      <c r="M937" s="250" t="str">
        <f t="shared" si="16"/>
        <v/>
      </c>
    </row>
    <row r="938" spans="1:13">
      <c r="A938" s="4">
        <v>938</v>
      </c>
      <c r="C938" s="8" t="str">
        <f>IF(B938="","",VLOOKUP(B938,小圆机汇总表!A:AP,2,FALSE))</f>
        <v/>
      </c>
      <c r="D938" s="8" t="str">
        <f>IF(B938="","",VLOOKUP(B938,小圆机汇总表!A:AP,7,FALSE))</f>
        <v/>
      </c>
      <c r="E938" s="8" t="str">
        <f>IF(B938="","",VLOOKUP(B938,小圆机汇总表!A:AP,5,FALSE))</f>
        <v/>
      </c>
      <c r="F938" s="8" t="str">
        <f>IF(B938="","",VLOOKUP(B938,小圆机汇总表!A:AP,8,FALSE))</f>
        <v/>
      </c>
      <c r="J938" s="8" t="str">
        <f t="shared" si="17"/>
        <v/>
      </c>
      <c r="M938" s="250" t="str">
        <f t="shared" si="16"/>
        <v/>
      </c>
    </row>
    <row r="939" spans="1:13">
      <c r="A939" s="4">
        <v>939</v>
      </c>
      <c r="C939" s="8" t="str">
        <f>IF(B939="","",VLOOKUP(B939,小圆机汇总表!A:AP,2,FALSE))</f>
        <v/>
      </c>
      <c r="D939" s="8" t="str">
        <f>IF(B939="","",VLOOKUP(B939,小圆机汇总表!A:AP,7,FALSE))</f>
        <v/>
      </c>
      <c r="E939" s="8" t="str">
        <f>IF(B939="","",VLOOKUP(B939,小圆机汇总表!A:AP,5,FALSE))</f>
        <v/>
      </c>
      <c r="F939" s="8" t="str">
        <f>IF(B939="","",VLOOKUP(B939,小圆机汇总表!A:AP,8,FALSE))</f>
        <v/>
      </c>
      <c r="J939" s="8" t="str">
        <f t="shared" si="17"/>
        <v/>
      </c>
      <c r="M939" s="250" t="str">
        <f t="shared" si="16"/>
        <v/>
      </c>
    </row>
    <row r="940" spans="1:13">
      <c r="A940" s="4">
        <v>940</v>
      </c>
      <c r="C940" s="8" t="str">
        <f>IF(B940="","",VLOOKUP(B940,小圆机汇总表!A:AP,2,FALSE))</f>
        <v/>
      </c>
      <c r="D940" s="8" t="str">
        <f>IF(B940="","",VLOOKUP(B940,小圆机汇总表!A:AP,7,FALSE))</f>
        <v/>
      </c>
      <c r="E940" s="8" t="str">
        <f>IF(B940="","",VLOOKUP(B940,小圆机汇总表!A:AP,5,FALSE))</f>
        <v/>
      </c>
      <c r="F940" s="8" t="str">
        <f>IF(B940="","",VLOOKUP(B940,小圆机汇总表!A:AP,8,FALSE))</f>
        <v/>
      </c>
      <c r="J940" s="8" t="str">
        <f t="shared" si="17"/>
        <v/>
      </c>
      <c r="M940" s="250" t="str">
        <f t="shared" si="16"/>
        <v/>
      </c>
    </row>
    <row r="941" spans="1:13">
      <c r="A941" s="4">
        <v>941</v>
      </c>
      <c r="C941" s="8" t="str">
        <f>IF(B941="","",VLOOKUP(B941,小圆机汇总表!A:AP,2,FALSE))</f>
        <v/>
      </c>
      <c r="D941" s="8" t="str">
        <f>IF(B941="","",VLOOKUP(B941,小圆机汇总表!A:AP,7,FALSE))</f>
        <v/>
      </c>
      <c r="E941" s="8" t="str">
        <f>IF(B941="","",VLOOKUP(B941,小圆机汇总表!A:AP,5,FALSE))</f>
        <v/>
      </c>
      <c r="F941" s="8" t="str">
        <f>IF(B941="","",VLOOKUP(B941,小圆机汇总表!A:AP,8,FALSE))</f>
        <v/>
      </c>
      <c r="J941" s="8" t="str">
        <f t="shared" si="17"/>
        <v/>
      </c>
      <c r="M941" s="250" t="str">
        <f t="shared" si="16"/>
        <v/>
      </c>
    </row>
    <row r="942" spans="1:13">
      <c r="A942" s="4">
        <v>942</v>
      </c>
      <c r="C942" s="8" t="str">
        <f>IF(B942="","",VLOOKUP(B942,小圆机汇总表!A:AP,2,FALSE))</f>
        <v/>
      </c>
      <c r="D942" s="8" t="str">
        <f>IF(B942="","",VLOOKUP(B942,小圆机汇总表!A:AP,7,FALSE))</f>
        <v/>
      </c>
      <c r="E942" s="8" t="str">
        <f>IF(B942="","",VLOOKUP(B942,小圆机汇总表!A:AP,5,FALSE))</f>
        <v/>
      </c>
      <c r="F942" s="8" t="str">
        <f>IF(B942="","",VLOOKUP(B942,小圆机汇总表!A:AP,8,FALSE))</f>
        <v/>
      </c>
      <c r="J942" s="8" t="str">
        <f t="shared" si="17"/>
        <v/>
      </c>
      <c r="M942" s="250" t="str">
        <f t="shared" si="16"/>
        <v/>
      </c>
    </row>
    <row r="943" spans="1:13">
      <c r="A943" s="4">
        <v>943</v>
      </c>
      <c r="C943" s="8" t="str">
        <f>IF(B943="","",VLOOKUP(B943,小圆机汇总表!A:AP,2,FALSE))</f>
        <v/>
      </c>
      <c r="D943" s="8" t="str">
        <f>IF(B943="","",VLOOKUP(B943,小圆机汇总表!A:AP,7,FALSE))</f>
        <v/>
      </c>
      <c r="E943" s="8" t="str">
        <f>IF(B943="","",VLOOKUP(B943,小圆机汇总表!A:AP,5,FALSE))</f>
        <v/>
      </c>
      <c r="F943" s="8" t="str">
        <f>IF(B943="","",VLOOKUP(B943,小圆机汇总表!A:AP,8,FALSE))</f>
        <v/>
      </c>
      <c r="J943" s="8" t="str">
        <f t="shared" si="17"/>
        <v/>
      </c>
      <c r="M943" s="250" t="str">
        <f t="shared" si="16"/>
        <v/>
      </c>
    </row>
    <row r="944" spans="1:13">
      <c r="A944" s="4">
        <v>944</v>
      </c>
      <c r="C944" s="8" t="str">
        <f>IF(B944="","",VLOOKUP(B944,小圆机汇总表!A:AP,2,FALSE))</f>
        <v/>
      </c>
      <c r="D944" s="8" t="str">
        <f>IF(B944="","",VLOOKUP(B944,小圆机汇总表!A:AP,7,FALSE))</f>
        <v/>
      </c>
      <c r="E944" s="8" t="str">
        <f>IF(B944="","",VLOOKUP(B944,小圆机汇总表!A:AP,5,FALSE))</f>
        <v/>
      </c>
      <c r="F944" s="8" t="str">
        <f>IF(B944="","",VLOOKUP(B944,小圆机汇总表!A:AP,8,FALSE))</f>
        <v/>
      </c>
      <c r="J944" s="8" t="str">
        <f t="shared" si="17"/>
        <v/>
      </c>
      <c r="M944" s="250" t="str">
        <f t="shared" si="16"/>
        <v/>
      </c>
    </row>
    <row r="945" spans="1:13">
      <c r="A945" s="4">
        <v>945</v>
      </c>
      <c r="C945" s="8" t="str">
        <f>IF(B945="","",VLOOKUP(B945,小圆机汇总表!A:AP,2,FALSE))</f>
        <v/>
      </c>
      <c r="D945" s="8" t="str">
        <f>IF(B945="","",VLOOKUP(B945,小圆机汇总表!A:AP,7,FALSE))</f>
        <v/>
      </c>
      <c r="E945" s="8" t="str">
        <f>IF(B945="","",VLOOKUP(B945,小圆机汇总表!A:AP,5,FALSE))</f>
        <v/>
      </c>
      <c r="F945" s="8" t="str">
        <f>IF(B945="","",VLOOKUP(B945,小圆机汇总表!A:AP,8,FALSE))</f>
        <v/>
      </c>
      <c r="J945" s="8" t="str">
        <f t="shared" si="17"/>
        <v/>
      </c>
      <c r="M945" s="250" t="str">
        <f t="shared" si="16"/>
        <v/>
      </c>
    </row>
    <row r="946" spans="1:13">
      <c r="A946" s="4">
        <v>946</v>
      </c>
      <c r="C946" s="8" t="str">
        <f>IF(B946="","",VLOOKUP(B946,小圆机汇总表!A:AP,2,FALSE))</f>
        <v/>
      </c>
      <c r="D946" s="8" t="str">
        <f>IF(B946="","",VLOOKUP(B946,小圆机汇总表!A:AP,7,FALSE))</f>
        <v/>
      </c>
      <c r="E946" s="8" t="str">
        <f>IF(B946="","",VLOOKUP(B946,小圆机汇总表!A:AP,5,FALSE))</f>
        <v/>
      </c>
      <c r="F946" s="8" t="str">
        <f>IF(B946="","",VLOOKUP(B946,小圆机汇总表!A:AP,8,FALSE))</f>
        <v/>
      </c>
      <c r="J946" s="8" t="str">
        <f t="shared" si="17"/>
        <v/>
      </c>
      <c r="M946" s="250" t="str">
        <f t="shared" si="16"/>
        <v/>
      </c>
    </row>
    <row r="947" spans="1:13">
      <c r="A947" s="4">
        <v>947</v>
      </c>
      <c r="C947" s="8" t="str">
        <f>IF(B947="","",VLOOKUP(B947,小圆机汇总表!A:AP,2,FALSE))</f>
        <v/>
      </c>
      <c r="D947" s="8" t="str">
        <f>IF(B947="","",VLOOKUP(B947,小圆机汇总表!A:AP,7,FALSE))</f>
        <v/>
      </c>
      <c r="E947" s="8" t="str">
        <f>IF(B947="","",VLOOKUP(B947,小圆机汇总表!A:AP,5,FALSE))</f>
        <v/>
      </c>
      <c r="F947" s="8" t="str">
        <f>IF(B947="","",VLOOKUP(B947,小圆机汇总表!A:AP,8,FALSE))</f>
        <v/>
      </c>
      <c r="J947" s="8" t="str">
        <f t="shared" si="17"/>
        <v/>
      </c>
      <c r="M947" s="250" t="str">
        <f t="shared" si="16"/>
        <v/>
      </c>
    </row>
    <row r="948" spans="1:13">
      <c r="A948" s="4">
        <v>948</v>
      </c>
      <c r="C948" s="8" t="str">
        <f>IF(B948="","",VLOOKUP(B948,小圆机汇总表!A:AP,2,FALSE))</f>
        <v/>
      </c>
      <c r="D948" s="8" t="str">
        <f>IF(B948="","",VLOOKUP(B948,小圆机汇总表!A:AP,7,FALSE))</f>
        <v/>
      </c>
      <c r="E948" s="8" t="str">
        <f>IF(B948="","",VLOOKUP(B948,小圆机汇总表!A:AP,5,FALSE))</f>
        <v/>
      </c>
      <c r="F948" s="8" t="str">
        <f>IF(B948="","",VLOOKUP(B948,小圆机汇总表!A:AP,8,FALSE))</f>
        <v/>
      </c>
      <c r="J948" s="8" t="str">
        <f t="shared" si="17"/>
        <v/>
      </c>
      <c r="M948" s="250" t="str">
        <f t="shared" si="16"/>
        <v/>
      </c>
    </row>
    <row r="949" spans="1:13">
      <c r="A949" s="4">
        <v>949</v>
      </c>
      <c r="C949" s="8" t="str">
        <f>IF(B949="","",VLOOKUP(B949,小圆机汇总表!A:AP,2,FALSE))</f>
        <v/>
      </c>
      <c r="D949" s="8" t="str">
        <f>IF(B949="","",VLOOKUP(B949,小圆机汇总表!A:AP,7,FALSE))</f>
        <v/>
      </c>
      <c r="E949" s="8" t="str">
        <f>IF(B949="","",VLOOKUP(B949,小圆机汇总表!A:AP,5,FALSE))</f>
        <v/>
      </c>
      <c r="F949" s="8" t="str">
        <f>IF(B949="","",VLOOKUP(B949,小圆机汇总表!A:AP,8,FALSE))</f>
        <v/>
      </c>
      <c r="J949" s="8" t="str">
        <f t="shared" si="17"/>
        <v/>
      </c>
      <c r="M949" s="250" t="str">
        <f t="shared" si="16"/>
        <v/>
      </c>
    </row>
    <row r="950" spans="1:13">
      <c r="A950" s="4">
        <v>950</v>
      </c>
      <c r="C950" s="8" t="str">
        <f>IF(B950="","",VLOOKUP(B950,小圆机汇总表!A:AP,2,FALSE))</f>
        <v/>
      </c>
      <c r="D950" s="8" t="str">
        <f>IF(B950="","",VLOOKUP(B950,小圆机汇总表!A:AP,7,FALSE))</f>
        <v/>
      </c>
      <c r="E950" s="8" t="str">
        <f>IF(B950="","",VLOOKUP(B950,小圆机汇总表!A:AP,5,FALSE))</f>
        <v/>
      </c>
      <c r="F950" s="8" t="str">
        <f>IF(B950="","",VLOOKUP(B950,小圆机汇总表!A:AP,8,FALSE))</f>
        <v/>
      </c>
      <c r="J950" s="8" t="str">
        <f t="shared" si="17"/>
        <v/>
      </c>
      <c r="M950" s="250" t="str">
        <f t="shared" si="16"/>
        <v/>
      </c>
    </row>
    <row r="951" spans="1:13">
      <c r="A951" s="4">
        <v>951</v>
      </c>
      <c r="C951" s="8" t="str">
        <f>IF(B951="","",VLOOKUP(B951,小圆机汇总表!A:AP,2,FALSE))</f>
        <v/>
      </c>
      <c r="D951" s="8" t="str">
        <f>IF(B951="","",VLOOKUP(B951,小圆机汇总表!A:AP,7,FALSE))</f>
        <v/>
      </c>
      <c r="E951" s="8" t="str">
        <f>IF(B951="","",VLOOKUP(B951,小圆机汇总表!A:AP,5,FALSE))</f>
        <v/>
      </c>
      <c r="F951" s="8" t="str">
        <f>IF(B951="","",VLOOKUP(B951,小圆机汇总表!A:AP,8,FALSE))</f>
        <v/>
      </c>
      <c r="J951" s="8" t="str">
        <f t="shared" si="17"/>
        <v/>
      </c>
      <c r="M951" s="250" t="str">
        <f t="shared" si="16"/>
        <v/>
      </c>
    </row>
    <row r="952" spans="1:13">
      <c r="A952" s="4">
        <v>952</v>
      </c>
      <c r="C952" s="8" t="str">
        <f>IF(B952="","",VLOOKUP(B952,小圆机汇总表!A:AP,2,FALSE))</f>
        <v/>
      </c>
      <c r="D952" s="8" t="str">
        <f>IF(B952="","",VLOOKUP(B952,小圆机汇总表!A:AP,7,FALSE))</f>
        <v/>
      </c>
      <c r="E952" s="8" t="str">
        <f>IF(B952="","",VLOOKUP(B952,小圆机汇总表!A:AP,5,FALSE))</f>
        <v/>
      </c>
      <c r="F952" s="8" t="str">
        <f>IF(B952="","",VLOOKUP(B952,小圆机汇总表!A:AP,8,FALSE))</f>
        <v/>
      </c>
      <c r="J952" s="8" t="str">
        <f t="shared" si="17"/>
        <v/>
      </c>
      <c r="M952" s="250" t="str">
        <f t="shared" si="16"/>
        <v/>
      </c>
    </row>
    <row r="953" spans="1:13">
      <c r="A953" s="4">
        <v>953</v>
      </c>
      <c r="C953" s="8" t="str">
        <f>IF(B953="","",VLOOKUP(B953,小圆机汇总表!A:AP,2,FALSE))</f>
        <v/>
      </c>
      <c r="D953" s="8" t="str">
        <f>IF(B953="","",VLOOKUP(B953,小圆机汇总表!A:AP,7,FALSE))</f>
        <v/>
      </c>
      <c r="E953" s="8" t="str">
        <f>IF(B953="","",VLOOKUP(B953,小圆机汇总表!A:AP,5,FALSE))</f>
        <v/>
      </c>
      <c r="F953" s="8" t="str">
        <f>IF(B953="","",VLOOKUP(B953,小圆机汇总表!A:AP,8,FALSE))</f>
        <v/>
      </c>
      <c r="J953" s="8" t="str">
        <f t="shared" si="17"/>
        <v/>
      </c>
      <c r="M953" s="250" t="str">
        <f t="shared" si="16"/>
        <v/>
      </c>
    </row>
    <row r="954" spans="1:13">
      <c r="A954" s="4">
        <v>954</v>
      </c>
      <c r="C954" s="8" t="str">
        <f>IF(B954="","",VLOOKUP(B954,小圆机汇总表!A:AP,2,FALSE))</f>
        <v/>
      </c>
      <c r="D954" s="8" t="str">
        <f>IF(B954="","",VLOOKUP(B954,小圆机汇总表!A:AP,7,FALSE))</f>
        <v/>
      </c>
      <c r="E954" s="8" t="str">
        <f>IF(B954="","",VLOOKUP(B954,小圆机汇总表!A:AP,5,FALSE))</f>
        <v/>
      </c>
      <c r="F954" s="8" t="str">
        <f>IF(B954="","",VLOOKUP(B954,小圆机汇总表!A:AP,8,FALSE))</f>
        <v/>
      </c>
      <c r="J954" s="8" t="str">
        <f t="shared" si="17"/>
        <v/>
      </c>
      <c r="M954" s="250" t="str">
        <f t="shared" si="16"/>
        <v/>
      </c>
    </row>
    <row r="955" spans="1:13">
      <c r="A955" s="4">
        <v>955</v>
      </c>
      <c r="C955" s="8" t="str">
        <f>IF(B955="","",VLOOKUP(B955,小圆机汇总表!A:AP,2,FALSE))</f>
        <v/>
      </c>
      <c r="D955" s="8" t="str">
        <f>IF(B955="","",VLOOKUP(B955,小圆机汇总表!A:AP,7,FALSE))</f>
        <v/>
      </c>
      <c r="E955" s="8" t="str">
        <f>IF(B955="","",VLOOKUP(B955,小圆机汇总表!A:AP,5,FALSE))</f>
        <v/>
      </c>
      <c r="F955" s="8" t="str">
        <f>IF(B955="","",VLOOKUP(B955,小圆机汇总表!A:AP,8,FALSE))</f>
        <v/>
      </c>
      <c r="J955" s="8" t="str">
        <f t="shared" si="17"/>
        <v/>
      </c>
      <c r="M955" s="250" t="str">
        <f t="shared" si="16"/>
        <v/>
      </c>
    </row>
    <row r="956" spans="1:13">
      <c r="A956" s="4">
        <v>956</v>
      </c>
      <c r="C956" s="8" t="str">
        <f>IF(B956="","",VLOOKUP(B956,小圆机汇总表!A:AP,2,FALSE))</f>
        <v/>
      </c>
      <c r="D956" s="8" t="str">
        <f>IF(B956="","",VLOOKUP(B956,小圆机汇总表!A:AP,7,FALSE))</f>
        <v/>
      </c>
      <c r="E956" s="8" t="str">
        <f>IF(B956="","",VLOOKUP(B956,小圆机汇总表!A:AP,5,FALSE))</f>
        <v/>
      </c>
      <c r="F956" s="8" t="str">
        <f>IF(B956="","",VLOOKUP(B956,小圆机汇总表!A:AP,8,FALSE))</f>
        <v/>
      </c>
      <c r="J956" s="8" t="str">
        <f t="shared" si="17"/>
        <v/>
      </c>
      <c r="M956" s="250" t="str">
        <f t="shared" si="16"/>
        <v/>
      </c>
    </row>
    <row r="957" spans="1:13">
      <c r="A957" s="4">
        <v>957</v>
      </c>
      <c r="C957" s="8" t="str">
        <f>IF(B957="","",VLOOKUP(B957,小圆机汇总表!A:AP,2,FALSE))</f>
        <v/>
      </c>
      <c r="D957" s="8" t="str">
        <f>IF(B957="","",VLOOKUP(B957,小圆机汇总表!A:AP,7,FALSE))</f>
        <v/>
      </c>
      <c r="E957" s="8" t="str">
        <f>IF(B957="","",VLOOKUP(B957,小圆机汇总表!A:AP,5,FALSE))</f>
        <v/>
      </c>
      <c r="F957" s="8" t="str">
        <f>IF(B957="","",VLOOKUP(B957,小圆机汇总表!A:AP,8,FALSE))</f>
        <v/>
      </c>
      <c r="J957" s="8" t="str">
        <f t="shared" si="17"/>
        <v/>
      </c>
      <c r="M957" s="250" t="str">
        <f t="shared" si="16"/>
        <v/>
      </c>
    </row>
    <row r="958" spans="1:13">
      <c r="A958" s="4">
        <v>958</v>
      </c>
      <c r="C958" s="8" t="str">
        <f>IF(B958="","",VLOOKUP(B958,小圆机汇总表!A:AP,2,FALSE))</f>
        <v/>
      </c>
      <c r="D958" s="8" t="str">
        <f>IF(B958="","",VLOOKUP(B958,小圆机汇总表!A:AP,7,FALSE))</f>
        <v/>
      </c>
      <c r="E958" s="8" t="str">
        <f>IF(B958="","",VLOOKUP(B958,小圆机汇总表!A:AP,5,FALSE))</f>
        <v/>
      </c>
      <c r="F958" s="8" t="str">
        <f>IF(B958="","",VLOOKUP(B958,小圆机汇总表!A:AP,8,FALSE))</f>
        <v/>
      </c>
      <c r="J958" s="8" t="str">
        <f t="shared" si="17"/>
        <v/>
      </c>
      <c r="M958" s="250" t="str">
        <f t="shared" si="16"/>
        <v/>
      </c>
    </row>
    <row r="959" spans="1:13">
      <c r="A959" s="4">
        <v>959</v>
      </c>
      <c r="C959" s="8" t="str">
        <f>IF(B959="","",VLOOKUP(B959,小圆机汇总表!A:AP,2,FALSE))</f>
        <v/>
      </c>
      <c r="D959" s="8" t="str">
        <f>IF(B959="","",VLOOKUP(B959,小圆机汇总表!A:AP,7,FALSE))</f>
        <v/>
      </c>
      <c r="E959" s="8" t="str">
        <f>IF(B959="","",VLOOKUP(B959,小圆机汇总表!A:AP,5,FALSE))</f>
        <v/>
      </c>
      <c r="F959" s="8" t="str">
        <f>IF(B959="","",VLOOKUP(B959,小圆机汇总表!A:AP,8,FALSE))</f>
        <v/>
      </c>
      <c r="J959" s="8" t="str">
        <f t="shared" si="17"/>
        <v/>
      </c>
      <c r="M959" s="250" t="str">
        <f t="shared" si="16"/>
        <v/>
      </c>
    </row>
    <row r="960" spans="1:13">
      <c r="A960" s="4">
        <v>960</v>
      </c>
      <c r="C960" s="8" t="str">
        <f>IF(B960="","",VLOOKUP(B960,小圆机汇总表!A:AP,2,FALSE))</f>
        <v/>
      </c>
      <c r="D960" s="8" t="str">
        <f>IF(B960="","",VLOOKUP(B960,小圆机汇总表!A:AP,7,FALSE))</f>
        <v/>
      </c>
      <c r="E960" s="8" t="str">
        <f>IF(B960="","",VLOOKUP(B960,小圆机汇总表!A:AP,5,FALSE))</f>
        <v/>
      </c>
      <c r="F960" s="8" t="str">
        <f>IF(B960="","",VLOOKUP(B960,小圆机汇总表!A:AP,8,FALSE))</f>
        <v/>
      </c>
      <c r="J960" s="8" t="str">
        <f t="shared" si="17"/>
        <v/>
      </c>
      <c r="M960" s="250" t="str">
        <f t="shared" si="16"/>
        <v/>
      </c>
    </row>
    <row r="961" spans="1:13">
      <c r="A961" s="4">
        <v>961</v>
      </c>
      <c r="C961" s="8" t="str">
        <f>IF(B961="","",VLOOKUP(B961,小圆机汇总表!A:AP,2,FALSE))</f>
        <v/>
      </c>
      <c r="D961" s="8" t="str">
        <f>IF(B961="","",VLOOKUP(B961,小圆机汇总表!A:AP,7,FALSE))</f>
        <v/>
      </c>
      <c r="E961" s="8" t="str">
        <f>IF(B961="","",VLOOKUP(B961,小圆机汇总表!A:AP,5,FALSE))</f>
        <v/>
      </c>
      <c r="F961" s="8" t="str">
        <f>IF(B961="","",VLOOKUP(B961,小圆机汇总表!A:AP,8,FALSE))</f>
        <v/>
      </c>
      <c r="J961" s="8" t="str">
        <f t="shared" si="17"/>
        <v/>
      </c>
      <c r="M961" s="250" t="str">
        <f t="shared" si="16"/>
        <v/>
      </c>
    </row>
    <row r="962" spans="1:13">
      <c r="A962" s="4">
        <v>962</v>
      </c>
      <c r="C962" s="8" t="str">
        <f>IF(B962="","",VLOOKUP(B962,小圆机汇总表!A:AP,2,FALSE))</f>
        <v/>
      </c>
      <c r="D962" s="8" t="str">
        <f>IF(B962="","",VLOOKUP(B962,小圆机汇总表!A:AP,7,FALSE))</f>
        <v/>
      </c>
      <c r="E962" s="8" t="str">
        <f>IF(B962="","",VLOOKUP(B962,小圆机汇总表!A:AP,5,FALSE))</f>
        <v/>
      </c>
      <c r="F962" s="8" t="str">
        <f>IF(B962="","",VLOOKUP(B962,小圆机汇总表!A:AP,8,FALSE))</f>
        <v/>
      </c>
      <c r="J962" s="8" t="str">
        <f t="shared" si="17"/>
        <v/>
      </c>
      <c r="M962" s="250" t="str">
        <f t="shared" si="16"/>
        <v/>
      </c>
    </row>
    <row r="963" spans="1:13">
      <c r="A963" s="4">
        <v>963</v>
      </c>
      <c r="C963" s="8" t="str">
        <f>IF(B963="","",VLOOKUP(B963,小圆机汇总表!A:AP,2,FALSE))</f>
        <v/>
      </c>
      <c r="D963" s="8" t="str">
        <f>IF(B963="","",VLOOKUP(B963,小圆机汇总表!A:AP,7,FALSE))</f>
        <v/>
      </c>
      <c r="E963" s="8" t="str">
        <f>IF(B963="","",VLOOKUP(B963,小圆机汇总表!A:AP,5,FALSE))</f>
        <v/>
      </c>
      <c r="F963" s="8" t="str">
        <f>IF(B963="","",VLOOKUP(B963,小圆机汇总表!A:AP,8,FALSE))</f>
        <v/>
      </c>
      <c r="J963" s="8" t="str">
        <f t="shared" si="17"/>
        <v/>
      </c>
      <c r="M963" s="250" t="str">
        <f t="shared" ref="M963:M1026" si="18">IF(B963="","",MONTH(G963))</f>
        <v/>
      </c>
    </row>
    <row r="964" spans="1:13">
      <c r="A964" s="4">
        <v>964</v>
      </c>
      <c r="C964" s="8" t="str">
        <f>IF(B964="","",VLOOKUP(B964,小圆机汇总表!A:AP,2,FALSE))</f>
        <v/>
      </c>
      <c r="D964" s="8" t="str">
        <f>IF(B964="","",VLOOKUP(B964,小圆机汇总表!A:AP,7,FALSE))</f>
        <v/>
      </c>
      <c r="E964" s="8" t="str">
        <f>IF(B964="","",VLOOKUP(B964,小圆机汇总表!A:AP,5,FALSE))</f>
        <v/>
      </c>
      <c r="F964" s="8" t="str">
        <f>IF(B964="","",VLOOKUP(B964,小圆机汇总表!A:AP,8,FALSE))</f>
        <v/>
      </c>
      <c r="J964" s="8" t="str">
        <f t="shared" si="17"/>
        <v/>
      </c>
      <c r="M964" s="250" t="str">
        <f t="shared" si="18"/>
        <v/>
      </c>
    </row>
    <row r="965" spans="1:13">
      <c r="A965" s="4">
        <v>965</v>
      </c>
      <c r="C965" s="8" t="str">
        <f>IF(B965="","",VLOOKUP(B965,小圆机汇总表!A:AP,2,FALSE))</f>
        <v/>
      </c>
      <c r="D965" s="8" t="str">
        <f>IF(B965="","",VLOOKUP(B965,小圆机汇总表!A:AP,7,FALSE))</f>
        <v/>
      </c>
      <c r="E965" s="8" t="str">
        <f>IF(B965="","",VLOOKUP(B965,小圆机汇总表!A:AP,5,FALSE))</f>
        <v/>
      </c>
      <c r="F965" s="8" t="str">
        <f>IF(B965="","",VLOOKUP(B965,小圆机汇总表!A:AP,8,FALSE))</f>
        <v/>
      </c>
      <c r="J965" s="8" t="str">
        <f t="shared" si="17"/>
        <v/>
      </c>
      <c r="M965" s="250" t="str">
        <f t="shared" si="18"/>
        <v/>
      </c>
    </row>
    <row r="966" spans="1:13">
      <c r="A966" s="4">
        <v>966</v>
      </c>
      <c r="C966" s="8" t="str">
        <f>IF(B966="","",VLOOKUP(B966,小圆机汇总表!A:AP,2,FALSE))</f>
        <v/>
      </c>
      <c r="D966" s="8" t="str">
        <f>IF(B966="","",VLOOKUP(B966,小圆机汇总表!A:AP,7,FALSE))</f>
        <v/>
      </c>
      <c r="E966" s="8" t="str">
        <f>IF(B966="","",VLOOKUP(B966,小圆机汇总表!A:AP,5,FALSE))</f>
        <v/>
      </c>
      <c r="F966" s="8" t="str">
        <f>IF(B966="","",VLOOKUP(B966,小圆机汇总表!A:AP,8,FALSE))</f>
        <v/>
      </c>
      <c r="J966" s="8" t="str">
        <f t="shared" si="17"/>
        <v/>
      </c>
      <c r="M966" s="250" t="str">
        <f t="shared" si="18"/>
        <v/>
      </c>
    </row>
    <row r="967" spans="1:13">
      <c r="A967" s="4">
        <v>967</v>
      </c>
      <c r="C967" s="8" t="str">
        <f>IF(B967="","",VLOOKUP(B967,小圆机汇总表!A:AP,2,FALSE))</f>
        <v/>
      </c>
      <c r="D967" s="8" t="str">
        <f>IF(B967="","",VLOOKUP(B967,小圆机汇总表!A:AP,7,FALSE))</f>
        <v/>
      </c>
      <c r="E967" s="8" t="str">
        <f>IF(B967="","",VLOOKUP(B967,小圆机汇总表!A:AP,5,FALSE))</f>
        <v/>
      </c>
      <c r="F967" s="8" t="str">
        <f>IF(B967="","",VLOOKUP(B967,小圆机汇总表!A:AP,8,FALSE))</f>
        <v/>
      </c>
      <c r="J967" s="8" t="str">
        <f t="shared" si="17"/>
        <v/>
      </c>
      <c r="M967" s="250" t="str">
        <f t="shared" si="18"/>
        <v/>
      </c>
    </row>
    <row r="968" spans="1:13">
      <c r="A968" s="4">
        <v>968</v>
      </c>
      <c r="C968" s="8" t="str">
        <f>IF(B968="","",VLOOKUP(B968,小圆机汇总表!A:AP,2,FALSE))</f>
        <v/>
      </c>
      <c r="D968" s="8" t="str">
        <f>IF(B968="","",VLOOKUP(B968,小圆机汇总表!A:AP,7,FALSE))</f>
        <v/>
      </c>
      <c r="E968" s="8" t="str">
        <f>IF(B968="","",VLOOKUP(B968,小圆机汇总表!A:AP,5,FALSE))</f>
        <v/>
      </c>
      <c r="F968" s="8" t="str">
        <f>IF(B968="","",VLOOKUP(B968,小圆机汇总表!A:AP,8,FALSE))</f>
        <v/>
      </c>
      <c r="J968" s="8" t="str">
        <f t="shared" si="17"/>
        <v/>
      </c>
      <c r="M968" s="250" t="str">
        <f t="shared" si="18"/>
        <v/>
      </c>
    </row>
    <row r="969" spans="1:13">
      <c r="A969" s="4">
        <v>969</v>
      </c>
      <c r="C969" s="8" t="str">
        <f>IF(B969="","",VLOOKUP(B969,小圆机汇总表!A:AP,2,FALSE))</f>
        <v/>
      </c>
      <c r="D969" s="8" t="str">
        <f>IF(B969="","",VLOOKUP(B969,小圆机汇总表!A:AP,7,FALSE))</f>
        <v/>
      </c>
      <c r="E969" s="8" t="str">
        <f>IF(B969="","",VLOOKUP(B969,小圆机汇总表!A:AP,5,FALSE))</f>
        <v/>
      </c>
      <c r="F969" s="8" t="str">
        <f>IF(B969="","",VLOOKUP(B969,小圆机汇总表!A:AP,8,FALSE))</f>
        <v/>
      </c>
      <c r="J969" s="8" t="str">
        <f t="shared" si="17"/>
        <v/>
      </c>
      <c r="M969" s="250" t="str">
        <f t="shared" si="18"/>
        <v/>
      </c>
    </row>
    <row r="970" spans="1:13">
      <c r="A970" s="4">
        <v>970</v>
      </c>
      <c r="C970" s="8" t="str">
        <f>IF(B970="","",VLOOKUP(B970,小圆机汇总表!A:AP,2,FALSE))</f>
        <v/>
      </c>
      <c r="D970" s="8" t="str">
        <f>IF(B970="","",VLOOKUP(B970,小圆机汇总表!A:AP,7,FALSE))</f>
        <v/>
      </c>
      <c r="E970" s="8" t="str">
        <f>IF(B970="","",VLOOKUP(B970,小圆机汇总表!A:AP,5,FALSE))</f>
        <v/>
      </c>
      <c r="F970" s="8" t="str">
        <f>IF(B970="","",VLOOKUP(B970,小圆机汇总表!A:AP,8,FALSE))</f>
        <v/>
      </c>
      <c r="J970" s="8" t="str">
        <f t="shared" si="17"/>
        <v/>
      </c>
      <c r="M970" s="250" t="str">
        <f t="shared" si="18"/>
        <v/>
      </c>
    </row>
    <row r="971" spans="1:13">
      <c r="A971" s="4">
        <v>971</v>
      </c>
      <c r="C971" s="8" t="str">
        <f>IF(B971="","",VLOOKUP(B971,小圆机汇总表!A:AP,2,FALSE))</f>
        <v/>
      </c>
      <c r="D971" s="8" t="str">
        <f>IF(B971="","",VLOOKUP(B971,小圆机汇总表!A:AP,7,FALSE))</f>
        <v/>
      </c>
      <c r="E971" s="8" t="str">
        <f>IF(B971="","",VLOOKUP(B971,小圆机汇总表!A:AP,5,FALSE))</f>
        <v/>
      </c>
      <c r="F971" s="8" t="str">
        <f>IF(B971="","",VLOOKUP(B971,小圆机汇总表!A:AP,8,FALSE))</f>
        <v/>
      </c>
      <c r="J971" s="8" t="str">
        <f t="shared" si="17"/>
        <v/>
      </c>
      <c r="M971" s="250" t="str">
        <f t="shared" si="18"/>
        <v/>
      </c>
    </row>
    <row r="972" spans="1:13">
      <c r="A972" s="4">
        <v>972</v>
      </c>
      <c r="C972" s="8" t="str">
        <f>IF(B972="","",VLOOKUP(B972,小圆机汇总表!A:AP,2,FALSE))</f>
        <v/>
      </c>
      <c r="D972" s="8" t="str">
        <f>IF(B972="","",VLOOKUP(B972,小圆机汇总表!A:AP,7,FALSE))</f>
        <v/>
      </c>
      <c r="E972" s="8" t="str">
        <f>IF(B972="","",VLOOKUP(B972,小圆机汇总表!A:AP,5,FALSE))</f>
        <v/>
      </c>
      <c r="F972" s="8" t="str">
        <f>IF(B972="","",VLOOKUP(B972,小圆机汇总表!A:AP,8,FALSE))</f>
        <v/>
      </c>
      <c r="J972" s="8" t="str">
        <f t="shared" si="17"/>
        <v/>
      </c>
      <c r="M972" s="250" t="str">
        <f t="shared" si="18"/>
        <v/>
      </c>
    </row>
    <row r="973" spans="1:13">
      <c r="A973" s="4">
        <v>973</v>
      </c>
      <c r="C973" s="8" t="str">
        <f>IF(B973="","",VLOOKUP(B973,小圆机汇总表!A:AP,2,FALSE))</f>
        <v/>
      </c>
      <c r="D973" s="8" t="str">
        <f>IF(B973="","",VLOOKUP(B973,小圆机汇总表!A:AP,7,FALSE))</f>
        <v/>
      </c>
      <c r="E973" s="8" t="str">
        <f>IF(B973="","",VLOOKUP(B973,小圆机汇总表!A:AP,5,FALSE))</f>
        <v/>
      </c>
      <c r="F973" s="8" t="str">
        <f>IF(B973="","",VLOOKUP(B973,小圆机汇总表!A:AP,8,FALSE))</f>
        <v/>
      </c>
      <c r="J973" s="8" t="str">
        <f t="shared" si="17"/>
        <v/>
      </c>
      <c r="M973" s="250" t="str">
        <f t="shared" si="18"/>
        <v/>
      </c>
    </row>
    <row r="974" spans="1:13">
      <c r="A974" s="4">
        <v>974</v>
      </c>
      <c r="C974" s="8" t="str">
        <f>IF(B974="","",VLOOKUP(B974,小圆机汇总表!A:AP,2,FALSE))</f>
        <v/>
      </c>
      <c r="D974" s="8" t="str">
        <f>IF(B974="","",VLOOKUP(B974,小圆机汇总表!A:AP,7,FALSE))</f>
        <v/>
      </c>
      <c r="E974" s="8" t="str">
        <f>IF(B974="","",VLOOKUP(B974,小圆机汇总表!A:AP,5,FALSE))</f>
        <v/>
      </c>
      <c r="F974" s="8" t="str">
        <f>IF(B974="","",VLOOKUP(B974,小圆机汇总表!A:AP,8,FALSE))</f>
        <v/>
      </c>
      <c r="J974" s="8" t="str">
        <f t="shared" si="17"/>
        <v/>
      </c>
      <c r="M974" s="250" t="str">
        <f t="shared" si="18"/>
        <v/>
      </c>
    </row>
    <row r="975" spans="1:13">
      <c r="A975" s="4">
        <v>975</v>
      </c>
      <c r="C975" s="8" t="str">
        <f>IF(B975="","",VLOOKUP(B975,小圆机汇总表!A:AP,2,FALSE))</f>
        <v/>
      </c>
      <c r="D975" s="8" t="str">
        <f>IF(B975="","",VLOOKUP(B975,小圆机汇总表!A:AP,7,FALSE))</f>
        <v/>
      </c>
      <c r="E975" s="8" t="str">
        <f>IF(B975="","",VLOOKUP(B975,小圆机汇总表!A:AP,5,FALSE))</f>
        <v/>
      </c>
      <c r="F975" s="8" t="str">
        <f>IF(B975="","",VLOOKUP(B975,小圆机汇总表!A:AP,8,FALSE))</f>
        <v/>
      </c>
      <c r="J975" s="8" t="str">
        <f t="shared" si="17"/>
        <v/>
      </c>
      <c r="M975" s="250" t="str">
        <f t="shared" si="18"/>
        <v/>
      </c>
    </row>
    <row r="976" spans="1:13">
      <c r="A976" s="4">
        <v>976</v>
      </c>
      <c r="C976" s="8" t="str">
        <f>IF(B976="","",VLOOKUP(B976,小圆机汇总表!A:AP,2,FALSE))</f>
        <v/>
      </c>
      <c r="D976" s="8" t="str">
        <f>IF(B976="","",VLOOKUP(B976,小圆机汇总表!A:AP,7,FALSE))</f>
        <v/>
      </c>
      <c r="E976" s="8" t="str">
        <f>IF(B976="","",VLOOKUP(B976,小圆机汇总表!A:AP,5,FALSE))</f>
        <v/>
      </c>
      <c r="F976" s="8" t="str">
        <f>IF(B976="","",VLOOKUP(B976,小圆机汇总表!A:AP,8,FALSE))</f>
        <v/>
      </c>
      <c r="J976" s="8" t="str">
        <f t="shared" si="17"/>
        <v/>
      </c>
      <c r="M976" s="250" t="str">
        <f t="shared" si="18"/>
        <v/>
      </c>
    </row>
    <row r="977" spans="1:13">
      <c r="A977" s="4">
        <v>977</v>
      </c>
      <c r="C977" s="8" t="str">
        <f>IF(B977="","",VLOOKUP(B977,小圆机汇总表!A:AP,2,FALSE))</f>
        <v/>
      </c>
      <c r="D977" s="8" t="str">
        <f>IF(B977="","",VLOOKUP(B977,小圆机汇总表!A:AP,7,FALSE))</f>
        <v/>
      </c>
      <c r="E977" s="8" t="str">
        <f>IF(B977="","",VLOOKUP(B977,小圆机汇总表!A:AP,5,FALSE))</f>
        <v/>
      </c>
      <c r="F977" s="8" t="str">
        <f>IF(B977="","",VLOOKUP(B977,小圆机汇总表!A:AP,8,FALSE))</f>
        <v/>
      </c>
      <c r="J977" s="8" t="str">
        <f t="shared" si="17"/>
        <v/>
      </c>
      <c r="M977" s="250" t="str">
        <f t="shared" si="18"/>
        <v/>
      </c>
    </row>
    <row r="978" spans="1:13">
      <c r="A978" s="4">
        <v>978</v>
      </c>
      <c r="C978" s="8" t="str">
        <f>IF(B978="","",VLOOKUP(B978,小圆机汇总表!A:AP,2,FALSE))</f>
        <v/>
      </c>
      <c r="D978" s="8" t="str">
        <f>IF(B978="","",VLOOKUP(B978,小圆机汇总表!A:AP,7,FALSE))</f>
        <v/>
      </c>
      <c r="E978" s="8" t="str">
        <f>IF(B978="","",VLOOKUP(B978,小圆机汇总表!A:AP,5,FALSE))</f>
        <v/>
      </c>
      <c r="F978" s="8" t="str">
        <f>IF(B978="","",VLOOKUP(B978,小圆机汇总表!A:AP,8,FALSE))</f>
        <v/>
      </c>
      <c r="J978" s="8" t="str">
        <f t="shared" si="17"/>
        <v/>
      </c>
      <c r="M978" s="250" t="str">
        <f t="shared" si="18"/>
        <v/>
      </c>
    </row>
    <row r="979" spans="1:13">
      <c r="A979" s="4">
        <v>979</v>
      </c>
      <c r="C979" s="8" t="str">
        <f>IF(B979="","",VLOOKUP(B979,小圆机汇总表!A:AP,2,FALSE))</f>
        <v/>
      </c>
      <c r="D979" s="8" t="str">
        <f>IF(B979="","",VLOOKUP(B979,小圆机汇总表!A:AP,7,FALSE))</f>
        <v/>
      </c>
      <c r="E979" s="8" t="str">
        <f>IF(B979="","",VLOOKUP(B979,小圆机汇总表!A:AP,5,FALSE))</f>
        <v/>
      </c>
      <c r="F979" s="8" t="str">
        <f>IF(B979="","",VLOOKUP(B979,小圆机汇总表!A:AP,8,FALSE))</f>
        <v/>
      </c>
      <c r="J979" s="8" t="str">
        <f t="shared" si="17"/>
        <v/>
      </c>
      <c r="M979" s="250" t="str">
        <f t="shared" si="18"/>
        <v/>
      </c>
    </row>
    <row r="980" spans="1:13">
      <c r="A980" s="4">
        <v>980</v>
      </c>
      <c r="C980" s="8" t="str">
        <f>IF(B980="","",VLOOKUP(B980,小圆机汇总表!A:AP,2,FALSE))</f>
        <v/>
      </c>
      <c r="D980" s="8" t="str">
        <f>IF(B980="","",VLOOKUP(B980,小圆机汇总表!A:AP,7,FALSE))</f>
        <v/>
      </c>
      <c r="E980" s="8" t="str">
        <f>IF(B980="","",VLOOKUP(B980,小圆机汇总表!A:AP,5,FALSE))</f>
        <v/>
      </c>
      <c r="F980" s="8" t="str">
        <f>IF(B980="","",VLOOKUP(B980,小圆机汇总表!A:AP,8,FALSE))</f>
        <v/>
      </c>
      <c r="J980" s="8" t="str">
        <f t="shared" si="17"/>
        <v/>
      </c>
      <c r="M980" s="250" t="str">
        <f t="shared" si="18"/>
        <v/>
      </c>
    </row>
    <row r="981" spans="1:13">
      <c r="A981" s="4">
        <v>981</v>
      </c>
      <c r="C981" s="8" t="str">
        <f>IF(B981="","",VLOOKUP(B981,小圆机汇总表!A:AP,2,FALSE))</f>
        <v/>
      </c>
      <c r="D981" s="8" t="str">
        <f>IF(B981="","",VLOOKUP(B981,小圆机汇总表!A:AP,7,FALSE))</f>
        <v/>
      </c>
      <c r="E981" s="8" t="str">
        <f>IF(B981="","",VLOOKUP(B981,小圆机汇总表!A:AP,5,FALSE))</f>
        <v/>
      </c>
      <c r="F981" s="8" t="str">
        <f>IF(B981="","",VLOOKUP(B981,小圆机汇总表!A:AP,8,FALSE))</f>
        <v/>
      </c>
      <c r="J981" s="8" t="str">
        <f t="shared" si="17"/>
        <v/>
      </c>
      <c r="M981" s="250" t="str">
        <f t="shared" si="18"/>
        <v/>
      </c>
    </row>
    <row r="982" spans="1:13">
      <c r="A982" s="4">
        <v>982</v>
      </c>
      <c r="C982" s="8" t="str">
        <f>IF(B982="","",VLOOKUP(B982,小圆机汇总表!A:AP,2,FALSE))</f>
        <v/>
      </c>
      <c r="D982" s="8" t="str">
        <f>IF(B982="","",VLOOKUP(B982,小圆机汇总表!A:AP,7,FALSE))</f>
        <v/>
      </c>
      <c r="E982" s="8" t="str">
        <f>IF(B982="","",VLOOKUP(B982,小圆机汇总表!A:AP,5,FALSE))</f>
        <v/>
      </c>
      <c r="F982" s="8" t="str">
        <f>IF(B982="","",VLOOKUP(B982,小圆机汇总表!A:AP,8,FALSE))</f>
        <v/>
      </c>
      <c r="J982" s="8" t="str">
        <f t="shared" si="17"/>
        <v/>
      </c>
      <c r="M982" s="250" t="str">
        <f t="shared" si="18"/>
        <v/>
      </c>
    </row>
    <row r="983" spans="1:13">
      <c r="A983" s="4">
        <v>983</v>
      </c>
      <c r="C983" s="8" t="str">
        <f>IF(B983="","",VLOOKUP(B983,小圆机汇总表!A:AP,2,FALSE))</f>
        <v/>
      </c>
      <c r="D983" s="8" t="str">
        <f>IF(B983="","",VLOOKUP(B983,小圆机汇总表!A:AP,7,FALSE))</f>
        <v/>
      </c>
      <c r="E983" s="8" t="str">
        <f>IF(B983="","",VLOOKUP(B983,小圆机汇总表!A:AP,5,FALSE))</f>
        <v/>
      </c>
      <c r="F983" s="8" t="str">
        <f>IF(B983="","",VLOOKUP(B983,小圆机汇总表!A:AP,8,FALSE))</f>
        <v/>
      </c>
      <c r="J983" s="8" t="str">
        <f t="shared" si="17"/>
        <v/>
      </c>
      <c r="M983" s="250" t="str">
        <f t="shared" si="18"/>
        <v/>
      </c>
    </row>
    <row r="984" spans="1:13">
      <c r="A984" s="4">
        <v>984</v>
      </c>
      <c r="C984" s="8" t="str">
        <f>IF(B984="","",VLOOKUP(B984,小圆机汇总表!A:AP,2,FALSE))</f>
        <v/>
      </c>
      <c r="D984" s="8" t="str">
        <f>IF(B984="","",VLOOKUP(B984,小圆机汇总表!A:AP,7,FALSE))</f>
        <v/>
      </c>
      <c r="E984" s="8" t="str">
        <f>IF(B984="","",VLOOKUP(B984,小圆机汇总表!A:AP,5,FALSE))</f>
        <v/>
      </c>
      <c r="F984" s="8" t="str">
        <f>IF(B984="","",VLOOKUP(B984,小圆机汇总表!A:AP,8,FALSE))</f>
        <v/>
      </c>
      <c r="J984" s="8" t="str">
        <f t="shared" si="17"/>
        <v/>
      </c>
      <c r="M984" s="250" t="str">
        <f t="shared" si="18"/>
        <v/>
      </c>
    </row>
    <row r="985" spans="1:13">
      <c r="A985" s="4">
        <v>985</v>
      </c>
      <c r="C985" s="8" t="str">
        <f>IF(B985="","",VLOOKUP(B985,小圆机汇总表!A:AP,2,FALSE))</f>
        <v/>
      </c>
      <c r="D985" s="8" t="str">
        <f>IF(B985="","",VLOOKUP(B985,小圆机汇总表!A:AP,7,FALSE))</f>
        <v/>
      </c>
      <c r="E985" s="8" t="str">
        <f>IF(B985="","",VLOOKUP(B985,小圆机汇总表!A:AP,5,FALSE))</f>
        <v/>
      </c>
      <c r="F985" s="8" t="str">
        <f>IF(B985="","",VLOOKUP(B985,小圆机汇总表!A:AP,8,FALSE))</f>
        <v/>
      </c>
      <c r="J985" s="8" t="str">
        <f t="shared" si="17"/>
        <v/>
      </c>
      <c r="M985" s="250" t="str">
        <f t="shared" si="18"/>
        <v/>
      </c>
    </row>
    <row r="986" spans="1:13">
      <c r="A986" s="4">
        <v>986</v>
      </c>
      <c r="C986" s="8" t="str">
        <f>IF(B986="","",VLOOKUP(B986,小圆机汇总表!A:AP,2,FALSE))</f>
        <v/>
      </c>
      <c r="D986" s="8" t="str">
        <f>IF(B986="","",VLOOKUP(B986,小圆机汇总表!A:AP,7,FALSE))</f>
        <v/>
      </c>
      <c r="E986" s="8" t="str">
        <f>IF(B986="","",VLOOKUP(B986,小圆机汇总表!A:AP,5,FALSE))</f>
        <v/>
      </c>
      <c r="F986" s="8" t="str">
        <f>IF(B986="","",VLOOKUP(B986,小圆机汇总表!A:AP,8,FALSE))</f>
        <v/>
      </c>
      <c r="J986" s="8" t="str">
        <f t="shared" si="17"/>
        <v/>
      </c>
      <c r="M986" s="250" t="str">
        <f t="shared" si="18"/>
        <v/>
      </c>
    </row>
    <row r="987" spans="1:13">
      <c r="A987" s="4">
        <v>987</v>
      </c>
      <c r="C987" s="8" t="str">
        <f>IF(B987="","",VLOOKUP(B987,小圆机汇总表!A:AP,2,FALSE))</f>
        <v/>
      </c>
      <c r="D987" s="8" t="str">
        <f>IF(B987="","",VLOOKUP(B987,小圆机汇总表!A:AP,7,FALSE))</f>
        <v/>
      </c>
      <c r="E987" s="8" t="str">
        <f>IF(B987="","",VLOOKUP(B987,小圆机汇总表!A:AP,5,FALSE))</f>
        <v/>
      </c>
      <c r="F987" s="8" t="str">
        <f>IF(B987="","",VLOOKUP(B987,小圆机汇总表!A:AP,8,FALSE))</f>
        <v/>
      </c>
      <c r="J987" s="8" t="str">
        <f t="shared" si="17"/>
        <v/>
      </c>
      <c r="M987" s="250" t="str">
        <f t="shared" si="18"/>
        <v/>
      </c>
    </row>
    <row r="988" spans="1:13">
      <c r="A988" s="4">
        <v>988</v>
      </c>
      <c r="C988" s="8" t="str">
        <f>IF(B988="","",VLOOKUP(B988,小圆机汇总表!A:AP,2,FALSE))</f>
        <v/>
      </c>
      <c r="D988" s="8" t="str">
        <f>IF(B988="","",VLOOKUP(B988,小圆机汇总表!A:AP,7,FALSE))</f>
        <v/>
      </c>
      <c r="E988" s="8" t="str">
        <f>IF(B988="","",VLOOKUP(B988,小圆机汇总表!A:AP,5,FALSE))</f>
        <v/>
      </c>
      <c r="F988" s="8" t="str">
        <f>IF(B988="","",VLOOKUP(B988,小圆机汇总表!A:AP,8,FALSE))</f>
        <v/>
      </c>
      <c r="J988" s="8" t="str">
        <f t="shared" si="17"/>
        <v/>
      </c>
      <c r="M988" s="250" t="str">
        <f t="shared" si="18"/>
        <v/>
      </c>
    </row>
    <row r="989" spans="1:13">
      <c r="A989" s="4">
        <v>989</v>
      </c>
      <c r="C989" s="8" t="str">
        <f>IF(B989="","",VLOOKUP(B989,小圆机汇总表!A:AP,2,FALSE))</f>
        <v/>
      </c>
      <c r="D989" s="8" t="str">
        <f>IF(B989="","",VLOOKUP(B989,小圆机汇总表!A:AP,7,FALSE))</f>
        <v/>
      </c>
      <c r="E989" s="8" t="str">
        <f>IF(B989="","",VLOOKUP(B989,小圆机汇总表!A:AP,5,FALSE))</f>
        <v/>
      </c>
      <c r="F989" s="8" t="str">
        <f>IF(B989="","",VLOOKUP(B989,小圆机汇总表!A:AP,8,FALSE))</f>
        <v/>
      </c>
      <c r="J989" s="8" t="str">
        <f t="shared" si="17"/>
        <v/>
      </c>
      <c r="M989" s="250" t="str">
        <f t="shared" si="18"/>
        <v/>
      </c>
    </row>
    <row r="990" spans="1:13">
      <c r="A990" s="4">
        <v>990</v>
      </c>
      <c r="C990" s="8" t="str">
        <f>IF(B990="","",VLOOKUP(B990,小圆机汇总表!A:AP,2,FALSE))</f>
        <v/>
      </c>
      <c r="D990" s="8" t="str">
        <f>IF(B990="","",VLOOKUP(B990,小圆机汇总表!A:AP,7,FALSE))</f>
        <v/>
      </c>
      <c r="E990" s="8" t="str">
        <f>IF(B990="","",VLOOKUP(B990,小圆机汇总表!A:AP,5,FALSE))</f>
        <v/>
      </c>
      <c r="F990" s="8" t="str">
        <f>IF(B990="","",VLOOKUP(B990,小圆机汇总表!A:AP,8,FALSE))</f>
        <v/>
      </c>
      <c r="J990" s="8" t="str">
        <f t="shared" si="17"/>
        <v/>
      </c>
      <c r="M990" s="250" t="str">
        <f t="shared" si="18"/>
        <v/>
      </c>
    </row>
    <row r="991" spans="1:13">
      <c r="A991" s="4">
        <v>991</v>
      </c>
      <c r="C991" s="8" t="str">
        <f>IF(B991="","",VLOOKUP(B991,小圆机汇总表!A:AP,2,FALSE))</f>
        <v/>
      </c>
      <c r="D991" s="8" t="str">
        <f>IF(B991="","",VLOOKUP(B991,小圆机汇总表!A:AP,7,FALSE))</f>
        <v/>
      </c>
      <c r="E991" s="8" t="str">
        <f>IF(B991="","",VLOOKUP(B991,小圆机汇总表!A:AP,5,FALSE))</f>
        <v/>
      </c>
      <c r="F991" s="8" t="str">
        <f>IF(B991="","",VLOOKUP(B991,小圆机汇总表!A:AP,8,FALSE))</f>
        <v/>
      </c>
      <c r="J991" s="8" t="str">
        <f t="shared" si="17"/>
        <v/>
      </c>
      <c r="M991" s="250" t="str">
        <f t="shared" si="18"/>
        <v/>
      </c>
    </row>
    <row r="992" spans="1:13">
      <c r="A992" s="4">
        <v>992</v>
      </c>
      <c r="C992" s="8" t="str">
        <f>IF(B992="","",VLOOKUP(B992,小圆机汇总表!A:AP,2,FALSE))</f>
        <v/>
      </c>
      <c r="D992" s="8" t="str">
        <f>IF(B992="","",VLOOKUP(B992,小圆机汇总表!A:AP,7,FALSE))</f>
        <v/>
      </c>
      <c r="E992" s="8" t="str">
        <f>IF(B992="","",VLOOKUP(B992,小圆机汇总表!A:AP,5,FALSE))</f>
        <v/>
      </c>
      <c r="F992" s="8" t="str">
        <f>IF(B992="","",VLOOKUP(B992,小圆机汇总表!A:AP,8,FALSE))</f>
        <v/>
      </c>
      <c r="J992" s="8" t="str">
        <f t="shared" si="17"/>
        <v/>
      </c>
      <c r="M992" s="250" t="str">
        <f t="shared" si="18"/>
        <v/>
      </c>
    </row>
    <row r="993" spans="1:13">
      <c r="A993" s="4">
        <v>993</v>
      </c>
      <c r="C993" s="8" t="str">
        <f>IF(B993="","",VLOOKUP(B993,小圆机汇总表!A:AP,2,FALSE))</f>
        <v/>
      </c>
      <c r="D993" s="8" t="str">
        <f>IF(B993="","",VLOOKUP(B993,小圆机汇总表!A:AP,7,FALSE))</f>
        <v/>
      </c>
      <c r="E993" s="8" t="str">
        <f>IF(B993="","",VLOOKUP(B993,小圆机汇总表!A:AP,5,FALSE))</f>
        <v/>
      </c>
      <c r="F993" s="8" t="str">
        <f>IF(B993="","",VLOOKUP(B993,小圆机汇总表!A:AP,8,FALSE))</f>
        <v/>
      </c>
      <c r="J993" s="8" t="str">
        <f t="shared" si="17"/>
        <v/>
      </c>
      <c r="M993" s="250" t="str">
        <f t="shared" si="18"/>
        <v/>
      </c>
    </row>
    <row r="994" spans="1:13">
      <c r="A994" s="4">
        <v>994</v>
      </c>
      <c r="C994" s="8" t="str">
        <f>IF(B994="","",VLOOKUP(B994,小圆机汇总表!A:AP,2,FALSE))</f>
        <v/>
      </c>
      <c r="D994" s="8" t="str">
        <f>IF(B994="","",VLOOKUP(B994,小圆机汇总表!A:AP,7,FALSE))</f>
        <v/>
      </c>
      <c r="E994" s="8" t="str">
        <f>IF(B994="","",VLOOKUP(B994,小圆机汇总表!A:AP,5,FALSE))</f>
        <v/>
      </c>
      <c r="F994" s="8" t="str">
        <f>IF(B994="","",VLOOKUP(B994,小圆机汇总表!A:AP,8,FALSE))</f>
        <v/>
      </c>
      <c r="J994" s="8" t="str">
        <f t="shared" si="17"/>
        <v/>
      </c>
      <c r="M994" s="250" t="str">
        <f t="shared" si="18"/>
        <v/>
      </c>
    </row>
    <row r="995" spans="1:13">
      <c r="A995" s="4">
        <v>995</v>
      </c>
      <c r="C995" s="8" t="str">
        <f>IF(B995="","",VLOOKUP(B995,小圆机汇总表!A:AP,2,FALSE))</f>
        <v/>
      </c>
      <c r="D995" s="8" t="str">
        <f>IF(B995="","",VLOOKUP(B995,小圆机汇总表!A:AP,7,FALSE))</f>
        <v/>
      </c>
      <c r="E995" s="8" t="str">
        <f>IF(B995="","",VLOOKUP(B995,小圆机汇总表!A:AP,5,FALSE))</f>
        <v/>
      </c>
      <c r="F995" s="8" t="str">
        <f>IF(B995="","",VLOOKUP(B995,小圆机汇总表!A:AP,8,FALSE))</f>
        <v/>
      </c>
      <c r="J995" s="8" t="str">
        <f t="shared" ref="J995:J1058" si="19">IF(B995="","",MONTH(G995))</f>
        <v/>
      </c>
      <c r="M995" s="250" t="str">
        <f t="shared" si="18"/>
        <v/>
      </c>
    </row>
    <row r="996" spans="1:13">
      <c r="A996" s="4">
        <v>996</v>
      </c>
      <c r="C996" s="8" t="str">
        <f>IF(B996="","",VLOOKUP(B996,小圆机汇总表!A:AP,2,FALSE))</f>
        <v/>
      </c>
      <c r="D996" s="8" t="str">
        <f>IF(B996="","",VLOOKUP(B996,小圆机汇总表!A:AP,7,FALSE))</f>
        <v/>
      </c>
      <c r="E996" s="8" t="str">
        <f>IF(B996="","",VLOOKUP(B996,小圆机汇总表!A:AP,5,FALSE))</f>
        <v/>
      </c>
      <c r="F996" s="8" t="str">
        <f>IF(B996="","",VLOOKUP(B996,小圆机汇总表!A:AP,8,FALSE))</f>
        <v/>
      </c>
      <c r="J996" s="8" t="str">
        <f t="shared" si="19"/>
        <v/>
      </c>
      <c r="M996" s="250" t="str">
        <f t="shared" si="18"/>
        <v/>
      </c>
    </row>
    <row r="997" spans="1:13">
      <c r="A997" s="4">
        <v>997</v>
      </c>
      <c r="C997" s="8" t="str">
        <f>IF(B997="","",VLOOKUP(B997,小圆机汇总表!A:AP,2,FALSE))</f>
        <v/>
      </c>
      <c r="D997" s="8" t="str">
        <f>IF(B997="","",VLOOKUP(B997,小圆机汇总表!A:AP,7,FALSE))</f>
        <v/>
      </c>
      <c r="E997" s="8" t="str">
        <f>IF(B997="","",VLOOKUP(B997,小圆机汇总表!A:AP,5,FALSE))</f>
        <v/>
      </c>
      <c r="F997" s="8" t="str">
        <f>IF(B997="","",VLOOKUP(B997,小圆机汇总表!A:AP,8,FALSE))</f>
        <v/>
      </c>
      <c r="J997" s="8" t="str">
        <f t="shared" si="19"/>
        <v/>
      </c>
      <c r="M997" s="250" t="str">
        <f t="shared" si="18"/>
        <v/>
      </c>
    </row>
    <row r="998" spans="1:13">
      <c r="A998" s="4">
        <v>998</v>
      </c>
      <c r="C998" s="8" t="str">
        <f>IF(B998="","",VLOOKUP(B998,小圆机汇总表!A:AP,2,FALSE))</f>
        <v/>
      </c>
      <c r="D998" s="8" t="str">
        <f>IF(B998="","",VLOOKUP(B998,小圆机汇总表!A:AP,7,FALSE))</f>
        <v/>
      </c>
      <c r="E998" s="8" t="str">
        <f>IF(B998="","",VLOOKUP(B998,小圆机汇总表!A:AP,5,FALSE))</f>
        <v/>
      </c>
      <c r="F998" s="8" t="str">
        <f>IF(B998="","",VLOOKUP(B998,小圆机汇总表!A:AP,8,FALSE))</f>
        <v/>
      </c>
      <c r="J998" s="8" t="str">
        <f t="shared" si="19"/>
        <v/>
      </c>
      <c r="M998" s="250" t="str">
        <f t="shared" si="18"/>
        <v/>
      </c>
    </row>
    <row r="999" spans="1:13">
      <c r="A999" s="4">
        <v>999</v>
      </c>
      <c r="C999" s="8" t="str">
        <f>IF(B999="","",VLOOKUP(B999,小圆机汇总表!A:AP,2,FALSE))</f>
        <v/>
      </c>
      <c r="D999" s="8" t="str">
        <f>IF(B999="","",VLOOKUP(B999,小圆机汇总表!A:AP,7,FALSE))</f>
        <v/>
      </c>
      <c r="E999" s="8" t="str">
        <f>IF(B999="","",VLOOKUP(B999,小圆机汇总表!A:AP,5,FALSE))</f>
        <v/>
      </c>
      <c r="F999" s="8" t="str">
        <f>IF(B999="","",VLOOKUP(B999,小圆机汇总表!A:AP,8,FALSE))</f>
        <v/>
      </c>
      <c r="J999" s="8" t="str">
        <f t="shared" si="19"/>
        <v/>
      </c>
      <c r="M999" s="250" t="str">
        <f t="shared" si="18"/>
        <v/>
      </c>
    </row>
    <row r="1000" spans="1:13">
      <c r="A1000" s="4">
        <v>1000</v>
      </c>
      <c r="C1000" s="8" t="str">
        <f>IF(B1000="","",VLOOKUP(B1000,小圆机汇总表!A:AP,2,FALSE))</f>
        <v/>
      </c>
      <c r="D1000" s="8" t="str">
        <f>IF(B1000="","",VLOOKUP(B1000,小圆机汇总表!A:AP,7,FALSE))</f>
        <v/>
      </c>
      <c r="E1000" s="8" t="str">
        <f>IF(B1000="","",VLOOKUP(B1000,小圆机汇总表!A:AP,5,FALSE))</f>
        <v/>
      </c>
      <c r="F1000" s="8" t="str">
        <f>IF(B1000="","",VLOOKUP(B1000,小圆机汇总表!A:AP,8,FALSE))</f>
        <v/>
      </c>
      <c r="J1000" s="8" t="str">
        <f t="shared" si="19"/>
        <v/>
      </c>
      <c r="M1000" s="250" t="str">
        <f t="shared" si="18"/>
        <v/>
      </c>
    </row>
    <row r="1001" spans="1:13">
      <c r="A1001" s="4">
        <v>1001</v>
      </c>
      <c r="C1001" s="8" t="str">
        <f>IF(B1001="","",VLOOKUP(B1001,小圆机汇总表!A:AP,2,FALSE))</f>
        <v/>
      </c>
      <c r="D1001" s="8" t="str">
        <f>IF(B1001="","",VLOOKUP(B1001,小圆机汇总表!A:AP,7,FALSE))</f>
        <v/>
      </c>
      <c r="E1001" s="8" t="str">
        <f>IF(B1001="","",VLOOKUP(B1001,小圆机汇总表!A:AP,5,FALSE))</f>
        <v/>
      </c>
      <c r="F1001" s="8" t="str">
        <f>IF(B1001="","",VLOOKUP(B1001,小圆机汇总表!A:AP,8,FALSE))</f>
        <v/>
      </c>
      <c r="J1001" s="8" t="str">
        <f t="shared" si="19"/>
        <v/>
      </c>
      <c r="M1001" s="250" t="str">
        <f t="shared" si="18"/>
        <v/>
      </c>
    </row>
    <row r="1002" spans="1:13">
      <c r="A1002" s="4">
        <v>1002</v>
      </c>
      <c r="C1002" s="8" t="str">
        <f>IF(B1002="","",VLOOKUP(B1002,小圆机汇总表!A:AP,2,FALSE))</f>
        <v/>
      </c>
      <c r="D1002" s="8" t="str">
        <f>IF(B1002="","",VLOOKUP(B1002,小圆机汇总表!A:AP,7,FALSE))</f>
        <v/>
      </c>
      <c r="E1002" s="8" t="str">
        <f>IF(B1002="","",VLOOKUP(B1002,小圆机汇总表!A:AP,5,FALSE))</f>
        <v/>
      </c>
      <c r="F1002" s="8" t="str">
        <f>IF(B1002="","",VLOOKUP(B1002,小圆机汇总表!A:AP,8,FALSE))</f>
        <v/>
      </c>
      <c r="J1002" s="8" t="str">
        <f t="shared" si="19"/>
        <v/>
      </c>
      <c r="M1002" s="250" t="str">
        <f t="shared" si="18"/>
        <v/>
      </c>
    </row>
    <row r="1003" spans="1:13">
      <c r="A1003" s="4">
        <v>1003</v>
      </c>
      <c r="C1003" s="8" t="str">
        <f>IF(B1003="","",VLOOKUP(B1003,小圆机汇总表!A:AP,2,FALSE))</f>
        <v/>
      </c>
      <c r="D1003" s="8" t="str">
        <f>IF(B1003="","",VLOOKUP(B1003,小圆机汇总表!A:AP,7,FALSE))</f>
        <v/>
      </c>
      <c r="E1003" s="8" t="str">
        <f>IF(B1003="","",VLOOKUP(B1003,小圆机汇总表!A:AP,5,FALSE))</f>
        <v/>
      </c>
      <c r="F1003" s="8" t="str">
        <f>IF(B1003="","",VLOOKUP(B1003,小圆机汇总表!A:AP,8,FALSE))</f>
        <v/>
      </c>
      <c r="J1003" s="8" t="str">
        <f t="shared" si="19"/>
        <v/>
      </c>
      <c r="M1003" s="250" t="str">
        <f t="shared" si="18"/>
        <v/>
      </c>
    </row>
    <row r="1004" spans="1:13">
      <c r="A1004" s="4">
        <v>1004</v>
      </c>
      <c r="C1004" s="8" t="str">
        <f>IF(B1004="","",VLOOKUP(B1004,小圆机汇总表!A:AP,2,FALSE))</f>
        <v/>
      </c>
      <c r="D1004" s="8" t="str">
        <f>IF(B1004="","",VLOOKUP(B1004,小圆机汇总表!A:AP,7,FALSE))</f>
        <v/>
      </c>
      <c r="E1004" s="8" t="str">
        <f>IF(B1004="","",VLOOKUP(B1004,小圆机汇总表!A:AP,5,FALSE))</f>
        <v/>
      </c>
      <c r="F1004" s="8" t="str">
        <f>IF(B1004="","",VLOOKUP(B1004,小圆机汇总表!A:AP,8,FALSE))</f>
        <v/>
      </c>
      <c r="J1004" s="8" t="str">
        <f t="shared" si="19"/>
        <v/>
      </c>
      <c r="M1004" s="250" t="str">
        <f t="shared" si="18"/>
        <v/>
      </c>
    </row>
    <row r="1005" spans="1:13">
      <c r="A1005" s="4">
        <v>1005</v>
      </c>
      <c r="C1005" s="8" t="str">
        <f>IF(B1005="","",VLOOKUP(B1005,小圆机汇总表!A:AP,2,FALSE))</f>
        <v/>
      </c>
      <c r="D1005" s="8" t="str">
        <f>IF(B1005="","",VLOOKUP(B1005,小圆机汇总表!A:AP,7,FALSE))</f>
        <v/>
      </c>
      <c r="E1005" s="8" t="str">
        <f>IF(B1005="","",VLOOKUP(B1005,小圆机汇总表!A:AP,5,FALSE))</f>
        <v/>
      </c>
      <c r="F1005" s="8" t="str">
        <f>IF(B1005="","",VLOOKUP(B1005,小圆机汇总表!A:AP,8,FALSE))</f>
        <v/>
      </c>
      <c r="J1005" s="8" t="str">
        <f t="shared" si="19"/>
        <v/>
      </c>
      <c r="M1005" s="250" t="str">
        <f t="shared" si="18"/>
        <v/>
      </c>
    </row>
    <row r="1006" spans="1:13">
      <c r="A1006" s="4">
        <v>1006</v>
      </c>
      <c r="C1006" s="8" t="str">
        <f>IF(B1006="","",VLOOKUP(B1006,小圆机汇总表!A:AP,2,FALSE))</f>
        <v/>
      </c>
      <c r="D1006" s="8" t="str">
        <f>IF(B1006="","",VLOOKUP(B1006,小圆机汇总表!A:AP,7,FALSE))</f>
        <v/>
      </c>
      <c r="E1006" s="8" t="str">
        <f>IF(B1006="","",VLOOKUP(B1006,小圆机汇总表!A:AP,5,FALSE))</f>
        <v/>
      </c>
      <c r="F1006" s="8" t="str">
        <f>IF(B1006="","",VLOOKUP(B1006,小圆机汇总表!A:AP,8,FALSE))</f>
        <v/>
      </c>
      <c r="J1006" s="8" t="str">
        <f t="shared" si="19"/>
        <v/>
      </c>
      <c r="M1006" s="250" t="str">
        <f t="shared" si="18"/>
        <v/>
      </c>
    </row>
    <row r="1007" spans="1:13">
      <c r="A1007" s="4">
        <v>1007</v>
      </c>
      <c r="C1007" s="8" t="str">
        <f>IF(B1007="","",VLOOKUP(B1007,小圆机汇总表!A:AP,2,FALSE))</f>
        <v/>
      </c>
      <c r="D1007" s="8" t="str">
        <f>IF(B1007="","",VLOOKUP(B1007,小圆机汇总表!A:AP,7,FALSE))</f>
        <v/>
      </c>
      <c r="E1007" s="8" t="str">
        <f>IF(B1007="","",VLOOKUP(B1007,小圆机汇总表!A:AP,5,FALSE))</f>
        <v/>
      </c>
      <c r="F1007" s="8" t="str">
        <f>IF(B1007="","",VLOOKUP(B1007,小圆机汇总表!A:AP,8,FALSE))</f>
        <v/>
      </c>
      <c r="J1007" s="8" t="str">
        <f t="shared" si="19"/>
        <v/>
      </c>
      <c r="M1007" s="250" t="str">
        <f t="shared" si="18"/>
        <v/>
      </c>
    </row>
    <row r="1008" spans="1:13">
      <c r="A1008" s="4">
        <v>1008</v>
      </c>
      <c r="C1008" s="8" t="str">
        <f>IF(B1008="","",VLOOKUP(B1008,小圆机汇总表!A:AP,2,FALSE))</f>
        <v/>
      </c>
      <c r="D1008" s="8" t="str">
        <f>IF(B1008="","",VLOOKUP(B1008,小圆机汇总表!A:AP,7,FALSE))</f>
        <v/>
      </c>
      <c r="E1008" s="8" t="str">
        <f>IF(B1008="","",VLOOKUP(B1008,小圆机汇总表!A:AP,5,FALSE))</f>
        <v/>
      </c>
      <c r="F1008" s="8" t="str">
        <f>IF(B1008="","",VLOOKUP(B1008,小圆机汇总表!A:AP,8,FALSE))</f>
        <v/>
      </c>
      <c r="J1008" s="8" t="str">
        <f t="shared" si="19"/>
        <v/>
      </c>
      <c r="M1008" s="250" t="str">
        <f t="shared" si="18"/>
        <v/>
      </c>
    </row>
    <row r="1009" spans="1:13">
      <c r="A1009" s="4">
        <v>1009</v>
      </c>
      <c r="C1009" s="8" t="str">
        <f>IF(B1009="","",VLOOKUP(B1009,小圆机汇总表!A:AP,2,FALSE))</f>
        <v/>
      </c>
      <c r="D1009" s="8" t="str">
        <f>IF(B1009="","",VLOOKUP(B1009,小圆机汇总表!A:AP,7,FALSE))</f>
        <v/>
      </c>
      <c r="E1009" s="8" t="str">
        <f>IF(B1009="","",VLOOKUP(B1009,小圆机汇总表!A:AP,5,FALSE))</f>
        <v/>
      </c>
      <c r="F1009" s="8" t="str">
        <f>IF(B1009="","",VLOOKUP(B1009,小圆机汇总表!A:AP,8,FALSE))</f>
        <v/>
      </c>
      <c r="J1009" s="8" t="str">
        <f t="shared" si="19"/>
        <v/>
      </c>
      <c r="M1009" s="250" t="str">
        <f t="shared" si="18"/>
        <v/>
      </c>
    </row>
    <row r="1010" spans="1:13">
      <c r="A1010" s="4">
        <v>1010</v>
      </c>
      <c r="C1010" s="8" t="str">
        <f>IF(B1010="","",VLOOKUP(B1010,小圆机汇总表!A:AP,2,FALSE))</f>
        <v/>
      </c>
      <c r="D1010" s="8" t="str">
        <f>IF(B1010="","",VLOOKUP(B1010,小圆机汇总表!A:AP,7,FALSE))</f>
        <v/>
      </c>
      <c r="E1010" s="8" t="str">
        <f>IF(B1010="","",VLOOKUP(B1010,小圆机汇总表!A:AP,5,FALSE))</f>
        <v/>
      </c>
      <c r="F1010" s="8" t="str">
        <f>IF(B1010="","",VLOOKUP(B1010,小圆机汇总表!A:AP,8,FALSE))</f>
        <v/>
      </c>
      <c r="J1010" s="8" t="str">
        <f t="shared" si="19"/>
        <v/>
      </c>
      <c r="M1010" s="250" t="str">
        <f t="shared" si="18"/>
        <v/>
      </c>
    </row>
    <row r="1011" spans="1:13">
      <c r="A1011" s="4">
        <v>1011</v>
      </c>
      <c r="C1011" s="8" t="str">
        <f>IF(B1011="","",VLOOKUP(B1011,小圆机汇总表!A:AP,2,FALSE))</f>
        <v/>
      </c>
      <c r="D1011" s="8" t="str">
        <f>IF(B1011="","",VLOOKUP(B1011,小圆机汇总表!A:AP,7,FALSE))</f>
        <v/>
      </c>
      <c r="E1011" s="8" t="str">
        <f>IF(B1011="","",VLOOKUP(B1011,小圆机汇总表!A:AP,5,FALSE))</f>
        <v/>
      </c>
      <c r="F1011" s="8" t="str">
        <f>IF(B1011="","",VLOOKUP(B1011,小圆机汇总表!A:AP,8,FALSE))</f>
        <v/>
      </c>
      <c r="J1011" s="8" t="str">
        <f t="shared" si="19"/>
        <v/>
      </c>
      <c r="M1011" s="250" t="str">
        <f t="shared" si="18"/>
        <v/>
      </c>
    </row>
    <row r="1012" spans="1:13">
      <c r="A1012" s="4">
        <v>1012</v>
      </c>
      <c r="C1012" s="8" t="str">
        <f>IF(B1012="","",VLOOKUP(B1012,小圆机汇总表!A:AP,2,FALSE))</f>
        <v/>
      </c>
      <c r="D1012" s="8" t="str">
        <f>IF(B1012="","",VLOOKUP(B1012,小圆机汇总表!A:AP,7,FALSE))</f>
        <v/>
      </c>
      <c r="E1012" s="8" t="str">
        <f>IF(B1012="","",VLOOKUP(B1012,小圆机汇总表!A:AP,5,FALSE))</f>
        <v/>
      </c>
      <c r="F1012" s="8" t="str">
        <f>IF(B1012="","",VLOOKUP(B1012,小圆机汇总表!A:AP,8,FALSE))</f>
        <v/>
      </c>
      <c r="J1012" s="8" t="str">
        <f t="shared" si="19"/>
        <v/>
      </c>
      <c r="M1012" s="250" t="str">
        <f t="shared" si="18"/>
        <v/>
      </c>
    </row>
    <row r="1013" spans="1:13">
      <c r="A1013" s="4">
        <v>1013</v>
      </c>
      <c r="C1013" s="8" t="str">
        <f>IF(B1013="","",VLOOKUP(B1013,小圆机汇总表!A:AP,2,FALSE))</f>
        <v/>
      </c>
      <c r="D1013" s="8" t="str">
        <f>IF(B1013="","",VLOOKUP(B1013,小圆机汇总表!A:AP,7,FALSE))</f>
        <v/>
      </c>
      <c r="E1013" s="8" t="str">
        <f>IF(B1013="","",VLOOKUP(B1013,小圆机汇总表!A:AP,5,FALSE))</f>
        <v/>
      </c>
      <c r="F1013" s="8" t="str">
        <f>IF(B1013="","",VLOOKUP(B1013,小圆机汇总表!A:AP,8,FALSE))</f>
        <v/>
      </c>
      <c r="J1013" s="8" t="str">
        <f t="shared" si="19"/>
        <v/>
      </c>
      <c r="M1013" s="250" t="str">
        <f t="shared" si="18"/>
        <v/>
      </c>
    </row>
    <row r="1014" spans="1:13">
      <c r="A1014" s="4">
        <v>1014</v>
      </c>
      <c r="C1014" s="8" t="str">
        <f>IF(B1014="","",VLOOKUP(B1014,小圆机汇总表!A:AP,2,FALSE))</f>
        <v/>
      </c>
      <c r="D1014" s="8" t="str">
        <f>IF(B1014="","",VLOOKUP(B1014,小圆机汇总表!A:AP,7,FALSE))</f>
        <v/>
      </c>
      <c r="E1014" s="8" t="str">
        <f>IF(B1014="","",VLOOKUP(B1014,小圆机汇总表!A:AP,5,FALSE))</f>
        <v/>
      </c>
      <c r="F1014" s="8" t="str">
        <f>IF(B1014="","",VLOOKUP(B1014,小圆机汇总表!A:AP,8,FALSE))</f>
        <v/>
      </c>
      <c r="J1014" s="8" t="str">
        <f t="shared" si="19"/>
        <v/>
      </c>
      <c r="M1014" s="250" t="str">
        <f t="shared" si="18"/>
        <v/>
      </c>
    </row>
    <row r="1015" spans="1:13">
      <c r="A1015" s="4">
        <v>1015</v>
      </c>
      <c r="C1015" s="8" t="str">
        <f>IF(B1015="","",VLOOKUP(B1015,小圆机汇总表!A:AP,2,FALSE))</f>
        <v/>
      </c>
      <c r="D1015" s="8" t="str">
        <f>IF(B1015="","",VLOOKUP(B1015,小圆机汇总表!A:AP,7,FALSE))</f>
        <v/>
      </c>
      <c r="E1015" s="8" t="str">
        <f>IF(B1015="","",VLOOKUP(B1015,小圆机汇总表!A:AP,5,FALSE))</f>
        <v/>
      </c>
      <c r="F1015" s="8" t="str">
        <f>IF(B1015="","",VLOOKUP(B1015,小圆机汇总表!A:AP,8,FALSE))</f>
        <v/>
      </c>
      <c r="J1015" s="8" t="str">
        <f t="shared" si="19"/>
        <v/>
      </c>
      <c r="M1015" s="250" t="str">
        <f t="shared" si="18"/>
        <v/>
      </c>
    </row>
    <row r="1016" spans="1:13">
      <c r="A1016" s="4">
        <v>1016</v>
      </c>
      <c r="C1016" s="8" t="str">
        <f>IF(B1016="","",VLOOKUP(B1016,小圆机汇总表!A:AP,2,FALSE))</f>
        <v/>
      </c>
      <c r="D1016" s="8" t="str">
        <f>IF(B1016="","",VLOOKUP(B1016,小圆机汇总表!A:AP,7,FALSE))</f>
        <v/>
      </c>
      <c r="E1016" s="8" t="str">
        <f>IF(B1016="","",VLOOKUP(B1016,小圆机汇总表!A:AP,5,FALSE))</f>
        <v/>
      </c>
      <c r="F1016" s="8" t="str">
        <f>IF(B1016="","",VLOOKUP(B1016,小圆机汇总表!A:AP,8,FALSE))</f>
        <v/>
      </c>
      <c r="J1016" s="8" t="str">
        <f t="shared" si="19"/>
        <v/>
      </c>
      <c r="M1016" s="250" t="str">
        <f t="shared" si="18"/>
        <v/>
      </c>
    </row>
    <row r="1017" spans="1:13">
      <c r="A1017" s="4">
        <v>1017</v>
      </c>
      <c r="C1017" s="8" t="str">
        <f>IF(B1017="","",VLOOKUP(B1017,小圆机汇总表!A:AP,2,FALSE))</f>
        <v/>
      </c>
      <c r="D1017" s="8" t="str">
        <f>IF(B1017="","",VLOOKUP(B1017,小圆机汇总表!A:AP,7,FALSE))</f>
        <v/>
      </c>
      <c r="E1017" s="8" t="str">
        <f>IF(B1017="","",VLOOKUP(B1017,小圆机汇总表!A:AP,5,FALSE))</f>
        <v/>
      </c>
      <c r="F1017" s="8" t="str">
        <f>IF(B1017="","",VLOOKUP(B1017,小圆机汇总表!A:AP,8,FALSE))</f>
        <v/>
      </c>
      <c r="J1017" s="8" t="str">
        <f t="shared" si="19"/>
        <v/>
      </c>
      <c r="M1017" s="250" t="str">
        <f t="shared" si="18"/>
        <v/>
      </c>
    </row>
    <row r="1018" spans="1:13">
      <c r="A1018" s="4">
        <v>1018</v>
      </c>
      <c r="C1018" s="8" t="str">
        <f>IF(B1018="","",VLOOKUP(B1018,小圆机汇总表!A:AP,2,FALSE))</f>
        <v/>
      </c>
      <c r="D1018" s="8" t="str">
        <f>IF(B1018="","",VLOOKUP(B1018,小圆机汇总表!A:AP,7,FALSE))</f>
        <v/>
      </c>
      <c r="E1018" s="8" t="str">
        <f>IF(B1018="","",VLOOKUP(B1018,小圆机汇总表!A:AP,5,FALSE))</f>
        <v/>
      </c>
      <c r="F1018" s="8" t="str">
        <f>IF(B1018="","",VLOOKUP(B1018,小圆机汇总表!A:AP,8,FALSE))</f>
        <v/>
      </c>
      <c r="J1018" s="8" t="str">
        <f t="shared" si="19"/>
        <v/>
      </c>
      <c r="M1018" s="250" t="str">
        <f t="shared" si="18"/>
        <v/>
      </c>
    </row>
    <row r="1019" spans="1:13">
      <c r="A1019" s="4">
        <v>1019</v>
      </c>
      <c r="C1019" s="8" t="str">
        <f>IF(B1019="","",VLOOKUP(B1019,小圆机汇总表!A:AP,2,FALSE))</f>
        <v/>
      </c>
      <c r="D1019" s="8" t="str">
        <f>IF(B1019="","",VLOOKUP(B1019,小圆机汇总表!A:AP,7,FALSE))</f>
        <v/>
      </c>
      <c r="E1019" s="8" t="str">
        <f>IF(B1019="","",VLOOKUP(B1019,小圆机汇总表!A:AP,5,FALSE))</f>
        <v/>
      </c>
      <c r="F1019" s="8" t="str">
        <f>IF(B1019="","",VLOOKUP(B1019,小圆机汇总表!A:AP,8,FALSE))</f>
        <v/>
      </c>
      <c r="J1019" s="8" t="str">
        <f t="shared" si="19"/>
        <v/>
      </c>
      <c r="M1019" s="250" t="str">
        <f t="shared" si="18"/>
        <v/>
      </c>
    </row>
    <row r="1020" spans="1:13">
      <c r="A1020" s="4">
        <v>1020</v>
      </c>
      <c r="C1020" s="8" t="str">
        <f>IF(B1020="","",VLOOKUP(B1020,小圆机汇总表!A:AP,2,FALSE))</f>
        <v/>
      </c>
      <c r="D1020" s="8" t="str">
        <f>IF(B1020="","",VLOOKUP(B1020,小圆机汇总表!A:AP,7,FALSE))</f>
        <v/>
      </c>
      <c r="E1020" s="8" t="str">
        <f>IF(B1020="","",VLOOKUP(B1020,小圆机汇总表!A:AP,5,FALSE))</f>
        <v/>
      </c>
      <c r="F1020" s="8" t="str">
        <f>IF(B1020="","",VLOOKUP(B1020,小圆机汇总表!A:AP,8,FALSE))</f>
        <v/>
      </c>
      <c r="J1020" s="8" t="str">
        <f t="shared" si="19"/>
        <v/>
      </c>
      <c r="M1020" s="250" t="str">
        <f t="shared" si="18"/>
        <v/>
      </c>
    </row>
    <row r="1021" spans="1:13">
      <c r="A1021" s="4">
        <v>1021</v>
      </c>
      <c r="C1021" s="8" t="str">
        <f>IF(B1021="","",VLOOKUP(B1021,小圆机汇总表!A:AP,2,FALSE))</f>
        <v/>
      </c>
      <c r="D1021" s="8" t="str">
        <f>IF(B1021="","",VLOOKUP(B1021,小圆机汇总表!A:AP,7,FALSE))</f>
        <v/>
      </c>
      <c r="E1021" s="8" t="str">
        <f>IF(B1021="","",VLOOKUP(B1021,小圆机汇总表!A:AP,5,FALSE))</f>
        <v/>
      </c>
      <c r="F1021" s="8" t="str">
        <f>IF(B1021="","",VLOOKUP(B1021,小圆机汇总表!A:AP,8,FALSE))</f>
        <v/>
      </c>
      <c r="J1021" s="8" t="str">
        <f t="shared" si="19"/>
        <v/>
      </c>
      <c r="M1021" s="250" t="str">
        <f t="shared" si="18"/>
        <v/>
      </c>
    </row>
    <row r="1022" spans="1:13">
      <c r="A1022" s="4">
        <v>1022</v>
      </c>
      <c r="C1022" s="8" t="str">
        <f>IF(B1022="","",VLOOKUP(B1022,小圆机汇总表!A:AP,2,FALSE))</f>
        <v/>
      </c>
      <c r="D1022" s="8" t="str">
        <f>IF(B1022="","",VLOOKUP(B1022,小圆机汇总表!A:AP,7,FALSE))</f>
        <v/>
      </c>
      <c r="E1022" s="8" t="str">
        <f>IF(B1022="","",VLOOKUP(B1022,小圆机汇总表!A:AP,5,FALSE))</f>
        <v/>
      </c>
      <c r="F1022" s="8" t="str">
        <f>IF(B1022="","",VLOOKUP(B1022,小圆机汇总表!A:AP,8,FALSE))</f>
        <v/>
      </c>
      <c r="J1022" s="8" t="str">
        <f t="shared" si="19"/>
        <v/>
      </c>
      <c r="M1022" s="250" t="str">
        <f t="shared" si="18"/>
        <v/>
      </c>
    </row>
    <row r="1023" spans="1:13">
      <c r="A1023" s="4">
        <v>1023</v>
      </c>
      <c r="C1023" s="8" t="str">
        <f>IF(B1023="","",VLOOKUP(B1023,小圆机汇总表!A:AP,2,FALSE))</f>
        <v/>
      </c>
      <c r="D1023" s="8" t="str">
        <f>IF(B1023="","",VLOOKUP(B1023,小圆机汇总表!A:AP,7,FALSE))</f>
        <v/>
      </c>
      <c r="E1023" s="8" t="str">
        <f>IF(B1023="","",VLOOKUP(B1023,小圆机汇总表!A:AP,5,FALSE))</f>
        <v/>
      </c>
      <c r="F1023" s="8" t="str">
        <f>IF(B1023="","",VLOOKUP(B1023,小圆机汇总表!A:AP,8,FALSE))</f>
        <v/>
      </c>
      <c r="J1023" s="8" t="str">
        <f t="shared" si="19"/>
        <v/>
      </c>
      <c r="M1023" s="250" t="str">
        <f t="shared" si="18"/>
        <v/>
      </c>
    </row>
    <row r="1024" spans="1:13">
      <c r="A1024" s="4">
        <v>1024</v>
      </c>
      <c r="C1024" s="8" t="str">
        <f>IF(B1024="","",VLOOKUP(B1024,小圆机汇总表!A:AP,2,FALSE))</f>
        <v/>
      </c>
      <c r="D1024" s="8" t="str">
        <f>IF(B1024="","",VLOOKUP(B1024,小圆机汇总表!A:AP,7,FALSE))</f>
        <v/>
      </c>
      <c r="E1024" s="8" t="str">
        <f>IF(B1024="","",VLOOKUP(B1024,小圆机汇总表!A:AP,5,FALSE))</f>
        <v/>
      </c>
      <c r="F1024" s="8" t="str">
        <f>IF(B1024="","",VLOOKUP(B1024,小圆机汇总表!A:AP,8,FALSE))</f>
        <v/>
      </c>
      <c r="J1024" s="8" t="str">
        <f t="shared" si="19"/>
        <v/>
      </c>
      <c r="M1024" s="250" t="str">
        <f t="shared" si="18"/>
        <v/>
      </c>
    </row>
    <row r="1025" spans="1:13">
      <c r="A1025" s="4">
        <v>1025</v>
      </c>
      <c r="C1025" s="8" t="str">
        <f>IF(B1025="","",VLOOKUP(B1025,小圆机汇总表!A:AP,2,FALSE))</f>
        <v/>
      </c>
      <c r="D1025" s="8" t="str">
        <f>IF(B1025="","",VLOOKUP(B1025,小圆机汇总表!A:AP,7,FALSE))</f>
        <v/>
      </c>
      <c r="E1025" s="8" t="str">
        <f>IF(B1025="","",VLOOKUP(B1025,小圆机汇总表!A:AP,5,FALSE))</f>
        <v/>
      </c>
      <c r="F1025" s="8" t="str">
        <f>IF(B1025="","",VLOOKUP(B1025,小圆机汇总表!A:AP,8,FALSE))</f>
        <v/>
      </c>
      <c r="J1025" s="8" t="str">
        <f t="shared" si="19"/>
        <v/>
      </c>
      <c r="M1025" s="250" t="str">
        <f t="shared" si="18"/>
        <v/>
      </c>
    </row>
    <row r="1026" spans="1:13">
      <c r="A1026" s="4">
        <v>1026</v>
      </c>
      <c r="C1026" s="8" t="str">
        <f>IF(B1026="","",VLOOKUP(B1026,小圆机汇总表!A:AP,2,FALSE))</f>
        <v/>
      </c>
      <c r="D1026" s="8" t="str">
        <f>IF(B1026="","",VLOOKUP(B1026,小圆机汇总表!A:AP,7,FALSE))</f>
        <v/>
      </c>
      <c r="E1026" s="8" t="str">
        <f>IF(B1026="","",VLOOKUP(B1026,小圆机汇总表!A:AP,5,FALSE))</f>
        <v/>
      </c>
      <c r="F1026" s="8" t="str">
        <f>IF(B1026="","",VLOOKUP(B1026,小圆机汇总表!A:AP,8,FALSE))</f>
        <v/>
      </c>
      <c r="J1026" s="8" t="str">
        <f t="shared" si="19"/>
        <v/>
      </c>
      <c r="M1026" s="250" t="str">
        <f t="shared" si="18"/>
        <v/>
      </c>
    </row>
    <row r="1027" spans="1:13">
      <c r="A1027" s="4">
        <v>1027</v>
      </c>
      <c r="C1027" s="8" t="str">
        <f>IF(B1027="","",VLOOKUP(B1027,小圆机汇总表!A:AP,2,FALSE))</f>
        <v/>
      </c>
      <c r="D1027" s="8" t="str">
        <f>IF(B1027="","",VLOOKUP(B1027,小圆机汇总表!A:AP,7,FALSE))</f>
        <v/>
      </c>
      <c r="E1027" s="8" t="str">
        <f>IF(B1027="","",VLOOKUP(B1027,小圆机汇总表!A:AP,5,FALSE))</f>
        <v/>
      </c>
      <c r="F1027" s="8" t="str">
        <f>IF(B1027="","",VLOOKUP(B1027,小圆机汇总表!A:AP,8,FALSE))</f>
        <v/>
      </c>
      <c r="J1027" s="8" t="str">
        <f t="shared" si="19"/>
        <v/>
      </c>
      <c r="M1027" s="250" t="str">
        <f t="shared" ref="M1027:M1090" si="20">IF(B1027="","",MONTH(G1027))</f>
        <v/>
      </c>
    </row>
    <row r="1028" spans="1:13">
      <c r="A1028" s="4">
        <v>1028</v>
      </c>
      <c r="C1028" s="8" t="str">
        <f>IF(B1028="","",VLOOKUP(B1028,小圆机汇总表!A:AP,2,FALSE))</f>
        <v/>
      </c>
      <c r="D1028" s="8" t="str">
        <f>IF(B1028="","",VLOOKUP(B1028,小圆机汇总表!A:AP,7,FALSE))</f>
        <v/>
      </c>
      <c r="E1028" s="8" t="str">
        <f>IF(B1028="","",VLOOKUP(B1028,小圆机汇总表!A:AP,5,FALSE))</f>
        <v/>
      </c>
      <c r="F1028" s="8" t="str">
        <f>IF(B1028="","",VLOOKUP(B1028,小圆机汇总表!A:AP,8,FALSE))</f>
        <v/>
      </c>
      <c r="J1028" s="8" t="str">
        <f t="shared" si="19"/>
        <v/>
      </c>
      <c r="M1028" s="250" t="str">
        <f t="shared" si="20"/>
        <v/>
      </c>
    </row>
    <row r="1029" spans="1:13">
      <c r="A1029" s="4">
        <v>1029</v>
      </c>
      <c r="C1029" s="8" t="str">
        <f>IF(B1029="","",VLOOKUP(B1029,小圆机汇总表!A:AP,2,FALSE))</f>
        <v/>
      </c>
      <c r="D1029" s="8" t="str">
        <f>IF(B1029="","",VLOOKUP(B1029,小圆机汇总表!A:AP,7,FALSE))</f>
        <v/>
      </c>
      <c r="E1029" s="8" t="str">
        <f>IF(B1029="","",VLOOKUP(B1029,小圆机汇总表!A:AP,5,FALSE))</f>
        <v/>
      </c>
      <c r="F1029" s="8" t="str">
        <f>IF(B1029="","",VLOOKUP(B1029,小圆机汇总表!A:AP,8,FALSE))</f>
        <v/>
      </c>
      <c r="J1029" s="8" t="str">
        <f t="shared" si="19"/>
        <v/>
      </c>
      <c r="M1029" s="250" t="str">
        <f t="shared" si="20"/>
        <v/>
      </c>
    </row>
    <row r="1030" spans="1:13">
      <c r="A1030" s="4">
        <v>1030</v>
      </c>
      <c r="C1030" s="8" t="str">
        <f>IF(B1030="","",VLOOKUP(B1030,小圆机汇总表!A:AP,2,FALSE))</f>
        <v/>
      </c>
      <c r="D1030" s="8" t="str">
        <f>IF(B1030="","",VLOOKUP(B1030,小圆机汇总表!A:AP,7,FALSE))</f>
        <v/>
      </c>
      <c r="E1030" s="8" t="str">
        <f>IF(B1030="","",VLOOKUP(B1030,小圆机汇总表!A:AP,5,FALSE))</f>
        <v/>
      </c>
      <c r="F1030" s="8" t="str">
        <f>IF(B1030="","",VLOOKUP(B1030,小圆机汇总表!A:AP,8,FALSE))</f>
        <v/>
      </c>
      <c r="J1030" s="8" t="str">
        <f t="shared" si="19"/>
        <v/>
      </c>
      <c r="M1030" s="250" t="str">
        <f t="shared" si="20"/>
        <v/>
      </c>
    </row>
    <row r="1031" spans="1:13">
      <c r="A1031" s="4">
        <v>1031</v>
      </c>
      <c r="C1031" s="8" t="str">
        <f>IF(B1031="","",VLOOKUP(B1031,小圆机汇总表!A:AP,2,FALSE))</f>
        <v/>
      </c>
      <c r="D1031" s="8" t="str">
        <f>IF(B1031="","",VLOOKUP(B1031,小圆机汇总表!A:AP,7,FALSE))</f>
        <v/>
      </c>
      <c r="E1031" s="8" t="str">
        <f>IF(B1031="","",VLOOKUP(B1031,小圆机汇总表!A:AP,5,FALSE))</f>
        <v/>
      </c>
      <c r="F1031" s="8" t="str">
        <f>IF(B1031="","",VLOOKUP(B1031,小圆机汇总表!A:AP,8,FALSE))</f>
        <v/>
      </c>
      <c r="J1031" s="8" t="str">
        <f t="shared" si="19"/>
        <v/>
      </c>
      <c r="M1031" s="250" t="str">
        <f t="shared" si="20"/>
        <v/>
      </c>
    </row>
    <row r="1032" spans="1:13">
      <c r="A1032" s="4">
        <v>1032</v>
      </c>
      <c r="C1032" s="8" t="str">
        <f>IF(B1032="","",VLOOKUP(B1032,小圆机汇总表!A:AP,2,FALSE))</f>
        <v/>
      </c>
      <c r="D1032" s="8" t="str">
        <f>IF(B1032="","",VLOOKUP(B1032,小圆机汇总表!A:AP,7,FALSE))</f>
        <v/>
      </c>
      <c r="E1032" s="8" t="str">
        <f>IF(B1032="","",VLOOKUP(B1032,小圆机汇总表!A:AP,5,FALSE))</f>
        <v/>
      </c>
      <c r="F1032" s="8" t="str">
        <f>IF(B1032="","",VLOOKUP(B1032,小圆机汇总表!A:AP,8,FALSE))</f>
        <v/>
      </c>
      <c r="J1032" s="8" t="str">
        <f t="shared" si="19"/>
        <v/>
      </c>
      <c r="M1032" s="250" t="str">
        <f t="shared" si="20"/>
        <v/>
      </c>
    </row>
    <row r="1033" spans="1:13">
      <c r="A1033" s="4">
        <v>1033</v>
      </c>
      <c r="C1033" s="8" t="str">
        <f>IF(B1033="","",VLOOKUP(B1033,小圆机汇总表!A:AP,2,FALSE))</f>
        <v/>
      </c>
      <c r="D1033" s="8" t="str">
        <f>IF(B1033="","",VLOOKUP(B1033,小圆机汇总表!A:AP,7,FALSE))</f>
        <v/>
      </c>
      <c r="E1033" s="8" t="str">
        <f>IF(B1033="","",VLOOKUP(B1033,小圆机汇总表!A:AP,5,FALSE))</f>
        <v/>
      </c>
      <c r="F1033" s="8" t="str">
        <f>IF(B1033="","",VLOOKUP(B1033,小圆机汇总表!A:AP,8,FALSE))</f>
        <v/>
      </c>
      <c r="J1033" s="8" t="str">
        <f t="shared" si="19"/>
        <v/>
      </c>
      <c r="M1033" s="250" t="str">
        <f t="shared" si="20"/>
        <v/>
      </c>
    </row>
    <row r="1034" spans="1:13">
      <c r="A1034" s="4">
        <v>1034</v>
      </c>
      <c r="C1034" s="8" t="str">
        <f>IF(B1034="","",VLOOKUP(B1034,小圆机汇总表!A:AP,2,FALSE))</f>
        <v/>
      </c>
      <c r="D1034" s="8" t="str">
        <f>IF(B1034="","",VLOOKUP(B1034,小圆机汇总表!A:AP,7,FALSE))</f>
        <v/>
      </c>
      <c r="E1034" s="8" t="str">
        <f>IF(B1034="","",VLOOKUP(B1034,小圆机汇总表!A:AP,5,FALSE))</f>
        <v/>
      </c>
      <c r="F1034" s="8" t="str">
        <f>IF(B1034="","",VLOOKUP(B1034,小圆机汇总表!A:AP,8,FALSE))</f>
        <v/>
      </c>
      <c r="J1034" s="8" t="str">
        <f t="shared" si="19"/>
        <v/>
      </c>
      <c r="M1034" s="250" t="str">
        <f t="shared" si="20"/>
        <v/>
      </c>
    </row>
    <row r="1035" spans="1:13">
      <c r="A1035" s="4">
        <v>1035</v>
      </c>
      <c r="C1035" s="8" t="str">
        <f>IF(B1035="","",VLOOKUP(B1035,小圆机汇总表!A:AP,2,FALSE))</f>
        <v/>
      </c>
      <c r="D1035" s="8" t="str">
        <f>IF(B1035="","",VLOOKUP(B1035,小圆机汇总表!A:AP,7,FALSE))</f>
        <v/>
      </c>
      <c r="E1035" s="8" t="str">
        <f>IF(B1035="","",VLOOKUP(B1035,小圆机汇总表!A:AP,5,FALSE))</f>
        <v/>
      </c>
      <c r="F1035" s="8" t="str">
        <f>IF(B1035="","",VLOOKUP(B1035,小圆机汇总表!A:AP,8,FALSE))</f>
        <v/>
      </c>
      <c r="J1035" s="8" t="str">
        <f t="shared" si="19"/>
        <v/>
      </c>
      <c r="M1035" s="250" t="str">
        <f t="shared" si="20"/>
        <v/>
      </c>
    </row>
    <row r="1036" spans="1:13">
      <c r="A1036" s="4">
        <v>1036</v>
      </c>
      <c r="C1036" s="8" t="str">
        <f>IF(B1036="","",VLOOKUP(B1036,小圆机汇总表!A:AP,2,FALSE))</f>
        <v/>
      </c>
      <c r="D1036" s="8" t="str">
        <f>IF(B1036="","",VLOOKUP(B1036,小圆机汇总表!A:AP,7,FALSE))</f>
        <v/>
      </c>
      <c r="E1036" s="8" t="str">
        <f>IF(B1036="","",VLOOKUP(B1036,小圆机汇总表!A:AP,5,FALSE))</f>
        <v/>
      </c>
      <c r="F1036" s="8" t="str">
        <f>IF(B1036="","",VLOOKUP(B1036,小圆机汇总表!A:AP,8,FALSE))</f>
        <v/>
      </c>
      <c r="J1036" s="8" t="str">
        <f t="shared" si="19"/>
        <v/>
      </c>
      <c r="M1036" s="250" t="str">
        <f t="shared" si="20"/>
        <v/>
      </c>
    </row>
    <row r="1037" spans="1:13">
      <c r="A1037" s="4">
        <v>1037</v>
      </c>
      <c r="C1037" s="8" t="str">
        <f>IF(B1037="","",VLOOKUP(B1037,小圆机汇总表!A:AP,2,FALSE))</f>
        <v/>
      </c>
      <c r="D1037" s="8" t="str">
        <f>IF(B1037="","",VLOOKUP(B1037,小圆机汇总表!A:AP,7,FALSE))</f>
        <v/>
      </c>
      <c r="E1037" s="8" t="str">
        <f>IF(B1037="","",VLOOKUP(B1037,小圆机汇总表!A:AP,5,FALSE))</f>
        <v/>
      </c>
      <c r="F1037" s="8" t="str">
        <f>IF(B1037="","",VLOOKUP(B1037,小圆机汇总表!A:AP,8,FALSE))</f>
        <v/>
      </c>
      <c r="J1037" s="8" t="str">
        <f t="shared" si="19"/>
        <v/>
      </c>
      <c r="M1037" s="250" t="str">
        <f t="shared" si="20"/>
        <v/>
      </c>
    </row>
    <row r="1038" spans="1:13">
      <c r="A1038" s="4">
        <v>1038</v>
      </c>
      <c r="C1038" s="8" t="str">
        <f>IF(B1038="","",VLOOKUP(B1038,小圆机汇总表!A:AP,2,FALSE))</f>
        <v/>
      </c>
      <c r="D1038" s="8" t="str">
        <f>IF(B1038="","",VLOOKUP(B1038,小圆机汇总表!A:AP,7,FALSE))</f>
        <v/>
      </c>
      <c r="E1038" s="8" t="str">
        <f>IF(B1038="","",VLOOKUP(B1038,小圆机汇总表!A:AP,5,FALSE))</f>
        <v/>
      </c>
      <c r="F1038" s="8" t="str">
        <f>IF(B1038="","",VLOOKUP(B1038,小圆机汇总表!A:AP,8,FALSE))</f>
        <v/>
      </c>
      <c r="J1038" s="8" t="str">
        <f t="shared" si="19"/>
        <v/>
      </c>
      <c r="M1038" s="250" t="str">
        <f t="shared" si="20"/>
        <v/>
      </c>
    </row>
    <row r="1039" spans="1:13">
      <c r="A1039" s="4">
        <v>1039</v>
      </c>
      <c r="C1039" s="8" t="str">
        <f>IF(B1039="","",VLOOKUP(B1039,小圆机汇总表!A:AP,2,FALSE))</f>
        <v/>
      </c>
      <c r="D1039" s="8" t="str">
        <f>IF(B1039="","",VLOOKUP(B1039,小圆机汇总表!A:AP,7,FALSE))</f>
        <v/>
      </c>
      <c r="E1039" s="8" t="str">
        <f>IF(B1039="","",VLOOKUP(B1039,小圆机汇总表!A:AP,5,FALSE))</f>
        <v/>
      </c>
      <c r="F1039" s="8" t="str">
        <f>IF(B1039="","",VLOOKUP(B1039,小圆机汇总表!A:AP,8,FALSE))</f>
        <v/>
      </c>
      <c r="J1039" s="8" t="str">
        <f t="shared" si="19"/>
        <v/>
      </c>
      <c r="M1039" s="250" t="str">
        <f t="shared" si="20"/>
        <v/>
      </c>
    </row>
    <row r="1040" spans="1:13">
      <c r="A1040" s="4">
        <v>1040</v>
      </c>
      <c r="C1040" s="8" t="str">
        <f>IF(B1040="","",VLOOKUP(B1040,小圆机汇总表!A:AP,2,FALSE))</f>
        <v/>
      </c>
      <c r="D1040" s="8" t="str">
        <f>IF(B1040="","",VLOOKUP(B1040,小圆机汇总表!A:AP,7,FALSE))</f>
        <v/>
      </c>
      <c r="E1040" s="8" t="str">
        <f>IF(B1040="","",VLOOKUP(B1040,小圆机汇总表!A:AP,5,FALSE))</f>
        <v/>
      </c>
      <c r="F1040" s="8" t="str">
        <f>IF(B1040="","",VLOOKUP(B1040,小圆机汇总表!A:AP,8,FALSE))</f>
        <v/>
      </c>
      <c r="J1040" s="8" t="str">
        <f t="shared" si="19"/>
        <v/>
      </c>
      <c r="M1040" s="250" t="str">
        <f t="shared" si="20"/>
        <v/>
      </c>
    </row>
    <row r="1041" spans="1:13">
      <c r="A1041" s="4">
        <v>1041</v>
      </c>
      <c r="C1041" s="8" t="str">
        <f>IF(B1041="","",VLOOKUP(B1041,小圆机汇总表!A:AP,2,FALSE))</f>
        <v/>
      </c>
      <c r="D1041" s="8" t="str">
        <f>IF(B1041="","",VLOOKUP(B1041,小圆机汇总表!A:AP,7,FALSE))</f>
        <v/>
      </c>
      <c r="E1041" s="8" t="str">
        <f>IF(B1041="","",VLOOKUP(B1041,小圆机汇总表!A:AP,5,FALSE))</f>
        <v/>
      </c>
      <c r="F1041" s="8" t="str">
        <f>IF(B1041="","",VLOOKUP(B1041,小圆机汇总表!A:AP,8,FALSE))</f>
        <v/>
      </c>
      <c r="J1041" s="8" t="str">
        <f t="shared" si="19"/>
        <v/>
      </c>
      <c r="M1041" s="250" t="str">
        <f t="shared" si="20"/>
        <v/>
      </c>
    </row>
    <row r="1042" spans="1:13">
      <c r="A1042" s="4">
        <v>1042</v>
      </c>
      <c r="C1042" s="8" t="str">
        <f>IF(B1042="","",VLOOKUP(B1042,小圆机汇总表!A:AP,2,FALSE))</f>
        <v/>
      </c>
      <c r="D1042" s="8" t="str">
        <f>IF(B1042="","",VLOOKUP(B1042,小圆机汇总表!A:AP,7,FALSE))</f>
        <v/>
      </c>
      <c r="E1042" s="8" t="str">
        <f>IF(B1042="","",VLOOKUP(B1042,小圆机汇总表!A:AP,5,FALSE))</f>
        <v/>
      </c>
      <c r="F1042" s="8" t="str">
        <f>IF(B1042="","",VLOOKUP(B1042,小圆机汇总表!A:AP,8,FALSE))</f>
        <v/>
      </c>
      <c r="J1042" s="8" t="str">
        <f t="shared" si="19"/>
        <v/>
      </c>
      <c r="M1042" s="250" t="str">
        <f t="shared" si="20"/>
        <v/>
      </c>
    </row>
    <row r="1043" spans="1:13">
      <c r="A1043" s="4">
        <v>1043</v>
      </c>
      <c r="C1043" s="8" t="str">
        <f>IF(B1043="","",VLOOKUP(B1043,小圆机汇总表!A:AP,2,FALSE))</f>
        <v/>
      </c>
      <c r="D1043" s="8" t="str">
        <f>IF(B1043="","",VLOOKUP(B1043,小圆机汇总表!A:AP,7,FALSE))</f>
        <v/>
      </c>
      <c r="E1043" s="8" t="str">
        <f>IF(B1043="","",VLOOKUP(B1043,小圆机汇总表!A:AP,5,FALSE))</f>
        <v/>
      </c>
      <c r="F1043" s="8" t="str">
        <f>IF(B1043="","",VLOOKUP(B1043,小圆机汇总表!A:AP,8,FALSE))</f>
        <v/>
      </c>
      <c r="J1043" s="8" t="str">
        <f t="shared" si="19"/>
        <v/>
      </c>
      <c r="M1043" s="250" t="str">
        <f t="shared" si="20"/>
        <v/>
      </c>
    </row>
    <row r="1044" spans="1:13">
      <c r="A1044" s="4">
        <v>1044</v>
      </c>
      <c r="C1044" s="8" t="str">
        <f>IF(B1044="","",VLOOKUP(B1044,小圆机汇总表!A:AP,2,FALSE))</f>
        <v/>
      </c>
      <c r="D1044" s="8" t="str">
        <f>IF(B1044="","",VLOOKUP(B1044,小圆机汇总表!A:AP,7,FALSE))</f>
        <v/>
      </c>
      <c r="E1044" s="8" t="str">
        <f>IF(B1044="","",VLOOKUP(B1044,小圆机汇总表!A:AP,5,FALSE))</f>
        <v/>
      </c>
      <c r="F1044" s="8" t="str">
        <f>IF(B1044="","",VLOOKUP(B1044,小圆机汇总表!A:AP,8,FALSE))</f>
        <v/>
      </c>
      <c r="J1044" s="8" t="str">
        <f t="shared" si="19"/>
        <v/>
      </c>
      <c r="M1044" s="250" t="str">
        <f t="shared" si="20"/>
        <v/>
      </c>
    </row>
    <row r="1045" spans="1:13">
      <c r="A1045" s="4">
        <v>1045</v>
      </c>
      <c r="C1045" s="8" t="str">
        <f>IF(B1045="","",VLOOKUP(B1045,小圆机汇总表!A:AP,2,FALSE))</f>
        <v/>
      </c>
      <c r="D1045" s="8" t="str">
        <f>IF(B1045="","",VLOOKUP(B1045,小圆机汇总表!A:AP,7,FALSE))</f>
        <v/>
      </c>
      <c r="E1045" s="8" t="str">
        <f>IF(B1045="","",VLOOKUP(B1045,小圆机汇总表!A:AP,5,FALSE))</f>
        <v/>
      </c>
      <c r="F1045" s="8" t="str">
        <f>IF(B1045="","",VLOOKUP(B1045,小圆机汇总表!A:AP,8,FALSE))</f>
        <v/>
      </c>
      <c r="J1045" s="8" t="str">
        <f t="shared" si="19"/>
        <v/>
      </c>
      <c r="M1045" s="250" t="str">
        <f t="shared" si="20"/>
        <v/>
      </c>
    </row>
    <row r="1046" spans="1:13">
      <c r="A1046" s="4">
        <v>1046</v>
      </c>
      <c r="C1046" s="8" t="str">
        <f>IF(B1046="","",VLOOKUP(B1046,小圆机汇总表!A:AP,2,FALSE))</f>
        <v/>
      </c>
      <c r="D1046" s="8" t="str">
        <f>IF(B1046="","",VLOOKUP(B1046,小圆机汇总表!A:AP,7,FALSE))</f>
        <v/>
      </c>
      <c r="E1046" s="8" t="str">
        <f>IF(B1046="","",VLOOKUP(B1046,小圆机汇总表!A:AP,5,FALSE))</f>
        <v/>
      </c>
      <c r="F1046" s="8" t="str">
        <f>IF(B1046="","",VLOOKUP(B1046,小圆机汇总表!A:AP,8,FALSE))</f>
        <v/>
      </c>
      <c r="J1046" s="8" t="str">
        <f t="shared" si="19"/>
        <v/>
      </c>
      <c r="M1046" s="250" t="str">
        <f t="shared" si="20"/>
        <v/>
      </c>
    </row>
    <row r="1047" spans="1:13">
      <c r="A1047" s="4">
        <v>1047</v>
      </c>
      <c r="C1047" s="8" t="str">
        <f>IF(B1047="","",VLOOKUP(B1047,小圆机汇总表!A:AP,2,FALSE))</f>
        <v/>
      </c>
      <c r="D1047" s="8" t="str">
        <f>IF(B1047="","",VLOOKUP(B1047,小圆机汇总表!A:AP,7,FALSE))</f>
        <v/>
      </c>
      <c r="E1047" s="8" t="str">
        <f>IF(B1047="","",VLOOKUP(B1047,小圆机汇总表!A:AP,5,FALSE))</f>
        <v/>
      </c>
      <c r="F1047" s="8" t="str">
        <f>IF(B1047="","",VLOOKUP(B1047,小圆机汇总表!A:AP,8,FALSE))</f>
        <v/>
      </c>
      <c r="J1047" s="8" t="str">
        <f t="shared" si="19"/>
        <v/>
      </c>
      <c r="M1047" s="250" t="str">
        <f t="shared" si="20"/>
        <v/>
      </c>
    </row>
    <row r="1048" spans="1:13">
      <c r="A1048" s="4">
        <v>1048</v>
      </c>
      <c r="C1048" s="8" t="str">
        <f>IF(B1048="","",VLOOKUP(B1048,小圆机汇总表!A:AP,2,FALSE))</f>
        <v/>
      </c>
      <c r="D1048" s="8" t="str">
        <f>IF(B1048="","",VLOOKUP(B1048,小圆机汇总表!A:AP,7,FALSE))</f>
        <v/>
      </c>
      <c r="E1048" s="8" t="str">
        <f>IF(B1048="","",VLOOKUP(B1048,小圆机汇总表!A:AP,5,FALSE))</f>
        <v/>
      </c>
      <c r="F1048" s="8" t="str">
        <f>IF(B1048="","",VLOOKUP(B1048,小圆机汇总表!A:AP,8,FALSE))</f>
        <v/>
      </c>
      <c r="J1048" s="8" t="str">
        <f t="shared" si="19"/>
        <v/>
      </c>
      <c r="M1048" s="250" t="str">
        <f t="shared" si="20"/>
        <v/>
      </c>
    </row>
    <row r="1049" spans="1:13">
      <c r="A1049" s="4">
        <v>1049</v>
      </c>
      <c r="C1049" s="8" t="str">
        <f>IF(B1049="","",VLOOKUP(B1049,小圆机汇总表!A:AP,2,FALSE))</f>
        <v/>
      </c>
      <c r="D1049" s="8" t="str">
        <f>IF(B1049="","",VLOOKUP(B1049,小圆机汇总表!A:AP,7,FALSE))</f>
        <v/>
      </c>
      <c r="E1049" s="8" t="str">
        <f>IF(B1049="","",VLOOKUP(B1049,小圆机汇总表!A:AP,5,FALSE))</f>
        <v/>
      </c>
      <c r="F1049" s="8" t="str">
        <f>IF(B1049="","",VLOOKUP(B1049,小圆机汇总表!A:AP,8,FALSE))</f>
        <v/>
      </c>
      <c r="J1049" s="8" t="str">
        <f t="shared" si="19"/>
        <v/>
      </c>
      <c r="M1049" s="250" t="str">
        <f t="shared" si="20"/>
        <v/>
      </c>
    </row>
    <row r="1050" spans="1:13">
      <c r="A1050" s="4">
        <v>1050</v>
      </c>
      <c r="C1050" s="8" t="str">
        <f>IF(B1050="","",VLOOKUP(B1050,小圆机汇总表!A:AP,2,FALSE))</f>
        <v/>
      </c>
      <c r="D1050" s="8" t="str">
        <f>IF(B1050="","",VLOOKUP(B1050,小圆机汇总表!A:AP,7,FALSE))</f>
        <v/>
      </c>
      <c r="E1050" s="8" t="str">
        <f>IF(B1050="","",VLOOKUP(B1050,小圆机汇总表!A:AP,5,FALSE))</f>
        <v/>
      </c>
      <c r="F1050" s="8" t="str">
        <f>IF(B1050="","",VLOOKUP(B1050,小圆机汇总表!A:AP,8,FALSE))</f>
        <v/>
      </c>
      <c r="J1050" s="8" t="str">
        <f t="shared" si="19"/>
        <v/>
      </c>
      <c r="M1050" s="250" t="str">
        <f t="shared" si="20"/>
        <v/>
      </c>
    </row>
    <row r="1051" spans="1:13">
      <c r="A1051" s="4">
        <v>1051</v>
      </c>
      <c r="C1051" s="8" t="str">
        <f>IF(B1051="","",VLOOKUP(B1051,小圆机汇总表!A:AP,2,FALSE))</f>
        <v/>
      </c>
      <c r="D1051" s="8" t="str">
        <f>IF(B1051="","",VLOOKUP(B1051,小圆机汇总表!A:AP,7,FALSE))</f>
        <v/>
      </c>
      <c r="E1051" s="8" t="str">
        <f>IF(B1051="","",VLOOKUP(B1051,小圆机汇总表!A:AP,5,FALSE))</f>
        <v/>
      </c>
      <c r="F1051" s="8" t="str">
        <f>IF(B1051="","",VLOOKUP(B1051,小圆机汇总表!A:AP,8,FALSE))</f>
        <v/>
      </c>
      <c r="J1051" s="8" t="str">
        <f t="shared" si="19"/>
        <v/>
      </c>
      <c r="M1051" s="250" t="str">
        <f t="shared" si="20"/>
        <v/>
      </c>
    </row>
    <row r="1052" spans="1:13">
      <c r="A1052" s="4">
        <v>1052</v>
      </c>
      <c r="C1052" s="8" t="str">
        <f>IF(B1052="","",VLOOKUP(B1052,小圆机汇总表!A:AP,2,FALSE))</f>
        <v/>
      </c>
      <c r="D1052" s="8" t="str">
        <f>IF(B1052="","",VLOOKUP(B1052,小圆机汇总表!A:AP,7,FALSE))</f>
        <v/>
      </c>
      <c r="E1052" s="8" t="str">
        <f>IF(B1052="","",VLOOKUP(B1052,小圆机汇总表!A:AP,5,FALSE))</f>
        <v/>
      </c>
      <c r="F1052" s="8" t="str">
        <f>IF(B1052="","",VLOOKUP(B1052,小圆机汇总表!A:AP,8,FALSE))</f>
        <v/>
      </c>
      <c r="J1052" s="8" t="str">
        <f t="shared" si="19"/>
        <v/>
      </c>
      <c r="M1052" s="250" t="str">
        <f t="shared" si="20"/>
        <v/>
      </c>
    </row>
    <row r="1053" spans="1:13">
      <c r="A1053" s="4">
        <v>1053</v>
      </c>
      <c r="C1053" s="8" t="str">
        <f>IF(B1053="","",VLOOKUP(B1053,小圆机汇总表!A:AP,2,FALSE))</f>
        <v/>
      </c>
      <c r="D1053" s="8" t="str">
        <f>IF(B1053="","",VLOOKUP(B1053,小圆机汇总表!A:AP,7,FALSE))</f>
        <v/>
      </c>
      <c r="E1053" s="8" t="str">
        <f>IF(B1053="","",VLOOKUP(B1053,小圆机汇总表!A:AP,5,FALSE))</f>
        <v/>
      </c>
      <c r="F1053" s="8" t="str">
        <f>IF(B1053="","",VLOOKUP(B1053,小圆机汇总表!A:AP,8,FALSE))</f>
        <v/>
      </c>
      <c r="J1053" s="8" t="str">
        <f t="shared" si="19"/>
        <v/>
      </c>
      <c r="M1053" s="250" t="str">
        <f t="shared" si="20"/>
        <v/>
      </c>
    </row>
    <row r="1054" spans="1:13">
      <c r="A1054" s="4">
        <v>1054</v>
      </c>
      <c r="C1054" s="8" t="str">
        <f>IF(B1054="","",VLOOKUP(B1054,小圆机汇总表!A:AP,2,FALSE))</f>
        <v/>
      </c>
      <c r="D1054" s="8" t="str">
        <f>IF(B1054="","",VLOOKUP(B1054,小圆机汇总表!A:AP,7,FALSE))</f>
        <v/>
      </c>
      <c r="E1054" s="8" t="str">
        <f>IF(B1054="","",VLOOKUP(B1054,小圆机汇总表!A:AP,5,FALSE))</f>
        <v/>
      </c>
      <c r="F1054" s="8" t="str">
        <f>IF(B1054="","",VLOOKUP(B1054,小圆机汇总表!A:AP,8,FALSE))</f>
        <v/>
      </c>
      <c r="J1054" s="8" t="str">
        <f t="shared" si="19"/>
        <v/>
      </c>
      <c r="M1054" s="250" t="str">
        <f t="shared" si="20"/>
        <v/>
      </c>
    </row>
    <row r="1055" spans="1:13">
      <c r="A1055" s="4">
        <v>1055</v>
      </c>
      <c r="C1055" s="8" t="str">
        <f>IF(B1055="","",VLOOKUP(B1055,小圆机汇总表!A:AP,2,FALSE))</f>
        <v/>
      </c>
      <c r="D1055" s="8" t="str">
        <f>IF(B1055="","",VLOOKUP(B1055,小圆机汇总表!A:AP,7,FALSE))</f>
        <v/>
      </c>
      <c r="E1055" s="8" t="str">
        <f>IF(B1055="","",VLOOKUP(B1055,小圆机汇总表!A:AP,5,FALSE))</f>
        <v/>
      </c>
      <c r="F1055" s="8" t="str">
        <f>IF(B1055="","",VLOOKUP(B1055,小圆机汇总表!A:AP,8,FALSE))</f>
        <v/>
      </c>
      <c r="J1055" s="8" t="str">
        <f t="shared" si="19"/>
        <v/>
      </c>
      <c r="M1055" s="250" t="str">
        <f t="shared" si="20"/>
        <v/>
      </c>
    </row>
    <row r="1056" spans="1:13">
      <c r="A1056" s="4">
        <v>1056</v>
      </c>
      <c r="C1056" s="8" t="str">
        <f>IF(B1056="","",VLOOKUP(B1056,小圆机汇总表!A:AP,2,FALSE))</f>
        <v/>
      </c>
      <c r="D1056" s="8" t="str">
        <f>IF(B1056="","",VLOOKUP(B1056,小圆机汇总表!A:AP,7,FALSE))</f>
        <v/>
      </c>
      <c r="E1056" s="8" t="str">
        <f>IF(B1056="","",VLOOKUP(B1056,小圆机汇总表!A:AP,5,FALSE))</f>
        <v/>
      </c>
      <c r="F1056" s="8" t="str">
        <f>IF(B1056="","",VLOOKUP(B1056,小圆机汇总表!A:AP,8,FALSE))</f>
        <v/>
      </c>
      <c r="J1056" s="8" t="str">
        <f t="shared" si="19"/>
        <v/>
      </c>
      <c r="M1056" s="250" t="str">
        <f t="shared" si="20"/>
        <v/>
      </c>
    </row>
    <row r="1057" spans="1:13">
      <c r="A1057" s="4">
        <v>1057</v>
      </c>
      <c r="C1057" s="8" t="str">
        <f>IF(B1057="","",VLOOKUP(B1057,小圆机汇总表!A:AP,2,FALSE))</f>
        <v/>
      </c>
      <c r="D1057" s="8" t="str">
        <f>IF(B1057="","",VLOOKUP(B1057,小圆机汇总表!A:AP,7,FALSE))</f>
        <v/>
      </c>
      <c r="E1057" s="8" t="str">
        <f>IF(B1057="","",VLOOKUP(B1057,小圆机汇总表!A:AP,5,FALSE))</f>
        <v/>
      </c>
      <c r="F1057" s="8" t="str">
        <f>IF(B1057="","",VLOOKUP(B1057,小圆机汇总表!A:AP,8,FALSE))</f>
        <v/>
      </c>
      <c r="J1057" s="8" t="str">
        <f t="shared" si="19"/>
        <v/>
      </c>
      <c r="M1057" s="250" t="str">
        <f t="shared" si="20"/>
        <v/>
      </c>
    </row>
    <row r="1058" spans="1:13">
      <c r="A1058" s="4">
        <v>1058</v>
      </c>
      <c r="C1058" s="8" t="str">
        <f>IF(B1058="","",VLOOKUP(B1058,小圆机汇总表!A:AP,2,FALSE))</f>
        <v/>
      </c>
      <c r="D1058" s="8" t="str">
        <f>IF(B1058="","",VLOOKUP(B1058,小圆机汇总表!A:AP,7,FALSE))</f>
        <v/>
      </c>
      <c r="E1058" s="8" t="str">
        <f>IF(B1058="","",VLOOKUP(B1058,小圆机汇总表!A:AP,5,FALSE))</f>
        <v/>
      </c>
      <c r="F1058" s="8" t="str">
        <f>IF(B1058="","",VLOOKUP(B1058,小圆机汇总表!A:AP,8,FALSE))</f>
        <v/>
      </c>
      <c r="J1058" s="8" t="str">
        <f t="shared" si="19"/>
        <v/>
      </c>
      <c r="M1058" s="250" t="str">
        <f t="shared" si="20"/>
        <v/>
      </c>
    </row>
    <row r="1059" spans="1:13">
      <c r="A1059" s="4">
        <v>1059</v>
      </c>
      <c r="C1059" s="8" t="str">
        <f>IF(B1059="","",VLOOKUP(B1059,小圆机汇总表!A:AP,2,FALSE))</f>
        <v/>
      </c>
      <c r="D1059" s="8" t="str">
        <f>IF(B1059="","",VLOOKUP(B1059,小圆机汇总表!A:AP,7,FALSE))</f>
        <v/>
      </c>
      <c r="E1059" s="8" t="str">
        <f>IF(B1059="","",VLOOKUP(B1059,小圆机汇总表!A:AP,5,FALSE))</f>
        <v/>
      </c>
      <c r="F1059" s="8" t="str">
        <f>IF(B1059="","",VLOOKUP(B1059,小圆机汇总表!A:AP,8,FALSE))</f>
        <v/>
      </c>
      <c r="J1059" s="8" t="str">
        <f t="shared" ref="J1059:J1122" si="21">IF(B1059="","",MONTH(G1059))</f>
        <v/>
      </c>
      <c r="M1059" s="250" t="str">
        <f t="shared" si="20"/>
        <v/>
      </c>
    </row>
    <row r="1060" spans="1:13">
      <c r="A1060" s="4">
        <v>1060</v>
      </c>
      <c r="C1060" s="8" t="str">
        <f>IF(B1060="","",VLOOKUP(B1060,小圆机汇总表!A:AP,2,FALSE))</f>
        <v/>
      </c>
      <c r="D1060" s="8" t="str">
        <f>IF(B1060="","",VLOOKUP(B1060,小圆机汇总表!A:AP,7,FALSE))</f>
        <v/>
      </c>
      <c r="E1060" s="8" t="str">
        <f>IF(B1060="","",VLOOKUP(B1060,小圆机汇总表!A:AP,5,FALSE))</f>
        <v/>
      </c>
      <c r="F1060" s="8" t="str">
        <f>IF(B1060="","",VLOOKUP(B1060,小圆机汇总表!A:AP,8,FALSE))</f>
        <v/>
      </c>
      <c r="J1060" s="8" t="str">
        <f t="shared" si="21"/>
        <v/>
      </c>
      <c r="M1060" s="250" t="str">
        <f t="shared" si="20"/>
        <v/>
      </c>
    </row>
    <row r="1061" spans="1:13">
      <c r="A1061" s="4">
        <v>1061</v>
      </c>
      <c r="C1061" s="8" t="str">
        <f>IF(B1061="","",VLOOKUP(B1061,小圆机汇总表!A:AP,2,FALSE))</f>
        <v/>
      </c>
      <c r="D1061" s="8" t="str">
        <f>IF(B1061="","",VLOOKUP(B1061,小圆机汇总表!A:AP,7,FALSE))</f>
        <v/>
      </c>
      <c r="E1061" s="8" t="str">
        <f>IF(B1061="","",VLOOKUP(B1061,小圆机汇总表!A:AP,5,FALSE))</f>
        <v/>
      </c>
      <c r="F1061" s="8" t="str">
        <f>IF(B1061="","",VLOOKUP(B1061,小圆机汇总表!A:AP,8,FALSE))</f>
        <v/>
      </c>
      <c r="J1061" s="8" t="str">
        <f t="shared" si="21"/>
        <v/>
      </c>
      <c r="M1061" s="250" t="str">
        <f t="shared" si="20"/>
        <v/>
      </c>
    </row>
    <row r="1062" spans="1:13">
      <c r="A1062" s="4">
        <v>1062</v>
      </c>
      <c r="C1062" s="8" t="str">
        <f>IF(B1062="","",VLOOKUP(B1062,小圆机汇总表!A:AP,2,FALSE))</f>
        <v/>
      </c>
      <c r="D1062" s="8" t="str">
        <f>IF(B1062="","",VLOOKUP(B1062,小圆机汇总表!A:AP,7,FALSE))</f>
        <v/>
      </c>
      <c r="E1062" s="8" t="str">
        <f>IF(B1062="","",VLOOKUP(B1062,小圆机汇总表!A:AP,5,FALSE))</f>
        <v/>
      </c>
      <c r="F1062" s="8" t="str">
        <f>IF(B1062="","",VLOOKUP(B1062,小圆机汇总表!A:AP,8,FALSE))</f>
        <v/>
      </c>
      <c r="J1062" s="8" t="str">
        <f t="shared" si="21"/>
        <v/>
      </c>
      <c r="M1062" s="250" t="str">
        <f t="shared" si="20"/>
        <v/>
      </c>
    </row>
    <row r="1063" spans="1:13">
      <c r="A1063" s="4">
        <v>1063</v>
      </c>
      <c r="C1063" s="8" t="str">
        <f>IF(B1063="","",VLOOKUP(B1063,小圆机汇总表!A:AP,2,FALSE))</f>
        <v/>
      </c>
      <c r="D1063" s="8" t="str">
        <f>IF(B1063="","",VLOOKUP(B1063,小圆机汇总表!A:AP,7,FALSE))</f>
        <v/>
      </c>
      <c r="E1063" s="8" t="str">
        <f>IF(B1063="","",VLOOKUP(B1063,小圆机汇总表!A:AP,5,FALSE))</f>
        <v/>
      </c>
      <c r="F1063" s="8" t="str">
        <f>IF(B1063="","",VLOOKUP(B1063,小圆机汇总表!A:AP,8,FALSE))</f>
        <v/>
      </c>
      <c r="J1063" s="8" t="str">
        <f t="shared" si="21"/>
        <v/>
      </c>
      <c r="M1063" s="250" t="str">
        <f t="shared" si="20"/>
        <v/>
      </c>
    </row>
    <row r="1064" spans="1:13">
      <c r="A1064" s="4">
        <v>1064</v>
      </c>
      <c r="C1064" s="8" t="str">
        <f>IF(B1064="","",VLOOKUP(B1064,小圆机汇总表!A:AP,2,FALSE))</f>
        <v/>
      </c>
      <c r="D1064" s="8" t="str">
        <f>IF(B1064="","",VLOOKUP(B1064,小圆机汇总表!A:AP,7,FALSE))</f>
        <v/>
      </c>
      <c r="E1064" s="8" t="str">
        <f>IF(B1064="","",VLOOKUP(B1064,小圆机汇总表!A:AP,5,FALSE))</f>
        <v/>
      </c>
      <c r="F1064" s="8" t="str">
        <f>IF(B1064="","",VLOOKUP(B1064,小圆机汇总表!A:AP,8,FALSE))</f>
        <v/>
      </c>
      <c r="J1064" s="8" t="str">
        <f t="shared" si="21"/>
        <v/>
      </c>
      <c r="M1064" s="250" t="str">
        <f t="shared" si="20"/>
        <v/>
      </c>
    </row>
    <row r="1065" spans="1:13">
      <c r="A1065" s="4">
        <v>1065</v>
      </c>
      <c r="C1065" s="8" t="str">
        <f>IF(B1065="","",VLOOKUP(B1065,小圆机汇总表!A:AP,2,FALSE))</f>
        <v/>
      </c>
      <c r="D1065" s="8" t="str">
        <f>IF(B1065="","",VLOOKUP(B1065,小圆机汇总表!A:AP,7,FALSE))</f>
        <v/>
      </c>
      <c r="E1065" s="8" t="str">
        <f>IF(B1065="","",VLOOKUP(B1065,小圆机汇总表!A:AP,5,FALSE))</f>
        <v/>
      </c>
      <c r="F1065" s="8" t="str">
        <f>IF(B1065="","",VLOOKUP(B1065,小圆机汇总表!A:AP,8,FALSE))</f>
        <v/>
      </c>
      <c r="J1065" s="8" t="str">
        <f t="shared" si="21"/>
        <v/>
      </c>
      <c r="M1065" s="250" t="str">
        <f t="shared" si="20"/>
        <v/>
      </c>
    </row>
    <row r="1066" spans="1:13">
      <c r="A1066" s="4">
        <v>1066</v>
      </c>
      <c r="C1066" s="8" t="str">
        <f>IF(B1066="","",VLOOKUP(B1066,小圆机汇总表!A:AP,2,FALSE))</f>
        <v/>
      </c>
      <c r="D1066" s="8" t="str">
        <f>IF(B1066="","",VLOOKUP(B1066,小圆机汇总表!A:AP,7,FALSE))</f>
        <v/>
      </c>
      <c r="E1066" s="8" t="str">
        <f>IF(B1066="","",VLOOKUP(B1066,小圆机汇总表!A:AP,5,FALSE))</f>
        <v/>
      </c>
      <c r="F1066" s="8" t="str">
        <f>IF(B1066="","",VLOOKUP(B1066,小圆机汇总表!A:AP,8,FALSE))</f>
        <v/>
      </c>
      <c r="J1066" s="8" t="str">
        <f t="shared" si="21"/>
        <v/>
      </c>
      <c r="M1066" s="250" t="str">
        <f t="shared" si="20"/>
        <v/>
      </c>
    </row>
    <row r="1067" spans="1:13">
      <c r="A1067" s="4">
        <v>1067</v>
      </c>
      <c r="C1067" s="8" t="str">
        <f>IF(B1067="","",VLOOKUP(B1067,小圆机汇总表!A:AP,2,FALSE))</f>
        <v/>
      </c>
      <c r="D1067" s="8" t="str">
        <f>IF(B1067="","",VLOOKUP(B1067,小圆机汇总表!A:AP,7,FALSE))</f>
        <v/>
      </c>
      <c r="E1067" s="8" t="str">
        <f>IF(B1067="","",VLOOKUP(B1067,小圆机汇总表!A:AP,5,FALSE))</f>
        <v/>
      </c>
      <c r="F1067" s="8" t="str">
        <f>IF(B1067="","",VLOOKUP(B1067,小圆机汇总表!A:AP,8,FALSE))</f>
        <v/>
      </c>
      <c r="J1067" s="8" t="str">
        <f t="shared" si="21"/>
        <v/>
      </c>
      <c r="M1067" s="250" t="str">
        <f t="shared" si="20"/>
        <v/>
      </c>
    </row>
    <row r="1068" spans="1:13">
      <c r="A1068" s="4">
        <v>1068</v>
      </c>
      <c r="C1068" s="8" t="str">
        <f>IF(B1068="","",VLOOKUP(B1068,小圆机汇总表!A:AP,2,FALSE))</f>
        <v/>
      </c>
      <c r="D1068" s="8" t="str">
        <f>IF(B1068="","",VLOOKUP(B1068,小圆机汇总表!A:AP,7,FALSE))</f>
        <v/>
      </c>
      <c r="E1068" s="8" t="str">
        <f>IF(B1068="","",VLOOKUP(B1068,小圆机汇总表!A:AP,5,FALSE))</f>
        <v/>
      </c>
      <c r="F1068" s="8" t="str">
        <f>IF(B1068="","",VLOOKUP(B1068,小圆机汇总表!A:AP,8,FALSE))</f>
        <v/>
      </c>
      <c r="J1068" s="8" t="str">
        <f t="shared" si="21"/>
        <v/>
      </c>
      <c r="M1068" s="250" t="str">
        <f t="shared" si="20"/>
        <v/>
      </c>
    </row>
    <row r="1069" spans="1:13">
      <c r="A1069" s="4">
        <v>1069</v>
      </c>
      <c r="C1069" s="8" t="str">
        <f>IF(B1069="","",VLOOKUP(B1069,小圆机汇总表!A:AP,2,FALSE))</f>
        <v/>
      </c>
      <c r="D1069" s="8" t="str">
        <f>IF(B1069="","",VLOOKUP(B1069,小圆机汇总表!A:AP,7,FALSE))</f>
        <v/>
      </c>
      <c r="E1069" s="8" t="str">
        <f>IF(B1069="","",VLOOKUP(B1069,小圆机汇总表!A:AP,5,FALSE))</f>
        <v/>
      </c>
      <c r="F1069" s="8" t="str">
        <f>IF(B1069="","",VLOOKUP(B1069,小圆机汇总表!A:AP,8,FALSE))</f>
        <v/>
      </c>
      <c r="J1069" s="8" t="str">
        <f t="shared" si="21"/>
        <v/>
      </c>
      <c r="M1069" s="250" t="str">
        <f t="shared" si="20"/>
        <v/>
      </c>
    </row>
    <row r="1070" spans="1:13">
      <c r="A1070" s="4">
        <v>1070</v>
      </c>
      <c r="C1070" s="8" t="str">
        <f>IF(B1070="","",VLOOKUP(B1070,小圆机汇总表!A:AP,2,FALSE))</f>
        <v/>
      </c>
      <c r="D1070" s="8" t="str">
        <f>IF(B1070="","",VLOOKUP(B1070,小圆机汇总表!A:AP,7,FALSE))</f>
        <v/>
      </c>
      <c r="E1070" s="8" t="str">
        <f>IF(B1070="","",VLOOKUP(B1070,小圆机汇总表!A:AP,5,FALSE))</f>
        <v/>
      </c>
      <c r="F1070" s="8" t="str">
        <f>IF(B1070="","",VLOOKUP(B1070,小圆机汇总表!A:AP,8,FALSE))</f>
        <v/>
      </c>
      <c r="J1070" s="8" t="str">
        <f t="shared" si="21"/>
        <v/>
      </c>
      <c r="M1070" s="250" t="str">
        <f t="shared" si="20"/>
        <v/>
      </c>
    </row>
    <row r="1071" spans="1:13">
      <c r="A1071" s="4">
        <v>1071</v>
      </c>
      <c r="C1071" s="8" t="str">
        <f>IF(B1071="","",VLOOKUP(B1071,小圆机汇总表!A:AP,2,FALSE))</f>
        <v/>
      </c>
      <c r="D1071" s="8" t="str">
        <f>IF(B1071="","",VLOOKUP(B1071,小圆机汇总表!A:AP,7,FALSE))</f>
        <v/>
      </c>
      <c r="E1071" s="8" t="str">
        <f>IF(B1071="","",VLOOKUP(B1071,小圆机汇总表!A:AP,5,FALSE))</f>
        <v/>
      </c>
      <c r="F1071" s="8" t="str">
        <f>IF(B1071="","",VLOOKUP(B1071,小圆机汇总表!A:AP,8,FALSE))</f>
        <v/>
      </c>
      <c r="J1071" s="8" t="str">
        <f t="shared" si="21"/>
        <v/>
      </c>
      <c r="M1071" s="250" t="str">
        <f t="shared" si="20"/>
        <v/>
      </c>
    </row>
    <row r="1072" spans="1:13">
      <c r="A1072" s="4">
        <v>1072</v>
      </c>
      <c r="C1072" s="8" t="str">
        <f>IF(B1072="","",VLOOKUP(B1072,小圆机汇总表!A:AP,2,FALSE))</f>
        <v/>
      </c>
      <c r="D1072" s="8" t="str">
        <f>IF(B1072="","",VLOOKUP(B1072,小圆机汇总表!A:AP,7,FALSE))</f>
        <v/>
      </c>
      <c r="E1072" s="8" t="str">
        <f>IF(B1072="","",VLOOKUP(B1072,小圆机汇总表!A:AP,5,FALSE))</f>
        <v/>
      </c>
      <c r="F1072" s="8" t="str">
        <f>IF(B1072="","",VLOOKUP(B1072,小圆机汇总表!A:AP,8,FALSE))</f>
        <v/>
      </c>
      <c r="J1072" s="8" t="str">
        <f t="shared" si="21"/>
        <v/>
      </c>
      <c r="M1072" s="250" t="str">
        <f t="shared" si="20"/>
        <v/>
      </c>
    </row>
    <row r="1073" spans="1:13">
      <c r="A1073" s="4">
        <v>1073</v>
      </c>
      <c r="C1073" s="8" t="str">
        <f>IF(B1073="","",VLOOKUP(B1073,小圆机汇总表!A:AP,2,FALSE))</f>
        <v/>
      </c>
      <c r="D1073" s="8" t="str">
        <f>IF(B1073="","",VLOOKUP(B1073,小圆机汇总表!A:AP,7,FALSE))</f>
        <v/>
      </c>
      <c r="E1073" s="8" t="str">
        <f>IF(B1073="","",VLOOKUP(B1073,小圆机汇总表!A:AP,5,FALSE))</f>
        <v/>
      </c>
      <c r="F1073" s="8" t="str">
        <f>IF(B1073="","",VLOOKUP(B1073,小圆机汇总表!A:AP,8,FALSE))</f>
        <v/>
      </c>
      <c r="J1073" s="8" t="str">
        <f t="shared" si="21"/>
        <v/>
      </c>
      <c r="M1073" s="250" t="str">
        <f t="shared" si="20"/>
        <v/>
      </c>
    </row>
    <row r="1074" spans="1:13">
      <c r="A1074" s="4">
        <v>1074</v>
      </c>
      <c r="C1074" s="8" t="str">
        <f>IF(B1074="","",VLOOKUP(B1074,小圆机汇总表!A:AP,2,FALSE))</f>
        <v/>
      </c>
      <c r="D1074" s="8" t="str">
        <f>IF(B1074="","",VLOOKUP(B1074,小圆机汇总表!A:AP,7,FALSE))</f>
        <v/>
      </c>
      <c r="E1074" s="8" t="str">
        <f>IF(B1074="","",VLOOKUP(B1074,小圆机汇总表!A:AP,5,FALSE))</f>
        <v/>
      </c>
      <c r="F1074" s="8" t="str">
        <f>IF(B1074="","",VLOOKUP(B1074,小圆机汇总表!A:AP,8,FALSE))</f>
        <v/>
      </c>
      <c r="J1074" s="8" t="str">
        <f t="shared" si="21"/>
        <v/>
      </c>
      <c r="M1074" s="250" t="str">
        <f t="shared" si="20"/>
        <v/>
      </c>
    </row>
    <row r="1075" spans="1:13">
      <c r="A1075" s="4">
        <v>1075</v>
      </c>
      <c r="C1075" s="8" t="str">
        <f>IF(B1075="","",VLOOKUP(B1075,小圆机汇总表!A:AP,2,FALSE))</f>
        <v/>
      </c>
      <c r="D1075" s="8" t="str">
        <f>IF(B1075="","",VLOOKUP(B1075,小圆机汇总表!A:AP,7,FALSE))</f>
        <v/>
      </c>
      <c r="E1075" s="8" t="str">
        <f>IF(B1075="","",VLOOKUP(B1075,小圆机汇总表!A:AP,5,FALSE))</f>
        <v/>
      </c>
      <c r="F1075" s="8" t="str">
        <f>IF(B1075="","",VLOOKUP(B1075,小圆机汇总表!A:AP,8,FALSE))</f>
        <v/>
      </c>
      <c r="J1075" s="8" t="str">
        <f t="shared" si="21"/>
        <v/>
      </c>
      <c r="M1075" s="250" t="str">
        <f t="shared" si="20"/>
        <v/>
      </c>
    </row>
    <row r="1076" spans="1:13">
      <c r="A1076" s="4">
        <v>1076</v>
      </c>
      <c r="C1076" s="8" t="str">
        <f>IF(B1076="","",VLOOKUP(B1076,小圆机汇总表!A:AP,2,FALSE))</f>
        <v/>
      </c>
      <c r="D1076" s="8" t="str">
        <f>IF(B1076="","",VLOOKUP(B1076,小圆机汇总表!A:AP,7,FALSE))</f>
        <v/>
      </c>
      <c r="E1076" s="8" t="str">
        <f>IF(B1076="","",VLOOKUP(B1076,小圆机汇总表!A:AP,5,FALSE))</f>
        <v/>
      </c>
      <c r="F1076" s="8" t="str">
        <f>IF(B1076="","",VLOOKUP(B1076,小圆机汇总表!A:AP,8,FALSE))</f>
        <v/>
      </c>
      <c r="J1076" s="8" t="str">
        <f t="shared" si="21"/>
        <v/>
      </c>
      <c r="M1076" s="250" t="str">
        <f t="shared" si="20"/>
        <v/>
      </c>
    </row>
    <row r="1077" spans="1:13">
      <c r="A1077" s="4">
        <v>1077</v>
      </c>
      <c r="C1077" s="8" t="str">
        <f>IF(B1077="","",VLOOKUP(B1077,小圆机汇总表!A:AP,2,FALSE))</f>
        <v/>
      </c>
      <c r="D1077" s="8" t="str">
        <f>IF(B1077="","",VLOOKUP(B1077,小圆机汇总表!A:AP,7,FALSE))</f>
        <v/>
      </c>
      <c r="E1077" s="8" t="str">
        <f>IF(B1077="","",VLOOKUP(B1077,小圆机汇总表!A:AP,5,FALSE))</f>
        <v/>
      </c>
      <c r="F1077" s="8" t="str">
        <f>IF(B1077="","",VLOOKUP(B1077,小圆机汇总表!A:AP,8,FALSE))</f>
        <v/>
      </c>
      <c r="J1077" s="8" t="str">
        <f t="shared" si="21"/>
        <v/>
      </c>
      <c r="M1077" s="250" t="str">
        <f t="shared" si="20"/>
        <v/>
      </c>
    </row>
    <row r="1078" spans="1:13">
      <c r="A1078" s="4">
        <v>1078</v>
      </c>
      <c r="C1078" s="8" t="str">
        <f>IF(B1078="","",VLOOKUP(B1078,小圆机汇总表!A:AP,2,FALSE))</f>
        <v/>
      </c>
      <c r="D1078" s="8" t="str">
        <f>IF(B1078="","",VLOOKUP(B1078,小圆机汇总表!A:AP,7,FALSE))</f>
        <v/>
      </c>
      <c r="E1078" s="8" t="str">
        <f>IF(B1078="","",VLOOKUP(B1078,小圆机汇总表!A:AP,5,FALSE))</f>
        <v/>
      </c>
      <c r="F1078" s="8" t="str">
        <f>IF(B1078="","",VLOOKUP(B1078,小圆机汇总表!A:AP,8,FALSE))</f>
        <v/>
      </c>
      <c r="J1078" s="8" t="str">
        <f t="shared" si="21"/>
        <v/>
      </c>
      <c r="M1078" s="250" t="str">
        <f t="shared" si="20"/>
        <v/>
      </c>
    </row>
    <row r="1079" spans="1:13">
      <c r="A1079" s="4">
        <v>1079</v>
      </c>
      <c r="C1079" s="8" t="str">
        <f>IF(B1079="","",VLOOKUP(B1079,小圆机汇总表!A:AP,2,FALSE))</f>
        <v/>
      </c>
      <c r="D1079" s="8" t="str">
        <f>IF(B1079="","",VLOOKUP(B1079,小圆机汇总表!A:AP,7,FALSE))</f>
        <v/>
      </c>
      <c r="E1079" s="8" t="str">
        <f>IF(B1079="","",VLOOKUP(B1079,小圆机汇总表!A:AP,5,FALSE))</f>
        <v/>
      </c>
      <c r="F1079" s="8" t="str">
        <f>IF(B1079="","",VLOOKUP(B1079,小圆机汇总表!A:AP,8,FALSE))</f>
        <v/>
      </c>
      <c r="J1079" s="8" t="str">
        <f t="shared" si="21"/>
        <v/>
      </c>
      <c r="M1079" s="250" t="str">
        <f t="shared" si="20"/>
        <v/>
      </c>
    </row>
    <row r="1080" spans="1:13">
      <c r="A1080" s="4">
        <v>1080</v>
      </c>
      <c r="C1080" s="8" t="str">
        <f>IF(B1080="","",VLOOKUP(B1080,小圆机汇总表!A:AP,2,FALSE))</f>
        <v/>
      </c>
      <c r="D1080" s="8" t="str">
        <f>IF(B1080="","",VLOOKUP(B1080,小圆机汇总表!A:AP,7,FALSE))</f>
        <v/>
      </c>
      <c r="E1080" s="8" t="str">
        <f>IF(B1080="","",VLOOKUP(B1080,小圆机汇总表!A:AP,5,FALSE))</f>
        <v/>
      </c>
      <c r="F1080" s="8" t="str">
        <f>IF(B1080="","",VLOOKUP(B1080,小圆机汇总表!A:AP,8,FALSE))</f>
        <v/>
      </c>
      <c r="J1080" s="8" t="str">
        <f t="shared" si="21"/>
        <v/>
      </c>
      <c r="M1080" s="250" t="str">
        <f t="shared" si="20"/>
        <v/>
      </c>
    </row>
    <row r="1081" spans="1:13">
      <c r="A1081" s="4">
        <v>1081</v>
      </c>
      <c r="C1081" s="8" t="str">
        <f>IF(B1081="","",VLOOKUP(B1081,小圆机汇总表!A:AP,2,FALSE))</f>
        <v/>
      </c>
      <c r="D1081" s="8" t="str">
        <f>IF(B1081="","",VLOOKUP(B1081,小圆机汇总表!A:AP,7,FALSE))</f>
        <v/>
      </c>
      <c r="E1081" s="8" t="str">
        <f>IF(B1081="","",VLOOKUP(B1081,小圆机汇总表!A:AP,5,FALSE))</f>
        <v/>
      </c>
      <c r="F1081" s="8" t="str">
        <f>IF(B1081="","",VLOOKUP(B1081,小圆机汇总表!A:AP,8,FALSE))</f>
        <v/>
      </c>
      <c r="J1081" s="8" t="str">
        <f t="shared" si="21"/>
        <v/>
      </c>
      <c r="M1081" s="250" t="str">
        <f t="shared" si="20"/>
        <v/>
      </c>
    </row>
    <row r="1082" spans="1:13">
      <c r="A1082" s="4">
        <v>1082</v>
      </c>
      <c r="C1082" s="8" t="str">
        <f>IF(B1082="","",VLOOKUP(B1082,小圆机汇总表!A:AP,2,FALSE))</f>
        <v/>
      </c>
      <c r="D1082" s="8" t="str">
        <f>IF(B1082="","",VLOOKUP(B1082,小圆机汇总表!A:AP,7,FALSE))</f>
        <v/>
      </c>
      <c r="E1082" s="8" t="str">
        <f>IF(B1082="","",VLOOKUP(B1082,小圆机汇总表!A:AP,5,FALSE))</f>
        <v/>
      </c>
      <c r="F1082" s="8" t="str">
        <f>IF(B1082="","",VLOOKUP(B1082,小圆机汇总表!A:AP,8,FALSE))</f>
        <v/>
      </c>
      <c r="J1082" s="8" t="str">
        <f t="shared" si="21"/>
        <v/>
      </c>
      <c r="M1082" s="250" t="str">
        <f t="shared" si="20"/>
        <v/>
      </c>
    </row>
    <row r="1083" spans="1:13">
      <c r="A1083" s="4">
        <v>1083</v>
      </c>
      <c r="C1083" s="8" t="str">
        <f>IF(B1083="","",VLOOKUP(B1083,小圆机汇总表!A:AP,2,FALSE))</f>
        <v/>
      </c>
      <c r="D1083" s="8" t="str">
        <f>IF(B1083="","",VLOOKUP(B1083,小圆机汇总表!A:AP,7,FALSE))</f>
        <v/>
      </c>
      <c r="E1083" s="8" t="str">
        <f>IF(B1083="","",VLOOKUP(B1083,小圆机汇总表!A:AP,5,FALSE))</f>
        <v/>
      </c>
      <c r="F1083" s="8" t="str">
        <f>IF(B1083="","",VLOOKUP(B1083,小圆机汇总表!A:AP,8,FALSE))</f>
        <v/>
      </c>
      <c r="J1083" s="8" t="str">
        <f t="shared" si="21"/>
        <v/>
      </c>
      <c r="M1083" s="250" t="str">
        <f t="shared" si="20"/>
        <v/>
      </c>
    </row>
    <row r="1084" spans="1:13">
      <c r="A1084" s="4">
        <v>1084</v>
      </c>
      <c r="C1084" s="8" t="str">
        <f>IF(B1084="","",VLOOKUP(B1084,小圆机汇总表!A:AP,2,FALSE))</f>
        <v/>
      </c>
      <c r="D1084" s="8" t="str">
        <f>IF(B1084="","",VLOOKUP(B1084,小圆机汇总表!A:AP,7,FALSE))</f>
        <v/>
      </c>
      <c r="E1084" s="8" t="str">
        <f>IF(B1084="","",VLOOKUP(B1084,小圆机汇总表!A:AP,5,FALSE))</f>
        <v/>
      </c>
      <c r="F1084" s="8" t="str">
        <f>IF(B1084="","",VLOOKUP(B1084,小圆机汇总表!A:AP,8,FALSE))</f>
        <v/>
      </c>
      <c r="J1084" s="8" t="str">
        <f t="shared" si="21"/>
        <v/>
      </c>
      <c r="M1084" s="250" t="str">
        <f t="shared" si="20"/>
        <v/>
      </c>
    </row>
    <row r="1085" spans="1:13">
      <c r="A1085" s="4">
        <v>1085</v>
      </c>
      <c r="C1085" s="8" t="str">
        <f>IF(B1085="","",VLOOKUP(B1085,小圆机汇总表!A:AP,2,FALSE))</f>
        <v/>
      </c>
      <c r="D1085" s="8" t="str">
        <f>IF(B1085="","",VLOOKUP(B1085,小圆机汇总表!A:AP,7,FALSE))</f>
        <v/>
      </c>
      <c r="E1085" s="8" t="str">
        <f>IF(B1085="","",VLOOKUP(B1085,小圆机汇总表!A:AP,5,FALSE))</f>
        <v/>
      </c>
      <c r="F1085" s="8" t="str">
        <f>IF(B1085="","",VLOOKUP(B1085,小圆机汇总表!A:AP,8,FALSE))</f>
        <v/>
      </c>
      <c r="J1085" s="8" t="str">
        <f t="shared" si="21"/>
        <v/>
      </c>
      <c r="M1085" s="250" t="str">
        <f t="shared" si="20"/>
        <v/>
      </c>
    </row>
    <row r="1086" spans="1:13">
      <c r="A1086" s="4">
        <v>1086</v>
      </c>
      <c r="C1086" s="8" t="str">
        <f>IF(B1086="","",VLOOKUP(B1086,小圆机汇总表!A:AP,2,FALSE))</f>
        <v/>
      </c>
      <c r="D1086" s="8" t="str">
        <f>IF(B1086="","",VLOOKUP(B1086,小圆机汇总表!A:AP,7,FALSE))</f>
        <v/>
      </c>
      <c r="E1086" s="8" t="str">
        <f>IF(B1086="","",VLOOKUP(B1086,小圆机汇总表!A:AP,5,FALSE))</f>
        <v/>
      </c>
      <c r="F1086" s="8" t="str">
        <f>IF(B1086="","",VLOOKUP(B1086,小圆机汇总表!A:AP,8,FALSE))</f>
        <v/>
      </c>
      <c r="J1086" s="8" t="str">
        <f t="shared" si="21"/>
        <v/>
      </c>
      <c r="M1086" s="250" t="str">
        <f t="shared" si="20"/>
        <v/>
      </c>
    </row>
    <row r="1087" spans="1:13">
      <c r="A1087" s="4">
        <v>1087</v>
      </c>
      <c r="C1087" s="8" t="str">
        <f>IF(B1087="","",VLOOKUP(B1087,小圆机汇总表!A:AP,2,FALSE))</f>
        <v/>
      </c>
      <c r="D1087" s="8" t="str">
        <f>IF(B1087="","",VLOOKUP(B1087,小圆机汇总表!A:AP,7,FALSE))</f>
        <v/>
      </c>
      <c r="E1087" s="8" t="str">
        <f>IF(B1087="","",VLOOKUP(B1087,小圆机汇总表!A:AP,5,FALSE))</f>
        <v/>
      </c>
      <c r="F1087" s="8" t="str">
        <f>IF(B1087="","",VLOOKUP(B1087,小圆机汇总表!A:AP,8,FALSE))</f>
        <v/>
      </c>
      <c r="J1087" s="8" t="str">
        <f t="shared" si="21"/>
        <v/>
      </c>
      <c r="M1087" s="250" t="str">
        <f t="shared" si="20"/>
        <v/>
      </c>
    </row>
    <row r="1088" spans="1:13">
      <c r="A1088" s="4">
        <v>1088</v>
      </c>
      <c r="C1088" s="8" t="str">
        <f>IF(B1088="","",VLOOKUP(B1088,小圆机汇总表!A:AP,2,FALSE))</f>
        <v/>
      </c>
      <c r="D1088" s="8" t="str">
        <f>IF(B1088="","",VLOOKUP(B1088,小圆机汇总表!A:AP,7,FALSE))</f>
        <v/>
      </c>
      <c r="E1088" s="8" t="str">
        <f>IF(B1088="","",VLOOKUP(B1088,小圆机汇总表!A:AP,5,FALSE))</f>
        <v/>
      </c>
      <c r="F1088" s="8" t="str">
        <f>IF(B1088="","",VLOOKUP(B1088,小圆机汇总表!A:AP,8,FALSE))</f>
        <v/>
      </c>
      <c r="J1088" s="8" t="str">
        <f t="shared" si="21"/>
        <v/>
      </c>
      <c r="M1088" s="250" t="str">
        <f t="shared" si="20"/>
        <v/>
      </c>
    </row>
    <row r="1089" spans="1:13">
      <c r="A1089" s="4">
        <v>1089</v>
      </c>
      <c r="C1089" s="8" t="str">
        <f>IF(B1089="","",VLOOKUP(B1089,小圆机汇总表!A:AP,2,FALSE))</f>
        <v/>
      </c>
      <c r="D1089" s="8" t="str">
        <f>IF(B1089="","",VLOOKUP(B1089,小圆机汇总表!A:AP,7,FALSE))</f>
        <v/>
      </c>
      <c r="E1089" s="8" t="str">
        <f>IF(B1089="","",VLOOKUP(B1089,小圆机汇总表!A:AP,5,FALSE))</f>
        <v/>
      </c>
      <c r="F1089" s="8" t="str">
        <f>IF(B1089="","",VLOOKUP(B1089,小圆机汇总表!A:AP,8,FALSE))</f>
        <v/>
      </c>
      <c r="J1089" s="8" t="str">
        <f t="shared" si="21"/>
        <v/>
      </c>
      <c r="M1089" s="250" t="str">
        <f t="shared" si="20"/>
        <v/>
      </c>
    </row>
    <row r="1090" spans="1:13">
      <c r="A1090" s="4">
        <v>1090</v>
      </c>
      <c r="C1090" s="8" t="str">
        <f>IF(B1090="","",VLOOKUP(B1090,小圆机汇总表!A:AP,2,FALSE))</f>
        <v/>
      </c>
      <c r="D1090" s="8" t="str">
        <f>IF(B1090="","",VLOOKUP(B1090,小圆机汇总表!A:AP,7,FALSE))</f>
        <v/>
      </c>
      <c r="E1090" s="8" t="str">
        <f>IF(B1090="","",VLOOKUP(B1090,小圆机汇总表!A:AP,5,FALSE))</f>
        <v/>
      </c>
      <c r="F1090" s="8" t="str">
        <f>IF(B1090="","",VLOOKUP(B1090,小圆机汇总表!A:AP,8,FALSE))</f>
        <v/>
      </c>
      <c r="J1090" s="8" t="str">
        <f t="shared" si="21"/>
        <v/>
      </c>
      <c r="M1090" s="250" t="str">
        <f t="shared" si="20"/>
        <v/>
      </c>
    </row>
    <row r="1091" spans="1:13">
      <c r="A1091" s="4">
        <v>1091</v>
      </c>
      <c r="C1091" s="8" t="str">
        <f>IF(B1091="","",VLOOKUP(B1091,小圆机汇总表!A:AP,2,FALSE))</f>
        <v/>
      </c>
      <c r="D1091" s="8" t="str">
        <f>IF(B1091="","",VLOOKUP(B1091,小圆机汇总表!A:AP,7,FALSE))</f>
        <v/>
      </c>
      <c r="E1091" s="8" t="str">
        <f>IF(B1091="","",VLOOKUP(B1091,小圆机汇总表!A:AP,5,FALSE))</f>
        <v/>
      </c>
      <c r="F1091" s="8" t="str">
        <f>IF(B1091="","",VLOOKUP(B1091,小圆机汇总表!A:AP,8,FALSE))</f>
        <v/>
      </c>
      <c r="J1091" s="8" t="str">
        <f t="shared" si="21"/>
        <v/>
      </c>
      <c r="M1091" s="250" t="str">
        <f t="shared" ref="M1091:M1154" si="22">IF(B1091="","",MONTH(G1091))</f>
        <v/>
      </c>
    </row>
    <row r="1092" spans="1:13">
      <c r="A1092" s="4">
        <v>1092</v>
      </c>
      <c r="C1092" s="8" t="str">
        <f>IF(B1092="","",VLOOKUP(B1092,小圆机汇总表!A:AP,2,FALSE))</f>
        <v/>
      </c>
      <c r="D1092" s="8" t="str">
        <f>IF(B1092="","",VLOOKUP(B1092,小圆机汇总表!A:AP,7,FALSE))</f>
        <v/>
      </c>
      <c r="E1092" s="8" t="str">
        <f>IF(B1092="","",VLOOKUP(B1092,小圆机汇总表!A:AP,5,FALSE))</f>
        <v/>
      </c>
      <c r="F1092" s="8" t="str">
        <f>IF(B1092="","",VLOOKUP(B1092,小圆机汇总表!A:AP,8,FALSE))</f>
        <v/>
      </c>
      <c r="J1092" s="8" t="str">
        <f t="shared" si="21"/>
        <v/>
      </c>
      <c r="M1092" s="250" t="str">
        <f t="shared" si="22"/>
        <v/>
      </c>
    </row>
    <row r="1093" spans="1:13">
      <c r="A1093" s="4">
        <v>1093</v>
      </c>
      <c r="C1093" s="8" t="str">
        <f>IF(B1093="","",VLOOKUP(B1093,小圆机汇总表!A:AP,2,FALSE))</f>
        <v/>
      </c>
      <c r="D1093" s="8" t="str">
        <f>IF(B1093="","",VLOOKUP(B1093,小圆机汇总表!A:AP,7,FALSE))</f>
        <v/>
      </c>
      <c r="E1093" s="8" t="str">
        <f>IF(B1093="","",VLOOKUP(B1093,小圆机汇总表!A:AP,5,FALSE))</f>
        <v/>
      </c>
      <c r="F1093" s="8" t="str">
        <f>IF(B1093="","",VLOOKUP(B1093,小圆机汇总表!A:AP,8,FALSE))</f>
        <v/>
      </c>
      <c r="J1093" s="8" t="str">
        <f t="shared" si="21"/>
        <v/>
      </c>
      <c r="M1093" s="250" t="str">
        <f t="shared" si="22"/>
        <v/>
      </c>
    </row>
    <row r="1094" spans="1:13">
      <c r="A1094" s="4">
        <v>1094</v>
      </c>
      <c r="C1094" s="8" t="str">
        <f>IF(B1094="","",VLOOKUP(B1094,小圆机汇总表!A:AP,2,FALSE))</f>
        <v/>
      </c>
      <c r="D1094" s="8" t="str">
        <f>IF(B1094="","",VLOOKUP(B1094,小圆机汇总表!A:AP,7,FALSE))</f>
        <v/>
      </c>
      <c r="E1094" s="8" t="str">
        <f>IF(B1094="","",VLOOKUP(B1094,小圆机汇总表!A:AP,5,FALSE))</f>
        <v/>
      </c>
      <c r="F1094" s="8" t="str">
        <f>IF(B1094="","",VLOOKUP(B1094,小圆机汇总表!A:AP,8,FALSE))</f>
        <v/>
      </c>
      <c r="J1094" s="8" t="str">
        <f t="shared" si="21"/>
        <v/>
      </c>
      <c r="M1094" s="250" t="str">
        <f t="shared" si="22"/>
        <v/>
      </c>
    </row>
    <row r="1095" spans="1:13">
      <c r="A1095" s="4">
        <v>1095</v>
      </c>
      <c r="C1095" s="8" t="str">
        <f>IF(B1095="","",VLOOKUP(B1095,小圆机汇总表!A:AP,2,FALSE))</f>
        <v/>
      </c>
      <c r="D1095" s="8" t="str">
        <f>IF(B1095="","",VLOOKUP(B1095,小圆机汇总表!A:AP,7,FALSE))</f>
        <v/>
      </c>
      <c r="E1095" s="8" t="str">
        <f>IF(B1095="","",VLOOKUP(B1095,小圆机汇总表!A:AP,5,FALSE))</f>
        <v/>
      </c>
      <c r="F1095" s="8" t="str">
        <f>IF(B1095="","",VLOOKUP(B1095,小圆机汇总表!A:AP,8,FALSE))</f>
        <v/>
      </c>
      <c r="J1095" s="8" t="str">
        <f t="shared" si="21"/>
        <v/>
      </c>
      <c r="M1095" s="250" t="str">
        <f t="shared" si="22"/>
        <v/>
      </c>
    </row>
    <row r="1096" spans="1:13">
      <c r="A1096" s="4">
        <v>1096</v>
      </c>
      <c r="C1096" s="8" t="str">
        <f>IF(B1096="","",VLOOKUP(B1096,小圆机汇总表!A:AP,2,FALSE))</f>
        <v/>
      </c>
      <c r="D1096" s="8" t="str">
        <f>IF(B1096="","",VLOOKUP(B1096,小圆机汇总表!A:AP,7,FALSE))</f>
        <v/>
      </c>
      <c r="E1096" s="8" t="str">
        <f>IF(B1096="","",VLOOKUP(B1096,小圆机汇总表!A:AP,5,FALSE))</f>
        <v/>
      </c>
      <c r="F1096" s="8" t="str">
        <f>IF(B1096="","",VLOOKUP(B1096,小圆机汇总表!A:AP,8,FALSE))</f>
        <v/>
      </c>
      <c r="J1096" s="8" t="str">
        <f t="shared" si="21"/>
        <v/>
      </c>
      <c r="M1096" s="250" t="str">
        <f t="shared" si="22"/>
        <v/>
      </c>
    </row>
    <row r="1097" spans="1:13">
      <c r="A1097" s="4">
        <v>1097</v>
      </c>
      <c r="C1097" s="8" t="str">
        <f>IF(B1097="","",VLOOKUP(B1097,小圆机汇总表!A:AP,2,FALSE))</f>
        <v/>
      </c>
      <c r="D1097" s="8" t="str">
        <f>IF(B1097="","",VLOOKUP(B1097,小圆机汇总表!A:AP,7,FALSE))</f>
        <v/>
      </c>
      <c r="E1097" s="8" t="str">
        <f>IF(B1097="","",VLOOKUP(B1097,小圆机汇总表!A:AP,5,FALSE))</f>
        <v/>
      </c>
      <c r="F1097" s="8" t="str">
        <f>IF(B1097="","",VLOOKUP(B1097,小圆机汇总表!A:AP,8,FALSE))</f>
        <v/>
      </c>
      <c r="J1097" s="8" t="str">
        <f t="shared" si="21"/>
        <v/>
      </c>
      <c r="M1097" s="250" t="str">
        <f t="shared" si="22"/>
        <v/>
      </c>
    </row>
    <row r="1098" spans="1:13">
      <c r="A1098" s="4">
        <v>1098</v>
      </c>
      <c r="C1098" s="8" t="str">
        <f>IF(B1098="","",VLOOKUP(B1098,小圆机汇总表!A:AP,2,FALSE))</f>
        <v/>
      </c>
      <c r="D1098" s="8" t="str">
        <f>IF(B1098="","",VLOOKUP(B1098,小圆机汇总表!A:AP,7,FALSE))</f>
        <v/>
      </c>
      <c r="E1098" s="8" t="str">
        <f>IF(B1098="","",VLOOKUP(B1098,小圆机汇总表!A:AP,5,FALSE))</f>
        <v/>
      </c>
      <c r="F1098" s="8" t="str">
        <f>IF(B1098="","",VLOOKUP(B1098,小圆机汇总表!A:AP,8,FALSE))</f>
        <v/>
      </c>
      <c r="J1098" s="8" t="str">
        <f t="shared" si="21"/>
        <v/>
      </c>
      <c r="M1098" s="250" t="str">
        <f t="shared" si="22"/>
        <v/>
      </c>
    </row>
    <row r="1099" spans="1:13">
      <c r="A1099" s="4">
        <v>1099</v>
      </c>
      <c r="C1099" s="8" t="str">
        <f>IF(B1099="","",VLOOKUP(B1099,小圆机汇总表!A:AP,2,FALSE))</f>
        <v/>
      </c>
      <c r="D1099" s="8" t="str">
        <f>IF(B1099="","",VLOOKUP(B1099,小圆机汇总表!A:AP,7,FALSE))</f>
        <v/>
      </c>
      <c r="E1099" s="8" t="str">
        <f>IF(B1099="","",VLOOKUP(B1099,小圆机汇总表!A:AP,5,FALSE))</f>
        <v/>
      </c>
      <c r="F1099" s="8" t="str">
        <f>IF(B1099="","",VLOOKUP(B1099,小圆机汇总表!A:AP,8,FALSE))</f>
        <v/>
      </c>
      <c r="J1099" s="8" t="str">
        <f t="shared" si="21"/>
        <v/>
      </c>
      <c r="M1099" s="250" t="str">
        <f t="shared" si="22"/>
        <v/>
      </c>
    </row>
    <row r="1100" spans="1:13">
      <c r="A1100" s="4">
        <v>1100</v>
      </c>
      <c r="C1100" s="8" t="str">
        <f>IF(B1100="","",VLOOKUP(B1100,小圆机汇总表!A:AP,2,FALSE))</f>
        <v/>
      </c>
      <c r="D1100" s="8" t="str">
        <f>IF(B1100="","",VLOOKUP(B1100,小圆机汇总表!A:AP,7,FALSE))</f>
        <v/>
      </c>
      <c r="E1100" s="8" t="str">
        <f>IF(B1100="","",VLOOKUP(B1100,小圆机汇总表!A:AP,5,FALSE))</f>
        <v/>
      </c>
      <c r="F1100" s="8" t="str">
        <f>IF(B1100="","",VLOOKUP(B1100,小圆机汇总表!A:AP,8,FALSE))</f>
        <v/>
      </c>
      <c r="J1100" s="8" t="str">
        <f t="shared" si="21"/>
        <v/>
      </c>
      <c r="M1100" s="250" t="str">
        <f t="shared" si="22"/>
        <v/>
      </c>
    </row>
    <row r="1101" spans="1:13">
      <c r="A1101" s="4">
        <v>1101</v>
      </c>
      <c r="C1101" s="8" t="str">
        <f>IF(B1101="","",VLOOKUP(B1101,小圆机汇总表!A:AP,2,FALSE))</f>
        <v/>
      </c>
      <c r="D1101" s="8" t="str">
        <f>IF(B1101="","",VLOOKUP(B1101,小圆机汇总表!A:AP,7,FALSE))</f>
        <v/>
      </c>
      <c r="E1101" s="8" t="str">
        <f>IF(B1101="","",VLOOKUP(B1101,小圆机汇总表!A:AP,5,FALSE))</f>
        <v/>
      </c>
      <c r="F1101" s="8" t="str">
        <f>IF(B1101="","",VLOOKUP(B1101,小圆机汇总表!A:AP,8,FALSE))</f>
        <v/>
      </c>
      <c r="J1101" s="8" t="str">
        <f t="shared" si="21"/>
        <v/>
      </c>
      <c r="M1101" s="250" t="str">
        <f t="shared" si="22"/>
        <v/>
      </c>
    </row>
    <row r="1102" spans="1:13">
      <c r="A1102" s="4">
        <v>1102</v>
      </c>
      <c r="C1102" s="8" t="str">
        <f>IF(B1102="","",VLOOKUP(B1102,小圆机汇总表!A:AP,2,FALSE))</f>
        <v/>
      </c>
      <c r="D1102" s="8" t="str">
        <f>IF(B1102="","",VLOOKUP(B1102,小圆机汇总表!A:AP,7,FALSE))</f>
        <v/>
      </c>
      <c r="E1102" s="8" t="str">
        <f>IF(B1102="","",VLOOKUP(B1102,小圆机汇总表!A:AP,5,FALSE))</f>
        <v/>
      </c>
      <c r="F1102" s="8" t="str">
        <f>IF(B1102="","",VLOOKUP(B1102,小圆机汇总表!A:AP,8,FALSE))</f>
        <v/>
      </c>
      <c r="J1102" s="8" t="str">
        <f t="shared" si="21"/>
        <v/>
      </c>
      <c r="M1102" s="250" t="str">
        <f t="shared" si="22"/>
        <v/>
      </c>
    </row>
    <row r="1103" spans="1:13">
      <c r="A1103" s="4">
        <v>1103</v>
      </c>
      <c r="C1103" s="8" t="str">
        <f>IF(B1103="","",VLOOKUP(B1103,小圆机汇总表!A:AP,2,FALSE))</f>
        <v/>
      </c>
      <c r="D1103" s="8" t="str">
        <f>IF(B1103="","",VLOOKUP(B1103,小圆机汇总表!A:AP,7,FALSE))</f>
        <v/>
      </c>
      <c r="E1103" s="8" t="str">
        <f>IF(B1103="","",VLOOKUP(B1103,小圆机汇总表!A:AP,5,FALSE))</f>
        <v/>
      </c>
      <c r="F1103" s="8" t="str">
        <f>IF(B1103="","",VLOOKUP(B1103,小圆机汇总表!A:AP,8,FALSE))</f>
        <v/>
      </c>
      <c r="J1103" s="8" t="str">
        <f t="shared" si="21"/>
        <v/>
      </c>
      <c r="M1103" s="250" t="str">
        <f t="shared" si="22"/>
        <v/>
      </c>
    </row>
    <row r="1104" spans="1:13">
      <c r="A1104" s="4">
        <v>1104</v>
      </c>
      <c r="C1104" s="8" t="str">
        <f>IF(B1104="","",VLOOKUP(B1104,小圆机汇总表!A:AP,2,FALSE))</f>
        <v/>
      </c>
      <c r="D1104" s="8" t="str">
        <f>IF(B1104="","",VLOOKUP(B1104,小圆机汇总表!A:AP,7,FALSE))</f>
        <v/>
      </c>
      <c r="E1104" s="8" t="str">
        <f>IF(B1104="","",VLOOKUP(B1104,小圆机汇总表!A:AP,5,FALSE))</f>
        <v/>
      </c>
      <c r="F1104" s="8" t="str">
        <f>IF(B1104="","",VLOOKUP(B1104,小圆机汇总表!A:AP,8,FALSE))</f>
        <v/>
      </c>
      <c r="J1104" s="8" t="str">
        <f t="shared" si="21"/>
        <v/>
      </c>
      <c r="M1104" s="250" t="str">
        <f t="shared" si="22"/>
        <v/>
      </c>
    </row>
    <row r="1105" spans="1:13">
      <c r="A1105" s="4">
        <v>1105</v>
      </c>
      <c r="C1105" s="8" t="str">
        <f>IF(B1105="","",VLOOKUP(B1105,小圆机汇总表!A:AP,2,FALSE))</f>
        <v/>
      </c>
      <c r="D1105" s="8" t="str">
        <f>IF(B1105="","",VLOOKUP(B1105,小圆机汇总表!A:AP,7,FALSE))</f>
        <v/>
      </c>
      <c r="E1105" s="8" t="str">
        <f>IF(B1105="","",VLOOKUP(B1105,小圆机汇总表!A:AP,5,FALSE))</f>
        <v/>
      </c>
      <c r="F1105" s="8" t="str">
        <f>IF(B1105="","",VLOOKUP(B1105,小圆机汇总表!A:AP,8,FALSE))</f>
        <v/>
      </c>
      <c r="J1105" s="8" t="str">
        <f t="shared" si="21"/>
        <v/>
      </c>
      <c r="M1105" s="250" t="str">
        <f t="shared" si="22"/>
        <v/>
      </c>
    </row>
    <row r="1106" spans="1:13">
      <c r="A1106" s="4">
        <v>1106</v>
      </c>
      <c r="C1106" s="8" t="str">
        <f>IF(B1106="","",VLOOKUP(B1106,小圆机汇总表!A:AP,2,FALSE))</f>
        <v/>
      </c>
      <c r="D1106" s="8" t="str">
        <f>IF(B1106="","",VLOOKUP(B1106,小圆机汇总表!A:AP,7,FALSE))</f>
        <v/>
      </c>
      <c r="E1106" s="8" t="str">
        <f>IF(B1106="","",VLOOKUP(B1106,小圆机汇总表!A:AP,5,FALSE))</f>
        <v/>
      </c>
      <c r="F1106" s="8" t="str">
        <f>IF(B1106="","",VLOOKUP(B1106,小圆机汇总表!A:AP,8,FALSE))</f>
        <v/>
      </c>
      <c r="J1106" s="8" t="str">
        <f t="shared" si="21"/>
        <v/>
      </c>
      <c r="M1106" s="250" t="str">
        <f t="shared" si="22"/>
        <v/>
      </c>
    </row>
    <row r="1107" spans="1:13">
      <c r="A1107" s="4">
        <v>1107</v>
      </c>
      <c r="C1107" s="8" t="str">
        <f>IF(B1107="","",VLOOKUP(B1107,小圆机汇总表!A:AP,2,FALSE))</f>
        <v/>
      </c>
      <c r="D1107" s="8" t="str">
        <f>IF(B1107="","",VLOOKUP(B1107,小圆机汇总表!A:AP,7,FALSE))</f>
        <v/>
      </c>
      <c r="E1107" s="8" t="str">
        <f>IF(B1107="","",VLOOKUP(B1107,小圆机汇总表!A:AP,5,FALSE))</f>
        <v/>
      </c>
      <c r="F1107" s="8" t="str">
        <f>IF(B1107="","",VLOOKUP(B1107,小圆机汇总表!A:AP,8,FALSE))</f>
        <v/>
      </c>
      <c r="J1107" s="8" t="str">
        <f t="shared" si="21"/>
        <v/>
      </c>
      <c r="M1107" s="250" t="str">
        <f t="shared" si="22"/>
        <v/>
      </c>
    </row>
    <row r="1108" spans="1:13">
      <c r="A1108" s="4">
        <v>1108</v>
      </c>
      <c r="C1108" s="8" t="str">
        <f>IF(B1108="","",VLOOKUP(B1108,小圆机汇总表!A:AP,2,FALSE))</f>
        <v/>
      </c>
      <c r="D1108" s="8" t="str">
        <f>IF(B1108="","",VLOOKUP(B1108,小圆机汇总表!A:AP,7,FALSE))</f>
        <v/>
      </c>
      <c r="E1108" s="8" t="str">
        <f>IF(B1108="","",VLOOKUP(B1108,小圆机汇总表!A:AP,5,FALSE))</f>
        <v/>
      </c>
      <c r="F1108" s="8" t="str">
        <f>IF(B1108="","",VLOOKUP(B1108,小圆机汇总表!A:AP,8,FALSE))</f>
        <v/>
      </c>
      <c r="J1108" s="8" t="str">
        <f t="shared" si="21"/>
        <v/>
      </c>
      <c r="M1108" s="250" t="str">
        <f t="shared" si="22"/>
        <v/>
      </c>
    </row>
    <row r="1109" spans="1:13">
      <c r="A1109" s="4">
        <v>1109</v>
      </c>
      <c r="C1109" s="8" t="str">
        <f>IF(B1109="","",VLOOKUP(B1109,小圆机汇总表!A:AP,2,FALSE))</f>
        <v/>
      </c>
      <c r="D1109" s="8" t="str">
        <f>IF(B1109="","",VLOOKUP(B1109,小圆机汇总表!A:AP,7,FALSE))</f>
        <v/>
      </c>
      <c r="E1109" s="8" t="str">
        <f>IF(B1109="","",VLOOKUP(B1109,小圆机汇总表!A:AP,5,FALSE))</f>
        <v/>
      </c>
      <c r="F1109" s="8" t="str">
        <f>IF(B1109="","",VLOOKUP(B1109,小圆机汇总表!A:AP,8,FALSE))</f>
        <v/>
      </c>
      <c r="J1109" s="8" t="str">
        <f t="shared" si="21"/>
        <v/>
      </c>
      <c r="M1109" s="250" t="str">
        <f t="shared" si="22"/>
        <v/>
      </c>
    </row>
    <row r="1110" spans="1:13">
      <c r="A1110" s="4">
        <v>1110</v>
      </c>
      <c r="C1110" s="8" t="str">
        <f>IF(B1110="","",VLOOKUP(B1110,小圆机汇总表!A:AP,2,FALSE))</f>
        <v/>
      </c>
      <c r="D1110" s="8" t="str">
        <f>IF(B1110="","",VLOOKUP(B1110,小圆机汇总表!A:AP,7,FALSE))</f>
        <v/>
      </c>
      <c r="E1110" s="8" t="str">
        <f>IF(B1110="","",VLOOKUP(B1110,小圆机汇总表!A:AP,5,FALSE))</f>
        <v/>
      </c>
      <c r="F1110" s="8" t="str">
        <f>IF(B1110="","",VLOOKUP(B1110,小圆机汇总表!A:AP,8,FALSE))</f>
        <v/>
      </c>
      <c r="J1110" s="8" t="str">
        <f t="shared" si="21"/>
        <v/>
      </c>
      <c r="M1110" s="250" t="str">
        <f t="shared" si="22"/>
        <v/>
      </c>
    </row>
    <row r="1111" spans="1:13">
      <c r="A1111" s="4">
        <v>1111</v>
      </c>
      <c r="C1111" s="8" t="str">
        <f>IF(B1111="","",VLOOKUP(B1111,小圆机汇总表!A:AP,2,FALSE))</f>
        <v/>
      </c>
      <c r="D1111" s="8" t="str">
        <f>IF(B1111="","",VLOOKUP(B1111,小圆机汇总表!A:AP,7,FALSE))</f>
        <v/>
      </c>
      <c r="E1111" s="8" t="str">
        <f>IF(B1111="","",VLOOKUP(B1111,小圆机汇总表!A:AP,5,FALSE))</f>
        <v/>
      </c>
      <c r="F1111" s="8" t="str">
        <f>IF(B1111="","",VLOOKUP(B1111,小圆机汇总表!A:AP,8,FALSE))</f>
        <v/>
      </c>
      <c r="J1111" s="8" t="str">
        <f t="shared" si="21"/>
        <v/>
      </c>
      <c r="M1111" s="250" t="str">
        <f t="shared" si="22"/>
        <v/>
      </c>
    </row>
    <row r="1112" spans="1:13">
      <c r="A1112" s="4">
        <v>1112</v>
      </c>
      <c r="C1112" s="8" t="str">
        <f>IF(B1112="","",VLOOKUP(B1112,小圆机汇总表!A:AP,2,FALSE))</f>
        <v/>
      </c>
      <c r="D1112" s="8" t="str">
        <f>IF(B1112="","",VLOOKUP(B1112,小圆机汇总表!A:AP,7,FALSE))</f>
        <v/>
      </c>
      <c r="E1112" s="8" t="str">
        <f>IF(B1112="","",VLOOKUP(B1112,小圆机汇总表!A:AP,5,FALSE))</f>
        <v/>
      </c>
      <c r="F1112" s="8" t="str">
        <f>IF(B1112="","",VLOOKUP(B1112,小圆机汇总表!A:AP,8,FALSE))</f>
        <v/>
      </c>
      <c r="J1112" s="8" t="str">
        <f t="shared" si="21"/>
        <v/>
      </c>
      <c r="M1112" s="250" t="str">
        <f t="shared" si="22"/>
        <v/>
      </c>
    </row>
    <row r="1113" spans="1:13">
      <c r="A1113" s="4">
        <v>1113</v>
      </c>
      <c r="C1113" s="8" t="str">
        <f>IF(B1113="","",VLOOKUP(B1113,小圆机汇总表!A:AP,2,FALSE))</f>
        <v/>
      </c>
      <c r="D1113" s="8" t="str">
        <f>IF(B1113="","",VLOOKUP(B1113,小圆机汇总表!A:AP,7,FALSE))</f>
        <v/>
      </c>
      <c r="E1113" s="8" t="str">
        <f>IF(B1113="","",VLOOKUP(B1113,小圆机汇总表!A:AP,5,FALSE))</f>
        <v/>
      </c>
      <c r="F1113" s="8" t="str">
        <f>IF(B1113="","",VLOOKUP(B1113,小圆机汇总表!A:AP,8,FALSE))</f>
        <v/>
      </c>
      <c r="J1113" s="8" t="str">
        <f t="shared" si="21"/>
        <v/>
      </c>
      <c r="M1113" s="250" t="str">
        <f t="shared" si="22"/>
        <v/>
      </c>
    </row>
    <row r="1114" spans="1:13">
      <c r="A1114" s="4">
        <v>1114</v>
      </c>
      <c r="C1114" s="8" t="str">
        <f>IF(B1114="","",VLOOKUP(B1114,小圆机汇总表!A:AP,2,FALSE))</f>
        <v/>
      </c>
      <c r="D1114" s="8" t="str">
        <f>IF(B1114="","",VLOOKUP(B1114,小圆机汇总表!A:AP,7,FALSE))</f>
        <v/>
      </c>
      <c r="E1114" s="8" t="str">
        <f>IF(B1114="","",VLOOKUP(B1114,小圆机汇总表!A:AP,5,FALSE))</f>
        <v/>
      </c>
      <c r="F1114" s="8" t="str">
        <f>IF(B1114="","",VLOOKUP(B1114,小圆机汇总表!A:AP,8,FALSE))</f>
        <v/>
      </c>
      <c r="J1114" s="8" t="str">
        <f t="shared" si="21"/>
        <v/>
      </c>
      <c r="M1114" s="250" t="str">
        <f t="shared" si="22"/>
        <v/>
      </c>
    </row>
    <row r="1115" spans="1:13">
      <c r="A1115" s="4">
        <v>1115</v>
      </c>
      <c r="C1115" s="8" t="str">
        <f>IF(B1115="","",VLOOKUP(B1115,小圆机汇总表!A:AP,2,FALSE))</f>
        <v/>
      </c>
      <c r="D1115" s="8" t="str">
        <f>IF(B1115="","",VLOOKUP(B1115,小圆机汇总表!A:AP,7,FALSE))</f>
        <v/>
      </c>
      <c r="E1115" s="8" t="str">
        <f>IF(B1115="","",VLOOKUP(B1115,小圆机汇总表!A:AP,5,FALSE))</f>
        <v/>
      </c>
      <c r="F1115" s="8" t="str">
        <f>IF(B1115="","",VLOOKUP(B1115,小圆机汇总表!A:AP,8,FALSE))</f>
        <v/>
      </c>
      <c r="J1115" s="8" t="str">
        <f t="shared" si="21"/>
        <v/>
      </c>
      <c r="M1115" s="250" t="str">
        <f t="shared" si="22"/>
        <v/>
      </c>
    </row>
    <row r="1116" spans="1:13">
      <c r="A1116" s="4">
        <v>1116</v>
      </c>
      <c r="C1116" s="8" t="str">
        <f>IF(B1116="","",VLOOKUP(B1116,小圆机汇总表!A:AP,2,FALSE))</f>
        <v/>
      </c>
      <c r="D1116" s="8" t="str">
        <f>IF(B1116="","",VLOOKUP(B1116,小圆机汇总表!A:AP,7,FALSE))</f>
        <v/>
      </c>
      <c r="E1116" s="8" t="str">
        <f>IF(B1116="","",VLOOKUP(B1116,小圆机汇总表!A:AP,5,FALSE))</f>
        <v/>
      </c>
      <c r="F1116" s="8" t="str">
        <f>IF(B1116="","",VLOOKUP(B1116,小圆机汇总表!A:AP,8,FALSE))</f>
        <v/>
      </c>
      <c r="J1116" s="8" t="str">
        <f t="shared" si="21"/>
        <v/>
      </c>
      <c r="M1116" s="250" t="str">
        <f t="shared" si="22"/>
        <v/>
      </c>
    </row>
    <row r="1117" spans="1:13">
      <c r="A1117" s="4">
        <v>1117</v>
      </c>
      <c r="C1117" s="8" t="str">
        <f>IF(B1117="","",VLOOKUP(B1117,小圆机汇总表!A:AP,2,FALSE))</f>
        <v/>
      </c>
      <c r="D1117" s="8" t="str">
        <f>IF(B1117="","",VLOOKUP(B1117,小圆机汇总表!A:AP,7,FALSE))</f>
        <v/>
      </c>
      <c r="E1117" s="8" t="str">
        <f>IF(B1117="","",VLOOKUP(B1117,小圆机汇总表!A:AP,5,FALSE))</f>
        <v/>
      </c>
      <c r="F1117" s="8" t="str">
        <f>IF(B1117="","",VLOOKUP(B1117,小圆机汇总表!A:AP,8,FALSE))</f>
        <v/>
      </c>
      <c r="J1117" s="8" t="str">
        <f t="shared" si="21"/>
        <v/>
      </c>
      <c r="M1117" s="250" t="str">
        <f t="shared" si="22"/>
        <v/>
      </c>
    </row>
    <row r="1118" spans="1:13">
      <c r="A1118" s="4">
        <v>1118</v>
      </c>
      <c r="C1118" s="8" t="str">
        <f>IF(B1118="","",VLOOKUP(B1118,小圆机汇总表!A:AP,2,FALSE))</f>
        <v/>
      </c>
      <c r="D1118" s="8" t="str">
        <f>IF(B1118="","",VLOOKUP(B1118,小圆机汇总表!A:AP,7,FALSE))</f>
        <v/>
      </c>
      <c r="E1118" s="8" t="str">
        <f>IF(B1118="","",VLOOKUP(B1118,小圆机汇总表!A:AP,5,FALSE))</f>
        <v/>
      </c>
      <c r="F1118" s="8" t="str">
        <f>IF(B1118="","",VLOOKUP(B1118,小圆机汇总表!A:AP,8,FALSE))</f>
        <v/>
      </c>
      <c r="J1118" s="8" t="str">
        <f t="shared" si="21"/>
        <v/>
      </c>
      <c r="M1118" s="250" t="str">
        <f t="shared" si="22"/>
        <v/>
      </c>
    </row>
    <row r="1119" spans="1:13">
      <c r="A1119" s="4">
        <v>1119</v>
      </c>
      <c r="C1119" s="8" t="str">
        <f>IF(B1119="","",VLOOKUP(B1119,小圆机汇总表!A:AP,2,FALSE))</f>
        <v/>
      </c>
      <c r="D1119" s="8" t="str">
        <f>IF(B1119="","",VLOOKUP(B1119,小圆机汇总表!A:AP,7,FALSE))</f>
        <v/>
      </c>
      <c r="E1119" s="8" t="str">
        <f>IF(B1119="","",VLOOKUP(B1119,小圆机汇总表!A:AP,5,FALSE))</f>
        <v/>
      </c>
      <c r="F1119" s="8" t="str">
        <f>IF(B1119="","",VLOOKUP(B1119,小圆机汇总表!A:AP,8,FALSE))</f>
        <v/>
      </c>
      <c r="J1119" s="8" t="str">
        <f t="shared" si="21"/>
        <v/>
      </c>
      <c r="M1119" s="250" t="str">
        <f t="shared" si="22"/>
        <v/>
      </c>
    </row>
    <row r="1120" spans="1:13">
      <c r="A1120" s="4">
        <v>1120</v>
      </c>
      <c r="C1120" s="8" t="str">
        <f>IF(B1120="","",VLOOKUP(B1120,小圆机汇总表!A:AP,2,FALSE))</f>
        <v/>
      </c>
      <c r="D1120" s="8" t="str">
        <f>IF(B1120="","",VLOOKUP(B1120,小圆机汇总表!A:AP,7,FALSE))</f>
        <v/>
      </c>
      <c r="E1120" s="8" t="str">
        <f>IF(B1120="","",VLOOKUP(B1120,小圆机汇总表!A:AP,5,FALSE))</f>
        <v/>
      </c>
      <c r="F1120" s="8" t="str">
        <f>IF(B1120="","",VLOOKUP(B1120,小圆机汇总表!A:AP,8,FALSE))</f>
        <v/>
      </c>
      <c r="J1120" s="8" t="str">
        <f t="shared" si="21"/>
        <v/>
      </c>
      <c r="M1120" s="250" t="str">
        <f t="shared" si="22"/>
        <v/>
      </c>
    </row>
    <row r="1121" spans="1:13">
      <c r="A1121" s="4">
        <v>1121</v>
      </c>
      <c r="C1121" s="8" t="str">
        <f>IF(B1121="","",VLOOKUP(B1121,小圆机汇总表!A:AP,2,FALSE))</f>
        <v/>
      </c>
      <c r="D1121" s="8" t="str">
        <f>IF(B1121="","",VLOOKUP(B1121,小圆机汇总表!A:AP,7,FALSE))</f>
        <v/>
      </c>
      <c r="E1121" s="8" t="str">
        <f>IF(B1121="","",VLOOKUP(B1121,小圆机汇总表!A:AP,5,FALSE))</f>
        <v/>
      </c>
      <c r="F1121" s="8" t="str">
        <f>IF(B1121="","",VLOOKUP(B1121,小圆机汇总表!A:AP,8,FALSE))</f>
        <v/>
      </c>
      <c r="J1121" s="8" t="str">
        <f t="shared" si="21"/>
        <v/>
      </c>
      <c r="M1121" s="250" t="str">
        <f t="shared" si="22"/>
        <v/>
      </c>
    </row>
    <row r="1122" spans="1:13">
      <c r="A1122" s="4">
        <v>1122</v>
      </c>
      <c r="C1122" s="8" t="str">
        <f>IF(B1122="","",VLOOKUP(B1122,小圆机汇总表!A:AP,2,FALSE))</f>
        <v/>
      </c>
      <c r="D1122" s="8" t="str">
        <f>IF(B1122="","",VLOOKUP(B1122,小圆机汇总表!A:AP,7,FALSE))</f>
        <v/>
      </c>
      <c r="E1122" s="8" t="str">
        <f>IF(B1122="","",VLOOKUP(B1122,小圆机汇总表!A:AP,5,FALSE))</f>
        <v/>
      </c>
      <c r="F1122" s="8" t="str">
        <f>IF(B1122="","",VLOOKUP(B1122,小圆机汇总表!A:AP,8,FALSE))</f>
        <v/>
      </c>
      <c r="J1122" s="8" t="str">
        <f t="shared" si="21"/>
        <v/>
      </c>
      <c r="M1122" s="250" t="str">
        <f t="shared" si="22"/>
        <v/>
      </c>
    </row>
    <row r="1123" spans="1:13">
      <c r="A1123" s="4">
        <v>1123</v>
      </c>
      <c r="C1123" s="8" t="str">
        <f>IF(B1123="","",VLOOKUP(B1123,小圆机汇总表!A:AP,2,FALSE))</f>
        <v/>
      </c>
      <c r="D1123" s="8" t="str">
        <f>IF(B1123="","",VLOOKUP(B1123,小圆机汇总表!A:AP,7,FALSE))</f>
        <v/>
      </c>
      <c r="E1123" s="8" t="str">
        <f>IF(B1123="","",VLOOKUP(B1123,小圆机汇总表!A:AP,5,FALSE))</f>
        <v/>
      </c>
      <c r="F1123" s="8" t="str">
        <f>IF(B1123="","",VLOOKUP(B1123,小圆机汇总表!A:AP,8,FALSE))</f>
        <v/>
      </c>
      <c r="J1123" s="8" t="str">
        <f t="shared" ref="J1123:J1186" si="23">IF(B1123="","",MONTH(G1123))</f>
        <v/>
      </c>
      <c r="M1123" s="250" t="str">
        <f t="shared" si="22"/>
        <v/>
      </c>
    </row>
    <row r="1124" spans="1:13">
      <c r="A1124" s="4">
        <v>1124</v>
      </c>
      <c r="C1124" s="8" t="str">
        <f>IF(B1124="","",VLOOKUP(B1124,小圆机汇总表!A:AP,2,FALSE))</f>
        <v/>
      </c>
      <c r="D1124" s="8" t="str">
        <f>IF(B1124="","",VLOOKUP(B1124,小圆机汇总表!A:AP,7,FALSE))</f>
        <v/>
      </c>
      <c r="E1124" s="8" t="str">
        <f>IF(B1124="","",VLOOKUP(B1124,小圆机汇总表!A:AP,5,FALSE))</f>
        <v/>
      </c>
      <c r="F1124" s="8" t="str">
        <f>IF(B1124="","",VLOOKUP(B1124,小圆机汇总表!A:AP,8,FALSE))</f>
        <v/>
      </c>
      <c r="J1124" s="8" t="str">
        <f t="shared" si="23"/>
        <v/>
      </c>
      <c r="M1124" s="250" t="str">
        <f t="shared" si="22"/>
        <v/>
      </c>
    </row>
    <row r="1125" spans="1:13">
      <c r="A1125" s="4">
        <v>1125</v>
      </c>
      <c r="C1125" s="8" t="str">
        <f>IF(B1125="","",VLOOKUP(B1125,小圆机汇总表!A:AP,2,FALSE))</f>
        <v/>
      </c>
      <c r="D1125" s="8" t="str">
        <f>IF(B1125="","",VLOOKUP(B1125,小圆机汇总表!A:AP,7,FALSE))</f>
        <v/>
      </c>
      <c r="E1125" s="8" t="str">
        <f>IF(B1125="","",VLOOKUP(B1125,小圆机汇总表!A:AP,5,FALSE))</f>
        <v/>
      </c>
      <c r="F1125" s="8" t="str">
        <f>IF(B1125="","",VLOOKUP(B1125,小圆机汇总表!A:AP,8,FALSE))</f>
        <v/>
      </c>
      <c r="J1125" s="8" t="str">
        <f t="shared" si="23"/>
        <v/>
      </c>
      <c r="M1125" s="250" t="str">
        <f t="shared" si="22"/>
        <v/>
      </c>
    </row>
    <row r="1126" spans="1:13">
      <c r="A1126" s="4">
        <v>1126</v>
      </c>
      <c r="C1126" s="8" t="str">
        <f>IF(B1126="","",VLOOKUP(B1126,小圆机汇总表!A:AP,2,FALSE))</f>
        <v/>
      </c>
      <c r="D1126" s="8" t="str">
        <f>IF(B1126="","",VLOOKUP(B1126,小圆机汇总表!A:AP,7,FALSE))</f>
        <v/>
      </c>
      <c r="E1126" s="8" t="str">
        <f>IF(B1126="","",VLOOKUP(B1126,小圆机汇总表!A:AP,5,FALSE))</f>
        <v/>
      </c>
      <c r="F1126" s="8" t="str">
        <f>IF(B1126="","",VLOOKUP(B1126,小圆机汇总表!A:AP,8,FALSE))</f>
        <v/>
      </c>
      <c r="J1126" s="8" t="str">
        <f t="shared" si="23"/>
        <v/>
      </c>
      <c r="M1126" s="250" t="str">
        <f t="shared" si="22"/>
        <v/>
      </c>
    </row>
    <row r="1127" spans="1:13">
      <c r="A1127" s="4">
        <v>1127</v>
      </c>
      <c r="C1127" s="8" t="str">
        <f>IF(B1127="","",VLOOKUP(B1127,小圆机汇总表!A:AP,2,FALSE))</f>
        <v/>
      </c>
      <c r="D1127" s="8" t="str">
        <f>IF(B1127="","",VLOOKUP(B1127,小圆机汇总表!A:AP,7,FALSE))</f>
        <v/>
      </c>
      <c r="E1127" s="8" t="str">
        <f>IF(B1127="","",VLOOKUP(B1127,小圆机汇总表!A:AP,5,FALSE))</f>
        <v/>
      </c>
      <c r="F1127" s="8" t="str">
        <f>IF(B1127="","",VLOOKUP(B1127,小圆机汇总表!A:AP,8,FALSE))</f>
        <v/>
      </c>
      <c r="J1127" s="8" t="str">
        <f t="shared" si="23"/>
        <v/>
      </c>
      <c r="M1127" s="250" t="str">
        <f t="shared" si="22"/>
        <v/>
      </c>
    </row>
    <row r="1128" spans="1:13">
      <c r="A1128" s="4">
        <v>1128</v>
      </c>
      <c r="C1128" s="8" t="str">
        <f>IF(B1128="","",VLOOKUP(B1128,小圆机汇总表!A:AP,2,FALSE))</f>
        <v/>
      </c>
      <c r="D1128" s="8" t="str">
        <f>IF(B1128="","",VLOOKUP(B1128,小圆机汇总表!A:AP,7,FALSE))</f>
        <v/>
      </c>
      <c r="E1128" s="8" t="str">
        <f>IF(B1128="","",VLOOKUP(B1128,小圆机汇总表!A:AP,5,FALSE))</f>
        <v/>
      </c>
      <c r="F1128" s="8" t="str">
        <f>IF(B1128="","",VLOOKUP(B1128,小圆机汇总表!A:AP,8,FALSE))</f>
        <v/>
      </c>
      <c r="J1128" s="8" t="str">
        <f t="shared" si="23"/>
        <v/>
      </c>
      <c r="M1128" s="250" t="str">
        <f t="shared" si="22"/>
        <v/>
      </c>
    </row>
    <row r="1129" spans="1:13">
      <c r="A1129" s="4">
        <v>1129</v>
      </c>
      <c r="C1129" s="8" t="str">
        <f>IF(B1129="","",VLOOKUP(B1129,小圆机汇总表!A:AP,2,FALSE))</f>
        <v/>
      </c>
      <c r="D1129" s="8" t="str">
        <f>IF(B1129="","",VLOOKUP(B1129,小圆机汇总表!A:AP,7,FALSE))</f>
        <v/>
      </c>
      <c r="E1129" s="8" t="str">
        <f>IF(B1129="","",VLOOKUP(B1129,小圆机汇总表!A:AP,5,FALSE))</f>
        <v/>
      </c>
      <c r="F1129" s="8" t="str">
        <f>IF(B1129="","",VLOOKUP(B1129,小圆机汇总表!A:AP,8,FALSE))</f>
        <v/>
      </c>
      <c r="J1129" s="8" t="str">
        <f t="shared" si="23"/>
        <v/>
      </c>
      <c r="M1129" s="250" t="str">
        <f t="shared" si="22"/>
        <v/>
      </c>
    </row>
    <row r="1130" spans="1:13">
      <c r="A1130" s="4">
        <v>1130</v>
      </c>
      <c r="C1130" s="8" t="str">
        <f>IF(B1130="","",VLOOKUP(B1130,小圆机汇总表!A:AP,2,FALSE))</f>
        <v/>
      </c>
      <c r="D1130" s="8" t="str">
        <f>IF(B1130="","",VLOOKUP(B1130,小圆机汇总表!A:AP,7,FALSE))</f>
        <v/>
      </c>
      <c r="E1130" s="8" t="str">
        <f>IF(B1130="","",VLOOKUP(B1130,小圆机汇总表!A:AP,5,FALSE))</f>
        <v/>
      </c>
      <c r="F1130" s="8" t="str">
        <f>IF(B1130="","",VLOOKUP(B1130,小圆机汇总表!A:AP,8,FALSE))</f>
        <v/>
      </c>
      <c r="J1130" s="8" t="str">
        <f t="shared" si="23"/>
        <v/>
      </c>
      <c r="M1130" s="250" t="str">
        <f t="shared" si="22"/>
        <v/>
      </c>
    </row>
    <row r="1131" spans="1:13">
      <c r="A1131" s="4">
        <v>1131</v>
      </c>
      <c r="C1131" s="8" t="str">
        <f>IF(B1131="","",VLOOKUP(B1131,小圆机汇总表!A:AP,2,FALSE))</f>
        <v/>
      </c>
      <c r="D1131" s="8" t="str">
        <f>IF(B1131="","",VLOOKUP(B1131,小圆机汇总表!A:AP,7,FALSE))</f>
        <v/>
      </c>
      <c r="E1131" s="8" t="str">
        <f>IF(B1131="","",VLOOKUP(B1131,小圆机汇总表!A:AP,5,FALSE))</f>
        <v/>
      </c>
      <c r="F1131" s="8" t="str">
        <f>IF(B1131="","",VLOOKUP(B1131,小圆机汇总表!A:AP,8,FALSE))</f>
        <v/>
      </c>
      <c r="J1131" s="8" t="str">
        <f t="shared" si="23"/>
        <v/>
      </c>
      <c r="M1131" s="250" t="str">
        <f t="shared" si="22"/>
        <v/>
      </c>
    </row>
    <row r="1132" spans="1:13">
      <c r="A1132" s="4">
        <v>1132</v>
      </c>
      <c r="C1132" s="8" t="str">
        <f>IF(B1132="","",VLOOKUP(B1132,小圆机汇总表!A:AP,2,FALSE))</f>
        <v/>
      </c>
      <c r="D1132" s="8" t="str">
        <f>IF(B1132="","",VLOOKUP(B1132,小圆机汇总表!A:AP,7,FALSE))</f>
        <v/>
      </c>
      <c r="E1132" s="8" t="str">
        <f>IF(B1132="","",VLOOKUP(B1132,小圆机汇总表!A:AP,5,FALSE))</f>
        <v/>
      </c>
      <c r="F1132" s="8" t="str">
        <f>IF(B1132="","",VLOOKUP(B1132,小圆机汇总表!A:AP,8,FALSE))</f>
        <v/>
      </c>
      <c r="J1132" s="8" t="str">
        <f t="shared" si="23"/>
        <v/>
      </c>
      <c r="M1132" s="250" t="str">
        <f t="shared" si="22"/>
        <v/>
      </c>
    </row>
    <row r="1133" spans="1:13">
      <c r="A1133" s="4">
        <v>1133</v>
      </c>
      <c r="C1133" s="8" t="str">
        <f>IF(B1133="","",VLOOKUP(B1133,小圆机汇总表!A:AP,2,FALSE))</f>
        <v/>
      </c>
      <c r="D1133" s="8" t="str">
        <f>IF(B1133="","",VLOOKUP(B1133,小圆机汇总表!A:AP,7,FALSE))</f>
        <v/>
      </c>
      <c r="E1133" s="8" t="str">
        <f>IF(B1133="","",VLOOKUP(B1133,小圆机汇总表!A:AP,5,FALSE))</f>
        <v/>
      </c>
      <c r="F1133" s="8" t="str">
        <f>IF(B1133="","",VLOOKUP(B1133,小圆机汇总表!A:AP,8,FALSE))</f>
        <v/>
      </c>
      <c r="J1133" s="8" t="str">
        <f t="shared" si="23"/>
        <v/>
      </c>
      <c r="M1133" s="250" t="str">
        <f t="shared" si="22"/>
        <v/>
      </c>
    </row>
    <row r="1134" spans="1:13">
      <c r="A1134" s="4">
        <v>1134</v>
      </c>
      <c r="C1134" s="8" t="str">
        <f>IF(B1134="","",VLOOKUP(B1134,小圆机汇总表!A:AP,2,FALSE))</f>
        <v/>
      </c>
      <c r="D1134" s="8" t="str">
        <f>IF(B1134="","",VLOOKUP(B1134,小圆机汇总表!A:AP,7,FALSE))</f>
        <v/>
      </c>
      <c r="E1134" s="8" t="str">
        <f>IF(B1134="","",VLOOKUP(B1134,小圆机汇总表!A:AP,5,FALSE))</f>
        <v/>
      </c>
      <c r="F1134" s="8" t="str">
        <f>IF(B1134="","",VLOOKUP(B1134,小圆机汇总表!A:AP,8,FALSE))</f>
        <v/>
      </c>
      <c r="J1134" s="8" t="str">
        <f t="shared" si="23"/>
        <v/>
      </c>
      <c r="M1134" s="250" t="str">
        <f t="shared" si="22"/>
        <v/>
      </c>
    </row>
    <row r="1135" spans="1:13">
      <c r="A1135" s="4">
        <v>1135</v>
      </c>
      <c r="C1135" s="8" t="str">
        <f>IF(B1135="","",VLOOKUP(B1135,小圆机汇总表!A:AP,2,FALSE))</f>
        <v/>
      </c>
      <c r="D1135" s="8" t="str">
        <f>IF(B1135="","",VLOOKUP(B1135,小圆机汇总表!A:AP,7,FALSE))</f>
        <v/>
      </c>
      <c r="E1135" s="8" t="str">
        <f>IF(B1135="","",VLOOKUP(B1135,小圆机汇总表!A:AP,5,FALSE))</f>
        <v/>
      </c>
      <c r="F1135" s="8" t="str">
        <f>IF(B1135="","",VLOOKUP(B1135,小圆机汇总表!A:AP,8,FALSE))</f>
        <v/>
      </c>
      <c r="J1135" s="8" t="str">
        <f t="shared" si="23"/>
        <v/>
      </c>
      <c r="M1135" s="250" t="str">
        <f t="shared" si="22"/>
        <v/>
      </c>
    </row>
    <row r="1136" spans="1:13">
      <c r="A1136" s="4">
        <v>1136</v>
      </c>
      <c r="C1136" s="8" t="str">
        <f>IF(B1136="","",VLOOKUP(B1136,小圆机汇总表!A:AP,2,FALSE))</f>
        <v/>
      </c>
      <c r="D1136" s="8" t="str">
        <f>IF(B1136="","",VLOOKUP(B1136,小圆机汇总表!A:AP,7,FALSE))</f>
        <v/>
      </c>
      <c r="E1136" s="8" t="str">
        <f>IF(B1136="","",VLOOKUP(B1136,小圆机汇总表!A:AP,5,FALSE))</f>
        <v/>
      </c>
      <c r="F1136" s="8" t="str">
        <f>IF(B1136="","",VLOOKUP(B1136,小圆机汇总表!A:AP,8,FALSE))</f>
        <v/>
      </c>
      <c r="J1136" s="8" t="str">
        <f t="shared" si="23"/>
        <v/>
      </c>
      <c r="M1136" s="250" t="str">
        <f t="shared" si="22"/>
        <v/>
      </c>
    </row>
    <row r="1137" spans="1:13">
      <c r="A1137" s="4">
        <v>1137</v>
      </c>
      <c r="C1137" s="8" t="str">
        <f>IF(B1137="","",VLOOKUP(B1137,小圆机汇总表!A:AP,2,FALSE))</f>
        <v/>
      </c>
      <c r="D1137" s="8" t="str">
        <f>IF(B1137="","",VLOOKUP(B1137,小圆机汇总表!A:AP,7,FALSE))</f>
        <v/>
      </c>
      <c r="E1137" s="8" t="str">
        <f>IF(B1137="","",VLOOKUP(B1137,小圆机汇总表!A:AP,5,FALSE))</f>
        <v/>
      </c>
      <c r="F1137" s="8" t="str">
        <f>IF(B1137="","",VLOOKUP(B1137,小圆机汇总表!A:AP,8,FALSE))</f>
        <v/>
      </c>
      <c r="J1137" s="8" t="str">
        <f t="shared" si="23"/>
        <v/>
      </c>
      <c r="M1137" s="250" t="str">
        <f t="shared" si="22"/>
        <v/>
      </c>
    </row>
    <row r="1138" spans="1:13">
      <c r="A1138" s="4">
        <v>1138</v>
      </c>
      <c r="C1138" s="8" t="str">
        <f>IF(B1138="","",VLOOKUP(B1138,小圆机汇总表!A:AP,2,FALSE))</f>
        <v/>
      </c>
      <c r="D1138" s="8" t="str">
        <f>IF(B1138="","",VLOOKUP(B1138,小圆机汇总表!A:AP,7,FALSE))</f>
        <v/>
      </c>
      <c r="E1138" s="8" t="str">
        <f>IF(B1138="","",VLOOKUP(B1138,小圆机汇总表!A:AP,5,FALSE))</f>
        <v/>
      </c>
      <c r="F1138" s="8" t="str">
        <f>IF(B1138="","",VLOOKUP(B1138,小圆机汇总表!A:AP,8,FALSE))</f>
        <v/>
      </c>
      <c r="J1138" s="8" t="str">
        <f t="shared" si="23"/>
        <v/>
      </c>
      <c r="M1138" s="250" t="str">
        <f t="shared" si="22"/>
        <v/>
      </c>
    </row>
    <row r="1139" spans="1:13">
      <c r="A1139" s="4">
        <v>1139</v>
      </c>
      <c r="C1139" s="8" t="str">
        <f>IF(B1139="","",VLOOKUP(B1139,小圆机汇总表!A:AP,2,FALSE))</f>
        <v/>
      </c>
      <c r="D1139" s="8" t="str">
        <f>IF(B1139="","",VLOOKUP(B1139,小圆机汇总表!A:AP,7,FALSE))</f>
        <v/>
      </c>
      <c r="E1139" s="8" t="str">
        <f>IF(B1139="","",VLOOKUP(B1139,小圆机汇总表!A:AP,5,FALSE))</f>
        <v/>
      </c>
      <c r="F1139" s="8" t="str">
        <f>IF(B1139="","",VLOOKUP(B1139,小圆机汇总表!A:AP,8,FALSE))</f>
        <v/>
      </c>
      <c r="J1139" s="8" t="str">
        <f t="shared" si="23"/>
        <v/>
      </c>
      <c r="M1139" s="250" t="str">
        <f t="shared" si="22"/>
        <v/>
      </c>
    </row>
    <row r="1140" spans="1:13">
      <c r="A1140" s="4">
        <v>1140</v>
      </c>
      <c r="C1140" s="8" t="str">
        <f>IF(B1140="","",VLOOKUP(B1140,小圆机汇总表!A:AP,2,FALSE))</f>
        <v/>
      </c>
      <c r="D1140" s="8" t="str">
        <f>IF(B1140="","",VLOOKUP(B1140,小圆机汇总表!A:AP,7,FALSE))</f>
        <v/>
      </c>
      <c r="E1140" s="8" t="str">
        <f>IF(B1140="","",VLOOKUP(B1140,小圆机汇总表!A:AP,5,FALSE))</f>
        <v/>
      </c>
      <c r="F1140" s="8" t="str">
        <f>IF(B1140="","",VLOOKUP(B1140,小圆机汇总表!A:AP,8,FALSE))</f>
        <v/>
      </c>
      <c r="J1140" s="8" t="str">
        <f t="shared" si="23"/>
        <v/>
      </c>
      <c r="M1140" s="250" t="str">
        <f t="shared" si="22"/>
        <v/>
      </c>
    </row>
    <row r="1141" spans="1:13">
      <c r="A1141" s="4">
        <v>1141</v>
      </c>
      <c r="C1141" s="8" t="str">
        <f>IF(B1141="","",VLOOKUP(B1141,小圆机汇总表!A:AP,2,FALSE))</f>
        <v/>
      </c>
      <c r="D1141" s="8" t="str">
        <f>IF(B1141="","",VLOOKUP(B1141,小圆机汇总表!A:AP,7,FALSE))</f>
        <v/>
      </c>
      <c r="E1141" s="8" t="str">
        <f>IF(B1141="","",VLOOKUP(B1141,小圆机汇总表!A:AP,5,FALSE))</f>
        <v/>
      </c>
      <c r="F1141" s="8" t="str">
        <f>IF(B1141="","",VLOOKUP(B1141,小圆机汇总表!A:AP,8,FALSE))</f>
        <v/>
      </c>
      <c r="J1141" s="8" t="str">
        <f t="shared" si="23"/>
        <v/>
      </c>
      <c r="M1141" s="250" t="str">
        <f t="shared" si="22"/>
        <v/>
      </c>
    </row>
    <row r="1142" spans="1:13">
      <c r="A1142" s="4">
        <v>1142</v>
      </c>
      <c r="C1142" s="8" t="str">
        <f>IF(B1142="","",VLOOKUP(B1142,小圆机汇总表!A:AP,2,FALSE))</f>
        <v/>
      </c>
      <c r="D1142" s="8" t="str">
        <f>IF(B1142="","",VLOOKUP(B1142,小圆机汇总表!A:AP,7,FALSE))</f>
        <v/>
      </c>
      <c r="E1142" s="8" t="str">
        <f>IF(B1142="","",VLOOKUP(B1142,小圆机汇总表!A:AP,5,FALSE))</f>
        <v/>
      </c>
      <c r="F1142" s="8" t="str">
        <f>IF(B1142="","",VLOOKUP(B1142,小圆机汇总表!A:AP,8,FALSE))</f>
        <v/>
      </c>
      <c r="J1142" s="8" t="str">
        <f t="shared" si="23"/>
        <v/>
      </c>
      <c r="M1142" s="250" t="str">
        <f t="shared" si="22"/>
        <v/>
      </c>
    </row>
    <row r="1143" spans="1:13">
      <c r="A1143" s="4">
        <v>1143</v>
      </c>
      <c r="C1143" s="8" t="str">
        <f>IF(B1143="","",VLOOKUP(B1143,小圆机汇总表!A:AP,2,FALSE))</f>
        <v/>
      </c>
      <c r="D1143" s="8" t="str">
        <f>IF(B1143="","",VLOOKUP(B1143,小圆机汇总表!A:AP,7,FALSE))</f>
        <v/>
      </c>
      <c r="E1143" s="8" t="str">
        <f>IF(B1143="","",VLOOKUP(B1143,小圆机汇总表!A:AP,5,FALSE))</f>
        <v/>
      </c>
      <c r="F1143" s="8" t="str">
        <f>IF(B1143="","",VLOOKUP(B1143,小圆机汇总表!A:AP,8,FALSE))</f>
        <v/>
      </c>
      <c r="J1143" s="8" t="str">
        <f t="shared" si="23"/>
        <v/>
      </c>
      <c r="M1143" s="250" t="str">
        <f t="shared" si="22"/>
        <v/>
      </c>
    </row>
    <row r="1144" spans="1:13">
      <c r="A1144" s="4">
        <v>1144</v>
      </c>
      <c r="C1144" s="8" t="str">
        <f>IF(B1144="","",VLOOKUP(B1144,小圆机汇总表!A:AP,2,FALSE))</f>
        <v/>
      </c>
      <c r="D1144" s="8" t="str">
        <f>IF(B1144="","",VLOOKUP(B1144,小圆机汇总表!A:AP,7,FALSE))</f>
        <v/>
      </c>
      <c r="E1144" s="8" t="str">
        <f>IF(B1144="","",VLOOKUP(B1144,小圆机汇总表!A:AP,5,FALSE))</f>
        <v/>
      </c>
      <c r="F1144" s="8" t="str">
        <f>IF(B1144="","",VLOOKUP(B1144,小圆机汇总表!A:AP,8,FALSE))</f>
        <v/>
      </c>
      <c r="J1144" s="8" t="str">
        <f t="shared" si="23"/>
        <v/>
      </c>
      <c r="M1144" s="250" t="str">
        <f t="shared" si="22"/>
        <v/>
      </c>
    </row>
    <row r="1145" spans="1:13">
      <c r="A1145" s="4">
        <v>1145</v>
      </c>
      <c r="C1145" s="8" t="str">
        <f>IF(B1145="","",VLOOKUP(B1145,小圆机汇总表!A:AP,2,FALSE))</f>
        <v/>
      </c>
      <c r="D1145" s="8" t="str">
        <f>IF(B1145="","",VLOOKUP(B1145,小圆机汇总表!A:AP,7,FALSE))</f>
        <v/>
      </c>
      <c r="E1145" s="8" t="str">
        <f>IF(B1145="","",VLOOKUP(B1145,小圆机汇总表!A:AP,5,FALSE))</f>
        <v/>
      </c>
      <c r="F1145" s="8" t="str">
        <f>IF(B1145="","",VLOOKUP(B1145,小圆机汇总表!A:AP,8,FALSE))</f>
        <v/>
      </c>
      <c r="J1145" s="8" t="str">
        <f t="shared" si="23"/>
        <v/>
      </c>
      <c r="M1145" s="250" t="str">
        <f t="shared" si="22"/>
        <v/>
      </c>
    </row>
    <row r="1146" spans="1:13">
      <c r="A1146" s="4">
        <v>1146</v>
      </c>
      <c r="C1146" s="8" t="str">
        <f>IF(B1146="","",VLOOKUP(B1146,小圆机汇总表!A:AP,2,FALSE))</f>
        <v/>
      </c>
      <c r="D1146" s="8" t="str">
        <f>IF(B1146="","",VLOOKUP(B1146,小圆机汇总表!A:AP,7,FALSE))</f>
        <v/>
      </c>
      <c r="E1146" s="8" t="str">
        <f>IF(B1146="","",VLOOKUP(B1146,小圆机汇总表!A:AP,5,FALSE))</f>
        <v/>
      </c>
      <c r="F1146" s="8" t="str">
        <f>IF(B1146="","",VLOOKUP(B1146,小圆机汇总表!A:AP,8,FALSE))</f>
        <v/>
      </c>
      <c r="J1146" s="8" t="str">
        <f t="shared" si="23"/>
        <v/>
      </c>
      <c r="M1146" s="250" t="str">
        <f t="shared" si="22"/>
        <v/>
      </c>
    </row>
    <row r="1147" spans="1:13">
      <c r="A1147" s="4">
        <v>1147</v>
      </c>
      <c r="C1147" s="8" t="str">
        <f>IF(B1147="","",VLOOKUP(B1147,小圆机汇总表!A:AP,2,FALSE))</f>
        <v/>
      </c>
      <c r="D1147" s="8" t="str">
        <f>IF(B1147="","",VLOOKUP(B1147,小圆机汇总表!A:AP,7,FALSE))</f>
        <v/>
      </c>
      <c r="E1147" s="8" t="str">
        <f>IF(B1147="","",VLOOKUP(B1147,小圆机汇总表!A:AP,5,FALSE))</f>
        <v/>
      </c>
      <c r="F1147" s="8" t="str">
        <f>IF(B1147="","",VLOOKUP(B1147,小圆机汇总表!A:AP,8,FALSE))</f>
        <v/>
      </c>
      <c r="J1147" s="8" t="str">
        <f t="shared" si="23"/>
        <v/>
      </c>
      <c r="M1147" s="250" t="str">
        <f t="shared" si="22"/>
        <v/>
      </c>
    </row>
    <row r="1148" spans="1:13">
      <c r="A1148" s="4">
        <v>1148</v>
      </c>
      <c r="C1148" s="8" t="str">
        <f>IF(B1148="","",VLOOKUP(B1148,小圆机汇总表!A:AP,2,FALSE))</f>
        <v/>
      </c>
      <c r="D1148" s="8" t="str">
        <f>IF(B1148="","",VLOOKUP(B1148,小圆机汇总表!A:AP,7,FALSE))</f>
        <v/>
      </c>
      <c r="E1148" s="8" t="str">
        <f>IF(B1148="","",VLOOKUP(B1148,小圆机汇总表!A:AP,5,FALSE))</f>
        <v/>
      </c>
      <c r="F1148" s="8" t="str">
        <f>IF(B1148="","",VLOOKUP(B1148,小圆机汇总表!A:AP,8,FALSE))</f>
        <v/>
      </c>
      <c r="J1148" s="8" t="str">
        <f t="shared" si="23"/>
        <v/>
      </c>
      <c r="M1148" s="250" t="str">
        <f t="shared" si="22"/>
        <v/>
      </c>
    </row>
    <row r="1149" spans="1:13">
      <c r="A1149" s="4">
        <v>1149</v>
      </c>
      <c r="C1149" s="8" t="str">
        <f>IF(B1149="","",VLOOKUP(B1149,小圆机汇总表!A:AP,2,FALSE))</f>
        <v/>
      </c>
      <c r="D1149" s="8" t="str">
        <f>IF(B1149="","",VLOOKUP(B1149,小圆机汇总表!A:AP,7,FALSE))</f>
        <v/>
      </c>
      <c r="E1149" s="8" t="str">
        <f>IF(B1149="","",VLOOKUP(B1149,小圆机汇总表!A:AP,5,FALSE))</f>
        <v/>
      </c>
      <c r="F1149" s="8" t="str">
        <f>IF(B1149="","",VLOOKUP(B1149,小圆机汇总表!A:AP,8,FALSE))</f>
        <v/>
      </c>
      <c r="J1149" s="8" t="str">
        <f t="shared" si="23"/>
        <v/>
      </c>
      <c r="M1149" s="250" t="str">
        <f t="shared" si="22"/>
        <v/>
      </c>
    </row>
    <row r="1150" spans="1:13">
      <c r="A1150" s="4">
        <v>1150</v>
      </c>
      <c r="C1150" s="8" t="str">
        <f>IF(B1150="","",VLOOKUP(B1150,小圆机汇总表!A:AP,2,FALSE))</f>
        <v/>
      </c>
      <c r="D1150" s="8" t="str">
        <f>IF(B1150="","",VLOOKUP(B1150,小圆机汇总表!A:AP,7,FALSE))</f>
        <v/>
      </c>
      <c r="E1150" s="8" t="str">
        <f>IF(B1150="","",VLOOKUP(B1150,小圆机汇总表!A:AP,5,FALSE))</f>
        <v/>
      </c>
      <c r="F1150" s="8" t="str">
        <f>IF(B1150="","",VLOOKUP(B1150,小圆机汇总表!A:AP,8,FALSE))</f>
        <v/>
      </c>
      <c r="J1150" s="8" t="str">
        <f t="shared" si="23"/>
        <v/>
      </c>
      <c r="M1150" s="250" t="str">
        <f t="shared" si="22"/>
        <v/>
      </c>
    </row>
    <row r="1151" spans="1:13">
      <c r="A1151" s="4">
        <v>1151</v>
      </c>
      <c r="C1151" s="8" t="str">
        <f>IF(B1151="","",VLOOKUP(B1151,小圆机汇总表!A:AP,2,FALSE))</f>
        <v/>
      </c>
      <c r="D1151" s="8" t="str">
        <f>IF(B1151="","",VLOOKUP(B1151,小圆机汇总表!A:AP,7,FALSE))</f>
        <v/>
      </c>
      <c r="E1151" s="8" t="str">
        <f>IF(B1151="","",VLOOKUP(B1151,小圆机汇总表!A:AP,5,FALSE))</f>
        <v/>
      </c>
      <c r="F1151" s="8" t="str">
        <f>IF(B1151="","",VLOOKUP(B1151,小圆机汇总表!A:AP,8,FALSE))</f>
        <v/>
      </c>
      <c r="J1151" s="8" t="str">
        <f t="shared" si="23"/>
        <v/>
      </c>
      <c r="M1151" s="250" t="str">
        <f t="shared" si="22"/>
        <v/>
      </c>
    </row>
    <row r="1152" spans="1:13">
      <c r="A1152" s="4">
        <v>1152</v>
      </c>
      <c r="C1152" s="8" t="str">
        <f>IF(B1152="","",VLOOKUP(B1152,小圆机汇总表!A:AP,2,FALSE))</f>
        <v/>
      </c>
      <c r="D1152" s="8" t="str">
        <f>IF(B1152="","",VLOOKUP(B1152,小圆机汇总表!A:AP,7,FALSE))</f>
        <v/>
      </c>
      <c r="E1152" s="8" t="str">
        <f>IF(B1152="","",VLOOKUP(B1152,小圆机汇总表!A:AP,5,FALSE))</f>
        <v/>
      </c>
      <c r="F1152" s="8" t="str">
        <f>IF(B1152="","",VLOOKUP(B1152,小圆机汇总表!A:AP,8,FALSE))</f>
        <v/>
      </c>
      <c r="J1152" s="8" t="str">
        <f t="shared" si="23"/>
        <v/>
      </c>
      <c r="M1152" s="250" t="str">
        <f t="shared" si="22"/>
        <v/>
      </c>
    </row>
    <row r="1153" spans="1:13">
      <c r="A1153" s="4">
        <v>1153</v>
      </c>
      <c r="C1153" s="8" t="str">
        <f>IF(B1153="","",VLOOKUP(B1153,小圆机汇总表!A:AP,2,FALSE))</f>
        <v/>
      </c>
      <c r="D1153" s="8" t="str">
        <f>IF(B1153="","",VLOOKUP(B1153,小圆机汇总表!A:AP,7,FALSE))</f>
        <v/>
      </c>
      <c r="E1153" s="8" t="str">
        <f>IF(B1153="","",VLOOKUP(B1153,小圆机汇总表!A:AP,5,FALSE))</f>
        <v/>
      </c>
      <c r="F1153" s="8" t="str">
        <f>IF(B1153="","",VLOOKUP(B1153,小圆机汇总表!A:AP,8,FALSE))</f>
        <v/>
      </c>
      <c r="J1153" s="8" t="str">
        <f t="shared" si="23"/>
        <v/>
      </c>
      <c r="M1153" s="250" t="str">
        <f t="shared" si="22"/>
        <v/>
      </c>
    </row>
    <row r="1154" spans="1:13">
      <c r="A1154" s="4">
        <v>1154</v>
      </c>
      <c r="C1154" s="8" t="str">
        <f>IF(B1154="","",VLOOKUP(B1154,小圆机汇总表!A:AP,2,FALSE))</f>
        <v/>
      </c>
      <c r="D1154" s="8" t="str">
        <f>IF(B1154="","",VLOOKUP(B1154,小圆机汇总表!A:AP,7,FALSE))</f>
        <v/>
      </c>
      <c r="E1154" s="8" t="str">
        <f>IF(B1154="","",VLOOKUP(B1154,小圆机汇总表!A:AP,5,FALSE))</f>
        <v/>
      </c>
      <c r="F1154" s="8" t="str">
        <f>IF(B1154="","",VLOOKUP(B1154,小圆机汇总表!A:AP,8,FALSE))</f>
        <v/>
      </c>
      <c r="J1154" s="8" t="str">
        <f t="shared" si="23"/>
        <v/>
      </c>
      <c r="M1154" s="250" t="str">
        <f t="shared" si="22"/>
        <v/>
      </c>
    </row>
    <row r="1155" spans="1:13">
      <c r="A1155" s="4">
        <v>1155</v>
      </c>
      <c r="C1155" s="8" t="str">
        <f>IF(B1155="","",VLOOKUP(B1155,小圆机汇总表!A:AP,2,FALSE))</f>
        <v/>
      </c>
      <c r="D1155" s="8" t="str">
        <f>IF(B1155="","",VLOOKUP(B1155,小圆机汇总表!A:AP,7,FALSE))</f>
        <v/>
      </c>
      <c r="E1155" s="8" t="str">
        <f>IF(B1155="","",VLOOKUP(B1155,小圆机汇总表!A:AP,5,FALSE))</f>
        <v/>
      </c>
      <c r="F1155" s="8" t="str">
        <f>IF(B1155="","",VLOOKUP(B1155,小圆机汇总表!A:AP,8,FALSE))</f>
        <v/>
      </c>
      <c r="J1155" s="8" t="str">
        <f t="shared" si="23"/>
        <v/>
      </c>
      <c r="M1155" s="250" t="str">
        <f t="shared" ref="M1155:M1218" si="24">IF(B1155="","",MONTH(G1155))</f>
        <v/>
      </c>
    </row>
    <row r="1156" spans="1:13">
      <c r="A1156" s="4">
        <v>1156</v>
      </c>
      <c r="C1156" s="8" t="str">
        <f>IF(B1156="","",VLOOKUP(B1156,小圆机汇总表!A:AP,2,FALSE))</f>
        <v/>
      </c>
      <c r="D1156" s="8" t="str">
        <f>IF(B1156="","",VLOOKUP(B1156,小圆机汇总表!A:AP,7,FALSE))</f>
        <v/>
      </c>
      <c r="E1156" s="8" t="str">
        <f>IF(B1156="","",VLOOKUP(B1156,小圆机汇总表!A:AP,5,FALSE))</f>
        <v/>
      </c>
      <c r="F1156" s="8" t="str">
        <f>IF(B1156="","",VLOOKUP(B1156,小圆机汇总表!A:AP,8,FALSE))</f>
        <v/>
      </c>
      <c r="J1156" s="8" t="str">
        <f t="shared" si="23"/>
        <v/>
      </c>
      <c r="M1156" s="250" t="str">
        <f t="shared" si="24"/>
        <v/>
      </c>
    </row>
    <row r="1157" spans="1:13">
      <c r="A1157" s="4">
        <v>1157</v>
      </c>
      <c r="C1157" s="8" t="str">
        <f>IF(B1157="","",VLOOKUP(B1157,小圆机汇总表!A:AP,2,FALSE))</f>
        <v/>
      </c>
      <c r="D1157" s="8" t="str">
        <f>IF(B1157="","",VLOOKUP(B1157,小圆机汇总表!A:AP,7,FALSE))</f>
        <v/>
      </c>
      <c r="E1157" s="8" t="str">
        <f>IF(B1157="","",VLOOKUP(B1157,小圆机汇总表!A:AP,5,FALSE))</f>
        <v/>
      </c>
      <c r="F1157" s="8" t="str">
        <f>IF(B1157="","",VLOOKUP(B1157,小圆机汇总表!A:AP,8,FALSE))</f>
        <v/>
      </c>
      <c r="J1157" s="8" t="str">
        <f t="shared" si="23"/>
        <v/>
      </c>
      <c r="M1157" s="250" t="str">
        <f t="shared" si="24"/>
        <v/>
      </c>
    </row>
    <row r="1158" spans="1:13">
      <c r="A1158" s="4">
        <v>1158</v>
      </c>
      <c r="C1158" s="8" t="str">
        <f>IF(B1158="","",VLOOKUP(B1158,小圆机汇总表!A:AP,2,FALSE))</f>
        <v/>
      </c>
      <c r="D1158" s="8" t="str">
        <f>IF(B1158="","",VLOOKUP(B1158,小圆机汇总表!A:AP,7,FALSE))</f>
        <v/>
      </c>
      <c r="E1158" s="8" t="str">
        <f>IF(B1158="","",VLOOKUP(B1158,小圆机汇总表!A:AP,5,FALSE))</f>
        <v/>
      </c>
      <c r="F1158" s="8" t="str">
        <f>IF(B1158="","",VLOOKUP(B1158,小圆机汇总表!A:AP,8,FALSE))</f>
        <v/>
      </c>
      <c r="J1158" s="8" t="str">
        <f t="shared" si="23"/>
        <v/>
      </c>
      <c r="M1158" s="250" t="str">
        <f t="shared" si="24"/>
        <v/>
      </c>
    </row>
    <row r="1159" spans="1:13">
      <c r="A1159" s="4">
        <v>1159</v>
      </c>
      <c r="C1159" s="8" t="str">
        <f>IF(B1159="","",VLOOKUP(B1159,小圆机汇总表!A:AP,2,FALSE))</f>
        <v/>
      </c>
      <c r="D1159" s="8" t="str">
        <f>IF(B1159="","",VLOOKUP(B1159,小圆机汇总表!A:AP,7,FALSE))</f>
        <v/>
      </c>
      <c r="E1159" s="8" t="str">
        <f>IF(B1159="","",VLOOKUP(B1159,小圆机汇总表!A:AP,5,FALSE))</f>
        <v/>
      </c>
      <c r="F1159" s="8" t="str">
        <f>IF(B1159="","",VLOOKUP(B1159,小圆机汇总表!A:AP,8,FALSE))</f>
        <v/>
      </c>
      <c r="J1159" s="8" t="str">
        <f t="shared" si="23"/>
        <v/>
      </c>
      <c r="M1159" s="250" t="str">
        <f t="shared" si="24"/>
        <v/>
      </c>
    </row>
    <row r="1160" spans="1:13">
      <c r="A1160" s="4">
        <v>1160</v>
      </c>
      <c r="C1160" s="8" t="str">
        <f>IF(B1160="","",VLOOKUP(B1160,小圆机汇总表!A:AP,2,FALSE))</f>
        <v/>
      </c>
      <c r="D1160" s="8" t="str">
        <f>IF(B1160="","",VLOOKUP(B1160,小圆机汇总表!A:AP,7,FALSE))</f>
        <v/>
      </c>
      <c r="E1160" s="8" t="str">
        <f>IF(B1160="","",VLOOKUP(B1160,小圆机汇总表!A:AP,5,FALSE))</f>
        <v/>
      </c>
      <c r="F1160" s="8" t="str">
        <f>IF(B1160="","",VLOOKUP(B1160,小圆机汇总表!A:AP,8,FALSE))</f>
        <v/>
      </c>
      <c r="J1160" s="8" t="str">
        <f t="shared" si="23"/>
        <v/>
      </c>
      <c r="M1160" s="250" t="str">
        <f t="shared" si="24"/>
        <v/>
      </c>
    </row>
    <row r="1161" spans="1:13">
      <c r="A1161" s="4">
        <v>1161</v>
      </c>
      <c r="C1161" s="8" t="str">
        <f>IF(B1161="","",VLOOKUP(B1161,小圆机汇总表!A:AP,2,FALSE))</f>
        <v/>
      </c>
      <c r="D1161" s="8" t="str">
        <f>IF(B1161="","",VLOOKUP(B1161,小圆机汇总表!A:AP,7,FALSE))</f>
        <v/>
      </c>
      <c r="E1161" s="8" t="str">
        <f>IF(B1161="","",VLOOKUP(B1161,小圆机汇总表!A:AP,5,FALSE))</f>
        <v/>
      </c>
      <c r="F1161" s="8" t="str">
        <f>IF(B1161="","",VLOOKUP(B1161,小圆机汇总表!A:AP,8,FALSE))</f>
        <v/>
      </c>
      <c r="J1161" s="8" t="str">
        <f t="shared" si="23"/>
        <v/>
      </c>
      <c r="M1161" s="250" t="str">
        <f t="shared" si="24"/>
        <v/>
      </c>
    </row>
    <row r="1162" spans="1:13">
      <c r="A1162" s="4">
        <v>1162</v>
      </c>
      <c r="C1162" s="8" t="str">
        <f>IF(B1162="","",VLOOKUP(B1162,小圆机汇总表!A:AP,2,FALSE))</f>
        <v/>
      </c>
      <c r="D1162" s="8" t="str">
        <f>IF(B1162="","",VLOOKUP(B1162,小圆机汇总表!A:AP,7,FALSE))</f>
        <v/>
      </c>
      <c r="E1162" s="8" t="str">
        <f>IF(B1162="","",VLOOKUP(B1162,小圆机汇总表!A:AP,5,FALSE))</f>
        <v/>
      </c>
      <c r="F1162" s="8" t="str">
        <f>IF(B1162="","",VLOOKUP(B1162,小圆机汇总表!A:AP,8,FALSE))</f>
        <v/>
      </c>
      <c r="J1162" s="8" t="str">
        <f t="shared" si="23"/>
        <v/>
      </c>
      <c r="M1162" s="250" t="str">
        <f t="shared" si="24"/>
        <v/>
      </c>
    </row>
    <row r="1163" spans="1:13">
      <c r="A1163" s="4">
        <v>1163</v>
      </c>
      <c r="C1163" s="8" t="str">
        <f>IF(B1163="","",VLOOKUP(B1163,小圆机汇总表!A:AP,2,FALSE))</f>
        <v/>
      </c>
      <c r="D1163" s="8" t="str">
        <f>IF(B1163="","",VLOOKUP(B1163,小圆机汇总表!A:AP,7,FALSE))</f>
        <v/>
      </c>
      <c r="E1163" s="8" t="str">
        <f>IF(B1163="","",VLOOKUP(B1163,小圆机汇总表!A:AP,5,FALSE))</f>
        <v/>
      </c>
      <c r="F1163" s="8" t="str">
        <f>IF(B1163="","",VLOOKUP(B1163,小圆机汇总表!A:AP,8,FALSE))</f>
        <v/>
      </c>
      <c r="J1163" s="8" t="str">
        <f t="shared" si="23"/>
        <v/>
      </c>
      <c r="M1163" s="250" t="str">
        <f t="shared" si="24"/>
        <v/>
      </c>
    </row>
    <row r="1164" spans="1:13">
      <c r="A1164" s="4">
        <v>1164</v>
      </c>
      <c r="C1164" s="8" t="str">
        <f>IF(B1164="","",VLOOKUP(B1164,小圆机汇总表!A:AP,2,FALSE))</f>
        <v/>
      </c>
      <c r="D1164" s="8" t="str">
        <f>IF(B1164="","",VLOOKUP(B1164,小圆机汇总表!A:AP,7,FALSE))</f>
        <v/>
      </c>
      <c r="E1164" s="8" t="str">
        <f>IF(B1164="","",VLOOKUP(B1164,小圆机汇总表!A:AP,5,FALSE))</f>
        <v/>
      </c>
      <c r="F1164" s="8" t="str">
        <f>IF(B1164="","",VLOOKUP(B1164,小圆机汇总表!A:AP,8,FALSE))</f>
        <v/>
      </c>
      <c r="J1164" s="8" t="str">
        <f t="shared" si="23"/>
        <v/>
      </c>
      <c r="M1164" s="250" t="str">
        <f t="shared" si="24"/>
        <v/>
      </c>
    </row>
    <row r="1165" spans="1:13">
      <c r="A1165" s="4">
        <v>1165</v>
      </c>
      <c r="C1165" s="8" t="str">
        <f>IF(B1165="","",VLOOKUP(B1165,小圆机汇总表!A:AP,2,FALSE))</f>
        <v/>
      </c>
      <c r="D1165" s="8" t="str">
        <f>IF(B1165="","",VLOOKUP(B1165,小圆机汇总表!A:AP,7,FALSE))</f>
        <v/>
      </c>
      <c r="E1165" s="8" t="str">
        <f>IF(B1165="","",VLOOKUP(B1165,小圆机汇总表!A:AP,5,FALSE))</f>
        <v/>
      </c>
      <c r="F1165" s="8" t="str">
        <f>IF(B1165="","",VLOOKUP(B1165,小圆机汇总表!A:AP,8,FALSE))</f>
        <v/>
      </c>
      <c r="J1165" s="8" t="str">
        <f t="shared" si="23"/>
        <v/>
      </c>
      <c r="M1165" s="250" t="str">
        <f t="shared" si="24"/>
        <v/>
      </c>
    </row>
    <row r="1166" spans="1:13">
      <c r="A1166" s="4">
        <v>1166</v>
      </c>
      <c r="C1166" s="8" t="str">
        <f>IF(B1166="","",VLOOKUP(B1166,小圆机汇总表!A:AP,2,FALSE))</f>
        <v/>
      </c>
      <c r="D1166" s="8" t="str">
        <f>IF(B1166="","",VLOOKUP(B1166,小圆机汇总表!A:AP,7,FALSE))</f>
        <v/>
      </c>
      <c r="E1166" s="8" t="str">
        <f>IF(B1166="","",VLOOKUP(B1166,小圆机汇总表!A:AP,5,FALSE))</f>
        <v/>
      </c>
      <c r="F1166" s="8" t="str">
        <f>IF(B1166="","",VLOOKUP(B1166,小圆机汇总表!A:AP,8,FALSE))</f>
        <v/>
      </c>
      <c r="J1166" s="8" t="str">
        <f t="shared" si="23"/>
        <v/>
      </c>
      <c r="M1166" s="250" t="str">
        <f t="shared" si="24"/>
        <v/>
      </c>
    </row>
    <row r="1167" spans="1:13">
      <c r="A1167" s="4">
        <v>1167</v>
      </c>
      <c r="C1167" s="8" t="str">
        <f>IF(B1167="","",VLOOKUP(B1167,小圆机汇总表!A:AP,2,FALSE))</f>
        <v/>
      </c>
      <c r="D1167" s="8" t="str">
        <f>IF(B1167="","",VLOOKUP(B1167,小圆机汇总表!A:AP,7,FALSE))</f>
        <v/>
      </c>
      <c r="E1167" s="8" t="str">
        <f>IF(B1167="","",VLOOKUP(B1167,小圆机汇总表!A:AP,5,FALSE))</f>
        <v/>
      </c>
      <c r="F1167" s="8" t="str">
        <f>IF(B1167="","",VLOOKUP(B1167,小圆机汇总表!A:AP,8,FALSE))</f>
        <v/>
      </c>
      <c r="J1167" s="8" t="str">
        <f t="shared" si="23"/>
        <v/>
      </c>
      <c r="M1167" s="250" t="str">
        <f t="shared" si="24"/>
        <v/>
      </c>
    </row>
    <row r="1168" spans="1:13">
      <c r="A1168" s="4">
        <v>1168</v>
      </c>
      <c r="C1168" s="8" t="str">
        <f>IF(B1168="","",VLOOKUP(B1168,小圆机汇总表!A:AP,2,FALSE))</f>
        <v/>
      </c>
      <c r="D1168" s="8" t="str">
        <f>IF(B1168="","",VLOOKUP(B1168,小圆机汇总表!A:AP,7,FALSE))</f>
        <v/>
      </c>
      <c r="E1168" s="8" t="str">
        <f>IF(B1168="","",VLOOKUP(B1168,小圆机汇总表!A:AP,5,FALSE))</f>
        <v/>
      </c>
      <c r="F1168" s="8" t="str">
        <f>IF(B1168="","",VLOOKUP(B1168,小圆机汇总表!A:AP,8,FALSE))</f>
        <v/>
      </c>
      <c r="J1168" s="8" t="str">
        <f t="shared" si="23"/>
        <v/>
      </c>
      <c r="M1168" s="250" t="str">
        <f t="shared" si="24"/>
        <v/>
      </c>
    </row>
    <row r="1169" spans="1:13">
      <c r="A1169" s="4">
        <v>1169</v>
      </c>
      <c r="C1169" s="8" t="str">
        <f>IF(B1169="","",VLOOKUP(B1169,小圆机汇总表!A:AP,2,FALSE))</f>
        <v/>
      </c>
      <c r="D1169" s="8" t="str">
        <f>IF(B1169="","",VLOOKUP(B1169,小圆机汇总表!A:AP,7,FALSE))</f>
        <v/>
      </c>
      <c r="E1169" s="8" t="str">
        <f>IF(B1169="","",VLOOKUP(B1169,小圆机汇总表!A:AP,5,FALSE))</f>
        <v/>
      </c>
      <c r="F1169" s="8" t="str">
        <f>IF(B1169="","",VLOOKUP(B1169,小圆机汇总表!A:AP,8,FALSE))</f>
        <v/>
      </c>
      <c r="J1169" s="8" t="str">
        <f t="shared" si="23"/>
        <v/>
      </c>
      <c r="M1169" s="250" t="str">
        <f t="shared" si="24"/>
        <v/>
      </c>
    </row>
    <row r="1170" spans="1:13">
      <c r="A1170" s="4">
        <v>1170</v>
      </c>
      <c r="C1170" s="8" t="str">
        <f>IF(B1170="","",VLOOKUP(B1170,小圆机汇总表!A:AP,2,FALSE))</f>
        <v/>
      </c>
      <c r="D1170" s="8" t="str">
        <f>IF(B1170="","",VLOOKUP(B1170,小圆机汇总表!A:AP,7,FALSE))</f>
        <v/>
      </c>
      <c r="E1170" s="8" t="str">
        <f>IF(B1170="","",VLOOKUP(B1170,小圆机汇总表!A:AP,5,FALSE))</f>
        <v/>
      </c>
      <c r="F1170" s="8" t="str">
        <f>IF(B1170="","",VLOOKUP(B1170,小圆机汇总表!A:AP,8,FALSE))</f>
        <v/>
      </c>
      <c r="J1170" s="8" t="str">
        <f t="shared" si="23"/>
        <v/>
      </c>
      <c r="M1170" s="250" t="str">
        <f t="shared" si="24"/>
        <v/>
      </c>
    </row>
    <row r="1171" spans="1:13">
      <c r="A1171" s="4">
        <v>1171</v>
      </c>
      <c r="C1171" s="8" t="str">
        <f>IF(B1171="","",VLOOKUP(B1171,小圆机汇总表!A:AP,2,FALSE))</f>
        <v/>
      </c>
      <c r="D1171" s="8" t="str">
        <f>IF(B1171="","",VLOOKUP(B1171,小圆机汇总表!A:AP,7,FALSE))</f>
        <v/>
      </c>
      <c r="E1171" s="8" t="str">
        <f>IF(B1171="","",VLOOKUP(B1171,小圆机汇总表!A:AP,5,FALSE))</f>
        <v/>
      </c>
      <c r="F1171" s="8" t="str">
        <f>IF(B1171="","",VLOOKUP(B1171,小圆机汇总表!A:AP,8,FALSE))</f>
        <v/>
      </c>
      <c r="J1171" s="8" t="str">
        <f t="shared" si="23"/>
        <v/>
      </c>
      <c r="M1171" s="250" t="str">
        <f t="shared" si="24"/>
        <v/>
      </c>
    </row>
    <row r="1172" spans="1:13">
      <c r="A1172" s="4">
        <v>1172</v>
      </c>
      <c r="C1172" s="8" t="str">
        <f>IF(B1172="","",VLOOKUP(B1172,小圆机汇总表!A:AP,2,FALSE))</f>
        <v/>
      </c>
      <c r="D1172" s="8" t="str">
        <f>IF(B1172="","",VLOOKUP(B1172,小圆机汇总表!A:AP,7,FALSE))</f>
        <v/>
      </c>
      <c r="E1172" s="8" t="str">
        <f>IF(B1172="","",VLOOKUP(B1172,小圆机汇总表!A:AP,5,FALSE))</f>
        <v/>
      </c>
      <c r="F1172" s="8" t="str">
        <f>IF(B1172="","",VLOOKUP(B1172,小圆机汇总表!A:AP,8,FALSE))</f>
        <v/>
      </c>
      <c r="J1172" s="8" t="str">
        <f t="shared" si="23"/>
        <v/>
      </c>
      <c r="M1172" s="250" t="str">
        <f t="shared" si="24"/>
        <v/>
      </c>
    </row>
    <row r="1173" spans="1:13">
      <c r="A1173" s="4">
        <v>1173</v>
      </c>
      <c r="C1173" s="8" t="str">
        <f>IF(B1173="","",VLOOKUP(B1173,小圆机汇总表!A:AP,2,FALSE))</f>
        <v/>
      </c>
      <c r="D1173" s="8" t="str">
        <f>IF(B1173="","",VLOOKUP(B1173,小圆机汇总表!A:AP,7,FALSE))</f>
        <v/>
      </c>
      <c r="E1173" s="8" t="str">
        <f>IF(B1173="","",VLOOKUP(B1173,小圆机汇总表!A:AP,5,FALSE))</f>
        <v/>
      </c>
      <c r="F1173" s="8" t="str">
        <f>IF(B1173="","",VLOOKUP(B1173,小圆机汇总表!A:AP,8,FALSE))</f>
        <v/>
      </c>
      <c r="J1173" s="8" t="str">
        <f t="shared" si="23"/>
        <v/>
      </c>
      <c r="M1173" s="250" t="str">
        <f t="shared" si="24"/>
        <v/>
      </c>
    </row>
    <row r="1174" spans="1:13">
      <c r="A1174" s="4">
        <v>1174</v>
      </c>
      <c r="C1174" s="8" t="str">
        <f>IF(B1174="","",VLOOKUP(B1174,小圆机汇总表!A:AP,2,FALSE))</f>
        <v/>
      </c>
      <c r="D1174" s="8" t="str">
        <f>IF(B1174="","",VLOOKUP(B1174,小圆机汇总表!A:AP,7,FALSE))</f>
        <v/>
      </c>
      <c r="E1174" s="8" t="str">
        <f>IF(B1174="","",VLOOKUP(B1174,小圆机汇总表!A:AP,5,FALSE))</f>
        <v/>
      </c>
      <c r="F1174" s="8" t="str">
        <f>IF(B1174="","",VLOOKUP(B1174,小圆机汇总表!A:AP,8,FALSE))</f>
        <v/>
      </c>
      <c r="J1174" s="8" t="str">
        <f t="shared" si="23"/>
        <v/>
      </c>
      <c r="M1174" s="250" t="str">
        <f t="shared" si="24"/>
        <v/>
      </c>
    </row>
    <row r="1175" spans="1:13">
      <c r="A1175" s="4">
        <v>1175</v>
      </c>
      <c r="C1175" s="8" t="str">
        <f>IF(B1175="","",VLOOKUP(B1175,小圆机汇总表!A:AP,2,FALSE))</f>
        <v/>
      </c>
      <c r="D1175" s="8" t="str">
        <f>IF(B1175="","",VLOOKUP(B1175,小圆机汇总表!A:AP,7,FALSE))</f>
        <v/>
      </c>
      <c r="E1175" s="8" t="str">
        <f>IF(B1175="","",VLOOKUP(B1175,小圆机汇总表!A:AP,5,FALSE))</f>
        <v/>
      </c>
      <c r="F1175" s="8" t="str">
        <f>IF(B1175="","",VLOOKUP(B1175,小圆机汇总表!A:AP,8,FALSE))</f>
        <v/>
      </c>
      <c r="J1175" s="8" t="str">
        <f t="shared" si="23"/>
        <v/>
      </c>
      <c r="M1175" s="250" t="str">
        <f t="shared" si="24"/>
        <v/>
      </c>
    </row>
    <row r="1176" spans="1:13">
      <c r="A1176" s="4">
        <v>1176</v>
      </c>
      <c r="C1176" s="8" t="str">
        <f>IF(B1176="","",VLOOKUP(B1176,小圆机汇总表!A:AP,2,FALSE))</f>
        <v/>
      </c>
      <c r="D1176" s="8" t="str">
        <f>IF(B1176="","",VLOOKUP(B1176,小圆机汇总表!A:AP,7,FALSE))</f>
        <v/>
      </c>
      <c r="E1176" s="8" t="str">
        <f>IF(B1176="","",VLOOKUP(B1176,小圆机汇总表!A:AP,5,FALSE))</f>
        <v/>
      </c>
      <c r="F1176" s="8" t="str">
        <f>IF(B1176="","",VLOOKUP(B1176,小圆机汇总表!A:AP,8,FALSE))</f>
        <v/>
      </c>
      <c r="J1176" s="8" t="str">
        <f t="shared" si="23"/>
        <v/>
      </c>
      <c r="M1176" s="250" t="str">
        <f t="shared" si="24"/>
        <v/>
      </c>
    </row>
    <row r="1177" spans="1:13">
      <c r="A1177" s="4">
        <v>1177</v>
      </c>
      <c r="C1177" s="8" t="str">
        <f>IF(B1177="","",VLOOKUP(B1177,小圆机汇总表!A:AP,2,FALSE))</f>
        <v/>
      </c>
      <c r="D1177" s="8" t="str">
        <f>IF(B1177="","",VLOOKUP(B1177,小圆机汇总表!A:AP,7,FALSE))</f>
        <v/>
      </c>
      <c r="E1177" s="8" t="str">
        <f>IF(B1177="","",VLOOKUP(B1177,小圆机汇总表!A:AP,5,FALSE))</f>
        <v/>
      </c>
      <c r="F1177" s="8" t="str">
        <f>IF(B1177="","",VLOOKUP(B1177,小圆机汇总表!A:AP,8,FALSE))</f>
        <v/>
      </c>
      <c r="J1177" s="8" t="str">
        <f t="shared" si="23"/>
        <v/>
      </c>
      <c r="M1177" s="250" t="str">
        <f t="shared" si="24"/>
        <v/>
      </c>
    </row>
    <row r="1178" spans="1:13">
      <c r="A1178" s="4">
        <v>1178</v>
      </c>
      <c r="C1178" s="8" t="str">
        <f>IF(B1178="","",VLOOKUP(B1178,小圆机汇总表!A:AP,2,FALSE))</f>
        <v/>
      </c>
      <c r="D1178" s="8" t="str">
        <f>IF(B1178="","",VLOOKUP(B1178,小圆机汇总表!A:AP,7,FALSE))</f>
        <v/>
      </c>
      <c r="E1178" s="8" t="str">
        <f>IF(B1178="","",VLOOKUP(B1178,小圆机汇总表!A:AP,5,FALSE))</f>
        <v/>
      </c>
      <c r="F1178" s="8" t="str">
        <f>IF(B1178="","",VLOOKUP(B1178,小圆机汇总表!A:AP,8,FALSE))</f>
        <v/>
      </c>
      <c r="J1178" s="8" t="str">
        <f t="shared" si="23"/>
        <v/>
      </c>
      <c r="M1178" s="250" t="str">
        <f t="shared" si="24"/>
        <v/>
      </c>
    </row>
    <row r="1179" spans="1:13">
      <c r="A1179" s="4">
        <v>1179</v>
      </c>
      <c r="C1179" s="8" t="str">
        <f>IF(B1179="","",VLOOKUP(B1179,小圆机汇总表!A:AP,2,FALSE))</f>
        <v/>
      </c>
      <c r="D1179" s="8" t="str">
        <f>IF(B1179="","",VLOOKUP(B1179,小圆机汇总表!A:AP,7,FALSE))</f>
        <v/>
      </c>
      <c r="E1179" s="8" t="str">
        <f>IF(B1179="","",VLOOKUP(B1179,小圆机汇总表!A:AP,5,FALSE))</f>
        <v/>
      </c>
      <c r="F1179" s="8" t="str">
        <f>IF(B1179="","",VLOOKUP(B1179,小圆机汇总表!A:AP,8,FALSE))</f>
        <v/>
      </c>
      <c r="J1179" s="8" t="str">
        <f t="shared" si="23"/>
        <v/>
      </c>
      <c r="M1179" s="250" t="str">
        <f t="shared" si="24"/>
        <v/>
      </c>
    </row>
    <row r="1180" spans="1:13">
      <c r="A1180" s="4">
        <v>1180</v>
      </c>
      <c r="C1180" s="8" t="str">
        <f>IF(B1180="","",VLOOKUP(B1180,小圆机汇总表!A:AP,2,FALSE))</f>
        <v/>
      </c>
      <c r="D1180" s="8" t="str">
        <f>IF(B1180="","",VLOOKUP(B1180,小圆机汇总表!A:AP,7,FALSE))</f>
        <v/>
      </c>
      <c r="E1180" s="8" t="str">
        <f>IF(B1180="","",VLOOKUP(B1180,小圆机汇总表!A:AP,5,FALSE))</f>
        <v/>
      </c>
      <c r="F1180" s="8" t="str">
        <f>IF(B1180="","",VLOOKUP(B1180,小圆机汇总表!A:AP,8,FALSE))</f>
        <v/>
      </c>
      <c r="J1180" s="8" t="str">
        <f t="shared" si="23"/>
        <v/>
      </c>
      <c r="M1180" s="250" t="str">
        <f t="shared" si="24"/>
        <v/>
      </c>
    </row>
    <row r="1181" spans="1:13">
      <c r="A1181" s="4">
        <v>1181</v>
      </c>
      <c r="C1181" s="8" t="str">
        <f>IF(B1181="","",VLOOKUP(B1181,小圆机汇总表!A:AP,2,FALSE))</f>
        <v/>
      </c>
      <c r="D1181" s="8" t="str">
        <f>IF(B1181="","",VLOOKUP(B1181,小圆机汇总表!A:AP,7,FALSE))</f>
        <v/>
      </c>
      <c r="E1181" s="8" t="str">
        <f>IF(B1181="","",VLOOKUP(B1181,小圆机汇总表!A:AP,5,FALSE))</f>
        <v/>
      </c>
      <c r="F1181" s="8" t="str">
        <f>IF(B1181="","",VLOOKUP(B1181,小圆机汇总表!A:AP,8,FALSE))</f>
        <v/>
      </c>
      <c r="J1181" s="8" t="str">
        <f t="shared" si="23"/>
        <v/>
      </c>
      <c r="M1181" s="250" t="str">
        <f t="shared" si="24"/>
        <v/>
      </c>
    </row>
    <row r="1182" spans="1:13">
      <c r="A1182" s="4">
        <v>1182</v>
      </c>
      <c r="C1182" s="8" t="str">
        <f>IF(B1182="","",VLOOKUP(B1182,小圆机汇总表!A:AP,2,FALSE))</f>
        <v/>
      </c>
      <c r="D1182" s="8" t="str">
        <f>IF(B1182="","",VLOOKUP(B1182,小圆机汇总表!A:AP,7,FALSE))</f>
        <v/>
      </c>
      <c r="E1182" s="8" t="str">
        <f>IF(B1182="","",VLOOKUP(B1182,小圆机汇总表!A:AP,5,FALSE))</f>
        <v/>
      </c>
      <c r="F1182" s="8" t="str">
        <f>IF(B1182="","",VLOOKUP(B1182,小圆机汇总表!A:AP,8,FALSE))</f>
        <v/>
      </c>
      <c r="J1182" s="8" t="str">
        <f t="shared" si="23"/>
        <v/>
      </c>
      <c r="M1182" s="250" t="str">
        <f t="shared" si="24"/>
        <v/>
      </c>
    </row>
    <row r="1183" spans="1:13">
      <c r="A1183" s="4">
        <v>1183</v>
      </c>
      <c r="C1183" s="8" t="str">
        <f>IF(B1183="","",VLOOKUP(B1183,小圆机汇总表!A:AP,2,FALSE))</f>
        <v/>
      </c>
      <c r="D1183" s="8" t="str">
        <f>IF(B1183="","",VLOOKUP(B1183,小圆机汇总表!A:AP,7,FALSE))</f>
        <v/>
      </c>
      <c r="E1183" s="8" t="str">
        <f>IF(B1183="","",VLOOKUP(B1183,小圆机汇总表!A:AP,5,FALSE))</f>
        <v/>
      </c>
      <c r="F1183" s="8" t="str">
        <f>IF(B1183="","",VLOOKUP(B1183,小圆机汇总表!A:AP,8,FALSE))</f>
        <v/>
      </c>
      <c r="J1183" s="8" t="str">
        <f t="shared" si="23"/>
        <v/>
      </c>
      <c r="M1183" s="250" t="str">
        <f t="shared" si="24"/>
        <v/>
      </c>
    </row>
    <row r="1184" spans="1:13">
      <c r="A1184" s="4">
        <v>1184</v>
      </c>
      <c r="C1184" s="8" t="str">
        <f>IF(B1184="","",VLOOKUP(B1184,小圆机汇总表!A:AP,2,FALSE))</f>
        <v/>
      </c>
      <c r="D1184" s="8" t="str">
        <f>IF(B1184="","",VLOOKUP(B1184,小圆机汇总表!A:AP,7,FALSE))</f>
        <v/>
      </c>
      <c r="E1184" s="8" t="str">
        <f>IF(B1184="","",VLOOKUP(B1184,小圆机汇总表!A:AP,5,FALSE))</f>
        <v/>
      </c>
      <c r="F1184" s="8" t="str">
        <f>IF(B1184="","",VLOOKUP(B1184,小圆机汇总表!A:AP,8,FALSE))</f>
        <v/>
      </c>
      <c r="J1184" s="8" t="str">
        <f t="shared" si="23"/>
        <v/>
      </c>
      <c r="M1184" s="250" t="str">
        <f t="shared" si="24"/>
        <v/>
      </c>
    </row>
    <row r="1185" spans="1:13">
      <c r="A1185" s="4">
        <v>1185</v>
      </c>
      <c r="C1185" s="8" t="str">
        <f>IF(B1185="","",VLOOKUP(B1185,小圆机汇总表!A:AP,2,FALSE))</f>
        <v/>
      </c>
      <c r="D1185" s="8" t="str">
        <f>IF(B1185="","",VLOOKUP(B1185,小圆机汇总表!A:AP,7,FALSE))</f>
        <v/>
      </c>
      <c r="E1185" s="8" t="str">
        <f>IF(B1185="","",VLOOKUP(B1185,小圆机汇总表!A:AP,5,FALSE))</f>
        <v/>
      </c>
      <c r="F1185" s="8" t="str">
        <f>IF(B1185="","",VLOOKUP(B1185,小圆机汇总表!A:AP,8,FALSE))</f>
        <v/>
      </c>
      <c r="J1185" s="8" t="str">
        <f t="shared" si="23"/>
        <v/>
      </c>
      <c r="M1185" s="250" t="str">
        <f t="shared" si="24"/>
        <v/>
      </c>
    </row>
    <row r="1186" spans="1:13">
      <c r="A1186" s="4">
        <v>1186</v>
      </c>
      <c r="C1186" s="8" t="str">
        <f>IF(B1186="","",VLOOKUP(B1186,小圆机汇总表!A:AP,2,FALSE))</f>
        <v/>
      </c>
      <c r="D1186" s="8" t="str">
        <f>IF(B1186="","",VLOOKUP(B1186,小圆机汇总表!A:AP,7,FALSE))</f>
        <v/>
      </c>
      <c r="E1186" s="8" t="str">
        <f>IF(B1186="","",VLOOKUP(B1186,小圆机汇总表!A:AP,5,FALSE))</f>
        <v/>
      </c>
      <c r="F1186" s="8" t="str">
        <f>IF(B1186="","",VLOOKUP(B1186,小圆机汇总表!A:AP,8,FALSE))</f>
        <v/>
      </c>
      <c r="J1186" s="8" t="str">
        <f t="shared" si="23"/>
        <v/>
      </c>
      <c r="M1186" s="250" t="str">
        <f t="shared" si="24"/>
        <v/>
      </c>
    </row>
    <row r="1187" spans="1:13">
      <c r="A1187" s="4">
        <v>1187</v>
      </c>
      <c r="C1187" s="8" t="str">
        <f>IF(B1187="","",VLOOKUP(B1187,小圆机汇总表!A:AP,2,FALSE))</f>
        <v/>
      </c>
      <c r="D1187" s="8" t="str">
        <f>IF(B1187="","",VLOOKUP(B1187,小圆机汇总表!A:AP,7,FALSE))</f>
        <v/>
      </c>
      <c r="E1187" s="8" t="str">
        <f>IF(B1187="","",VLOOKUP(B1187,小圆机汇总表!A:AP,5,FALSE))</f>
        <v/>
      </c>
      <c r="F1187" s="8" t="str">
        <f>IF(B1187="","",VLOOKUP(B1187,小圆机汇总表!A:AP,8,FALSE))</f>
        <v/>
      </c>
      <c r="J1187" s="8" t="str">
        <f t="shared" ref="J1187:J1250" si="25">IF(B1187="","",MONTH(G1187))</f>
        <v/>
      </c>
      <c r="M1187" s="250" t="str">
        <f t="shared" si="24"/>
        <v/>
      </c>
    </row>
    <row r="1188" spans="1:13">
      <c r="A1188" s="4">
        <v>1188</v>
      </c>
      <c r="C1188" s="8" t="str">
        <f>IF(B1188="","",VLOOKUP(B1188,小圆机汇总表!A:AP,2,FALSE))</f>
        <v/>
      </c>
      <c r="D1188" s="8" t="str">
        <f>IF(B1188="","",VLOOKUP(B1188,小圆机汇总表!A:AP,7,FALSE))</f>
        <v/>
      </c>
      <c r="E1188" s="8" t="str">
        <f>IF(B1188="","",VLOOKUP(B1188,小圆机汇总表!A:AP,5,FALSE))</f>
        <v/>
      </c>
      <c r="F1188" s="8" t="str">
        <f>IF(B1188="","",VLOOKUP(B1188,小圆机汇总表!A:AP,8,FALSE))</f>
        <v/>
      </c>
      <c r="J1188" s="8" t="str">
        <f t="shared" si="25"/>
        <v/>
      </c>
      <c r="M1188" s="250" t="str">
        <f t="shared" si="24"/>
        <v/>
      </c>
    </row>
    <row r="1189" spans="1:13">
      <c r="A1189" s="4">
        <v>1189</v>
      </c>
      <c r="C1189" s="8" t="str">
        <f>IF(B1189="","",VLOOKUP(B1189,小圆机汇总表!A:AP,2,FALSE))</f>
        <v/>
      </c>
      <c r="D1189" s="8" t="str">
        <f>IF(B1189="","",VLOOKUP(B1189,小圆机汇总表!A:AP,7,FALSE))</f>
        <v/>
      </c>
      <c r="E1189" s="8" t="str">
        <f>IF(B1189="","",VLOOKUP(B1189,小圆机汇总表!A:AP,5,FALSE))</f>
        <v/>
      </c>
      <c r="F1189" s="8" t="str">
        <f>IF(B1189="","",VLOOKUP(B1189,小圆机汇总表!A:AP,8,FALSE))</f>
        <v/>
      </c>
      <c r="J1189" s="8" t="str">
        <f t="shared" si="25"/>
        <v/>
      </c>
      <c r="M1189" s="250" t="str">
        <f t="shared" si="24"/>
        <v/>
      </c>
    </row>
    <row r="1190" spans="1:13">
      <c r="A1190" s="4">
        <v>1190</v>
      </c>
      <c r="C1190" s="8" t="str">
        <f>IF(B1190="","",VLOOKUP(B1190,小圆机汇总表!A:AP,2,FALSE))</f>
        <v/>
      </c>
      <c r="D1190" s="8" t="str">
        <f>IF(B1190="","",VLOOKUP(B1190,小圆机汇总表!A:AP,7,FALSE))</f>
        <v/>
      </c>
      <c r="E1190" s="8" t="str">
        <f>IF(B1190="","",VLOOKUP(B1190,小圆机汇总表!A:AP,5,FALSE))</f>
        <v/>
      </c>
      <c r="F1190" s="8" t="str">
        <f>IF(B1190="","",VLOOKUP(B1190,小圆机汇总表!A:AP,8,FALSE))</f>
        <v/>
      </c>
      <c r="J1190" s="8" t="str">
        <f t="shared" si="25"/>
        <v/>
      </c>
      <c r="M1190" s="250" t="str">
        <f t="shared" si="24"/>
        <v/>
      </c>
    </row>
    <row r="1191" spans="1:13">
      <c r="A1191" s="4">
        <v>1191</v>
      </c>
      <c r="C1191" s="8" t="str">
        <f>IF(B1191="","",VLOOKUP(B1191,小圆机汇总表!A:AP,2,FALSE))</f>
        <v/>
      </c>
      <c r="D1191" s="8" t="str">
        <f>IF(B1191="","",VLOOKUP(B1191,小圆机汇总表!A:AP,7,FALSE))</f>
        <v/>
      </c>
      <c r="E1191" s="8" t="str">
        <f>IF(B1191="","",VLOOKUP(B1191,小圆机汇总表!A:AP,5,FALSE))</f>
        <v/>
      </c>
      <c r="F1191" s="8" t="str">
        <f>IF(B1191="","",VLOOKUP(B1191,小圆机汇总表!A:AP,8,FALSE))</f>
        <v/>
      </c>
      <c r="J1191" s="8" t="str">
        <f t="shared" si="25"/>
        <v/>
      </c>
      <c r="M1191" s="250" t="str">
        <f t="shared" si="24"/>
        <v/>
      </c>
    </row>
    <row r="1192" spans="1:13">
      <c r="A1192" s="4">
        <v>1192</v>
      </c>
      <c r="C1192" s="8" t="str">
        <f>IF(B1192="","",VLOOKUP(B1192,小圆机汇总表!A:AP,2,FALSE))</f>
        <v/>
      </c>
      <c r="D1192" s="8" t="str">
        <f>IF(B1192="","",VLOOKUP(B1192,小圆机汇总表!A:AP,7,FALSE))</f>
        <v/>
      </c>
      <c r="E1192" s="8" t="str">
        <f>IF(B1192="","",VLOOKUP(B1192,小圆机汇总表!A:AP,5,FALSE))</f>
        <v/>
      </c>
      <c r="F1192" s="8" t="str">
        <f>IF(B1192="","",VLOOKUP(B1192,小圆机汇总表!A:AP,8,FALSE))</f>
        <v/>
      </c>
      <c r="J1192" s="8" t="str">
        <f t="shared" si="25"/>
        <v/>
      </c>
      <c r="M1192" s="250" t="str">
        <f t="shared" si="24"/>
        <v/>
      </c>
    </row>
    <row r="1193" spans="1:13">
      <c r="A1193" s="4">
        <v>1193</v>
      </c>
      <c r="C1193" s="8" t="str">
        <f>IF(B1193="","",VLOOKUP(B1193,小圆机汇总表!A:AP,2,FALSE))</f>
        <v/>
      </c>
      <c r="D1193" s="8" t="str">
        <f>IF(B1193="","",VLOOKUP(B1193,小圆机汇总表!A:AP,7,FALSE))</f>
        <v/>
      </c>
      <c r="E1193" s="8" t="str">
        <f>IF(B1193="","",VLOOKUP(B1193,小圆机汇总表!A:AP,5,FALSE))</f>
        <v/>
      </c>
      <c r="F1193" s="8" t="str">
        <f>IF(B1193="","",VLOOKUP(B1193,小圆机汇总表!A:AP,8,FALSE))</f>
        <v/>
      </c>
      <c r="J1193" s="8" t="str">
        <f t="shared" si="25"/>
        <v/>
      </c>
      <c r="M1193" s="250" t="str">
        <f t="shared" si="24"/>
        <v/>
      </c>
    </row>
    <row r="1194" spans="1:13">
      <c r="A1194" s="4">
        <v>1194</v>
      </c>
      <c r="C1194" s="8" t="str">
        <f>IF(B1194="","",VLOOKUP(B1194,小圆机汇总表!A:AP,2,FALSE))</f>
        <v/>
      </c>
      <c r="D1194" s="8" t="str">
        <f>IF(B1194="","",VLOOKUP(B1194,小圆机汇总表!A:AP,7,FALSE))</f>
        <v/>
      </c>
      <c r="E1194" s="8" t="str">
        <f>IF(B1194="","",VLOOKUP(B1194,小圆机汇总表!A:AP,5,FALSE))</f>
        <v/>
      </c>
      <c r="F1194" s="8" t="str">
        <f>IF(B1194="","",VLOOKUP(B1194,小圆机汇总表!A:AP,8,FALSE))</f>
        <v/>
      </c>
      <c r="J1194" s="8" t="str">
        <f t="shared" si="25"/>
        <v/>
      </c>
      <c r="M1194" s="250" t="str">
        <f t="shared" si="24"/>
        <v/>
      </c>
    </row>
    <row r="1195" spans="1:13">
      <c r="A1195" s="4">
        <v>1195</v>
      </c>
      <c r="C1195" s="8" t="str">
        <f>IF(B1195="","",VLOOKUP(B1195,小圆机汇总表!A:AP,2,FALSE))</f>
        <v/>
      </c>
      <c r="D1195" s="8" t="str">
        <f>IF(B1195="","",VLOOKUP(B1195,小圆机汇总表!A:AP,7,FALSE))</f>
        <v/>
      </c>
      <c r="E1195" s="8" t="str">
        <f>IF(B1195="","",VLOOKUP(B1195,小圆机汇总表!A:AP,5,FALSE))</f>
        <v/>
      </c>
      <c r="F1195" s="8" t="str">
        <f>IF(B1195="","",VLOOKUP(B1195,小圆机汇总表!A:AP,8,FALSE))</f>
        <v/>
      </c>
      <c r="J1195" s="8" t="str">
        <f t="shared" si="25"/>
        <v/>
      </c>
      <c r="M1195" s="250" t="str">
        <f t="shared" si="24"/>
        <v/>
      </c>
    </row>
    <row r="1196" spans="1:13">
      <c r="A1196" s="4">
        <v>1196</v>
      </c>
      <c r="C1196" s="8" t="str">
        <f>IF(B1196="","",VLOOKUP(B1196,小圆机汇总表!A:AP,2,FALSE))</f>
        <v/>
      </c>
      <c r="D1196" s="8" t="str">
        <f>IF(B1196="","",VLOOKUP(B1196,小圆机汇总表!A:AP,7,FALSE))</f>
        <v/>
      </c>
      <c r="E1196" s="8" t="str">
        <f>IF(B1196="","",VLOOKUP(B1196,小圆机汇总表!A:AP,5,FALSE))</f>
        <v/>
      </c>
      <c r="F1196" s="8" t="str">
        <f>IF(B1196="","",VLOOKUP(B1196,小圆机汇总表!A:AP,8,FALSE))</f>
        <v/>
      </c>
      <c r="J1196" s="8" t="str">
        <f t="shared" si="25"/>
        <v/>
      </c>
      <c r="M1196" s="250" t="str">
        <f t="shared" si="24"/>
        <v/>
      </c>
    </row>
    <row r="1197" spans="1:13">
      <c r="A1197" s="4">
        <v>1197</v>
      </c>
      <c r="C1197" s="8" t="str">
        <f>IF(B1197="","",VLOOKUP(B1197,小圆机汇总表!A:AP,2,FALSE))</f>
        <v/>
      </c>
      <c r="D1197" s="8" t="str">
        <f>IF(B1197="","",VLOOKUP(B1197,小圆机汇总表!A:AP,7,FALSE))</f>
        <v/>
      </c>
      <c r="E1197" s="8" t="str">
        <f>IF(B1197="","",VLOOKUP(B1197,小圆机汇总表!A:AP,5,FALSE))</f>
        <v/>
      </c>
      <c r="F1197" s="8" t="str">
        <f>IF(B1197="","",VLOOKUP(B1197,小圆机汇总表!A:AP,8,FALSE))</f>
        <v/>
      </c>
      <c r="J1197" s="8" t="str">
        <f t="shared" si="25"/>
        <v/>
      </c>
      <c r="M1197" s="250" t="str">
        <f t="shared" si="24"/>
        <v/>
      </c>
    </row>
    <row r="1198" spans="1:13">
      <c r="A1198" s="4">
        <v>1198</v>
      </c>
      <c r="C1198" s="8" t="str">
        <f>IF(B1198="","",VLOOKUP(B1198,小圆机汇总表!A:AP,2,FALSE))</f>
        <v/>
      </c>
      <c r="D1198" s="8" t="str">
        <f>IF(B1198="","",VLOOKUP(B1198,小圆机汇总表!A:AP,7,FALSE))</f>
        <v/>
      </c>
      <c r="E1198" s="8" t="str">
        <f>IF(B1198="","",VLOOKUP(B1198,小圆机汇总表!A:AP,5,FALSE))</f>
        <v/>
      </c>
      <c r="F1198" s="8" t="str">
        <f>IF(B1198="","",VLOOKUP(B1198,小圆机汇总表!A:AP,8,FALSE))</f>
        <v/>
      </c>
      <c r="J1198" s="8" t="str">
        <f t="shared" si="25"/>
        <v/>
      </c>
      <c r="M1198" s="250" t="str">
        <f t="shared" si="24"/>
        <v/>
      </c>
    </row>
    <row r="1199" spans="1:13">
      <c r="A1199" s="4">
        <v>1199</v>
      </c>
      <c r="C1199" s="8" t="str">
        <f>IF(B1199="","",VLOOKUP(B1199,小圆机汇总表!A:AP,2,FALSE))</f>
        <v/>
      </c>
      <c r="D1199" s="8" t="str">
        <f>IF(B1199="","",VLOOKUP(B1199,小圆机汇总表!A:AP,7,FALSE))</f>
        <v/>
      </c>
      <c r="E1199" s="8" t="str">
        <f>IF(B1199="","",VLOOKUP(B1199,小圆机汇总表!A:AP,5,FALSE))</f>
        <v/>
      </c>
      <c r="F1199" s="8" t="str">
        <f>IF(B1199="","",VLOOKUP(B1199,小圆机汇总表!A:AP,8,FALSE))</f>
        <v/>
      </c>
      <c r="J1199" s="8" t="str">
        <f t="shared" si="25"/>
        <v/>
      </c>
      <c r="M1199" s="250" t="str">
        <f t="shared" si="24"/>
        <v/>
      </c>
    </row>
    <row r="1200" spans="1:13">
      <c r="A1200" s="4">
        <v>1200</v>
      </c>
      <c r="C1200" s="8" t="str">
        <f>IF(B1200="","",VLOOKUP(B1200,小圆机汇总表!A:AP,2,FALSE))</f>
        <v/>
      </c>
      <c r="D1200" s="8" t="str">
        <f>IF(B1200="","",VLOOKUP(B1200,小圆机汇总表!A:AP,7,FALSE))</f>
        <v/>
      </c>
      <c r="E1200" s="8" t="str">
        <f>IF(B1200="","",VLOOKUP(B1200,小圆机汇总表!A:AP,5,FALSE))</f>
        <v/>
      </c>
      <c r="F1200" s="8" t="str">
        <f>IF(B1200="","",VLOOKUP(B1200,小圆机汇总表!A:AP,8,FALSE))</f>
        <v/>
      </c>
      <c r="J1200" s="8" t="str">
        <f t="shared" si="25"/>
        <v/>
      </c>
      <c r="M1200" s="250" t="str">
        <f t="shared" si="24"/>
        <v/>
      </c>
    </row>
    <row r="1201" spans="1:13">
      <c r="A1201" s="4">
        <v>1201</v>
      </c>
      <c r="C1201" s="8" t="str">
        <f>IF(B1201="","",VLOOKUP(B1201,小圆机汇总表!A:AP,2,FALSE))</f>
        <v/>
      </c>
      <c r="D1201" s="8" t="str">
        <f>IF(B1201="","",VLOOKUP(B1201,小圆机汇总表!A:AP,7,FALSE))</f>
        <v/>
      </c>
      <c r="E1201" s="8" t="str">
        <f>IF(B1201="","",VLOOKUP(B1201,小圆机汇总表!A:AP,5,FALSE))</f>
        <v/>
      </c>
      <c r="F1201" s="8" t="str">
        <f>IF(B1201="","",VLOOKUP(B1201,小圆机汇总表!A:AP,8,FALSE))</f>
        <v/>
      </c>
      <c r="J1201" s="8" t="str">
        <f t="shared" si="25"/>
        <v/>
      </c>
      <c r="M1201" s="250" t="str">
        <f t="shared" si="24"/>
        <v/>
      </c>
    </row>
    <row r="1202" spans="1:13">
      <c r="A1202" s="4">
        <v>1202</v>
      </c>
      <c r="C1202" s="8" t="str">
        <f>IF(B1202="","",VLOOKUP(B1202,小圆机汇总表!A:AP,2,FALSE))</f>
        <v/>
      </c>
      <c r="D1202" s="8" t="str">
        <f>IF(B1202="","",VLOOKUP(B1202,小圆机汇总表!A:AP,7,FALSE))</f>
        <v/>
      </c>
      <c r="E1202" s="8" t="str">
        <f>IF(B1202="","",VLOOKUP(B1202,小圆机汇总表!A:AP,5,FALSE))</f>
        <v/>
      </c>
      <c r="F1202" s="8" t="str">
        <f>IF(B1202="","",VLOOKUP(B1202,小圆机汇总表!A:AP,8,FALSE))</f>
        <v/>
      </c>
      <c r="J1202" s="8" t="str">
        <f t="shared" si="25"/>
        <v/>
      </c>
      <c r="M1202" s="250" t="str">
        <f t="shared" si="24"/>
        <v/>
      </c>
    </row>
    <row r="1203" spans="1:13">
      <c r="A1203" s="4">
        <v>1203</v>
      </c>
      <c r="C1203" s="8" t="str">
        <f>IF(B1203="","",VLOOKUP(B1203,小圆机汇总表!A:AP,2,FALSE))</f>
        <v/>
      </c>
      <c r="D1203" s="8" t="str">
        <f>IF(B1203="","",VLOOKUP(B1203,小圆机汇总表!A:AP,7,FALSE))</f>
        <v/>
      </c>
      <c r="E1203" s="8" t="str">
        <f>IF(B1203="","",VLOOKUP(B1203,小圆机汇总表!A:AP,5,FALSE))</f>
        <v/>
      </c>
      <c r="F1203" s="8" t="str">
        <f>IF(B1203="","",VLOOKUP(B1203,小圆机汇总表!A:AP,8,FALSE))</f>
        <v/>
      </c>
      <c r="J1203" s="8" t="str">
        <f t="shared" si="25"/>
        <v/>
      </c>
      <c r="M1203" s="250" t="str">
        <f t="shared" si="24"/>
        <v/>
      </c>
    </row>
    <row r="1204" spans="1:13">
      <c r="A1204" s="4">
        <v>1204</v>
      </c>
      <c r="C1204" s="8" t="str">
        <f>IF(B1204="","",VLOOKUP(B1204,小圆机汇总表!A:AP,2,FALSE))</f>
        <v/>
      </c>
      <c r="D1204" s="8" t="str">
        <f>IF(B1204="","",VLOOKUP(B1204,小圆机汇总表!A:AP,7,FALSE))</f>
        <v/>
      </c>
      <c r="E1204" s="8" t="str">
        <f>IF(B1204="","",VLOOKUP(B1204,小圆机汇总表!A:AP,5,FALSE))</f>
        <v/>
      </c>
      <c r="F1204" s="8" t="str">
        <f>IF(B1204="","",VLOOKUP(B1204,小圆机汇总表!A:AP,8,FALSE))</f>
        <v/>
      </c>
      <c r="J1204" s="8" t="str">
        <f t="shared" si="25"/>
        <v/>
      </c>
      <c r="M1204" s="250" t="str">
        <f t="shared" si="24"/>
        <v/>
      </c>
    </row>
    <row r="1205" spans="1:13">
      <c r="A1205" s="4">
        <v>1205</v>
      </c>
      <c r="C1205" s="8" t="str">
        <f>IF(B1205="","",VLOOKUP(B1205,小圆机汇总表!A:AP,2,FALSE))</f>
        <v/>
      </c>
      <c r="D1205" s="8" t="str">
        <f>IF(B1205="","",VLOOKUP(B1205,小圆机汇总表!A:AP,7,FALSE))</f>
        <v/>
      </c>
      <c r="E1205" s="8" t="str">
        <f>IF(B1205="","",VLOOKUP(B1205,小圆机汇总表!A:AP,5,FALSE))</f>
        <v/>
      </c>
      <c r="F1205" s="8" t="str">
        <f>IF(B1205="","",VLOOKUP(B1205,小圆机汇总表!A:AP,8,FALSE))</f>
        <v/>
      </c>
      <c r="J1205" s="8" t="str">
        <f t="shared" si="25"/>
        <v/>
      </c>
      <c r="M1205" s="250" t="str">
        <f t="shared" si="24"/>
        <v/>
      </c>
    </row>
    <row r="1206" spans="1:13">
      <c r="A1206" s="4">
        <v>1206</v>
      </c>
      <c r="C1206" s="8" t="str">
        <f>IF(B1206="","",VLOOKUP(B1206,小圆机汇总表!A:AP,2,FALSE))</f>
        <v/>
      </c>
      <c r="D1206" s="8" t="str">
        <f>IF(B1206="","",VLOOKUP(B1206,小圆机汇总表!A:AP,7,FALSE))</f>
        <v/>
      </c>
      <c r="E1206" s="8" t="str">
        <f>IF(B1206="","",VLOOKUP(B1206,小圆机汇总表!A:AP,5,FALSE))</f>
        <v/>
      </c>
      <c r="F1206" s="8" t="str">
        <f>IF(B1206="","",VLOOKUP(B1206,小圆机汇总表!A:AP,8,FALSE))</f>
        <v/>
      </c>
      <c r="J1206" s="8" t="str">
        <f t="shared" si="25"/>
        <v/>
      </c>
      <c r="M1206" s="250" t="str">
        <f t="shared" si="24"/>
        <v/>
      </c>
    </row>
    <row r="1207" spans="1:13">
      <c r="A1207" s="4">
        <v>1207</v>
      </c>
      <c r="C1207" s="8" t="str">
        <f>IF(B1207="","",VLOOKUP(B1207,小圆机汇总表!A:AP,2,FALSE))</f>
        <v/>
      </c>
      <c r="D1207" s="8" t="str">
        <f>IF(B1207="","",VLOOKUP(B1207,小圆机汇总表!A:AP,7,FALSE))</f>
        <v/>
      </c>
      <c r="E1207" s="8" t="str">
        <f>IF(B1207="","",VLOOKUP(B1207,小圆机汇总表!A:AP,5,FALSE))</f>
        <v/>
      </c>
      <c r="F1207" s="8" t="str">
        <f>IF(B1207="","",VLOOKUP(B1207,小圆机汇总表!A:AP,8,FALSE))</f>
        <v/>
      </c>
      <c r="J1207" s="8" t="str">
        <f t="shared" si="25"/>
        <v/>
      </c>
      <c r="M1207" s="250" t="str">
        <f t="shared" si="24"/>
        <v/>
      </c>
    </row>
    <row r="1208" spans="1:13">
      <c r="A1208" s="4">
        <v>1208</v>
      </c>
      <c r="C1208" s="8" t="str">
        <f>IF(B1208="","",VLOOKUP(B1208,小圆机汇总表!A:AP,2,FALSE))</f>
        <v/>
      </c>
      <c r="D1208" s="8" t="str">
        <f>IF(B1208="","",VLOOKUP(B1208,小圆机汇总表!A:AP,7,FALSE))</f>
        <v/>
      </c>
      <c r="E1208" s="8" t="str">
        <f>IF(B1208="","",VLOOKUP(B1208,小圆机汇总表!A:AP,5,FALSE))</f>
        <v/>
      </c>
      <c r="F1208" s="8" t="str">
        <f>IF(B1208="","",VLOOKUP(B1208,小圆机汇总表!A:AP,8,FALSE))</f>
        <v/>
      </c>
      <c r="J1208" s="8" t="str">
        <f t="shared" si="25"/>
        <v/>
      </c>
      <c r="M1208" s="250" t="str">
        <f t="shared" si="24"/>
        <v/>
      </c>
    </row>
    <row r="1209" spans="1:13">
      <c r="A1209" s="4">
        <v>1209</v>
      </c>
      <c r="C1209" s="8" t="str">
        <f>IF(B1209="","",VLOOKUP(B1209,小圆机汇总表!A:AP,2,FALSE))</f>
        <v/>
      </c>
      <c r="D1209" s="8" t="str">
        <f>IF(B1209="","",VLOOKUP(B1209,小圆机汇总表!A:AP,7,FALSE))</f>
        <v/>
      </c>
      <c r="E1209" s="8" t="str">
        <f>IF(B1209="","",VLOOKUP(B1209,小圆机汇总表!A:AP,5,FALSE))</f>
        <v/>
      </c>
      <c r="F1209" s="8" t="str">
        <f>IF(B1209="","",VLOOKUP(B1209,小圆机汇总表!A:AP,8,FALSE))</f>
        <v/>
      </c>
      <c r="J1209" s="8" t="str">
        <f t="shared" si="25"/>
        <v/>
      </c>
      <c r="M1209" s="250" t="str">
        <f t="shared" si="24"/>
        <v/>
      </c>
    </row>
    <row r="1210" spans="1:13">
      <c r="A1210" s="4">
        <v>1210</v>
      </c>
      <c r="C1210" s="8" t="str">
        <f>IF(B1210="","",VLOOKUP(B1210,小圆机汇总表!A:AP,2,FALSE))</f>
        <v/>
      </c>
      <c r="D1210" s="8" t="str">
        <f>IF(B1210="","",VLOOKUP(B1210,小圆机汇总表!A:AP,7,FALSE))</f>
        <v/>
      </c>
      <c r="E1210" s="8" t="str">
        <f>IF(B1210="","",VLOOKUP(B1210,小圆机汇总表!A:AP,5,FALSE))</f>
        <v/>
      </c>
      <c r="F1210" s="8" t="str">
        <f>IF(B1210="","",VLOOKUP(B1210,小圆机汇总表!A:AP,8,FALSE))</f>
        <v/>
      </c>
      <c r="J1210" s="8" t="str">
        <f t="shared" si="25"/>
        <v/>
      </c>
      <c r="M1210" s="250" t="str">
        <f t="shared" si="24"/>
        <v/>
      </c>
    </row>
    <row r="1211" spans="1:13">
      <c r="A1211" s="4">
        <v>1211</v>
      </c>
      <c r="C1211" s="8" t="str">
        <f>IF(B1211="","",VLOOKUP(B1211,小圆机汇总表!A:AP,2,FALSE))</f>
        <v/>
      </c>
      <c r="D1211" s="8" t="str">
        <f>IF(B1211="","",VLOOKUP(B1211,小圆机汇总表!A:AP,7,FALSE))</f>
        <v/>
      </c>
      <c r="E1211" s="8" t="str">
        <f>IF(B1211="","",VLOOKUP(B1211,小圆机汇总表!A:AP,5,FALSE))</f>
        <v/>
      </c>
      <c r="F1211" s="8" t="str">
        <f>IF(B1211="","",VLOOKUP(B1211,小圆机汇总表!A:AP,8,FALSE))</f>
        <v/>
      </c>
      <c r="J1211" s="8" t="str">
        <f t="shared" si="25"/>
        <v/>
      </c>
      <c r="M1211" s="250" t="str">
        <f t="shared" si="24"/>
        <v/>
      </c>
    </row>
    <row r="1212" spans="1:13">
      <c r="A1212" s="4">
        <v>1212</v>
      </c>
      <c r="C1212" s="8" t="str">
        <f>IF(B1212="","",VLOOKUP(B1212,小圆机汇总表!A:AP,2,FALSE))</f>
        <v/>
      </c>
      <c r="D1212" s="8" t="str">
        <f>IF(B1212="","",VLOOKUP(B1212,小圆机汇总表!A:AP,7,FALSE))</f>
        <v/>
      </c>
      <c r="E1212" s="8" t="str">
        <f>IF(B1212="","",VLOOKUP(B1212,小圆机汇总表!A:AP,5,FALSE))</f>
        <v/>
      </c>
      <c r="F1212" s="8" t="str">
        <f>IF(B1212="","",VLOOKUP(B1212,小圆机汇总表!A:AP,8,FALSE))</f>
        <v/>
      </c>
      <c r="J1212" s="8" t="str">
        <f t="shared" si="25"/>
        <v/>
      </c>
      <c r="M1212" s="250" t="str">
        <f t="shared" si="24"/>
        <v/>
      </c>
    </row>
    <row r="1213" spans="1:13">
      <c r="A1213" s="4">
        <v>1213</v>
      </c>
      <c r="C1213" s="8" t="str">
        <f>IF(B1213="","",VLOOKUP(B1213,小圆机汇总表!A:AP,2,FALSE))</f>
        <v/>
      </c>
      <c r="D1213" s="8" t="str">
        <f>IF(B1213="","",VLOOKUP(B1213,小圆机汇总表!A:AP,7,FALSE))</f>
        <v/>
      </c>
      <c r="E1213" s="8" t="str">
        <f>IF(B1213="","",VLOOKUP(B1213,小圆机汇总表!A:AP,5,FALSE))</f>
        <v/>
      </c>
      <c r="F1213" s="8" t="str">
        <f>IF(B1213="","",VLOOKUP(B1213,小圆机汇总表!A:AP,8,FALSE))</f>
        <v/>
      </c>
      <c r="J1213" s="8" t="str">
        <f t="shared" si="25"/>
        <v/>
      </c>
      <c r="M1213" s="250" t="str">
        <f t="shared" si="24"/>
        <v/>
      </c>
    </row>
    <row r="1214" spans="1:13">
      <c r="A1214" s="4">
        <v>1214</v>
      </c>
      <c r="C1214" s="8" t="str">
        <f>IF(B1214="","",VLOOKUP(B1214,小圆机汇总表!A:AP,2,FALSE))</f>
        <v/>
      </c>
      <c r="D1214" s="8" t="str">
        <f>IF(B1214="","",VLOOKUP(B1214,小圆机汇总表!A:AP,7,FALSE))</f>
        <v/>
      </c>
      <c r="E1214" s="8" t="str">
        <f>IF(B1214="","",VLOOKUP(B1214,小圆机汇总表!A:AP,5,FALSE))</f>
        <v/>
      </c>
      <c r="F1214" s="8" t="str">
        <f>IF(B1214="","",VLOOKUP(B1214,小圆机汇总表!A:AP,8,FALSE))</f>
        <v/>
      </c>
      <c r="J1214" s="8" t="str">
        <f t="shared" si="25"/>
        <v/>
      </c>
      <c r="M1214" s="250" t="str">
        <f t="shared" si="24"/>
        <v/>
      </c>
    </row>
    <row r="1215" spans="1:13">
      <c r="A1215" s="4">
        <v>1215</v>
      </c>
      <c r="C1215" s="8" t="str">
        <f>IF(B1215="","",VLOOKUP(B1215,小圆机汇总表!A:AP,2,FALSE))</f>
        <v/>
      </c>
      <c r="D1215" s="8" t="str">
        <f>IF(B1215="","",VLOOKUP(B1215,小圆机汇总表!A:AP,7,FALSE))</f>
        <v/>
      </c>
      <c r="E1215" s="8" t="str">
        <f>IF(B1215="","",VLOOKUP(B1215,小圆机汇总表!A:AP,5,FALSE))</f>
        <v/>
      </c>
      <c r="F1215" s="8" t="str">
        <f>IF(B1215="","",VLOOKUP(B1215,小圆机汇总表!A:AP,8,FALSE))</f>
        <v/>
      </c>
      <c r="J1215" s="8" t="str">
        <f t="shared" si="25"/>
        <v/>
      </c>
      <c r="M1215" s="250" t="str">
        <f t="shared" si="24"/>
        <v/>
      </c>
    </row>
    <row r="1216" spans="1:13">
      <c r="A1216" s="4">
        <v>1216</v>
      </c>
      <c r="C1216" s="8" t="str">
        <f>IF(B1216="","",VLOOKUP(B1216,小圆机汇总表!A:AP,2,FALSE))</f>
        <v/>
      </c>
      <c r="D1216" s="8" t="str">
        <f>IF(B1216="","",VLOOKUP(B1216,小圆机汇总表!A:AP,7,FALSE))</f>
        <v/>
      </c>
      <c r="E1216" s="8" t="str">
        <f>IF(B1216="","",VLOOKUP(B1216,小圆机汇总表!A:AP,5,FALSE))</f>
        <v/>
      </c>
      <c r="F1216" s="8" t="str">
        <f>IF(B1216="","",VLOOKUP(B1216,小圆机汇总表!A:AP,8,FALSE))</f>
        <v/>
      </c>
      <c r="J1216" s="8" t="str">
        <f t="shared" si="25"/>
        <v/>
      </c>
      <c r="M1216" s="250" t="str">
        <f t="shared" si="24"/>
        <v/>
      </c>
    </row>
    <row r="1217" spans="1:13">
      <c r="A1217" s="4">
        <v>1217</v>
      </c>
      <c r="C1217" s="8" t="str">
        <f>IF(B1217="","",VLOOKUP(B1217,小圆机汇总表!A:AP,2,FALSE))</f>
        <v/>
      </c>
      <c r="D1217" s="8" t="str">
        <f>IF(B1217="","",VLOOKUP(B1217,小圆机汇总表!A:AP,7,FALSE))</f>
        <v/>
      </c>
      <c r="E1217" s="8" t="str">
        <f>IF(B1217="","",VLOOKUP(B1217,小圆机汇总表!A:AP,5,FALSE))</f>
        <v/>
      </c>
      <c r="F1217" s="8" t="str">
        <f>IF(B1217="","",VLOOKUP(B1217,小圆机汇总表!A:AP,8,FALSE))</f>
        <v/>
      </c>
      <c r="J1217" s="8" t="str">
        <f t="shared" si="25"/>
        <v/>
      </c>
      <c r="M1217" s="250" t="str">
        <f t="shared" si="24"/>
        <v/>
      </c>
    </row>
    <row r="1218" spans="1:13">
      <c r="A1218" s="4">
        <v>1218</v>
      </c>
      <c r="C1218" s="8" t="str">
        <f>IF(B1218="","",VLOOKUP(B1218,小圆机汇总表!A:AP,2,FALSE))</f>
        <v/>
      </c>
      <c r="D1218" s="8" t="str">
        <f>IF(B1218="","",VLOOKUP(B1218,小圆机汇总表!A:AP,7,FALSE))</f>
        <v/>
      </c>
      <c r="E1218" s="8" t="str">
        <f>IF(B1218="","",VLOOKUP(B1218,小圆机汇总表!A:AP,5,FALSE))</f>
        <v/>
      </c>
      <c r="F1218" s="8" t="str">
        <f>IF(B1218="","",VLOOKUP(B1218,小圆机汇总表!A:AP,8,FALSE))</f>
        <v/>
      </c>
      <c r="J1218" s="8" t="str">
        <f t="shared" si="25"/>
        <v/>
      </c>
      <c r="M1218" s="250" t="str">
        <f t="shared" si="24"/>
        <v/>
      </c>
    </row>
    <row r="1219" spans="1:13">
      <c r="A1219" s="4">
        <v>1219</v>
      </c>
      <c r="C1219" s="8" t="str">
        <f>IF(B1219="","",VLOOKUP(B1219,小圆机汇总表!A:AP,2,FALSE))</f>
        <v/>
      </c>
      <c r="D1219" s="8" t="str">
        <f>IF(B1219="","",VLOOKUP(B1219,小圆机汇总表!A:AP,7,FALSE))</f>
        <v/>
      </c>
      <c r="E1219" s="8" t="str">
        <f>IF(B1219="","",VLOOKUP(B1219,小圆机汇总表!A:AP,5,FALSE))</f>
        <v/>
      </c>
      <c r="F1219" s="8" t="str">
        <f>IF(B1219="","",VLOOKUP(B1219,小圆机汇总表!A:AP,8,FALSE))</f>
        <v/>
      </c>
      <c r="J1219" s="8" t="str">
        <f t="shared" si="25"/>
        <v/>
      </c>
      <c r="M1219" s="250" t="str">
        <f t="shared" ref="M1219:M1282" si="26">IF(B1219="","",MONTH(G1219))</f>
        <v/>
      </c>
    </row>
    <row r="1220" spans="1:13">
      <c r="A1220" s="4">
        <v>1220</v>
      </c>
      <c r="C1220" s="8" t="str">
        <f>IF(B1220="","",VLOOKUP(B1220,小圆机汇总表!A:AP,2,FALSE))</f>
        <v/>
      </c>
      <c r="D1220" s="8" t="str">
        <f>IF(B1220="","",VLOOKUP(B1220,小圆机汇总表!A:AP,7,FALSE))</f>
        <v/>
      </c>
      <c r="E1220" s="8" t="str">
        <f>IF(B1220="","",VLOOKUP(B1220,小圆机汇总表!A:AP,5,FALSE))</f>
        <v/>
      </c>
      <c r="F1220" s="8" t="str">
        <f>IF(B1220="","",VLOOKUP(B1220,小圆机汇总表!A:AP,8,FALSE))</f>
        <v/>
      </c>
      <c r="J1220" s="8" t="str">
        <f t="shared" si="25"/>
        <v/>
      </c>
      <c r="M1220" s="250" t="str">
        <f t="shared" si="26"/>
        <v/>
      </c>
    </row>
    <row r="1221" spans="1:13">
      <c r="A1221" s="4">
        <v>1221</v>
      </c>
      <c r="C1221" s="8" t="str">
        <f>IF(B1221="","",VLOOKUP(B1221,小圆机汇总表!A:AP,2,FALSE))</f>
        <v/>
      </c>
      <c r="D1221" s="8" t="str">
        <f>IF(B1221="","",VLOOKUP(B1221,小圆机汇总表!A:AP,7,FALSE))</f>
        <v/>
      </c>
      <c r="E1221" s="8" t="str">
        <f>IF(B1221="","",VLOOKUP(B1221,小圆机汇总表!A:AP,5,FALSE))</f>
        <v/>
      </c>
      <c r="F1221" s="8" t="str">
        <f>IF(B1221="","",VLOOKUP(B1221,小圆机汇总表!A:AP,8,FALSE))</f>
        <v/>
      </c>
      <c r="J1221" s="8" t="str">
        <f t="shared" si="25"/>
        <v/>
      </c>
      <c r="M1221" s="250" t="str">
        <f t="shared" si="26"/>
        <v/>
      </c>
    </row>
    <row r="1222" spans="1:13">
      <c r="A1222" s="4">
        <v>1222</v>
      </c>
      <c r="C1222" s="8" t="str">
        <f>IF(B1222="","",VLOOKUP(B1222,小圆机汇总表!A:AP,2,FALSE))</f>
        <v/>
      </c>
      <c r="D1222" s="8" t="str">
        <f>IF(B1222="","",VLOOKUP(B1222,小圆机汇总表!A:AP,7,FALSE))</f>
        <v/>
      </c>
      <c r="E1222" s="8" t="str">
        <f>IF(B1222="","",VLOOKUP(B1222,小圆机汇总表!A:AP,5,FALSE))</f>
        <v/>
      </c>
      <c r="F1222" s="8" t="str">
        <f>IF(B1222="","",VLOOKUP(B1222,小圆机汇总表!A:AP,8,FALSE))</f>
        <v/>
      </c>
      <c r="J1222" s="8" t="str">
        <f t="shared" si="25"/>
        <v/>
      </c>
      <c r="M1222" s="250" t="str">
        <f t="shared" si="26"/>
        <v/>
      </c>
    </row>
    <row r="1223" spans="1:13">
      <c r="A1223" s="4">
        <v>1223</v>
      </c>
      <c r="C1223" s="8" t="str">
        <f>IF(B1223="","",VLOOKUP(B1223,小圆机汇总表!A:AP,2,FALSE))</f>
        <v/>
      </c>
      <c r="D1223" s="8" t="str">
        <f>IF(B1223="","",VLOOKUP(B1223,小圆机汇总表!A:AP,7,FALSE))</f>
        <v/>
      </c>
      <c r="E1223" s="8" t="str">
        <f>IF(B1223="","",VLOOKUP(B1223,小圆机汇总表!A:AP,5,FALSE))</f>
        <v/>
      </c>
      <c r="F1223" s="8" t="str">
        <f>IF(B1223="","",VLOOKUP(B1223,小圆机汇总表!A:AP,8,FALSE))</f>
        <v/>
      </c>
      <c r="J1223" s="8" t="str">
        <f t="shared" si="25"/>
        <v/>
      </c>
      <c r="M1223" s="250" t="str">
        <f t="shared" si="26"/>
        <v/>
      </c>
    </row>
    <row r="1224" spans="1:13">
      <c r="A1224" s="4">
        <v>1224</v>
      </c>
      <c r="C1224" s="8" t="str">
        <f>IF(B1224="","",VLOOKUP(B1224,小圆机汇总表!A:AP,2,FALSE))</f>
        <v/>
      </c>
      <c r="D1224" s="8" t="str">
        <f>IF(B1224="","",VLOOKUP(B1224,小圆机汇总表!A:AP,7,FALSE))</f>
        <v/>
      </c>
      <c r="E1224" s="8" t="str">
        <f>IF(B1224="","",VLOOKUP(B1224,小圆机汇总表!A:AP,5,FALSE))</f>
        <v/>
      </c>
      <c r="F1224" s="8" t="str">
        <f>IF(B1224="","",VLOOKUP(B1224,小圆机汇总表!A:AP,8,FALSE))</f>
        <v/>
      </c>
      <c r="J1224" s="8" t="str">
        <f t="shared" si="25"/>
        <v/>
      </c>
      <c r="M1224" s="250" t="str">
        <f t="shared" si="26"/>
        <v/>
      </c>
    </row>
    <row r="1225" spans="1:13">
      <c r="A1225" s="4">
        <v>1225</v>
      </c>
      <c r="C1225" s="8" t="str">
        <f>IF(B1225="","",VLOOKUP(B1225,小圆机汇总表!A:AP,2,FALSE))</f>
        <v/>
      </c>
      <c r="D1225" s="8" t="str">
        <f>IF(B1225="","",VLOOKUP(B1225,小圆机汇总表!A:AP,7,FALSE))</f>
        <v/>
      </c>
      <c r="E1225" s="8" t="str">
        <f>IF(B1225="","",VLOOKUP(B1225,小圆机汇总表!A:AP,5,FALSE))</f>
        <v/>
      </c>
      <c r="F1225" s="8" t="str">
        <f>IF(B1225="","",VLOOKUP(B1225,小圆机汇总表!A:AP,8,FALSE))</f>
        <v/>
      </c>
      <c r="J1225" s="8" t="str">
        <f t="shared" si="25"/>
        <v/>
      </c>
      <c r="M1225" s="250" t="str">
        <f t="shared" si="26"/>
        <v/>
      </c>
    </row>
    <row r="1226" spans="1:13">
      <c r="A1226" s="4">
        <v>1226</v>
      </c>
      <c r="C1226" s="8" t="str">
        <f>IF(B1226="","",VLOOKUP(B1226,小圆机汇总表!A:AP,2,FALSE))</f>
        <v/>
      </c>
      <c r="D1226" s="8" t="str">
        <f>IF(B1226="","",VLOOKUP(B1226,小圆机汇总表!A:AP,7,FALSE))</f>
        <v/>
      </c>
      <c r="E1226" s="8" t="str">
        <f>IF(B1226="","",VLOOKUP(B1226,小圆机汇总表!A:AP,5,FALSE))</f>
        <v/>
      </c>
      <c r="F1226" s="8" t="str">
        <f>IF(B1226="","",VLOOKUP(B1226,小圆机汇总表!A:AP,8,FALSE))</f>
        <v/>
      </c>
      <c r="J1226" s="8" t="str">
        <f t="shared" si="25"/>
        <v/>
      </c>
      <c r="M1226" s="250" t="str">
        <f t="shared" si="26"/>
        <v/>
      </c>
    </row>
    <row r="1227" spans="1:13">
      <c r="A1227" s="4">
        <v>1227</v>
      </c>
      <c r="C1227" s="8" t="str">
        <f>IF(B1227="","",VLOOKUP(B1227,小圆机汇总表!A:AP,2,FALSE))</f>
        <v/>
      </c>
      <c r="D1227" s="8" t="str">
        <f>IF(B1227="","",VLOOKUP(B1227,小圆机汇总表!A:AP,7,FALSE))</f>
        <v/>
      </c>
      <c r="E1227" s="8" t="str">
        <f>IF(B1227="","",VLOOKUP(B1227,小圆机汇总表!A:AP,5,FALSE))</f>
        <v/>
      </c>
      <c r="F1227" s="8" t="str">
        <f>IF(B1227="","",VLOOKUP(B1227,小圆机汇总表!A:AP,8,FALSE))</f>
        <v/>
      </c>
      <c r="J1227" s="8" t="str">
        <f t="shared" si="25"/>
        <v/>
      </c>
      <c r="M1227" s="250" t="str">
        <f t="shared" si="26"/>
        <v/>
      </c>
    </row>
    <row r="1228" spans="1:13">
      <c r="A1228" s="4">
        <v>1228</v>
      </c>
      <c r="C1228" s="8" t="str">
        <f>IF(B1228="","",VLOOKUP(B1228,小圆机汇总表!A:AP,2,FALSE))</f>
        <v/>
      </c>
      <c r="D1228" s="8" t="str">
        <f>IF(B1228="","",VLOOKUP(B1228,小圆机汇总表!A:AP,7,FALSE))</f>
        <v/>
      </c>
      <c r="E1228" s="8" t="str">
        <f>IF(B1228="","",VLOOKUP(B1228,小圆机汇总表!A:AP,5,FALSE))</f>
        <v/>
      </c>
      <c r="F1228" s="8" t="str">
        <f>IF(B1228="","",VLOOKUP(B1228,小圆机汇总表!A:AP,8,FALSE))</f>
        <v/>
      </c>
      <c r="J1228" s="8" t="str">
        <f t="shared" si="25"/>
        <v/>
      </c>
      <c r="M1228" s="250" t="str">
        <f t="shared" si="26"/>
        <v/>
      </c>
    </row>
    <row r="1229" spans="1:13">
      <c r="A1229" s="4">
        <v>1229</v>
      </c>
      <c r="C1229" s="8" t="str">
        <f>IF(B1229="","",VLOOKUP(B1229,小圆机汇总表!A:AP,2,FALSE))</f>
        <v/>
      </c>
      <c r="D1229" s="8" t="str">
        <f>IF(B1229="","",VLOOKUP(B1229,小圆机汇总表!A:AP,7,FALSE))</f>
        <v/>
      </c>
      <c r="E1229" s="8" t="str">
        <f>IF(B1229="","",VLOOKUP(B1229,小圆机汇总表!A:AP,5,FALSE))</f>
        <v/>
      </c>
      <c r="F1229" s="8" t="str">
        <f>IF(B1229="","",VLOOKUP(B1229,小圆机汇总表!A:AP,8,FALSE))</f>
        <v/>
      </c>
      <c r="J1229" s="8" t="str">
        <f t="shared" si="25"/>
        <v/>
      </c>
      <c r="M1229" s="250" t="str">
        <f t="shared" si="26"/>
        <v/>
      </c>
    </row>
    <row r="1230" spans="1:13">
      <c r="A1230" s="4">
        <v>1230</v>
      </c>
      <c r="C1230" s="8" t="str">
        <f>IF(B1230="","",VLOOKUP(B1230,小圆机汇总表!A:AP,2,FALSE))</f>
        <v/>
      </c>
      <c r="D1230" s="8" t="str">
        <f>IF(B1230="","",VLOOKUP(B1230,小圆机汇总表!A:AP,7,FALSE))</f>
        <v/>
      </c>
      <c r="E1230" s="8" t="str">
        <f>IF(B1230="","",VLOOKUP(B1230,小圆机汇总表!A:AP,5,FALSE))</f>
        <v/>
      </c>
      <c r="F1230" s="8" t="str">
        <f>IF(B1230="","",VLOOKUP(B1230,小圆机汇总表!A:AP,8,FALSE))</f>
        <v/>
      </c>
      <c r="J1230" s="8" t="str">
        <f t="shared" si="25"/>
        <v/>
      </c>
      <c r="M1230" s="250" t="str">
        <f t="shared" si="26"/>
        <v/>
      </c>
    </row>
    <row r="1231" spans="1:13">
      <c r="A1231" s="4">
        <v>1231</v>
      </c>
      <c r="C1231" s="8" t="str">
        <f>IF(B1231="","",VLOOKUP(B1231,小圆机汇总表!A:AP,2,FALSE))</f>
        <v/>
      </c>
      <c r="D1231" s="8" t="str">
        <f>IF(B1231="","",VLOOKUP(B1231,小圆机汇总表!A:AP,7,FALSE))</f>
        <v/>
      </c>
      <c r="E1231" s="8" t="str">
        <f>IF(B1231="","",VLOOKUP(B1231,小圆机汇总表!A:AP,5,FALSE))</f>
        <v/>
      </c>
      <c r="F1231" s="8" t="str">
        <f>IF(B1231="","",VLOOKUP(B1231,小圆机汇总表!A:AP,8,FALSE))</f>
        <v/>
      </c>
      <c r="J1231" s="8" t="str">
        <f t="shared" si="25"/>
        <v/>
      </c>
      <c r="M1231" s="250" t="str">
        <f t="shared" si="26"/>
        <v/>
      </c>
    </row>
    <row r="1232" spans="1:13">
      <c r="A1232" s="4">
        <v>1232</v>
      </c>
      <c r="C1232" s="8" t="str">
        <f>IF(B1232="","",VLOOKUP(B1232,小圆机汇总表!A:AP,2,FALSE))</f>
        <v/>
      </c>
      <c r="D1232" s="8" t="str">
        <f>IF(B1232="","",VLOOKUP(B1232,小圆机汇总表!A:AP,7,FALSE))</f>
        <v/>
      </c>
      <c r="E1232" s="8" t="str">
        <f>IF(B1232="","",VLOOKUP(B1232,小圆机汇总表!A:AP,5,FALSE))</f>
        <v/>
      </c>
      <c r="F1232" s="8" t="str">
        <f>IF(B1232="","",VLOOKUP(B1232,小圆机汇总表!A:AP,8,FALSE))</f>
        <v/>
      </c>
      <c r="J1232" s="8" t="str">
        <f t="shared" si="25"/>
        <v/>
      </c>
      <c r="M1232" s="250" t="str">
        <f t="shared" si="26"/>
        <v/>
      </c>
    </row>
    <row r="1233" spans="1:13">
      <c r="A1233" s="4">
        <v>1233</v>
      </c>
      <c r="C1233" s="8" t="str">
        <f>IF(B1233="","",VLOOKUP(B1233,小圆机汇总表!A:AP,2,FALSE))</f>
        <v/>
      </c>
      <c r="D1233" s="8" t="str">
        <f>IF(B1233="","",VLOOKUP(B1233,小圆机汇总表!A:AP,7,FALSE))</f>
        <v/>
      </c>
      <c r="E1233" s="8" t="str">
        <f>IF(B1233="","",VLOOKUP(B1233,小圆机汇总表!A:AP,5,FALSE))</f>
        <v/>
      </c>
      <c r="F1233" s="8" t="str">
        <f>IF(B1233="","",VLOOKUP(B1233,小圆机汇总表!A:AP,8,FALSE))</f>
        <v/>
      </c>
      <c r="J1233" s="8" t="str">
        <f t="shared" si="25"/>
        <v/>
      </c>
      <c r="M1233" s="250" t="str">
        <f t="shared" si="26"/>
        <v/>
      </c>
    </row>
    <row r="1234" spans="1:13">
      <c r="A1234" s="4">
        <v>1234</v>
      </c>
      <c r="C1234" s="8" t="str">
        <f>IF(B1234="","",VLOOKUP(B1234,小圆机汇总表!A:AP,2,FALSE))</f>
        <v/>
      </c>
      <c r="D1234" s="8" t="str">
        <f>IF(B1234="","",VLOOKUP(B1234,小圆机汇总表!A:AP,7,FALSE))</f>
        <v/>
      </c>
      <c r="E1234" s="8" t="str">
        <f>IF(B1234="","",VLOOKUP(B1234,小圆机汇总表!A:AP,5,FALSE))</f>
        <v/>
      </c>
      <c r="F1234" s="8" t="str">
        <f>IF(B1234="","",VLOOKUP(B1234,小圆机汇总表!A:AP,8,FALSE))</f>
        <v/>
      </c>
      <c r="J1234" s="8" t="str">
        <f t="shared" si="25"/>
        <v/>
      </c>
      <c r="M1234" s="250" t="str">
        <f t="shared" si="26"/>
        <v/>
      </c>
    </row>
    <row r="1235" spans="1:13">
      <c r="A1235" s="4">
        <v>1235</v>
      </c>
      <c r="C1235" s="8" t="str">
        <f>IF(B1235="","",VLOOKUP(B1235,小圆机汇总表!A:AP,2,FALSE))</f>
        <v/>
      </c>
      <c r="D1235" s="8" t="str">
        <f>IF(B1235="","",VLOOKUP(B1235,小圆机汇总表!A:AP,7,FALSE))</f>
        <v/>
      </c>
      <c r="E1235" s="8" t="str">
        <f>IF(B1235="","",VLOOKUP(B1235,小圆机汇总表!A:AP,5,FALSE))</f>
        <v/>
      </c>
      <c r="F1235" s="8" t="str">
        <f>IF(B1235="","",VLOOKUP(B1235,小圆机汇总表!A:AP,8,FALSE))</f>
        <v/>
      </c>
      <c r="J1235" s="8" t="str">
        <f t="shared" si="25"/>
        <v/>
      </c>
      <c r="M1235" s="250" t="str">
        <f t="shared" si="26"/>
        <v/>
      </c>
    </row>
    <row r="1236" spans="1:13">
      <c r="A1236" s="4">
        <v>1236</v>
      </c>
      <c r="C1236" s="8" t="str">
        <f>IF(B1236="","",VLOOKUP(B1236,小圆机汇总表!A:AP,2,FALSE))</f>
        <v/>
      </c>
      <c r="D1236" s="8" t="str">
        <f>IF(B1236="","",VLOOKUP(B1236,小圆机汇总表!A:AP,7,FALSE))</f>
        <v/>
      </c>
      <c r="E1236" s="8" t="str">
        <f>IF(B1236="","",VLOOKUP(B1236,小圆机汇总表!A:AP,5,FALSE))</f>
        <v/>
      </c>
      <c r="F1236" s="8" t="str">
        <f>IF(B1236="","",VLOOKUP(B1236,小圆机汇总表!A:AP,8,FALSE))</f>
        <v/>
      </c>
      <c r="J1236" s="8" t="str">
        <f t="shared" si="25"/>
        <v/>
      </c>
      <c r="M1236" s="250" t="str">
        <f t="shared" si="26"/>
        <v/>
      </c>
    </row>
    <row r="1237" spans="1:13">
      <c r="A1237" s="4">
        <v>1237</v>
      </c>
      <c r="C1237" s="8" t="str">
        <f>IF(B1237="","",VLOOKUP(B1237,小圆机汇总表!A:AP,2,FALSE))</f>
        <v/>
      </c>
      <c r="D1237" s="8" t="str">
        <f>IF(B1237="","",VLOOKUP(B1237,小圆机汇总表!A:AP,7,FALSE))</f>
        <v/>
      </c>
      <c r="E1237" s="8" t="str">
        <f>IF(B1237="","",VLOOKUP(B1237,小圆机汇总表!A:AP,5,FALSE))</f>
        <v/>
      </c>
      <c r="F1237" s="8" t="str">
        <f>IF(B1237="","",VLOOKUP(B1237,小圆机汇总表!A:AP,8,FALSE))</f>
        <v/>
      </c>
      <c r="J1237" s="8" t="str">
        <f t="shared" si="25"/>
        <v/>
      </c>
      <c r="M1237" s="250" t="str">
        <f t="shared" si="26"/>
        <v/>
      </c>
    </row>
    <row r="1238" spans="1:13">
      <c r="A1238" s="4">
        <v>1238</v>
      </c>
      <c r="C1238" s="8" t="str">
        <f>IF(B1238="","",VLOOKUP(B1238,小圆机汇总表!A:AP,2,FALSE))</f>
        <v/>
      </c>
      <c r="D1238" s="8" t="str">
        <f>IF(B1238="","",VLOOKUP(B1238,小圆机汇总表!A:AP,7,FALSE))</f>
        <v/>
      </c>
      <c r="E1238" s="8" t="str">
        <f>IF(B1238="","",VLOOKUP(B1238,小圆机汇总表!A:AP,5,FALSE))</f>
        <v/>
      </c>
      <c r="F1238" s="8" t="str">
        <f>IF(B1238="","",VLOOKUP(B1238,小圆机汇总表!A:AP,8,FALSE))</f>
        <v/>
      </c>
      <c r="J1238" s="8" t="str">
        <f t="shared" si="25"/>
        <v/>
      </c>
      <c r="M1238" s="250" t="str">
        <f t="shared" si="26"/>
        <v/>
      </c>
    </row>
    <row r="1239" spans="1:13">
      <c r="A1239" s="4">
        <v>1239</v>
      </c>
      <c r="C1239" s="8" t="str">
        <f>IF(B1239="","",VLOOKUP(B1239,小圆机汇总表!A:AP,2,FALSE))</f>
        <v/>
      </c>
      <c r="D1239" s="8" t="str">
        <f>IF(B1239="","",VLOOKUP(B1239,小圆机汇总表!A:AP,7,FALSE))</f>
        <v/>
      </c>
      <c r="E1239" s="8" t="str">
        <f>IF(B1239="","",VLOOKUP(B1239,小圆机汇总表!A:AP,5,FALSE))</f>
        <v/>
      </c>
      <c r="F1239" s="8" t="str">
        <f>IF(B1239="","",VLOOKUP(B1239,小圆机汇总表!A:AP,8,FALSE))</f>
        <v/>
      </c>
      <c r="J1239" s="8" t="str">
        <f t="shared" si="25"/>
        <v/>
      </c>
      <c r="M1239" s="250" t="str">
        <f t="shared" si="26"/>
        <v/>
      </c>
    </row>
    <row r="1240" spans="1:13">
      <c r="A1240" s="4">
        <v>1240</v>
      </c>
      <c r="C1240" s="8" t="str">
        <f>IF(B1240="","",VLOOKUP(B1240,小圆机汇总表!A:AP,2,FALSE))</f>
        <v/>
      </c>
      <c r="D1240" s="8" t="str">
        <f>IF(B1240="","",VLOOKUP(B1240,小圆机汇总表!A:AP,7,FALSE))</f>
        <v/>
      </c>
      <c r="E1240" s="8" t="str">
        <f>IF(B1240="","",VLOOKUP(B1240,小圆机汇总表!A:AP,5,FALSE))</f>
        <v/>
      </c>
      <c r="F1240" s="8" t="str">
        <f>IF(B1240="","",VLOOKUP(B1240,小圆机汇总表!A:AP,8,FALSE))</f>
        <v/>
      </c>
      <c r="J1240" s="8" t="str">
        <f t="shared" si="25"/>
        <v/>
      </c>
      <c r="M1240" s="250" t="str">
        <f t="shared" si="26"/>
        <v/>
      </c>
    </row>
    <row r="1241" spans="1:13">
      <c r="A1241" s="4">
        <v>1241</v>
      </c>
      <c r="C1241" s="8" t="str">
        <f>IF(B1241="","",VLOOKUP(B1241,小圆机汇总表!A:AP,2,FALSE))</f>
        <v/>
      </c>
      <c r="D1241" s="8" t="str">
        <f>IF(B1241="","",VLOOKUP(B1241,小圆机汇总表!A:AP,7,FALSE))</f>
        <v/>
      </c>
      <c r="E1241" s="8" t="str">
        <f>IF(B1241="","",VLOOKUP(B1241,小圆机汇总表!A:AP,5,FALSE))</f>
        <v/>
      </c>
      <c r="F1241" s="8" t="str">
        <f>IF(B1241="","",VLOOKUP(B1241,小圆机汇总表!A:AP,8,FALSE))</f>
        <v/>
      </c>
      <c r="J1241" s="8" t="str">
        <f t="shared" si="25"/>
        <v/>
      </c>
      <c r="M1241" s="250" t="str">
        <f t="shared" si="26"/>
        <v/>
      </c>
    </row>
    <row r="1242" spans="1:13">
      <c r="A1242" s="4">
        <v>1242</v>
      </c>
      <c r="C1242" s="8" t="str">
        <f>IF(B1242="","",VLOOKUP(B1242,小圆机汇总表!A:AP,2,FALSE))</f>
        <v/>
      </c>
      <c r="D1242" s="8" t="str">
        <f>IF(B1242="","",VLOOKUP(B1242,小圆机汇总表!A:AP,7,FALSE))</f>
        <v/>
      </c>
      <c r="E1242" s="8" t="str">
        <f>IF(B1242="","",VLOOKUP(B1242,小圆机汇总表!A:AP,5,FALSE))</f>
        <v/>
      </c>
      <c r="F1242" s="8" t="str">
        <f>IF(B1242="","",VLOOKUP(B1242,小圆机汇总表!A:AP,8,FALSE))</f>
        <v/>
      </c>
      <c r="J1242" s="8" t="str">
        <f t="shared" si="25"/>
        <v/>
      </c>
      <c r="M1242" s="250" t="str">
        <f t="shared" si="26"/>
        <v/>
      </c>
    </row>
    <row r="1243" spans="1:13">
      <c r="A1243" s="4">
        <v>1243</v>
      </c>
      <c r="C1243" s="8" t="str">
        <f>IF(B1243="","",VLOOKUP(B1243,小圆机汇总表!A:AP,2,FALSE))</f>
        <v/>
      </c>
      <c r="D1243" s="8" t="str">
        <f>IF(B1243="","",VLOOKUP(B1243,小圆机汇总表!A:AP,7,FALSE))</f>
        <v/>
      </c>
      <c r="E1243" s="8" t="str">
        <f>IF(B1243="","",VLOOKUP(B1243,小圆机汇总表!A:AP,5,FALSE))</f>
        <v/>
      </c>
      <c r="F1243" s="8" t="str">
        <f>IF(B1243="","",VLOOKUP(B1243,小圆机汇总表!A:AP,8,FALSE))</f>
        <v/>
      </c>
      <c r="J1243" s="8" t="str">
        <f t="shared" si="25"/>
        <v/>
      </c>
      <c r="M1243" s="250" t="str">
        <f t="shared" si="26"/>
        <v/>
      </c>
    </row>
    <row r="1244" spans="1:13">
      <c r="A1244" s="4">
        <v>1244</v>
      </c>
      <c r="C1244" s="8" t="str">
        <f>IF(B1244="","",VLOOKUP(B1244,小圆机汇总表!A:AP,2,FALSE))</f>
        <v/>
      </c>
      <c r="D1244" s="8" t="str">
        <f>IF(B1244="","",VLOOKUP(B1244,小圆机汇总表!A:AP,7,FALSE))</f>
        <v/>
      </c>
      <c r="E1244" s="8" t="str">
        <f>IF(B1244="","",VLOOKUP(B1244,小圆机汇总表!A:AP,5,FALSE))</f>
        <v/>
      </c>
      <c r="F1244" s="8" t="str">
        <f>IF(B1244="","",VLOOKUP(B1244,小圆机汇总表!A:AP,8,FALSE))</f>
        <v/>
      </c>
      <c r="J1244" s="8" t="str">
        <f t="shared" si="25"/>
        <v/>
      </c>
      <c r="M1244" s="250" t="str">
        <f t="shared" si="26"/>
        <v/>
      </c>
    </row>
    <row r="1245" spans="1:13">
      <c r="A1245" s="4">
        <v>1245</v>
      </c>
      <c r="C1245" s="8" t="str">
        <f>IF(B1245="","",VLOOKUP(B1245,小圆机汇总表!A:AP,2,FALSE))</f>
        <v/>
      </c>
      <c r="D1245" s="8" t="str">
        <f>IF(B1245="","",VLOOKUP(B1245,小圆机汇总表!A:AP,7,FALSE))</f>
        <v/>
      </c>
      <c r="E1245" s="8" t="str">
        <f>IF(B1245="","",VLOOKUP(B1245,小圆机汇总表!A:AP,5,FALSE))</f>
        <v/>
      </c>
      <c r="F1245" s="8" t="str">
        <f>IF(B1245="","",VLOOKUP(B1245,小圆机汇总表!A:AP,8,FALSE))</f>
        <v/>
      </c>
      <c r="J1245" s="8" t="str">
        <f t="shared" si="25"/>
        <v/>
      </c>
      <c r="M1245" s="250" t="str">
        <f t="shared" si="26"/>
        <v/>
      </c>
    </row>
    <row r="1246" spans="1:13">
      <c r="A1246" s="4">
        <v>1246</v>
      </c>
      <c r="C1246" s="8" t="str">
        <f>IF(B1246="","",VLOOKUP(B1246,小圆机汇总表!A:AP,2,FALSE))</f>
        <v/>
      </c>
      <c r="D1246" s="8" t="str">
        <f>IF(B1246="","",VLOOKUP(B1246,小圆机汇总表!A:AP,7,FALSE))</f>
        <v/>
      </c>
      <c r="E1246" s="8" t="str">
        <f>IF(B1246="","",VLOOKUP(B1246,小圆机汇总表!A:AP,5,FALSE))</f>
        <v/>
      </c>
      <c r="F1246" s="8" t="str">
        <f>IF(B1246="","",VLOOKUP(B1246,小圆机汇总表!A:AP,8,FALSE))</f>
        <v/>
      </c>
      <c r="J1246" s="8" t="str">
        <f t="shared" si="25"/>
        <v/>
      </c>
      <c r="M1246" s="250" t="str">
        <f t="shared" si="26"/>
        <v/>
      </c>
    </row>
    <row r="1247" spans="1:13">
      <c r="A1247" s="4">
        <v>1247</v>
      </c>
      <c r="C1247" s="8" t="str">
        <f>IF(B1247="","",VLOOKUP(B1247,小圆机汇总表!A:AP,2,FALSE))</f>
        <v/>
      </c>
      <c r="D1247" s="8" t="str">
        <f>IF(B1247="","",VLOOKUP(B1247,小圆机汇总表!A:AP,7,FALSE))</f>
        <v/>
      </c>
      <c r="E1247" s="8" t="str">
        <f>IF(B1247="","",VLOOKUP(B1247,小圆机汇总表!A:AP,5,FALSE))</f>
        <v/>
      </c>
      <c r="F1247" s="8" t="str">
        <f>IF(B1247="","",VLOOKUP(B1247,小圆机汇总表!A:AP,8,FALSE))</f>
        <v/>
      </c>
      <c r="J1247" s="8" t="str">
        <f t="shared" si="25"/>
        <v/>
      </c>
      <c r="M1247" s="250" t="str">
        <f t="shared" si="26"/>
        <v/>
      </c>
    </row>
    <row r="1248" spans="1:13">
      <c r="A1248" s="4">
        <v>1248</v>
      </c>
      <c r="C1248" s="8" t="str">
        <f>IF(B1248="","",VLOOKUP(B1248,小圆机汇总表!A:AP,2,FALSE))</f>
        <v/>
      </c>
      <c r="D1248" s="8" t="str">
        <f>IF(B1248="","",VLOOKUP(B1248,小圆机汇总表!A:AP,7,FALSE))</f>
        <v/>
      </c>
      <c r="E1248" s="8" t="str">
        <f>IF(B1248="","",VLOOKUP(B1248,小圆机汇总表!A:AP,5,FALSE))</f>
        <v/>
      </c>
      <c r="F1248" s="8" t="str">
        <f>IF(B1248="","",VLOOKUP(B1248,小圆机汇总表!A:AP,8,FALSE))</f>
        <v/>
      </c>
      <c r="J1248" s="8" t="str">
        <f t="shared" si="25"/>
        <v/>
      </c>
      <c r="M1248" s="250" t="str">
        <f t="shared" si="26"/>
        <v/>
      </c>
    </row>
    <row r="1249" spans="1:13">
      <c r="A1249" s="4">
        <v>1249</v>
      </c>
      <c r="C1249" s="8" t="str">
        <f>IF(B1249="","",VLOOKUP(B1249,小圆机汇总表!A:AP,2,FALSE))</f>
        <v/>
      </c>
      <c r="D1249" s="8" t="str">
        <f>IF(B1249="","",VLOOKUP(B1249,小圆机汇总表!A:AP,7,FALSE))</f>
        <v/>
      </c>
      <c r="E1249" s="8" t="str">
        <f>IF(B1249="","",VLOOKUP(B1249,小圆机汇总表!A:AP,5,FALSE))</f>
        <v/>
      </c>
      <c r="F1249" s="8" t="str">
        <f>IF(B1249="","",VLOOKUP(B1249,小圆机汇总表!A:AP,8,FALSE))</f>
        <v/>
      </c>
      <c r="J1249" s="8" t="str">
        <f t="shared" si="25"/>
        <v/>
      </c>
      <c r="M1249" s="250" t="str">
        <f t="shared" si="26"/>
        <v/>
      </c>
    </row>
    <row r="1250" spans="1:13">
      <c r="A1250" s="4">
        <v>1250</v>
      </c>
      <c r="C1250" s="8" t="str">
        <f>IF(B1250="","",VLOOKUP(B1250,小圆机汇总表!A:AP,2,FALSE))</f>
        <v/>
      </c>
      <c r="D1250" s="8" t="str">
        <f>IF(B1250="","",VLOOKUP(B1250,小圆机汇总表!A:AP,7,FALSE))</f>
        <v/>
      </c>
      <c r="E1250" s="8" t="str">
        <f>IF(B1250="","",VLOOKUP(B1250,小圆机汇总表!A:AP,5,FALSE))</f>
        <v/>
      </c>
      <c r="F1250" s="8" t="str">
        <f>IF(B1250="","",VLOOKUP(B1250,小圆机汇总表!A:AP,8,FALSE))</f>
        <v/>
      </c>
      <c r="J1250" s="8" t="str">
        <f t="shared" si="25"/>
        <v/>
      </c>
      <c r="M1250" s="250" t="str">
        <f t="shared" si="26"/>
        <v/>
      </c>
    </row>
    <row r="1251" spans="1:13">
      <c r="A1251" s="4">
        <v>1251</v>
      </c>
      <c r="C1251" s="8" t="str">
        <f>IF(B1251="","",VLOOKUP(B1251,小圆机汇总表!A:AP,2,FALSE))</f>
        <v/>
      </c>
      <c r="D1251" s="8" t="str">
        <f>IF(B1251="","",VLOOKUP(B1251,小圆机汇总表!A:AP,7,FALSE))</f>
        <v/>
      </c>
      <c r="E1251" s="8" t="str">
        <f>IF(B1251="","",VLOOKUP(B1251,小圆机汇总表!A:AP,5,FALSE))</f>
        <v/>
      </c>
      <c r="F1251" s="8" t="str">
        <f>IF(B1251="","",VLOOKUP(B1251,小圆机汇总表!A:AP,8,FALSE))</f>
        <v/>
      </c>
      <c r="J1251" s="8" t="str">
        <f t="shared" ref="J1251:J1314" si="27">IF(B1251="","",MONTH(G1251))</f>
        <v/>
      </c>
      <c r="M1251" s="250" t="str">
        <f t="shared" si="26"/>
        <v/>
      </c>
    </row>
    <row r="1252" spans="1:13">
      <c r="A1252" s="4">
        <v>1252</v>
      </c>
      <c r="C1252" s="8" t="str">
        <f>IF(B1252="","",VLOOKUP(B1252,小圆机汇总表!A:AP,2,FALSE))</f>
        <v/>
      </c>
      <c r="D1252" s="8" t="str">
        <f>IF(B1252="","",VLOOKUP(B1252,小圆机汇总表!A:AP,7,FALSE))</f>
        <v/>
      </c>
      <c r="E1252" s="8" t="str">
        <f>IF(B1252="","",VLOOKUP(B1252,小圆机汇总表!A:AP,5,FALSE))</f>
        <v/>
      </c>
      <c r="F1252" s="8" t="str">
        <f>IF(B1252="","",VLOOKUP(B1252,小圆机汇总表!A:AP,8,FALSE))</f>
        <v/>
      </c>
      <c r="J1252" s="8" t="str">
        <f t="shared" si="27"/>
        <v/>
      </c>
      <c r="M1252" s="250" t="str">
        <f t="shared" si="26"/>
        <v/>
      </c>
    </row>
    <row r="1253" spans="1:13">
      <c r="A1253" s="4">
        <v>1253</v>
      </c>
      <c r="C1253" s="8" t="str">
        <f>IF(B1253="","",VLOOKUP(B1253,小圆机汇总表!A:AP,2,FALSE))</f>
        <v/>
      </c>
      <c r="D1253" s="8" t="str">
        <f>IF(B1253="","",VLOOKUP(B1253,小圆机汇总表!A:AP,7,FALSE))</f>
        <v/>
      </c>
      <c r="E1253" s="8" t="str">
        <f>IF(B1253="","",VLOOKUP(B1253,小圆机汇总表!A:AP,5,FALSE))</f>
        <v/>
      </c>
      <c r="F1253" s="8" t="str">
        <f>IF(B1253="","",VLOOKUP(B1253,小圆机汇总表!A:AP,8,FALSE))</f>
        <v/>
      </c>
      <c r="J1253" s="8" t="str">
        <f t="shared" si="27"/>
        <v/>
      </c>
      <c r="M1253" s="250" t="str">
        <f t="shared" si="26"/>
        <v/>
      </c>
    </row>
    <row r="1254" spans="1:13">
      <c r="A1254" s="4">
        <v>1254</v>
      </c>
      <c r="C1254" s="8" t="str">
        <f>IF(B1254="","",VLOOKUP(B1254,小圆机汇总表!A:AP,2,FALSE))</f>
        <v/>
      </c>
      <c r="D1254" s="8" t="str">
        <f>IF(B1254="","",VLOOKUP(B1254,小圆机汇总表!A:AP,7,FALSE))</f>
        <v/>
      </c>
      <c r="E1254" s="8" t="str">
        <f>IF(B1254="","",VLOOKUP(B1254,小圆机汇总表!A:AP,5,FALSE))</f>
        <v/>
      </c>
      <c r="F1254" s="8" t="str">
        <f>IF(B1254="","",VLOOKUP(B1254,小圆机汇总表!A:AP,8,FALSE))</f>
        <v/>
      </c>
      <c r="J1254" s="8" t="str">
        <f t="shared" si="27"/>
        <v/>
      </c>
      <c r="M1254" s="250" t="str">
        <f t="shared" si="26"/>
        <v/>
      </c>
    </row>
    <row r="1255" spans="1:13">
      <c r="A1255" s="4">
        <v>1255</v>
      </c>
      <c r="C1255" s="8" t="str">
        <f>IF(B1255="","",VLOOKUP(B1255,小圆机汇总表!A:AP,2,FALSE))</f>
        <v/>
      </c>
      <c r="D1255" s="8" t="str">
        <f>IF(B1255="","",VLOOKUP(B1255,小圆机汇总表!A:AP,7,FALSE))</f>
        <v/>
      </c>
      <c r="E1255" s="8" t="str">
        <f>IF(B1255="","",VLOOKUP(B1255,小圆机汇总表!A:AP,5,FALSE))</f>
        <v/>
      </c>
      <c r="F1255" s="8" t="str">
        <f>IF(B1255="","",VLOOKUP(B1255,小圆机汇总表!A:AP,8,FALSE))</f>
        <v/>
      </c>
      <c r="J1255" s="8" t="str">
        <f t="shared" si="27"/>
        <v/>
      </c>
      <c r="M1255" s="250" t="str">
        <f t="shared" si="26"/>
        <v/>
      </c>
    </row>
    <row r="1256" spans="1:13">
      <c r="A1256" s="4">
        <v>1256</v>
      </c>
      <c r="C1256" s="8" t="str">
        <f>IF(B1256="","",VLOOKUP(B1256,小圆机汇总表!A:AP,2,FALSE))</f>
        <v/>
      </c>
      <c r="D1256" s="8" t="str">
        <f>IF(B1256="","",VLOOKUP(B1256,小圆机汇总表!A:AP,7,FALSE))</f>
        <v/>
      </c>
      <c r="E1256" s="8" t="str">
        <f>IF(B1256="","",VLOOKUP(B1256,小圆机汇总表!A:AP,5,FALSE))</f>
        <v/>
      </c>
      <c r="F1256" s="8" t="str">
        <f>IF(B1256="","",VLOOKUP(B1256,小圆机汇总表!A:AP,8,FALSE))</f>
        <v/>
      </c>
      <c r="J1256" s="8" t="str">
        <f t="shared" si="27"/>
        <v/>
      </c>
      <c r="M1256" s="250" t="str">
        <f t="shared" si="26"/>
        <v/>
      </c>
    </row>
    <row r="1257" spans="1:13">
      <c r="A1257" s="4">
        <v>1257</v>
      </c>
      <c r="C1257" s="8" t="str">
        <f>IF(B1257="","",VLOOKUP(B1257,小圆机汇总表!A:AP,2,FALSE))</f>
        <v/>
      </c>
      <c r="D1257" s="8" t="str">
        <f>IF(B1257="","",VLOOKUP(B1257,小圆机汇总表!A:AP,7,FALSE))</f>
        <v/>
      </c>
      <c r="E1257" s="8" t="str">
        <f>IF(B1257="","",VLOOKUP(B1257,小圆机汇总表!A:AP,5,FALSE))</f>
        <v/>
      </c>
      <c r="F1257" s="8" t="str">
        <f>IF(B1257="","",VLOOKUP(B1257,小圆机汇总表!A:AP,8,FALSE))</f>
        <v/>
      </c>
      <c r="J1257" s="8" t="str">
        <f t="shared" si="27"/>
        <v/>
      </c>
      <c r="M1257" s="250" t="str">
        <f t="shared" si="26"/>
        <v/>
      </c>
    </row>
    <row r="1258" spans="1:13">
      <c r="A1258" s="4">
        <v>1258</v>
      </c>
      <c r="C1258" s="8" t="str">
        <f>IF(B1258="","",VLOOKUP(B1258,小圆机汇总表!A:AP,2,FALSE))</f>
        <v/>
      </c>
      <c r="D1258" s="8" t="str">
        <f>IF(B1258="","",VLOOKUP(B1258,小圆机汇总表!A:AP,7,FALSE))</f>
        <v/>
      </c>
      <c r="E1258" s="8" t="str">
        <f>IF(B1258="","",VLOOKUP(B1258,小圆机汇总表!A:AP,5,FALSE))</f>
        <v/>
      </c>
      <c r="F1258" s="8" t="str">
        <f>IF(B1258="","",VLOOKUP(B1258,小圆机汇总表!A:AP,8,FALSE))</f>
        <v/>
      </c>
      <c r="J1258" s="8" t="str">
        <f t="shared" si="27"/>
        <v/>
      </c>
      <c r="M1258" s="250" t="str">
        <f t="shared" si="26"/>
        <v/>
      </c>
    </row>
    <row r="1259" spans="1:13">
      <c r="A1259" s="4">
        <v>1259</v>
      </c>
      <c r="C1259" s="8" t="str">
        <f>IF(B1259="","",VLOOKUP(B1259,小圆机汇总表!A:AP,2,FALSE))</f>
        <v/>
      </c>
      <c r="D1259" s="8" t="str">
        <f>IF(B1259="","",VLOOKUP(B1259,小圆机汇总表!A:AP,7,FALSE))</f>
        <v/>
      </c>
      <c r="E1259" s="8" t="str">
        <f>IF(B1259="","",VLOOKUP(B1259,小圆机汇总表!A:AP,5,FALSE))</f>
        <v/>
      </c>
      <c r="F1259" s="8" t="str">
        <f>IF(B1259="","",VLOOKUP(B1259,小圆机汇总表!A:AP,8,FALSE))</f>
        <v/>
      </c>
      <c r="J1259" s="8" t="str">
        <f t="shared" si="27"/>
        <v/>
      </c>
      <c r="M1259" s="250" t="str">
        <f t="shared" si="26"/>
        <v/>
      </c>
    </row>
    <row r="1260" spans="1:13">
      <c r="A1260" s="4">
        <v>1260</v>
      </c>
      <c r="C1260" s="8" t="str">
        <f>IF(B1260="","",VLOOKUP(B1260,小圆机汇总表!A:AP,2,FALSE))</f>
        <v/>
      </c>
      <c r="D1260" s="8" t="str">
        <f>IF(B1260="","",VLOOKUP(B1260,小圆机汇总表!A:AP,7,FALSE))</f>
        <v/>
      </c>
      <c r="E1260" s="8" t="str">
        <f>IF(B1260="","",VLOOKUP(B1260,小圆机汇总表!A:AP,5,FALSE))</f>
        <v/>
      </c>
      <c r="F1260" s="8" t="str">
        <f>IF(B1260="","",VLOOKUP(B1260,小圆机汇总表!A:AP,8,FALSE))</f>
        <v/>
      </c>
      <c r="J1260" s="8" t="str">
        <f t="shared" si="27"/>
        <v/>
      </c>
      <c r="M1260" s="250" t="str">
        <f t="shared" si="26"/>
        <v/>
      </c>
    </row>
    <row r="1261" spans="1:13">
      <c r="A1261" s="4">
        <v>1261</v>
      </c>
      <c r="C1261" s="8" t="str">
        <f>IF(B1261="","",VLOOKUP(B1261,小圆机汇总表!A:AP,2,FALSE))</f>
        <v/>
      </c>
      <c r="D1261" s="8" t="str">
        <f>IF(B1261="","",VLOOKUP(B1261,小圆机汇总表!A:AP,7,FALSE))</f>
        <v/>
      </c>
      <c r="E1261" s="8" t="str">
        <f>IF(B1261="","",VLOOKUP(B1261,小圆机汇总表!A:AP,5,FALSE))</f>
        <v/>
      </c>
      <c r="F1261" s="8" t="str">
        <f>IF(B1261="","",VLOOKUP(B1261,小圆机汇总表!A:AP,8,FALSE))</f>
        <v/>
      </c>
      <c r="J1261" s="8" t="str">
        <f t="shared" si="27"/>
        <v/>
      </c>
      <c r="M1261" s="250" t="str">
        <f t="shared" si="26"/>
        <v/>
      </c>
    </row>
    <row r="1262" spans="1:13">
      <c r="A1262" s="4">
        <v>1262</v>
      </c>
      <c r="C1262" s="8" t="str">
        <f>IF(B1262="","",VLOOKUP(B1262,小圆机汇总表!A:AP,2,FALSE))</f>
        <v/>
      </c>
      <c r="D1262" s="8" t="str">
        <f>IF(B1262="","",VLOOKUP(B1262,小圆机汇总表!A:AP,7,FALSE))</f>
        <v/>
      </c>
      <c r="E1262" s="8" t="str">
        <f>IF(B1262="","",VLOOKUP(B1262,小圆机汇总表!A:AP,5,FALSE))</f>
        <v/>
      </c>
      <c r="F1262" s="8" t="str">
        <f>IF(B1262="","",VLOOKUP(B1262,小圆机汇总表!A:AP,8,FALSE))</f>
        <v/>
      </c>
      <c r="J1262" s="8" t="str">
        <f t="shared" si="27"/>
        <v/>
      </c>
      <c r="M1262" s="250" t="str">
        <f t="shared" si="26"/>
        <v/>
      </c>
    </row>
    <row r="1263" spans="1:13">
      <c r="A1263" s="4">
        <v>1263</v>
      </c>
      <c r="C1263" s="8" t="str">
        <f>IF(B1263="","",VLOOKUP(B1263,小圆机汇总表!A:AP,2,FALSE))</f>
        <v/>
      </c>
      <c r="D1263" s="8" t="str">
        <f>IF(B1263="","",VLOOKUP(B1263,小圆机汇总表!A:AP,7,FALSE))</f>
        <v/>
      </c>
      <c r="E1263" s="8" t="str">
        <f>IF(B1263="","",VLOOKUP(B1263,小圆机汇总表!A:AP,5,FALSE))</f>
        <v/>
      </c>
      <c r="F1263" s="8" t="str">
        <f>IF(B1263="","",VLOOKUP(B1263,小圆机汇总表!A:AP,8,FALSE))</f>
        <v/>
      </c>
      <c r="J1263" s="8" t="str">
        <f t="shared" si="27"/>
        <v/>
      </c>
      <c r="M1263" s="250" t="str">
        <f t="shared" si="26"/>
        <v/>
      </c>
    </row>
    <row r="1264" spans="1:13">
      <c r="A1264" s="4">
        <v>1264</v>
      </c>
      <c r="C1264" s="8" t="str">
        <f>IF(B1264="","",VLOOKUP(B1264,小圆机汇总表!A:AP,2,FALSE))</f>
        <v/>
      </c>
      <c r="D1264" s="8" t="str">
        <f>IF(B1264="","",VLOOKUP(B1264,小圆机汇总表!A:AP,7,FALSE))</f>
        <v/>
      </c>
      <c r="E1264" s="8" t="str">
        <f>IF(B1264="","",VLOOKUP(B1264,小圆机汇总表!A:AP,5,FALSE))</f>
        <v/>
      </c>
      <c r="F1264" s="8" t="str">
        <f>IF(B1264="","",VLOOKUP(B1264,小圆机汇总表!A:AP,8,FALSE))</f>
        <v/>
      </c>
      <c r="J1264" s="8" t="str">
        <f t="shared" si="27"/>
        <v/>
      </c>
      <c r="M1264" s="250" t="str">
        <f t="shared" si="26"/>
        <v/>
      </c>
    </row>
    <row r="1265" spans="1:13">
      <c r="A1265" s="4">
        <v>1265</v>
      </c>
      <c r="C1265" s="8" t="str">
        <f>IF(B1265="","",VLOOKUP(B1265,小圆机汇总表!A:AP,2,FALSE))</f>
        <v/>
      </c>
      <c r="D1265" s="8" t="str">
        <f>IF(B1265="","",VLOOKUP(B1265,小圆机汇总表!A:AP,7,FALSE))</f>
        <v/>
      </c>
      <c r="E1265" s="8" t="str">
        <f>IF(B1265="","",VLOOKUP(B1265,小圆机汇总表!A:AP,5,FALSE))</f>
        <v/>
      </c>
      <c r="F1265" s="8" t="str">
        <f>IF(B1265="","",VLOOKUP(B1265,小圆机汇总表!A:AP,8,FALSE))</f>
        <v/>
      </c>
      <c r="J1265" s="8" t="str">
        <f t="shared" si="27"/>
        <v/>
      </c>
      <c r="M1265" s="250" t="str">
        <f t="shared" si="26"/>
        <v/>
      </c>
    </row>
    <row r="1266" spans="1:13">
      <c r="A1266" s="4">
        <v>1266</v>
      </c>
      <c r="C1266" s="8" t="str">
        <f>IF(B1266="","",VLOOKUP(B1266,小圆机汇总表!A:AP,2,FALSE))</f>
        <v/>
      </c>
      <c r="D1266" s="8" t="str">
        <f>IF(B1266="","",VLOOKUP(B1266,小圆机汇总表!A:AP,7,FALSE))</f>
        <v/>
      </c>
      <c r="E1266" s="8" t="str">
        <f>IF(B1266="","",VLOOKUP(B1266,小圆机汇总表!A:AP,5,FALSE))</f>
        <v/>
      </c>
      <c r="F1266" s="8" t="str">
        <f>IF(B1266="","",VLOOKUP(B1266,小圆机汇总表!A:AP,8,FALSE))</f>
        <v/>
      </c>
      <c r="J1266" s="8" t="str">
        <f t="shared" si="27"/>
        <v/>
      </c>
      <c r="M1266" s="250" t="str">
        <f t="shared" si="26"/>
        <v/>
      </c>
    </row>
    <row r="1267" spans="1:13">
      <c r="A1267" s="4">
        <v>1267</v>
      </c>
      <c r="C1267" s="8" t="str">
        <f>IF(B1267="","",VLOOKUP(B1267,小圆机汇总表!A:AP,2,FALSE))</f>
        <v/>
      </c>
      <c r="D1267" s="8" t="str">
        <f>IF(B1267="","",VLOOKUP(B1267,小圆机汇总表!A:AP,7,FALSE))</f>
        <v/>
      </c>
      <c r="E1267" s="8" t="str">
        <f>IF(B1267="","",VLOOKUP(B1267,小圆机汇总表!A:AP,5,FALSE))</f>
        <v/>
      </c>
      <c r="F1267" s="8" t="str">
        <f>IF(B1267="","",VLOOKUP(B1267,小圆机汇总表!A:AP,8,FALSE))</f>
        <v/>
      </c>
      <c r="J1267" s="8" t="str">
        <f t="shared" si="27"/>
        <v/>
      </c>
      <c r="M1267" s="250" t="str">
        <f t="shared" si="26"/>
        <v/>
      </c>
    </row>
    <row r="1268" spans="1:13">
      <c r="A1268" s="4">
        <v>1268</v>
      </c>
      <c r="C1268" s="8" t="str">
        <f>IF(B1268="","",VLOOKUP(B1268,小圆机汇总表!A:AP,2,FALSE))</f>
        <v/>
      </c>
      <c r="D1268" s="8" t="str">
        <f>IF(B1268="","",VLOOKUP(B1268,小圆机汇总表!A:AP,7,FALSE))</f>
        <v/>
      </c>
      <c r="E1268" s="8" t="str">
        <f>IF(B1268="","",VLOOKUP(B1268,小圆机汇总表!A:AP,5,FALSE))</f>
        <v/>
      </c>
      <c r="F1268" s="8" t="str">
        <f>IF(B1268="","",VLOOKUP(B1268,小圆机汇总表!A:AP,8,FALSE))</f>
        <v/>
      </c>
      <c r="J1268" s="8" t="str">
        <f t="shared" si="27"/>
        <v/>
      </c>
      <c r="M1268" s="250" t="str">
        <f t="shared" si="26"/>
        <v/>
      </c>
    </row>
    <row r="1269" spans="1:13">
      <c r="A1269" s="4">
        <v>1269</v>
      </c>
      <c r="C1269" s="8" t="str">
        <f>IF(B1269="","",VLOOKUP(B1269,小圆机汇总表!A:AP,2,FALSE))</f>
        <v/>
      </c>
      <c r="D1269" s="8" t="str">
        <f>IF(B1269="","",VLOOKUP(B1269,小圆机汇总表!A:AP,7,FALSE))</f>
        <v/>
      </c>
      <c r="E1269" s="8" t="str">
        <f>IF(B1269="","",VLOOKUP(B1269,小圆机汇总表!A:AP,5,FALSE))</f>
        <v/>
      </c>
      <c r="F1269" s="8" t="str">
        <f>IF(B1269="","",VLOOKUP(B1269,小圆机汇总表!A:AP,8,FALSE))</f>
        <v/>
      </c>
      <c r="J1269" s="8" t="str">
        <f t="shared" si="27"/>
        <v/>
      </c>
      <c r="M1269" s="250" t="str">
        <f t="shared" si="26"/>
        <v/>
      </c>
    </row>
    <row r="1270" spans="1:13">
      <c r="A1270" s="4">
        <v>1270</v>
      </c>
      <c r="C1270" s="8" t="str">
        <f>IF(B1270="","",VLOOKUP(B1270,小圆机汇总表!A:AP,2,FALSE))</f>
        <v/>
      </c>
      <c r="D1270" s="8" t="str">
        <f>IF(B1270="","",VLOOKUP(B1270,小圆机汇总表!A:AP,7,FALSE))</f>
        <v/>
      </c>
      <c r="E1270" s="8" t="str">
        <f>IF(B1270="","",VLOOKUP(B1270,小圆机汇总表!A:AP,5,FALSE))</f>
        <v/>
      </c>
      <c r="F1270" s="8" t="str">
        <f>IF(B1270="","",VLOOKUP(B1270,小圆机汇总表!A:AP,8,FALSE))</f>
        <v/>
      </c>
      <c r="J1270" s="8" t="str">
        <f t="shared" si="27"/>
        <v/>
      </c>
      <c r="M1270" s="250" t="str">
        <f t="shared" si="26"/>
        <v/>
      </c>
    </row>
    <row r="1271" spans="1:13">
      <c r="A1271" s="4">
        <v>1271</v>
      </c>
      <c r="C1271" s="8" t="str">
        <f>IF(B1271="","",VLOOKUP(B1271,小圆机汇总表!A:AP,2,FALSE))</f>
        <v/>
      </c>
      <c r="D1271" s="8" t="str">
        <f>IF(B1271="","",VLOOKUP(B1271,小圆机汇总表!A:AP,7,FALSE))</f>
        <v/>
      </c>
      <c r="E1271" s="8" t="str">
        <f>IF(B1271="","",VLOOKUP(B1271,小圆机汇总表!A:AP,5,FALSE))</f>
        <v/>
      </c>
      <c r="F1271" s="8" t="str">
        <f>IF(B1271="","",VLOOKUP(B1271,小圆机汇总表!A:AP,8,FALSE))</f>
        <v/>
      </c>
      <c r="J1271" s="8" t="str">
        <f t="shared" si="27"/>
        <v/>
      </c>
      <c r="M1271" s="250" t="str">
        <f t="shared" si="26"/>
        <v/>
      </c>
    </row>
    <row r="1272" spans="1:13">
      <c r="A1272" s="4">
        <v>1272</v>
      </c>
      <c r="C1272" s="8" t="str">
        <f>IF(B1272="","",VLOOKUP(B1272,小圆机汇总表!A:AP,2,FALSE))</f>
        <v/>
      </c>
      <c r="D1272" s="8" t="str">
        <f>IF(B1272="","",VLOOKUP(B1272,小圆机汇总表!A:AP,7,FALSE))</f>
        <v/>
      </c>
      <c r="E1272" s="8" t="str">
        <f>IF(B1272="","",VLOOKUP(B1272,小圆机汇总表!A:AP,5,FALSE))</f>
        <v/>
      </c>
      <c r="F1272" s="8" t="str">
        <f>IF(B1272="","",VLOOKUP(B1272,小圆机汇总表!A:AP,8,FALSE))</f>
        <v/>
      </c>
      <c r="J1272" s="8" t="str">
        <f t="shared" si="27"/>
        <v/>
      </c>
      <c r="M1272" s="250" t="str">
        <f t="shared" si="26"/>
        <v/>
      </c>
    </row>
    <row r="1273" spans="1:13">
      <c r="A1273" s="4">
        <v>1273</v>
      </c>
      <c r="C1273" s="8" t="str">
        <f>IF(B1273="","",VLOOKUP(B1273,小圆机汇总表!A:AP,2,FALSE))</f>
        <v/>
      </c>
      <c r="D1273" s="8" t="str">
        <f>IF(B1273="","",VLOOKUP(B1273,小圆机汇总表!A:AP,7,FALSE))</f>
        <v/>
      </c>
      <c r="E1273" s="8" t="str">
        <f>IF(B1273="","",VLOOKUP(B1273,小圆机汇总表!A:AP,5,FALSE))</f>
        <v/>
      </c>
      <c r="F1273" s="8" t="str">
        <f>IF(B1273="","",VLOOKUP(B1273,小圆机汇总表!A:AP,8,FALSE))</f>
        <v/>
      </c>
      <c r="J1273" s="8" t="str">
        <f t="shared" si="27"/>
        <v/>
      </c>
      <c r="M1273" s="250" t="str">
        <f t="shared" si="26"/>
        <v/>
      </c>
    </row>
    <row r="1274" spans="1:13">
      <c r="A1274" s="4">
        <v>1274</v>
      </c>
      <c r="C1274" s="8" t="str">
        <f>IF(B1274="","",VLOOKUP(B1274,小圆机汇总表!A:AP,2,FALSE))</f>
        <v/>
      </c>
      <c r="D1274" s="8" t="str">
        <f>IF(B1274="","",VLOOKUP(B1274,小圆机汇总表!A:AP,7,FALSE))</f>
        <v/>
      </c>
      <c r="E1274" s="8" t="str">
        <f>IF(B1274="","",VLOOKUP(B1274,小圆机汇总表!A:AP,5,FALSE))</f>
        <v/>
      </c>
      <c r="F1274" s="8" t="str">
        <f>IF(B1274="","",VLOOKUP(B1274,小圆机汇总表!A:AP,8,FALSE))</f>
        <v/>
      </c>
      <c r="J1274" s="8" t="str">
        <f t="shared" si="27"/>
        <v/>
      </c>
      <c r="M1274" s="250" t="str">
        <f t="shared" si="26"/>
        <v/>
      </c>
    </row>
    <row r="1275" spans="1:13">
      <c r="A1275" s="4">
        <v>1275</v>
      </c>
      <c r="C1275" s="8" t="str">
        <f>IF(B1275="","",VLOOKUP(B1275,小圆机汇总表!A:AP,2,FALSE))</f>
        <v/>
      </c>
      <c r="D1275" s="8" t="str">
        <f>IF(B1275="","",VLOOKUP(B1275,小圆机汇总表!A:AP,7,FALSE))</f>
        <v/>
      </c>
      <c r="E1275" s="8" t="str">
        <f>IF(B1275="","",VLOOKUP(B1275,小圆机汇总表!A:AP,5,FALSE))</f>
        <v/>
      </c>
      <c r="F1275" s="8" t="str">
        <f>IF(B1275="","",VLOOKUP(B1275,小圆机汇总表!A:AP,8,FALSE))</f>
        <v/>
      </c>
      <c r="J1275" s="8" t="str">
        <f t="shared" si="27"/>
        <v/>
      </c>
      <c r="M1275" s="250" t="str">
        <f t="shared" si="26"/>
        <v/>
      </c>
    </row>
    <row r="1276" spans="1:13">
      <c r="A1276" s="4">
        <v>1276</v>
      </c>
      <c r="C1276" s="8" t="str">
        <f>IF(B1276="","",VLOOKUP(B1276,小圆机汇总表!A:AP,2,FALSE))</f>
        <v/>
      </c>
      <c r="D1276" s="8" t="str">
        <f>IF(B1276="","",VLOOKUP(B1276,小圆机汇总表!A:AP,7,FALSE))</f>
        <v/>
      </c>
      <c r="E1276" s="8" t="str">
        <f>IF(B1276="","",VLOOKUP(B1276,小圆机汇总表!A:AP,5,FALSE))</f>
        <v/>
      </c>
      <c r="F1276" s="8" t="str">
        <f>IF(B1276="","",VLOOKUP(B1276,小圆机汇总表!A:AP,8,FALSE))</f>
        <v/>
      </c>
      <c r="J1276" s="8" t="str">
        <f t="shared" si="27"/>
        <v/>
      </c>
      <c r="M1276" s="250" t="str">
        <f t="shared" si="26"/>
        <v/>
      </c>
    </row>
    <row r="1277" spans="1:13">
      <c r="A1277" s="4">
        <v>1277</v>
      </c>
      <c r="C1277" s="8" t="str">
        <f>IF(B1277="","",VLOOKUP(B1277,小圆机汇总表!A:AP,2,FALSE))</f>
        <v/>
      </c>
      <c r="D1277" s="8" t="str">
        <f>IF(B1277="","",VLOOKUP(B1277,小圆机汇总表!A:AP,7,FALSE))</f>
        <v/>
      </c>
      <c r="E1277" s="8" t="str">
        <f>IF(B1277="","",VLOOKUP(B1277,小圆机汇总表!A:AP,5,FALSE))</f>
        <v/>
      </c>
      <c r="F1277" s="8" t="str">
        <f>IF(B1277="","",VLOOKUP(B1277,小圆机汇总表!A:AP,8,FALSE))</f>
        <v/>
      </c>
      <c r="J1277" s="8" t="str">
        <f t="shared" si="27"/>
        <v/>
      </c>
      <c r="M1277" s="250" t="str">
        <f t="shared" si="26"/>
        <v/>
      </c>
    </row>
    <row r="1278" spans="1:13">
      <c r="A1278" s="4">
        <v>1278</v>
      </c>
      <c r="C1278" s="8" t="str">
        <f>IF(B1278="","",VLOOKUP(B1278,小圆机汇总表!A:AP,2,FALSE))</f>
        <v/>
      </c>
      <c r="D1278" s="8" t="str">
        <f>IF(B1278="","",VLOOKUP(B1278,小圆机汇总表!A:AP,7,FALSE))</f>
        <v/>
      </c>
      <c r="E1278" s="8" t="str">
        <f>IF(B1278="","",VLOOKUP(B1278,小圆机汇总表!A:AP,5,FALSE))</f>
        <v/>
      </c>
      <c r="F1278" s="8" t="str">
        <f>IF(B1278="","",VLOOKUP(B1278,小圆机汇总表!A:AP,8,FALSE))</f>
        <v/>
      </c>
      <c r="J1278" s="8" t="str">
        <f t="shared" si="27"/>
        <v/>
      </c>
      <c r="M1278" s="250" t="str">
        <f t="shared" si="26"/>
        <v/>
      </c>
    </row>
    <row r="1279" spans="1:13">
      <c r="A1279" s="4">
        <v>1279</v>
      </c>
      <c r="C1279" s="8" t="str">
        <f>IF(B1279="","",VLOOKUP(B1279,小圆机汇总表!A:AP,2,FALSE))</f>
        <v/>
      </c>
      <c r="D1279" s="8" t="str">
        <f>IF(B1279="","",VLOOKUP(B1279,小圆机汇总表!A:AP,7,FALSE))</f>
        <v/>
      </c>
      <c r="E1279" s="8" t="str">
        <f>IF(B1279="","",VLOOKUP(B1279,小圆机汇总表!A:AP,5,FALSE))</f>
        <v/>
      </c>
      <c r="F1279" s="8" t="str">
        <f>IF(B1279="","",VLOOKUP(B1279,小圆机汇总表!A:AP,8,FALSE))</f>
        <v/>
      </c>
      <c r="J1279" s="8" t="str">
        <f t="shared" si="27"/>
        <v/>
      </c>
      <c r="M1279" s="250" t="str">
        <f t="shared" si="26"/>
        <v/>
      </c>
    </row>
    <row r="1280" spans="1:13">
      <c r="A1280" s="4">
        <v>1280</v>
      </c>
      <c r="C1280" s="8" t="str">
        <f>IF(B1280="","",VLOOKUP(B1280,小圆机汇总表!A:AP,2,FALSE))</f>
        <v/>
      </c>
      <c r="D1280" s="8" t="str">
        <f>IF(B1280="","",VLOOKUP(B1280,小圆机汇总表!A:AP,7,FALSE))</f>
        <v/>
      </c>
      <c r="E1280" s="8" t="str">
        <f>IF(B1280="","",VLOOKUP(B1280,小圆机汇总表!A:AP,5,FALSE))</f>
        <v/>
      </c>
      <c r="F1280" s="8" t="str">
        <f>IF(B1280="","",VLOOKUP(B1280,小圆机汇总表!A:AP,8,FALSE))</f>
        <v/>
      </c>
      <c r="J1280" s="8" t="str">
        <f t="shared" si="27"/>
        <v/>
      </c>
      <c r="M1280" s="250" t="str">
        <f t="shared" si="26"/>
        <v/>
      </c>
    </row>
    <row r="1281" spans="1:13">
      <c r="A1281" s="4">
        <v>1281</v>
      </c>
      <c r="C1281" s="8" t="str">
        <f>IF(B1281="","",VLOOKUP(B1281,小圆机汇总表!A:AP,2,FALSE))</f>
        <v/>
      </c>
      <c r="D1281" s="8" t="str">
        <f>IF(B1281="","",VLOOKUP(B1281,小圆机汇总表!A:AP,7,FALSE))</f>
        <v/>
      </c>
      <c r="E1281" s="8" t="str">
        <f>IF(B1281="","",VLOOKUP(B1281,小圆机汇总表!A:AP,5,FALSE))</f>
        <v/>
      </c>
      <c r="F1281" s="8" t="str">
        <f>IF(B1281="","",VLOOKUP(B1281,小圆机汇总表!A:AP,8,FALSE))</f>
        <v/>
      </c>
      <c r="J1281" s="8" t="str">
        <f t="shared" si="27"/>
        <v/>
      </c>
      <c r="M1281" s="250" t="str">
        <f t="shared" si="26"/>
        <v/>
      </c>
    </row>
    <row r="1282" spans="1:13">
      <c r="A1282" s="4">
        <v>1282</v>
      </c>
      <c r="C1282" s="8" t="str">
        <f>IF(B1282="","",VLOOKUP(B1282,小圆机汇总表!A:AP,2,FALSE))</f>
        <v/>
      </c>
      <c r="D1282" s="8" t="str">
        <f>IF(B1282="","",VLOOKUP(B1282,小圆机汇总表!A:AP,7,FALSE))</f>
        <v/>
      </c>
      <c r="E1282" s="8" t="str">
        <f>IF(B1282="","",VLOOKUP(B1282,小圆机汇总表!A:AP,5,FALSE))</f>
        <v/>
      </c>
      <c r="F1282" s="8" t="str">
        <f>IF(B1282="","",VLOOKUP(B1282,小圆机汇总表!A:AP,8,FALSE))</f>
        <v/>
      </c>
      <c r="J1282" s="8" t="str">
        <f t="shared" si="27"/>
        <v/>
      </c>
      <c r="M1282" s="250" t="str">
        <f t="shared" si="26"/>
        <v/>
      </c>
    </row>
    <row r="1283" spans="1:13">
      <c r="A1283" s="4">
        <v>1283</v>
      </c>
      <c r="C1283" s="8" t="str">
        <f>IF(B1283="","",VLOOKUP(B1283,小圆机汇总表!A:AP,2,FALSE))</f>
        <v/>
      </c>
      <c r="D1283" s="8" t="str">
        <f>IF(B1283="","",VLOOKUP(B1283,小圆机汇总表!A:AP,7,FALSE))</f>
        <v/>
      </c>
      <c r="E1283" s="8" t="str">
        <f>IF(B1283="","",VLOOKUP(B1283,小圆机汇总表!A:AP,5,FALSE))</f>
        <v/>
      </c>
      <c r="F1283" s="8" t="str">
        <f>IF(B1283="","",VLOOKUP(B1283,小圆机汇总表!A:AP,8,FALSE))</f>
        <v/>
      </c>
      <c r="J1283" s="8" t="str">
        <f t="shared" si="27"/>
        <v/>
      </c>
      <c r="M1283" s="250" t="str">
        <f t="shared" ref="M1283:M1302" si="28">IF(B1283="","",MONTH(G1283))</f>
        <v/>
      </c>
    </row>
    <row r="1284" spans="1:13">
      <c r="A1284" s="4">
        <v>1284</v>
      </c>
      <c r="C1284" s="8" t="str">
        <f>IF(B1284="","",VLOOKUP(B1284,小圆机汇总表!A:AP,2,FALSE))</f>
        <v/>
      </c>
      <c r="D1284" s="8" t="str">
        <f>IF(B1284="","",VLOOKUP(B1284,小圆机汇总表!A:AP,7,FALSE))</f>
        <v/>
      </c>
      <c r="E1284" s="8" t="str">
        <f>IF(B1284="","",VLOOKUP(B1284,小圆机汇总表!A:AP,5,FALSE))</f>
        <v/>
      </c>
      <c r="F1284" s="8" t="str">
        <f>IF(B1284="","",VLOOKUP(B1284,小圆机汇总表!A:AP,8,FALSE))</f>
        <v/>
      </c>
      <c r="J1284" s="8" t="str">
        <f t="shared" si="27"/>
        <v/>
      </c>
      <c r="M1284" s="250" t="str">
        <f t="shared" si="28"/>
        <v/>
      </c>
    </row>
    <row r="1285" spans="1:13">
      <c r="A1285" s="4">
        <v>1285</v>
      </c>
      <c r="C1285" s="8" t="str">
        <f>IF(B1285="","",VLOOKUP(B1285,小圆机汇总表!A:AP,2,FALSE))</f>
        <v/>
      </c>
      <c r="D1285" s="8" t="str">
        <f>IF(B1285="","",VLOOKUP(B1285,小圆机汇总表!A:AP,7,FALSE))</f>
        <v/>
      </c>
      <c r="E1285" s="8" t="str">
        <f>IF(B1285="","",VLOOKUP(B1285,小圆机汇总表!A:AP,5,FALSE))</f>
        <v/>
      </c>
      <c r="F1285" s="8" t="str">
        <f>IF(B1285="","",VLOOKUP(B1285,小圆机汇总表!A:AP,8,FALSE))</f>
        <v/>
      </c>
      <c r="J1285" s="8" t="str">
        <f t="shared" si="27"/>
        <v/>
      </c>
      <c r="M1285" s="250" t="str">
        <f t="shared" si="28"/>
        <v/>
      </c>
    </row>
    <row r="1286" spans="1:13">
      <c r="A1286" s="4">
        <v>1286</v>
      </c>
      <c r="C1286" s="8" t="str">
        <f>IF(B1286="","",VLOOKUP(B1286,小圆机汇总表!A:AP,2,FALSE))</f>
        <v/>
      </c>
      <c r="D1286" s="8" t="str">
        <f>IF(B1286="","",VLOOKUP(B1286,小圆机汇总表!A:AP,7,FALSE))</f>
        <v/>
      </c>
      <c r="E1286" s="8" t="str">
        <f>IF(B1286="","",VLOOKUP(B1286,小圆机汇总表!A:AP,5,FALSE))</f>
        <v/>
      </c>
      <c r="F1286" s="8" t="str">
        <f>IF(B1286="","",VLOOKUP(B1286,小圆机汇总表!A:AP,8,FALSE))</f>
        <v/>
      </c>
      <c r="J1286" s="8" t="str">
        <f t="shared" si="27"/>
        <v/>
      </c>
      <c r="M1286" s="250" t="str">
        <f t="shared" si="28"/>
        <v/>
      </c>
    </row>
    <row r="1287" spans="1:13">
      <c r="A1287" s="4">
        <v>1287</v>
      </c>
      <c r="C1287" s="8" t="str">
        <f>IF(B1287="","",VLOOKUP(B1287,小圆机汇总表!A:AP,2,FALSE))</f>
        <v/>
      </c>
      <c r="D1287" s="8" t="str">
        <f>IF(B1287="","",VLOOKUP(B1287,小圆机汇总表!A:AP,7,FALSE))</f>
        <v/>
      </c>
      <c r="E1287" s="8" t="str">
        <f>IF(B1287="","",VLOOKUP(B1287,小圆机汇总表!A:AP,5,FALSE))</f>
        <v/>
      </c>
      <c r="F1287" s="8" t="str">
        <f>IF(B1287="","",VLOOKUP(B1287,小圆机汇总表!A:AP,8,FALSE))</f>
        <v/>
      </c>
      <c r="J1287" s="8" t="str">
        <f t="shared" si="27"/>
        <v/>
      </c>
      <c r="M1287" s="250" t="str">
        <f t="shared" si="28"/>
        <v/>
      </c>
    </row>
    <row r="1288" spans="1:13">
      <c r="A1288" s="4">
        <v>1288</v>
      </c>
      <c r="C1288" s="8" t="str">
        <f>IF(B1288="","",VLOOKUP(B1288,小圆机汇总表!A:AP,2,FALSE))</f>
        <v/>
      </c>
      <c r="D1288" s="8" t="str">
        <f>IF(B1288="","",VLOOKUP(B1288,小圆机汇总表!A:AP,7,FALSE))</f>
        <v/>
      </c>
      <c r="E1288" s="8" t="str">
        <f>IF(B1288="","",VLOOKUP(B1288,小圆机汇总表!A:AP,5,FALSE))</f>
        <v/>
      </c>
      <c r="F1288" s="8" t="str">
        <f>IF(B1288="","",VLOOKUP(B1288,小圆机汇总表!A:AP,8,FALSE))</f>
        <v/>
      </c>
      <c r="J1288" s="8" t="str">
        <f t="shared" si="27"/>
        <v/>
      </c>
      <c r="M1288" s="250" t="str">
        <f t="shared" si="28"/>
        <v/>
      </c>
    </row>
    <row r="1289" spans="1:13">
      <c r="A1289" s="4">
        <v>1289</v>
      </c>
      <c r="C1289" s="8" t="str">
        <f>IF(B1289="","",VLOOKUP(B1289,小圆机汇总表!A:AP,2,FALSE))</f>
        <v/>
      </c>
      <c r="D1289" s="8" t="str">
        <f>IF(B1289="","",VLOOKUP(B1289,小圆机汇总表!A:AP,7,FALSE))</f>
        <v/>
      </c>
      <c r="E1289" s="8" t="str">
        <f>IF(B1289="","",VLOOKUP(B1289,小圆机汇总表!A:AP,5,FALSE))</f>
        <v/>
      </c>
      <c r="F1289" s="8" t="str">
        <f>IF(B1289="","",VLOOKUP(B1289,小圆机汇总表!A:AP,8,FALSE))</f>
        <v/>
      </c>
      <c r="J1289" s="8" t="str">
        <f t="shared" si="27"/>
        <v/>
      </c>
      <c r="M1289" s="250" t="str">
        <f t="shared" si="28"/>
        <v/>
      </c>
    </row>
    <row r="1290" spans="1:13">
      <c r="A1290" s="4">
        <v>1290</v>
      </c>
      <c r="C1290" s="8" t="str">
        <f>IF(B1290="","",VLOOKUP(B1290,小圆机汇总表!A:AP,2,FALSE))</f>
        <v/>
      </c>
      <c r="D1290" s="8" t="str">
        <f>IF(B1290="","",VLOOKUP(B1290,小圆机汇总表!A:AP,7,FALSE))</f>
        <v/>
      </c>
      <c r="E1290" s="8" t="str">
        <f>IF(B1290="","",VLOOKUP(B1290,小圆机汇总表!A:AP,5,FALSE))</f>
        <v/>
      </c>
      <c r="F1290" s="8" t="str">
        <f>IF(B1290="","",VLOOKUP(B1290,小圆机汇总表!A:AP,8,FALSE))</f>
        <v/>
      </c>
      <c r="J1290" s="8" t="str">
        <f t="shared" si="27"/>
        <v/>
      </c>
      <c r="M1290" s="250" t="str">
        <f t="shared" si="28"/>
        <v/>
      </c>
    </row>
    <row r="1291" spans="1:13">
      <c r="A1291" s="4">
        <v>1291</v>
      </c>
      <c r="C1291" s="8" t="str">
        <f>IF(B1291="","",VLOOKUP(B1291,小圆机汇总表!A:AP,2,FALSE))</f>
        <v/>
      </c>
      <c r="D1291" s="8" t="str">
        <f>IF(B1291="","",VLOOKUP(B1291,小圆机汇总表!A:AP,7,FALSE))</f>
        <v/>
      </c>
      <c r="E1291" s="8" t="str">
        <f>IF(B1291="","",VLOOKUP(B1291,小圆机汇总表!A:AP,5,FALSE))</f>
        <v/>
      </c>
      <c r="F1291" s="8" t="str">
        <f>IF(B1291="","",VLOOKUP(B1291,小圆机汇总表!A:AP,8,FALSE))</f>
        <v/>
      </c>
      <c r="J1291" s="8" t="str">
        <f t="shared" si="27"/>
        <v/>
      </c>
      <c r="M1291" s="250" t="str">
        <f t="shared" si="28"/>
        <v/>
      </c>
    </row>
    <row r="1292" spans="1:13">
      <c r="A1292" s="4">
        <v>1292</v>
      </c>
      <c r="C1292" s="8" t="str">
        <f>IF(B1292="","",VLOOKUP(B1292,小圆机汇总表!A:AP,2,FALSE))</f>
        <v/>
      </c>
      <c r="D1292" s="8" t="str">
        <f>IF(B1292="","",VLOOKUP(B1292,小圆机汇总表!A:AP,7,FALSE))</f>
        <v/>
      </c>
      <c r="E1292" s="8" t="str">
        <f>IF(B1292="","",VLOOKUP(B1292,小圆机汇总表!A:AP,5,FALSE))</f>
        <v/>
      </c>
      <c r="F1292" s="8" t="str">
        <f>IF(B1292="","",VLOOKUP(B1292,小圆机汇总表!A:AP,8,FALSE))</f>
        <v/>
      </c>
      <c r="J1292" s="8" t="str">
        <f t="shared" si="27"/>
        <v/>
      </c>
      <c r="M1292" s="250" t="str">
        <f t="shared" si="28"/>
        <v/>
      </c>
    </row>
    <row r="1293" spans="1:13">
      <c r="A1293" s="4">
        <v>1293</v>
      </c>
      <c r="C1293" s="8" t="str">
        <f>IF(B1293="","",VLOOKUP(B1293,小圆机汇总表!A:AP,2,FALSE))</f>
        <v/>
      </c>
      <c r="D1293" s="8" t="str">
        <f>IF(B1293="","",VLOOKUP(B1293,小圆机汇总表!A:AP,7,FALSE))</f>
        <v/>
      </c>
      <c r="E1293" s="8" t="str">
        <f>IF(B1293="","",VLOOKUP(B1293,小圆机汇总表!A:AP,5,FALSE))</f>
        <v/>
      </c>
      <c r="F1293" s="8" t="str">
        <f>IF(B1293="","",VLOOKUP(B1293,小圆机汇总表!A:AP,8,FALSE))</f>
        <v/>
      </c>
      <c r="J1293" s="8" t="str">
        <f t="shared" si="27"/>
        <v/>
      </c>
      <c r="M1293" s="250" t="str">
        <f t="shared" si="28"/>
        <v/>
      </c>
    </row>
    <row r="1294" spans="1:13">
      <c r="A1294" s="4">
        <v>1294</v>
      </c>
      <c r="C1294" s="8" t="str">
        <f>IF(B1294="","",VLOOKUP(B1294,小圆机汇总表!A:AP,2,FALSE))</f>
        <v/>
      </c>
      <c r="D1294" s="8" t="str">
        <f>IF(B1294="","",VLOOKUP(B1294,小圆机汇总表!A:AP,7,FALSE))</f>
        <v/>
      </c>
      <c r="E1294" s="8" t="str">
        <f>IF(B1294="","",VLOOKUP(B1294,小圆机汇总表!A:AP,5,FALSE))</f>
        <v/>
      </c>
      <c r="F1294" s="8" t="str">
        <f>IF(B1294="","",VLOOKUP(B1294,小圆机汇总表!A:AP,8,FALSE))</f>
        <v/>
      </c>
      <c r="J1294" s="8" t="str">
        <f t="shared" si="27"/>
        <v/>
      </c>
      <c r="M1294" s="250" t="str">
        <f t="shared" si="28"/>
        <v/>
      </c>
    </row>
    <row r="1295" spans="1:13">
      <c r="A1295" s="4">
        <v>1295</v>
      </c>
      <c r="C1295" s="8" t="str">
        <f>IF(B1295="","",VLOOKUP(B1295,小圆机汇总表!A:AP,2,FALSE))</f>
        <v/>
      </c>
      <c r="D1295" s="8" t="str">
        <f>IF(B1295="","",VLOOKUP(B1295,小圆机汇总表!A:AP,7,FALSE))</f>
        <v/>
      </c>
      <c r="E1295" s="8" t="str">
        <f>IF(B1295="","",VLOOKUP(B1295,小圆机汇总表!A:AP,5,FALSE))</f>
        <v/>
      </c>
      <c r="F1295" s="8" t="str">
        <f>IF(B1295="","",VLOOKUP(B1295,小圆机汇总表!A:AP,8,FALSE))</f>
        <v/>
      </c>
      <c r="J1295" s="8" t="str">
        <f t="shared" si="27"/>
        <v/>
      </c>
      <c r="M1295" s="250" t="str">
        <f t="shared" si="28"/>
        <v/>
      </c>
    </row>
    <row r="1296" spans="1:13">
      <c r="A1296" s="4">
        <v>1296</v>
      </c>
      <c r="C1296" s="8" t="str">
        <f>IF(B1296="","",VLOOKUP(B1296,小圆机汇总表!A:AP,2,FALSE))</f>
        <v/>
      </c>
      <c r="D1296" s="8" t="str">
        <f>IF(B1296="","",VLOOKUP(B1296,小圆机汇总表!A:AP,7,FALSE))</f>
        <v/>
      </c>
      <c r="E1296" s="8" t="str">
        <f>IF(B1296="","",VLOOKUP(B1296,小圆机汇总表!A:AP,5,FALSE))</f>
        <v/>
      </c>
      <c r="F1296" s="8" t="str">
        <f>IF(B1296="","",VLOOKUP(B1296,小圆机汇总表!A:AP,8,FALSE))</f>
        <v/>
      </c>
      <c r="J1296" s="8" t="str">
        <f t="shared" si="27"/>
        <v/>
      </c>
      <c r="M1296" s="250" t="str">
        <f t="shared" si="28"/>
        <v/>
      </c>
    </row>
    <row r="1297" spans="1:13">
      <c r="A1297" s="4">
        <v>1297</v>
      </c>
      <c r="C1297" s="8" t="str">
        <f>IF(B1297="","",VLOOKUP(B1297,小圆机汇总表!A:AP,2,FALSE))</f>
        <v/>
      </c>
      <c r="D1297" s="8" t="str">
        <f>IF(B1297="","",VLOOKUP(B1297,小圆机汇总表!A:AP,7,FALSE))</f>
        <v/>
      </c>
      <c r="E1297" s="8" t="str">
        <f>IF(B1297="","",VLOOKUP(B1297,小圆机汇总表!A:AP,5,FALSE))</f>
        <v/>
      </c>
      <c r="F1297" s="8" t="str">
        <f>IF(B1297="","",VLOOKUP(B1297,小圆机汇总表!A:AP,8,FALSE))</f>
        <v/>
      </c>
      <c r="J1297" s="8" t="str">
        <f t="shared" si="27"/>
        <v/>
      </c>
      <c r="M1297" s="250" t="str">
        <f t="shared" si="28"/>
        <v/>
      </c>
    </row>
    <row r="1298" spans="1:13">
      <c r="A1298" s="4">
        <v>1298</v>
      </c>
      <c r="C1298" s="8" t="str">
        <f>IF(B1298="","",VLOOKUP(B1298,小圆机汇总表!A:AP,2,FALSE))</f>
        <v/>
      </c>
      <c r="D1298" s="8" t="str">
        <f>IF(B1298="","",VLOOKUP(B1298,小圆机汇总表!A:AP,7,FALSE))</f>
        <v/>
      </c>
      <c r="E1298" s="8" t="str">
        <f>IF(B1298="","",VLOOKUP(B1298,小圆机汇总表!A:AP,5,FALSE))</f>
        <v/>
      </c>
      <c r="F1298" s="8" t="str">
        <f>IF(B1298="","",VLOOKUP(B1298,小圆机汇总表!A:AP,8,FALSE))</f>
        <v/>
      </c>
      <c r="J1298" s="8" t="str">
        <f t="shared" si="27"/>
        <v/>
      </c>
      <c r="M1298" s="250" t="str">
        <f t="shared" si="28"/>
        <v/>
      </c>
    </row>
    <row r="1299" spans="1:13">
      <c r="A1299" s="4">
        <v>1299</v>
      </c>
      <c r="C1299" s="8" t="str">
        <f>IF(B1299="","",VLOOKUP(B1299,小圆机汇总表!A:AP,2,FALSE))</f>
        <v/>
      </c>
      <c r="D1299" s="8" t="str">
        <f>IF(B1299="","",VLOOKUP(B1299,小圆机汇总表!A:AP,7,FALSE))</f>
        <v/>
      </c>
      <c r="E1299" s="8" t="str">
        <f>IF(B1299="","",VLOOKUP(B1299,小圆机汇总表!A:AP,5,FALSE))</f>
        <v/>
      </c>
      <c r="F1299" s="8" t="str">
        <f>IF(B1299="","",VLOOKUP(B1299,小圆机汇总表!A:AP,8,FALSE))</f>
        <v/>
      </c>
      <c r="J1299" s="8" t="str">
        <f t="shared" si="27"/>
        <v/>
      </c>
      <c r="M1299" s="250" t="str">
        <f t="shared" si="28"/>
        <v/>
      </c>
    </row>
    <row r="1300" spans="1:13">
      <c r="A1300" s="4">
        <v>1300</v>
      </c>
      <c r="C1300" s="8" t="str">
        <f>IF(B1300="","",VLOOKUP(B1300,小圆机汇总表!A:AP,2,FALSE))</f>
        <v/>
      </c>
      <c r="D1300" s="8" t="str">
        <f>IF(B1300="","",VLOOKUP(B1300,小圆机汇总表!A:AP,7,FALSE))</f>
        <v/>
      </c>
      <c r="E1300" s="8" t="str">
        <f>IF(B1300="","",VLOOKUP(B1300,小圆机汇总表!A:AP,5,FALSE))</f>
        <v/>
      </c>
      <c r="F1300" s="8" t="str">
        <f>IF(B1300="","",VLOOKUP(B1300,小圆机汇总表!A:AP,8,FALSE))</f>
        <v/>
      </c>
      <c r="J1300" s="8" t="str">
        <f t="shared" si="27"/>
        <v/>
      </c>
      <c r="M1300" s="250" t="str">
        <f t="shared" si="28"/>
        <v/>
      </c>
    </row>
    <row r="1301" spans="1:13">
      <c r="A1301" s="4">
        <v>1301</v>
      </c>
      <c r="C1301" s="8" t="str">
        <f>IF(B1301="","",VLOOKUP(B1301,小圆机汇总表!A:AP,2,FALSE))</f>
        <v/>
      </c>
      <c r="D1301" s="8" t="str">
        <f>IF(B1301="","",VLOOKUP(B1301,小圆机汇总表!A:AP,7,FALSE))</f>
        <v/>
      </c>
      <c r="E1301" s="8" t="str">
        <f>IF(B1301="","",VLOOKUP(B1301,小圆机汇总表!A:AP,5,FALSE))</f>
        <v/>
      </c>
      <c r="F1301" s="8" t="str">
        <f>IF(B1301="","",VLOOKUP(B1301,小圆机汇总表!A:AP,8,FALSE))</f>
        <v/>
      </c>
      <c r="J1301" s="8" t="str">
        <f t="shared" si="27"/>
        <v/>
      </c>
      <c r="M1301" s="250" t="str">
        <f t="shared" si="28"/>
        <v/>
      </c>
    </row>
    <row r="1302" spans="1:13">
      <c r="A1302" s="4">
        <v>1302</v>
      </c>
      <c r="C1302" s="8" t="str">
        <f>IF(B1302="","",VLOOKUP(B1302,小圆机汇总表!A:AP,2,FALSE))</f>
        <v/>
      </c>
      <c r="D1302" s="8" t="str">
        <f>IF(B1302="","",VLOOKUP(B1302,小圆机汇总表!A:AP,7,FALSE))</f>
        <v/>
      </c>
      <c r="E1302" s="8" t="str">
        <f>IF(B1302="","",VLOOKUP(B1302,小圆机汇总表!A:AP,5,FALSE))</f>
        <v/>
      </c>
      <c r="F1302" s="8" t="str">
        <f>IF(B1302="","",VLOOKUP(B1302,小圆机汇总表!A:AP,8,FALSE))</f>
        <v/>
      </c>
      <c r="J1302" s="8" t="str">
        <f t="shared" si="27"/>
        <v/>
      </c>
      <c r="M1302" s="250" t="str">
        <f t="shared" si="28"/>
        <v/>
      </c>
    </row>
    <row r="1303" spans="1:13">
      <c r="A1303" s="4">
        <v>1303</v>
      </c>
      <c r="C1303" s="8" t="str">
        <f>IF(B1303="","",VLOOKUP(B1303,小圆机汇总表!A:AP,2,FALSE))</f>
        <v/>
      </c>
      <c r="D1303" s="8" t="str">
        <f>IF(B1303="","",VLOOKUP(B1303,小圆机汇总表!A:AP,7,FALSE))</f>
        <v/>
      </c>
      <c r="E1303" s="8" t="str">
        <f>IF(B1303="","",VLOOKUP(B1303,小圆机汇总表!A:AP,5,FALSE))</f>
        <v/>
      </c>
      <c r="F1303" s="8" t="str">
        <f>IF(B1303="","",VLOOKUP(B1303,小圆机汇总表!A:AP,8,FALSE))</f>
        <v/>
      </c>
      <c r="J1303" s="8" t="str">
        <f t="shared" si="27"/>
        <v/>
      </c>
    </row>
    <row r="1304" spans="1:13">
      <c r="A1304" s="4">
        <v>1304</v>
      </c>
      <c r="C1304" s="8" t="str">
        <f>IF(B1304="","",VLOOKUP(B1304,小圆机汇总表!A:AP,2,FALSE))</f>
        <v/>
      </c>
      <c r="D1304" s="8" t="str">
        <f>IF(B1304="","",VLOOKUP(B1304,小圆机汇总表!A:AP,7,FALSE))</f>
        <v/>
      </c>
      <c r="E1304" s="8" t="str">
        <f>IF(B1304="","",VLOOKUP(B1304,小圆机汇总表!A:AP,5,FALSE))</f>
        <v/>
      </c>
      <c r="F1304" s="8" t="str">
        <f>IF(B1304="","",VLOOKUP(B1304,小圆机汇总表!A:AP,8,FALSE))</f>
        <v/>
      </c>
      <c r="J1304" s="8" t="str">
        <f t="shared" si="27"/>
        <v/>
      </c>
    </row>
    <row r="1305" spans="1:13">
      <c r="A1305" s="4">
        <v>1305</v>
      </c>
      <c r="C1305" s="8" t="str">
        <f>IF(B1305="","",VLOOKUP(B1305,小圆机汇总表!A:AP,2,FALSE))</f>
        <v/>
      </c>
      <c r="D1305" s="8" t="str">
        <f>IF(B1305="","",VLOOKUP(B1305,小圆机汇总表!A:AP,7,FALSE))</f>
        <v/>
      </c>
      <c r="E1305" s="8" t="str">
        <f>IF(B1305="","",VLOOKUP(B1305,小圆机汇总表!A:AP,5,FALSE))</f>
        <v/>
      </c>
      <c r="F1305" s="8" t="str">
        <f>IF(B1305="","",VLOOKUP(B1305,小圆机汇总表!A:AP,8,FALSE))</f>
        <v/>
      </c>
      <c r="J1305" s="8" t="str">
        <f t="shared" si="27"/>
        <v/>
      </c>
    </row>
    <row r="1306" spans="1:13">
      <c r="A1306" s="4">
        <v>1306</v>
      </c>
      <c r="C1306" s="8" t="str">
        <f>IF(B1306="","",VLOOKUP(B1306,小圆机汇总表!A:AP,2,FALSE))</f>
        <v/>
      </c>
      <c r="D1306" s="8" t="str">
        <f>IF(B1306="","",VLOOKUP(B1306,小圆机汇总表!A:AP,7,FALSE))</f>
        <v/>
      </c>
      <c r="E1306" s="8" t="str">
        <f>IF(B1306="","",VLOOKUP(B1306,小圆机汇总表!A:AP,5,FALSE))</f>
        <v/>
      </c>
      <c r="F1306" s="8" t="str">
        <f>IF(B1306="","",VLOOKUP(B1306,小圆机汇总表!A:AP,8,FALSE))</f>
        <v/>
      </c>
      <c r="J1306" s="8" t="str">
        <f t="shared" si="27"/>
        <v/>
      </c>
    </row>
    <row r="1307" spans="1:13">
      <c r="A1307" s="4">
        <v>1307</v>
      </c>
      <c r="C1307" s="8" t="str">
        <f>IF(B1307="","",VLOOKUP(B1307,小圆机汇总表!A:AP,2,FALSE))</f>
        <v/>
      </c>
      <c r="D1307" s="8" t="str">
        <f>IF(B1307="","",VLOOKUP(B1307,小圆机汇总表!A:AP,7,FALSE))</f>
        <v/>
      </c>
      <c r="E1307" s="8" t="str">
        <f>IF(B1307="","",VLOOKUP(B1307,小圆机汇总表!A:AP,5,FALSE))</f>
        <v/>
      </c>
      <c r="F1307" s="8" t="str">
        <f>IF(B1307="","",VLOOKUP(B1307,小圆机汇总表!A:AP,8,FALSE))</f>
        <v/>
      </c>
      <c r="J1307" s="8" t="str">
        <f t="shared" si="27"/>
        <v/>
      </c>
    </row>
    <row r="1308" spans="1:13">
      <c r="A1308" s="4">
        <v>1308</v>
      </c>
      <c r="C1308" s="8" t="str">
        <f>IF(B1308="","",VLOOKUP(B1308,小圆机汇总表!A:AP,2,FALSE))</f>
        <v/>
      </c>
      <c r="D1308" s="8" t="str">
        <f>IF(B1308="","",VLOOKUP(B1308,小圆机汇总表!A:AP,7,FALSE))</f>
        <v/>
      </c>
      <c r="E1308" s="8" t="str">
        <f>IF(B1308="","",VLOOKUP(B1308,小圆机汇总表!A:AP,5,FALSE))</f>
        <v/>
      </c>
      <c r="F1308" s="8" t="str">
        <f>IF(B1308="","",VLOOKUP(B1308,小圆机汇总表!A:AP,8,FALSE))</f>
        <v/>
      </c>
      <c r="J1308" s="8" t="str">
        <f t="shared" si="27"/>
        <v/>
      </c>
    </row>
    <row r="1309" spans="1:13">
      <c r="A1309" s="4">
        <v>1309</v>
      </c>
      <c r="C1309" s="8" t="str">
        <f>IF(B1309="","",VLOOKUP(B1309,小圆机汇总表!A:AP,2,FALSE))</f>
        <v/>
      </c>
      <c r="D1309" s="8" t="str">
        <f>IF(B1309="","",VLOOKUP(B1309,小圆机汇总表!A:AP,7,FALSE))</f>
        <v/>
      </c>
      <c r="E1309" s="8" t="str">
        <f>IF(B1309="","",VLOOKUP(B1309,小圆机汇总表!A:AP,5,FALSE))</f>
        <v/>
      </c>
      <c r="F1309" s="8" t="str">
        <f>IF(B1309="","",VLOOKUP(B1309,小圆机汇总表!A:AP,8,FALSE))</f>
        <v/>
      </c>
      <c r="J1309" s="8" t="str">
        <f t="shared" si="27"/>
        <v/>
      </c>
    </row>
    <row r="1310" spans="1:13">
      <c r="A1310" s="4">
        <v>1310</v>
      </c>
      <c r="C1310" s="8" t="str">
        <f>IF(B1310="","",VLOOKUP(B1310,小圆机汇总表!A:AP,2,FALSE))</f>
        <v/>
      </c>
      <c r="D1310" s="8" t="str">
        <f>IF(B1310="","",VLOOKUP(B1310,小圆机汇总表!A:AP,7,FALSE))</f>
        <v/>
      </c>
      <c r="E1310" s="8" t="str">
        <f>IF(B1310="","",VLOOKUP(B1310,小圆机汇总表!A:AP,5,FALSE))</f>
        <v/>
      </c>
      <c r="F1310" s="8" t="str">
        <f>IF(B1310="","",VLOOKUP(B1310,小圆机汇总表!A:AP,8,FALSE))</f>
        <v/>
      </c>
      <c r="J1310" s="8" t="str">
        <f t="shared" si="27"/>
        <v/>
      </c>
    </row>
    <row r="1311" spans="1:13">
      <c r="A1311" s="4">
        <v>1311</v>
      </c>
      <c r="C1311" s="8" t="str">
        <f>IF(B1311="","",VLOOKUP(B1311,小圆机汇总表!A:AP,2,FALSE))</f>
        <v/>
      </c>
      <c r="D1311" s="8" t="str">
        <f>IF(B1311="","",VLOOKUP(B1311,小圆机汇总表!A:AP,7,FALSE))</f>
        <v/>
      </c>
      <c r="E1311" s="8" t="str">
        <f>IF(B1311="","",VLOOKUP(B1311,小圆机汇总表!A:AP,5,FALSE))</f>
        <v/>
      </c>
      <c r="F1311" s="8" t="str">
        <f>IF(B1311="","",VLOOKUP(B1311,小圆机汇总表!A:AP,8,FALSE))</f>
        <v/>
      </c>
      <c r="J1311" s="8" t="str">
        <f t="shared" si="27"/>
        <v/>
      </c>
    </row>
    <row r="1312" spans="1:13">
      <c r="A1312" s="4">
        <v>1312</v>
      </c>
      <c r="C1312" s="8" t="str">
        <f>IF(B1312="","",VLOOKUP(B1312,小圆机汇总表!A:AP,2,FALSE))</f>
        <v/>
      </c>
      <c r="D1312" s="8" t="str">
        <f>IF(B1312="","",VLOOKUP(B1312,小圆机汇总表!A:AP,7,FALSE))</f>
        <v/>
      </c>
      <c r="E1312" s="8" t="str">
        <f>IF(B1312="","",VLOOKUP(B1312,小圆机汇总表!A:AP,5,FALSE))</f>
        <v/>
      </c>
      <c r="F1312" s="8" t="str">
        <f>IF(B1312="","",VLOOKUP(B1312,小圆机汇总表!A:AP,8,FALSE))</f>
        <v/>
      </c>
      <c r="J1312" s="8" t="str">
        <f t="shared" si="27"/>
        <v/>
      </c>
    </row>
    <row r="1313" spans="1:10">
      <c r="A1313" s="4">
        <v>1313</v>
      </c>
      <c r="C1313" s="8" t="str">
        <f>IF(B1313="","",VLOOKUP(B1313,小圆机汇总表!A:AP,2,FALSE))</f>
        <v/>
      </c>
      <c r="D1313" s="8" t="str">
        <f>IF(B1313="","",VLOOKUP(B1313,小圆机汇总表!A:AP,7,FALSE))</f>
        <v/>
      </c>
      <c r="E1313" s="8" t="str">
        <f>IF(B1313="","",VLOOKUP(B1313,小圆机汇总表!A:AP,5,FALSE))</f>
        <v/>
      </c>
      <c r="F1313" s="8" t="str">
        <f>IF(B1313="","",VLOOKUP(B1313,小圆机汇总表!A:AP,8,FALSE))</f>
        <v/>
      </c>
      <c r="J1313" s="8" t="str">
        <f t="shared" si="27"/>
        <v/>
      </c>
    </row>
    <row r="1314" spans="1:10">
      <c r="A1314" s="4">
        <v>1314</v>
      </c>
      <c r="C1314" s="8" t="str">
        <f>IF(B1314="","",VLOOKUP(B1314,小圆机汇总表!A:AP,2,FALSE))</f>
        <v/>
      </c>
      <c r="D1314" s="8" t="str">
        <f>IF(B1314="","",VLOOKUP(B1314,小圆机汇总表!A:AP,7,FALSE))</f>
        <v/>
      </c>
      <c r="E1314" s="8" t="str">
        <f>IF(B1314="","",VLOOKUP(B1314,小圆机汇总表!A:AP,5,FALSE))</f>
        <v/>
      </c>
      <c r="F1314" s="8" t="str">
        <f>IF(B1314="","",VLOOKUP(B1314,小圆机汇总表!A:AP,8,FALSE))</f>
        <v/>
      </c>
      <c r="J1314" s="8" t="str">
        <f t="shared" si="27"/>
        <v/>
      </c>
    </row>
    <row r="1315" spans="1:10">
      <c r="A1315" s="4">
        <v>1315</v>
      </c>
      <c r="C1315" s="8" t="str">
        <f>IF(B1315="","",VLOOKUP(B1315,小圆机汇总表!A:AP,2,FALSE))</f>
        <v/>
      </c>
      <c r="D1315" s="8" t="str">
        <f>IF(B1315="","",VLOOKUP(B1315,小圆机汇总表!A:AP,7,FALSE))</f>
        <v/>
      </c>
      <c r="E1315" s="8" t="str">
        <f>IF(B1315="","",VLOOKUP(B1315,小圆机汇总表!A:AP,5,FALSE))</f>
        <v/>
      </c>
      <c r="F1315" s="8" t="str">
        <f>IF(B1315="","",VLOOKUP(B1315,小圆机汇总表!A:AP,8,FALSE))</f>
        <v/>
      </c>
      <c r="J1315" s="8" t="str">
        <f t="shared" ref="J1315:J1378" si="29">IF(B1315="","",MONTH(G1315))</f>
        <v/>
      </c>
    </row>
    <row r="1316" spans="1:10">
      <c r="A1316" s="4">
        <v>1316</v>
      </c>
      <c r="C1316" s="8" t="str">
        <f>IF(B1316="","",VLOOKUP(B1316,小圆机汇总表!A:AP,2,FALSE))</f>
        <v/>
      </c>
      <c r="D1316" s="8" t="str">
        <f>IF(B1316="","",VLOOKUP(B1316,小圆机汇总表!A:AP,7,FALSE))</f>
        <v/>
      </c>
      <c r="E1316" s="8" t="str">
        <f>IF(B1316="","",VLOOKUP(B1316,小圆机汇总表!A:AP,5,FALSE))</f>
        <v/>
      </c>
      <c r="F1316" s="8" t="str">
        <f>IF(B1316="","",VLOOKUP(B1316,小圆机汇总表!A:AP,8,FALSE))</f>
        <v/>
      </c>
      <c r="J1316" s="8" t="str">
        <f t="shared" si="29"/>
        <v/>
      </c>
    </row>
    <row r="1317" spans="1:10">
      <c r="A1317" s="4">
        <v>1317</v>
      </c>
      <c r="C1317" s="8" t="str">
        <f>IF(B1317="","",VLOOKUP(B1317,小圆机汇总表!A:AP,2,FALSE))</f>
        <v/>
      </c>
      <c r="D1317" s="8" t="str">
        <f>IF(B1317="","",VLOOKUP(B1317,小圆机汇总表!A:AP,7,FALSE))</f>
        <v/>
      </c>
      <c r="E1317" s="8" t="str">
        <f>IF(B1317="","",VLOOKUP(B1317,小圆机汇总表!A:AP,5,FALSE))</f>
        <v/>
      </c>
      <c r="F1317" s="8" t="str">
        <f>IF(B1317="","",VLOOKUP(B1317,小圆机汇总表!A:AP,8,FALSE))</f>
        <v/>
      </c>
      <c r="J1317" s="8" t="str">
        <f t="shared" si="29"/>
        <v/>
      </c>
    </row>
    <row r="1318" spans="1:10">
      <c r="A1318" s="4">
        <v>1318</v>
      </c>
      <c r="C1318" s="8" t="str">
        <f>IF(B1318="","",VLOOKUP(B1318,小圆机汇总表!A:AP,2,FALSE))</f>
        <v/>
      </c>
      <c r="D1318" s="8" t="str">
        <f>IF(B1318="","",VLOOKUP(B1318,小圆机汇总表!A:AP,7,FALSE))</f>
        <v/>
      </c>
      <c r="E1318" s="8" t="str">
        <f>IF(B1318="","",VLOOKUP(B1318,小圆机汇总表!A:AP,5,FALSE))</f>
        <v/>
      </c>
      <c r="F1318" s="8" t="str">
        <f>IF(B1318="","",VLOOKUP(B1318,小圆机汇总表!A:AP,8,FALSE))</f>
        <v/>
      </c>
      <c r="J1318" s="8" t="str">
        <f t="shared" si="29"/>
        <v/>
      </c>
    </row>
    <row r="1319" spans="1:10">
      <c r="A1319" s="4">
        <v>1319</v>
      </c>
      <c r="C1319" s="8" t="str">
        <f>IF(B1319="","",VLOOKUP(B1319,小圆机汇总表!A:AP,2,FALSE))</f>
        <v/>
      </c>
      <c r="D1319" s="8" t="str">
        <f>IF(B1319="","",VLOOKUP(B1319,小圆机汇总表!A:AP,7,FALSE))</f>
        <v/>
      </c>
      <c r="E1319" s="8" t="str">
        <f>IF(B1319="","",VLOOKUP(B1319,小圆机汇总表!A:AP,5,FALSE))</f>
        <v/>
      </c>
      <c r="F1319" s="8" t="str">
        <f>IF(B1319="","",VLOOKUP(B1319,小圆机汇总表!A:AP,8,FALSE))</f>
        <v/>
      </c>
      <c r="J1319" s="8" t="str">
        <f t="shared" si="29"/>
        <v/>
      </c>
    </row>
    <row r="1320" spans="1:10">
      <c r="A1320" s="4">
        <v>1320</v>
      </c>
      <c r="C1320" s="8" t="str">
        <f>IF(B1320="","",VLOOKUP(B1320,小圆机汇总表!A:AP,2,FALSE))</f>
        <v/>
      </c>
      <c r="D1320" s="8" t="str">
        <f>IF(B1320="","",VLOOKUP(B1320,小圆机汇总表!A:AP,7,FALSE))</f>
        <v/>
      </c>
      <c r="E1320" s="8" t="str">
        <f>IF(B1320="","",VLOOKUP(B1320,小圆机汇总表!A:AP,5,FALSE))</f>
        <v/>
      </c>
      <c r="F1320" s="8" t="str">
        <f>IF(B1320="","",VLOOKUP(B1320,小圆机汇总表!A:AP,8,FALSE))</f>
        <v/>
      </c>
      <c r="J1320" s="8" t="str">
        <f t="shared" si="29"/>
        <v/>
      </c>
    </row>
    <row r="1321" spans="1:10">
      <c r="A1321" s="4">
        <v>1321</v>
      </c>
      <c r="C1321" s="8" t="str">
        <f>IF(B1321="","",VLOOKUP(B1321,小圆机汇总表!A:AP,2,FALSE))</f>
        <v/>
      </c>
      <c r="D1321" s="8" t="str">
        <f>IF(B1321="","",VLOOKUP(B1321,小圆机汇总表!A:AP,7,FALSE))</f>
        <v/>
      </c>
      <c r="E1321" s="8" t="str">
        <f>IF(B1321="","",VLOOKUP(B1321,小圆机汇总表!A:AP,5,FALSE))</f>
        <v/>
      </c>
      <c r="F1321" s="8" t="str">
        <f>IF(B1321="","",VLOOKUP(B1321,小圆机汇总表!A:AP,8,FALSE))</f>
        <v/>
      </c>
      <c r="J1321" s="8" t="str">
        <f t="shared" si="29"/>
        <v/>
      </c>
    </row>
    <row r="1322" spans="1:10">
      <c r="A1322" s="4">
        <v>1322</v>
      </c>
      <c r="C1322" s="8" t="str">
        <f>IF(B1322="","",VLOOKUP(B1322,小圆机汇总表!A:AP,2,FALSE))</f>
        <v/>
      </c>
      <c r="D1322" s="8" t="str">
        <f>IF(B1322="","",VLOOKUP(B1322,小圆机汇总表!A:AP,7,FALSE))</f>
        <v/>
      </c>
      <c r="E1322" s="8" t="str">
        <f>IF(B1322="","",VLOOKUP(B1322,小圆机汇总表!A:AP,5,FALSE))</f>
        <v/>
      </c>
      <c r="F1322" s="8" t="str">
        <f>IF(B1322="","",VLOOKUP(B1322,小圆机汇总表!A:AP,8,FALSE))</f>
        <v/>
      </c>
      <c r="J1322" s="8" t="str">
        <f t="shared" si="29"/>
        <v/>
      </c>
    </row>
    <row r="1323" spans="1:10">
      <c r="A1323" s="4">
        <v>1323</v>
      </c>
      <c r="C1323" s="8" t="str">
        <f>IF(B1323="","",VLOOKUP(B1323,小圆机汇总表!A:AP,2,FALSE))</f>
        <v/>
      </c>
      <c r="D1323" s="8" t="str">
        <f>IF(B1323="","",VLOOKUP(B1323,小圆机汇总表!A:AP,7,FALSE))</f>
        <v/>
      </c>
      <c r="E1323" s="8" t="str">
        <f>IF(B1323="","",VLOOKUP(B1323,小圆机汇总表!A:AP,5,FALSE))</f>
        <v/>
      </c>
      <c r="F1323" s="8" t="str">
        <f>IF(B1323="","",VLOOKUP(B1323,小圆机汇总表!A:AP,8,FALSE))</f>
        <v/>
      </c>
      <c r="J1323" s="8" t="str">
        <f t="shared" si="29"/>
        <v/>
      </c>
    </row>
    <row r="1324" spans="1:10">
      <c r="A1324" s="4">
        <v>1324</v>
      </c>
      <c r="C1324" s="8" t="str">
        <f>IF(B1324="","",VLOOKUP(B1324,小圆机汇总表!A:AP,2,FALSE))</f>
        <v/>
      </c>
      <c r="D1324" s="8" t="str">
        <f>IF(B1324="","",VLOOKUP(B1324,小圆机汇总表!A:AP,7,FALSE))</f>
        <v/>
      </c>
      <c r="E1324" s="8" t="str">
        <f>IF(B1324="","",VLOOKUP(B1324,小圆机汇总表!A:AP,5,FALSE))</f>
        <v/>
      </c>
      <c r="F1324" s="8" t="str">
        <f>IF(B1324="","",VLOOKUP(B1324,小圆机汇总表!A:AP,8,FALSE))</f>
        <v/>
      </c>
      <c r="J1324" s="8" t="str">
        <f t="shared" si="29"/>
        <v/>
      </c>
    </row>
    <row r="1325" spans="1:10">
      <c r="A1325" s="4">
        <v>1325</v>
      </c>
      <c r="C1325" s="8" t="str">
        <f>IF(B1325="","",VLOOKUP(B1325,小圆机汇总表!A:AP,2,FALSE))</f>
        <v/>
      </c>
      <c r="D1325" s="8" t="str">
        <f>IF(B1325="","",VLOOKUP(B1325,小圆机汇总表!A:AP,7,FALSE))</f>
        <v/>
      </c>
      <c r="E1325" s="8" t="str">
        <f>IF(B1325="","",VLOOKUP(B1325,小圆机汇总表!A:AP,5,FALSE))</f>
        <v/>
      </c>
      <c r="F1325" s="8" t="str">
        <f>IF(B1325="","",VLOOKUP(B1325,小圆机汇总表!A:AP,8,FALSE))</f>
        <v/>
      </c>
      <c r="J1325" s="8" t="str">
        <f t="shared" si="29"/>
        <v/>
      </c>
    </row>
    <row r="1326" spans="1:10">
      <c r="A1326" s="4">
        <v>1326</v>
      </c>
      <c r="C1326" s="8" t="str">
        <f>IF(B1326="","",VLOOKUP(B1326,小圆机汇总表!A:AP,2,FALSE))</f>
        <v/>
      </c>
      <c r="D1326" s="8" t="str">
        <f>IF(B1326="","",VLOOKUP(B1326,小圆机汇总表!A:AP,7,FALSE))</f>
        <v/>
      </c>
      <c r="E1326" s="8" t="str">
        <f>IF(B1326="","",VLOOKUP(B1326,小圆机汇总表!A:AP,5,FALSE))</f>
        <v/>
      </c>
      <c r="F1326" s="8" t="str">
        <f>IF(B1326="","",VLOOKUP(B1326,小圆机汇总表!A:AP,8,FALSE))</f>
        <v/>
      </c>
      <c r="J1326" s="8" t="str">
        <f t="shared" si="29"/>
        <v/>
      </c>
    </row>
    <row r="1327" spans="1:10">
      <c r="A1327" s="4">
        <v>1327</v>
      </c>
      <c r="C1327" s="8" t="str">
        <f>IF(B1327="","",VLOOKUP(B1327,小圆机汇总表!A:AP,2,FALSE))</f>
        <v/>
      </c>
      <c r="D1327" s="8" t="str">
        <f>IF(B1327="","",VLOOKUP(B1327,小圆机汇总表!A:AP,7,FALSE))</f>
        <v/>
      </c>
      <c r="E1327" s="8" t="str">
        <f>IF(B1327="","",VLOOKUP(B1327,小圆机汇总表!A:AP,5,FALSE))</f>
        <v/>
      </c>
      <c r="F1327" s="8" t="str">
        <f>IF(B1327="","",VLOOKUP(B1327,小圆机汇总表!A:AP,8,FALSE))</f>
        <v/>
      </c>
      <c r="J1327" s="8" t="str">
        <f t="shared" si="29"/>
        <v/>
      </c>
    </row>
    <row r="1328" spans="1:10">
      <c r="A1328" s="4">
        <v>1328</v>
      </c>
      <c r="C1328" s="8" t="str">
        <f>IF(B1328="","",VLOOKUP(B1328,小圆机汇总表!A:AP,2,FALSE))</f>
        <v/>
      </c>
      <c r="D1328" s="8" t="str">
        <f>IF(B1328="","",VLOOKUP(B1328,小圆机汇总表!A:AP,7,FALSE))</f>
        <v/>
      </c>
      <c r="E1328" s="8" t="str">
        <f>IF(B1328="","",VLOOKUP(B1328,小圆机汇总表!A:AP,5,FALSE))</f>
        <v/>
      </c>
      <c r="F1328" s="8" t="str">
        <f>IF(B1328="","",VLOOKUP(B1328,小圆机汇总表!A:AP,8,FALSE))</f>
        <v/>
      </c>
      <c r="J1328" s="8" t="str">
        <f t="shared" si="29"/>
        <v/>
      </c>
    </row>
    <row r="1329" spans="1:10">
      <c r="A1329" s="4">
        <v>1329</v>
      </c>
      <c r="C1329" s="8" t="str">
        <f>IF(B1329="","",VLOOKUP(B1329,小圆机汇总表!A:AP,2,FALSE))</f>
        <v/>
      </c>
      <c r="D1329" s="8" t="str">
        <f>IF(B1329="","",VLOOKUP(B1329,小圆机汇总表!A:AP,7,FALSE))</f>
        <v/>
      </c>
      <c r="E1329" s="8" t="str">
        <f>IF(B1329="","",VLOOKUP(B1329,小圆机汇总表!A:AP,5,FALSE))</f>
        <v/>
      </c>
      <c r="F1329" s="8" t="str">
        <f>IF(B1329="","",VLOOKUP(B1329,小圆机汇总表!A:AP,8,FALSE))</f>
        <v/>
      </c>
      <c r="J1329" s="8" t="str">
        <f t="shared" si="29"/>
        <v/>
      </c>
    </row>
    <row r="1330" spans="1:10">
      <c r="A1330" s="4">
        <v>1330</v>
      </c>
      <c r="C1330" s="8" t="str">
        <f>IF(B1330="","",VLOOKUP(B1330,小圆机汇总表!A:AP,2,FALSE))</f>
        <v/>
      </c>
      <c r="D1330" s="8" t="str">
        <f>IF(B1330="","",VLOOKUP(B1330,小圆机汇总表!A:AP,7,FALSE))</f>
        <v/>
      </c>
      <c r="E1330" s="8" t="str">
        <f>IF(B1330="","",VLOOKUP(B1330,小圆机汇总表!A:AP,5,FALSE))</f>
        <v/>
      </c>
      <c r="F1330" s="8" t="str">
        <f>IF(B1330="","",VLOOKUP(B1330,小圆机汇总表!A:AP,8,FALSE))</f>
        <v/>
      </c>
      <c r="J1330" s="8" t="str">
        <f t="shared" si="29"/>
        <v/>
      </c>
    </row>
    <row r="1331" spans="1:10">
      <c r="A1331" s="4">
        <v>1331</v>
      </c>
      <c r="C1331" s="8" t="str">
        <f>IF(B1331="","",VLOOKUP(B1331,小圆机汇总表!A:AP,2,FALSE))</f>
        <v/>
      </c>
      <c r="D1331" s="8" t="str">
        <f>IF(B1331="","",VLOOKUP(B1331,小圆机汇总表!A:AP,7,FALSE))</f>
        <v/>
      </c>
      <c r="E1331" s="8" t="str">
        <f>IF(B1331="","",VLOOKUP(B1331,小圆机汇总表!A:AP,5,FALSE))</f>
        <v/>
      </c>
      <c r="F1331" s="8" t="str">
        <f>IF(B1331="","",VLOOKUP(B1331,小圆机汇总表!A:AP,8,FALSE))</f>
        <v/>
      </c>
      <c r="J1331" s="8" t="str">
        <f t="shared" si="29"/>
        <v/>
      </c>
    </row>
    <row r="1332" spans="1:10">
      <c r="A1332" s="4">
        <v>1332</v>
      </c>
      <c r="C1332" s="8" t="str">
        <f>IF(B1332="","",VLOOKUP(B1332,小圆机汇总表!A:AP,2,FALSE))</f>
        <v/>
      </c>
      <c r="D1332" s="8" t="str">
        <f>IF(B1332="","",VLOOKUP(B1332,小圆机汇总表!A:AP,7,FALSE))</f>
        <v/>
      </c>
      <c r="E1332" s="8" t="str">
        <f>IF(B1332="","",VLOOKUP(B1332,小圆机汇总表!A:AP,5,FALSE))</f>
        <v/>
      </c>
      <c r="F1332" s="8" t="str">
        <f>IF(B1332="","",VLOOKUP(B1332,小圆机汇总表!A:AP,8,FALSE))</f>
        <v/>
      </c>
      <c r="J1332" s="8" t="str">
        <f t="shared" si="29"/>
        <v/>
      </c>
    </row>
    <row r="1333" spans="1:10">
      <c r="A1333" s="4">
        <v>1333</v>
      </c>
      <c r="C1333" s="8" t="str">
        <f>IF(B1333="","",VLOOKUP(B1333,小圆机汇总表!A:AP,2,FALSE))</f>
        <v/>
      </c>
      <c r="D1333" s="8" t="str">
        <f>IF(B1333="","",VLOOKUP(B1333,小圆机汇总表!A:AP,7,FALSE))</f>
        <v/>
      </c>
      <c r="E1333" s="8" t="str">
        <f>IF(B1333="","",VLOOKUP(B1333,小圆机汇总表!A:AP,5,FALSE))</f>
        <v/>
      </c>
      <c r="F1333" s="8" t="str">
        <f>IF(B1333="","",VLOOKUP(B1333,小圆机汇总表!A:AP,8,FALSE))</f>
        <v/>
      </c>
      <c r="J1333" s="8" t="str">
        <f t="shared" si="29"/>
        <v/>
      </c>
    </row>
    <row r="1334" spans="1:10">
      <c r="A1334" s="4">
        <v>1334</v>
      </c>
      <c r="C1334" s="8" t="str">
        <f>IF(B1334="","",VLOOKUP(B1334,小圆机汇总表!A:AP,2,FALSE))</f>
        <v/>
      </c>
      <c r="D1334" s="8" t="str">
        <f>IF(B1334="","",VLOOKUP(B1334,小圆机汇总表!A:AP,7,FALSE))</f>
        <v/>
      </c>
      <c r="E1334" s="8" t="str">
        <f>IF(B1334="","",VLOOKUP(B1334,小圆机汇总表!A:AP,5,FALSE))</f>
        <v/>
      </c>
      <c r="F1334" s="8" t="str">
        <f>IF(B1334="","",VLOOKUP(B1334,小圆机汇总表!A:AP,8,FALSE))</f>
        <v/>
      </c>
      <c r="J1334" s="8" t="str">
        <f t="shared" si="29"/>
        <v/>
      </c>
    </row>
    <row r="1335" spans="1:10">
      <c r="A1335" s="4">
        <v>1335</v>
      </c>
      <c r="C1335" s="8" t="str">
        <f>IF(B1335="","",VLOOKUP(B1335,小圆机汇总表!A:AP,2,FALSE))</f>
        <v/>
      </c>
      <c r="D1335" s="8" t="str">
        <f>IF(B1335="","",VLOOKUP(B1335,小圆机汇总表!A:AP,7,FALSE))</f>
        <v/>
      </c>
      <c r="E1335" s="8" t="str">
        <f>IF(B1335="","",VLOOKUP(B1335,小圆机汇总表!A:AP,5,FALSE))</f>
        <v/>
      </c>
      <c r="F1335" s="8" t="str">
        <f>IF(B1335="","",VLOOKUP(B1335,小圆机汇总表!A:AP,8,FALSE))</f>
        <v/>
      </c>
      <c r="J1335" s="8" t="str">
        <f t="shared" si="29"/>
        <v/>
      </c>
    </row>
    <row r="1336" spans="1:10">
      <c r="A1336" s="4">
        <v>1336</v>
      </c>
      <c r="C1336" s="8" t="str">
        <f>IF(B1336="","",VLOOKUP(B1336,小圆机汇总表!A:AP,2,FALSE))</f>
        <v/>
      </c>
      <c r="D1336" s="8" t="str">
        <f>IF(B1336="","",VLOOKUP(B1336,小圆机汇总表!A:AP,7,FALSE))</f>
        <v/>
      </c>
      <c r="E1336" s="8" t="str">
        <f>IF(B1336="","",VLOOKUP(B1336,小圆机汇总表!A:AP,5,FALSE))</f>
        <v/>
      </c>
      <c r="F1336" s="8" t="str">
        <f>IF(B1336="","",VLOOKUP(B1336,小圆机汇总表!A:AP,8,FALSE))</f>
        <v/>
      </c>
      <c r="J1336" s="8" t="str">
        <f t="shared" si="29"/>
        <v/>
      </c>
    </row>
    <row r="1337" spans="1:10">
      <c r="A1337" s="4">
        <v>1337</v>
      </c>
      <c r="C1337" s="8" t="str">
        <f>IF(B1337="","",VLOOKUP(B1337,小圆机汇总表!A:AP,2,FALSE))</f>
        <v/>
      </c>
      <c r="D1337" s="8" t="str">
        <f>IF(B1337="","",VLOOKUP(B1337,小圆机汇总表!A:AP,7,FALSE))</f>
        <v/>
      </c>
      <c r="E1337" s="8" t="str">
        <f>IF(B1337="","",VLOOKUP(B1337,小圆机汇总表!A:AP,5,FALSE))</f>
        <v/>
      </c>
      <c r="F1337" s="8" t="str">
        <f>IF(B1337="","",VLOOKUP(B1337,小圆机汇总表!A:AP,8,FALSE))</f>
        <v/>
      </c>
      <c r="J1337" s="8" t="str">
        <f t="shared" si="29"/>
        <v/>
      </c>
    </row>
    <row r="1338" spans="1:10">
      <c r="A1338" s="4">
        <v>1338</v>
      </c>
      <c r="C1338" s="8" t="str">
        <f>IF(B1338="","",VLOOKUP(B1338,小圆机汇总表!A:AP,2,FALSE))</f>
        <v/>
      </c>
      <c r="D1338" s="8" t="str">
        <f>IF(B1338="","",VLOOKUP(B1338,小圆机汇总表!A:AP,7,FALSE))</f>
        <v/>
      </c>
      <c r="E1338" s="8" t="str">
        <f>IF(B1338="","",VLOOKUP(B1338,小圆机汇总表!A:AP,5,FALSE))</f>
        <v/>
      </c>
      <c r="F1338" s="8" t="str">
        <f>IF(B1338="","",VLOOKUP(B1338,小圆机汇总表!A:AP,8,FALSE))</f>
        <v/>
      </c>
      <c r="J1338" s="8" t="str">
        <f t="shared" si="29"/>
        <v/>
      </c>
    </row>
    <row r="1339" spans="1:10">
      <c r="A1339" s="4">
        <v>1339</v>
      </c>
      <c r="C1339" s="8" t="str">
        <f>IF(B1339="","",VLOOKUP(B1339,小圆机汇总表!A:AP,2,FALSE))</f>
        <v/>
      </c>
      <c r="D1339" s="8" t="str">
        <f>IF(B1339="","",VLOOKUP(B1339,小圆机汇总表!A:AP,7,FALSE))</f>
        <v/>
      </c>
      <c r="E1339" s="8" t="str">
        <f>IF(B1339="","",VLOOKUP(B1339,小圆机汇总表!A:AP,5,FALSE))</f>
        <v/>
      </c>
      <c r="F1339" s="8" t="str">
        <f>IF(B1339="","",VLOOKUP(B1339,小圆机汇总表!A:AP,8,FALSE))</f>
        <v/>
      </c>
      <c r="J1339" s="8" t="str">
        <f t="shared" si="29"/>
        <v/>
      </c>
    </row>
    <row r="1340" spans="1:10">
      <c r="A1340" s="4">
        <v>1340</v>
      </c>
      <c r="C1340" s="8" t="str">
        <f>IF(B1340="","",VLOOKUP(B1340,小圆机汇总表!A:AP,2,FALSE))</f>
        <v/>
      </c>
      <c r="D1340" s="8" t="str">
        <f>IF(B1340="","",VLOOKUP(B1340,小圆机汇总表!A:AP,7,FALSE))</f>
        <v/>
      </c>
      <c r="E1340" s="8" t="str">
        <f>IF(B1340="","",VLOOKUP(B1340,小圆机汇总表!A:AP,5,FALSE))</f>
        <v/>
      </c>
      <c r="F1340" s="8" t="str">
        <f>IF(B1340="","",VLOOKUP(B1340,小圆机汇总表!A:AP,8,FALSE))</f>
        <v/>
      </c>
      <c r="J1340" s="8" t="str">
        <f t="shared" si="29"/>
        <v/>
      </c>
    </row>
    <row r="1341" spans="1:10">
      <c r="A1341" s="4">
        <v>1341</v>
      </c>
      <c r="C1341" s="8" t="str">
        <f>IF(B1341="","",VLOOKUP(B1341,小圆机汇总表!A:AP,2,FALSE))</f>
        <v/>
      </c>
      <c r="D1341" s="8" t="str">
        <f>IF(B1341="","",VLOOKUP(B1341,小圆机汇总表!A:AP,7,FALSE))</f>
        <v/>
      </c>
      <c r="E1341" s="8" t="str">
        <f>IF(B1341="","",VLOOKUP(B1341,小圆机汇总表!A:AP,5,FALSE))</f>
        <v/>
      </c>
      <c r="F1341" s="8" t="str">
        <f>IF(B1341="","",VLOOKUP(B1341,小圆机汇总表!A:AP,8,FALSE))</f>
        <v/>
      </c>
      <c r="J1341" s="8" t="str">
        <f t="shared" si="29"/>
        <v/>
      </c>
    </row>
    <row r="1342" spans="1:10">
      <c r="A1342" s="4">
        <v>1342</v>
      </c>
      <c r="C1342" s="8" t="str">
        <f>IF(B1342="","",VLOOKUP(B1342,小圆机汇总表!A:AP,2,FALSE))</f>
        <v/>
      </c>
      <c r="D1342" s="8" t="str">
        <f>IF(B1342="","",VLOOKUP(B1342,小圆机汇总表!A:AP,7,FALSE))</f>
        <v/>
      </c>
      <c r="E1342" s="8" t="str">
        <f>IF(B1342="","",VLOOKUP(B1342,小圆机汇总表!A:AP,5,FALSE))</f>
        <v/>
      </c>
      <c r="F1342" s="8" t="str">
        <f>IF(B1342="","",VLOOKUP(B1342,小圆机汇总表!A:AP,8,FALSE))</f>
        <v/>
      </c>
      <c r="J1342" s="8" t="str">
        <f t="shared" si="29"/>
        <v/>
      </c>
    </row>
    <row r="1343" spans="1:10">
      <c r="A1343" s="4">
        <v>1343</v>
      </c>
      <c r="C1343" s="8" t="str">
        <f>IF(B1343="","",VLOOKUP(B1343,小圆机汇总表!A:AP,2,FALSE))</f>
        <v/>
      </c>
      <c r="D1343" s="8" t="str">
        <f>IF(B1343="","",VLOOKUP(B1343,小圆机汇总表!A:AP,7,FALSE))</f>
        <v/>
      </c>
      <c r="E1343" s="8" t="str">
        <f>IF(B1343="","",VLOOKUP(B1343,小圆机汇总表!A:AP,5,FALSE))</f>
        <v/>
      </c>
      <c r="F1343" s="8" t="str">
        <f>IF(B1343="","",VLOOKUP(B1343,小圆机汇总表!A:AP,8,FALSE))</f>
        <v/>
      </c>
      <c r="J1343" s="8" t="str">
        <f t="shared" si="29"/>
        <v/>
      </c>
    </row>
    <row r="1344" spans="1:10">
      <c r="A1344" s="4">
        <v>1344</v>
      </c>
      <c r="C1344" s="8" t="str">
        <f>IF(B1344="","",VLOOKUP(B1344,小圆机汇总表!A:AP,2,FALSE))</f>
        <v/>
      </c>
      <c r="D1344" s="8" t="str">
        <f>IF(B1344="","",VLOOKUP(B1344,小圆机汇总表!A:AP,7,FALSE))</f>
        <v/>
      </c>
      <c r="E1344" s="8" t="str">
        <f>IF(B1344="","",VLOOKUP(B1344,小圆机汇总表!A:AP,5,FALSE))</f>
        <v/>
      </c>
      <c r="F1344" s="8" t="str">
        <f>IF(B1344="","",VLOOKUP(B1344,小圆机汇总表!A:AP,8,FALSE))</f>
        <v/>
      </c>
      <c r="J1344" s="8" t="str">
        <f t="shared" si="29"/>
        <v/>
      </c>
    </row>
    <row r="1345" spans="1:10">
      <c r="A1345" s="4">
        <v>1345</v>
      </c>
      <c r="C1345" s="8" t="str">
        <f>IF(B1345="","",VLOOKUP(B1345,小圆机汇总表!A:AP,2,FALSE))</f>
        <v/>
      </c>
      <c r="D1345" s="8" t="str">
        <f>IF(B1345="","",VLOOKUP(B1345,小圆机汇总表!A:AP,7,FALSE))</f>
        <v/>
      </c>
      <c r="E1345" s="8" t="str">
        <f>IF(B1345="","",VLOOKUP(B1345,小圆机汇总表!A:AP,5,FALSE))</f>
        <v/>
      </c>
      <c r="F1345" s="8" t="str">
        <f>IF(B1345="","",VLOOKUP(B1345,小圆机汇总表!A:AP,8,FALSE))</f>
        <v/>
      </c>
      <c r="J1345" s="8" t="str">
        <f t="shared" si="29"/>
        <v/>
      </c>
    </row>
    <row r="1346" spans="1:10">
      <c r="A1346" s="4">
        <v>1346</v>
      </c>
      <c r="C1346" s="8" t="str">
        <f>IF(B1346="","",VLOOKUP(B1346,小圆机汇总表!A:AP,2,FALSE))</f>
        <v/>
      </c>
      <c r="D1346" s="8" t="str">
        <f>IF(B1346="","",VLOOKUP(B1346,小圆机汇总表!A:AP,7,FALSE))</f>
        <v/>
      </c>
      <c r="E1346" s="8" t="str">
        <f>IF(B1346="","",VLOOKUP(B1346,小圆机汇总表!A:AP,5,FALSE))</f>
        <v/>
      </c>
      <c r="F1346" s="8" t="str">
        <f>IF(B1346="","",VLOOKUP(B1346,小圆机汇总表!A:AP,8,FALSE))</f>
        <v/>
      </c>
      <c r="J1346" s="8" t="str">
        <f t="shared" si="29"/>
        <v/>
      </c>
    </row>
    <row r="1347" spans="1:10">
      <c r="A1347" s="4">
        <v>1347</v>
      </c>
      <c r="C1347" s="8" t="str">
        <f>IF(B1347="","",VLOOKUP(B1347,小圆机汇总表!A:AP,2,FALSE))</f>
        <v/>
      </c>
      <c r="D1347" s="8" t="str">
        <f>IF(B1347="","",VLOOKUP(B1347,小圆机汇总表!A:AP,7,FALSE))</f>
        <v/>
      </c>
      <c r="E1347" s="8" t="str">
        <f>IF(B1347="","",VLOOKUP(B1347,小圆机汇总表!A:AP,5,FALSE))</f>
        <v/>
      </c>
      <c r="F1347" s="8" t="str">
        <f>IF(B1347="","",VLOOKUP(B1347,小圆机汇总表!A:AP,8,FALSE))</f>
        <v/>
      </c>
      <c r="J1347" s="8" t="str">
        <f t="shared" si="29"/>
        <v/>
      </c>
    </row>
    <row r="1348" spans="1:10">
      <c r="A1348" s="4">
        <v>1348</v>
      </c>
      <c r="C1348" s="8" t="str">
        <f>IF(B1348="","",VLOOKUP(B1348,小圆机汇总表!A:AP,2,FALSE))</f>
        <v/>
      </c>
      <c r="D1348" s="8" t="str">
        <f>IF(B1348="","",VLOOKUP(B1348,小圆机汇总表!A:AP,7,FALSE))</f>
        <v/>
      </c>
      <c r="E1348" s="8" t="str">
        <f>IF(B1348="","",VLOOKUP(B1348,小圆机汇总表!A:AP,5,FALSE))</f>
        <v/>
      </c>
      <c r="F1348" s="8" t="str">
        <f>IF(B1348="","",VLOOKUP(B1348,小圆机汇总表!A:AP,8,FALSE))</f>
        <v/>
      </c>
      <c r="J1348" s="8" t="str">
        <f t="shared" si="29"/>
        <v/>
      </c>
    </row>
    <row r="1349" spans="1:10">
      <c r="A1349" s="4">
        <v>1349</v>
      </c>
      <c r="C1349" s="8" t="str">
        <f>IF(B1349="","",VLOOKUP(B1349,小圆机汇总表!A:AP,2,FALSE))</f>
        <v/>
      </c>
      <c r="D1349" s="8" t="str">
        <f>IF(B1349="","",VLOOKUP(B1349,小圆机汇总表!A:AP,7,FALSE))</f>
        <v/>
      </c>
      <c r="E1349" s="8" t="str">
        <f>IF(B1349="","",VLOOKUP(B1349,小圆机汇总表!A:AP,5,FALSE))</f>
        <v/>
      </c>
      <c r="F1349" s="8" t="str">
        <f>IF(B1349="","",VLOOKUP(B1349,小圆机汇总表!A:AP,8,FALSE))</f>
        <v/>
      </c>
      <c r="J1349" s="8" t="str">
        <f t="shared" si="29"/>
        <v/>
      </c>
    </row>
    <row r="1350" spans="1:10">
      <c r="A1350" s="4">
        <v>1350</v>
      </c>
      <c r="C1350" s="8" t="str">
        <f>IF(B1350="","",VLOOKUP(B1350,小圆机汇总表!A:AP,2,FALSE))</f>
        <v/>
      </c>
      <c r="D1350" s="8" t="str">
        <f>IF(B1350="","",VLOOKUP(B1350,小圆机汇总表!A:AP,7,FALSE))</f>
        <v/>
      </c>
      <c r="E1350" s="8" t="str">
        <f>IF(B1350="","",VLOOKUP(B1350,小圆机汇总表!A:AP,5,FALSE))</f>
        <v/>
      </c>
      <c r="F1350" s="8" t="str">
        <f>IF(B1350="","",VLOOKUP(B1350,小圆机汇总表!A:AP,8,FALSE))</f>
        <v/>
      </c>
      <c r="J1350" s="8" t="str">
        <f t="shared" si="29"/>
        <v/>
      </c>
    </row>
    <row r="1351" spans="1:10">
      <c r="A1351" s="4">
        <v>1351</v>
      </c>
      <c r="C1351" s="8" t="str">
        <f>IF(B1351="","",VLOOKUP(B1351,小圆机汇总表!A:AP,2,FALSE))</f>
        <v/>
      </c>
      <c r="D1351" s="8" t="str">
        <f>IF(B1351="","",VLOOKUP(B1351,小圆机汇总表!A:AP,7,FALSE))</f>
        <v/>
      </c>
      <c r="E1351" s="8" t="str">
        <f>IF(B1351="","",VLOOKUP(B1351,小圆机汇总表!A:AP,5,FALSE))</f>
        <v/>
      </c>
      <c r="F1351" s="8" t="str">
        <f>IF(B1351="","",VLOOKUP(B1351,小圆机汇总表!A:AP,8,FALSE))</f>
        <v/>
      </c>
      <c r="J1351" s="8" t="str">
        <f t="shared" si="29"/>
        <v/>
      </c>
    </row>
    <row r="1352" spans="1:10">
      <c r="A1352" s="4">
        <v>1352</v>
      </c>
      <c r="C1352" s="8" t="str">
        <f>IF(B1352="","",VLOOKUP(B1352,小圆机汇总表!A:AP,2,FALSE))</f>
        <v/>
      </c>
      <c r="D1352" s="8" t="str">
        <f>IF(B1352="","",VLOOKUP(B1352,小圆机汇总表!A:AP,7,FALSE))</f>
        <v/>
      </c>
      <c r="E1352" s="8" t="str">
        <f>IF(B1352="","",VLOOKUP(B1352,小圆机汇总表!A:AP,5,FALSE))</f>
        <v/>
      </c>
      <c r="F1352" s="8" t="str">
        <f>IF(B1352="","",VLOOKUP(B1352,小圆机汇总表!A:AP,8,FALSE))</f>
        <v/>
      </c>
      <c r="J1352" s="8" t="str">
        <f t="shared" si="29"/>
        <v/>
      </c>
    </row>
    <row r="1353" spans="1:10">
      <c r="A1353" s="4">
        <v>1353</v>
      </c>
      <c r="C1353" s="8" t="str">
        <f>IF(B1353="","",VLOOKUP(B1353,小圆机汇总表!A:AP,2,FALSE))</f>
        <v/>
      </c>
      <c r="D1353" s="8" t="str">
        <f>IF(B1353="","",VLOOKUP(B1353,小圆机汇总表!A:AP,7,FALSE))</f>
        <v/>
      </c>
      <c r="E1353" s="8" t="str">
        <f>IF(B1353="","",VLOOKUP(B1353,小圆机汇总表!A:AP,5,FALSE))</f>
        <v/>
      </c>
      <c r="F1353" s="8" t="str">
        <f>IF(B1353="","",VLOOKUP(B1353,小圆机汇总表!A:AP,8,FALSE))</f>
        <v/>
      </c>
      <c r="J1353" s="8" t="str">
        <f t="shared" si="29"/>
        <v/>
      </c>
    </row>
    <row r="1354" spans="1:10">
      <c r="A1354" s="4">
        <v>1354</v>
      </c>
      <c r="C1354" s="8" t="str">
        <f>IF(B1354="","",VLOOKUP(B1354,小圆机汇总表!A:AP,2,FALSE))</f>
        <v/>
      </c>
      <c r="D1354" s="8" t="str">
        <f>IF(B1354="","",VLOOKUP(B1354,小圆机汇总表!A:AP,7,FALSE))</f>
        <v/>
      </c>
      <c r="E1354" s="8" t="str">
        <f>IF(B1354="","",VLOOKUP(B1354,小圆机汇总表!A:AP,5,FALSE))</f>
        <v/>
      </c>
      <c r="F1354" s="8" t="str">
        <f>IF(B1354="","",VLOOKUP(B1354,小圆机汇总表!A:AP,8,FALSE))</f>
        <v/>
      </c>
      <c r="J1354" s="8" t="str">
        <f t="shared" si="29"/>
        <v/>
      </c>
    </row>
    <row r="1355" spans="1:10">
      <c r="A1355" s="4">
        <v>1355</v>
      </c>
      <c r="C1355" s="8" t="str">
        <f>IF(B1355="","",VLOOKUP(B1355,小圆机汇总表!A:AP,2,FALSE))</f>
        <v/>
      </c>
      <c r="D1355" s="8" t="str">
        <f>IF(B1355="","",VLOOKUP(B1355,小圆机汇总表!A:AP,7,FALSE))</f>
        <v/>
      </c>
      <c r="E1355" s="8" t="str">
        <f>IF(B1355="","",VLOOKUP(B1355,小圆机汇总表!A:AP,5,FALSE))</f>
        <v/>
      </c>
      <c r="F1355" s="8" t="str">
        <f>IF(B1355="","",VLOOKUP(B1355,小圆机汇总表!A:AP,8,FALSE))</f>
        <v/>
      </c>
      <c r="J1355" s="8" t="str">
        <f t="shared" si="29"/>
        <v/>
      </c>
    </row>
    <row r="1356" spans="1:10">
      <c r="A1356" s="4">
        <v>1356</v>
      </c>
      <c r="C1356" s="8" t="str">
        <f>IF(B1356="","",VLOOKUP(B1356,小圆机汇总表!A:AP,2,FALSE))</f>
        <v/>
      </c>
      <c r="D1356" s="8" t="str">
        <f>IF(B1356="","",VLOOKUP(B1356,小圆机汇总表!A:AP,7,FALSE))</f>
        <v/>
      </c>
      <c r="E1356" s="8" t="str">
        <f>IF(B1356="","",VLOOKUP(B1356,小圆机汇总表!A:AP,5,FALSE))</f>
        <v/>
      </c>
      <c r="F1356" s="8" t="str">
        <f>IF(B1356="","",VLOOKUP(B1356,小圆机汇总表!A:AP,8,FALSE))</f>
        <v/>
      </c>
      <c r="J1356" s="8" t="str">
        <f t="shared" si="29"/>
        <v/>
      </c>
    </row>
    <row r="1357" spans="1:10">
      <c r="A1357" s="4">
        <v>1357</v>
      </c>
      <c r="C1357" s="8" t="str">
        <f>IF(B1357="","",VLOOKUP(B1357,小圆机汇总表!A:AP,2,FALSE))</f>
        <v/>
      </c>
      <c r="D1357" s="8" t="str">
        <f>IF(B1357="","",VLOOKUP(B1357,小圆机汇总表!A:AP,7,FALSE))</f>
        <v/>
      </c>
      <c r="E1357" s="8" t="str">
        <f>IF(B1357="","",VLOOKUP(B1357,小圆机汇总表!A:AP,5,FALSE))</f>
        <v/>
      </c>
      <c r="F1357" s="8" t="str">
        <f>IF(B1357="","",VLOOKUP(B1357,小圆机汇总表!A:AP,8,FALSE))</f>
        <v/>
      </c>
      <c r="J1357" s="8" t="str">
        <f t="shared" si="29"/>
        <v/>
      </c>
    </row>
    <row r="1358" spans="1:10">
      <c r="A1358" s="4">
        <v>1358</v>
      </c>
      <c r="C1358" s="8" t="str">
        <f>IF(B1358="","",VLOOKUP(B1358,小圆机汇总表!A:AP,2,FALSE))</f>
        <v/>
      </c>
      <c r="D1358" s="8" t="str">
        <f>IF(B1358="","",VLOOKUP(B1358,小圆机汇总表!A:AP,7,FALSE))</f>
        <v/>
      </c>
      <c r="E1358" s="8" t="str">
        <f>IF(B1358="","",VLOOKUP(B1358,小圆机汇总表!A:AP,5,FALSE))</f>
        <v/>
      </c>
      <c r="F1358" s="8" t="str">
        <f>IF(B1358="","",VLOOKUP(B1358,小圆机汇总表!A:AP,8,FALSE))</f>
        <v/>
      </c>
      <c r="J1358" s="8" t="str">
        <f t="shared" si="29"/>
        <v/>
      </c>
    </row>
    <row r="1359" spans="1:10">
      <c r="A1359" s="4">
        <v>1359</v>
      </c>
      <c r="C1359" s="8" t="str">
        <f>IF(B1359="","",VLOOKUP(B1359,小圆机汇总表!A:AP,2,FALSE))</f>
        <v/>
      </c>
      <c r="D1359" s="8" t="str">
        <f>IF(B1359="","",VLOOKUP(B1359,小圆机汇总表!A:AP,7,FALSE))</f>
        <v/>
      </c>
      <c r="E1359" s="8" t="str">
        <f>IF(B1359="","",VLOOKUP(B1359,小圆机汇总表!A:AP,5,FALSE))</f>
        <v/>
      </c>
      <c r="F1359" s="8" t="str">
        <f>IF(B1359="","",VLOOKUP(B1359,小圆机汇总表!A:AP,8,FALSE))</f>
        <v/>
      </c>
      <c r="J1359" s="8" t="str">
        <f t="shared" si="29"/>
        <v/>
      </c>
    </row>
    <row r="1360" spans="1:10">
      <c r="A1360" s="4">
        <v>1360</v>
      </c>
      <c r="C1360" s="8" t="str">
        <f>IF(B1360="","",VLOOKUP(B1360,小圆机汇总表!A:AP,2,FALSE))</f>
        <v/>
      </c>
      <c r="D1360" s="8" t="str">
        <f>IF(B1360="","",VLOOKUP(B1360,小圆机汇总表!A:AP,7,FALSE))</f>
        <v/>
      </c>
      <c r="E1360" s="8" t="str">
        <f>IF(B1360="","",VLOOKUP(B1360,小圆机汇总表!A:AP,5,FALSE))</f>
        <v/>
      </c>
      <c r="F1360" s="8" t="str">
        <f>IF(B1360="","",VLOOKUP(B1360,小圆机汇总表!A:AP,8,FALSE))</f>
        <v/>
      </c>
      <c r="J1360" s="8" t="str">
        <f t="shared" si="29"/>
        <v/>
      </c>
    </row>
    <row r="1361" spans="1:10">
      <c r="A1361" s="4">
        <v>1361</v>
      </c>
      <c r="C1361" s="8" t="str">
        <f>IF(B1361="","",VLOOKUP(B1361,小圆机汇总表!A:AP,2,FALSE))</f>
        <v/>
      </c>
      <c r="D1361" s="8" t="str">
        <f>IF(B1361="","",VLOOKUP(B1361,小圆机汇总表!A:AP,7,FALSE))</f>
        <v/>
      </c>
      <c r="E1361" s="8" t="str">
        <f>IF(B1361="","",VLOOKUP(B1361,小圆机汇总表!A:AP,5,FALSE))</f>
        <v/>
      </c>
      <c r="F1361" s="8" t="str">
        <f>IF(B1361="","",VLOOKUP(B1361,小圆机汇总表!A:AP,8,FALSE))</f>
        <v/>
      </c>
      <c r="J1361" s="8" t="str">
        <f t="shared" si="29"/>
        <v/>
      </c>
    </row>
    <row r="1362" spans="1:10">
      <c r="A1362" s="4">
        <v>1362</v>
      </c>
      <c r="C1362" s="8" t="str">
        <f>IF(B1362="","",VLOOKUP(B1362,小圆机汇总表!A:AP,2,FALSE))</f>
        <v/>
      </c>
      <c r="D1362" s="8" t="str">
        <f>IF(B1362="","",VLOOKUP(B1362,小圆机汇总表!A:AP,7,FALSE))</f>
        <v/>
      </c>
      <c r="E1362" s="8" t="str">
        <f>IF(B1362="","",VLOOKUP(B1362,小圆机汇总表!A:AP,5,FALSE))</f>
        <v/>
      </c>
      <c r="F1362" s="8" t="str">
        <f>IF(B1362="","",VLOOKUP(B1362,小圆机汇总表!A:AP,8,FALSE))</f>
        <v/>
      </c>
      <c r="J1362" s="8" t="str">
        <f t="shared" si="29"/>
        <v/>
      </c>
    </row>
    <row r="1363" spans="1:10">
      <c r="A1363" s="4">
        <v>1363</v>
      </c>
      <c r="C1363" s="8" t="str">
        <f>IF(B1363="","",VLOOKUP(B1363,小圆机汇总表!A:AP,2,FALSE))</f>
        <v/>
      </c>
      <c r="D1363" s="8" t="str">
        <f>IF(B1363="","",VLOOKUP(B1363,小圆机汇总表!A:AP,7,FALSE))</f>
        <v/>
      </c>
      <c r="E1363" s="8" t="str">
        <f>IF(B1363="","",VLOOKUP(B1363,小圆机汇总表!A:AP,5,FALSE))</f>
        <v/>
      </c>
      <c r="F1363" s="8" t="str">
        <f>IF(B1363="","",VLOOKUP(B1363,小圆机汇总表!A:AP,8,FALSE))</f>
        <v/>
      </c>
      <c r="J1363" s="8" t="str">
        <f t="shared" si="29"/>
        <v/>
      </c>
    </row>
    <row r="1364" spans="1:10">
      <c r="A1364" s="4">
        <v>1364</v>
      </c>
      <c r="C1364" s="8" t="str">
        <f>IF(B1364="","",VLOOKUP(B1364,小圆机汇总表!A:AP,2,FALSE))</f>
        <v/>
      </c>
      <c r="D1364" s="8" t="str">
        <f>IF(B1364="","",VLOOKUP(B1364,小圆机汇总表!A:AP,7,FALSE))</f>
        <v/>
      </c>
      <c r="E1364" s="8" t="str">
        <f>IF(B1364="","",VLOOKUP(B1364,小圆机汇总表!A:AP,5,FALSE))</f>
        <v/>
      </c>
      <c r="F1364" s="8" t="str">
        <f>IF(B1364="","",VLOOKUP(B1364,小圆机汇总表!A:AP,8,FALSE))</f>
        <v/>
      </c>
      <c r="J1364" s="8" t="str">
        <f t="shared" si="29"/>
        <v/>
      </c>
    </row>
    <row r="1365" spans="1:10">
      <c r="A1365" s="4">
        <v>1365</v>
      </c>
      <c r="C1365" s="8" t="str">
        <f>IF(B1365="","",VLOOKUP(B1365,小圆机汇总表!A:AP,2,FALSE))</f>
        <v/>
      </c>
      <c r="D1365" s="8" t="str">
        <f>IF(B1365="","",VLOOKUP(B1365,小圆机汇总表!A:AP,7,FALSE))</f>
        <v/>
      </c>
      <c r="E1365" s="8" t="str">
        <f>IF(B1365="","",VLOOKUP(B1365,小圆机汇总表!A:AP,5,FALSE))</f>
        <v/>
      </c>
      <c r="F1365" s="8" t="str">
        <f>IF(B1365="","",VLOOKUP(B1365,小圆机汇总表!A:AP,8,FALSE))</f>
        <v/>
      </c>
      <c r="J1365" s="8" t="str">
        <f t="shared" si="29"/>
        <v/>
      </c>
    </row>
    <row r="1366" spans="1:10">
      <c r="A1366" s="4">
        <v>1366</v>
      </c>
      <c r="C1366" s="8" t="str">
        <f>IF(B1366="","",VLOOKUP(B1366,小圆机汇总表!A:AP,2,FALSE))</f>
        <v/>
      </c>
      <c r="D1366" s="8" t="str">
        <f>IF(B1366="","",VLOOKUP(B1366,小圆机汇总表!A:AP,7,FALSE))</f>
        <v/>
      </c>
      <c r="E1366" s="8" t="str">
        <f>IF(B1366="","",VLOOKUP(B1366,小圆机汇总表!A:AP,5,FALSE))</f>
        <v/>
      </c>
      <c r="F1366" s="8" t="str">
        <f>IF(B1366="","",VLOOKUP(B1366,小圆机汇总表!A:AP,8,FALSE))</f>
        <v/>
      </c>
      <c r="J1366" s="8" t="str">
        <f t="shared" si="29"/>
        <v/>
      </c>
    </row>
    <row r="1367" spans="1:10">
      <c r="A1367" s="4">
        <v>1367</v>
      </c>
      <c r="C1367" s="8" t="str">
        <f>IF(B1367="","",VLOOKUP(B1367,小圆机汇总表!A:AP,2,FALSE))</f>
        <v/>
      </c>
      <c r="D1367" s="8" t="str">
        <f>IF(B1367="","",VLOOKUP(B1367,小圆机汇总表!A:AP,7,FALSE))</f>
        <v/>
      </c>
      <c r="E1367" s="8" t="str">
        <f>IF(B1367="","",VLOOKUP(B1367,小圆机汇总表!A:AP,5,FALSE))</f>
        <v/>
      </c>
      <c r="F1367" s="8" t="str">
        <f>IF(B1367="","",VLOOKUP(B1367,小圆机汇总表!A:AP,8,FALSE))</f>
        <v/>
      </c>
      <c r="J1367" s="8" t="str">
        <f t="shared" si="29"/>
        <v/>
      </c>
    </row>
    <row r="1368" spans="1:10">
      <c r="A1368" s="4">
        <v>1368</v>
      </c>
      <c r="C1368" s="8" t="str">
        <f>IF(B1368="","",VLOOKUP(B1368,小圆机汇总表!A:AP,2,FALSE))</f>
        <v/>
      </c>
      <c r="D1368" s="8" t="str">
        <f>IF(B1368="","",VLOOKUP(B1368,小圆机汇总表!A:AP,7,FALSE))</f>
        <v/>
      </c>
      <c r="E1368" s="8" t="str">
        <f>IF(B1368="","",VLOOKUP(B1368,小圆机汇总表!A:AP,5,FALSE))</f>
        <v/>
      </c>
      <c r="F1368" s="8" t="str">
        <f>IF(B1368="","",VLOOKUP(B1368,小圆机汇总表!A:AP,8,FALSE))</f>
        <v/>
      </c>
      <c r="J1368" s="8" t="str">
        <f t="shared" si="29"/>
        <v/>
      </c>
    </row>
    <row r="1369" spans="1:10">
      <c r="A1369" s="4">
        <v>1369</v>
      </c>
      <c r="C1369" s="8" t="str">
        <f>IF(B1369="","",VLOOKUP(B1369,小圆机汇总表!A:AP,2,FALSE))</f>
        <v/>
      </c>
      <c r="D1369" s="8" t="str">
        <f>IF(B1369="","",VLOOKUP(B1369,小圆机汇总表!A:AP,7,FALSE))</f>
        <v/>
      </c>
      <c r="E1369" s="8" t="str">
        <f>IF(B1369="","",VLOOKUP(B1369,小圆机汇总表!A:AP,5,FALSE))</f>
        <v/>
      </c>
      <c r="F1369" s="8" t="str">
        <f>IF(B1369="","",VLOOKUP(B1369,小圆机汇总表!A:AP,8,FALSE))</f>
        <v/>
      </c>
      <c r="J1369" s="8" t="str">
        <f t="shared" si="29"/>
        <v/>
      </c>
    </row>
    <row r="1370" spans="1:10">
      <c r="A1370" s="4">
        <v>1370</v>
      </c>
      <c r="C1370" s="8" t="str">
        <f>IF(B1370="","",VLOOKUP(B1370,小圆机汇总表!A:AP,2,FALSE))</f>
        <v/>
      </c>
      <c r="D1370" s="8" t="str">
        <f>IF(B1370="","",VLOOKUP(B1370,小圆机汇总表!A:AP,7,FALSE))</f>
        <v/>
      </c>
      <c r="E1370" s="8" t="str">
        <f>IF(B1370="","",VLOOKUP(B1370,小圆机汇总表!A:AP,5,FALSE))</f>
        <v/>
      </c>
      <c r="F1370" s="8" t="str">
        <f>IF(B1370="","",VLOOKUP(B1370,小圆机汇总表!A:AP,8,FALSE))</f>
        <v/>
      </c>
      <c r="J1370" s="8" t="str">
        <f t="shared" si="29"/>
        <v/>
      </c>
    </row>
    <row r="1371" spans="1:10">
      <c r="A1371" s="4">
        <v>1371</v>
      </c>
      <c r="C1371" s="8" t="str">
        <f>IF(B1371="","",VLOOKUP(B1371,小圆机汇总表!A:AP,2,FALSE))</f>
        <v/>
      </c>
      <c r="D1371" s="8" t="str">
        <f>IF(B1371="","",VLOOKUP(B1371,小圆机汇总表!A:AP,7,FALSE))</f>
        <v/>
      </c>
      <c r="E1371" s="8" t="str">
        <f>IF(B1371="","",VLOOKUP(B1371,小圆机汇总表!A:AP,5,FALSE))</f>
        <v/>
      </c>
      <c r="F1371" s="8" t="str">
        <f>IF(B1371="","",VLOOKUP(B1371,小圆机汇总表!A:AP,8,FALSE))</f>
        <v/>
      </c>
      <c r="J1371" s="8" t="str">
        <f t="shared" si="29"/>
        <v/>
      </c>
    </row>
    <row r="1372" spans="1:10">
      <c r="A1372" s="4">
        <v>1372</v>
      </c>
      <c r="C1372" s="8" t="str">
        <f>IF(B1372="","",VLOOKUP(B1372,小圆机汇总表!A:AP,2,FALSE))</f>
        <v/>
      </c>
      <c r="D1372" s="8" t="str">
        <f>IF(B1372="","",VLOOKUP(B1372,小圆机汇总表!A:AP,7,FALSE))</f>
        <v/>
      </c>
      <c r="E1372" s="8" t="str">
        <f>IF(B1372="","",VLOOKUP(B1372,小圆机汇总表!A:AP,5,FALSE))</f>
        <v/>
      </c>
      <c r="F1372" s="8" t="str">
        <f>IF(B1372="","",VLOOKUP(B1372,小圆机汇总表!A:AP,8,FALSE))</f>
        <v/>
      </c>
      <c r="J1372" s="8" t="str">
        <f t="shared" si="29"/>
        <v/>
      </c>
    </row>
    <row r="1373" spans="1:10">
      <c r="A1373" s="4">
        <v>1373</v>
      </c>
      <c r="C1373" s="8" t="str">
        <f>IF(B1373="","",VLOOKUP(B1373,小圆机汇总表!A:AP,2,FALSE))</f>
        <v/>
      </c>
      <c r="D1373" s="8" t="str">
        <f>IF(B1373="","",VLOOKUP(B1373,小圆机汇总表!A:AP,7,FALSE))</f>
        <v/>
      </c>
      <c r="E1373" s="8" t="str">
        <f>IF(B1373="","",VLOOKUP(B1373,小圆机汇总表!A:AP,5,FALSE))</f>
        <v/>
      </c>
      <c r="F1373" s="8" t="str">
        <f>IF(B1373="","",VLOOKUP(B1373,小圆机汇总表!A:AP,8,FALSE))</f>
        <v/>
      </c>
      <c r="J1373" s="8" t="str">
        <f t="shared" si="29"/>
        <v/>
      </c>
    </row>
    <row r="1374" spans="1:10">
      <c r="A1374" s="4">
        <v>1374</v>
      </c>
      <c r="C1374" s="8" t="str">
        <f>IF(B1374="","",VLOOKUP(B1374,小圆机汇总表!A:AP,2,FALSE))</f>
        <v/>
      </c>
      <c r="D1374" s="8" t="str">
        <f>IF(B1374="","",VLOOKUP(B1374,小圆机汇总表!A:AP,7,FALSE))</f>
        <v/>
      </c>
      <c r="E1374" s="8" t="str">
        <f>IF(B1374="","",VLOOKUP(B1374,小圆机汇总表!A:AP,5,FALSE))</f>
        <v/>
      </c>
      <c r="F1374" s="8" t="str">
        <f>IF(B1374="","",VLOOKUP(B1374,小圆机汇总表!A:AP,8,FALSE))</f>
        <v/>
      </c>
      <c r="J1374" s="8" t="str">
        <f t="shared" si="29"/>
        <v/>
      </c>
    </row>
    <row r="1375" spans="1:10">
      <c r="A1375" s="4">
        <v>1375</v>
      </c>
      <c r="C1375" s="8" t="str">
        <f>IF(B1375="","",VLOOKUP(B1375,小圆机汇总表!A:AP,2,FALSE))</f>
        <v/>
      </c>
      <c r="D1375" s="8" t="str">
        <f>IF(B1375="","",VLOOKUP(B1375,小圆机汇总表!A:AP,7,FALSE))</f>
        <v/>
      </c>
      <c r="E1375" s="8" t="str">
        <f>IF(B1375="","",VLOOKUP(B1375,小圆机汇总表!A:AP,5,FALSE))</f>
        <v/>
      </c>
      <c r="F1375" s="8" t="str">
        <f>IF(B1375="","",VLOOKUP(B1375,小圆机汇总表!A:AP,8,FALSE))</f>
        <v/>
      </c>
      <c r="J1375" s="8" t="str">
        <f t="shared" si="29"/>
        <v/>
      </c>
    </row>
    <row r="1376" spans="1:10">
      <c r="A1376" s="4">
        <v>1376</v>
      </c>
      <c r="C1376" s="8" t="str">
        <f>IF(B1376="","",VLOOKUP(B1376,小圆机汇总表!A:AP,2,FALSE))</f>
        <v/>
      </c>
      <c r="D1376" s="8" t="str">
        <f>IF(B1376="","",VLOOKUP(B1376,小圆机汇总表!A:AP,7,FALSE))</f>
        <v/>
      </c>
      <c r="E1376" s="8" t="str">
        <f>IF(B1376="","",VLOOKUP(B1376,小圆机汇总表!A:AP,5,FALSE))</f>
        <v/>
      </c>
      <c r="F1376" s="8" t="str">
        <f>IF(B1376="","",VLOOKUP(B1376,小圆机汇总表!A:AP,8,FALSE))</f>
        <v/>
      </c>
      <c r="J1376" s="8" t="str">
        <f t="shared" si="29"/>
        <v/>
      </c>
    </row>
    <row r="1377" spans="1:10">
      <c r="A1377" s="4">
        <v>1377</v>
      </c>
      <c r="C1377" s="8" t="str">
        <f>IF(B1377="","",VLOOKUP(B1377,小圆机汇总表!A:AP,2,FALSE))</f>
        <v/>
      </c>
      <c r="D1377" s="8" t="str">
        <f>IF(B1377="","",VLOOKUP(B1377,小圆机汇总表!A:AP,7,FALSE))</f>
        <v/>
      </c>
      <c r="E1377" s="8" t="str">
        <f>IF(B1377="","",VLOOKUP(B1377,小圆机汇总表!A:AP,5,FALSE))</f>
        <v/>
      </c>
      <c r="F1377" s="8" t="str">
        <f>IF(B1377="","",VLOOKUP(B1377,小圆机汇总表!A:AP,8,FALSE))</f>
        <v/>
      </c>
      <c r="J1377" s="8" t="str">
        <f t="shared" si="29"/>
        <v/>
      </c>
    </row>
    <row r="1378" spans="1:10">
      <c r="A1378" s="4">
        <v>1378</v>
      </c>
      <c r="C1378" s="8" t="str">
        <f>IF(B1378="","",VLOOKUP(B1378,小圆机汇总表!A:AP,2,FALSE))</f>
        <v/>
      </c>
      <c r="D1378" s="8" t="str">
        <f>IF(B1378="","",VLOOKUP(B1378,小圆机汇总表!A:AP,7,FALSE))</f>
        <v/>
      </c>
      <c r="E1378" s="8" t="str">
        <f>IF(B1378="","",VLOOKUP(B1378,小圆机汇总表!A:AP,5,FALSE))</f>
        <v/>
      </c>
      <c r="F1378" s="8" t="str">
        <f>IF(B1378="","",VLOOKUP(B1378,小圆机汇总表!A:AP,8,FALSE))</f>
        <v/>
      </c>
      <c r="J1378" s="8" t="str">
        <f t="shared" si="29"/>
        <v/>
      </c>
    </row>
    <row r="1379" spans="1:10">
      <c r="A1379" s="4">
        <v>1379</v>
      </c>
      <c r="C1379" s="8" t="str">
        <f>IF(B1379="","",VLOOKUP(B1379,小圆机汇总表!A:AP,2,FALSE))</f>
        <v/>
      </c>
      <c r="D1379" s="8" t="str">
        <f>IF(B1379="","",VLOOKUP(B1379,小圆机汇总表!A:AP,7,FALSE))</f>
        <v/>
      </c>
      <c r="E1379" s="8" t="str">
        <f>IF(B1379="","",VLOOKUP(B1379,小圆机汇总表!A:AP,5,FALSE))</f>
        <v/>
      </c>
      <c r="F1379" s="8" t="str">
        <f>IF(B1379="","",VLOOKUP(B1379,小圆机汇总表!A:AP,8,FALSE))</f>
        <v/>
      </c>
      <c r="J1379" s="8" t="str">
        <f t="shared" ref="J1379:J1442" si="30">IF(B1379="","",MONTH(G1379))</f>
        <v/>
      </c>
    </row>
    <row r="1380" spans="1:10">
      <c r="A1380" s="4">
        <v>1380</v>
      </c>
      <c r="C1380" s="8" t="str">
        <f>IF(B1380="","",VLOOKUP(B1380,小圆机汇总表!A:AP,2,FALSE))</f>
        <v/>
      </c>
      <c r="D1380" s="8" t="str">
        <f>IF(B1380="","",VLOOKUP(B1380,小圆机汇总表!A:AP,7,FALSE))</f>
        <v/>
      </c>
      <c r="E1380" s="8" t="str">
        <f>IF(B1380="","",VLOOKUP(B1380,小圆机汇总表!A:AP,5,FALSE))</f>
        <v/>
      </c>
      <c r="F1380" s="8" t="str">
        <f>IF(B1380="","",VLOOKUP(B1380,小圆机汇总表!A:AP,8,FALSE))</f>
        <v/>
      </c>
      <c r="J1380" s="8" t="str">
        <f t="shared" si="30"/>
        <v/>
      </c>
    </row>
    <row r="1381" spans="1:10">
      <c r="A1381" s="4">
        <v>1381</v>
      </c>
      <c r="C1381" s="8" t="str">
        <f>IF(B1381="","",VLOOKUP(B1381,小圆机汇总表!A:AP,2,FALSE))</f>
        <v/>
      </c>
      <c r="D1381" s="8" t="str">
        <f>IF(B1381="","",VLOOKUP(B1381,小圆机汇总表!A:AP,7,FALSE))</f>
        <v/>
      </c>
      <c r="E1381" s="8" t="str">
        <f>IF(B1381="","",VLOOKUP(B1381,小圆机汇总表!A:AP,5,FALSE))</f>
        <v/>
      </c>
      <c r="F1381" s="8" t="str">
        <f>IF(B1381="","",VLOOKUP(B1381,小圆机汇总表!A:AP,8,FALSE))</f>
        <v/>
      </c>
      <c r="J1381" s="8" t="str">
        <f t="shared" si="30"/>
        <v/>
      </c>
    </row>
    <row r="1382" spans="1:10">
      <c r="A1382" s="4">
        <v>1382</v>
      </c>
      <c r="C1382" s="8" t="str">
        <f>IF(B1382="","",VLOOKUP(B1382,小圆机汇总表!A:AP,2,FALSE))</f>
        <v/>
      </c>
      <c r="D1382" s="8" t="str">
        <f>IF(B1382="","",VLOOKUP(B1382,小圆机汇总表!A:AP,7,FALSE))</f>
        <v/>
      </c>
      <c r="E1382" s="8" t="str">
        <f>IF(B1382="","",VLOOKUP(B1382,小圆机汇总表!A:AP,5,FALSE))</f>
        <v/>
      </c>
      <c r="F1382" s="8" t="str">
        <f>IF(B1382="","",VLOOKUP(B1382,小圆机汇总表!A:AP,8,FALSE))</f>
        <v/>
      </c>
      <c r="J1382" s="8" t="str">
        <f t="shared" si="30"/>
        <v/>
      </c>
    </row>
    <row r="1383" spans="1:10">
      <c r="A1383" s="4">
        <v>1383</v>
      </c>
      <c r="C1383" s="8" t="str">
        <f>IF(B1383="","",VLOOKUP(B1383,小圆机汇总表!A:AP,2,FALSE))</f>
        <v/>
      </c>
      <c r="D1383" s="8" t="str">
        <f>IF(B1383="","",VLOOKUP(B1383,小圆机汇总表!A:AP,7,FALSE))</f>
        <v/>
      </c>
      <c r="E1383" s="8" t="str">
        <f>IF(B1383="","",VLOOKUP(B1383,小圆机汇总表!A:AP,5,FALSE))</f>
        <v/>
      </c>
      <c r="F1383" s="8" t="str">
        <f>IF(B1383="","",VLOOKUP(B1383,小圆机汇总表!A:AP,8,FALSE))</f>
        <v/>
      </c>
      <c r="J1383" s="8" t="str">
        <f t="shared" si="30"/>
        <v/>
      </c>
    </row>
    <row r="1384" spans="1:10">
      <c r="A1384" s="4">
        <v>1384</v>
      </c>
      <c r="C1384" s="8" t="str">
        <f>IF(B1384="","",VLOOKUP(B1384,小圆机汇总表!A:AP,2,FALSE))</f>
        <v/>
      </c>
      <c r="D1384" s="8" t="str">
        <f>IF(B1384="","",VLOOKUP(B1384,小圆机汇总表!A:AP,7,FALSE))</f>
        <v/>
      </c>
      <c r="E1384" s="8" t="str">
        <f>IF(B1384="","",VLOOKUP(B1384,小圆机汇总表!A:AP,5,FALSE))</f>
        <v/>
      </c>
      <c r="F1384" s="8" t="str">
        <f>IF(B1384="","",VLOOKUP(B1384,小圆机汇总表!A:AP,8,FALSE))</f>
        <v/>
      </c>
      <c r="J1384" s="8" t="str">
        <f t="shared" si="30"/>
        <v/>
      </c>
    </row>
    <row r="1385" spans="1:10">
      <c r="A1385" s="4">
        <v>1385</v>
      </c>
      <c r="C1385" s="8" t="str">
        <f>IF(B1385="","",VLOOKUP(B1385,小圆机汇总表!A:AP,2,FALSE))</f>
        <v/>
      </c>
      <c r="D1385" s="8" t="str">
        <f>IF(B1385="","",VLOOKUP(B1385,小圆机汇总表!A:AP,7,FALSE))</f>
        <v/>
      </c>
      <c r="E1385" s="8" t="str">
        <f>IF(B1385="","",VLOOKUP(B1385,小圆机汇总表!A:AP,5,FALSE))</f>
        <v/>
      </c>
      <c r="F1385" s="8" t="str">
        <f>IF(B1385="","",VLOOKUP(B1385,小圆机汇总表!A:AP,8,FALSE))</f>
        <v/>
      </c>
      <c r="J1385" s="8" t="str">
        <f t="shared" si="30"/>
        <v/>
      </c>
    </row>
    <row r="1386" spans="1:10">
      <c r="A1386" s="4">
        <v>1386</v>
      </c>
      <c r="C1386" s="8" t="str">
        <f>IF(B1386="","",VLOOKUP(B1386,小圆机汇总表!A:AP,2,FALSE))</f>
        <v/>
      </c>
      <c r="D1386" s="8" t="str">
        <f>IF(B1386="","",VLOOKUP(B1386,小圆机汇总表!A:AP,7,FALSE))</f>
        <v/>
      </c>
      <c r="E1386" s="8" t="str">
        <f>IF(B1386="","",VLOOKUP(B1386,小圆机汇总表!A:AP,5,FALSE))</f>
        <v/>
      </c>
      <c r="F1386" s="8" t="str">
        <f>IF(B1386="","",VLOOKUP(B1386,小圆机汇总表!A:AP,8,FALSE))</f>
        <v/>
      </c>
      <c r="J1386" s="8" t="str">
        <f t="shared" si="30"/>
        <v/>
      </c>
    </row>
    <row r="1387" spans="1:10">
      <c r="A1387" s="4">
        <v>1387</v>
      </c>
      <c r="C1387" s="8" t="str">
        <f>IF(B1387="","",VLOOKUP(B1387,小圆机汇总表!A:AP,2,FALSE))</f>
        <v/>
      </c>
      <c r="D1387" s="8" t="str">
        <f>IF(B1387="","",VLOOKUP(B1387,小圆机汇总表!A:AP,7,FALSE))</f>
        <v/>
      </c>
      <c r="E1387" s="8" t="str">
        <f>IF(B1387="","",VLOOKUP(B1387,小圆机汇总表!A:AP,5,FALSE))</f>
        <v/>
      </c>
      <c r="F1387" s="8" t="str">
        <f>IF(B1387="","",VLOOKUP(B1387,小圆机汇总表!A:AP,8,FALSE))</f>
        <v/>
      </c>
      <c r="J1387" s="8" t="str">
        <f t="shared" si="30"/>
        <v/>
      </c>
    </row>
    <row r="1388" spans="1:10">
      <c r="A1388" s="4">
        <v>1388</v>
      </c>
      <c r="C1388" s="8" t="str">
        <f>IF(B1388="","",VLOOKUP(B1388,小圆机汇总表!A:AP,2,FALSE))</f>
        <v/>
      </c>
      <c r="D1388" s="8" t="str">
        <f>IF(B1388="","",VLOOKUP(B1388,小圆机汇总表!A:AP,7,FALSE))</f>
        <v/>
      </c>
      <c r="E1388" s="8" t="str">
        <f>IF(B1388="","",VLOOKUP(B1388,小圆机汇总表!A:AP,5,FALSE))</f>
        <v/>
      </c>
      <c r="F1388" s="8" t="str">
        <f>IF(B1388="","",VLOOKUP(B1388,小圆机汇总表!A:AP,8,FALSE))</f>
        <v/>
      </c>
      <c r="J1388" s="8" t="str">
        <f t="shared" si="30"/>
        <v/>
      </c>
    </row>
    <row r="1389" spans="1:10">
      <c r="A1389" s="4">
        <v>1389</v>
      </c>
      <c r="C1389" s="8" t="str">
        <f>IF(B1389="","",VLOOKUP(B1389,小圆机汇总表!A:AP,2,FALSE))</f>
        <v/>
      </c>
      <c r="D1389" s="8" t="str">
        <f>IF(B1389="","",VLOOKUP(B1389,小圆机汇总表!A:AP,7,FALSE))</f>
        <v/>
      </c>
      <c r="E1389" s="8" t="str">
        <f>IF(B1389="","",VLOOKUP(B1389,小圆机汇总表!A:AP,5,FALSE))</f>
        <v/>
      </c>
      <c r="F1389" s="8" t="str">
        <f>IF(B1389="","",VLOOKUP(B1389,小圆机汇总表!A:AP,8,FALSE))</f>
        <v/>
      </c>
      <c r="J1389" s="8" t="str">
        <f t="shared" si="30"/>
        <v/>
      </c>
    </row>
    <row r="1390" spans="1:10">
      <c r="A1390" s="4">
        <v>1390</v>
      </c>
      <c r="C1390" s="8" t="str">
        <f>IF(B1390="","",VLOOKUP(B1390,小圆机汇总表!A:AP,2,FALSE))</f>
        <v/>
      </c>
      <c r="D1390" s="8" t="str">
        <f>IF(B1390="","",VLOOKUP(B1390,小圆机汇总表!A:AP,7,FALSE))</f>
        <v/>
      </c>
      <c r="E1390" s="8" t="str">
        <f>IF(B1390="","",VLOOKUP(B1390,小圆机汇总表!A:AP,5,FALSE))</f>
        <v/>
      </c>
      <c r="F1390" s="8" t="str">
        <f>IF(B1390="","",VLOOKUP(B1390,小圆机汇总表!A:AP,8,FALSE))</f>
        <v/>
      </c>
      <c r="J1390" s="8" t="str">
        <f t="shared" si="30"/>
        <v/>
      </c>
    </row>
    <row r="1391" spans="1:10">
      <c r="A1391" s="4">
        <v>1391</v>
      </c>
      <c r="C1391" s="8" t="str">
        <f>IF(B1391="","",VLOOKUP(B1391,小圆机汇总表!A:AP,2,FALSE))</f>
        <v/>
      </c>
      <c r="D1391" s="8" t="str">
        <f>IF(B1391="","",VLOOKUP(B1391,小圆机汇总表!A:AP,7,FALSE))</f>
        <v/>
      </c>
      <c r="E1391" s="8" t="str">
        <f>IF(B1391="","",VLOOKUP(B1391,小圆机汇总表!A:AP,5,FALSE))</f>
        <v/>
      </c>
      <c r="F1391" s="8" t="str">
        <f>IF(B1391="","",VLOOKUP(B1391,小圆机汇总表!A:AP,8,FALSE))</f>
        <v/>
      </c>
      <c r="J1391" s="8" t="str">
        <f t="shared" si="30"/>
        <v/>
      </c>
    </row>
    <row r="1392" spans="1:10">
      <c r="A1392" s="4">
        <v>1392</v>
      </c>
      <c r="C1392" s="8" t="str">
        <f>IF(B1392="","",VLOOKUP(B1392,小圆机汇总表!A:AP,2,FALSE))</f>
        <v/>
      </c>
      <c r="D1392" s="8" t="str">
        <f>IF(B1392="","",VLOOKUP(B1392,小圆机汇总表!A:AP,7,FALSE))</f>
        <v/>
      </c>
      <c r="E1392" s="8" t="str">
        <f>IF(B1392="","",VLOOKUP(B1392,小圆机汇总表!A:AP,5,FALSE))</f>
        <v/>
      </c>
      <c r="F1392" s="8" t="str">
        <f>IF(B1392="","",VLOOKUP(B1392,小圆机汇总表!A:AP,8,FALSE))</f>
        <v/>
      </c>
      <c r="J1392" s="8" t="str">
        <f t="shared" si="30"/>
        <v/>
      </c>
    </row>
    <row r="1393" spans="1:10">
      <c r="A1393" s="4">
        <v>1393</v>
      </c>
      <c r="C1393" s="8" t="str">
        <f>IF(B1393="","",VLOOKUP(B1393,小圆机汇总表!A:AP,2,FALSE))</f>
        <v/>
      </c>
      <c r="D1393" s="8" t="str">
        <f>IF(B1393="","",VLOOKUP(B1393,小圆机汇总表!A:AP,7,FALSE))</f>
        <v/>
      </c>
      <c r="E1393" s="8" t="str">
        <f>IF(B1393="","",VLOOKUP(B1393,小圆机汇总表!A:AP,5,FALSE))</f>
        <v/>
      </c>
      <c r="F1393" s="8" t="str">
        <f>IF(B1393="","",VLOOKUP(B1393,小圆机汇总表!A:AP,8,FALSE))</f>
        <v/>
      </c>
      <c r="J1393" s="8" t="str">
        <f t="shared" si="30"/>
        <v/>
      </c>
    </row>
    <row r="1394" spans="1:10">
      <c r="A1394" s="4">
        <v>1394</v>
      </c>
      <c r="C1394" s="8" t="str">
        <f>IF(B1394="","",VLOOKUP(B1394,小圆机汇总表!A:AP,2,FALSE))</f>
        <v/>
      </c>
      <c r="D1394" s="8" t="str">
        <f>IF(B1394="","",VLOOKUP(B1394,小圆机汇总表!A:AP,7,FALSE))</f>
        <v/>
      </c>
      <c r="E1394" s="8" t="str">
        <f>IF(B1394="","",VLOOKUP(B1394,小圆机汇总表!A:AP,5,FALSE))</f>
        <v/>
      </c>
      <c r="F1394" s="8" t="str">
        <f>IF(B1394="","",VLOOKUP(B1394,小圆机汇总表!A:AP,8,FALSE))</f>
        <v/>
      </c>
      <c r="J1394" s="8" t="str">
        <f t="shared" si="30"/>
        <v/>
      </c>
    </row>
    <row r="1395" spans="1:10">
      <c r="A1395" s="4">
        <v>1395</v>
      </c>
      <c r="C1395" s="8" t="str">
        <f>IF(B1395="","",VLOOKUP(B1395,小圆机汇总表!A:AP,2,FALSE))</f>
        <v/>
      </c>
      <c r="D1395" s="8" t="str">
        <f>IF(B1395="","",VLOOKUP(B1395,小圆机汇总表!A:AP,7,FALSE))</f>
        <v/>
      </c>
      <c r="E1395" s="8" t="str">
        <f>IF(B1395="","",VLOOKUP(B1395,小圆机汇总表!A:AP,5,FALSE))</f>
        <v/>
      </c>
      <c r="F1395" s="8" t="str">
        <f>IF(B1395="","",VLOOKUP(B1395,小圆机汇总表!A:AP,8,FALSE))</f>
        <v/>
      </c>
      <c r="J1395" s="8" t="str">
        <f t="shared" si="30"/>
        <v/>
      </c>
    </row>
    <row r="1396" spans="1:10">
      <c r="A1396" s="4">
        <v>1396</v>
      </c>
      <c r="C1396" s="8" t="str">
        <f>IF(B1396="","",VLOOKUP(B1396,小圆机汇总表!A:AP,2,FALSE))</f>
        <v/>
      </c>
      <c r="D1396" s="8" t="str">
        <f>IF(B1396="","",VLOOKUP(B1396,小圆机汇总表!A:AP,7,FALSE))</f>
        <v/>
      </c>
      <c r="E1396" s="8" t="str">
        <f>IF(B1396="","",VLOOKUP(B1396,小圆机汇总表!A:AP,5,FALSE))</f>
        <v/>
      </c>
      <c r="F1396" s="8" t="str">
        <f>IF(B1396="","",VLOOKUP(B1396,小圆机汇总表!A:AP,8,FALSE))</f>
        <v/>
      </c>
      <c r="J1396" s="8" t="str">
        <f t="shared" si="30"/>
        <v/>
      </c>
    </row>
    <row r="1397" spans="1:10">
      <c r="A1397" s="4">
        <v>1397</v>
      </c>
      <c r="C1397" s="8" t="str">
        <f>IF(B1397="","",VLOOKUP(B1397,小圆机汇总表!A:AP,2,FALSE))</f>
        <v/>
      </c>
      <c r="D1397" s="8" t="str">
        <f>IF(B1397="","",VLOOKUP(B1397,小圆机汇总表!A:AP,7,FALSE))</f>
        <v/>
      </c>
      <c r="E1397" s="8" t="str">
        <f>IF(B1397="","",VLOOKUP(B1397,小圆机汇总表!A:AP,5,FALSE))</f>
        <v/>
      </c>
      <c r="F1397" s="8" t="str">
        <f>IF(B1397="","",VLOOKUP(B1397,小圆机汇总表!A:AP,8,FALSE))</f>
        <v/>
      </c>
      <c r="J1397" s="8" t="str">
        <f t="shared" si="30"/>
        <v/>
      </c>
    </row>
    <row r="1398" spans="1:10">
      <c r="A1398" s="4">
        <v>1398</v>
      </c>
      <c r="C1398" s="8" t="str">
        <f>IF(B1398="","",VLOOKUP(B1398,小圆机汇总表!A:AP,2,FALSE))</f>
        <v/>
      </c>
      <c r="D1398" s="8" t="str">
        <f>IF(B1398="","",VLOOKUP(B1398,小圆机汇总表!A:AP,7,FALSE))</f>
        <v/>
      </c>
      <c r="E1398" s="8" t="str">
        <f>IF(B1398="","",VLOOKUP(B1398,小圆机汇总表!A:AP,5,FALSE))</f>
        <v/>
      </c>
      <c r="F1398" s="8" t="str">
        <f>IF(B1398="","",VLOOKUP(B1398,小圆机汇总表!A:AP,8,FALSE))</f>
        <v/>
      </c>
      <c r="J1398" s="8" t="str">
        <f t="shared" si="30"/>
        <v/>
      </c>
    </row>
    <row r="1399" spans="1:10">
      <c r="A1399" s="4">
        <v>1399</v>
      </c>
      <c r="C1399" s="8" t="str">
        <f>IF(B1399="","",VLOOKUP(B1399,小圆机汇总表!A:AP,2,FALSE))</f>
        <v/>
      </c>
      <c r="D1399" s="8" t="str">
        <f>IF(B1399="","",VLOOKUP(B1399,小圆机汇总表!A:AP,7,FALSE))</f>
        <v/>
      </c>
      <c r="E1399" s="8" t="str">
        <f>IF(B1399="","",VLOOKUP(B1399,小圆机汇总表!A:AP,5,FALSE))</f>
        <v/>
      </c>
      <c r="F1399" s="8" t="str">
        <f>IF(B1399="","",VLOOKUP(B1399,小圆机汇总表!A:AP,8,FALSE))</f>
        <v/>
      </c>
      <c r="J1399" s="8" t="str">
        <f t="shared" si="30"/>
        <v/>
      </c>
    </row>
    <row r="1400" spans="1:10">
      <c r="A1400" s="4">
        <v>1400</v>
      </c>
      <c r="C1400" s="8" t="str">
        <f>IF(B1400="","",VLOOKUP(B1400,小圆机汇总表!A:AP,2,FALSE))</f>
        <v/>
      </c>
      <c r="D1400" s="8" t="str">
        <f>IF(B1400="","",VLOOKUP(B1400,小圆机汇总表!A:AP,7,FALSE))</f>
        <v/>
      </c>
      <c r="E1400" s="8" t="str">
        <f>IF(B1400="","",VLOOKUP(B1400,小圆机汇总表!A:AP,5,FALSE))</f>
        <v/>
      </c>
      <c r="F1400" s="8" t="str">
        <f>IF(B1400="","",VLOOKUP(B1400,小圆机汇总表!A:AP,8,FALSE))</f>
        <v/>
      </c>
      <c r="J1400" s="8" t="str">
        <f t="shared" si="30"/>
        <v/>
      </c>
    </row>
    <row r="1401" spans="1:10">
      <c r="A1401" s="4">
        <v>1401</v>
      </c>
      <c r="C1401" s="8" t="str">
        <f>IF(B1401="","",VLOOKUP(B1401,小圆机汇总表!A:AP,2,FALSE))</f>
        <v/>
      </c>
      <c r="D1401" s="8" t="str">
        <f>IF(B1401="","",VLOOKUP(B1401,小圆机汇总表!A:AP,7,FALSE))</f>
        <v/>
      </c>
      <c r="E1401" s="8" t="str">
        <f>IF(B1401="","",VLOOKUP(B1401,小圆机汇总表!A:AP,5,FALSE))</f>
        <v/>
      </c>
      <c r="F1401" s="8" t="str">
        <f>IF(B1401="","",VLOOKUP(B1401,小圆机汇总表!A:AP,8,FALSE))</f>
        <v/>
      </c>
      <c r="J1401" s="8" t="str">
        <f t="shared" si="30"/>
        <v/>
      </c>
    </row>
    <row r="1402" spans="1:10">
      <c r="A1402" s="4">
        <v>1402</v>
      </c>
      <c r="C1402" s="8" t="str">
        <f>IF(B1402="","",VLOOKUP(B1402,小圆机汇总表!A:AP,2,FALSE))</f>
        <v/>
      </c>
      <c r="D1402" s="8" t="str">
        <f>IF(B1402="","",VLOOKUP(B1402,小圆机汇总表!A:AP,7,FALSE))</f>
        <v/>
      </c>
      <c r="E1402" s="8" t="str">
        <f>IF(B1402="","",VLOOKUP(B1402,小圆机汇总表!A:AP,5,FALSE))</f>
        <v/>
      </c>
      <c r="F1402" s="8" t="str">
        <f>IF(B1402="","",VLOOKUP(B1402,小圆机汇总表!A:AP,8,FALSE))</f>
        <v/>
      </c>
      <c r="J1402" s="8" t="str">
        <f t="shared" si="30"/>
        <v/>
      </c>
    </row>
    <row r="1403" spans="1:10">
      <c r="A1403" s="4">
        <v>1403</v>
      </c>
      <c r="C1403" s="8" t="str">
        <f>IF(B1403="","",VLOOKUP(B1403,小圆机汇总表!A:AP,2,FALSE))</f>
        <v/>
      </c>
      <c r="D1403" s="8" t="str">
        <f>IF(B1403="","",VLOOKUP(B1403,小圆机汇总表!A:AP,7,FALSE))</f>
        <v/>
      </c>
      <c r="E1403" s="8" t="str">
        <f>IF(B1403="","",VLOOKUP(B1403,小圆机汇总表!A:AP,5,FALSE))</f>
        <v/>
      </c>
      <c r="F1403" s="8" t="str">
        <f>IF(B1403="","",VLOOKUP(B1403,小圆机汇总表!A:AP,8,FALSE))</f>
        <v/>
      </c>
      <c r="J1403" s="8" t="str">
        <f t="shared" si="30"/>
        <v/>
      </c>
    </row>
    <row r="1404" spans="1:10">
      <c r="A1404" s="4">
        <v>1404</v>
      </c>
      <c r="C1404" s="8" t="str">
        <f>IF(B1404="","",VLOOKUP(B1404,小圆机汇总表!A:AP,2,FALSE))</f>
        <v/>
      </c>
      <c r="D1404" s="8" t="str">
        <f>IF(B1404="","",VLOOKUP(B1404,小圆机汇总表!A:AP,7,FALSE))</f>
        <v/>
      </c>
      <c r="E1404" s="8" t="str">
        <f>IF(B1404="","",VLOOKUP(B1404,小圆机汇总表!A:AP,5,FALSE))</f>
        <v/>
      </c>
      <c r="F1404" s="8" t="str">
        <f>IF(B1404="","",VLOOKUP(B1404,小圆机汇总表!A:AP,8,FALSE))</f>
        <v/>
      </c>
      <c r="J1404" s="8" t="str">
        <f t="shared" si="30"/>
        <v/>
      </c>
    </row>
    <row r="1405" spans="1:10">
      <c r="A1405" s="4">
        <v>1405</v>
      </c>
      <c r="C1405" s="8" t="str">
        <f>IF(B1405="","",VLOOKUP(B1405,小圆机汇总表!A:AP,2,FALSE))</f>
        <v/>
      </c>
      <c r="D1405" s="8" t="str">
        <f>IF(B1405="","",VLOOKUP(B1405,小圆机汇总表!A:AP,7,FALSE))</f>
        <v/>
      </c>
      <c r="E1405" s="8" t="str">
        <f>IF(B1405="","",VLOOKUP(B1405,小圆机汇总表!A:AP,5,FALSE))</f>
        <v/>
      </c>
      <c r="F1405" s="8" t="str">
        <f>IF(B1405="","",VLOOKUP(B1405,小圆机汇总表!A:AP,8,FALSE))</f>
        <v/>
      </c>
      <c r="J1405" s="8" t="str">
        <f t="shared" si="30"/>
        <v/>
      </c>
    </row>
    <row r="1406" spans="1:10">
      <c r="A1406" s="4">
        <v>1406</v>
      </c>
      <c r="C1406" s="8" t="str">
        <f>IF(B1406="","",VLOOKUP(B1406,小圆机汇总表!A:AP,2,FALSE))</f>
        <v/>
      </c>
      <c r="D1406" s="8" t="str">
        <f>IF(B1406="","",VLOOKUP(B1406,小圆机汇总表!A:AP,7,FALSE))</f>
        <v/>
      </c>
      <c r="E1406" s="8" t="str">
        <f>IF(B1406="","",VLOOKUP(B1406,小圆机汇总表!A:AP,5,FALSE))</f>
        <v/>
      </c>
      <c r="F1406" s="8" t="str">
        <f>IF(B1406="","",VLOOKUP(B1406,小圆机汇总表!A:AP,8,FALSE))</f>
        <v/>
      </c>
      <c r="J1406" s="8" t="str">
        <f t="shared" si="30"/>
        <v/>
      </c>
    </row>
    <row r="1407" spans="1:10">
      <c r="A1407" s="4">
        <v>1407</v>
      </c>
      <c r="C1407" s="8" t="str">
        <f>IF(B1407="","",VLOOKUP(B1407,小圆机汇总表!A:AP,2,FALSE))</f>
        <v/>
      </c>
      <c r="D1407" s="8" t="str">
        <f>IF(B1407="","",VLOOKUP(B1407,小圆机汇总表!A:AP,7,FALSE))</f>
        <v/>
      </c>
      <c r="E1407" s="8" t="str">
        <f>IF(B1407="","",VLOOKUP(B1407,小圆机汇总表!A:AP,5,FALSE))</f>
        <v/>
      </c>
      <c r="F1407" s="8" t="str">
        <f>IF(B1407="","",VLOOKUP(B1407,小圆机汇总表!A:AP,8,FALSE))</f>
        <v/>
      </c>
      <c r="J1407" s="8" t="str">
        <f t="shared" si="30"/>
        <v/>
      </c>
    </row>
    <row r="1408" spans="1:10">
      <c r="A1408" s="4">
        <v>1408</v>
      </c>
      <c r="C1408" s="8" t="str">
        <f>IF(B1408="","",VLOOKUP(B1408,小圆机汇总表!A:AP,2,FALSE))</f>
        <v/>
      </c>
      <c r="D1408" s="8" t="str">
        <f>IF(B1408="","",VLOOKUP(B1408,小圆机汇总表!A:AP,7,FALSE))</f>
        <v/>
      </c>
      <c r="E1408" s="8" t="str">
        <f>IF(B1408="","",VLOOKUP(B1408,小圆机汇总表!A:AP,5,FALSE))</f>
        <v/>
      </c>
      <c r="F1408" s="8" t="str">
        <f>IF(B1408="","",VLOOKUP(B1408,小圆机汇总表!A:AP,8,FALSE))</f>
        <v/>
      </c>
      <c r="J1408" s="8" t="str">
        <f t="shared" si="30"/>
        <v/>
      </c>
    </row>
    <row r="1409" spans="1:10">
      <c r="A1409" s="4">
        <v>1409</v>
      </c>
      <c r="C1409" s="8" t="str">
        <f>IF(B1409="","",VLOOKUP(B1409,小圆机汇总表!A:AP,2,FALSE))</f>
        <v/>
      </c>
      <c r="D1409" s="8" t="str">
        <f>IF(B1409="","",VLOOKUP(B1409,小圆机汇总表!A:AP,7,FALSE))</f>
        <v/>
      </c>
      <c r="E1409" s="8" t="str">
        <f>IF(B1409="","",VLOOKUP(B1409,小圆机汇总表!A:AP,5,FALSE))</f>
        <v/>
      </c>
      <c r="F1409" s="8" t="str">
        <f>IF(B1409="","",VLOOKUP(B1409,小圆机汇总表!A:AP,8,FALSE))</f>
        <v/>
      </c>
      <c r="J1409" s="8" t="str">
        <f t="shared" si="30"/>
        <v/>
      </c>
    </row>
    <row r="1410" spans="1:10">
      <c r="A1410" s="4">
        <v>1410</v>
      </c>
      <c r="C1410" s="8" t="str">
        <f>IF(B1410="","",VLOOKUP(B1410,小圆机汇总表!A:AP,2,FALSE))</f>
        <v/>
      </c>
      <c r="D1410" s="8" t="str">
        <f>IF(B1410="","",VLOOKUP(B1410,小圆机汇总表!A:AP,7,FALSE))</f>
        <v/>
      </c>
      <c r="E1410" s="8" t="str">
        <f>IF(B1410="","",VLOOKUP(B1410,小圆机汇总表!A:AP,5,FALSE))</f>
        <v/>
      </c>
      <c r="F1410" s="8" t="str">
        <f>IF(B1410="","",VLOOKUP(B1410,小圆机汇总表!A:AP,8,FALSE))</f>
        <v/>
      </c>
      <c r="J1410" s="8" t="str">
        <f t="shared" si="30"/>
        <v/>
      </c>
    </row>
    <row r="1411" spans="1:10">
      <c r="A1411" s="4">
        <v>1411</v>
      </c>
      <c r="C1411" s="8" t="str">
        <f>IF(B1411="","",VLOOKUP(B1411,小圆机汇总表!A:AP,2,FALSE))</f>
        <v/>
      </c>
      <c r="D1411" s="8" t="str">
        <f>IF(B1411="","",VLOOKUP(B1411,小圆机汇总表!A:AP,7,FALSE))</f>
        <v/>
      </c>
      <c r="E1411" s="8" t="str">
        <f>IF(B1411="","",VLOOKUP(B1411,小圆机汇总表!A:AP,5,FALSE))</f>
        <v/>
      </c>
      <c r="F1411" s="8" t="str">
        <f>IF(B1411="","",VLOOKUP(B1411,小圆机汇总表!A:AP,8,FALSE))</f>
        <v/>
      </c>
      <c r="J1411" s="8" t="str">
        <f t="shared" si="30"/>
        <v/>
      </c>
    </row>
    <row r="1412" spans="1:10">
      <c r="A1412" s="4">
        <v>1412</v>
      </c>
      <c r="C1412" s="8" t="str">
        <f>IF(B1412="","",VLOOKUP(B1412,小圆机汇总表!A:AP,2,FALSE))</f>
        <v/>
      </c>
      <c r="D1412" s="8" t="str">
        <f>IF(B1412="","",VLOOKUP(B1412,小圆机汇总表!A:AP,7,FALSE))</f>
        <v/>
      </c>
      <c r="E1412" s="8" t="str">
        <f>IF(B1412="","",VLOOKUP(B1412,小圆机汇总表!A:AP,5,FALSE))</f>
        <v/>
      </c>
      <c r="F1412" s="8" t="str">
        <f>IF(B1412="","",VLOOKUP(B1412,小圆机汇总表!A:AP,8,FALSE))</f>
        <v/>
      </c>
      <c r="J1412" s="8" t="str">
        <f t="shared" si="30"/>
        <v/>
      </c>
    </row>
    <row r="1413" spans="1:10">
      <c r="A1413" s="4">
        <v>1413</v>
      </c>
      <c r="C1413" s="8" t="str">
        <f>IF(B1413="","",VLOOKUP(B1413,小圆机汇总表!A:AP,2,FALSE))</f>
        <v/>
      </c>
      <c r="D1413" s="8" t="str">
        <f>IF(B1413="","",VLOOKUP(B1413,小圆机汇总表!A:AP,7,FALSE))</f>
        <v/>
      </c>
      <c r="E1413" s="8" t="str">
        <f>IF(B1413="","",VLOOKUP(B1413,小圆机汇总表!A:AP,5,FALSE))</f>
        <v/>
      </c>
      <c r="F1413" s="8" t="str">
        <f>IF(B1413="","",VLOOKUP(B1413,小圆机汇总表!A:AP,8,FALSE))</f>
        <v/>
      </c>
      <c r="J1413" s="8" t="str">
        <f t="shared" si="30"/>
        <v/>
      </c>
    </row>
    <row r="1414" spans="1:10">
      <c r="A1414" s="4">
        <v>1414</v>
      </c>
      <c r="C1414" s="8" t="str">
        <f>IF(B1414="","",VLOOKUP(B1414,小圆机汇总表!A:AP,2,FALSE))</f>
        <v/>
      </c>
      <c r="D1414" s="8" t="str">
        <f>IF(B1414="","",VLOOKUP(B1414,小圆机汇总表!A:AP,7,FALSE))</f>
        <v/>
      </c>
      <c r="E1414" s="8" t="str">
        <f>IF(B1414="","",VLOOKUP(B1414,小圆机汇总表!A:AP,5,FALSE))</f>
        <v/>
      </c>
      <c r="F1414" s="8" t="str">
        <f>IF(B1414="","",VLOOKUP(B1414,小圆机汇总表!A:AP,8,FALSE))</f>
        <v/>
      </c>
      <c r="J1414" s="8" t="str">
        <f t="shared" si="30"/>
        <v/>
      </c>
    </row>
    <row r="1415" spans="1:10">
      <c r="A1415" s="4">
        <v>1415</v>
      </c>
      <c r="C1415" s="8" t="str">
        <f>IF(B1415="","",VLOOKUP(B1415,小圆机汇总表!A:AP,2,FALSE))</f>
        <v/>
      </c>
      <c r="D1415" s="8" t="str">
        <f>IF(B1415="","",VLOOKUP(B1415,小圆机汇总表!A:AP,7,FALSE))</f>
        <v/>
      </c>
      <c r="E1415" s="8" t="str">
        <f>IF(B1415="","",VLOOKUP(B1415,小圆机汇总表!A:AP,5,FALSE))</f>
        <v/>
      </c>
      <c r="F1415" s="8" t="str">
        <f>IF(B1415="","",VLOOKUP(B1415,小圆机汇总表!A:AP,8,FALSE))</f>
        <v/>
      </c>
      <c r="J1415" s="8" t="str">
        <f t="shared" si="30"/>
        <v/>
      </c>
    </row>
    <row r="1416" spans="1:10">
      <c r="A1416" s="4">
        <v>1416</v>
      </c>
      <c r="C1416" s="8" t="str">
        <f>IF(B1416="","",VLOOKUP(B1416,小圆机汇总表!A:AP,2,FALSE))</f>
        <v/>
      </c>
      <c r="D1416" s="8" t="str">
        <f>IF(B1416="","",VLOOKUP(B1416,小圆机汇总表!A:AP,7,FALSE))</f>
        <v/>
      </c>
      <c r="E1416" s="8" t="str">
        <f>IF(B1416="","",VLOOKUP(B1416,小圆机汇总表!A:AP,5,FALSE))</f>
        <v/>
      </c>
      <c r="F1416" s="8" t="str">
        <f>IF(B1416="","",VLOOKUP(B1416,小圆机汇总表!A:AP,8,FALSE))</f>
        <v/>
      </c>
      <c r="J1416" s="8" t="str">
        <f t="shared" si="30"/>
        <v/>
      </c>
    </row>
    <row r="1417" spans="1:10">
      <c r="A1417" s="4">
        <v>1417</v>
      </c>
      <c r="C1417" s="8" t="str">
        <f>IF(B1417="","",VLOOKUP(B1417,小圆机汇总表!A:AP,2,FALSE))</f>
        <v/>
      </c>
      <c r="D1417" s="8" t="str">
        <f>IF(B1417="","",VLOOKUP(B1417,小圆机汇总表!A:AP,7,FALSE))</f>
        <v/>
      </c>
      <c r="E1417" s="8" t="str">
        <f>IF(B1417="","",VLOOKUP(B1417,小圆机汇总表!A:AP,5,FALSE))</f>
        <v/>
      </c>
      <c r="F1417" s="8" t="str">
        <f>IF(B1417="","",VLOOKUP(B1417,小圆机汇总表!A:AP,8,FALSE))</f>
        <v/>
      </c>
      <c r="J1417" s="8" t="str">
        <f t="shared" si="30"/>
        <v/>
      </c>
    </row>
    <row r="1418" spans="1:10">
      <c r="A1418" s="4">
        <v>1418</v>
      </c>
      <c r="C1418" s="8" t="str">
        <f>IF(B1418="","",VLOOKUP(B1418,小圆机汇总表!A:AP,2,FALSE))</f>
        <v/>
      </c>
      <c r="D1418" s="8" t="str">
        <f>IF(B1418="","",VLOOKUP(B1418,小圆机汇总表!A:AP,7,FALSE))</f>
        <v/>
      </c>
      <c r="E1418" s="8" t="str">
        <f>IF(B1418="","",VLOOKUP(B1418,小圆机汇总表!A:AP,5,FALSE))</f>
        <v/>
      </c>
      <c r="F1418" s="8" t="str">
        <f>IF(B1418="","",VLOOKUP(B1418,小圆机汇总表!A:AP,8,FALSE))</f>
        <v/>
      </c>
      <c r="J1418" s="8" t="str">
        <f t="shared" si="30"/>
        <v/>
      </c>
    </row>
    <row r="1419" spans="1:10">
      <c r="A1419" s="4">
        <v>1419</v>
      </c>
      <c r="C1419" s="8" t="str">
        <f>IF(B1419="","",VLOOKUP(B1419,小圆机汇总表!A:AP,2,FALSE))</f>
        <v/>
      </c>
      <c r="D1419" s="8" t="str">
        <f>IF(B1419="","",VLOOKUP(B1419,小圆机汇总表!A:AP,7,FALSE))</f>
        <v/>
      </c>
      <c r="E1419" s="8" t="str">
        <f>IF(B1419="","",VLOOKUP(B1419,小圆机汇总表!A:AP,5,FALSE))</f>
        <v/>
      </c>
      <c r="F1419" s="8" t="str">
        <f>IF(B1419="","",VLOOKUP(B1419,小圆机汇总表!A:AP,8,FALSE))</f>
        <v/>
      </c>
      <c r="J1419" s="8" t="str">
        <f t="shared" si="30"/>
        <v/>
      </c>
    </row>
    <row r="1420" spans="1:10">
      <c r="A1420" s="4">
        <v>1420</v>
      </c>
      <c r="C1420" s="8" t="str">
        <f>IF(B1420="","",VLOOKUP(B1420,小圆机汇总表!A:AP,2,FALSE))</f>
        <v/>
      </c>
      <c r="D1420" s="8" t="str">
        <f>IF(B1420="","",VLOOKUP(B1420,小圆机汇总表!A:AP,7,FALSE))</f>
        <v/>
      </c>
      <c r="E1420" s="8" t="str">
        <f>IF(B1420="","",VLOOKUP(B1420,小圆机汇总表!A:AP,5,FALSE))</f>
        <v/>
      </c>
      <c r="F1420" s="8" t="str">
        <f>IF(B1420="","",VLOOKUP(B1420,小圆机汇总表!A:AP,8,FALSE))</f>
        <v/>
      </c>
      <c r="J1420" s="8" t="str">
        <f t="shared" si="30"/>
        <v/>
      </c>
    </row>
    <row r="1421" spans="1:10">
      <c r="A1421" s="4">
        <v>1421</v>
      </c>
      <c r="C1421" s="8" t="str">
        <f>IF(B1421="","",VLOOKUP(B1421,小圆机汇总表!A:AP,2,FALSE))</f>
        <v/>
      </c>
      <c r="D1421" s="8" t="str">
        <f>IF(B1421="","",VLOOKUP(B1421,小圆机汇总表!A:AP,7,FALSE))</f>
        <v/>
      </c>
      <c r="E1421" s="8" t="str">
        <f>IF(B1421="","",VLOOKUP(B1421,小圆机汇总表!A:AP,5,FALSE))</f>
        <v/>
      </c>
      <c r="F1421" s="8" t="str">
        <f>IF(B1421="","",VLOOKUP(B1421,小圆机汇总表!A:AP,8,FALSE))</f>
        <v/>
      </c>
      <c r="J1421" s="8" t="str">
        <f t="shared" si="30"/>
        <v/>
      </c>
    </row>
    <row r="1422" spans="1:10">
      <c r="A1422" s="4">
        <v>1422</v>
      </c>
      <c r="C1422" s="8" t="str">
        <f>IF(B1422="","",VLOOKUP(B1422,小圆机汇总表!A:AP,2,FALSE))</f>
        <v/>
      </c>
      <c r="D1422" s="8" t="str">
        <f>IF(B1422="","",VLOOKUP(B1422,小圆机汇总表!A:AP,7,FALSE))</f>
        <v/>
      </c>
      <c r="E1422" s="8" t="str">
        <f>IF(B1422="","",VLOOKUP(B1422,小圆机汇总表!A:AP,5,FALSE))</f>
        <v/>
      </c>
      <c r="F1422" s="8" t="str">
        <f>IF(B1422="","",VLOOKUP(B1422,小圆机汇总表!A:AP,8,FALSE))</f>
        <v/>
      </c>
      <c r="J1422" s="8" t="str">
        <f t="shared" si="30"/>
        <v/>
      </c>
    </row>
    <row r="1423" spans="1:10">
      <c r="A1423" s="4">
        <v>1423</v>
      </c>
      <c r="C1423" s="8" t="str">
        <f>IF(B1423="","",VLOOKUP(B1423,小圆机汇总表!A:AP,2,FALSE))</f>
        <v/>
      </c>
      <c r="D1423" s="8" t="str">
        <f>IF(B1423="","",VLOOKUP(B1423,小圆机汇总表!A:AP,7,FALSE))</f>
        <v/>
      </c>
      <c r="E1423" s="8" t="str">
        <f>IF(B1423="","",VLOOKUP(B1423,小圆机汇总表!A:AP,5,FALSE))</f>
        <v/>
      </c>
      <c r="F1423" s="8" t="str">
        <f>IF(B1423="","",VLOOKUP(B1423,小圆机汇总表!A:AP,8,FALSE))</f>
        <v/>
      </c>
      <c r="J1423" s="8" t="str">
        <f t="shared" si="30"/>
        <v/>
      </c>
    </row>
    <row r="1424" spans="1:10">
      <c r="A1424" s="4">
        <v>1424</v>
      </c>
      <c r="C1424" s="8" t="str">
        <f>IF(B1424="","",VLOOKUP(B1424,小圆机汇总表!A:AP,2,FALSE))</f>
        <v/>
      </c>
      <c r="D1424" s="8" t="str">
        <f>IF(B1424="","",VLOOKUP(B1424,小圆机汇总表!A:AP,7,FALSE))</f>
        <v/>
      </c>
      <c r="E1424" s="8" t="str">
        <f>IF(B1424="","",VLOOKUP(B1424,小圆机汇总表!A:AP,5,FALSE))</f>
        <v/>
      </c>
      <c r="F1424" s="8" t="str">
        <f>IF(B1424="","",VLOOKUP(B1424,小圆机汇总表!A:AP,8,FALSE))</f>
        <v/>
      </c>
      <c r="J1424" s="8" t="str">
        <f t="shared" si="30"/>
        <v/>
      </c>
    </row>
    <row r="1425" spans="1:10">
      <c r="A1425" s="4">
        <v>1425</v>
      </c>
      <c r="C1425" s="8" t="str">
        <f>IF(B1425="","",VLOOKUP(B1425,小圆机汇总表!A:AP,2,FALSE))</f>
        <v/>
      </c>
      <c r="D1425" s="8" t="str">
        <f>IF(B1425="","",VLOOKUP(B1425,小圆机汇总表!A:AP,7,FALSE))</f>
        <v/>
      </c>
      <c r="E1425" s="8" t="str">
        <f>IF(B1425="","",VLOOKUP(B1425,小圆机汇总表!A:AP,5,FALSE))</f>
        <v/>
      </c>
      <c r="F1425" s="8" t="str">
        <f>IF(B1425="","",VLOOKUP(B1425,小圆机汇总表!A:AP,8,FALSE))</f>
        <v/>
      </c>
      <c r="J1425" s="8" t="str">
        <f t="shared" si="30"/>
        <v/>
      </c>
    </row>
    <row r="1426" spans="1:10">
      <c r="A1426" s="4">
        <v>1426</v>
      </c>
      <c r="C1426" s="8" t="str">
        <f>IF(B1426="","",VLOOKUP(B1426,小圆机汇总表!A:AP,2,FALSE))</f>
        <v/>
      </c>
      <c r="D1426" s="8" t="str">
        <f>IF(B1426="","",VLOOKUP(B1426,小圆机汇总表!A:AP,7,FALSE))</f>
        <v/>
      </c>
      <c r="E1426" s="8" t="str">
        <f>IF(B1426="","",VLOOKUP(B1426,小圆机汇总表!A:AP,5,FALSE))</f>
        <v/>
      </c>
      <c r="F1426" s="8" t="str">
        <f>IF(B1426="","",VLOOKUP(B1426,小圆机汇总表!A:AP,8,FALSE))</f>
        <v/>
      </c>
      <c r="J1426" s="8" t="str">
        <f t="shared" si="30"/>
        <v/>
      </c>
    </row>
    <row r="1427" spans="1:10">
      <c r="A1427" s="4">
        <v>1427</v>
      </c>
      <c r="C1427" s="8" t="str">
        <f>IF(B1427="","",VLOOKUP(B1427,小圆机汇总表!A:AP,2,FALSE))</f>
        <v/>
      </c>
      <c r="D1427" s="8" t="str">
        <f>IF(B1427="","",VLOOKUP(B1427,小圆机汇总表!A:AP,7,FALSE))</f>
        <v/>
      </c>
      <c r="E1427" s="8" t="str">
        <f>IF(B1427="","",VLOOKUP(B1427,小圆机汇总表!A:AP,5,FALSE))</f>
        <v/>
      </c>
      <c r="F1427" s="8" t="str">
        <f>IF(B1427="","",VLOOKUP(B1427,小圆机汇总表!A:AP,8,FALSE))</f>
        <v/>
      </c>
      <c r="J1427" s="8" t="str">
        <f t="shared" si="30"/>
        <v/>
      </c>
    </row>
    <row r="1428" spans="1:10">
      <c r="A1428" s="4">
        <v>1428</v>
      </c>
      <c r="C1428" s="8" t="str">
        <f>IF(B1428="","",VLOOKUP(B1428,小圆机汇总表!A:AP,2,FALSE))</f>
        <v/>
      </c>
      <c r="D1428" s="8" t="str">
        <f>IF(B1428="","",VLOOKUP(B1428,小圆机汇总表!A:AP,7,FALSE))</f>
        <v/>
      </c>
      <c r="E1428" s="8" t="str">
        <f>IF(B1428="","",VLOOKUP(B1428,小圆机汇总表!A:AP,5,FALSE))</f>
        <v/>
      </c>
      <c r="F1428" s="8" t="str">
        <f>IF(B1428="","",VLOOKUP(B1428,小圆机汇总表!A:AP,8,FALSE))</f>
        <v/>
      </c>
      <c r="J1428" s="8" t="str">
        <f t="shared" si="30"/>
        <v/>
      </c>
    </row>
    <row r="1429" spans="1:10">
      <c r="A1429" s="4">
        <v>1429</v>
      </c>
      <c r="C1429" s="8" t="str">
        <f>IF(B1429="","",VLOOKUP(B1429,小圆机汇总表!A:AP,2,FALSE))</f>
        <v/>
      </c>
      <c r="D1429" s="8" t="str">
        <f>IF(B1429="","",VLOOKUP(B1429,小圆机汇总表!A:AP,7,FALSE))</f>
        <v/>
      </c>
      <c r="E1429" s="8" t="str">
        <f>IF(B1429="","",VLOOKUP(B1429,小圆机汇总表!A:AP,5,FALSE))</f>
        <v/>
      </c>
      <c r="F1429" s="8" t="str">
        <f>IF(B1429="","",VLOOKUP(B1429,小圆机汇总表!A:AP,8,FALSE))</f>
        <v/>
      </c>
      <c r="J1429" s="8" t="str">
        <f t="shared" si="30"/>
        <v/>
      </c>
    </row>
    <row r="1430" spans="1:10">
      <c r="A1430" s="4">
        <v>1430</v>
      </c>
      <c r="C1430" s="8" t="str">
        <f>IF(B1430="","",VLOOKUP(B1430,小圆机汇总表!A:AP,2,FALSE))</f>
        <v/>
      </c>
      <c r="D1430" s="8" t="str">
        <f>IF(B1430="","",VLOOKUP(B1430,小圆机汇总表!A:AP,7,FALSE))</f>
        <v/>
      </c>
      <c r="E1430" s="8" t="str">
        <f>IF(B1430="","",VLOOKUP(B1430,小圆机汇总表!A:AP,5,FALSE))</f>
        <v/>
      </c>
      <c r="F1430" s="8" t="str">
        <f>IF(B1430="","",VLOOKUP(B1430,小圆机汇总表!A:AP,8,FALSE))</f>
        <v/>
      </c>
      <c r="J1430" s="8" t="str">
        <f t="shared" si="30"/>
        <v/>
      </c>
    </row>
    <row r="1431" spans="1:10">
      <c r="A1431" s="4">
        <v>1431</v>
      </c>
      <c r="C1431" s="8" t="str">
        <f>IF(B1431="","",VLOOKUP(B1431,小圆机汇总表!A:AP,2,FALSE))</f>
        <v/>
      </c>
      <c r="D1431" s="8" t="str">
        <f>IF(B1431="","",VLOOKUP(B1431,小圆机汇总表!A:AP,7,FALSE))</f>
        <v/>
      </c>
      <c r="E1431" s="8" t="str">
        <f>IF(B1431="","",VLOOKUP(B1431,小圆机汇总表!A:AP,5,FALSE))</f>
        <v/>
      </c>
      <c r="F1431" s="8" t="str">
        <f>IF(B1431="","",VLOOKUP(B1431,小圆机汇总表!A:AP,8,FALSE))</f>
        <v/>
      </c>
      <c r="J1431" s="8" t="str">
        <f t="shared" si="30"/>
        <v/>
      </c>
    </row>
    <row r="1432" spans="1:10">
      <c r="A1432" s="4">
        <v>1432</v>
      </c>
      <c r="C1432" s="8" t="str">
        <f>IF(B1432="","",VLOOKUP(B1432,小圆机汇总表!A:AP,2,FALSE))</f>
        <v/>
      </c>
      <c r="D1432" s="8" t="str">
        <f>IF(B1432="","",VLOOKUP(B1432,小圆机汇总表!A:AP,7,FALSE))</f>
        <v/>
      </c>
      <c r="E1432" s="8" t="str">
        <f>IF(B1432="","",VLOOKUP(B1432,小圆机汇总表!A:AP,5,FALSE))</f>
        <v/>
      </c>
      <c r="F1432" s="8" t="str">
        <f>IF(B1432="","",VLOOKUP(B1432,小圆机汇总表!A:AP,8,FALSE))</f>
        <v/>
      </c>
      <c r="J1432" s="8" t="str">
        <f t="shared" si="30"/>
        <v/>
      </c>
    </row>
    <row r="1433" spans="1:10">
      <c r="A1433" s="4">
        <v>1433</v>
      </c>
      <c r="C1433" s="8" t="str">
        <f>IF(B1433="","",VLOOKUP(B1433,小圆机汇总表!A:AP,2,FALSE))</f>
        <v/>
      </c>
      <c r="D1433" s="8" t="str">
        <f>IF(B1433="","",VLOOKUP(B1433,小圆机汇总表!A:AP,7,FALSE))</f>
        <v/>
      </c>
      <c r="E1433" s="8" t="str">
        <f>IF(B1433="","",VLOOKUP(B1433,小圆机汇总表!A:AP,5,FALSE))</f>
        <v/>
      </c>
      <c r="F1433" s="8" t="str">
        <f>IF(B1433="","",VLOOKUP(B1433,小圆机汇总表!A:AP,8,FALSE))</f>
        <v/>
      </c>
      <c r="J1433" s="8" t="str">
        <f t="shared" si="30"/>
        <v/>
      </c>
    </row>
    <row r="1434" spans="1:10">
      <c r="A1434" s="4">
        <v>1434</v>
      </c>
      <c r="C1434" s="8" t="str">
        <f>IF(B1434="","",VLOOKUP(B1434,小圆机汇总表!A:AP,2,FALSE))</f>
        <v/>
      </c>
      <c r="D1434" s="8" t="str">
        <f>IF(B1434="","",VLOOKUP(B1434,小圆机汇总表!A:AP,7,FALSE))</f>
        <v/>
      </c>
      <c r="E1434" s="8" t="str">
        <f>IF(B1434="","",VLOOKUP(B1434,小圆机汇总表!A:AP,5,FALSE))</f>
        <v/>
      </c>
      <c r="F1434" s="8" t="str">
        <f>IF(B1434="","",VLOOKUP(B1434,小圆机汇总表!A:AP,8,FALSE))</f>
        <v/>
      </c>
      <c r="J1434" s="8" t="str">
        <f t="shared" si="30"/>
        <v/>
      </c>
    </row>
    <row r="1435" spans="1:10">
      <c r="A1435" s="4">
        <v>1435</v>
      </c>
      <c r="C1435" s="8" t="str">
        <f>IF(B1435="","",VLOOKUP(B1435,小圆机汇总表!A:AP,2,FALSE))</f>
        <v/>
      </c>
      <c r="D1435" s="8" t="str">
        <f>IF(B1435="","",VLOOKUP(B1435,小圆机汇总表!A:AP,7,FALSE))</f>
        <v/>
      </c>
      <c r="E1435" s="8" t="str">
        <f>IF(B1435="","",VLOOKUP(B1435,小圆机汇总表!A:AP,5,FALSE))</f>
        <v/>
      </c>
      <c r="F1435" s="8" t="str">
        <f>IF(B1435="","",VLOOKUP(B1435,小圆机汇总表!A:AP,8,FALSE))</f>
        <v/>
      </c>
      <c r="J1435" s="8" t="str">
        <f t="shared" si="30"/>
        <v/>
      </c>
    </row>
    <row r="1436" spans="1:10">
      <c r="A1436" s="4">
        <v>1436</v>
      </c>
      <c r="C1436" s="8" t="str">
        <f>IF(B1436="","",VLOOKUP(B1436,小圆机汇总表!A:AP,2,FALSE))</f>
        <v/>
      </c>
      <c r="D1436" s="8" t="str">
        <f>IF(B1436="","",VLOOKUP(B1436,小圆机汇总表!A:AP,7,FALSE))</f>
        <v/>
      </c>
      <c r="E1436" s="8" t="str">
        <f>IF(B1436="","",VLOOKUP(B1436,小圆机汇总表!A:AP,5,FALSE))</f>
        <v/>
      </c>
      <c r="F1436" s="8" t="str">
        <f>IF(B1436="","",VLOOKUP(B1436,小圆机汇总表!A:AP,8,FALSE))</f>
        <v/>
      </c>
      <c r="J1436" s="8" t="str">
        <f t="shared" si="30"/>
        <v/>
      </c>
    </row>
    <row r="1437" spans="1:10">
      <c r="A1437" s="4">
        <v>1437</v>
      </c>
      <c r="C1437" s="8" t="str">
        <f>IF(B1437="","",VLOOKUP(B1437,小圆机汇总表!A:AP,2,FALSE))</f>
        <v/>
      </c>
      <c r="D1437" s="8" t="str">
        <f>IF(B1437="","",VLOOKUP(B1437,小圆机汇总表!A:AP,7,FALSE))</f>
        <v/>
      </c>
      <c r="E1437" s="8" t="str">
        <f>IF(B1437="","",VLOOKUP(B1437,小圆机汇总表!A:AP,5,FALSE))</f>
        <v/>
      </c>
      <c r="F1437" s="8" t="str">
        <f>IF(B1437="","",VLOOKUP(B1437,小圆机汇总表!A:AP,8,FALSE))</f>
        <v/>
      </c>
      <c r="J1437" s="8" t="str">
        <f t="shared" si="30"/>
        <v/>
      </c>
    </row>
    <row r="1438" spans="1:10">
      <c r="A1438" s="4">
        <v>1438</v>
      </c>
      <c r="C1438" s="8" t="str">
        <f>IF(B1438="","",VLOOKUP(B1438,小圆机汇总表!A:AP,2,FALSE))</f>
        <v/>
      </c>
      <c r="D1438" s="8" t="str">
        <f>IF(B1438="","",VLOOKUP(B1438,小圆机汇总表!A:AP,7,FALSE))</f>
        <v/>
      </c>
      <c r="E1438" s="8" t="str">
        <f>IF(B1438="","",VLOOKUP(B1438,小圆机汇总表!A:AP,5,FALSE))</f>
        <v/>
      </c>
      <c r="F1438" s="8" t="str">
        <f>IF(B1438="","",VLOOKUP(B1438,小圆机汇总表!A:AP,8,FALSE))</f>
        <v/>
      </c>
      <c r="J1438" s="8" t="str">
        <f t="shared" si="30"/>
        <v/>
      </c>
    </row>
    <row r="1439" spans="1:10">
      <c r="A1439" s="4">
        <v>1439</v>
      </c>
      <c r="C1439" s="8" t="str">
        <f>IF(B1439="","",VLOOKUP(B1439,小圆机汇总表!A:AP,2,FALSE))</f>
        <v/>
      </c>
      <c r="D1439" s="8" t="str">
        <f>IF(B1439="","",VLOOKUP(B1439,小圆机汇总表!A:AP,7,FALSE))</f>
        <v/>
      </c>
      <c r="E1439" s="8" t="str">
        <f>IF(B1439="","",VLOOKUP(B1439,小圆机汇总表!A:AP,5,FALSE))</f>
        <v/>
      </c>
      <c r="F1439" s="8" t="str">
        <f>IF(B1439="","",VLOOKUP(B1439,小圆机汇总表!A:AP,8,FALSE))</f>
        <v/>
      </c>
      <c r="J1439" s="8" t="str">
        <f t="shared" si="30"/>
        <v/>
      </c>
    </row>
    <row r="1440" spans="1:10">
      <c r="A1440" s="4">
        <v>1440</v>
      </c>
      <c r="C1440" s="8" t="str">
        <f>IF(B1440="","",VLOOKUP(B1440,小圆机汇总表!A:AP,2,FALSE))</f>
        <v/>
      </c>
      <c r="D1440" s="8" t="str">
        <f>IF(B1440="","",VLOOKUP(B1440,小圆机汇总表!A:AP,7,FALSE))</f>
        <v/>
      </c>
      <c r="E1440" s="8" t="str">
        <f>IF(B1440="","",VLOOKUP(B1440,小圆机汇总表!A:AP,5,FALSE))</f>
        <v/>
      </c>
      <c r="F1440" s="8" t="str">
        <f>IF(B1440="","",VLOOKUP(B1440,小圆机汇总表!A:AP,8,FALSE))</f>
        <v/>
      </c>
      <c r="J1440" s="8" t="str">
        <f t="shared" si="30"/>
        <v/>
      </c>
    </row>
    <row r="1441" spans="1:10">
      <c r="A1441" s="4">
        <v>1441</v>
      </c>
      <c r="C1441" s="8" t="str">
        <f>IF(B1441="","",VLOOKUP(B1441,小圆机汇总表!A:AP,2,FALSE))</f>
        <v/>
      </c>
      <c r="D1441" s="8" t="str">
        <f>IF(B1441="","",VLOOKUP(B1441,小圆机汇总表!A:AP,7,FALSE))</f>
        <v/>
      </c>
      <c r="E1441" s="8" t="str">
        <f>IF(B1441="","",VLOOKUP(B1441,小圆机汇总表!A:AP,5,FALSE))</f>
        <v/>
      </c>
      <c r="F1441" s="8" t="str">
        <f>IF(B1441="","",VLOOKUP(B1441,小圆机汇总表!A:AP,8,FALSE))</f>
        <v/>
      </c>
      <c r="J1441" s="8" t="str">
        <f t="shared" si="30"/>
        <v/>
      </c>
    </row>
    <row r="1442" spans="1:10">
      <c r="A1442" s="4">
        <v>1442</v>
      </c>
      <c r="C1442" s="8" t="str">
        <f>IF(B1442="","",VLOOKUP(B1442,小圆机汇总表!A:AP,2,FALSE))</f>
        <v/>
      </c>
      <c r="D1442" s="8" t="str">
        <f>IF(B1442="","",VLOOKUP(B1442,小圆机汇总表!A:AP,7,FALSE))</f>
        <v/>
      </c>
      <c r="E1442" s="8" t="str">
        <f>IF(B1442="","",VLOOKUP(B1442,小圆机汇总表!A:AP,5,FALSE))</f>
        <v/>
      </c>
      <c r="F1442" s="8" t="str">
        <f>IF(B1442="","",VLOOKUP(B1442,小圆机汇总表!A:AP,8,FALSE))</f>
        <v/>
      </c>
      <c r="J1442" s="8" t="str">
        <f t="shared" si="30"/>
        <v/>
      </c>
    </row>
    <row r="1443" spans="1:10">
      <c r="A1443" s="4">
        <v>1443</v>
      </c>
      <c r="C1443" s="8" t="str">
        <f>IF(B1443="","",VLOOKUP(B1443,小圆机汇总表!A:AP,2,FALSE))</f>
        <v/>
      </c>
      <c r="D1443" s="8" t="str">
        <f>IF(B1443="","",VLOOKUP(B1443,小圆机汇总表!A:AP,7,FALSE))</f>
        <v/>
      </c>
      <c r="E1443" s="8" t="str">
        <f>IF(B1443="","",VLOOKUP(B1443,小圆机汇总表!A:AP,5,FALSE))</f>
        <v/>
      </c>
      <c r="F1443" s="8" t="str">
        <f>IF(B1443="","",VLOOKUP(B1443,小圆机汇总表!A:AP,8,FALSE))</f>
        <v/>
      </c>
      <c r="J1443" s="8" t="str">
        <f t="shared" ref="J1443:J1506" si="31">IF(B1443="","",MONTH(G1443))</f>
        <v/>
      </c>
    </row>
    <row r="1444" spans="1:10">
      <c r="A1444" s="4">
        <v>1444</v>
      </c>
      <c r="C1444" s="8" t="str">
        <f>IF(B1444="","",VLOOKUP(B1444,小圆机汇总表!A:AP,2,FALSE))</f>
        <v/>
      </c>
      <c r="D1444" s="8" t="str">
        <f>IF(B1444="","",VLOOKUP(B1444,小圆机汇总表!A:AP,7,FALSE))</f>
        <v/>
      </c>
      <c r="E1444" s="8" t="str">
        <f>IF(B1444="","",VLOOKUP(B1444,小圆机汇总表!A:AP,5,FALSE))</f>
        <v/>
      </c>
      <c r="F1444" s="8" t="str">
        <f>IF(B1444="","",VLOOKUP(B1444,小圆机汇总表!A:AP,8,FALSE))</f>
        <v/>
      </c>
      <c r="J1444" s="8" t="str">
        <f t="shared" si="31"/>
        <v/>
      </c>
    </row>
    <row r="1445" spans="1:10">
      <c r="A1445" s="4">
        <v>1445</v>
      </c>
      <c r="C1445" s="8" t="str">
        <f>IF(B1445="","",VLOOKUP(B1445,小圆机汇总表!A:AP,2,FALSE))</f>
        <v/>
      </c>
      <c r="D1445" s="8" t="str">
        <f>IF(B1445="","",VLOOKUP(B1445,小圆机汇总表!A:AP,7,FALSE))</f>
        <v/>
      </c>
      <c r="E1445" s="8" t="str">
        <f>IF(B1445="","",VLOOKUP(B1445,小圆机汇总表!A:AP,5,FALSE))</f>
        <v/>
      </c>
      <c r="F1445" s="8" t="str">
        <f>IF(B1445="","",VLOOKUP(B1445,小圆机汇总表!A:AP,8,FALSE))</f>
        <v/>
      </c>
      <c r="J1445" s="8" t="str">
        <f t="shared" si="31"/>
        <v/>
      </c>
    </row>
    <row r="1446" spans="1:10">
      <c r="A1446" s="4">
        <v>1446</v>
      </c>
      <c r="C1446" s="8" t="str">
        <f>IF(B1446="","",VLOOKUP(B1446,小圆机汇总表!A:AP,2,FALSE))</f>
        <v/>
      </c>
      <c r="D1446" s="8" t="str">
        <f>IF(B1446="","",VLOOKUP(B1446,小圆机汇总表!A:AP,7,FALSE))</f>
        <v/>
      </c>
      <c r="E1446" s="8" t="str">
        <f>IF(B1446="","",VLOOKUP(B1446,小圆机汇总表!A:AP,5,FALSE))</f>
        <v/>
      </c>
      <c r="F1446" s="8" t="str">
        <f>IF(B1446="","",VLOOKUP(B1446,小圆机汇总表!A:AP,8,FALSE))</f>
        <v/>
      </c>
      <c r="J1446" s="8" t="str">
        <f t="shared" si="31"/>
        <v/>
      </c>
    </row>
    <row r="1447" spans="1:10">
      <c r="A1447" s="4">
        <v>1447</v>
      </c>
      <c r="C1447" s="8" t="str">
        <f>IF(B1447="","",VLOOKUP(B1447,小圆机汇总表!A:AP,2,FALSE))</f>
        <v/>
      </c>
      <c r="D1447" s="8" t="str">
        <f>IF(B1447="","",VLOOKUP(B1447,小圆机汇总表!A:AP,7,FALSE))</f>
        <v/>
      </c>
      <c r="E1447" s="8" t="str">
        <f>IF(B1447="","",VLOOKUP(B1447,小圆机汇总表!A:AP,5,FALSE))</f>
        <v/>
      </c>
      <c r="F1447" s="8" t="str">
        <f>IF(B1447="","",VLOOKUP(B1447,小圆机汇总表!A:AP,8,FALSE))</f>
        <v/>
      </c>
      <c r="J1447" s="8" t="str">
        <f t="shared" si="31"/>
        <v/>
      </c>
    </row>
    <row r="1448" spans="1:10">
      <c r="A1448" s="4">
        <v>1448</v>
      </c>
      <c r="C1448" s="8" t="str">
        <f>IF(B1448="","",VLOOKUP(B1448,小圆机汇总表!A:AP,2,FALSE))</f>
        <v/>
      </c>
      <c r="D1448" s="8" t="str">
        <f>IF(B1448="","",VLOOKUP(B1448,小圆机汇总表!A:AP,7,FALSE))</f>
        <v/>
      </c>
      <c r="E1448" s="8" t="str">
        <f>IF(B1448="","",VLOOKUP(B1448,小圆机汇总表!A:AP,5,FALSE))</f>
        <v/>
      </c>
      <c r="F1448" s="8" t="str">
        <f>IF(B1448="","",VLOOKUP(B1448,小圆机汇总表!A:AP,8,FALSE))</f>
        <v/>
      </c>
      <c r="J1448" s="8" t="str">
        <f t="shared" si="31"/>
        <v/>
      </c>
    </row>
    <row r="1449" spans="1:10">
      <c r="A1449" s="4">
        <v>1449</v>
      </c>
      <c r="C1449" s="8" t="str">
        <f>IF(B1449="","",VLOOKUP(B1449,小圆机汇总表!A:AP,2,FALSE))</f>
        <v/>
      </c>
      <c r="D1449" s="8" t="str">
        <f>IF(B1449="","",VLOOKUP(B1449,小圆机汇总表!A:AP,7,FALSE))</f>
        <v/>
      </c>
      <c r="E1449" s="8" t="str">
        <f>IF(B1449="","",VLOOKUP(B1449,小圆机汇总表!A:AP,5,FALSE))</f>
        <v/>
      </c>
      <c r="F1449" s="8" t="str">
        <f>IF(B1449="","",VLOOKUP(B1449,小圆机汇总表!A:AP,8,FALSE))</f>
        <v/>
      </c>
      <c r="J1449" s="8" t="str">
        <f t="shared" si="31"/>
        <v/>
      </c>
    </row>
    <row r="1450" spans="1:10">
      <c r="A1450" s="4">
        <v>1450</v>
      </c>
      <c r="C1450" s="8" t="str">
        <f>IF(B1450="","",VLOOKUP(B1450,小圆机汇总表!A:AP,2,FALSE))</f>
        <v/>
      </c>
      <c r="D1450" s="8" t="str">
        <f>IF(B1450="","",VLOOKUP(B1450,小圆机汇总表!A:AP,7,FALSE))</f>
        <v/>
      </c>
      <c r="E1450" s="8" t="str">
        <f>IF(B1450="","",VLOOKUP(B1450,小圆机汇总表!A:AP,5,FALSE))</f>
        <v/>
      </c>
      <c r="F1450" s="8" t="str">
        <f>IF(B1450="","",VLOOKUP(B1450,小圆机汇总表!A:AP,8,FALSE))</f>
        <v/>
      </c>
      <c r="J1450" s="8" t="str">
        <f t="shared" si="31"/>
        <v/>
      </c>
    </row>
    <row r="1451" spans="1:10">
      <c r="A1451" s="4">
        <v>1451</v>
      </c>
      <c r="C1451" s="8" t="str">
        <f>IF(B1451="","",VLOOKUP(B1451,小圆机汇总表!A:AP,2,FALSE))</f>
        <v/>
      </c>
      <c r="D1451" s="8" t="str">
        <f>IF(B1451="","",VLOOKUP(B1451,小圆机汇总表!A:AP,7,FALSE))</f>
        <v/>
      </c>
      <c r="E1451" s="8" t="str">
        <f>IF(B1451="","",VLOOKUP(B1451,小圆机汇总表!A:AP,5,FALSE))</f>
        <v/>
      </c>
      <c r="F1451" s="8" t="str">
        <f>IF(B1451="","",VLOOKUP(B1451,小圆机汇总表!A:AP,8,FALSE))</f>
        <v/>
      </c>
      <c r="J1451" s="8" t="str">
        <f t="shared" si="31"/>
        <v/>
      </c>
    </row>
    <row r="1452" spans="1:10">
      <c r="A1452" s="4">
        <v>1452</v>
      </c>
      <c r="C1452" s="8" t="str">
        <f>IF(B1452="","",VLOOKUP(B1452,小圆机汇总表!A:AP,2,FALSE))</f>
        <v/>
      </c>
      <c r="D1452" s="8" t="str">
        <f>IF(B1452="","",VLOOKUP(B1452,小圆机汇总表!A:AP,7,FALSE))</f>
        <v/>
      </c>
      <c r="E1452" s="8" t="str">
        <f>IF(B1452="","",VLOOKUP(B1452,小圆机汇总表!A:AP,5,FALSE))</f>
        <v/>
      </c>
      <c r="F1452" s="8" t="str">
        <f>IF(B1452="","",VLOOKUP(B1452,小圆机汇总表!A:AP,8,FALSE))</f>
        <v/>
      </c>
      <c r="J1452" s="8" t="str">
        <f t="shared" si="31"/>
        <v/>
      </c>
    </row>
    <row r="1453" spans="1:10">
      <c r="A1453" s="4">
        <v>1453</v>
      </c>
      <c r="C1453" s="8" t="str">
        <f>IF(B1453="","",VLOOKUP(B1453,小圆机汇总表!A:AP,2,FALSE))</f>
        <v/>
      </c>
      <c r="D1453" s="8" t="str">
        <f>IF(B1453="","",VLOOKUP(B1453,小圆机汇总表!A:AP,7,FALSE))</f>
        <v/>
      </c>
      <c r="E1453" s="8" t="str">
        <f>IF(B1453="","",VLOOKUP(B1453,小圆机汇总表!A:AP,5,FALSE))</f>
        <v/>
      </c>
      <c r="F1453" s="8" t="str">
        <f>IF(B1453="","",VLOOKUP(B1453,小圆机汇总表!A:AP,8,FALSE))</f>
        <v/>
      </c>
      <c r="J1453" s="8" t="str">
        <f t="shared" si="31"/>
        <v/>
      </c>
    </row>
    <row r="1454" spans="1:10">
      <c r="A1454" s="4">
        <v>1454</v>
      </c>
      <c r="C1454" s="8" t="str">
        <f>IF(B1454="","",VLOOKUP(B1454,小圆机汇总表!A:AP,2,FALSE))</f>
        <v/>
      </c>
      <c r="D1454" s="8" t="str">
        <f>IF(B1454="","",VLOOKUP(B1454,小圆机汇总表!A:AP,7,FALSE))</f>
        <v/>
      </c>
      <c r="E1454" s="8" t="str">
        <f>IF(B1454="","",VLOOKUP(B1454,小圆机汇总表!A:AP,5,FALSE))</f>
        <v/>
      </c>
      <c r="F1454" s="8" t="str">
        <f>IF(B1454="","",VLOOKUP(B1454,小圆机汇总表!A:AP,8,FALSE))</f>
        <v/>
      </c>
      <c r="J1454" s="8" t="str">
        <f t="shared" si="31"/>
        <v/>
      </c>
    </row>
    <row r="1455" spans="1:10">
      <c r="A1455" s="4">
        <v>1455</v>
      </c>
      <c r="C1455" s="8" t="str">
        <f>IF(B1455="","",VLOOKUP(B1455,小圆机汇总表!A:AP,2,FALSE))</f>
        <v/>
      </c>
      <c r="D1455" s="8" t="str">
        <f>IF(B1455="","",VLOOKUP(B1455,小圆机汇总表!A:AP,7,FALSE))</f>
        <v/>
      </c>
      <c r="E1455" s="8" t="str">
        <f>IF(B1455="","",VLOOKUP(B1455,小圆机汇总表!A:AP,5,FALSE))</f>
        <v/>
      </c>
      <c r="F1455" s="8" t="str">
        <f>IF(B1455="","",VLOOKUP(B1455,小圆机汇总表!A:AP,8,FALSE))</f>
        <v/>
      </c>
      <c r="J1455" s="8" t="str">
        <f t="shared" si="31"/>
        <v/>
      </c>
    </row>
    <row r="1456" spans="1:10">
      <c r="A1456" s="4">
        <v>1456</v>
      </c>
      <c r="C1456" s="8" t="str">
        <f>IF(B1456="","",VLOOKUP(B1456,小圆机汇总表!A:AP,2,FALSE))</f>
        <v/>
      </c>
      <c r="D1456" s="8" t="str">
        <f>IF(B1456="","",VLOOKUP(B1456,小圆机汇总表!A:AP,7,FALSE))</f>
        <v/>
      </c>
      <c r="E1456" s="8" t="str">
        <f>IF(B1456="","",VLOOKUP(B1456,小圆机汇总表!A:AP,5,FALSE))</f>
        <v/>
      </c>
      <c r="F1456" s="8" t="str">
        <f>IF(B1456="","",VLOOKUP(B1456,小圆机汇总表!A:AP,8,FALSE))</f>
        <v/>
      </c>
      <c r="J1456" s="8" t="str">
        <f t="shared" si="31"/>
        <v/>
      </c>
    </row>
    <row r="1457" spans="1:10">
      <c r="A1457" s="4">
        <v>1457</v>
      </c>
      <c r="C1457" s="8" t="str">
        <f>IF(B1457="","",VLOOKUP(B1457,小圆机汇总表!A:AP,2,FALSE))</f>
        <v/>
      </c>
      <c r="D1457" s="8" t="str">
        <f>IF(B1457="","",VLOOKUP(B1457,小圆机汇总表!A:AP,7,FALSE))</f>
        <v/>
      </c>
      <c r="E1457" s="8" t="str">
        <f>IF(B1457="","",VLOOKUP(B1457,小圆机汇总表!A:AP,5,FALSE))</f>
        <v/>
      </c>
      <c r="F1457" s="8" t="str">
        <f>IF(B1457="","",VLOOKUP(B1457,小圆机汇总表!A:AP,8,FALSE))</f>
        <v/>
      </c>
      <c r="J1457" s="8" t="str">
        <f t="shared" si="31"/>
        <v/>
      </c>
    </row>
    <row r="1458" spans="1:10">
      <c r="A1458" s="4">
        <v>1458</v>
      </c>
      <c r="C1458" s="8" t="str">
        <f>IF(B1458="","",VLOOKUP(B1458,小圆机汇总表!A:AP,2,FALSE))</f>
        <v/>
      </c>
      <c r="D1458" s="8" t="str">
        <f>IF(B1458="","",VLOOKUP(B1458,小圆机汇总表!A:AP,7,FALSE))</f>
        <v/>
      </c>
      <c r="E1458" s="8" t="str">
        <f>IF(B1458="","",VLOOKUP(B1458,小圆机汇总表!A:AP,5,FALSE))</f>
        <v/>
      </c>
      <c r="F1458" s="8" t="str">
        <f>IF(B1458="","",VLOOKUP(B1458,小圆机汇总表!A:AP,8,FALSE))</f>
        <v/>
      </c>
      <c r="J1458" s="8" t="str">
        <f t="shared" si="31"/>
        <v/>
      </c>
    </row>
    <row r="1459" spans="1:10">
      <c r="A1459" s="4">
        <v>1459</v>
      </c>
      <c r="C1459" s="8" t="str">
        <f>IF(B1459="","",VLOOKUP(B1459,小圆机汇总表!A:AP,2,FALSE))</f>
        <v/>
      </c>
      <c r="D1459" s="8" t="str">
        <f>IF(B1459="","",VLOOKUP(B1459,小圆机汇总表!A:AP,7,FALSE))</f>
        <v/>
      </c>
      <c r="E1459" s="8" t="str">
        <f>IF(B1459="","",VLOOKUP(B1459,小圆机汇总表!A:AP,5,FALSE))</f>
        <v/>
      </c>
      <c r="F1459" s="8" t="str">
        <f>IF(B1459="","",VLOOKUP(B1459,小圆机汇总表!A:AP,8,FALSE))</f>
        <v/>
      </c>
      <c r="J1459" s="8" t="str">
        <f t="shared" si="31"/>
        <v/>
      </c>
    </row>
    <row r="1460" spans="1:10">
      <c r="A1460" s="4">
        <v>1460</v>
      </c>
      <c r="C1460" s="8" t="str">
        <f>IF(B1460="","",VLOOKUP(B1460,小圆机汇总表!A:AP,2,FALSE))</f>
        <v/>
      </c>
      <c r="D1460" s="8" t="str">
        <f>IF(B1460="","",VLOOKUP(B1460,小圆机汇总表!A:AP,7,FALSE))</f>
        <v/>
      </c>
      <c r="E1460" s="8" t="str">
        <f>IF(B1460="","",VLOOKUP(B1460,小圆机汇总表!A:AP,5,FALSE))</f>
        <v/>
      </c>
      <c r="F1460" s="8" t="str">
        <f>IF(B1460="","",VLOOKUP(B1460,小圆机汇总表!A:AP,8,FALSE))</f>
        <v/>
      </c>
      <c r="J1460" s="8" t="str">
        <f t="shared" si="31"/>
        <v/>
      </c>
    </row>
    <row r="1461" spans="1:10">
      <c r="A1461" s="4">
        <v>1461</v>
      </c>
      <c r="C1461" s="8" t="str">
        <f>IF(B1461="","",VLOOKUP(B1461,小圆机汇总表!A:AP,2,FALSE))</f>
        <v/>
      </c>
      <c r="D1461" s="8" t="str">
        <f>IF(B1461="","",VLOOKUP(B1461,小圆机汇总表!A:AP,7,FALSE))</f>
        <v/>
      </c>
      <c r="E1461" s="8" t="str">
        <f>IF(B1461="","",VLOOKUP(B1461,小圆机汇总表!A:AP,5,FALSE))</f>
        <v/>
      </c>
      <c r="F1461" s="8" t="str">
        <f>IF(B1461="","",VLOOKUP(B1461,小圆机汇总表!A:AP,8,FALSE))</f>
        <v/>
      </c>
      <c r="J1461" s="8" t="str">
        <f t="shared" si="31"/>
        <v/>
      </c>
    </row>
    <row r="1462" spans="1:10">
      <c r="A1462" s="4">
        <v>1462</v>
      </c>
      <c r="C1462" s="8" t="str">
        <f>IF(B1462="","",VLOOKUP(B1462,小圆机汇总表!A:AP,2,FALSE))</f>
        <v/>
      </c>
      <c r="D1462" s="8" t="str">
        <f>IF(B1462="","",VLOOKUP(B1462,小圆机汇总表!A:AP,7,FALSE))</f>
        <v/>
      </c>
      <c r="E1462" s="8" t="str">
        <f>IF(B1462="","",VLOOKUP(B1462,小圆机汇总表!A:AP,5,FALSE))</f>
        <v/>
      </c>
      <c r="F1462" s="8" t="str">
        <f>IF(B1462="","",VLOOKUP(B1462,小圆机汇总表!A:AP,8,FALSE))</f>
        <v/>
      </c>
      <c r="J1462" s="8" t="str">
        <f t="shared" si="31"/>
        <v/>
      </c>
    </row>
    <row r="1463" spans="1:10">
      <c r="A1463" s="4">
        <v>1463</v>
      </c>
      <c r="C1463" s="8" t="str">
        <f>IF(B1463="","",VLOOKUP(B1463,小圆机汇总表!A:AP,2,FALSE))</f>
        <v/>
      </c>
      <c r="D1463" s="8" t="str">
        <f>IF(B1463="","",VLOOKUP(B1463,小圆机汇总表!A:AP,7,FALSE))</f>
        <v/>
      </c>
      <c r="E1463" s="8" t="str">
        <f>IF(B1463="","",VLOOKUP(B1463,小圆机汇总表!A:AP,5,FALSE))</f>
        <v/>
      </c>
      <c r="F1463" s="8" t="str">
        <f>IF(B1463="","",VLOOKUP(B1463,小圆机汇总表!A:AP,8,FALSE))</f>
        <v/>
      </c>
      <c r="J1463" s="8" t="str">
        <f t="shared" si="31"/>
        <v/>
      </c>
    </row>
    <row r="1464" spans="1:10">
      <c r="A1464" s="4">
        <v>1464</v>
      </c>
      <c r="C1464" s="8" t="str">
        <f>IF(B1464="","",VLOOKUP(B1464,小圆机汇总表!A:AP,2,FALSE))</f>
        <v/>
      </c>
      <c r="D1464" s="8" t="str">
        <f>IF(B1464="","",VLOOKUP(B1464,小圆机汇总表!A:AP,7,FALSE))</f>
        <v/>
      </c>
      <c r="E1464" s="8" t="str">
        <f>IF(B1464="","",VLOOKUP(B1464,小圆机汇总表!A:AP,5,FALSE))</f>
        <v/>
      </c>
      <c r="F1464" s="8" t="str">
        <f>IF(B1464="","",VLOOKUP(B1464,小圆机汇总表!A:AP,8,FALSE))</f>
        <v/>
      </c>
      <c r="J1464" s="8" t="str">
        <f t="shared" si="31"/>
        <v/>
      </c>
    </row>
    <row r="1465" spans="1:10">
      <c r="A1465" s="4">
        <v>1465</v>
      </c>
      <c r="C1465" s="8" t="str">
        <f>IF(B1465="","",VLOOKUP(B1465,小圆机汇总表!A:AP,2,FALSE))</f>
        <v/>
      </c>
      <c r="D1465" s="8" t="str">
        <f>IF(B1465="","",VLOOKUP(B1465,小圆机汇总表!A:AP,7,FALSE))</f>
        <v/>
      </c>
      <c r="E1465" s="8" t="str">
        <f>IF(B1465="","",VLOOKUP(B1465,小圆机汇总表!A:AP,5,FALSE))</f>
        <v/>
      </c>
      <c r="F1465" s="8" t="str">
        <f>IF(B1465="","",VLOOKUP(B1465,小圆机汇总表!A:AP,8,FALSE))</f>
        <v/>
      </c>
      <c r="J1465" s="8" t="str">
        <f t="shared" si="31"/>
        <v/>
      </c>
    </row>
    <row r="1466" spans="1:10">
      <c r="A1466" s="4">
        <v>1466</v>
      </c>
      <c r="C1466" s="8" t="str">
        <f>IF(B1466="","",VLOOKUP(B1466,小圆机汇总表!A:AP,2,FALSE))</f>
        <v/>
      </c>
      <c r="D1466" s="8" t="str">
        <f>IF(B1466="","",VLOOKUP(B1466,小圆机汇总表!A:AP,7,FALSE))</f>
        <v/>
      </c>
      <c r="E1466" s="8" t="str">
        <f>IF(B1466="","",VLOOKUP(B1466,小圆机汇总表!A:AP,5,FALSE))</f>
        <v/>
      </c>
      <c r="F1466" s="8" t="str">
        <f>IF(B1466="","",VLOOKUP(B1466,小圆机汇总表!A:AP,8,FALSE))</f>
        <v/>
      </c>
      <c r="J1466" s="8" t="str">
        <f t="shared" si="31"/>
        <v/>
      </c>
    </row>
    <row r="1467" spans="1:10">
      <c r="A1467" s="4">
        <v>1467</v>
      </c>
      <c r="C1467" s="8" t="str">
        <f>IF(B1467="","",VLOOKUP(B1467,小圆机汇总表!A:AP,2,FALSE))</f>
        <v/>
      </c>
      <c r="D1467" s="8" t="str">
        <f>IF(B1467="","",VLOOKUP(B1467,小圆机汇总表!A:AP,7,FALSE))</f>
        <v/>
      </c>
      <c r="E1467" s="8" t="str">
        <f>IF(B1467="","",VLOOKUP(B1467,小圆机汇总表!A:AP,5,FALSE))</f>
        <v/>
      </c>
      <c r="F1467" s="8" t="str">
        <f>IF(B1467="","",VLOOKUP(B1467,小圆机汇总表!A:AP,8,FALSE))</f>
        <v/>
      </c>
      <c r="J1467" s="8" t="str">
        <f t="shared" si="31"/>
        <v/>
      </c>
    </row>
    <row r="1468" spans="1:10">
      <c r="A1468" s="4">
        <v>1468</v>
      </c>
      <c r="C1468" s="8" t="str">
        <f>IF(B1468="","",VLOOKUP(B1468,小圆机汇总表!A:AP,2,FALSE))</f>
        <v/>
      </c>
      <c r="D1468" s="8" t="str">
        <f>IF(B1468="","",VLOOKUP(B1468,小圆机汇总表!A:AP,7,FALSE))</f>
        <v/>
      </c>
      <c r="E1468" s="8" t="str">
        <f>IF(B1468="","",VLOOKUP(B1468,小圆机汇总表!A:AP,5,FALSE))</f>
        <v/>
      </c>
      <c r="F1468" s="8" t="str">
        <f>IF(B1468="","",VLOOKUP(B1468,小圆机汇总表!A:AP,8,FALSE))</f>
        <v/>
      </c>
      <c r="J1468" s="8" t="str">
        <f t="shared" si="31"/>
        <v/>
      </c>
    </row>
    <row r="1469" spans="1:10">
      <c r="A1469" s="4">
        <v>1469</v>
      </c>
      <c r="C1469" s="8" t="str">
        <f>IF(B1469="","",VLOOKUP(B1469,小圆机汇总表!A:AP,2,FALSE))</f>
        <v/>
      </c>
      <c r="D1469" s="8" t="str">
        <f>IF(B1469="","",VLOOKUP(B1469,小圆机汇总表!A:AP,7,FALSE))</f>
        <v/>
      </c>
      <c r="E1469" s="8" t="str">
        <f>IF(B1469="","",VLOOKUP(B1469,小圆机汇总表!A:AP,5,FALSE))</f>
        <v/>
      </c>
      <c r="F1469" s="8" t="str">
        <f>IF(B1469="","",VLOOKUP(B1469,小圆机汇总表!A:AP,8,FALSE))</f>
        <v/>
      </c>
      <c r="J1469" s="8" t="str">
        <f t="shared" si="31"/>
        <v/>
      </c>
    </row>
    <row r="1470" spans="1:10">
      <c r="A1470" s="4">
        <v>1470</v>
      </c>
      <c r="C1470" s="8" t="str">
        <f>IF(B1470="","",VLOOKUP(B1470,小圆机汇总表!A:AP,2,FALSE))</f>
        <v/>
      </c>
      <c r="D1470" s="8" t="str">
        <f>IF(B1470="","",VLOOKUP(B1470,小圆机汇总表!A:AP,7,FALSE))</f>
        <v/>
      </c>
      <c r="E1470" s="8" t="str">
        <f>IF(B1470="","",VLOOKUP(B1470,小圆机汇总表!A:AP,5,FALSE))</f>
        <v/>
      </c>
      <c r="F1470" s="8" t="str">
        <f>IF(B1470="","",VLOOKUP(B1470,小圆机汇总表!A:AP,8,FALSE))</f>
        <v/>
      </c>
      <c r="J1470" s="8" t="str">
        <f t="shared" si="31"/>
        <v/>
      </c>
    </row>
    <row r="1471" spans="1:10">
      <c r="A1471" s="4">
        <v>1471</v>
      </c>
      <c r="C1471" s="8" t="str">
        <f>IF(B1471="","",VLOOKUP(B1471,小圆机汇总表!A:AP,2,FALSE))</f>
        <v/>
      </c>
      <c r="D1471" s="8" t="str">
        <f>IF(B1471="","",VLOOKUP(B1471,小圆机汇总表!A:AP,7,FALSE))</f>
        <v/>
      </c>
      <c r="E1471" s="8" t="str">
        <f>IF(B1471="","",VLOOKUP(B1471,小圆机汇总表!A:AP,5,FALSE))</f>
        <v/>
      </c>
      <c r="F1471" s="8" t="str">
        <f>IF(B1471="","",VLOOKUP(B1471,小圆机汇总表!A:AP,8,FALSE))</f>
        <v/>
      </c>
      <c r="J1471" s="8" t="str">
        <f t="shared" si="31"/>
        <v/>
      </c>
    </row>
    <row r="1472" spans="1:10">
      <c r="A1472" s="4">
        <v>1472</v>
      </c>
      <c r="C1472" s="8" t="str">
        <f>IF(B1472="","",VLOOKUP(B1472,小圆机汇总表!A:AP,2,FALSE))</f>
        <v/>
      </c>
      <c r="D1472" s="8" t="str">
        <f>IF(B1472="","",VLOOKUP(B1472,小圆机汇总表!A:AP,7,FALSE))</f>
        <v/>
      </c>
      <c r="E1472" s="8" t="str">
        <f>IF(B1472="","",VLOOKUP(B1472,小圆机汇总表!A:AP,5,FALSE))</f>
        <v/>
      </c>
      <c r="F1472" s="8" t="str">
        <f>IF(B1472="","",VLOOKUP(B1472,小圆机汇总表!A:AP,8,FALSE))</f>
        <v/>
      </c>
      <c r="J1472" s="8" t="str">
        <f t="shared" si="31"/>
        <v/>
      </c>
    </row>
    <row r="1473" spans="1:10">
      <c r="A1473" s="4">
        <v>1473</v>
      </c>
      <c r="C1473" s="8" t="str">
        <f>IF(B1473="","",VLOOKUP(B1473,小圆机汇总表!A:AP,2,FALSE))</f>
        <v/>
      </c>
      <c r="D1473" s="8" t="str">
        <f>IF(B1473="","",VLOOKUP(B1473,小圆机汇总表!A:AP,7,FALSE))</f>
        <v/>
      </c>
      <c r="E1473" s="8" t="str">
        <f>IF(B1473="","",VLOOKUP(B1473,小圆机汇总表!A:AP,5,FALSE))</f>
        <v/>
      </c>
      <c r="F1473" s="8" t="str">
        <f>IF(B1473="","",VLOOKUP(B1473,小圆机汇总表!A:AP,8,FALSE))</f>
        <v/>
      </c>
      <c r="J1473" s="8" t="str">
        <f t="shared" si="31"/>
        <v/>
      </c>
    </row>
    <row r="1474" spans="1:10">
      <c r="A1474" s="4">
        <v>1474</v>
      </c>
      <c r="C1474" s="8" t="str">
        <f>IF(B1474="","",VLOOKUP(B1474,小圆机汇总表!A:AP,2,FALSE))</f>
        <v/>
      </c>
      <c r="D1474" s="8" t="str">
        <f>IF(B1474="","",VLOOKUP(B1474,小圆机汇总表!A:AP,7,FALSE))</f>
        <v/>
      </c>
      <c r="E1474" s="8" t="str">
        <f>IF(B1474="","",VLOOKUP(B1474,小圆机汇总表!A:AP,5,FALSE))</f>
        <v/>
      </c>
      <c r="F1474" s="8" t="str">
        <f>IF(B1474="","",VLOOKUP(B1474,小圆机汇总表!A:AP,8,FALSE))</f>
        <v/>
      </c>
      <c r="J1474" s="8" t="str">
        <f t="shared" si="31"/>
        <v/>
      </c>
    </row>
    <row r="1475" spans="1:10">
      <c r="A1475" s="4">
        <v>1475</v>
      </c>
      <c r="C1475" s="8" t="str">
        <f>IF(B1475="","",VLOOKUP(B1475,小圆机汇总表!A:AP,2,FALSE))</f>
        <v/>
      </c>
      <c r="D1475" s="8" t="str">
        <f>IF(B1475="","",VLOOKUP(B1475,小圆机汇总表!A:AP,7,FALSE))</f>
        <v/>
      </c>
      <c r="E1475" s="8" t="str">
        <f>IF(B1475="","",VLOOKUP(B1475,小圆机汇总表!A:AP,5,FALSE))</f>
        <v/>
      </c>
      <c r="F1475" s="8" t="str">
        <f>IF(B1475="","",VLOOKUP(B1475,小圆机汇总表!A:AP,8,FALSE))</f>
        <v/>
      </c>
      <c r="J1475" s="8" t="str">
        <f t="shared" si="31"/>
        <v/>
      </c>
    </row>
    <row r="1476" spans="1:10">
      <c r="A1476" s="4">
        <v>1476</v>
      </c>
      <c r="C1476" s="8" t="str">
        <f>IF(B1476="","",VLOOKUP(B1476,小圆机汇总表!A:AP,2,FALSE))</f>
        <v/>
      </c>
      <c r="D1476" s="8" t="str">
        <f>IF(B1476="","",VLOOKUP(B1476,小圆机汇总表!A:AP,7,FALSE))</f>
        <v/>
      </c>
      <c r="E1476" s="8" t="str">
        <f>IF(B1476="","",VLOOKUP(B1476,小圆机汇总表!A:AP,5,FALSE))</f>
        <v/>
      </c>
      <c r="F1476" s="8" t="str">
        <f>IF(B1476="","",VLOOKUP(B1476,小圆机汇总表!A:AP,8,FALSE))</f>
        <v/>
      </c>
      <c r="J1476" s="8" t="str">
        <f t="shared" si="31"/>
        <v/>
      </c>
    </row>
    <row r="1477" spans="1:10">
      <c r="A1477" s="4">
        <v>1477</v>
      </c>
      <c r="C1477" s="8" t="str">
        <f>IF(B1477="","",VLOOKUP(B1477,小圆机汇总表!A:AP,2,FALSE))</f>
        <v/>
      </c>
      <c r="D1477" s="8" t="str">
        <f>IF(B1477="","",VLOOKUP(B1477,小圆机汇总表!A:AP,7,FALSE))</f>
        <v/>
      </c>
      <c r="E1477" s="8" t="str">
        <f>IF(B1477="","",VLOOKUP(B1477,小圆机汇总表!A:AP,5,FALSE))</f>
        <v/>
      </c>
      <c r="F1477" s="8" t="str">
        <f>IF(B1477="","",VLOOKUP(B1477,小圆机汇总表!A:AP,8,FALSE))</f>
        <v/>
      </c>
      <c r="J1477" s="8" t="str">
        <f t="shared" si="31"/>
        <v/>
      </c>
    </row>
    <row r="1478" spans="1:10">
      <c r="A1478" s="4">
        <v>1478</v>
      </c>
      <c r="C1478" s="8" t="str">
        <f>IF(B1478="","",VLOOKUP(B1478,小圆机汇总表!A:AP,2,FALSE))</f>
        <v/>
      </c>
      <c r="D1478" s="8" t="str">
        <f>IF(B1478="","",VLOOKUP(B1478,小圆机汇总表!A:AP,7,FALSE))</f>
        <v/>
      </c>
      <c r="E1478" s="8" t="str">
        <f>IF(B1478="","",VLOOKUP(B1478,小圆机汇总表!A:AP,5,FALSE))</f>
        <v/>
      </c>
      <c r="F1478" s="8" t="str">
        <f>IF(B1478="","",VLOOKUP(B1478,小圆机汇总表!A:AP,8,FALSE))</f>
        <v/>
      </c>
      <c r="J1478" s="8" t="str">
        <f t="shared" si="31"/>
        <v/>
      </c>
    </row>
    <row r="1479" spans="1:10">
      <c r="A1479" s="4">
        <v>1479</v>
      </c>
      <c r="C1479" s="8" t="str">
        <f>IF(B1479="","",VLOOKUP(B1479,小圆机汇总表!A:AP,2,FALSE))</f>
        <v/>
      </c>
      <c r="D1479" s="8" t="str">
        <f>IF(B1479="","",VLOOKUP(B1479,小圆机汇总表!A:AP,7,FALSE))</f>
        <v/>
      </c>
      <c r="E1479" s="8" t="str">
        <f>IF(B1479="","",VLOOKUP(B1479,小圆机汇总表!A:AP,5,FALSE))</f>
        <v/>
      </c>
      <c r="F1479" s="8" t="str">
        <f>IF(B1479="","",VLOOKUP(B1479,小圆机汇总表!A:AP,8,FALSE))</f>
        <v/>
      </c>
      <c r="J1479" s="8" t="str">
        <f t="shared" si="31"/>
        <v/>
      </c>
    </row>
    <row r="1480" spans="1:10">
      <c r="A1480" s="4">
        <v>1480</v>
      </c>
      <c r="C1480" s="8" t="str">
        <f>IF(B1480="","",VLOOKUP(B1480,小圆机汇总表!A:AP,2,FALSE))</f>
        <v/>
      </c>
      <c r="D1480" s="8" t="str">
        <f>IF(B1480="","",VLOOKUP(B1480,小圆机汇总表!A:AP,7,FALSE))</f>
        <v/>
      </c>
      <c r="E1480" s="8" t="str">
        <f>IF(B1480="","",VLOOKUP(B1480,小圆机汇总表!A:AP,5,FALSE))</f>
        <v/>
      </c>
      <c r="F1480" s="8" t="str">
        <f>IF(B1480="","",VLOOKUP(B1480,小圆机汇总表!A:AP,8,FALSE))</f>
        <v/>
      </c>
      <c r="J1480" s="8" t="str">
        <f t="shared" si="31"/>
        <v/>
      </c>
    </row>
    <row r="1481" spans="1:10">
      <c r="A1481" s="4">
        <v>1481</v>
      </c>
      <c r="C1481" s="8" t="str">
        <f>IF(B1481="","",VLOOKUP(B1481,小圆机汇总表!A:AP,2,FALSE))</f>
        <v/>
      </c>
      <c r="D1481" s="8" t="str">
        <f>IF(B1481="","",VLOOKUP(B1481,小圆机汇总表!A:AP,7,FALSE))</f>
        <v/>
      </c>
      <c r="E1481" s="8" t="str">
        <f>IF(B1481="","",VLOOKUP(B1481,小圆机汇总表!A:AP,5,FALSE))</f>
        <v/>
      </c>
      <c r="F1481" s="8" t="str">
        <f>IF(B1481="","",VLOOKUP(B1481,小圆机汇总表!A:AP,8,FALSE))</f>
        <v/>
      </c>
      <c r="J1481" s="8" t="str">
        <f t="shared" si="31"/>
        <v/>
      </c>
    </row>
    <row r="1482" spans="1:10">
      <c r="A1482" s="4">
        <v>1482</v>
      </c>
      <c r="C1482" s="8" t="str">
        <f>IF(B1482="","",VLOOKUP(B1482,小圆机汇总表!A:AP,2,FALSE))</f>
        <v/>
      </c>
      <c r="D1482" s="8" t="str">
        <f>IF(B1482="","",VLOOKUP(B1482,小圆机汇总表!A:AP,7,FALSE))</f>
        <v/>
      </c>
      <c r="E1482" s="8" t="str">
        <f>IF(B1482="","",VLOOKUP(B1482,小圆机汇总表!A:AP,5,FALSE))</f>
        <v/>
      </c>
      <c r="F1482" s="8" t="str">
        <f>IF(B1482="","",VLOOKUP(B1482,小圆机汇总表!A:AP,8,FALSE))</f>
        <v/>
      </c>
      <c r="J1482" s="8" t="str">
        <f t="shared" si="31"/>
        <v/>
      </c>
    </row>
    <row r="1483" spans="1:10">
      <c r="A1483" s="4">
        <v>1483</v>
      </c>
      <c r="C1483" s="8" t="str">
        <f>IF(B1483="","",VLOOKUP(B1483,小圆机汇总表!A:AP,2,FALSE))</f>
        <v/>
      </c>
      <c r="D1483" s="8" t="str">
        <f>IF(B1483="","",VLOOKUP(B1483,小圆机汇总表!A:AP,7,FALSE))</f>
        <v/>
      </c>
      <c r="E1483" s="8" t="str">
        <f>IF(B1483="","",VLOOKUP(B1483,小圆机汇总表!A:AP,5,FALSE))</f>
        <v/>
      </c>
      <c r="F1483" s="8" t="str">
        <f>IF(B1483="","",VLOOKUP(B1483,小圆机汇总表!A:AP,8,FALSE))</f>
        <v/>
      </c>
      <c r="J1483" s="8" t="str">
        <f t="shared" si="31"/>
        <v/>
      </c>
    </row>
    <row r="1484" spans="1:10">
      <c r="A1484" s="4">
        <v>1484</v>
      </c>
      <c r="C1484" s="8" t="str">
        <f>IF(B1484="","",VLOOKUP(B1484,小圆机汇总表!A:AP,2,FALSE))</f>
        <v/>
      </c>
      <c r="D1484" s="8" t="str">
        <f>IF(B1484="","",VLOOKUP(B1484,小圆机汇总表!A:AP,7,FALSE))</f>
        <v/>
      </c>
      <c r="E1484" s="8" t="str">
        <f>IF(B1484="","",VLOOKUP(B1484,小圆机汇总表!A:AP,5,FALSE))</f>
        <v/>
      </c>
      <c r="F1484" s="8" t="str">
        <f>IF(B1484="","",VLOOKUP(B1484,小圆机汇总表!A:AP,8,FALSE))</f>
        <v/>
      </c>
      <c r="J1484" s="8" t="str">
        <f t="shared" si="31"/>
        <v/>
      </c>
    </row>
    <row r="1485" spans="1:10">
      <c r="A1485" s="4">
        <v>1485</v>
      </c>
      <c r="C1485" s="8" t="str">
        <f>IF(B1485="","",VLOOKUP(B1485,小圆机汇总表!A:AP,2,FALSE))</f>
        <v/>
      </c>
      <c r="D1485" s="8" t="str">
        <f>IF(B1485="","",VLOOKUP(B1485,小圆机汇总表!A:AP,7,FALSE))</f>
        <v/>
      </c>
      <c r="E1485" s="8" t="str">
        <f>IF(B1485="","",VLOOKUP(B1485,小圆机汇总表!A:AP,5,FALSE))</f>
        <v/>
      </c>
      <c r="F1485" s="8" t="str">
        <f>IF(B1485="","",VLOOKUP(B1485,小圆机汇总表!A:AP,8,FALSE))</f>
        <v/>
      </c>
      <c r="J1485" s="8" t="str">
        <f t="shared" si="31"/>
        <v/>
      </c>
    </row>
    <row r="1486" spans="1:10">
      <c r="A1486" s="4">
        <v>1486</v>
      </c>
      <c r="C1486" s="8" t="str">
        <f>IF(B1486="","",VLOOKUP(B1486,小圆机汇总表!A:AP,2,FALSE))</f>
        <v/>
      </c>
      <c r="D1486" s="8" t="str">
        <f>IF(B1486="","",VLOOKUP(B1486,小圆机汇总表!A:AP,7,FALSE))</f>
        <v/>
      </c>
      <c r="E1486" s="8" t="str">
        <f>IF(B1486="","",VLOOKUP(B1486,小圆机汇总表!A:AP,5,FALSE))</f>
        <v/>
      </c>
      <c r="F1486" s="8" t="str">
        <f>IF(B1486="","",VLOOKUP(B1486,小圆机汇总表!A:AP,8,FALSE))</f>
        <v/>
      </c>
      <c r="J1486" s="8" t="str">
        <f t="shared" si="31"/>
        <v/>
      </c>
    </row>
    <row r="1487" spans="1:10">
      <c r="A1487" s="4">
        <v>1487</v>
      </c>
      <c r="C1487" s="8" t="str">
        <f>IF(B1487="","",VLOOKUP(B1487,小圆机汇总表!A:AP,2,FALSE))</f>
        <v/>
      </c>
      <c r="D1487" s="8" t="str">
        <f>IF(B1487="","",VLOOKUP(B1487,小圆机汇总表!A:AP,7,FALSE))</f>
        <v/>
      </c>
      <c r="E1487" s="8" t="str">
        <f>IF(B1487="","",VLOOKUP(B1487,小圆机汇总表!A:AP,5,FALSE))</f>
        <v/>
      </c>
      <c r="F1487" s="8" t="str">
        <f>IF(B1487="","",VLOOKUP(B1487,小圆机汇总表!A:AP,8,FALSE))</f>
        <v/>
      </c>
      <c r="J1487" s="8" t="str">
        <f t="shared" si="31"/>
        <v/>
      </c>
    </row>
    <row r="1488" spans="1:10">
      <c r="A1488" s="4">
        <v>1488</v>
      </c>
      <c r="C1488" s="8" t="str">
        <f>IF(B1488="","",VLOOKUP(B1488,小圆机汇总表!A:AP,2,FALSE))</f>
        <v/>
      </c>
      <c r="D1488" s="8" t="str">
        <f>IF(B1488="","",VLOOKUP(B1488,小圆机汇总表!A:AP,7,FALSE))</f>
        <v/>
      </c>
      <c r="E1488" s="8" t="str">
        <f>IF(B1488="","",VLOOKUP(B1488,小圆机汇总表!A:AP,5,FALSE))</f>
        <v/>
      </c>
      <c r="F1488" s="8" t="str">
        <f>IF(B1488="","",VLOOKUP(B1488,小圆机汇总表!A:AP,8,FALSE))</f>
        <v/>
      </c>
      <c r="J1488" s="8" t="str">
        <f t="shared" si="31"/>
        <v/>
      </c>
    </row>
    <row r="1489" spans="1:10">
      <c r="A1489" s="4">
        <v>1489</v>
      </c>
      <c r="C1489" s="8" t="str">
        <f>IF(B1489="","",VLOOKUP(B1489,小圆机汇总表!A:AP,2,FALSE))</f>
        <v/>
      </c>
      <c r="D1489" s="8" t="str">
        <f>IF(B1489="","",VLOOKUP(B1489,小圆机汇总表!A:AP,7,FALSE))</f>
        <v/>
      </c>
      <c r="E1489" s="8" t="str">
        <f>IF(B1489="","",VLOOKUP(B1489,小圆机汇总表!A:AP,5,FALSE))</f>
        <v/>
      </c>
      <c r="F1489" s="8" t="str">
        <f>IF(B1489="","",VLOOKUP(B1489,小圆机汇总表!A:AP,8,FALSE))</f>
        <v/>
      </c>
      <c r="J1489" s="8" t="str">
        <f t="shared" si="31"/>
        <v/>
      </c>
    </row>
    <row r="1490" spans="1:10">
      <c r="A1490" s="4">
        <v>1490</v>
      </c>
      <c r="C1490" s="8" t="str">
        <f>IF(B1490="","",VLOOKUP(B1490,小圆机汇总表!A:AP,2,FALSE))</f>
        <v/>
      </c>
      <c r="D1490" s="8" t="str">
        <f>IF(B1490="","",VLOOKUP(B1490,小圆机汇总表!A:AP,7,FALSE))</f>
        <v/>
      </c>
      <c r="E1490" s="8" t="str">
        <f>IF(B1490="","",VLOOKUP(B1490,小圆机汇总表!A:AP,5,FALSE))</f>
        <v/>
      </c>
      <c r="F1490" s="8" t="str">
        <f>IF(B1490="","",VLOOKUP(B1490,小圆机汇总表!A:AP,8,FALSE))</f>
        <v/>
      </c>
      <c r="J1490" s="8" t="str">
        <f t="shared" si="31"/>
        <v/>
      </c>
    </row>
    <row r="1491" spans="1:10">
      <c r="A1491" s="4">
        <v>1491</v>
      </c>
      <c r="C1491" s="8" t="str">
        <f>IF(B1491="","",VLOOKUP(B1491,小圆机汇总表!A:AP,2,FALSE))</f>
        <v/>
      </c>
      <c r="D1491" s="8" t="str">
        <f>IF(B1491="","",VLOOKUP(B1491,小圆机汇总表!A:AP,7,FALSE))</f>
        <v/>
      </c>
      <c r="E1491" s="8" t="str">
        <f>IF(B1491="","",VLOOKUP(B1491,小圆机汇总表!A:AP,5,FALSE))</f>
        <v/>
      </c>
      <c r="F1491" s="8" t="str">
        <f>IF(B1491="","",VLOOKUP(B1491,小圆机汇总表!A:AP,8,FALSE))</f>
        <v/>
      </c>
      <c r="J1491" s="8" t="str">
        <f t="shared" si="31"/>
        <v/>
      </c>
    </row>
    <row r="1492" spans="1:10">
      <c r="A1492" s="4">
        <v>1492</v>
      </c>
      <c r="C1492" s="8" t="str">
        <f>IF(B1492="","",VLOOKUP(B1492,小圆机汇总表!A:AP,2,FALSE))</f>
        <v/>
      </c>
      <c r="D1492" s="8" t="str">
        <f>IF(B1492="","",VLOOKUP(B1492,小圆机汇总表!A:AP,7,FALSE))</f>
        <v/>
      </c>
      <c r="E1492" s="8" t="str">
        <f>IF(B1492="","",VLOOKUP(B1492,小圆机汇总表!A:AP,5,FALSE))</f>
        <v/>
      </c>
      <c r="F1492" s="8" t="str">
        <f>IF(B1492="","",VLOOKUP(B1492,小圆机汇总表!A:AP,8,FALSE))</f>
        <v/>
      </c>
      <c r="J1492" s="8" t="str">
        <f t="shared" si="31"/>
        <v/>
      </c>
    </row>
    <row r="1493" spans="1:10">
      <c r="A1493" s="4">
        <v>1493</v>
      </c>
      <c r="C1493" s="8" t="str">
        <f>IF(B1493="","",VLOOKUP(B1493,小圆机汇总表!A:AP,2,FALSE))</f>
        <v/>
      </c>
      <c r="D1493" s="8" t="str">
        <f>IF(B1493="","",VLOOKUP(B1493,小圆机汇总表!A:AP,7,FALSE))</f>
        <v/>
      </c>
      <c r="E1493" s="8" t="str">
        <f>IF(B1493="","",VLOOKUP(B1493,小圆机汇总表!A:AP,5,FALSE))</f>
        <v/>
      </c>
      <c r="F1493" s="8" t="str">
        <f>IF(B1493="","",VLOOKUP(B1493,小圆机汇总表!A:AP,8,FALSE))</f>
        <v/>
      </c>
      <c r="J1493" s="8" t="str">
        <f t="shared" si="31"/>
        <v/>
      </c>
    </row>
    <row r="1494" spans="1:10">
      <c r="A1494" s="4">
        <v>1494</v>
      </c>
      <c r="C1494" s="8" t="str">
        <f>IF(B1494="","",VLOOKUP(B1494,小圆机汇总表!A:AP,2,FALSE))</f>
        <v/>
      </c>
      <c r="D1494" s="8" t="str">
        <f>IF(B1494="","",VLOOKUP(B1494,小圆机汇总表!A:AP,7,FALSE))</f>
        <v/>
      </c>
      <c r="E1494" s="8" t="str">
        <f>IF(B1494="","",VLOOKUP(B1494,小圆机汇总表!A:AP,5,FALSE))</f>
        <v/>
      </c>
      <c r="F1494" s="8" t="str">
        <f>IF(B1494="","",VLOOKUP(B1494,小圆机汇总表!A:AP,8,FALSE))</f>
        <v/>
      </c>
      <c r="J1494" s="8" t="str">
        <f t="shared" si="31"/>
        <v/>
      </c>
    </row>
    <row r="1495" spans="1:10">
      <c r="A1495" s="4">
        <v>1495</v>
      </c>
      <c r="C1495" s="8" t="str">
        <f>IF(B1495="","",VLOOKUP(B1495,小圆机汇总表!A:AP,2,FALSE))</f>
        <v/>
      </c>
      <c r="D1495" s="8" t="str">
        <f>IF(B1495="","",VLOOKUP(B1495,小圆机汇总表!A:AP,7,FALSE))</f>
        <v/>
      </c>
      <c r="E1495" s="8" t="str">
        <f>IF(B1495="","",VLOOKUP(B1495,小圆机汇总表!A:AP,5,FALSE))</f>
        <v/>
      </c>
      <c r="F1495" s="8" t="str">
        <f>IF(B1495="","",VLOOKUP(B1495,小圆机汇总表!A:AP,8,FALSE))</f>
        <v/>
      </c>
      <c r="J1495" s="8" t="str">
        <f t="shared" si="31"/>
        <v/>
      </c>
    </row>
    <row r="1496" spans="1:10">
      <c r="A1496" s="4">
        <v>1496</v>
      </c>
      <c r="C1496" s="8" t="str">
        <f>IF(B1496="","",VLOOKUP(B1496,小圆机汇总表!A:AP,2,FALSE))</f>
        <v/>
      </c>
      <c r="D1496" s="8" t="str">
        <f>IF(B1496="","",VLOOKUP(B1496,小圆机汇总表!A:AP,7,FALSE))</f>
        <v/>
      </c>
      <c r="E1496" s="8" t="str">
        <f>IF(B1496="","",VLOOKUP(B1496,小圆机汇总表!A:AP,5,FALSE))</f>
        <v/>
      </c>
      <c r="F1496" s="8" t="str">
        <f>IF(B1496="","",VLOOKUP(B1496,小圆机汇总表!A:AP,8,FALSE))</f>
        <v/>
      </c>
      <c r="J1496" s="8" t="str">
        <f t="shared" si="31"/>
        <v/>
      </c>
    </row>
    <row r="1497" spans="1:10">
      <c r="A1497" s="4">
        <v>1497</v>
      </c>
      <c r="C1497" s="8" t="str">
        <f>IF(B1497="","",VLOOKUP(B1497,小圆机汇总表!A:AP,2,FALSE))</f>
        <v/>
      </c>
      <c r="D1497" s="8" t="str">
        <f>IF(B1497="","",VLOOKUP(B1497,小圆机汇总表!A:AP,7,FALSE))</f>
        <v/>
      </c>
      <c r="E1497" s="8" t="str">
        <f>IF(B1497="","",VLOOKUP(B1497,小圆机汇总表!A:AP,5,FALSE))</f>
        <v/>
      </c>
      <c r="F1497" s="8" t="str">
        <f>IF(B1497="","",VLOOKUP(B1497,小圆机汇总表!A:AP,8,FALSE))</f>
        <v/>
      </c>
      <c r="J1497" s="8" t="str">
        <f t="shared" si="31"/>
        <v/>
      </c>
    </row>
    <row r="1498" spans="1:10">
      <c r="A1498" s="4">
        <v>1498</v>
      </c>
      <c r="C1498" s="8" t="str">
        <f>IF(B1498="","",VLOOKUP(B1498,小圆机汇总表!A:AP,2,FALSE))</f>
        <v/>
      </c>
      <c r="D1498" s="8" t="str">
        <f>IF(B1498="","",VLOOKUP(B1498,小圆机汇总表!A:AP,7,FALSE))</f>
        <v/>
      </c>
      <c r="E1498" s="8" t="str">
        <f>IF(B1498="","",VLOOKUP(B1498,小圆机汇总表!A:AP,5,FALSE))</f>
        <v/>
      </c>
      <c r="F1498" s="8" t="str">
        <f>IF(B1498="","",VLOOKUP(B1498,小圆机汇总表!A:AP,8,FALSE))</f>
        <v/>
      </c>
      <c r="J1498" s="8" t="str">
        <f t="shared" si="31"/>
        <v/>
      </c>
    </row>
    <row r="1499" spans="1:10">
      <c r="A1499" s="4">
        <v>1499</v>
      </c>
      <c r="C1499" s="8" t="str">
        <f>IF(B1499="","",VLOOKUP(B1499,小圆机汇总表!A:AP,2,FALSE))</f>
        <v/>
      </c>
      <c r="D1499" s="8" t="str">
        <f>IF(B1499="","",VLOOKUP(B1499,小圆机汇总表!A:AP,7,FALSE))</f>
        <v/>
      </c>
      <c r="E1499" s="8" t="str">
        <f>IF(B1499="","",VLOOKUP(B1499,小圆机汇总表!A:AP,5,FALSE))</f>
        <v/>
      </c>
      <c r="F1499" s="8" t="str">
        <f>IF(B1499="","",VLOOKUP(B1499,小圆机汇总表!A:AP,8,FALSE))</f>
        <v/>
      </c>
      <c r="J1499" s="8" t="str">
        <f t="shared" si="31"/>
        <v/>
      </c>
    </row>
    <row r="1500" spans="1:10">
      <c r="A1500" s="4">
        <v>1500</v>
      </c>
      <c r="C1500" s="8" t="str">
        <f>IF(B1500="","",VLOOKUP(B1500,小圆机汇总表!A:AP,2,FALSE))</f>
        <v/>
      </c>
      <c r="D1500" s="8" t="str">
        <f>IF(B1500="","",VLOOKUP(B1500,小圆机汇总表!A:AP,7,FALSE))</f>
        <v/>
      </c>
      <c r="E1500" s="8" t="str">
        <f>IF(B1500="","",VLOOKUP(B1500,小圆机汇总表!A:AP,5,FALSE))</f>
        <v/>
      </c>
      <c r="F1500" s="8" t="str">
        <f>IF(B1500="","",VLOOKUP(B1500,小圆机汇总表!A:AP,8,FALSE))</f>
        <v/>
      </c>
      <c r="J1500" s="8" t="str">
        <f t="shared" si="31"/>
        <v/>
      </c>
    </row>
    <row r="1501" spans="1:10">
      <c r="A1501" s="4">
        <v>1501</v>
      </c>
      <c r="C1501" s="8" t="str">
        <f>IF(B1501="","",VLOOKUP(B1501,小圆机汇总表!A:AP,2,FALSE))</f>
        <v/>
      </c>
      <c r="D1501" s="8" t="str">
        <f>IF(B1501="","",VLOOKUP(B1501,小圆机汇总表!A:AP,7,FALSE))</f>
        <v/>
      </c>
      <c r="E1501" s="8" t="str">
        <f>IF(B1501="","",VLOOKUP(B1501,小圆机汇总表!A:AP,5,FALSE))</f>
        <v/>
      </c>
      <c r="F1501" s="8" t="str">
        <f>IF(B1501="","",VLOOKUP(B1501,小圆机汇总表!A:AP,8,FALSE))</f>
        <v/>
      </c>
      <c r="J1501" s="8" t="str">
        <f t="shared" si="31"/>
        <v/>
      </c>
    </row>
    <row r="1502" spans="1:10">
      <c r="A1502" s="4">
        <v>1502</v>
      </c>
      <c r="C1502" s="8" t="str">
        <f>IF(B1502="","",VLOOKUP(B1502,小圆机汇总表!A:AP,2,FALSE))</f>
        <v/>
      </c>
      <c r="D1502" s="8" t="str">
        <f>IF(B1502="","",VLOOKUP(B1502,小圆机汇总表!A:AP,7,FALSE))</f>
        <v/>
      </c>
      <c r="E1502" s="8" t="str">
        <f>IF(B1502="","",VLOOKUP(B1502,小圆机汇总表!A:AP,5,FALSE))</f>
        <v/>
      </c>
      <c r="F1502" s="8" t="str">
        <f>IF(B1502="","",VLOOKUP(B1502,小圆机汇总表!A:AP,8,FALSE))</f>
        <v/>
      </c>
      <c r="J1502" s="8" t="str">
        <f t="shared" si="31"/>
        <v/>
      </c>
    </row>
    <row r="1503" spans="1:10">
      <c r="A1503" s="4">
        <v>1503</v>
      </c>
      <c r="C1503" s="8" t="str">
        <f>IF(B1503="","",VLOOKUP(B1503,小圆机汇总表!A:AP,2,FALSE))</f>
        <v/>
      </c>
      <c r="D1503" s="8" t="str">
        <f>IF(B1503="","",VLOOKUP(B1503,小圆机汇总表!A:AP,7,FALSE))</f>
        <v/>
      </c>
      <c r="E1503" s="8" t="str">
        <f>IF(B1503="","",VLOOKUP(B1503,小圆机汇总表!A:AP,5,FALSE))</f>
        <v/>
      </c>
      <c r="F1503" s="8" t="str">
        <f>IF(B1503="","",VLOOKUP(B1503,小圆机汇总表!A:AP,8,FALSE))</f>
        <v/>
      </c>
      <c r="J1503" s="8" t="str">
        <f t="shared" si="31"/>
        <v/>
      </c>
    </row>
    <row r="1504" spans="1:10">
      <c r="A1504" s="4">
        <v>1504</v>
      </c>
      <c r="C1504" s="8" t="str">
        <f>IF(B1504="","",VLOOKUP(B1504,小圆机汇总表!A:AP,2,FALSE))</f>
        <v/>
      </c>
      <c r="D1504" s="8" t="str">
        <f>IF(B1504="","",VLOOKUP(B1504,小圆机汇总表!A:AP,7,FALSE))</f>
        <v/>
      </c>
      <c r="E1504" s="8" t="str">
        <f>IF(B1504="","",VLOOKUP(B1504,小圆机汇总表!A:AP,5,FALSE))</f>
        <v/>
      </c>
      <c r="F1504" s="8" t="str">
        <f>IF(B1504="","",VLOOKUP(B1504,小圆机汇总表!A:AP,8,FALSE))</f>
        <v/>
      </c>
      <c r="J1504" s="8" t="str">
        <f t="shared" si="31"/>
        <v/>
      </c>
    </row>
    <row r="1505" spans="1:10">
      <c r="A1505" s="4">
        <v>1505</v>
      </c>
      <c r="C1505" s="8" t="str">
        <f>IF(B1505="","",VLOOKUP(B1505,小圆机汇总表!A:AP,2,FALSE))</f>
        <v/>
      </c>
      <c r="D1505" s="8" t="str">
        <f>IF(B1505="","",VLOOKUP(B1505,小圆机汇总表!A:AP,7,FALSE))</f>
        <v/>
      </c>
      <c r="E1505" s="8" t="str">
        <f>IF(B1505="","",VLOOKUP(B1505,小圆机汇总表!A:AP,5,FALSE))</f>
        <v/>
      </c>
      <c r="F1505" s="8" t="str">
        <f>IF(B1505="","",VLOOKUP(B1505,小圆机汇总表!A:AP,8,FALSE))</f>
        <v/>
      </c>
      <c r="J1505" s="8" t="str">
        <f t="shared" si="31"/>
        <v/>
      </c>
    </row>
    <row r="1506" spans="1:10">
      <c r="A1506" s="4">
        <v>1506</v>
      </c>
      <c r="C1506" s="8" t="str">
        <f>IF(B1506="","",VLOOKUP(B1506,小圆机汇总表!A:AP,2,FALSE))</f>
        <v/>
      </c>
      <c r="D1506" s="8" t="str">
        <f>IF(B1506="","",VLOOKUP(B1506,小圆机汇总表!A:AP,7,FALSE))</f>
        <v/>
      </c>
      <c r="E1506" s="8" t="str">
        <f>IF(B1506="","",VLOOKUP(B1506,小圆机汇总表!A:AP,5,FALSE))</f>
        <v/>
      </c>
      <c r="F1506" s="8" t="str">
        <f>IF(B1506="","",VLOOKUP(B1506,小圆机汇总表!A:AP,8,FALSE))</f>
        <v/>
      </c>
      <c r="J1506" s="8" t="str">
        <f t="shared" si="31"/>
        <v/>
      </c>
    </row>
    <row r="1507" spans="1:10">
      <c r="A1507" s="4">
        <v>1507</v>
      </c>
      <c r="C1507" s="8" t="str">
        <f>IF(B1507="","",VLOOKUP(B1507,小圆机汇总表!A:AP,2,FALSE))</f>
        <v/>
      </c>
      <c r="D1507" s="8" t="str">
        <f>IF(B1507="","",VLOOKUP(B1507,小圆机汇总表!A:AP,7,FALSE))</f>
        <v/>
      </c>
      <c r="E1507" s="8" t="str">
        <f>IF(B1507="","",VLOOKUP(B1507,小圆机汇总表!A:AP,5,FALSE))</f>
        <v/>
      </c>
      <c r="F1507" s="8" t="str">
        <f>IF(B1507="","",VLOOKUP(B1507,小圆机汇总表!A:AP,8,FALSE))</f>
        <v/>
      </c>
      <c r="J1507" s="8" t="str">
        <f t="shared" ref="J1507:J1570" si="32">IF(B1507="","",MONTH(G1507))</f>
        <v/>
      </c>
    </row>
    <row r="1508" spans="1:10">
      <c r="A1508" s="4">
        <v>1508</v>
      </c>
      <c r="C1508" s="8" t="str">
        <f>IF(B1508="","",VLOOKUP(B1508,小圆机汇总表!A:AP,2,FALSE))</f>
        <v/>
      </c>
      <c r="D1508" s="8" t="str">
        <f>IF(B1508="","",VLOOKUP(B1508,小圆机汇总表!A:AP,7,FALSE))</f>
        <v/>
      </c>
      <c r="E1508" s="8" t="str">
        <f>IF(B1508="","",VLOOKUP(B1508,小圆机汇总表!A:AP,5,FALSE))</f>
        <v/>
      </c>
      <c r="F1508" s="8" t="str">
        <f>IF(B1508="","",VLOOKUP(B1508,小圆机汇总表!A:AP,8,FALSE))</f>
        <v/>
      </c>
      <c r="J1508" s="8" t="str">
        <f t="shared" si="32"/>
        <v/>
      </c>
    </row>
    <row r="1509" spans="1:10">
      <c r="A1509" s="4">
        <v>1509</v>
      </c>
      <c r="C1509" s="8" t="str">
        <f>IF(B1509="","",VLOOKUP(B1509,小圆机汇总表!A:AP,2,FALSE))</f>
        <v/>
      </c>
      <c r="D1509" s="8" t="str">
        <f>IF(B1509="","",VLOOKUP(B1509,小圆机汇总表!A:AP,7,FALSE))</f>
        <v/>
      </c>
      <c r="E1509" s="8" t="str">
        <f>IF(B1509="","",VLOOKUP(B1509,小圆机汇总表!A:AP,5,FALSE))</f>
        <v/>
      </c>
      <c r="F1509" s="8" t="str">
        <f>IF(B1509="","",VLOOKUP(B1509,小圆机汇总表!A:AP,8,FALSE))</f>
        <v/>
      </c>
      <c r="J1509" s="8" t="str">
        <f t="shared" si="32"/>
        <v/>
      </c>
    </row>
    <row r="1510" spans="1:10">
      <c r="A1510" s="4">
        <v>1510</v>
      </c>
      <c r="C1510" s="8" t="str">
        <f>IF(B1510="","",VLOOKUP(B1510,小圆机汇总表!A:AP,2,FALSE))</f>
        <v/>
      </c>
      <c r="D1510" s="8" t="str">
        <f>IF(B1510="","",VLOOKUP(B1510,小圆机汇总表!A:AP,7,FALSE))</f>
        <v/>
      </c>
      <c r="E1510" s="8" t="str">
        <f>IF(B1510="","",VLOOKUP(B1510,小圆机汇总表!A:AP,5,FALSE))</f>
        <v/>
      </c>
      <c r="F1510" s="8" t="str">
        <f>IF(B1510="","",VLOOKUP(B1510,小圆机汇总表!A:AP,8,FALSE))</f>
        <v/>
      </c>
      <c r="J1510" s="8" t="str">
        <f t="shared" si="32"/>
        <v/>
      </c>
    </row>
    <row r="1511" spans="1:10">
      <c r="A1511" s="4">
        <v>1511</v>
      </c>
      <c r="C1511" s="8" t="str">
        <f>IF(B1511="","",VLOOKUP(B1511,小圆机汇总表!A:AP,2,FALSE))</f>
        <v/>
      </c>
      <c r="D1511" s="8" t="str">
        <f>IF(B1511="","",VLOOKUP(B1511,小圆机汇总表!A:AP,7,FALSE))</f>
        <v/>
      </c>
      <c r="E1511" s="8" t="str">
        <f>IF(B1511="","",VLOOKUP(B1511,小圆机汇总表!A:AP,5,FALSE))</f>
        <v/>
      </c>
      <c r="F1511" s="8" t="str">
        <f>IF(B1511="","",VLOOKUP(B1511,小圆机汇总表!A:AP,8,FALSE))</f>
        <v/>
      </c>
      <c r="J1511" s="8" t="str">
        <f t="shared" si="32"/>
        <v/>
      </c>
    </row>
    <row r="1512" spans="1:10">
      <c r="A1512" s="4">
        <v>1512</v>
      </c>
      <c r="C1512" s="8" t="str">
        <f>IF(B1512="","",VLOOKUP(B1512,小圆机汇总表!A:AP,2,FALSE))</f>
        <v/>
      </c>
      <c r="D1512" s="8" t="str">
        <f>IF(B1512="","",VLOOKUP(B1512,小圆机汇总表!A:AP,7,FALSE))</f>
        <v/>
      </c>
      <c r="E1512" s="8" t="str">
        <f>IF(B1512="","",VLOOKUP(B1512,小圆机汇总表!A:AP,5,FALSE))</f>
        <v/>
      </c>
      <c r="F1512" s="8" t="str">
        <f>IF(B1512="","",VLOOKUP(B1512,小圆机汇总表!A:AP,8,FALSE))</f>
        <v/>
      </c>
      <c r="J1512" s="8" t="str">
        <f t="shared" si="32"/>
        <v/>
      </c>
    </row>
    <row r="1513" spans="1:10">
      <c r="A1513" s="4">
        <v>1513</v>
      </c>
      <c r="C1513" s="8" t="str">
        <f>IF(B1513="","",VLOOKUP(B1513,小圆机汇总表!A:AP,2,FALSE))</f>
        <v/>
      </c>
      <c r="D1513" s="8" t="str">
        <f>IF(B1513="","",VLOOKUP(B1513,小圆机汇总表!A:AP,7,FALSE))</f>
        <v/>
      </c>
      <c r="E1513" s="8" t="str">
        <f>IF(B1513="","",VLOOKUP(B1513,小圆机汇总表!A:AP,5,FALSE))</f>
        <v/>
      </c>
      <c r="F1513" s="8" t="str">
        <f>IF(B1513="","",VLOOKUP(B1513,小圆机汇总表!A:AP,8,FALSE))</f>
        <v/>
      </c>
      <c r="J1513" s="8" t="str">
        <f t="shared" si="32"/>
        <v/>
      </c>
    </row>
    <row r="1514" spans="1:10">
      <c r="A1514" s="4">
        <v>1514</v>
      </c>
      <c r="C1514" s="8" t="str">
        <f>IF(B1514="","",VLOOKUP(B1514,小圆机汇总表!A:AP,2,FALSE))</f>
        <v/>
      </c>
      <c r="D1514" s="8" t="str">
        <f>IF(B1514="","",VLOOKUP(B1514,小圆机汇总表!A:AP,7,FALSE))</f>
        <v/>
      </c>
      <c r="E1514" s="8" t="str">
        <f>IF(B1514="","",VLOOKUP(B1514,小圆机汇总表!A:AP,5,FALSE))</f>
        <v/>
      </c>
      <c r="F1514" s="8" t="str">
        <f>IF(B1514="","",VLOOKUP(B1514,小圆机汇总表!A:AP,8,FALSE))</f>
        <v/>
      </c>
      <c r="J1514" s="8" t="str">
        <f t="shared" si="32"/>
        <v/>
      </c>
    </row>
    <row r="1515" spans="1:10">
      <c r="A1515" s="4">
        <v>1515</v>
      </c>
      <c r="C1515" s="8" t="str">
        <f>IF(B1515="","",VLOOKUP(B1515,小圆机汇总表!A:AP,2,FALSE))</f>
        <v/>
      </c>
      <c r="D1515" s="8" t="str">
        <f>IF(B1515="","",VLOOKUP(B1515,小圆机汇总表!A:AP,7,FALSE))</f>
        <v/>
      </c>
      <c r="E1515" s="8" t="str">
        <f>IF(B1515="","",VLOOKUP(B1515,小圆机汇总表!A:AP,5,FALSE))</f>
        <v/>
      </c>
      <c r="F1515" s="8" t="str">
        <f>IF(B1515="","",VLOOKUP(B1515,小圆机汇总表!A:AP,8,FALSE))</f>
        <v/>
      </c>
      <c r="J1515" s="8" t="str">
        <f t="shared" si="32"/>
        <v/>
      </c>
    </row>
    <row r="1516" spans="1:10">
      <c r="A1516" s="4">
        <v>1516</v>
      </c>
      <c r="C1516" s="8" t="str">
        <f>IF(B1516="","",VLOOKUP(B1516,小圆机汇总表!A:AP,2,FALSE))</f>
        <v/>
      </c>
      <c r="D1516" s="8" t="str">
        <f>IF(B1516="","",VLOOKUP(B1516,小圆机汇总表!A:AP,7,FALSE))</f>
        <v/>
      </c>
      <c r="E1516" s="8" t="str">
        <f>IF(B1516="","",VLOOKUP(B1516,小圆机汇总表!A:AP,5,FALSE))</f>
        <v/>
      </c>
      <c r="F1516" s="8" t="str">
        <f>IF(B1516="","",VLOOKUP(B1516,小圆机汇总表!A:AP,8,FALSE))</f>
        <v/>
      </c>
      <c r="J1516" s="8" t="str">
        <f t="shared" si="32"/>
        <v/>
      </c>
    </row>
    <row r="1517" spans="1:10">
      <c r="A1517" s="4">
        <v>1517</v>
      </c>
      <c r="C1517" s="8" t="str">
        <f>IF(B1517="","",VLOOKUP(B1517,小圆机汇总表!A:AP,2,FALSE))</f>
        <v/>
      </c>
      <c r="D1517" s="8" t="str">
        <f>IF(B1517="","",VLOOKUP(B1517,小圆机汇总表!A:AP,7,FALSE))</f>
        <v/>
      </c>
      <c r="E1517" s="8" t="str">
        <f>IF(B1517="","",VLOOKUP(B1517,小圆机汇总表!A:AP,5,FALSE))</f>
        <v/>
      </c>
      <c r="F1517" s="8" t="str">
        <f>IF(B1517="","",VLOOKUP(B1517,小圆机汇总表!A:AP,8,FALSE))</f>
        <v/>
      </c>
      <c r="J1517" s="8" t="str">
        <f t="shared" si="32"/>
        <v/>
      </c>
    </row>
    <row r="1518" spans="1:10">
      <c r="A1518" s="4">
        <v>1518</v>
      </c>
      <c r="C1518" s="8" t="str">
        <f>IF(B1518="","",VLOOKUP(B1518,小圆机汇总表!A:AP,2,FALSE))</f>
        <v/>
      </c>
      <c r="D1518" s="8" t="str">
        <f>IF(B1518="","",VLOOKUP(B1518,小圆机汇总表!A:AP,7,FALSE))</f>
        <v/>
      </c>
      <c r="E1518" s="8" t="str">
        <f>IF(B1518="","",VLOOKUP(B1518,小圆机汇总表!A:AP,5,FALSE))</f>
        <v/>
      </c>
      <c r="F1518" s="8" t="str">
        <f>IF(B1518="","",VLOOKUP(B1518,小圆机汇总表!A:AP,8,FALSE))</f>
        <v/>
      </c>
      <c r="J1518" s="8" t="str">
        <f t="shared" si="32"/>
        <v/>
      </c>
    </row>
    <row r="1519" spans="1:10">
      <c r="A1519" s="4">
        <v>1519</v>
      </c>
      <c r="C1519" s="8" t="str">
        <f>IF(B1519="","",VLOOKUP(B1519,小圆机汇总表!A:AP,2,FALSE))</f>
        <v/>
      </c>
      <c r="D1519" s="8" t="str">
        <f>IF(B1519="","",VLOOKUP(B1519,小圆机汇总表!A:AP,7,FALSE))</f>
        <v/>
      </c>
      <c r="E1519" s="8" t="str">
        <f>IF(B1519="","",VLOOKUP(B1519,小圆机汇总表!A:AP,5,FALSE))</f>
        <v/>
      </c>
      <c r="F1519" s="8" t="str">
        <f>IF(B1519="","",VLOOKUP(B1519,小圆机汇总表!A:AP,8,FALSE))</f>
        <v/>
      </c>
      <c r="J1519" s="8" t="str">
        <f t="shared" si="32"/>
        <v/>
      </c>
    </row>
    <row r="1520" spans="1:10">
      <c r="A1520" s="4">
        <v>1520</v>
      </c>
      <c r="C1520" s="8" t="str">
        <f>IF(B1520="","",VLOOKUP(B1520,小圆机汇总表!A:AP,2,FALSE))</f>
        <v/>
      </c>
      <c r="D1520" s="8" t="str">
        <f>IF(B1520="","",VLOOKUP(B1520,小圆机汇总表!A:AP,7,FALSE))</f>
        <v/>
      </c>
      <c r="E1520" s="8" t="str">
        <f>IF(B1520="","",VLOOKUP(B1520,小圆机汇总表!A:AP,5,FALSE))</f>
        <v/>
      </c>
      <c r="F1520" s="8" t="str">
        <f>IF(B1520="","",VLOOKUP(B1520,小圆机汇总表!A:AP,8,FALSE))</f>
        <v/>
      </c>
      <c r="J1520" s="8" t="str">
        <f t="shared" si="32"/>
        <v/>
      </c>
    </row>
    <row r="1521" spans="1:10">
      <c r="A1521" s="4">
        <v>1521</v>
      </c>
      <c r="C1521" s="8" t="str">
        <f>IF(B1521="","",VLOOKUP(B1521,小圆机汇总表!A:AP,2,FALSE))</f>
        <v/>
      </c>
      <c r="D1521" s="8" t="str">
        <f>IF(B1521="","",VLOOKUP(B1521,小圆机汇总表!A:AP,7,FALSE))</f>
        <v/>
      </c>
      <c r="E1521" s="8" t="str">
        <f>IF(B1521="","",VLOOKUP(B1521,小圆机汇总表!A:AP,5,FALSE))</f>
        <v/>
      </c>
      <c r="F1521" s="8" t="str">
        <f>IF(B1521="","",VLOOKUP(B1521,小圆机汇总表!A:AP,8,FALSE))</f>
        <v/>
      </c>
      <c r="J1521" s="8" t="str">
        <f t="shared" si="32"/>
        <v/>
      </c>
    </row>
    <row r="1522" spans="1:10">
      <c r="A1522" s="4">
        <v>1522</v>
      </c>
      <c r="C1522" s="8" t="str">
        <f>IF(B1522="","",VLOOKUP(B1522,小圆机汇总表!A:AP,2,FALSE))</f>
        <v/>
      </c>
      <c r="D1522" s="8" t="str">
        <f>IF(B1522="","",VLOOKUP(B1522,小圆机汇总表!A:AP,7,FALSE))</f>
        <v/>
      </c>
      <c r="E1522" s="8" t="str">
        <f>IF(B1522="","",VLOOKUP(B1522,小圆机汇总表!A:AP,5,FALSE))</f>
        <v/>
      </c>
      <c r="F1522" s="8" t="str">
        <f>IF(B1522="","",VLOOKUP(B1522,小圆机汇总表!A:AP,8,FALSE))</f>
        <v/>
      </c>
      <c r="J1522" s="8" t="str">
        <f t="shared" si="32"/>
        <v/>
      </c>
    </row>
    <row r="1523" spans="1:10">
      <c r="A1523" s="4">
        <v>1523</v>
      </c>
      <c r="C1523" s="8" t="str">
        <f>IF(B1523="","",VLOOKUP(B1523,小圆机汇总表!A:AP,2,FALSE))</f>
        <v/>
      </c>
      <c r="D1523" s="8" t="str">
        <f>IF(B1523="","",VLOOKUP(B1523,小圆机汇总表!A:AP,7,FALSE))</f>
        <v/>
      </c>
      <c r="E1523" s="8" t="str">
        <f>IF(B1523="","",VLOOKUP(B1523,小圆机汇总表!A:AP,5,FALSE))</f>
        <v/>
      </c>
      <c r="F1523" s="8" t="str">
        <f>IF(B1523="","",VLOOKUP(B1523,小圆机汇总表!A:AP,8,FALSE))</f>
        <v/>
      </c>
      <c r="J1523" s="8" t="str">
        <f t="shared" si="32"/>
        <v/>
      </c>
    </row>
    <row r="1524" spans="1:10">
      <c r="A1524" s="4">
        <v>1524</v>
      </c>
      <c r="C1524" s="8" t="str">
        <f>IF(B1524="","",VLOOKUP(B1524,小圆机汇总表!A:AP,2,FALSE))</f>
        <v/>
      </c>
      <c r="D1524" s="8" t="str">
        <f>IF(B1524="","",VLOOKUP(B1524,小圆机汇总表!A:AP,7,FALSE))</f>
        <v/>
      </c>
      <c r="E1524" s="8" t="str">
        <f>IF(B1524="","",VLOOKUP(B1524,小圆机汇总表!A:AP,5,FALSE))</f>
        <v/>
      </c>
      <c r="F1524" s="8" t="str">
        <f>IF(B1524="","",VLOOKUP(B1524,小圆机汇总表!A:AP,8,FALSE))</f>
        <v/>
      </c>
      <c r="J1524" s="8" t="str">
        <f t="shared" si="32"/>
        <v/>
      </c>
    </row>
    <row r="1525" spans="1:10">
      <c r="A1525" s="4">
        <v>1525</v>
      </c>
      <c r="C1525" s="8" t="str">
        <f>IF(B1525="","",VLOOKUP(B1525,小圆机汇总表!A:AP,2,FALSE))</f>
        <v/>
      </c>
      <c r="D1525" s="8" t="str">
        <f>IF(B1525="","",VLOOKUP(B1525,小圆机汇总表!A:AP,7,FALSE))</f>
        <v/>
      </c>
      <c r="E1525" s="8" t="str">
        <f>IF(B1525="","",VLOOKUP(B1525,小圆机汇总表!A:AP,5,FALSE))</f>
        <v/>
      </c>
      <c r="F1525" s="8" t="str">
        <f>IF(B1525="","",VLOOKUP(B1525,小圆机汇总表!A:AP,8,FALSE))</f>
        <v/>
      </c>
      <c r="J1525" s="8" t="str">
        <f t="shared" si="32"/>
        <v/>
      </c>
    </row>
    <row r="1526" spans="1:10">
      <c r="A1526" s="4">
        <v>1526</v>
      </c>
      <c r="C1526" s="8" t="str">
        <f>IF(B1526="","",VLOOKUP(B1526,小圆机汇总表!A:AP,2,FALSE))</f>
        <v/>
      </c>
      <c r="D1526" s="8" t="str">
        <f>IF(B1526="","",VLOOKUP(B1526,小圆机汇总表!A:AP,7,FALSE))</f>
        <v/>
      </c>
      <c r="E1526" s="8" t="str">
        <f>IF(B1526="","",VLOOKUP(B1526,小圆机汇总表!A:AP,5,FALSE))</f>
        <v/>
      </c>
      <c r="F1526" s="8" t="str">
        <f>IF(B1526="","",VLOOKUP(B1526,小圆机汇总表!A:AP,8,FALSE))</f>
        <v/>
      </c>
      <c r="J1526" s="8" t="str">
        <f t="shared" si="32"/>
        <v/>
      </c>
    </row>
    <row r="1527" spans="1:10">
      <c r="A1527" s="4">
        <v>1527</v>
      </c>
      <c r="C1527" s="8" t="str">
        <f>IF(B1527="","",VLOOKUP(B1527,小圆机汇总表!A:AP,2,FALSE))</f>
        <v/>
      </c>
      <c r="D1527" s="8" t="str">
        <f>IF(B1527="","",VLOOKUP(B1527,小圆机汇总表!A:AP,7,FALSE))</f>
        <v/>
      </c>
      <c r="E1527" s="8" t="str">
        <f>IF(B1527="","",VLOOKUP(B1527,小圆机汇总表!A:AP,5,FALSE))</f>
        <v/>
      </c>
      <c r="F1527" s="8" t="str">
        <f>IF(B1527="","",VLOOKUP(B1527,小圆机汇总表!A:AP,8,FALSE))</f>
        <v/>
      </c>
      <c r="J1527" s="8" t="str">
        <f t="shared" si="32"/>
        <v/>
      </c>
    </row>
    <row r="1528" spans="1:10">
      <c r="A1528" s="4">
        <v>1528</v>
      </c>
      <c r="C1528" s="8" t="str">
        <f>IF(B1528="","",VLOOKUP(B1528,小圆机汇总表!A:AP,2,FALSE))</f>
        <v/>
      </c>
      <c r="D1528" s="8" t="str">
        <f>IF(B1528="","",VLOOKUP(B1528,小圆机汇总表!A:AP,7,FALSE))</f>
        <v/>
      </c>
      <c r="E1528" s="8" t="str">
        <f>IF(B1528="","",VLOOKUP(B1528,小圆机汇总表!A:AP,5,FALSE))</f>
        <v/>
      </c>
      <c r="F1528" s="8" t="str">
        <f>IF(B1528="","",VLOOKUP(B1528,小圆机汇总表!A:AP,8,FALSE))</f>
        <v/>
      </c>
      <c r="J1528" s="8" t="str">
        <f t="shared" si="32"/>
        <v/>
      </c>
    </row>
    <row r="1529" spans="1:10">
      <c r="A1529" s="4">
        <v>1529</v>
      </c>
      <c r="C1529" s="8" t="str">
        <f>IF(B1529="","",VLOOKUP(B1529,小圆机汇总表!A:AP,2,FALSE))</f>
        <v/>
      </c>
      <c r="D1529" s="8" t="str">
        <f>IF(B1529="","",VLOOKUP(B1529,小圆机汇总表!A:AP,7,FALSE))</f>
        <v/>
      </c>
      <c r="E1529" s="8" t="str">
        <f>IF(B1529="","",VLOOKUP(B1529,小圆机汇总表!A:AP,5,FALSE))</f>
        <v/>
      </c>
      <c r="F1529" s="8" t="str">
        <f>IF(B1529="","",VLOOKUP(B1529,小圆机汇总表!A:AP,8,FALSE))</f>
        <v/>
      </c>
      <c r="J1529" s="8" t="str">
        <f t="shared" si="32"/>
        <v/>
      </c>
    </row>
    <row r="1530" spans="1:10">
      <c r="A1530" s="4">
        <v>1530</v>
      </c>
      <c r="C1530" s="8" t="str">
        <f>IF(B1530="","",VLOOKUP(B1530,小圆机汇总表!A:AP,2,FALSE))</f>
        <v/>
      </c>
      <c r="D1530" s="8" t="str">
        <f>IF(B1530="","",VLOOKUP(B1530,小圆机汇总表!A:AP,7,FALSE))</f>
        <v/>
      </c>
      <c r="E1530" s="8" t="str">
        <f>IF(B1530="","",VLOOKUP(B1530,小圆机汇总表!A:AP,5,FALSE))</f>
        <v/>
      </c>
      <c r="F1530" s="8" t="str">
        <f>IF(B1530="","",VLOOKUP(B1530,小圆机汇总表!A:AP,8,FALSE))</f>
        <v/>
      </c>
      <c r="J1530" s="8" t="str">
        <f t="shared" si="32"/>
        <v/>
      </c>
    </row>
    <row r="1531" spans="1:10">
      <c r="A1531" s="4">
        <v>1531</v>
      </c>
      <c r="C1531" s="8" t="str">
        <f>IF(B1531="","",VLOOKUP(B1531,小圆机汇总表!A:AP,2,FALSE))</f>
        <v/>
      </c>
      <c r="D1531" s="8" t="str">
        <f>IF(B1531="","",VLOOKUP(B1531,小圆机汇总表!A:AP,7,FALSE))</f>
        <v/>
      </c>
      <c r="E1531" s="8" t="str">
        <f>IF(B1531="","",VLOOKUP(B1531,小圆机汇总表!A:AP,5,FALSE))</f>
        <v/>
      </c>
      <c r="F1531" s="8" t="str">
        <f>IF(B1531="","",VLOOKUP(B1531,小圆机汇总表!A:AP,8,FALSE))</f>
        <v/>
      </c>
      <c r="J1531" s="8" t="str">
        <f t="shared" si="32"/>
        <v/>
      </c>
    </row>
    <row r="1532" spans="1:10">
      <c r="A1532" s="4">
        <v>1532</v>
      </c>
      <c r="C1532" s="8" t="str">
        <f>IF(B1532="","",VLOOKUP(B1532,小圆机汇总表!A:AP,2,FALSE))</f>
        <v/>
      </c>
      <c r="D1532" s="8" t="str">
        <f>IF(B1532="","",VLOOKUP(B1532,小圆机汇总表!A:AP,7,FALSE))</f>
        <v/>
      </c>
      <c r="E1532" s="8" t="str">
        <f>IF(B1532="","",VLOOKUP(B1532,小圆机汇总表!A:AP,5,FALSE))</f>
        <v/>
      </c>
      <c r="F1532" s="8" t="str">
        <f>IF(B1532="","",VLOOKUP(B1532,小圆机汇总表!A:AP,8,FALSE))</f>
        <v/>
      </c>
      <c r="J1532" s="8" t="str">
        <f t="shared" si="32"/>
        <v/>
      </c>
    </row>
    <row r="1533" spans="1:10">
      <c r="A1533" s="4">
        <v>1533</v>
      </c>
      <c r="C1533" s="8" t="str">
        <f>IF(B1533="","",VLOOKUP(B1533,小圆机汇总表!A:AP,2,FALSE))</f>
        <v/>
      </c>
      <c r="D1533" s="8" t="str">
        <f>IF(B1533="","",VLOOKUP(B1533,小圆机汇总表!A:AP,7,FALSE))</f>
        <v/>
      </c>
      <c r="E1533" s="8" t="str">
        <f>IF(B1533="","",VLOOKUP(B1533,小圆机汇总表!A:AP,5,FALSE))</f>
        <v/>
      </c>
      <c r="F1533" s="8" t="str">
        <f>IF(B1533="","",VLOOKUP(B1533,小圆机汇总表!A:AP,8,FALSE))</f>
        <v/>
      </c>
      <c r="J1533" s="8" t="str">
        <f t="shared" si="32"/>
        <v/>
      </c>
    </row>
    <row r="1534" spans="1:10">
      <c r="A1534" s="4">
        <v>1534</v>
      </c>
      <c r="C1534" s="8" t="str">
        <f>IF(B1534="","",VLOOKUP(B1534,小圆机汇总表!A:AP,2,FALSE))</f>
        <v/>
      </c>
      <c r="D1534" s="8" t="str">
        <f>IF(B1534="","",VLOOKUP(B1534,小圆机汇总表!A:AP,7,FALSE))</f>
        <v/>
      </c>
      <c r="E1534" s="8" t="str">
        <f>IF(B1534="","",VLOOKUP(B1534,小圆机汇总表!A:AP,5,FALSE))</f>
        <v/>
      </c>
      <c r="F1534" s="8" t="str">
        <f>IF(B1534="","",VLOOKUP(B1534,小圆机汇总表!A:AP,8,FALSE))</f>
        <v/>
      </c>
      <c r="J1534" s="8" t="str">
        <f t="shared" si="32"/>
        <v/>
      </c>
    </row>
    <row r="1535" spans="1:10">
      <c r="A1535" s="4">
        <v>1535</v>
      </c>
      <c r="C1535" s="8" t="str">
        <f>IF(B1535="","",VLOOKUP(B1535,小圆机汇总表!A:AP,2,FALSE))</f>
        <v/>
      </c>
      <c r="D1535" s="8" t="str">
        <f>IF(B1535="","",VLOOKUP(B1535,小圆机汇总表!A:AP,7,FALSE))</f>
        <v/>
      </c>
      <c r="E1535" s="8" t="str">
        <f>IF(B1535="","",VLOOKUP(B1535,小圆机汇总表!A:AP,5,FALSE))</f>
        <v/>
      </c>
      <c r="F1535" s="8" t="str">
        <f>IF(B1535="","",VLOOKUP(B1535,小圆机汇总表!A:AP,8,FALSE))</f>
        <v/>
      </c>
      <c r="J1535" s="8" t="str">
        <f t="shared" si="32"/>
        <v/>
      </c>
    </row>
    <row r="1536" spans="1:10">
      <c r="A1536" s="4">
        <v>1536</v>
      </c>
      <c r="C1536" s="8" t="str">
        <f>IF(B1536="","",VLOOKUP(B1536,小圆机汇总表!A:AP,2,FALSE))</f>
        <v/>
      </c>
      <c r="D1536" s="8" t="str">
        <f>IF(B1536="","",VLOOKUP(B1536,小圆机汇总表!A:AP,7,FALSE))</f>
        <v/>
      </c>
      <c r="E1536" s="8" t="str">
        <f>IF(B1536="","",VLOOKUP(B1536,小圆机汇总表!A:AP,5,FALSE))</f>
        <v/>
      </c>
      <c r="F1536" s="8" t="str">
        <f>IF(B1536="","",VLOOKUP(B1536,小圆机汇总表!A:AP,8,FALSE))</f>
        <v/>
      </c>
      <c r="J1536" s="8" t="str">
        <f t="shared" si="32"/>
        <v/>
      </c>
    </row>
    <row r="1537" spans="1:10">
      <c r="A1537" s="4">
        <v>1537</v>
      </c>
      <c r="C1537" s="8" t="str">
        <f>IF(B1537="","",VLOOKUP(B1537,小圆机汇总表!A:AP,2,FALSE))</f>
        <v/>
      </c>
      <c r="D1537" s="8" t="str">
        <f>IF(B1537="","",VLOOKUP(B1537,小圆机汇总表!A:AP,7,FALSE))</f>
        <v/>
      </c>
      <c r="E1537" s="8" t="str">
        <f>IF(B1537="","",VLOOKUP(B1537,小圆机汇总表!A:AP,5,FALSE))</f>
        <v/>
      </c>
      <c r="F1537" s="8" t="str">
        <f>IF(B1537="","",VLOOKUP(B1537,小圆机汇总表!A:AP,8,FALSE))</f>
        <v/>
      </c>
      <c r="J1537" s="8" t="str">
        <f t="shared" si="32"/>
        <v/>
      </c>
    </row>
    <row r="1538" spans="1:10">
      <c r="A1538" s="4">
        <v>1538</v>
      </c>
      <c r="C1538" s="8" t="str">
        <f>IF(B1538="","",VLOOKUP(B1538,小圆机汇总表!A:AP,2,FALSE))</f>
        <v/>
      </c>
      <c r="D1538" s="8" t="str">
        <f>IF(B1538="","",VLOOKUP(B1538,小圆机汇总表!A:AP,7,FALSE))</f>
        <v/>
      </c>
      <c r="E1538" s="8" t="str">
        <f>IF(B1538="","",VLOOKUP(B1538,小圆机汇总表!A:AP,5,FALSE))</f>
        <v/>
      </c>
      <c r="F1538" s="8" t="str">
        <f>IF(B1538="","",VLOOKUP(B1538,小圆机汇总表!A:AP,8,FALSE))</f>
        <v/>
      </c>
      <c r="J1538" s="8" t="str">
        <f t="shared" si="32"/>
        <v/>
      </c>
    </row>
    <row r="1539" spans="1:10">
      <c r="A1539" s="4">
        <v>1539</v>
      </c>
      <c r="C1539" s="8" t="str">
        <f>IF(B1539="","",VLOOKUP(B1539,小圆机汇总表!A:AP,2,FALSE))</f>
        <v/>
      </c>
      <c r="D1539" s="8" t="str">
        <f>IF(B1539="","",VLOOKUP(B1539,小圆机汇总表!A:AP,7,FALSE))</f>
        <v/>
      </c>
      <c r="E1539" s="8" t="str">
        <f>IF(B1539="","",VLOOKUP(B1539,小圆机汇总表!A:AP,5,FALSE))</f>
        <v/>
      </c>
      <c r="F1539" s="8" t="str">
        <f>IF(B1539="","",VLOOKUP(B1539,小圆机汇总表!A:AP,8,FALSE))</f>
        <v/>
      </c>
      <c r="J1539" s="8" t="str">
        <f t="shared" si="32"/>
        <v/>
      </c>
    </row>
    <row r="1540" spans="1:10">
      <c r="A1540" s="4">
        <v>1540</v>
      </c>
      <c r="C1540" s="8" t="str">
        <f>IF(B1540="","",VLOOKUP(B1540,小圆机汇总表!A:AP,2,FALSE))</f>
        <v/>
      </c>
      <c r="D1540" s="8" t="str">
        <f>IF(B1540="","",VLOOKUP(B1540,小圆机汇总表!A:AP,7,FALSE))</f>
        <v/>
      </c>
      <c r="E1540" s="8" t="str">
        <f>IF(B1540="","",VLOOKUP(B1540,小圆机汇总表!A:AP,5,FALSE))</f>
        <v/>
      </c>
      <c r="F1540" s="8" t="str">
        <f>IF(B1540="","",VLOOKUP(B1540,小圆机汇总表!A:AP,8,FALSE))</f>
        <v/>
      </c>
      <c r="J1540" s="8" t="str">
        <f t="shared" si="32"/>
        <v/>
      </c>
    </row>
    <row r="1541" spans="1:10">
      <c r="A1541" s="4">
        <v>1541</v>
      </c>
      <c r="C1541" s="8" t="str">
        <f>IF(B1541="","",VLOOKUP(B1541,小圆机汇总表!A:AP,2,FALSE))</f>
        <v/>
      </c>
      <c r="D1541" s="8" t="str">
        <f>IF(B1541="","",VLOOKUP(B1541,小圆机汇总表!A:AP,7,FALSE))</f>
        <v/>
      </c>
      <c r="E1541" s="8" t="str">
        <f>IF(B1541="","",VLOOKUP(B1541,小圆机汇总表!A:AP,5,FALSE))</f>
        <v/>
      </c>
      <c r="F1541" s="8" t="str">
        <f>IF(B1541="","",VLOOKUP(B1541,小圆机汇总表!A:AP,8,FALSE))</f>
        <v/>
      </c>
      <c r="J1541" s="8" t="str">
        <f t="shared" si="32"/>
        <v/>
      </c>
    </row>
    <row r="1542" spans="1:10">
      <c r="A1542" s="4">
        <v>1542</v>
      </c>
      <c r="C1542" s="8" t="str">
        <f>IF(B1542="","",VLOOKUP(B1542,小圆机汇总表!A:AP,2,FALSE))</f>
        <v/>
      </c>
      <c r="D1542" s="8" t="str">
        <f>IF(B1542="","",VLOOKUP(B1542,小圆机汇总表!A:AP,7,FALSE))</f>
        <v/>
      </c>
      <c r="E1542" s="8" t="str">
        <f>IF(B1542="","",VLOOKUP(B1542,小圆机汇总表!A:AP,5,FALSE))</f>
        <v/>
      </c>
      <c r="F1542" s="8" t="str">
        <f>IF(B1542="","",VLOOKUP(B1542,小圆机汇总表!A:AP,8,FALSE))</f>
        <v/>
      </c>
      <c r="J1542" s="8" t="str">
        <f t="shared" si="32"/>
        <v/>
      </c>
    </row>
    <row r="1543" spans="1:10">
      <c r="A1543" s="4">
        <v>1543</v>
      </c>
      <c r="C1543" s="8" t="str">
        <f>IF(B1543="","",VLOOKUP(B1543,小圆机汇总表!A:AP,2,FALSE))</f>
        <v/>
      </c>
      <c r="D1543" s="8" t="str">
        <f>IF(B1543="","",VLOOKUP(B1543,小圆机汇总表!A:AP,7,FALSE))</f>
        <v/>
      </c>
      <c r="E1543" s="8" t="str">
        <f>IF(B1543="","",VLOOKUP(B1543,小圆机汇总表!A:AP,5,FALSE))</f>
        <v/>
      </c>
      <c r="F1543" s="8" t="str">
        <f>IF(B1543="","",VLOOKUP(B1543,小圆机汇总表!A:AP,8,FALSE))</f>
        <v/>
      </c>
      <c r="J1543" s="8" t="str">
        <f t="shared" si="32"/>
        <v/>
      </c>
    </row>
    <row r="1544" spans="1:10">
      <c r="A1544" s="4">
        <v>1544</v>
      </c>
      <c r="C1544" s="8" t="str">
        <f>IF(B1544="","",VLOOKUP(B1544,小圆机汇总表!A:AP,2,FALSE))</f>
        <v/>
      </c>
      <c r="D1544" s="8" t="str">
        <f>IF(B1544="","",VLOOKUP(B1544,小圆机汇总表!A:AP,7,FALSE))</f>
        <v/>
      </c>
      <c r="E1544" s="8" t="str">
        <f>IF(B1544="","",VLOOKUP(B1544,小圆机汇总表!A:AP,5,FALSE))</f>
        <v/>
      </c>
      <c r="F1544" s="8" t="str">
        <f>IF(B1544="","",VLOOKUP(B1544,小圆机汇总表!A:AP,8,FALSE))</f>
        <v/>
      </c>
      <c r="J1544" s="8" t="str">
        <f t="shared" si="32"/>
        <v/>
      </c>
    </row>
    <row r="1545" spans="1:10">
      <c r="A1545" s="4">
        <v>1545</v>
      </c>
      <c r="C1545" s="8" t="str">
        <f>IF(B1545="","",VLOOKUP(B1545,小圆机汇总表!A:AP,2,FALSE))</f>
        <v/>
      </c>
      <c r="D1545" s="8" t="str">
        <f>IF(B1545="","",VLOOKUP(B1545,小圆机汇总表!A:AP,7,FALSE))</f>
        <v/>
      </c>
      <c r="E1545" s="8" t="str">
        <f>IF(B1545="","",VLOOKUP(B1545,小圆机汇总表!A:AP,5,FALSE))</f>
        <v/>
      </c>
      <c r="F1545" s="8" t="str">
        <f>IF(B1545="","",VLOOKUP(B1545,小圆机汇总表!A:AP,8,FALSE))</f>
        <v/>
      </c>
      <c r="J1545" s="8" t="str">
        <f t="shared" si="32"/>
        <v/>
      </c>
    </row>
    <row r="1546" spans="1:10">
      <c r="A1546" s="4">
        <v>1546</v>
      </c>
      <c r="C1546" s="8" t="str">
        <f>IF(B1546="","",VLOOKUP(B1546,小圆机汇总表!A:AP,2,FALSE))</f>
        <v/>
      </c>
      <c r="D1546" s="8" t="str">
        <f>IF(B1546="","",VLOOKUP(B1546,小圆机汇总表!A:AP,7,FALSE))</f>
        <v/>
      </c>
      <c r="E1546" s="8" t="str">
        <f>IF(B1546="","",VLOOKUP(B1546,小圆机汇总表!A:AP,5,FALSE))</f>
        <v/>
      </c>
      <c r="F1546" s="8" t="str">
        <f>IF(B1546="","",VLOOKUP(B1546,小圆机汇总表!A:AP,8,FALSE))</f>
        <v/>
      </c>
      <c r="J1546" s="8" t="str">
        <f t="shared" si="32"/>
        <v/>
      </c>
    </row>
    <row r="1547" spans="1:10">
      <c r="A1547" s="4">
        <v>1547</v>
      </c>
      <c r="C1547" s="8" t="str">
        <f>IF(B1547="","",VLOOKUP(B1547,小圆机汇总表!A:AP,2,FALSE))</f>
        <v/>
      </c>
      <c r="D1547" s="8" t="str">
        <f>IF(B1547="","",VLOOKUP(B1547,小圆机汇总表!A:AP,7,FALSE))</f>
        <v/>
      </c>
      <c r="E1547" s="8" t="str">
        <f>IF(B1547="","",VLOOKUP(B1547,小圆机汇总表!A:AP,5,FALSE))</f>
        <v/>
      </c>
      <c r="F1547" s="8" t="str">
        <f>IF(B1547="","",VLOOKUP(B1547,小圆机汇总表!A:AP,8,FALSE))</f>
        <v/>
      </c>
      <c r="J1547" s="8" t="str">
        <f t="shared" si="32"/>
        <v/>
      </c>
    </row>
    <row r="1548" spans="1:10">
      <c r="A1548" s="4">
        <v>1548</v>
      </c>
      <c r="C1548" s="8" t="str">
        <f>IF(B1548="","",VLOOKUP(B1548,小圆机汇总表!A:AP,2,FALSE))</f>
        <v/>
      </c>
      <c r="D1548" s="8" t="str">
        <f>IF(B1548="","",VLOOKUP(B1548,小圆机汇总表!A:AP,7,FALSE))</f>
        <v/>
      </c>
      <c r="E1548" s="8" t="str">
        <f>IF(B1548="","",VLOOKUP(B1548,小圆机汇总表!A:AP,5,FALSE))</f>
        <v/>
      </c>
      <c r="F1548" s="8" t="str">
        <f>IF(B1548="","",VLOOKUP(B1548,小圆机汇总表!A:AP,8,FALSE))</f>
        <v/>
      </c>
      <c r="J1548" s="8" t="str">
        <f t="shared" si="32"/>
        <v/>
      </c>
    </row>
    <row r="1549" spans="1:10">
      <c r="A1549" s="4">
        <v>1549</v>
      </c>
      <c r="C1549" s="8" t="str">
        <f>IF(B1549="","",VLOOKUP(B1549,小圆机汇总表!A:AP,2,FALSE))</f>
        <v/>
      </c>
      <c r="D1549" s="8" t="str">
        <f>IF(B1549="","",VLOOKUP(B1549,小圆机汇总表!A:AP,7,FALSE))</f>
        <v/>
      </c>
      <c r="E1549" s="8" t="str">
        <f>IF(B1549="","",VLOOKUP(B1549,小圆机汇总表!A:AP,5,FALSE))</f>
        <v/>
      </c>
      <c r="F1549" s="8" t="str">
        <f>IF(B1549="","",VLOOKUP(B1549,小圆机汇总表!A:AP,8,FALSE))</f>
        <v/>
      </c>
      <c r="J1549" s="8" t="str">
        <f t="shared" si="32"/>
        <v/>
      </c>
    </row>
    <row r="1550" spans="1:10">
      <c r="A1550" s="4">
        <v>1550</v>
      </c>
      <c r="C1550" s="8" t="str">
        <f>IF(B1550="","",VLOOKUP(B1550,小圆机汇总表!A:AP,2,FALSE))</f>
        <v/>
      </c>
      <c r="D1550" s="8" t="str">
        <f>IF(B1550="","",VLOOKUP(B1550,小圆机汇总表!A:AP,7,FALSE))</f>
        <v/>
      </c>
      <c r="E1550" s="8" t="str">
        <f>IF(B1550="","",VLOOKUP(B1550,小圆机汇总表!A:AP,5,FALSE))</f>
        <v/>
      </c>
      <c r="F1550" s="8" t="str">
        <f>IF(B1550="","",VLOOKUP(B1550,小圆机汇总表!A:AP,8,FALSE))</f>
        <v/>
      </c>
      <c r="J1550" s="8" t="str">
        <f t="shared" si="32"/>
        <v/>
      </c>
    </row>
    <row r="1551" spans="1:10">
      <c r="A1551" s="4">
        <v>1551</v>
      </c>
      <c r="C1551" s="8" t="str">
        <f>IF(B1551="","",VLOOKUP(B1551,小圆机汇总表!A:AP,2,FALSE))</f>
        <v/>
      </c>
      <c r="D1551" s="8" t="str">
        <f>IF(B1551="","",VLOOKUP(B1551,小圆机汇总表!A:AP,7,FALSE))</f>
        <v/>
      </c>
      <c r="E1551" s="8" t="str">
        <f>IF(B1551="","",VLOOKUP(B1551,小圆机汇总表!A:AP,5,FALSE))</f>
        <v/>
      </c>
      <c r="F1551" s="8" t="str">
        <f>IF(B1551="","",VLOOKUP(B1551,小圆机汇总表!A:AP,8,FALSE))</f>
        <v/>
      </c>
      <c r="J1551" s="8" t="str">
        <f t="shared" si="32"/>
        <v/>
      </c>
    </row>
    <row r="1552" spans="1:10">
      <c r="A1552" s="4">
        <v>1552</v>
      </c>
      <c r="C1552" s="8" t="str">
        <f>IF(B1552="","",VLOOKUP(B1552,小圆机汇总表!A:AP,2,FALSE))</f>
        <v/>
      </c>
      <c r="D1552" s="8" t="str">
        <f>IF(B1552="","",VLOOKUP(B1552,小圆机汇总表!A:AP,7,FALSE))</f>
        <v/>
      </c>
      <c r="E1552" s="8" t="str">
        <f>IF(B1552="","",VLOOKUP(B1552,小圆机汇总表!A:AP,5,FALSE))</f>
        <v/>
      </c>
      <c r="F1552" s="8" t="str">
        <f>IF(B1552="","",VLOOKUP(B1552,小圆机汇总表!A:AP,8,FALSE))</f>
        <v/>
      </c>
      <c r="J1552" s="8" t="str">
        <f t="shared" si="32"/>
        <v/>
      </c>
    </row>
    <row r="1553" spans="1:10">
      <c r="A1553" s="4">
        <v>1553</v>
      </c>
      <c r="C1553" s="8" t="str">
        <f>IF(B1553="","",VLOOKUP(B1553,小圆机汇总表!A:AP,2,FALSE))</f>
        <v/>
      </c>
      <c r="D1553" s="8" t="str">
        <f>IF(B1553="","",VLOOKUP(B1553,小圆机汇总表!A:AP,7,FALSE))</f>
        <v/>
      </c>
      <c r="E1553" s="8" t="str">
        <f>IF(B1553="","",VLOOKUP(B1553,小圆机汇总表!A:AP,5,FALSE))</f>
        <v/>
      </c>
      <c r="F1553" s="8" t="str">
        <f>IF(B1553="","",VLOOKUP(B1553,小圆机汇总表!A:AP,8,FALSE))</f>
        <v/>
      </c>
      <c r="J1553" s="8" t="str">
        <f t="shared" si="32"/>
        <v/>
      </c>
    </row>
    <row r="1554" spans="1:10">
      <c r="A1554" s="4">
        <v>1554</v>
      </c>
      <c r="C1554" s="8" t="str">
        <f>IF(B1554="","",VLOOKUP(B1554,小圆机汇总表!A:AP,2,FALSE))</f>
        <v/>
      </c>
      <c r="D1554" s="8" t="str">
        <f>IF(B1554="","",VLOOKUP(B1554,小圆机汇总表!A:AP,7,FALSE))</f>
        <v/>
      </c>
      <c r="E1554" s="8" t="str">
        <f>IF(B1554="","",VLOOKUP(B1554,小圆机汇总表!A:AP,5,FALSE))</f>
        <v/>
      </c>
      <c r="F1554" s="8" t="str">
        <f>IF(B1554="","",VLOOKUP(B1554,小圆机汇总表!A:AP,8,FALSE))</f>
        <v/>
      </c>
      <c r="J1554" s="8" t="str">
        <f t="shared" si="32"/>
        <v/>
      </c>
    </row>
    <row r="1555" spans="1:10">
      <c r="A1555" s="4">
        <v>1555</v>
      </c>
      <c r="C1555" s="8" t="str">
        <f>IF(B1555="","",VLOOKUP(B1555,小圆机汇总表!A:AP,2,FALSE))</f>
        <v/>
      </c>
      <c r="D1555" s="8" t="str">
        <f>IF(B1555="","",VLOOKUP(B1555,小圆机汇总表!A:AP,7,FALSE))</f>
        <v/>
      </c>
      <c r="E1555" s="8" t="str">
        <f>IF(B1555="","",VLOOKUP(B1555,小圆机汇总表!A:AP,5,FALSE))</f>
        <v/>
      </c>
      <c r="F1555" s="8" t="str">
        <f>IF(B1555="","",VLOOKUP(B1555,小圆机汇总表!A:AP,8,FALSE))</f>
        <v/>
      </c>
      <c r="J1555" s="8" t="str">
        <f t="shared" si="32"/>
        <v/>
      </c>
    </row>
    <row r="1556" spans="1:10">
      <c r="A1556" s="4">
        <v>1556</v>
      </c>
      <c r="C1556" s="8" t="str">
        <f>IF(B1556="","",VLOOKUP(B1556,小圆机汇总表!A:AP,2,FALSE))</f>
        <v/>
      </c>
      <c r="D1556" s="8" t="str">
        <f>IF(B1556="","",VLOOKUP(B1556,小圆机汇总表!A:AP,7,FALSE))</f>
        <v/>
      </c>
      <c r="E1556" s="8" t="str">
        <f>IF(B1556="","",VLOOKUP(B1556,小圆机汇总表!A:AP,5,FALSE))</f>
        <v/>
      </c>
      <c r="F1556" s="8" t="str">
        <f>IF(B1556="","",VLOOKUP(B1556,小圆机汇总表!A:AP,8,FALSE))</f>
        <v/>
      </c>
      <c r="J1556" s="8" t="str">
        <f t="shared" si="32"/>
        <v/>
      </c>
    </row>
    <row r="1557" spans="1:10">
      <c r="A1557" s="4">
        <v>1557</v>
      </c>
      <c r="C1557" s="8" t="str">
        <f>IF(B1557="","",VLOOKUP(B1557,小圆机汇总表!A:AP,2,FALSE))</f>
        <v/>
      </c>
      <c r="D1557" s="8" t="str">
        <f>IF(B1557="","",VLOOKUP(B1557,小圆机汇总表!A:AP,7,FALSE))</f>
        <v/>
      </c>
      <c r="E1557" s="8" t="str">
        <f>IF(B1557="","",VLOOKUP(B1557,小圆机汇总表!A:AP,5,FALSE))</f>
        <v/>
      </c>
      <c r="F1557" s="8" t="str">
        <f>IF(B1557="","",VLOOKUP(B1557,小圆机汇总表!A:AP,8,FALSE))</f>
        <v/>
      </c>
      <c r="J1557" s="8" t="str">
        <f t="shared" si="32"/>
        <v/>
      </c>
    </row>
    <row r="1558" spans="1:10">
      <c r="A1558" s="4">
        <v>1558</v>
      </c>
      <c r="C1558" s="8" t="str">
        <f>IF(B1558="","",VLOOKUP(B1558,小圆机汇总表!A:AP,2,FALSE))</f>
        <v/>
      </c>
      <c r="D1558" s="8" t="str">
        <f>IF(B1558="","",VLOOKUP(B1558,小圆机汇总表!A:AP,7,FALSE))</f>
        <v/>
      </c>
      <c r="E1558" s="8" t="str">
        <f>IF(B1558="","",VLOOKUP(B1558,小圆机汇总表!A:AP,5,FALSE))</f>
        <v/>
      </c>
      <c r="F1558" s="8" t="str">
        <f>IF(B1558="","",VLOOKUP(B1558,小圆机汇总表!A:AP,8,FALSE))</f>
        <v/>
      </c>
      <c r="J1558" s="8" t="str">
        <f t="shared" si="32"/>
        <v/>
      </c>
    </row>
    <row r="1559" spans="1:10">
      <c r="A1559" s="4">
        <v>1559</v>
      </c>
      <c r="C1559" s="8" t="str">
        <f>IF(B1559="","",VLOOKUP(B1559,小圆机汇总表!A:AP,2,FALSE))</f>
        <v/>
      </c>
      <c r="D1559" s="8" t="str">
        <f>IF(B1559="","",VLOOKUP(B1559,小圆机汇总表!A:AP,7,FALSE))</f>
        <v/>
      </c>
      <c r="E1559" s="8" t="str">
        <f>IF(B1559="","",VLOOKUP(B1559,小圆机汇总表!A:AP,5,FALSE))</f>
        <v/>
      </c>
      <c r="F1559" s="8" t="str">
        <f>IF(B1559="","",VLOOKUP(B1559,小圆机汇总表!A:AP,8,FALSE))</f>
        <v/>
      </c>
      <c r="J1559" s="8" t="str">
        <f t="shared" si="32"/>
        <v/>
      </c>
    </row>
    <row r="1560" spans="1:10">
      <c r="A1560" s="4">
        <v>1560</v>
      </c>
      <c r="C1560" s="8" t="str">
        <f>IF(B1560="","",VLOOKUP(B1560,小圆机汇总表!A:AP,2,FALSE))</f>
        <v/>
      </c>
      <c r="D1560" s="8" t="str">
        <f>IF(B1560="","",VLOOKUP(B1560,小圆机汇总表!A:AP,7,FALSE))</f>
        <v/>
      </c>
      <c r="E1560" s="8" t="str">
        <f>IF(B1560="","",VLOOKUP(B1560,小圆机汇总表!A:AP,5,FALSE))</f>
        <v/>
      </c>
      <c r="F1560" s="8" t="str">
        <f>IF(B1560="","",VLOOKUP(B1560,小圆机汇总表!A:AP,8,FALSE))</f>
        <v/>
      </c>
      <c r="J1560" s="8" t="str">
        <f t="shared" si="32"/>
        <v/>
      </c>
    </row>
    <row r="1561" spans="1:10">
      <c r="A1561" s="4">
        <v>1561</v>
      </c>
      <c r="C1561" s="8" t="str">
        <f>IF(B1561="","",VLOOKUP(B1561,小圆机汇总表!A:AP,2,FALSE))</f>
        <v/>
      </c>
      <c r="D1561" s="8" t="str">
        <f>IF(B1561="","",VLOOKUP(B1561,小圆机汇总表!A:AP,7,FALSE))</f>
        <v/>
      </c>
      <c r="E1561" s="8" t="str">
        <f>IF(B1561="","",VLOOKUP(B1561,小圆机汇总表!A:AP,5,FALSE))</f>
        <v/>
      </c>
      <c r="F1561" s="8" t="str">
        <f>IF(B1561="","",VLOOKUP(B1561,小圆机汇总表!A:AP,8,FALSE))</f>
        <v/>
      </c>
      <c r="J1561" s="8" t="str">
        <f t="shared" si="32"/>
        <v/>
      </c>
    </row>
    <row r="1562" spans="1:10">
      <c r="A1562" s="4">
        <v>1562</v>
      </c>
      <c r="C1562" s="8" t="str">
        <f>IF(B1562="","",VLOOKUP(B1562,小圆机汇总表!A:AP,2,FALSE))</f>
        <v/>
      </c>
      <c r="D1562" s="8" t="str">
        <f>IF(B1562="","",VLOOKUP(B1562,小圆机汇总表!A:AP,7,FALSE))</f>
        <v/>
      </c>
      <c r="E1562" s="8" t="str">
        <f>IF(B1562="","",VLOOKUP(B1562,小圆机汇总表!A:AP,5,FALSE))</f>
        <v/>
      </c>
      <c r="F1562" s="8" t="str">
        <f>IF(B1562="","",VLOOKUP(B1562,小圆机汇总表!A:AP,8,FALSE))</f>
        <v/>
      </c>
      <c r="J1562" s="8" t="str">
        <f t="shared" si="32"/>
        <v/>
      </c>
    </row>
    <row r="1563" spans="1:10">
      <c r="A1563" s="4">
        <v>1563</v>
      </c>
      <c r="C1563" s="8" t="str">
        <f>IF(B1563="","",VLOOKUP(B1563,小圆机汇总表!A:AP,2,FALSE))</f>
        <v/>
      </c>
      <c r="D1563" s="8" t="str">
        <f>IF(B1563="","",VLOOKUP(B1563,小圆机汇总表!A:AP,7,FALSE))</f>
        <v/>
      </c>
      <c r="E1563" s="8" t="str">
        <f>IF(B1563="","",VLOOKUP(B1563,小圆机汇总表!A:AP,5,FALSE))</f>
        <v/>
      </c>
      <c r="F1563" s="8" t="str">
        <f>IF(B1563="","",VLOOKUP(B1563,小圆机汇总表!A:AP,8,FALSE))</f>
        <v/>
      </c>
      <c r="J1563" s="8" t="str">
        <f t="shared" si="32"/>
        <v/>
      </c>
    </row>
    <row r="1564" spans="1:10">
      <c r="A1564" s="4">
        <v>1564</v>
      </c>
      <c r="C1564" s="8" t="str">
        <f>IF(B1564="","",VLOOKUP(B1564,小圆机汇总表!A:AP,2,FALSE))</f>
        <v/>
      </c>
      <c r="D1564" s="8" t="str">
        <f>IF(B1564="","",VLOOKUP(B1564,小圆机汇总表!A:AP,7,FALSE))</f>
        <v/>
      </c>
      <c r="E1564" s="8" t="str">
        <f>IF(B1564="","",VLOOKUP(B1564,小圆机汇总表!A:AP,5,FALSE))</f>
        <v/>
      </c>
      <c r="F1564" s="8" t="str">
        <f>IF(B1564="","",VLOOKUP(B1564,小圆机汇总表!A:AP,8,FALSE))</f>
        <v/>
      </c>
      <c r="J1564" s="8" t="str">
        <f t="shared" si="32"/>
        <v/>
      </c>
    </row>
    <row r="1565" spans="1:10">
      <c r="A1565" s="4">
        <v>1565</v>
      </c>
      <c r="C1565" s="8" t="str">
        <f>IF(B1565="","",VLOOKUP(B1565,小圆机汇总表!A:AP,2,FALSE))</f>
        <v/>
      </c>
      <c r="D1565" s="8" t="str">
        <f>IF(B1565="","",VLOOKUP(B1565,小圆机汇总表!A:AP,7,FALSE))</f>
        <v/>
      </c>
      <c r="E1565" s="8" t="str">
        <f>IF(B1565="","",VLOOKUP(B1565,小圆机汇总表!A:AP,5,FALSE))</f>
        <v/>
      </c>
      <c r="F1565" s="8" t="str">
        <f>IF(B1565="","",VLOOKUP(B1565,小圆机汇总表!A:AP,8,FALSE))</f>
        <v/>
      </c>
      <c r="J1565" s="8" t="str">
        <f t="shared" si="32"/>
        <v/>
      </c>
    </row>
    <row r="1566" spans="1:10">
      <c r="A1566" s="4">
        <v>1566</v>
      </c>
      <c r="C1566" s="8" t="str">
        <f>IF(B1566="","",VLOOKUP(B1566,小圆机汇总表!A:AP,2,FALSE))</f>
        <v/>
      </c>
      <c r="D1566" s="8" t="str">
        <f>IF(B1566="","",VLOOKUP(B1566,小圆机汇总表!A:AP,7,FALSE))</f>
        <v/>
      </c>
      <c r="E1566" s="8" t="str">
        <f>IF(B1566="","",VLOOKUP(B1566,小圆机汇总表!A:AP,5,FALSE))</f>
        <v/>
      </c>
      <c r="F1566" s="8" t="str">
        <f>IF(B1566="","",VLOOKUP(B1566,小圆机汇总表!A:AP,8,FALSE))</f>
        <v/>
      </c>
      <c r="J1566" s="8" t="str">
        <f t="shared" si="32"/>
        <v/>
      </c>
    </row>
    <row r="1567" spans="1:10">
      <c r="A1567" s="4">
        <v>1567</v>
      </c>
      <c r="C1567" s="8" t="str">
        <f>IF(B1567="","",VLOOKUP(B1567,小圆机汇总表!A:AP,2,FALSE))</f>
        <v/>
      </c>
      <c r="D1567" s="8" t="str">
        <f>IF(B1567="","",VLOOKUP(B1567,小圆机汇总表!A:AP,7,FALSE))</f>
        <v/>
      </c>
      <c r="E1567" s="8" t="str">
        <f>IF(B1567="","",VLOOKUP(B1567,小圆机汇总表!A:AP,5,FALSE))</f>
        <v/>
      </c>
      <c r="F1567" s="8" t="str">
        <f>IF(B1567="","",VLOOKUP(B1567,小圆机汇总表!A:AP,8,FALSE))</f>
        <v/>
      </c>
      <c r="J1567" s="8" t="str">
        <f t="shared" si="32"/>
        <v/>
      </c>
    </row>
    <row r="1568" spans="1:10">
      <c r="A1568" s="4">
        <v>1568</v>
      </c>
      <c r="C1568" s="8" t="str">
        <f>IF(B1568="","",VLOOKUP(B1568,小圆机汇总表!A:AP,2,FALSE))</f>
        <v/>
      </c>
      <c r="D1568" s="8" t="str">
        <f>IF(B1568="","",VLOOKUP(B1568,小圆机汇总表!A:AP,7,FALSE))</f>
        <v/>
      </c>
      <c r="E1568" s="8" t="str">
        <f>IF(B1568="","",VLOOKUP(B1568,小圆机汇总表!A:AP,5,FALSE))</f>
        <v/>
      </c>
      <c r="F1568" s="8" t="str">
        <f>IF(B1568="","",VLOOKUP(B1568,小圆机汇总表!A:AP,8,FALSE))</f>
        <v/>
      </c>
      <c r="J1568" s="8" t="str">
        <f t="shared" si="32"/>
        <v/>
      </c>
    </row>
    <row r="1569" spans="1:10">
      <c r="A1569" s="4">
        <v>1569</v>
      </c>
      <c r="C1569" s="8" t="str">
        <f>IF(B1569="","",VLOOKUP(B1569,小圆机汇总表!A:AP,2,FALSE))</f>
        <v/>
      </c>
      <c r="D1569" s="8" t="str">
        <f>IF(B1569="","",VLOOKUP(B1569,小圆机汇总表!A:AP,7,FALSE))</f>
        <v/>
      </c>
      <c r="E1569" s="8" t="str">
        <f>IF(B1569="","",VLOOKUP(B1569,小圆机汇总表!A:AP,5,FALSE))</f>
        <v/>
      </c>
      <c r="F1569" s="8" t="str">
        <f>IF(B1569="","",VLOOKUP(B1569,小圆机汇总表!A:AP,8,FALSE))</f>
        <v/>
      </c>
      <c r="J1569" s="8" t="str">
        <f t="shared" si="32"/>
        <v/>
      </c>
    </row>
    <row r="1570" spans="1:10">
      <c r="A1570" s="4">
        <v>1570</v>
      </c>
      <c r="C1570" s="8" t="str">
        <f>IF(B1570="","",VLOOKUP(B1570,小圆机汇总表!A:AP,2,FALSE))</f>
        <v/>
      </c>
      <c r="D1570" s="8" t="str">
        <f>IF(B1570="","",VLOOKUP(B1570,小圆机汇总表!A:AP,7,FALSE))</f>
        <v/>
      </c>
      <c r="E1570" s="8" t="str">
        <f>IF(B1570="","",VLOOKUP(B1570,小圆机汇总表!A:AP,5,FALSE))</f>
        <v/>
      </c>
      <c r="F1570" s="8" t="str">
        <f>IF(B1570="","",VLOOKUP(B1570,小圆机汇总表!A:AP,8,FALSE))</f>
        <v/>
      </c>
      <c r="J1570" s="8" t="str">
        <f t="shared" si="32"/>
        <v/>
      </c>
    </row>
    <row r="1571" spans="1:10">
      <c r="A1571" s="4">
        <v>1571</v>
      </c>
      <c r="C1571" s="8" t="str">
        <f>IF(B1571="","",VLOOKUP(B1571,小圆机汇总表!A:AP,2,FALSE))</f>
        <v/>
      </c>
      <c r="D1571" s="8" t="str">
        <f>IF(B1571="","",VLOOKUP(B1571,小圆机汇总表!A:AP,7,FALSE))</f>
        <v/>
      </c>
      <c r="E1571" s="8" t="str">
        <f>IF(B1571="","",VLOOKUP(B1571,小圆机汇总表!A:AP,5,FALSE))</f>
        <v/>
      </c>
      <c r="F1571" s="8" t="str">
        <f>IF(B1571="","",VLOOKUP(B1571,小圆机汇总表!A:AP,8,FALSE))</f>
        <v/>
      </c>
      <c r="J1571" s="8" t="str">
        <f t="shared" ref="J1571:J1634" si="33">IF(B1571="","",MONTH(G1571))</f>
        <v/>
      </c>
    </row>
    <row r="1572" spans="1:10">
      <c r="A1572" s="4">
        <v>1572</v>
      </c>
      <c r="C1572" s="8" t="str">
        <f>IF(B1572="","",VLOOKUP(B1572,小圆机汇总表!A:AP,2,FALSE))</f>
        <v/>
      </c>
      <c r="D1572" s="8" t="str">
        <f>IF(B1572="","",VLOOKUP(B1572,小圆机汇总表!A:AP,7,FALSE))</f>
        <v/>
      </c>
      <c r="E1572" s="8" t="str">
        <f>IF(B1572="","",VLOOKUP(B1572,小圆机汇总表!A:AP,5,FALSE))</f>
        <v/>
      </c>
      <c r="F1572" s="8" t="str">
        <f>IF(B1572="","",VLOOKUP(B1572,小圆机汇总表!A:AP,8,FALSE))</f>
        <v/>
      </c>
      <c r="J1572" s="8" t="str">
        <f t="shared" si="33"/>
        <v/>
      </c>
    </row>
    <row r="1573" spans="1:10">
      <c r="A1573" s="4">
        <v>1573</v>
      </c>
      <c r="C1573" s="8" t="str">
        <f>IF(B1573="","",VLOOKUP(B1573,小圆机汇总表!A:AP,2,FALSE))</f>
        <v/>
      </c>
      <c r="D1573" s="8" t="str">
        <f>IF(B1573="","",VLOOKUP(B1573,小圆机汇总表!A:AP,7,FALSE))</f>
        <v/>
      </c>
      <c r="E1573" s="8" t="str">
        <f>IF(B1573="","",VLOOKUP(B1573,小圆机汇总表!A:AP,5,FALSE))</f>
        <v/>
      </c>
      <c r="F1573" s="8" t="str">
        <f>IF(B1573="","",VLOOKUP(B1573,小圆机汇总表!A:AP,8,FALSE))</f>
        <v/>
      </c>
      <c r="J1573" s="8" t="str">
        <f t="shared" si="33"/>
        <v/>
      </c>
    </row>
    <row r="1574" spans="1:10">
      <c r="A1574" s="4">
        <v>1574</v>
      </c>
      <c r="C1574" s="8" t="str">
        <f>IF(B1574="","",VLOOKUP(B1574,小圆机汇总表!A:AP,2,FALSE))</f>
        <v/>
      </c>
      <c r="D1574" s="8" t="str">
        <f>IF(B1574="","",VLOOKUP(B1574,小圆机汇总表!A:AP,7,FALSE))</f>
        <v/>
      </c>
      <c r="E1574" s="8" t="str">
        <f>IF(B1574="","",VLOOKUP(B1574,小圆机汇总表!A:AP,5,FALSE))</f>
        <v/>
      </c>
      <c r="F1574" s="8" t="str">
        <f>IF(B1574="","",VLOOKUP(B1574,小圆机汇总表!A:AP,8,FALSE))</f>
        <v/>
      </c>
      <c r="J1574" s="8" t="str">
        <f t="shared" si="33"/>
        <v/>
      </c>
    </row>
    <row r="1575" spans="1:10">
      <c r="A1575" s="4">
        <v>1575</v>
      </c>
      <c r="C1575" s="8" t="str">
        <f>IF(B1575="","",VLOOKUP(B1575,小圆机汇总表!A:AP,2,FALSE))</f>
        <v/>
      </c>
      <c r="D1575" s="8" t="str">
        <f>IF(B1575="","",VLOOKUP(B1575,小圆机汇总表!A:AP,7,FALSE))</f>
        <v/>
      </c>
      <c r="E1575" s="8" t="str">
        <f>IF(B1575="","",VLOOKUP(B1575,小圆机汇总表!A:AP,5,FALSE))</f>
        <v/>
      </c>
      <c r="F1575" s="8" t="str">
        <f>IF(B1575="","",VLOOKUP(B1575,小圆机汇总表!A:AP,8,FALSE))</f>
        <v/>
      </c>
      <c r="J1575" s="8" t="str">
        <f t="shared" si="33"/>
        <v/>
      </c>
    </row>
    <row r="1576" spans="1:10">
      <c r="A1576" s="4">
        <v>1576</v>
      </c>
      <c r="C1576" s="8" t="str">
        <f>IF(B1576="","",VLOOKUP(B1576,小圆机汇总表!A:AP,2,FALSE))</f>
        <v/>
      </c>
      <c r="D1576" s="8" t="str">
        <f>IF(B1576="","",VLOOKUP(B1576,小圆机汇总表!A:AP,7,FALSE))</f>
        <v/>
      </c>
      <c r="E1576" s="8" t="str">
        <f>IF(B1576="","",VLOOKUP(B1576,小圆机汇总表!A:AP,5,FALSE))</f>
        <v/>
      </c>
      <c r="F1576" s="8" t="str">
        <f>IF(B1576="","",VLOOKUP(B1576,小圆机汇总表!A:AP,8,FALSE))</f>
        <v/>
      </c>
      <c r="J1576" s="8" t="str">
        <f t="shared" si="33"/>
        <v/>
      </c>
    </row>
    <row r="1577" spans="1:10">
      <c r="A1577" s="4">
        <v>1577</v>
      </c>
      <c r="C1577" s="8" t="str">
        <f>IF(B1577="","",VLOOKUP(B1577,小圆机汇总表!A:AP,2,FALSE))</f>
        <v/>
      </c>
      <c r="D1577" s="8" t="str">
        <f>IF(B1577="","",VLOOKUP(B1577,小圆机汇总表!A:AP,7,FALSE))</f>
        <v/>
      </c>
      <c r="E1577" s="8" t="str">
        <f>IF(B1577="","",VLOOKUP(B1577,小圆机汇总表!A:AP,5,FALSE))</f>
        <v/>
      </c>
      <c r="F1577" s="8" t="str">
        <f>IF(B1577="","",VLOOKUP(B1577,小圆机汇总表!A:AP,8,FALSE))</f>
        <v/>
      </c>
      <c r="J1577" s="8" t="str">
        <f t="shared" si="33"/>
        <v/>
      </c>
    </row>
    <row r="1578" spans="1:10">
      <c r="A1578" s="4">
        <v>1578</v>
      </c>
      <c r="C1578" s="8" t="str">
        <f>IF(B1578="","",VLOOKUP(B1578,小圆机汇总表!A:AP,2,FALSE))</f>
        <v/>
      </c>
      <c r="D1578" s="8" t="str">
        <f>IF(B1578="","",VLOOKUP(B1578,小圆机汇总表!A:AP,7,FALSE))</f>
        <v/>
      </c>
      <c r="E1578" s="8" t="str">
        <f>IF(B1578="","",VLOOKUP(B1578,小圆机汇总表!A:AP,5,FALSE))</f>
        <v/>
      </c>
      <c r="F1578" s="8" t="str">
        <f>IF(B1578="","",VLOOKUP(B1578,小圆机汇总表!A:AP,8,FALSE))</f>
        <v/>
      </c>
      <c r="J1578" s="8" t="str">
        <f t="shared" si="33"/>
        <v/>
      </c>
    </row>
    <row r="1579" spans="1:10">
      <c r="A1579" s="4">
        <v>1579</v>
      </c>
      <c r="C1579" s="8" t="str">
        <f>IF(B1579="","",VLOOKUP(B1579,小圆机汇总表!A:AP,2,FALSE))</f>
        <v/>
      </c>
      <c r="D1579" s="8" t="str">
        <f>IF(B1579="","",VLOOKUP(B1579,小圆机汇总表!A:AP,7,FALSE))</f>
        <v/>
      </c>
      <c r="E1579" s="8" t="str">
        <f>IF(B1579="","",VLOOKUP(B1579,小圆机汇总表!A:AP,5,FALSE))</f>
        <v/>
      </c>
      <c r="F1579" s="8" t="str">
        <f>IF(B1579="","",VLOOKUP(B1579,小圆机汇总表!A:AP,8,FALSE))</f>
        <v/>
      </c>
      <c r="J1579" s="8" t="str">
        <f t="shared" si="33"/>
        <v/>
      </c>
    </row>
    <row r="1580" spans="1:10">
      <c r="A1580" s="4">
        <v>1580</v>
      </c>
      <c r="C1580" s="8" t="str">
        <f>IF(B1580="","",VLOOKUP(B1580,小圆机汇总表!A:AP,2,FALSE))</f>
        <v/>
      </c>
      <c r="D1580" s="8" t="str">
        <f>IF(B1580="","",VLOOKUP(B1580,小圆机汇总表!A:AP,7,FALSE))</f>
        <v/>
      </c>
      <c r="E1580" s="8" t="str">
        <f>IF(B1580="","",VLOOKUP(B1580,小圆机汇总表!A:AP,5,FALSE))</f>
        <v/>
      </c>
      <c r="F1580" s="8" t="str">
        <f>IF(B1580="","",VLOOKUP(B1580,小圆机汇总表!A:AP,8,FALSE))</f>
        <v/>
      </c>
      <c r="J1580" s="8" t="str">
        <f t="shared" si="33"/>
        <v/>
      </c>
    </row>
    <row r="1581" spans="1:10">
      <c r="A1581" s="4">
        <v>1581</v>
      </c>
      <c r="C1581" s="8" t="str">
        <f>IF(B1581="","",VLOOKUP(B1581,小圆机汇总表!A:AP,2,FALSE))</f>
        <v/>
      </c>
      <c r="D1581" s="8" t="str">
        <f>IF(B1581="","",VLOOKUP(B1581,小圆机汇总表!A:AP,7,FALSE))</f>
        <v/>
      </c>
      <c r="E1581" s="8" t="str">
        <f>IF(B1581="","",VLOOKUP(B1581,小圆机汇总表!A:AP,5,FALSE))</f>
        <v/>
      </c>
      <c r="F1581" s="8" t="str">
        <f>IF(B1581="","",VLOOKUP(B1581,小圆机汇总表!A:AP,8,FALSE))</f>
        <v/>
      </c>
      <c r="J1581" s="8" t="str">
        <f t="shared" si="33"/>
        <v/>
      </c>
    </row>
    <row r="1582" spans="1:10">
      <c r="A1582" s="4">
        <v>1582</v>
      </c>
      <c r="C1582" s="8" t="str">
        <f>IF(B1582="","",VLOOKUP(B1582,小圆机汇总表!A:AP,2,FALSE))</f>
        <v/>
      </c>
      <c r="D1582" s="8" t="str">
        <f>IF(B1582="","",VLOOKUP(B1582,小圆机汇总表!A:AP,7,FALSE))</f>
        <v/>
      </c>
      <c r="E1582" s="8" t="str">
        <f>IF(B1582="","",VLOOKUP(B1582,小圆机汇总表!A:AP,5,FALSE))</f>
        <v/>
      </c>
      <c r="F1582" s="8" t="str">
        <f>IF(B1582="","",VLOOKUP(B1582,小圆机汇总表!A:AP,8,FALSE))</f>
        <v/>
      </c>
      <c r="J1582" s="8" t="str">
        <f t="shared" si="33"/>
        <v/>
      </c>
    </row>
    <row r="1583" spans="1:10">
      <c r="A1583" s="4">
        <v>1583</v>
      </c>
      <c r="C1583" s="8" t="str">
        <f>IF(B1583="","",VLOOKUP(B1583,小圆机汇总表!A:AP,2,FALSE))</f>
        <v/>
      </c>
      <c r="D1583" s="8" t="str">
        <f>IF(B1583="","",VLOOKUP(B1583,小圆机汇总表!A:AP,7,FALSE))</f>
        <v/>
      </c>
      <c r="E1583" s="8" t="str">
        <f>IF(B1583="","",VLOOKUP(B1583,小圆机汇总表!A:AP,5,FALSE))</f>
        <v/>
      </c>
      <c r="F1583" s="8" t="str">
        <f>IF(B1583="","",VLOOKUP(B1583,小圆机汇总表!A:AP,8,FALSE))</f>
        <v/>
      </c>
      <c r="J1583" s="8" t="str">
        <f t="shared" si="33"/>
        <v/>
      </c>
    </row>
    <row r="1584" spans="1:10">
      <c r="A1584" s="4">
        <v>1584</v>
      </c>
      <c r="C1584" s="8" t="str">
        <f>IF(B1584="","",VLOOKUP(B1584,小圆机汇总表!A:AP,2,FALSE))</f>
        <v/>
      </c>
      <c r="D1584" s="8" t="str">
        <f>IF(B1584="","",VLOOKUP(B1584,小圆机汇总表!A:AP,7,FALSE))</f>
        <v/>
      </c>
      <c r="E1584" s="8" t="str">
        <f>IF(B1584="","",VLOOKUP(B1584,小圆机汇总表!A:AP,5,FALSE))</f>
        <v/>
      </c>
      <c r="F1584" s="8" t="str">
        <f>IF(B1584="","",VLOOKUP(B1584,小圆机汇总表!A:AP,8,FALSE))</f>
        <v/>
      </c>
      <c r="J1584" s="8" t="str">
        <f t="shared" si="33"/>
        <v/>
      </c>
    </row>
    <row r="1585" spans="1:10">
      <c r="A1585" s="4">
        <v>1585</v>
      </c>
      <c r="C1585" s="8" t="str">
        <f>IF(B1585="","",VLOOKUP(B1585,小圆机汇总表!A:AP,2,FALSE))</f>
        <v/>
      </c>
      <c r="D1585" s="8" t="str">
        <f>IF(B1585="","",VLOOKUP(B1585,小圆机汇总表!A:AP,7,FALSE))</f>
        <v/>
      </c>
      <c r="E1585" s="8" t="str">
        <f>IF(B1585="","",VLOOKUP(B1585,小圆机汇总表!A:AP,5,FALSE))</f>
        <v/>
      </c>
      <c r="F1585" s="8" t="str">
        <f>IF(B1585="","",VLOOKUP(B1585,小圆机汇总表!A:AP,8,FALSE))</f>
        <v/>
      </c>
      <c r="J1585" s="8" t="str">
        <f t="shared" si="33"/>
        <v/>
      </c>
    </row>
    <row r="1586" spans="1:10">
      <c r="A1586" s="4">
        <v>1586</v>
      </c>
      <c r="C1586" s="8" t="str">
        <f>IF(B1586="","",VLOOKUP(B1586,小圆机汇总表!A:AP,2,FALSE))</f>
        <v/>
      </c>
      <c r="D1586" s="8" t="str">
        <f>IF(B1586="","",VLOOKUP(B1586,小圆机汇总表!A:AP,7,FALSE))</f>
        <v/>
      </c>
      <c r="E1586" s="8" t="str">
        <f>IF(B1586="","",VLOOKUP(B1586,小圆机汇总表!A:AP,5,FALSE))</f>
        <v/>
      </c>
      <c r="F1586" s="8" t="str">
        <f>IF(B1586="","",VLOOKUP(B1586,小圆机汇总表!A:AP,8,FALSE))</f>
        <v/>
      </c>
      <c r="J1586" s="8" t="str">
        <f t="shared" si="33"/>
        <v/>
      </c>
    </row>
    <row r="1587" spans="1:10">
      <c r="A1587" s="4">
        <v>1587</v>
      </c>
      <c r="C1587" s="8" t="str">
        <f>IF(B1587="","",VLOOKUP(B1587,小圆机汇总表!A:AP,2,FALSE))</f>
        <v/>
      </c>
      <c r="D1587" s="8" t="str">
        <f>IF(B1587="","",VLOOKUP(B1587,小圆机汇总表!A:AP,7,FALSE))</f>
        <v/>
      </c>
      <c r="E1587" s="8" t="str">
        <f>IF(B1587="","",VLOOKUP(B1587,小圆机汇总表!A:AP,5,FALSE))</f>
        <v/>
      </c>
      <c r="F1587" s="8" t="str">
        <f>IF(B1587="","",VLOOKUP(B1587,小圆机汇总表!A:AP,8,FALSE))</f>
        <v/>
      </c>
      <c r="J1587" s="8" t="str">
        <f t="shared" si="33"/>
        <v/>
      </c>
    </row>
    <row r="1588" spans="1:10">
      <c r="A1588" s="4">
        <v>1588</v>
      </c>
      <c r="C1588" s="8" t="str">
        <f>IF(B1588="","",VLOOKUP(B1588,小圆机汇总表!A:AP,2,FALSE))</f>
        <v/>
      </c>
      <c r="D1588" s="8" t="str">
        <f>IF(B1588="","",VLOOKUP(B1588,小圆机汇总表!A:AP,7,FALSE))</f>
        <v/>
      </c>
      <c r="E1588" s="8" t="str">
        <f>IF(B1588="","",VLOOKUP(B1588,小圆机汇总表!A:AP,5,FALSE))</f>
        <v/>
      </c>
      <c r="F1588" s="8" t="str">
        <f>IF(B1588="","",VLOOKUP(B1588,小圆机汇总表!A:AP,8,FALSE))</f>
        <v/>
      </c>
      <c r="J1588" s="8" t="str">
        <f t="shared" si="33"/>
        <v/>
      </c>
    </row>
    <row r="1589" spans="1:10">
      <c r="A1589" s="4">
        <v>1589</v>
      </c>
      <c r="C1589" s="8" t="str">
        <f>IF(B1589="","",VLOOKUP(B1589,小圆机汇总表!A:AP,2,FALSE))</f>
        <v/>
      </c>
      <c r="D1589" s="8" t="str">
        <f>IF(B1589="","",VLOOKUP(B1589,小圆机汇总表!A:AP,7,FALSE))</f>
        <v/>
      </c>
      <c r="E1589" s="8" t="str">
        <f>IF(B1589="","",VLOOKUP(B1589,小圆机汇总表!A:AP,5,FALSE))</f>
        <v/>
      </c>
      <c r="F1589" s="8" t="str">
        <f>IF(B1589="","",VLOOKUP(B1589,小圆机汇总表!A:AP,8,FALSE))</f>
        <v/>
      </c>
      <c r="J1589" s="8" t="str">
        <f t="shared" si="33"/>
        <v/>
      </c>
    </row>
    <row r="1590" spans="1:10">
      <c r="A1590" s="4">
        <v>1590</v>
      </c>
      <c r="C1590" s="8" t="str">
        <f>IF(B1590="","",VLOOKUP(B1590,小圆机汇总表!A:AP,2,FALSE))</f>
        <v/>
      </c>
      <c r="D1590" s="8" t="str">
        <f>IF(B1590="","",VLOOKUP(B1590,小圆机汇总表!A:AP,7,FALSE))</f>
        <v/>
      </c>
      <c r="E1590" s="8" t="str">
        <f>IF(B1590="","",VLOOKUP(B1590,小圆机汇总表!A:AP,5,FALSE))</f>
        <v/>
      </c>
      <c r="F1590" s="8" t="str">
        <f>IF(B1590="","",VLOOKUP(B1590,小圆机汇总表!A:AP,8,FALSE))</f>
        <v/>
      </c>
      <c r="J1590" s="8" t="str">
        <f t="shared" si="33"/>
        <v/>
      </c>
    </row>
    <row r="1591" spans="1:10">
      <c r="A1591" s="4">
        <v>1591</v>
      </c>
      <c r="C1591" s="8" t="str">
        <f>IF(B1591="","",VLOOKUP(B1591,小圆机汇总表!A:AP,2,FALSE))</f>
        <v/>
      </c>
      <c r="D1591" s="8" t="str">
        <f>IF(B1591="","",VLOOKUP(B1591,小圆机汇总表!A:AP,7,FALSE))</f>
        <v/>
      </c>
      <c r="E1591" s="8" t="str">
        <f>IF(B1591="","",VLOOKUP(B1591,小圆机汇总表!A:AP,5,FALSE))</f>
        <v/>
      </c>
      <c r="F1591" s="8" t="str">
        <f>IF(B1591="","",VLOOKUP(B1591,小圆机汇总表!A:AP,8,FALSE))</f>
        <v/>
      </c>
      <c r="J1591" s="8" t="str">
        <f t="shared" si="33"/>
        <v/>
      </c>
    </row>
    <row r="1592" spans="1:10">
      <c r="A1592" s="4">
        <v>1592</v>
      </c>
      <c r="C1592" s="8" t="str">
        <f>IF(B1592="","",VLOOKUP(B1592,小圆机汇总表!A:AP,2,FALSE))</f>
        <v/>
      </c>
      <c r="D1592" s="8" t="str">
        <f>IF(B1592="","",VLOOKUP(B1592,小圆机汇总表!A:AP,7,FALSE))</f>
        <v/>
      </c>
      <c r="E1592" s="8" t="str">
        <f>IF(B1592="","",VLOOKUP(B1592,小圆机汇总表!A:AP,5,FALSE))</f>
        <v/>
      </c>
      <c r="F1592" s="8" t="str">
        <f>IF(B1592="","",VLOOKUP(B1592,小圆机汇总表!A:AP,8,FALSE))</f>
        <v/>
      </c>
      <c r="J1592" s="8" t="str">
        <f t="shared" si="33"/>
        <v/>
      </c>
    </row>
    <row r="1593" spans="1:10">
      <c r="A1593" s="4">
        <v>1593</v>
      </c>
      <c r="C1593" s="8" t="str">
        <f>IF(B1593="","",VLOOKUP(B1593,小圆机汇总表!A:AP,2,FALSE))</f>
        <v/>
      </c>
      <c r="D1593" s="8" t="str">
        <f>IF(B1593="","",VLOOKUP(B1593,小圆机汇总表!A:AP,7,FALSE))</f>
        <v/>
      </c>
      <c r="E1593" s="8" t="str">
        <f>IF(B1593="","",VLOOKUP(B1593,小圆机汇总表!A:AP,5,FALSE))</f>
        <v/>
      </c>
      <c r="F1593" s="8" t="str">
        <f>IF(B1593="","",VLOOKUP(B1593,小圆机汇总表!A:AP,8,FALSE))</f>
        <v/>
      </c>
      <c r="J1593" s="8" t="str">
        <f t="shared" si="33"/>
        <v/>
      </c>
    </row>
    <row r="1594" spans="1:10">
      <c r="A1594" s="4">
        <v>1594</v>
      </c>
      <c r="C1594" s="8" t="str">
        <f>IF(B1594="","",VLOOKUP(B1594,小圆机汇总表!A:AP,2,FALSE))</f>
        <v/>
      </c>
      <c r="D1594" s="8" t="str">
        <f>IF(B1594="","",VLOOKUP(B1594,小圆机汇总表!A:AP,7,FALSE))</f>
        <v/>
      </c>
      <c r="E1594" s="8" t="str">
        <f>IF(B1594="","",VLOOKUP(B1594,小圆机汇总表!A:AP,5,FALSE))</f>
        <v/>
      </c>
      <c r="F1594" s="8" t="str">
        <f>IF(B1594="","",VLOOKUP(B1594,小圆机汇总表!A:AP,8,FALSE))</f>
        <v/>
      </c>
      <c r="J1594" s="8" t="str">
        <f t="shared" si="33"/>
        <v/>
      </c>
    </row>
    <row r="1595" spans="1:10">
      <c r="A1595" s="4">
        <v>1595</v>
      </c>
      <c r="C1595" s="8" t="str">
        <f>IF(B1595="","",VLOOKUP(B1595,小圆机汇总表!A:AP,2,FALSE))</f>
        <v/>
      </c>
      <c r="D1595" s="8" t="str">
        <f>IF(B1595="","",VLOOKUP(B1595,小圆机汇总表!A:AP,7,FALSE))</f>
        <v/>
      </c>
      <c r="E1595" s="8" t="str">
        <f>IF(B1595="","",VLOOKUP(B1595,小圆机汇总表!A:AP,5,FALSE))</f>
        <v/>
      </c>
      <c r="F1595" s="8" t="str">
        <f>IF(B1595="","",VLOOKUP(B1595,小圆机汇总表!A:AP,8,FALSE))</f>
        <v/>
      </c>
      <c r="J1595" s="8" t="str">
        <f t="shared" si="33"/>
        <v/>
      </c>
    </row>
    <row r="1596" spans="1:10">
      <c r="A1596" s="4">
        <v>1596</v>
      </c>
      <c r="C1596" s="8" t="str">
        <f>IF(B1596="","",VLOOKUP(B1596,小圆机汇总表!A:AP,2,FALSE))</f>
        <v/>
      </c>
      <c r="D1596" s="8" t="str">
        <f>IF(B1596="","",VLOOKUP(B1596,小圆机汇总表!A:AP,7,FALSE))</f>
        <v/>
      </c>
      <c r="E1596" s="8" t="str">
        <f>IF(B1596="","",VLOOKUP(B1596,小圆机汇总表!A:AP,5,FALSE))</f>
        <v/>
      </c>
      <c r="F1596" s="8" t="str">
        <f>IF(B1596="","",VLOOKUP(B1596,小圆机汇总表!A:AP,8,FALSE))</f>
        <v/>
      </c>
      <c r="J1596" s="8" t="str">
        <f t="shared" si="33"/>
        <v/>
      </c>
    </row>
    <row r="1597" spans="1:10">
      <c r="A1597" s="4">
        <v>1597</v>
      </c>
      <c r="C1597" s="8" t="str">
        <f>IF(B1597="","",VLOOKUP(B1597,小圆机汇总表!A:AP,2,FALSE))</f>
        <v/>
      </c>
      <c r="D1597" s="8" t="str">
        <f>IF(B1597="","",VLOOKUP(B1597,小圆机汇总表!A:AP,7,FALSE))</f>
        <v/>
      </c>
      <c r="E1597" s="8" t="str">
        <f>IF(B1597="","",VLOOKUP(B1597,小圆机汇总表!A:AP,5,FALSE))</f>
        <v/>
      </c>
      <c r="F1597" s="8" t="str">
        <f>IF(B1597="","",VLOOKUP(B1597,小圆机汇总表!A:AP,8,FALSE))</f>
        <v/>
      </c>
      <c r="J1597" s="8" t="str">
        <f t="shared" si="33"/>
        <v/>
      </c>
    </row>
    <row r="1598" spans="1:10">
      <c r="A1598" s="4">
        <v>1598</v>
      </c>
      <c r="C1598" s="8" t="str">
        <f>IF(B1598="","",VLOOKUP(B1598,小圆机汇总表!A:AP,2,FALSE))</f>
        <v/>
      </c>
      <c r="D1598" s="8" t="str">
        <f>IF(B1598="","",VLOOKUP(B1598,小圆机汇总表!A:AP,7,FALSE))</f>
        <v/>
      </c>
      <c r="E1598" s="8" t="str">
        <f>IF(B1598="","",VLOOKUP(B1598,小圆机汇总表!A:AP,5,FALSE))</f>
        <v/>
      </c>
      <c r="F1598" s="8" t="str">
        <f>IF(B1598="","",VLOOKUP(B1598,小圆机汇总表!A:AP,8,FALSE))</f>
        <v/>
      </c>
      <c r="J1598" s="8" t="str">
        <f t="shared" si="33"/>
        <v/>
      </c>
    </row>
    <row r="1599" spans="1:10">
      <c r="A1599" s="4">
        <v>1599</v>
      </c>
      <c r="C1599" s="8" t="str">
        <f>IF(B1599="","",VLOOKUP(B1599,小圆机汇总表!A:AP,2,FALSE))</f>
        <v/>
      </c>
      <c r="D1599" s="8" t="str">
        <f>IF(B1599="","",VLOOKUP(B1599,小圆机汇总表!A:AP,7,FALSE))</f>
        <v/>
      </c>
      <c r="E1599" s="8" t="str">
        <f>IF(B1599="","",VLOOKUP(B1599,小圆机汇总表!A:AP,5,FALSE))</f>
        <v/>
      </c>
      <c r="F1599" s="8" t="str">
        <f>IF(B1599="","",VLOOKUP(B1599,小圆机汇总表!A:AP,8,FALSE))</f>
        <v/>
      </c>
      <c r="J1599" s="8" t="str">
        <f t="shared" si="33"/>
        <v/>
      </c>
    </row>
    <row r="1600" spans="1:10">
      <c r="A1600" s="4">
        <v>1600</v>
      </c>
      <c r="C1600" s="8" t="str">
        <f>IF(B1600="","",VLOOKUP(B1600,小圆机汇总表!A:AP,2,FALSE))</f>
        <v/>
      </c>
      <c r="D1600" s="8" t="str">
        <f>IF(B1600="","",VLOOKUP(B1600,小圆机汇总表!A:AP,7,FALSE))</f>
        <v/>
      </c>
      <c r="E1600" s="8" t="str">
        <f>IF(B1600="","",VLOOKUP(B1600,小圆机汇总表!A:AP,5,FALSE))</f>
        <v/>
      </c>
      <c r="F1600" s="8" t="str">
        <f>IF(B1600="","",VLOOKUP(B1600,小圆机汇总表!A:AP,8,FALSE))</f>
        <v/>
      </c>
      <c r="J1600" s="8" t="str">
        <f t="shared" si="33"/>
        <v/>
      </c>
    </row>
    <row r="1601" spans="1:10">
      <c r="A1601" s="4">
        <v>1601</v>
      </c>
      <c r="C1601" s="8" t="str">
        <f>IF(B1601="","",VLOOKUP(B1601,小圆机汇总表!A:AP,2,FALSE))</f>
        <v/>
      </c>
      <c r="D1601" s="8" t="str">
        <f>IF(B1601="","",VLOOKUP(B1601,小圆机汇总表!A:AP,7,FALSE))</f>
        <v/>
      </c>
      <c r="E1601" s="8" t="str">
        <f>IF(B1601="","",VLOOKUP(B1601,小圆机汇总表!A:AP,5,FALSE))</f>
        <v/>
      </c>
      <c r="F1601" s="8" t="str">
        <f>IF(B1601="","",VLOOKUP(B1601,小圆机汇总表!A:AP,8,FALSE))</f>
        <v/>
      </c>
      <c r="J1601" s="8" t="str">
        <f t="shared" si="33"/>
        <v/>
      </c>
    </row>
    <row r="1602" spans="1:10">
      <c r="A1602" s="4">
        <v>1602</v>
      </c>
      <c r="C1602" s="8" t="str">
        <f>IF(B1602="","",VLOOKUP(B1602,小圆机汇总表!A:AP,2,FALSE))</f>
        <v/>
      </c>
      <c r="D1602" s="8" t="str">
        <f>IF(B1602="","",VLOOKUP(B1602,小圆机汇总表!A:AP,7,FALSE))</f>
        <v/>
      </c>
      <c r="E1602" s="8" t="str">
        <f>IF(B1602="","",VLOOKUP(B1602,小圆机汇总表!A:AP,5,FALSE))</f>
        <v/>
      </c>
      <c r="F1602" s="8" t="str">
        <f>IF(B1602="","",VLOOKUP(B1602,小圆机汇总表!A:AP,8,FALSE))</f>
        <v/>
      </c>
      <c r="J1602" s="8" t="str">
        <f t="shared" si="33"/>
        <v/>
      </c>
    </row>
    <row r="1603" spans="1:10">
      <c r="A1603" s="4">
        <v>1603</v>
      </c>
      <c r="C1603" s="8" t="str">
        <f>IF(B1603="","",VLOOKUP(B1603,小圆机汇总表!A:AP,2,FALSE))</f>
        <v/>
      </c>
      <c r="D1603" s="8" t="str">
        <f>IF(B1603="","",VLOOKUP(B1603,小圆机汇总表!A:AP,7,FALSE))</f>
        <v/>
      </c>
      <c r="E1603" s="8" t="str">
        <f>IF(B1603="","",VLOOKUP(B1603,小圆机汇总表!A:AP,5,FALSE))</f>
        <v/>
      </c>
      <c r="F1603" s="8" t="str">
        <f>IF(B1603="","",VLOOKUP(B1603,小圆机汇总表!A:AP,8,FALSE))</f>
        <v/>
      </c>
      <c r="J1603" s="8" t="str">
        <f t="shared" si="33"/>
        <v/>
      </c>
    </row>
    <row r="1604" spans="1:10">
      <c r="A1604" s="4">
        <v>1604</v>
      </c>
      <c r="C1604" s="8" t="str">
        <f>IF(B1604="","",VLOOKUP(B1604,小圆机汇总表!A:AP,2,FALSE))</f>
        <v/>
      </c>
      <c r="D1604" s="8" t="str">
        <f>IF(B1604="","",VLOOKUP(B1604,小圆机汇总表!A:AP,7,FALSE))</f>
        <v/>
      </c>
      <c r="E1604" s="8" t="str">
        <f>IF(B1604="","",VLOOKUP(B1604,小圆机汇总表!A:AP,5,FALSE))</f>
        <v/>
      </c>
      <c r="F1604" s="8" t="str">
        <f>IF(B1604="","",VLOOKUP(B1604,小圆机汇总表!A:AP,8,FALSE))</f>
        <v/>
      </c>
      <c r="J1604" s="8" t="str">
        <f t="shared" si="33"/>
        <v/>
      </c>
    </row>
    <row r="1605" spans="1:10">
      <c r="A1605" s="4">
        <v>1605</v>
      </c>
      <c r="C1605" s="8" t="str">
        <f>IF(B1605="","",VLOOKUP(B1605,小圆机汇总表!A:AP,2,FALSE))</f>
        <v/>
      </c>
      <c r="D1605" s="8" t="str">
        <f>IF(B1605="","",VLOOKUP(B1605,小圆机汇总表!A:AP,7,FALSE))</f>
        <v/>
      </c>
      <c r="E1605" s="8" t="str">
        <f>IF(B1605="","",VLOOKUP(B1605,小圆机汇总表!A:AP,5,FALSE))</f>
        <v/>
      </c>
      <c r="F1605" s="8" t="str">
        <f>IF(B1605="","",VLOOKUP(B1605,小圆机汇总表!A:AP,8,FALSE))</f>
        <v/>
      </c>
      <c r="J1605" s="8" t="str">
        <f t="shared" si="33"/>
        <v/>
      </c>
    </row>
    <row r="1606" spans="1:10">
      <c r="A1606" s="4">
        <v>1606</v>
      </c>
      <c r="C1606" s="8" t="str">
        <f>IF(B1606="","",VLOOKUP(B1606,小圆机汇总表!A:AP,2,FALSE))</f>
        <v/>
      </c>
      <c r="D1606" s="8" t="str">
        <f>IF(B1606="","",VLOOKUP(B1606,小圆机汇总表!A:AP,7,FALSE))</f>
        <v/>
      </c>
      <c r="E1606" s="8" t="str">
        <f>IF(B1606="","",VLOOKUP(B1606,小圆机汇总表!A:AP,5,FALSE))</f>
        <v/>
      </c>
      <c r="F1606" s="8" t="str">
        <f>IF(B1606="","",VLOOKUP(B1606,小圆机汇总表!A:AP,8,FALSE))</f>
        <v/>
      </c>
      <c r="J1606" s="8" t="str">
        <f t="shared" si="33"/>
        <v/>
      </c>
    </row>
    <row r="1607" spans="1:10">
      <c r="A1607" s="4">
        <v>1607</v>
      </c>
      <c r="C1607" s="8" t="str">
        <f>IF(B1607="","",VLOOKUP(B1607,小圆机汇总表!A:AP,2,FALSE))</f>
        <v/>
      </c>
      <c r="D1607" s="8" t="str">
        <f>IF(B1607="","",VLOOKUP(B1607,小圆机汇总表!A:AP,7,FALSE))</f>
        <v/>
      </c>
      <c r="E1607" s="8" t="str">
        <f>IF(B1607="","",VLOOKUP(B1607,小圆机汇总表!A:AP,5,FALSE))</f>
        <v/>
      </c>
      <c r="F1607" s="8" t="str">
        <f>IF(B1607="","",VLOOKUP(B1607,小圆机汇总表!A:AP,8,FALSE))</f>
        <v/>
      </c>
      <c r="J1607" s="8" t="str">
        <f t="shared" si="33"/>
        <v/>
      </c>
    </row>
    <row r="1608" spans="1:10">
      <c r="A1608" s="4">
        <v>1608</v>
      </c>
      <c r="C1608" s="8" t="str">
        <f>IF(B1608="","",VLOOKUP(B1608,小圆机汇总表!A:AP,2,FALSE))</f>
        <v/>
      </c>
      <c r="D1608" s="8" t="str">
        <f>IF(B1608="","",VLOOKUP(B1608,小圆机汇总表!A:AP,7,FALSE))</f>
        <v/>
      </c>
      <c r="E1608" s="8" t="str">
        <f>IF(B1608="","",VLOOKUP(B1608,小圆机汇总表!A:AP,5,FALSE))</f>
        <v/>
      </c>
      <c r="F1608" s="8" t="str">
        <f>IF(B1608="","",VLOOKUP(B1608,小圆机汇总表!A:AP,8,FALSE))</f>
        <v/>
      </c>
      <c r="J1608" s="8" t="str">
        <f t="shared" si="33"/>
        <v/>
      </c>
    </row>
    <row r="1609" spans="1:10">
      <c r="A1609" s="4">
        <v>1609</v>
      </c>
      <c r="C1609" s="8" t="str">
        <f>IF(B1609="","",VLOOKUP(B1609,小圆机汇总表!A:AP,2,FALSE))</f>
        <v/>
      </c>
      <c r="D1609" s="8" t="str">
        <f>IF(B1609="","",VLOOKUP(B1609,小圆机汇总表!A:AP,7,FALSE))</f>
        <v/>
      </c>
      <c r="E1609" s="8" t="str">
        <f>IF(B1609="","",VLOOKUP(B1609,小圆机汇总表!A:AP,5,FALSE))</f>
        <v/>
      </c>
      <c r="F1609" s="8" t="str">
        <f>IF(B1609="","",VLOOKUP(B1609,小圆机汇总表!A:AP,8,FALSE))</f>
        <v/>
      </c>
      <c r="J1609" s="8" t="str">
        <f t="shared" si="33"/>
        <v/>
      </c>
    </row>
    <row r="1610" spans="1:10">
      <c r="A1610" s="4">
        <v>1610</v>
      </c>
      <c r="C1610" s="8" t="str">
        <f>IF(B1610="","",VLOOKUP(B1610,小圆机汇总表!A:AP,2,FALSE))</f>
        <v/>
      </c>
      <c r="D1610" s="8" t="str">
        <f>IF(B1610="","",VLOOKUP(B1610,小圆机汇总表!A:AP,7,FALSE))</f>
        <v/>
      </c>
      <c r="E1610" s="8" t="str">
        <f>IF(B1610="","",VLOOKUP(B1610,小圆机汇总表!A:AP,5,FALSE))</f>
        <v/>
      </c>
      <c r="F1610" s="8" t="str">
        <f>IF(B1610="","",VLOOKUP(B1610,小圆机汇总表!A:AP,8,FALSE))</f>
        <v/>
      </c>
      <c r="J1610" s="8" t="str">
        <f t="shared" si="33"/>
        <v/>
      </c>
    </row>
    <row r="1611" spans="1:10">
      <c r="A1611" s="4">
        <v>1611</v>
      </c>
      <c r="C1611" s="8" t="str">
        <f>IF(B1611="","",VLOOKUP(B1611,小圆机汇总表!A:AP,2,FALSE))</f>
        <v/>
      </c>
      <c r="D1611" s="8" t="str">
        <f>IF(B1611="","",VLOOKUP(B1611,小圆机汇总表!A:AP,7,FALSE))</f>
        <v/>
      </c>
      <c r="E1611" s="8" t="str">
        <f>IF(B1611="","",VLOOKUP(B1611,小圆机汇总表!A:AP,5,FALSE))</f>
        <v/>
      </c>
      <c r="F1611" s="8" t="str">
        <f>IF(B1611="","",VLOOKUP(B1611,小圆机汇总表!A:AP,8,FALSE))</f>
        <v/>
      </c>
      <c r="J1611" s="8" t="str">
        <f t="shared" si="33"/>
        <v/>
      </c>
    </row>
    <row r="1612" spans="1:10">
      <c r="A1612" s="4">
        <v>1612</v>
      </c>
      <c r="C1612" s="8" t="str">
        <f>IF(B1612="","",VLOOKUP(B1612,小圆机汇总表!A:AP,2,FALSE))</f>
        <v/>
      </c>
      <c r="D1612" s="8" t="str">
        <f>IF(B1612="","",VLOOKUP(B1612,小圆机汇总表!A:AP,7,FALSE))</f>
        <v/>
      </c>
      <c r="E1612" s="8" t="str">
        <f>IF(B1612="","",VLOOKUP(B1612,小圆机汇总表!A:AP,5,FALSE))</f>
        <v/>
      </c>
      <c r="F1612" s="8" t="str">
        <f>IF(B1612="","",VLOOKUP(B1612,小圆机汇总表!A:AP,8,FALSE))</f>
        <v/>
      </c>
      <c r="J1612" s="8" t="str">
        <f t="shared" si="33"/>
        <v/>
      </c>
    </row>
    <row r="1613" spans="1:10">
      <c r="A1613" s="4">
        <v>1613</v>
      </c>
      <c r="C1613" s="8" t="str">
        <f>IF(B1613="","",VLOOKUP(B1613,小圆机汇总表!A:AP,2,FALSE))</f>
        <v/>
      </c>
      <c r="D1613" s="8" t="str">
        <f>IF(B1613="","",VLOOKUP(B1613,小圆机汇总表!A:AP,7,FALSE))</f>
        <v/>
      </c>
      <c r="E1613" s="8" t="str">
        <f>IF(B1613="","",VLOOKUP(B1613,小圆机汇总表!A:AP,5,FALSE))</f>
        <v/>
      </c>
      <c r="F1613" s="8" t="str">
        <f>IF(B1613="","",VLOOKUP(B1613,小圆机汇总表!A:AP,8,FALSE))</f>
        <v/>
      </c>
      <c r="J1613" s="8" t="str">
        <f t="shared" si="33"/>
        <v/>
      </c>
    </row>
    <row r="1614" spans="1:10">
      <c r="A1614" s="4">
        <v>1614</v>
      </c>
      <c r="C1614" s="8" t="str">
        <f>IF(B1614="","",VLOOKUP(B1614,小圆机汇总表!A:AP,2,FALSE))</f>
        <v/>
      </c>
      <c r="D1614" s="8" t="str">
        <f>IF(B1614="","",VLOOKUP(B1614,小圆机汇总表!A:AP,7,FALSE))</f>
        <v/>
      </c>
      <c r="E1614" s="8" t="str">
        <f>IF(B1614="","",VLOOKUP(B1614,小圆机汇总表!A:AP,5,FALSE))</f>
        <v/>
      </c>
      <c r="F1614" s="8" t="str">
        <f>IF(B1614="","",VLOOKUP(B1614,小圆机汇总表!A:AP,8,FALSE))</f>
        <v/>
      </c>
      <c r="J1614" s="8" t="str">
        <f t="shared" si="33"/>
        <v/>
      </c>
    </row>
    <row r="1615" spans="1:10">
      <c r="A1615" s="4">
        <v>1615</v>
      </c>
      <c r="C1615" s="8" t="str">
        <f>IF(B1615="","",VLOOKUP(B1615,小圆机汇总表!A:AP,2,FALSE))</f>
        <v/>
      </c>
      <c r="D1615" s="8" t="str">
        <f>IF(B1615="","",VLOOKUP(B1615,小圆机汇总表!A:AP,7,FALSE))</f>
        <v/>
      </c>
      <c r="E1615" s="8" t="str">
        <f>IF(B1615="","",VLOOKUP(B1615,小圆机汇总表!A:AP,5,FALSE))</f>
        <v/>
      </c>
      <c r="F1615" s="8" t="str">
        <f>IF(B1615="","",VLOOKUP(B1615,小圆机汇总表!A:AP,8,FALSE))</f>
        <v/>
      </c>
      <c r="J1615" s="8" t="str">
        <f t="shared" si="33"/>
        <v/>
      </c>
    </row>
    <row r="1616" spans="1:10">
      <c r="A1616" s="4">
        <v>1616</v>
      </c>
      <c r="C1616" s="8" t="str">
        <f>IF(B1616="","",VLOOKUP(B1616,小圆机汇总表!A:AP,2,FALSE))</f>
        <v/>
      </c>
      <c r="D1616" s="8" t="str">
        <f>IF(B1616="","",VLOOKUP(B1616,小圆机汇总表!A:AP,7,FALSE))</f>
        <v/>
      </c>
      <c r="E1616" s="8" t="str">
        <f>IF(B1616="","",VLOOKUP(B1616,小圆机汇总表!A:AP,5,FALSE))</f>
        <v/>
      </c>
      <c r="F1616" s="8" t="str">
        <f>IF(B1616="","",VLOOKUP(B1616,小圆机汇总表!A:AP,8,FALSE))</f>
        <v/>
      </c>
      <c r="J1616" s="8" t="str">
        <f t="shared" si="33"/>
        <v/>
      </c>
    </row>
    <row r="1617" spans="1:10">
      <c r="A1617" s="4">
        <v>1617</v>
      </c>
      <c r="C1617" s="8" t="str">
        <f>IF(B1617="","",VLOOKUP(B1617,小圆机汇总表!A:AP,2,FALSE))</f>
        <v/>
      </c>
      <c r="D1617" s="8" t="str">
        <f>IF(B1617="","",VLOOKUP(B1617,小圆机汇总表!A:AP,7,FALSE))</f>
        <v/>
      </c>
      <c r="E1617" s="8" t="str">
        <f>IF(B1617="","",VLOOKUP(B1617,小圆机汇总表!A:AP,5,FALSE))</f>
        <v/>
      </c>
      <c r="F1617" s="8" t="str">
        <f>IF(B1617="","",VLOOKUP(B1617,小圆机汇总表!A:AP,8,FALSE))</f>
        <v/>
      </c>
      <c r="J1617" s="8" t="str">
        <f t="shared" si="33"/>
        <v/>
      </c>
    </row>
    <row r="1618" spans="1:10">
      <c r="A1618" s="4">
        <v>1618</v>
      </c>
      <c r="C1618" s="8" t="str">
        <f>IF(B1618="","",VLOOKUP(B1618,小圆机汇总表!A:AP,2,FALSE))</f>
        <v/>
      </c>
      <c r="D1618" s="8" t="str">
        <f>IF(B1618="","",VLOOKUP(B1618,小圆机汇总表!A:AP,7,FALSE))</f>
        <v/>
      </c>
      <c r="E1618" s="8" t="str">
        <f>IF(B1618="","",VLOOKUP(B1618,小圆机汇总表!A:AP,5,FALSE))</f>
        <v/>
      </c>
      <c r="F1618" s="8" t="str">
        <f>IF(B1618="","",VLOOKUP(B1618,小圆机汇总表!A:AP,8,FALSE))</f>
        <v/>
      </c>
      <c r="J1618" s="8" t="str">
        <f t="shared" si="33"/>
        <v/>
      </c>
    </row>
    <row r="1619" spans="1:10">
      <c r="A1619" s="4">
        <v>1619</v>
      </c>
      <c r="C1619" s="8" t="str">
        <f>IF(B1619="","",VLOOKUP(B1619,小圆机汇总表!A:AP,2,FALSE))</f>
        <v/>
      </c>
      <c r="D1619" s="8" t="str">
        <f>IF(B1619="","",VLOOKUP(B1619,小圆机汇总表!A:AP,7,FALSE))</f>
        <v/>
      </c>
      <c r="E1619" s="8" t="str">
        <f>IF(B1619="","",VLOOKUP(B1619,小圆机汇总表!A:AP,5,FALSE))</f>
        <v/>
      </c>
      <c r="F1619" s="8" t="str">
        <f>IF(B1619="","",VLOOKUP(B1619,小圆机汇总表!A:AP,8,FALSE))</f>
        <v/>
      </c>
      <c r="J1619" s="8" t="str">
        <f t="shared" si="33"/>
        <v/>
      </c>
    </row>
    <row r="1620" spans="1:10">
      <c r="A1620" s="4">
        <v>1620</v>
      </c>
      <c r="C1620" s="8" t="str">
        <f>IF(B1620="","",VLOOKUP(B1620,小圆机汇总表!A:AP,2,FALSE))</f>
        <v/>
      </c>
      <c r="D1620" s="8" t="str">
        <f>IF(B1620="","",VLOOKUP(B1620,小圆机汇总表!A:AP,7,FALSE))</f>
        <v/>
      </c>
      <c r="E1620" s="8" t="str">
        <f>IF(B1620="","",VLOOKUP(B1620,小圆机汇总表!A:AP,5,FALSE))</f>
        <v/>
      </c>
      <c r="F1620" s="8" t="str">
        <f>IF(B1620="","",VLOOKUP(B1620,小圆机汇总表!A:AP,8,FALSE))</f>
        <v/>
      </c>
      <c r="J1620" s="8" t="str">
        <f t="shared" si="33"/>
        <v/>
      </c>
    </row>
    <row r="1621" spans="1:10">
      <c r="A1621" s="4">
        <v>1621</v>
      </c>
      <c r="C1621" s="8" t="str">
        <f>IF(B1621="","",VLOOKUP(B1621,小圆机汇总表!A:AP,2,FALSE))</f>
        <v/>
      </c>
      <c r="D1621" s="8" t="str">
        <f>IF(B1621="","",VLOOKUP(B1621,小圆机汇总表!A:AP,7,FALSE))</f>
        <v/>
      </c>
      <c r="E1621" s="8" t="str">
        <f>IF(B1621="","",VLOOKUP(B1621,小圆机汇总表!A:AP,5,FALSE))</f>
        <v/>
      </c>
      <c r="F1621" s="8" t="str">
        <f>IF(B1621="","",VLOOKUP(B1621,小圆机汇总表!A:AP,8,FALSE))</f>
        <v/>
      </c>
      <c r="J1621" s="8" t="str">
        <f t="shared" si="33"/>
        <v/>
      </c>
    </row>
    <row r="1622" spans="1:10">
      <c r="A1622" s="4">
        <v>1622</v>
      </c>
      <c r="C1622" s="8" t="str">
        <f>IF(B1622="","",VLOOKUP(B1622,小圆机汇总表!A:AP,2,FALSE))</f>
        <v/>
      </c>
      <c r="D1622" s="8" t="str">
        <f>IF(B1622="","",VLOOKUP(B1622,小圆机汇总表!A:AP,7,FALSE))</f>
        <v/>
      </c>
      <c r="E1622" s="8" t="str">
        <f>IF(B1622="","",VLOOKUP(B1622,小圆机汇总表!A:AP,5,FALSE))</f>
        <v/>
      </c>
      <c r="F1622" s="8" t="str">
        <f>IF(B1622="","",VLOOKUP(B1622,小圆机汇总表!A:AP,8,FALSE))</f>
        <v/>
      </c>
      <c r="J1622" s="8" t="str">
        <f t="shared" si="33"/>
        <v/>
      </c>
    </row>
    <row r="1623" spans="1:10">
      <c r="A1623" s="4">
        <v>1623</v>
      </c>
      <c r="C1623" s="8" t="str">
        <f>IF(B1623="","",VLOOKUP(B1623,小圆机汇总表!A:AP,2,FALSE))</f>
        <v/>
      </c>
      <c r="D1623" s="8" t="str">
        <f>IF(B1623="","",VLOOKUP(B1623,小圆机汇总表!A:AP,7,FALSE))</f>
        <v/>
      </c>
      <c r="E1623" s="8" t="str">
        <f>IF(B1623="","",VLOOKUP(B1623,小圆机汇总表!A:AP,5,FALSE))</f>
        <v/>
      </c>
      <c r="F1623" s="8" t="str">
        <f>IF(B1623="","",VLOOKUP(B1623,小圆机汇总表!A:AP,8,FALSE))</f>
        <v/>
      </c>
      <c r="J1623" s="8" t="str">
        <f t="shared" si="33"/>
        <v/>
      </c>
    </row>
    <row r="1624" spans="1:10">
      <c r="A1624" s="4">
        <v>1624</v>
      </c>
      <c r="C1624" s="8" t="str">
        <f>IF(B1624="","",VLOOKUP(B1624,小圆机汇总表!A:AP,2,FALSE))</f>
        <v/>
      </c>
      <c r="D1624" s="8" t="str">
        <f>IF(B1624="","",VLOOKUP(B1624,小圆机汇总表!A:AP,7,FALSE))</f>
        <v/>
      </c>
      <c r="E1624" s="8" t="str">
        <f>IF(B1624="","",VLOOKUP(B1624,小圆机汇总表!A:AP,5,FALSE))</f>
        <v/>
      </c>
      <c r="F1624" s="8" t="str">
        <f>IF(B1624="","",VLOOKUP(B1624,小圆机汇总表!A:AP,8,FALSE))</f>
        <v/>
      </c>
      <c r="J1624" s="8" t="str">
        <f t="shared" si="33"/>
        <v/>
      </c>
    </row>
    <row r="1625" spans="1:10">
      <c r="A1625" s="4">
        <v>1625</v>
      </c>
      <c r="C1625" s="8" t="str">
        <f>IF(B1625="","",VLOOKUP(B1625,小圆机汇总表!A:AP,2,FALSE))</f>
        <v/>
      </c>
      <c r="D1625" s="8" t="str">
        <f>IF(B1625="","",VLOOKUP(B1625,小圆机汇总表!A:AP,7,FALSE))</f>
        <v/>
      </c>
      <c r="E1625" s="8" t="str">
        <f>IF(B1625="","",VLOOKUP(B1625,小圆机汇总表!A:AP,5,FALSE))</f>
        <v/>
      </c>
      <c r="F1625" s="8" t="str">
        <f>IF(B1625="","",VLOOKUP(B1625,小圆机汇总表!A:AP,8,FALSE))</f>
        <v/>
      </c>
      <c r="J1625" s="8" t="str">
        <f t="shared" si="33"/>
        <v/>
      </c>
    </row>
    <row r="1626" spans="1:10">
      <c r="A1626" s="4">
        <v>1626</v>
      </c>
      <c r="C1626" s="8" t="str">
        <f>IF(B1626="","",VLOOKUP(B1626,小圆机汇总表!A:AP,2,FALSE))</f>
        <v/>
      </c>
      <c r="D1626" s="8" t="str">
        <f>IF(B1626="","",VLOOKUP(B1626,小圆机汇总表!A:AP,7,FALSE))</f>
        <v/>
      </c>
      <c r="E1626" s="8" t="str">
        <f>IF(B1626="","",VLOOKUP(B1626,小圆机汇总表!A:AP,5,FALSE))</f>
        <v/>
      </c>
      <c r="F1626" s="8" t="str">
        <f>IF(B1626="","",VLOOKUP(B1626,小圆机汇总表!A:AP,8,FALSE))</f>
        <v/>
      </c>
      <c r="J1626" s="8" t="str">
        <f t="shared" si="33"/>
        <v/>
      </c>
    </row>
    <row r="1627" spans="1:10">
      <c r="A1627" s="4">
        <v>1627</v>
      </c>
      <c r="C1627" s="8" t="str">
        <f>IF(B1627="","",VLOOKUP(B1627,小圆机汇总表!A:AP,2,FALSE))</f>
        <v/>
      </c>
      <c r="D1627" s="8" t="str">
        <f>IF(B1627="","",VLOOKUP(B1627,小圆机汇总表!A:AP,7,FALSE))</f>
        <v/>
      </c>
      <c r="E1627" s="8" t="str">
        <f>IF(B1627="","",VLOOKUP(B1627,小圆机汇总表!A:AP,5,FALSE))</f>
        <v/>
      </c>
      <c r="F1627" s="8" t="str">
        <f>IF(B1627="","",VLOOKUP(B1627,小圆机汇总表!A:AP,8,FALSE))</f>
        <v/>
      </c>
      <c r="J1627" s="8" t="str">
        <f t="shared" si="33"/>
        <v/>
      </c>
    </row>
    <row r="1628" spans="1:10">
      <c r="A1628" s="4">
        <v>1628</v>
      </c>
      <c r="C1628" s="8" t="str">
        <f>IF(B1628="","",VLOOKUP(B1628,小圆机汇总表!A:AP,2,FALSE))</f>
        <v/>
      </c>
      <c r="D1628" s="8" t="str">
        <f>IF(B1628="","",VLOOKUP(B1628,小圆机汇总表!A:AP,7,FALSE))</f>
        <v/>
      </c>
      <c r="E1628" s="8" t="str">
        <f>IF(B1628="","",VLOOKUP(B1628,小圆机汇总表!A:AP,5,FALSE))</f>
        <v/>
      </c>
      <c r="F1628" s="8" t="str">
        <f>IF(B1628="","",VLOOKUP(B1628,小圆机汇总表!A:AP,8,FALSE))</f>
        <v/>
      </c>
      <c r="J1628" s="8" t="str">
        <f t="shared" si="33"/>
        <v/>
      </c>
    </row>
    <row r="1629" spans="1:10">
      <c r="A1629" s="4">
        <v>1629</v>
      </c>
      <c r="C1629" s="8" t="str">
        <f>IF(B1629="","",VLOOKUP(B1629,小圆机汇总表!A:AP,2,FALSE))</f>
        <v/>
      </c>
      <c r="D1629" s="8" t="str">
        <f>IF(B1629="","",VLOOKUP(B1629,小圆机汇总表!A:AP,7,FALSE))</f>
        <v/>
      </c>
      <c r="E1629" s="8" t="str">
        <f>IF(B1629="","",VLOOKUP(B1629,小圆机汇总表!A:AP,5,FALSE))</f>
        <v/>
      </c>
      <c r="F1629" s="8" t="str">
        <f>IF(B1629="","",VLOOKUP(B1629,小圆机汇总表!A:AP,8,FALSE))</f>
        <v/>
      </c>
      <c r="J1629" s="8" t="str">
        <f t="shared" si="33"/>
        <v/>
      </c>
    </row>
    <row r="1630" spans="1:10">
      <c r="A1630" s="4">
        <v>1630</v>
      </c>
      <c r="C1630" s="8" t="str">
        <f>IF(B1630="","",VLOOKUP(B1630,小圆机汇总表!A:AP,2,FALSE))</f>
        <v/>
      </c>
      <c r="D1630" s="8" t="str">
        <f>IF(B1630="","",VLOOKUP(B1630,小圆机汇总表!A:AP,7,FALSE))</f>
        <v/>
      </c>
      <c r="E1630" s="8" t="str">
        <f>IF(B1630="","",VLOOKUP(B1630,小圆机汇总表!A:AP,5,FALSE))</f>
        <v/>
      </c>
      <c r="F1630" s="8" t="str">
        <f>IF(B1630="","",VLOOKUP(B1630,小圆机汇总表!A:AP,8,FALSE))</f>
        <v/>
      </c>
      <c r="J1630" s="8" t="str">
        <f t="shared" si="33"/>
        <v/>
      </c>
    </row>
    <row r="1631" spans="1:10">
      <c r="A1631" s="4">
        <v>1631</v>
      </c>
      <c r="C1631" s="8" t="str">
        <f>IF(B1631="","",VLOOKUP(B1631,小圆机汇总表!A:AP,2,FALSE))</f>
        <v/>
      </c>
      <c r="D1631" s="8" t="str">
        <f>IF(B1631="","",VLOOKUP(B1631,小圆机汇总表!A:AP,7,FALSE))</f>
        <v/>
      </c>
      <c r="E1631" s="8" t="str">
        <f>IF(B1631="","",VLOOKUP(B1631,小圆机汇总表!A:AP,5,FALSE))</f>
        <v/>
      </c>
      <c r="F1631" s="8" t="str">
        <f>IF(B1631="","",VLOOKUP(B1631,小圆机汇总表!A:AP,8,FALSE))</f>
        <v/>
      </c>
      <c r="J1631" s="8" t="str">
        <f t="shared" si="33"/>
        <v/>
      </c>
    </row>
    <row r="1632" spans="1:10">
      <c r="A1632" s="4">
        <v>1632</v>
      </c>
      <c r="C1632" s="8" t="str">
        <f>IF(B1632="","",VLOOKUP(B1632,小圆机汇总表!A:AP,2,FALSE))</f>
        <v/>
      </c>
      <c r="D1632" s="8" t="str">
        <f>IF(B1632="","",VLOOKUP(B1632,小圆机汇总表!A:AP,7,FALSE))</f>
        <v/>
      </c>
      <c r="E1632" s="8" t="str">
        <f>IF(B1632="","",VLOOKUP(B1632,小圆机汇总表!A:AP,5,FALSE))</f>
        <v/>
      </c>
      <c r="F1632" s="8" t="str">
        <f>IF(B1632="","",VLOOKUP(B1632,小圆机汇总表!A:AP,8,FALSE))</f>
        <v/>
      </c>
      <c r="J1632" s="8" t="str">
        <f t="shared" si="33"/>
        <v/>
      </c>
    </row>
    <row r="1633" spans="1:10">
      <c r="A1633" s="4">
        <v>1633</v>
      </c>
      <c r="C1633" s="8" t="str">
        <f>IF(B1633="","",VLOOKUP(B1633,小圆机汇总表!A:AP,2,FALSE))</f>
        <v/>
      </c>
      <c r="D1633" s="8" t="str">
        <f>IF(B1633="","",VLOOKUP(B1633,小圆机汇总表!A:AP,7,FALSE))</f>
        <v/>
      </c>
      <c r="E1633" s="8" t="str">
        <f>IF(B1633="","",VLOOKUP(B1633,小圆机汇总表!A:AP,5,FALSE))</f>
        <v/>
      </c>
      <c r="F1633" s="8" t="str">
        <f>IF(B1633="","",VLOOKUP(B1633,小圆机汇总表!A:AP,8,FALSE))</f>
        <v/>
      </c>
      <c r="J1633" s="8" t="str">
        <f t="shared" si="33"/>
        <v/>
      </c>
    </row>
    <row r="1634" spans="1:10">
      <c r="A1634" s="4">
        <v>1634</v>
      </c>
      <c r="C1634" s="8" t="str">
        <f>IF(B1634="","",VLOOKUP(B1634,小圆机汇总表!A:AP,2,FALSE))</f>
        <v/>
      </c>
      <c r="D1634" s="8" t="str">
        <f>IF(B1634="","",VLOOKUP(B1634,小圆机汇总表!A:AP,7,FALSE))</f>
        <v/>
      </c>
      <c r="E1634" s="8" t="str">
        <f>IF(B1634="","",VLOOKUP(B1634,小圆机汇总表!A:AP,5,FALSE))</f>
        <v/>
      </c>
      <c r="F1634" s="8" t="str">
        <f>IF(B1634="","",VLOOKUP(B1634,小圆机汇总表!A:AP,8,FALSE))</f>
        <v/>
      </c>
      <c r="J1634" s="8" t="str">
        <f t="shared" si="33"/>
        <v/>
      </c>
    </row>
    <row r="1635" spans="1:10">
      <c r="A1635" s="4">
        <v>1635</v>
      </c>
      <c r="C1635" s="8" t="str">
        <f>IF(B1635="","",VLOOKUP(B1635,小圆机汇总表!A:AP,2,FALSE))</f>
        <v/>
      </c>
      <c r="D1635" s="8" t="str">
        <f>IF(B1635="","",VLOOKUP(B1635,小圆机汇总表!A:AP,7,FALSE))</f>
        <v/>
      </c>
      <c r="E1635" s="8" t="str">
        <f>IF(B1635="","",VLOOKUP(B1635,小圆机汇总表!A:AP,5,FALSE))</f>
        <v/>
      </c>
      <c r="F1635" s="8" t="str">
        <f>IF(B1635="","",VLOOKUP(B1635,小圆机汇总表!A:AP,8,FALSE))</f>
        <v/>
      </c>
      <c r="J1635" s="8" t="str">
        <f t="shared" ref="J1635:J1698" si="34">IF(B1635="","",MONTH(G1635))</f>
        <v/>
      </c>
    </row>
    <row r="1636" spans="1:10">
      <c r="A1636" s="4">
        <v>1636</v>
      </c>
      <c r="C1636" s="8" t="str">
        <f>IF(B1636="","",VLOOKUP(B1636,小圆机汇总表!A:AP,2,FALSE))</f>
        <v/>
      </c>
      <c r="D1636" s="8" t="str">
        <f>IF(B1636="","",VLOOKUP(B1636,小圆机汇总表!A:AP,7,FALSE))</f>
        <v/>
      </c>
      <c r="E1636" s="8" t="str">
        <f>IF(B1636="","",VLOOKUP(B1636,小圆机汇总表!A:AP,5,FALSE))</f>
        <v/>
      </c>
      <c r="F1636" s="8" t="str">
        <f>IF(B1636="","",VLOOKUP(B1636,小圆机汇总表!A:AP,8,FALSE))</f>
        <v/>
      </c>
      <c r="J1636" s="8" t="str">
        <f t="shared" si="34"/>
        <v/>
      </c>
    </row>
    <row r="1637" spans="1:10">
      <c r="A1637" s="4">
        <v>1637</v>
      </c>
      <c r="C1637" s="8" t="str">
        <f>IF(B1637="","",VLOOKUP(B1637,小圆机汇总表!A:AP,2,FALSE))</f>
        <v/>
      </c>
      <c r="D1637" s="8" t="str">
        <f>IF(B1637="","",VLOOKUP(B1637,小圆机汇总表!A:AP,7,FALSE))</f>
        <v/>
      </c>
      <c r="E1637" s="8" t="str">
        <f>IF(B1637="","",VLOOKUP(B1637,小圆机汇总表!A:AP,5,FALSE))</f>
        <v/>
      </c>
      <c r="F1637" s="8" t="str">
        <f>IF(B1637="","",VLOOKUP(B1637,小圆机汇总表!A:AP,8,FALSE))</f>
        <v/>
      </c>
      <c r="J1637" s="8" t="str">
        <f t="shared" si="34"/>
        <v/>
      </c>
    </row>
    <row r="1638" spans="1:10">
      <c r="A1638" s="4">
        <v>1638</v>
      </c>
      <c r="C1638" s="8" t="str">
        <f>IF(B1638="","",VLOOKUP(B1638,小圆机汇总表!A:AP,2,FALSE))</f>
        <v/>
      </c>
      <c r="D1638" s="8" t="str">
        <f>IF(B1638="","",VLOOKUP(B1638,小圆机汇总表!A:AP,7,FALSE))</f>
        <v/>
      </c>
      <c r="E1638" s="8" t="str">
        <f>IF(B1638="","",VLOOKUP(B1638,小圆机汇总表!A:AP,5,FALSE))</f>
        <v/>
      </c>
      <c r="F1638" s="8" t="str">
        <f>IF(B1638="","",VLOOKUP(B1638,小圆机汇总表!A:AP,8,FALSE))</f>
        <v/>
      </c>
      <c r="J1638" s="8" t="str">
        <f t="shared" si="34"/>
        <v/>
      </c>
    </row>
    <row r="1639" spans="1:10">
      <c r="A1639" s="4">
        <v>1639</v>
      </c>
      <c r="C1639" s="8" t="str">
        <f>IF(B1639="","",VLOOKUP(B1639,小圆机汇总表!A:AP,2,FALSE))</f>
        <v/>
      </c>
      <c r="D1639" s="8" t="str">
        <f>IF(B1639="","",VLOOKUP(B1639,小圆机汇总表!A:AP,7,FALSE))</f>
        <v/>
      </c>
      <c r="E1639" s="8" t="str">
        <f>IF(B1639="","",VLOOKUP(B1639,小圆机汇总表!A:AP,5,FALSE))</f>
        <v/>
      </c>
      <c r="F1639" s="8" t="str">
        <f>IF(B1639="","",VLOOKUP(B1639,小圆机汇总表!A:AP,8,FALSE))</f>
        <v/>
      </c>
      <c r="J1639" s="8" t="str">
        <f t="shared" si="34"/>
        <v/>
      </c>
    </row>
    <row r="1640" spans="1:10">
      <c r="A1640" s="4">
        <v>1640</v>
      </c>
      <c r="C1640" s="8" t="str">
        <f>IF(B1640="","",VLOOKUP(B1640,小圆机汇总表!A:AP,2,FALSE))</f>
        <v/>
      </c>
      <c r="D1640" s="8" t="str">
        <f>IF(B1640="","",VLOOKUP(B1640,小圆机汇总表!A:AP,7,FALSE))</f>
        <v/>
      </c>
      <c r="E1640" s="8" t="str">
        <f>IF(B1640="","",VLOOKUP(B1640,小圆机汇总表!A:AP,5,FALSE))</f>
        <v/>
      </c>
      <c r="F1640" s="8" t="str">
        <f>IF(B1640="","",VLOOKUP(B1640,小圆机汇总表!A:AP,8,FALSE))</f>
        <v/>
      </c>
      <c r="J1640" s="8" t="str">
        <f t="shared" si="34"/>
        <v/>
      </c>
    </row>
    <row r="1641" spans="1:10">
      <c r="A1641" s="4">
        <v>1641</v>
      </c>
      <c r="C1641" s="8" t="str">
        <f>IF(B1641="","",VLOOKUP(B1641,小圆机汇总表!A:AP,2,FALSE))</f>
        <v/>
      </c>
      <c r="D1641" s="8" t="str">
        <f>IF(B1641="","",VLOOKUP(B1641,小圆机汇总表!A:AP,7,FALSE))</f>
        <v/>
      </c>
      <c r="E1641" s="8" t="str">
        <f>IF(B1641="","",VLOOKUP(B1641,小圆机汇总表!A:AP,5,FALSE))</f>
        <v/>
      </c>
      <c r="F1641" s="8" t="str">
        <f>IF(B1641="","",VLOOKUP(B1641,小圆机汇总表!A:AP,8,FALSE))</f>
        <v/>
      </c>
      <c r="J1641" s="8" t="str">
        <f t="shared" si="34"/>
        <v/>
      </c>
    </row>
    <row r="1642" spans="1:10">
      <c r="A1642" s="4">
        <v>1642</v>
      </c>
      <c r="C1642" s="8" t="str">
        <f>IF(B1642="","",VLOOKUP(B1642,小圆机汇总表!A:AP,2,FALSE))</f>
        <v/>
      </c>
      <c r="D1642" s="8" t="str">
        <f>IF(B1642="","",VLOOKUP(B1642,小圆机汇总表!A:AP,7,FALSE))</f>
        <v/>
      </c>
      <c r="E1642" s="8" t="str">
        <f>IF(B1642="","",VLOOKUP(B1642,小圆机汇总表!A:AP,5,FALSE))</f>
        <v/>
      </c>
      <c r="F1642" s="8" t="str">
        <f>IF(B1642="","",VLOOKUP(B1642,小圆机汇总表!A:AP,8,FALSE))</f>
        <v/>
      </c>
      <c r="J1642" s="8" t="str">
        <f t="shared" si="34"/>
        <v/>
      </c>
    </row>
    <row r="1643" spans="1:10">
      <c r="A1643" s="4">
        <v>1643</v>
      </c>
      <c r="C1643" s="8" t="str">
        <f>IF(B1643="","",VLOOKUP(B1643,小圆机汇总表!A:AP,2,FALSE))</f>
        <v/>
      </c>
      <c r="D1643" s="8" t="str">
        <f>IF(B1643="","",VLOOKUP(B1643,小圆机汇总表!A:AP,7,FALSE))</f>
        <v/>
      </c>
      <c r="E1643" s="8" t="str">
        <f>IF(B1643="","",VLOOKUP(B1643,小圆机汇总表!A:AP,5,FALSE))</f>
        <v/>
      </c>
      <c r="F1643" s="8" t="str">
        <f>IF(B1643="","",VLOOKUP(B1643,小圆机汇总表!A:AP,8,FALSE))</f>
        <v/>
      </c>
      <c r="J1643" s="8" t="str">
        <f t="shared" si="34"/>
        <v/>
      </c>
    </row>
    <row r="1644" spans="1:10">
      <c r="A1644" s="4">
        <v>1644</v>
      </c>
      <c r="C1644" s="8" t="str">
        <f>IF(B1644="","",VLOOKUP(B1644,小圆机汇总表!A:AP,2,FALSE))</f>
        <v/>
      </c>
      <c r="D1644" s="8" t="str">
        <f>IF(B1644="","",VLOOKUP(B1644,小圆机汇总表!A:AP,7,FALSE))</f>
        <v/>
      </c>
      <c r="E1644" s="8" t="str">
        <f>IF(B1644="","",VLOOKUP(B1644,小圆机汇总表!A:AP,5,FALSE))</f>
        <v/>
      </c>
      <c r="F1644" s="8" t="str">
        <f>IF(B1644="","",VLOOKUP(B1644,小圆机汇总表!A:AP,8,FALSE))</f>
        <v/>
      </c>
      <c r="J1644" s="8" t="str">
        <f t="shared" si="34"/>
        <v/>
      </c>
    </row>
    <row r="1645" spans="1:10">
      <c r="A1645" s="4">
        <v>1645</v>
      </c>
      <c r="C1645" s="8" t="str">
        <f>IF(B1645="","",VLOOKUP(B1645,小圆机汇总表!A:AP,2,FALSE))</f>
        <v/>
      </c>
      <c r="D1645" s="8" t="str">
        <f>IF(B1645="","",VLOOKUP(B1645,小圆机汇总表!A:AP,7,FALSE))</f>
        <v/>
      </c>
      <c r="E1645" s="8" t="str">
        <f>IF(B1645="","",VLOOKUP(B1645,小圆机汇总表!A:AP,5,FALSE))</f>
        <v/>
      </c>
      <c r="F1645" s="8" t="str">
        <f>IF(B1645="","",VLOOKUP(B1645,小圆机汇总表!A:AP,8,FALSE))</f>
        <v/>
      </c>
      <c r="J1645" s="8" t="str">
        <f t="shared" si="34"/>
        <v/>
      </c>
    </row>
    <row r="1646" spans="1:10">
      <c r="A1646" s="4">
        <v>1646</v>
      </c>
      <c r="C1646" s="8" t="str">
        <f>IF(B1646="","",VLOOKUP(B1646,小圆机汇总表!A:AP,2,FALSE))</f>
        <v/>
      </c>
      <c r="D1646" s="8" t="str">
        <f>IF(B1646="","",VLOOKUP(B1646,小圆机汇总表!A:AP,7,FALSE))</f>
        <v/>
      </c>
      <c r="E1646" s="8" t="str">
        <f>IF(B1646="","",VLOOKUP(B1646,小圆机汇总表!A:AP,5,FALSE))</f>
        <v/>
      </c>
      <c r="F1646" s="8" t="str">
        <f>IF(B1646="","",VLOOKUP(B1646,小圆机汇总表!A:AP,8,FALSE))</f>
        <v/>
      </c>
      <c r="J1646" s="8" t="str">
        <f t="shared" si="34"/>
        <v/>
      </c>
    </row>
    <row r="1647" spans="1:10">
      <c r="A1647" s="4">
        <v>1647</v>
      </c>
      <c r="C1647" s="8" t="str">
        <f>IF(B1647="","",VLOOKUP(B1647,小圆机汇总表!A:AP,2,FALSE))</f>
        <v/>
      </c>
      <c r="D1647" s="8" t="str">
        <f>IF(B1647="","",VLOOKUP(B1647,小圆机汇总表!A:AP,7,FALSE))</f>
        <v/>
      </c>
      <c r="E1647" s="8" t="str">
        <f>IF(B1647="","",VLOOKUP(B1647,小圆机汇总表!A:AP,5,FALSE))</f>
        <v/>
      </c>
      <c r="F1647" s="8" t="str">
        <f>IF(B1647="","",VLOOKUP(B1647,小圆机汇总表!A:AP,8,FALSE))</f>
        <v/>
      </c>
      <c r="J1647" s="8" t="str">
        <f t="shared" si="34"/>
        <v/>
      </c>
    </row>
    <row r="1648" spans="1:10">
      <c r="A1648" s="4">
        <v>1648</v>
      </c>
      <c r="C1648" s="8" t="str">
        <f>IF(B1648="","",VLOOKUP(B1648,小圆机汇总表!A:AP,2,FALSE))</f>
        <v/>
      </c>
      <c r="D1648" s="8" t="str">
        <f>IF(B1648="","",VLOOKUP(B1648,小圆机汇总表!A:AP,7,FALSE))</f>
        <v/>
      </c>
      <c r="E1648" s="8" t="str">
        <f>IF(B1648="","",VLOOKUP(B1648,小圆机汇总表!A:AP,5,FALSE))</f>
        <v/>
      </c>
      <c r="F1648" s="8" t="str">
        <f>IF(B1648="","",VLOOKUP(B1648,小圆机汇总表!A:AP,8,FALSE))</f>
        <v/>
      </c>
      <c r="J1648" s="8" t="str">
        <f t="shared" si="34"/>
        <v/>
      </c>
    </row>
    <row r="1649" spans="1:10">
      <c r="A1649" s="4">
        <v>1649</v>
      </c>
      <c r="C1649" s="8" t="str">
        <f>IF(B1649="","",VLOOKUP(B1649,小圆机汇总表!A:AP,2,FALSE))</f>
        <v/>
      </c>
      <c r="D1649" s="8" t="str">
        <f>IF(B1649="","",VLOOKUP(B1649,小圆机汇总表!A:AP,7,FALSE))</f>
        <v/>
      </c>
      <c r="E1649" s="8" t="str">
        <f>IF(B1649="","",VLOOKUP(B1649,小圆机汇总表!A:AP,5,FALSE))</f>
        <v/>
      </c>
      <c r="F1649" s="8" t="str">
        <f>IF(B1649="","",VLOOKUP(B1649,小圆机汇总表!A:AP,8,FALSE))</f>
        <v/>
      </c>
      <c r="J1649" s="8" t="str">
        <f t="shared" si="34"/>
        <v/>
      </c>
    </row>
    <row r="1650" spans="1:10">
      <c r="A1650" s="4">
        <v>1650</v>
      </c>
      <c r="C1650" s="8" t="str">
        <f>IF(B1650="","",VLOOKUP(B1650,小圆机汇总表!A:AP,2,FALSE))</f>
        <v/>
      </c>
      <c r="D1650" s="8" t="str">
        <f>IF(B1650="","",VLOOKUP(B1650,小圆机汇总表!A:AP,7,FALSE))</f>
        <v/>
      </c>
      <c r="E1650" s="8" t="str">
        <f>IF(B1650="","",VLOOKUP(B1650,小圆机汇总表!A:AP,5,FALSE))</f>
        <v/>
      </c>
      <c r="F1650" s="8" t="str">
        <f>IF(B1650="","",VLOOKUP(B1650,小圆机汇总表!A:AP,8,FALSE))</f>
        <v/>
      </c>
      <c r="J1650" s="8" t="str">
        <f t="shared" si="34"/>
        <v/>
      </c>
    </row>
    <row r="1651" spans="1:10">
      <c r="A1651" s="4">
        <v>1651</v>
      </c>
      <c r="C1651" s="8" t="str">
        <f>IF(B1651="","",VLOOKUP(B1651,小圆机汇总表!A:AP,2,FALSE))</f>
        <v/>
      </c>
      <c r="D1651" s="8" t="str">
        <f>IF(B1651="","",VLOOKUP(B1651,小圆机汇总表!A:AP,7,FALSE))</f>
        <v/>
      </c>
      <c r="E1651" s="8" t="str">
        <f>IF(B1651="","",VLOOKUP(B1651,小圆机汇总表!A:AP,5,FALSE))</f>
        <v/>
      </c>
      <c r="F1651" s="8" t="str">
        <f>IF(B1651="","",VLOOKUP(B1651,小圆机汇总表!A:AP,8,FALSE))</f>
        <v/>
      </c>
      <c r="J1651" s="8" t="str">
        <f t="shared" si="34"/>
        <v/>
      </c>
    </row>
    <row r="1652" spans="1:10">
      <c r="A1652" s="4">
        <v>1652</v>
      </c>
      <c r="C1652" s="8" t="str">
        <f>IF(B1652="","",VLOOKUP(B1652,小圆机汇总表!A:AP,2,FALSE))</f>
        <v/>
      </c>
      <c r="D1652" s="8" t="str">
        <f>IF(B1652="","",VLOOKUP(B1652,小圆机汇总表!A:AP,7,FALSE))</f>
        <v/>
      </c>
      <c r="E1652" s="8" t="str">
        <f>IF(B1652="","",VLOOKUP(B1652,小圆机汇总表!A:AP,5,FALSE))</f>
        <v/>
      </c>
      <c r="F1652" s="8" t="str">
        <f>IF(B1652="","",VLOOKUP(B1652,小圆机汇总表!A:AP,8,FALSE))</f>
        <v/>
      </c>
      <c r="J1652" s="8" t="str">
        <f t="shared" si="34"/>
        <v/>
      </c>
    </row>
    <row r="1653" spans="1:10">
      <c r="A1653" s="4">
        <v>1653</v>
      </c>
      <c r="C1653" s="8" t="str">
        <f>IF(B1653="","",VLOOKUP(B1653,小圆机汇总表!A:AP,2,FALSE))</f>
        <v/>
      </c>
      <c r="D1653" s="8" t="str">
        <f>IF(B1653="","",VLOOKUP(B1653,小圆机汇总表!A:AP,7,FALSE))</f>
        <v/>
      </c>
      <c r="E1653" s="8" t="str">
        <f>IF(B1653="","",VLOOKUP(B1653,小圆机汇总表!A:AP,5,FALSE))</f>
        <v/>
      </c>
      <c r="F1653" s="8" t="str">
        <f>IF(B1653="","",VLOOKUP(B1653,小圆机汇总表!A:AP,8,FALSE))</f>
        <v/>
      </c>
      <c r="J1653" s="8" t="str">
        <f t="shared" si="34"/>
        <v/>
      </c>
    </row>
    <row r="1654" spans="1:10">
      <c r="A1654" s="4">
        <v>1654</v>
      </c>
      <c r="C1654" s="8" t="str">
        <f>IF(B1654="","",VLOOKUP(B1654,小圆机汇总表!A:AP,2,FALSE))</f>
        <v/>
      </c>
      <c r="D1654" s="8" t="str">
        <f>IF(B1654="","",VLOOKUP(B1654,小圆机汇总表!A:AP,7,FALSE))</f>
        <v/>
      </c>
      <c r="E1654" s="8" t="str">
        <f>IF(B1654="","",VLOOKUP(B1654,小圆机汇总表!A:AP,5,FALSE))</f>
        <v/>
      </c>
      <c r="F1654" s="8" t="str">
        <f>IF(B1654="","",VLOOKUP(B1654,小圆机汇总表!A:AP,8,FALSE))</f>
        <v/>
      </c>
      <c r="J1654" s="8" t="str">
        <f t="shared" si="34"/>
        <v/>
      </c>
    </row>
    <row r="1655" spans="1:10">
      <c r="A1655" s="4">
        <v>1655</v>
      </c>
      <c r="C1655" s="8" t="str">
        <f>IF(B1655="","",VLOOKUP(B1655,小圆机汇总表!A:AP,2,FALSE))</f>
        <v/>
      </c>
      <c r="D1655" s="8" t="str">
        <f>IF(B1655="","",VLOOKUP(B1655,小圆机汇总表!A:AP,7,FALSE))</f>
        <v/>
      </c>
      <c r="E1655" s="8" t="str">
        <f>IF(B1655="","",VLOOKUP(B1655,小圆机汇总表!A:AP,5,FALSE))</f>
        <v/>
      </c>
      <c r="F1655" s="8" t="str">
        <f>IF(B1655="","",VLOOKUP(B1655,小圆机汇总表!A:AP,8,FALSE))</f>
        <v/>
      </c>
      <c r="J1655" s="8" t="str">
        <f t="shared" si="34"/>
        <v/>
      </c>
    </row>
    <row r="1656" spans="1:10">
      <c r="A1656" s="4">
        <v>1656</v>
      </c>
      <c r="C1656" s="8" t="str">
        <f>IF(B1656="","",VLOOKUP(B1656,小圆机汇总表!A:AP,2,FALSE))</f>
        <v/>
      </c>
      <c r="D1656" s="8" t="str">
        <f>IF(B1656="","",VLOOKUP(B1656,小圆机汇总表!A:AP,7,FALSE))</f>
        <v/>
      </c>
      <c r="E1656" s="8" t="str">
        <f>IF(B1656="","",VLOOKUP(B1656,小圆机汇总表!A:AP,5,FALSE))</f>
        <v/>
      </c>
      <c r="F1656" s="8" t="str">
        <f>IF(B1656="","",VLOOKUP(B1656,小圆机汇总表!A:AP,8,FALSE))</f>
        <v/>
      </c>
      <c r="J1656" s="8" t="str">
        <f t="shared" si="34"/>
        <v/>
      </c>
    </row>
    <row r="1657" spans="1:10">
      <c r="A1657" s="4">
        <v>1657</v>
      </c>
      <c r="C1657" s="8" t="str">
        <f>IF(B1657="","",VLOOKUP(B1657,小圆机汇总表!A:AP,2,FALSE))</f>
        <v/>
      </c>
      <c r="D1657" s="8" t="str">
        <f>IF(B1657="","",VLOOKUP(B1657,小圆机汇总表!A:AP,7,FALSE))</f>
        <v/>
      </c>
      <c r="E1657" s="8" t="str">
        <f>IF(B1657="","",VLOOKUP(B1657,小圆机汇总表!A:AP,5,FALSE))</f>
        <v/>
      </c>
      <c r="F1657" s="8" t="str">
        <f>IF(B1657="","",VLOOKUP(B1657,小圆机汇总表!A:AP,8,FALSE))</f>
        <v/>
      </c>
      <c r="J1657" s="8" t="str">
        <f t="shared" si="34"/>
        <v/>
      </c>
    </row>
    <row r="1658" spans="1:10">
      <c r="A1658" s="4">
        <v>1658</v>
      </c>
      <c r="C1658" s="8" t="str">
        <f>IF(B1658="","",VLOOKUP(B1658,小圆机汇总表!A:AP,2,FALSE))</f>
        <v/>
      </c>
      <c r="D1658" s="8" t="str">
        <f>IF(B1658="","",VLOOKUP(B1658,小圆机汇总表!A:AP,7,FALSE))</f>
        <v/>
      </c>
      <c r="E1658" s="8" t="str">
        <f>IF(B1658="","",VLOOKUP(B1658,小圆机汇总表!A:AP,5,FALSE))</f>
        <v/>
      </c>
      <c r="F1658" s="8" t="str">
        <f>IF(B1658="","",VLOOKUP(B1658,小圆机汇总表!A:AP,8,FALSE))</f>
        <v/>
      </c>
      <c r="J1658" s="8" t="str">
        <f t="shared" si="34"/>
        <v/>
      </c>
    </row>
    <row r="1659" spans="1:10">
      <c r="A1659" s="4">
        <v>1659</v>
      </c>
      <c r="C1659" s="8" t="str">
        <f>IF(B1659="","",VLOOKUP(B1659,小圆机汇总表!A:AP,2,FALSE))</f>
        <v/>
      </c>
      <c r="D1659" s="8" t="str">
        <f>IF(B1659="","",VLOOKUP(B1659,小圆机汇总表!A:AP,7,FALSE))</f>
        <v/>
      </c>
      <c r="E1659" s="8" t="str">
        <f>IF(B1659="","",VLOOKUP(B1659,小圆机汇总表!A:AP,5,FALSE))</f>
        <v/>
      </c>
      <c r="F1659" s="8" t="str">
        <f>IF(B1659="","",VLOOKUP(B1659,小圆机汇总表!A:AP,8,FALSE))</f>
        <v/>
      </c>
      <c r="J1659" s="8" t="str">
        <f t="shared" si="34"/>
        <v/>
      </c>
    </row>
    <row r="1660" spans="1:10">
      <c r="A1660" s="4">
        <v>1660</v>
      </c>
      <c r="C1660" s="8" t="str">
        <f>IF(B1660="","",VLOOKUP(B1660,小圆机汇总表!A:AP,2,FALSE))</f>
        <v/>
      </c>
      <c r="D1660" s="8" t="str">
        <f>IF(B1660="","",VLOOKUP(B1660,小圆机汇总表!A:AP,7,FALSE))</f>
        <v/>
      </c>
      <c r="E1660" s="8" t="str">
        <f>IF(B1660="","",VLOOKUP(B1660,小圆机汇总表!A:AP,5,FALSE))</f>
        <v/>
      </c>
      <c r="F1660" s="8" t="str">
        <f>IF(B1660="","",VLOOKUP(B1660,小圆机汇总表!A:AP,8,FALSE))</f>
        <v/>
      </c>
      <c r="J1660" s="8" t="str">
        <f t="shared" si="34"/>
        <v/>
      </c>
    </row>
    <row r="1661" spans="1:10">
      <c r="A1661" s="4">
        <v>1661</v>
      </c>
      <c r="C1661" s="8" t="str">
        <f>IF(B1661="","",VLOOKUP(B1661,小圆机汇总表!A:AP,2,FALSE))</f>
        <v/>
      </c>
      <c r="D1661" s="8" t="str">
        <f>IF(B1661="","",VLOOKUP(B1661,小圆机汇总表!A:AP,7,FALSE))</f>
        <v/>
      </c>
      <c r="E1661" s="8" t="str">
        <f>IF(B1661="","",VLOOKUP(B1661,小圆机汇总表!A:AP,5,FALSE))</f>
        <v/>
      </c>
      <c r="F1661" s="8" t="str">
        <f>IF(B1661="","",VLOOKUP(B1661,小圆机汇总表!A:AP,8,FALSE))</f>
        <v/>
      </c>
      <c r="J1661" s="8" t="str">
        <f t="shared" si="34"/>
        <v/>
      </c>
    </row>
    <row r="1662" spans="1:10">
      <c r="A1662" s="4">
        <v>1662</v>
      </c>
      <c r="C1662" s="8" t="str">
        <f>IF(B1662="","",VLOOKUP(B1662,小圆机汇总表!A:AP,2,FALSE))</f>
        <v/>
      </c>
      <c r="D1662" s="8" t="str">
        <f>IF(B1662="","",VLOOKUP(B1662,小圆机汇总表!A:AP,7,FALSE))</f>
        <v/>
      </c>
      <c r="E1662" s="8" t="str">
        <f>IF(B1662="","",VLOOKUP(B1662,小圆机汇总表!A:AP,5,FALSE))</f>
        <v/>
      </c>
      <c r="F1662" s="8" t="str">
        <f>IF(B1662="","",VLOOKUP(B1662,小圆机汇总表!A:AP,8,FALSE))</f>
        <v/>
      </c>
      <c r="J1662" s="8" t="str">
        <f t="shared" si="34"/>
        <v/>
      </c>
    </row>
    <row r="1663" spans="1:10">
      <c r="A1663" s="4">
        <v>1663</v>
      </c>
      <c r="C1663" s="8" t="str">
        <f>IF(B1663="","",VLOOKUP(B1663,小圆机汇总表!A:AP,2,FALSE))</f>
        <v/>
      </c>
      <c r="D1663" s="8" t="str">
        <f>IF(B1663="","",VLOOKUP(B1663,小圆机汇总表!A:AP,7,FALSE))</f>
        <v/>
      </c>
      <c r="E1663" s="8" t="str">
        <f>IF(B1663="","",VLOOKUP(B1663,小圆机汇总表!A:AP,5,FALSE))</f>
        <v/>
      </c>
      <c r="F1663" s="8" t="str">
        <f>IF(B1663="","",VLOOKUP(B1663,小圆机汇总表!A:AP,8,FALSE))</f>
        <v/>
      </c>
      <c r="J1663" s="8" t="str">
        <f t="shared" si="34"/>
        <v/>
      </c>
    </row>
    <row r="1664" spans="1:10">
      <c r="A1664" s="4">
        <v>1664</v>
      </c>
      <c r="C1664" s="8" t="str">
        <f>IF(B1664="","",VLOOKUP(B1664,小圆机汇总表!A:AP,2,FALSE))</f>
        <v/>
      </c>
      <c r="D1664" s="8" t="str">
        <f>IF(B1664="","",VLOOKUP(B1664,小圆机汇总表!A:AP,7,FALSE))</f>
        <v/>
      </c>
      <c r="E1664" s="8" t="str">
        <f>IF(B1664="","",VLOOKUP(B1664,小圆机汇总表!A:AP,5,FALSE))</f>
        <v/>
      </c>
      <c r="F1664" s="8" t="str">
        <f>IF(B1664="","",VLOOKUP(B1664,小圆机汇总表!A:AP,8,FALSE))</f>
        <v/>
      </c>
      <c r="J1664" s="8" t="str">
        <f t="shared" si="34"/>
        <v/>
      </c>
    </row>
    <row r="1665" spans="1:10">
      <c r="A1665" s="4">
        <v>1665</v>
      </c>
      <c r="C1665" s="8" t="str">
        <f>IF(B1665="","",VLOOKUP(B1665,小圆机汇总表!A:AP,2,FALSE))</f>
        <v/>
      </c>
      <c r="D1665" s="8" t="str">
        <f>IF(B1665="","",VLOOKUP(B1665,小圆机汇总表!A:AP,7,FALSE))</f>
        <v/>
      </c>
      <c r="E1665" s="8" t="str">
        <f>IF(B1665="","",VLOOKUP(B1665,小圆机汇总表!A:AP,5,FALSE))</f>
        <v/>
      </c>
      <c r="F1665" s="8" t="str">
        <f>IF(B1665="","",VLOOKUP(B1665,小圆机汇总表!A:AP,8,FALSE))</f>
        <v/>
      </c>
      <c r="J1665" s="8" t="str">
        <f t="shared" si="34"/>
        <v/>
      </c>
    </row>
    <row r="1666" spans="1:10">
      <c r="A1666" s="4">
        <v>1666</v>
      </c>
      <c r="C1666" s="8" t="str">
        <f>IF(B1666="","",VLOOKUP(B1666,小圆机汇总表!A:AP,2,FALSE))</f>
        <v/>
      </c>
      <c r="D1666" s="8" t="str">
        <f>IF(B1666="","",VLOOKUP(B1666,小圆机汇总表!A:AP,7,FALSE))</f>
        <v/>
      </c>
      <c r="E1666" s="8" t="str">
        <f>IF(B1666="","",VLOOKUP(B1666,小圆机汇总表!A:AP,5,FALSE))</f>
        <v/>
      </c>
      <c r="F1666" s="8" t="str">
        <f>IF(B1666="","",VLOOKUP(B1666,小圆机汇总表!A:AP,8,FALSE))</f>
        <v/>
      </c>
      <c r="J1666" s="8" t="str">
        <f t="shared" si="34"/>
        <v/>
      </c>
    </row>
    <row r="1667" spans="1:10">
      <c r="A1667" s="4">
        <v>1667</v>
      </c>
      <c r="C1667" s="8" t="str">
        <f>IF(B1667="","",VLOOKUP(B1667,小圆机汇总表!A:AP,2,FALSE))</f>
        <v/>
      </c>
      <c r="D1667" s="8" t="str">
        <f>IF(B1667="","",VLOOKUP(B1667,小圆机汇总表!A:AP,7,FALSE))</f>
        <v/>
      </c>
      <c r="E1667" s="8" t="str">
        <f>IF(B1667="","",VLOOKUP(B1667,小圆机汇总表!A:AP,5,FALSE))</f>
        <v/>
      </c>
      <c r="F1667" s="8" t="str">
        <f>IF(B1667="","",VLOOKUP(B1667,小圆机汇总表!A:AP,8,FALSE))</f>
        <v/>
      </c>
      <c r="J1667" s="8" t="str">
        <f t="shared" si="34"/>
        <v/>
      </c>
    </row>
    <row r="1668" spans="1:10">
      <c r="A1668" s="4">
        <v>1668</v>
      </c>
      <c r="C1668" s="8" t="str">
        <f>IF(B1668="","",VLOOKUP(B1668,小圆机汇总表!A:AP,2,FALSE))</f>
        <v/>
      </c>
      <c r="D1668" s="8" t="str">
        <f>IF(B1668="","",VLOOKUP(B1668,小圆机汇总表!A:AP,7,FALSE))</f>
        <v/>
      </c>
      <c r="E1668" s="8" t="str">
        <f>IF(B1668="","",VLOOKUP(B1668,小圆机汇总表!A:AP,5,FALSE))</f>
        <v/>
      </c>
      <c r="F1668" s="8" t="str">
        <f>IF(B1668="","",VLOOKUP(B1668,小圆机汇总表!A:AP,8,FALSE))</f>
        <v/>
      </c>
      <c r="J1668" s="8" t="str">
        <f t="shared" si="34"/>
        <v/>
      </c>
    </row>
    <row r="1669" spans="1:10">
      <c r="A1669" s="4">
        <v>1669</v>
      </c>
      <c r="C1669" s="8" t="str">
        <f>IF(B1669="","",VLOOKUP(B1669,小圆机汇总表!A:AP,2,FALSE))</f>
        <v/>
      </c>
      <c r="D1669" s="8" t="str">
        <f>IF(B1669="","",VLOOKUP(B1669,小圆机汇总表!A:AP,7,FALSE))</f>
        <v/>
      </c>
      <c r="E1669" s="8" t="str">
        <f>IF(B1669="","",VLOOKUP(B1669,小圆机汇总表!A:AP,5,FALSE))</f>
        <v/>
      </c>
      <c r="F1669" s="8" t="str">
        <f>IF(B1669="","",VLOOKUP(B1669,小圆机汇总表!A:AP,8,FALSE))</f>
        <v/>
      </c>
      <c r="J1669" s="8" t="str">
        <f t="shared" si="34"/>
        <v/>
      </c>
    </row>
    <row r="1670" spans="1:10">
      <c r="A1670" s="4">
        <v>1670</v>
      </c>
      <c r="C1670" s="8" t="str">
        <f>IF(B1670="","",VLOOKUP(B1670,小圆机汇总表!A:AP,2,FALSE))</f>
        <v/>
      </c>
      <c r="D1670" s="8" t="str">
        <f>IF(B1670="","",VLOOKUP(B1670,小圆机汇总表!A:AP,7,FALSE))</f>
        <v/>
      </c>
      <c r="E1670" s="8" t="str">
        <f>IF(B1670="","",VLOOKUP(B1670,小圆机汇总表!A:AP,5,FALSE))</f>
        <v/>
      </c>
      <c r="F1670" s="8" t="str">
        <f>IF(B1670="","",VLOOKUP(B1670,小圆机汇总表!A:AP,8,FALSE))</f>
        <v/>
      </c>
      <c r="J1670" s="8" t="str">
        <f t="shared" si="34"/>
        <v/>
      </c>
    </row>
    <row r="1671" spans="1:10">
      <c r="A1671" s="4">
        <v>1671</v>
      </c>
      <c r="C1671" s="8" t="str">
        <f>IF(B1671="","",VLOOKUP(B1671,小圆机汇总表!A:AP,2,FALSE))</f>
        <v/>
      </c>
      <c r="D1671" s="8" t="str">
        <f>IF(B1671="","",VLOOKUP(B1671,小圆机汇总表!A:AP,7,FALSE))</f>
        <v/>
      </c>
      <c r="E1671" s="8" t="str">
        <f>IF(B1671="","",VLOOKUP(B1671,小圆机汇总表!A:AP,5,FALSE))</f>
        <v/>
      </c>
      <c r="F1671" s="8" t="str">
        <f>IF(B1671="","",VLOOKUP(B1671,小圆机汇总表!A:AP,8,FALSE))</f>
        <v/>
      </c>
      <c r="J1671" s="8" t="str">
        <f t="shared" si="34"/>
        <v/>
      </c>
    </row>
    <row r="1672" spans="1:10">
      <c r="A1672" s="4">
        <v>1672</v>
      </c>
      <c r="C1672" s="8" t="str">
        <f>IF(B1672="","",VLOOKUP(B1672,小圆机汇总表!A:AP,2,FALSE))</f>
        <v/>
      </c>
      <c r="D1672" s="8" t="str">
        <f>IF(B1672="","",VLOOKUP(B1672,小圆机汇总表!A:AP,7,FALSE))</f>
        <v/>
      </c>
      <c r="E1672" s="8" t="str">
        <f>IF(B1672="","",VLOOKUP(B1672,小圆机汇总表!A:AP,5,FALSE))</f>
        <v/>
      </c>
      <c r="F1672" s="8" t="str">
        <f>IF(B1672="","",VLOOKUP(B1672,小圆机汇总表!A:AP,8,FALSE))</f>
        <v/>
      </c>
      <c r="J1672" s="8" t="str">
        <f t="shared" si="34"/>
        <v/>
      </c>
    </row>
    <row r="1673" spans="1:10">
      <c r="A1673" s="4">
        <v>1673</v>
      </c>
      <c r="C1673" s="8" t="str">
        <f>IF(B1673="","",VLOOKUP(B1673,小圆机汇总表!A:AP,2,FALSE))</f>
        <v/>
      </c>
      <c r="D1673" s="8" t="str">
        <f>IF(B1673="","",VLOOKUP(B1673,小圆机汇总表!A:AP,7,FALSE))</f>
        <v/>
      </c>
      <c r="E1673" s="8" t="str">
        <f>IF(B1673="","",VLOOKUP(B1673,小圆机汇总表!A:AP,5,FALSE))</f>
        <v/>
      </c>
      <c r="F1673" s="8" t="str">
        <f>IF(B1673="","",VLOOKUP(B1673,小圆机汇总表!A:AP,8,FALSE))</f>
        <v/>
      </c>
      <c r="J1673" s="8" t="str">
        <f t="shared" si="34"/>
        <v/>
      </c>
    </row>
    <row r="1674" spans="1:10">
      <c r="A1674" s="4">
        <v>1674</v>
      </c>
      <c r="C1674" s="8" t="str">
        <f>IF(B1674="","",VLOOKUP(B1674,小圆机汇总表!A:AP,2,FALSE))</f>
        <v/>
      </c>
      <c r="D1674" s="8" t="str">
        <f>IF(B1674="","",VLOOKUP(B1674,小圆机汇总表!A:AP,7,FALSE))</f>
        <v/>
      </c>
      <c r="E1674" s="8" t="str">
        <f>IF(B1674="","",VLOOKUP(B1674,小圆机汇总表!A:AP,5,FALSE))</f>
        <v/>
      </c>
      <c r="F1674" s="8" t="str">
        <f>IF(B1674="","",VLOOKUP(B1674,小圆机汇总表!A:AP,8,FALSE))</f>
        <v/>
      </c>
      <c r="J1674" s="8" t="str">
        <f t="shared" si="34"/>
        <v/>
      </c>
    </row>
    <row r="1675" spans="1:10">
      <c r="A1675" s="4">
        <v>1675</v>
      </c>
      <c r="C1675" s="8" t="str">
        <f>IF(B1675="","",VLOOKUP(B1675,小圆机汇总表!A:AP,2,FALSE))</f>
        <v/>
      </c>
      <c r="D1675" s="8" t="str">
        <f>IF(B1675="","",VLOOKUP(B1675,小圆机汇总表!A:AP,7,FALSE))</f>
        <v/>
      </c>
      <c r="E1675" s="8" t="str">
        <f>IF(B1675="","",VLOOKUP(B1675,小圆机汇总表!A:AP,5,FALSE))</f>
        <v/>
      </c>
      <c r="F1675" s="8" t="str">
        <f>IF(B1675="","",VLOOKUP(B1675,小圆机汇总表!A:AP,8,FALSE))</f>
        <v/>
      </c>
      <c r="J1675" s="8" t="str">
        <f t="shared" si="34"/>
        <v/>
      </c>
    </row>
    <row r="1676" spans="1:10">
      <c r="A1676" s="4">
        <v>1676</v>
      </c>
      <c r="C1676" s="8" t="str">
        <f>IF(B1676="","",VLOOKUP(B1676,小圆机汇总表!A:AP,2,FALSE))</f>
        <v/>
      </c>
      <c r="D1676" s="8" t="str">
        <f>IF(B1676="","",VLOOKUP(B1676,小圆机汇总表!A:AP,7,FALSE))</f>
        <v/>
      </c>
      <c r="E1676" s="8" t="str">
        <f>IF(B1676="","",VLOOKUP(B1676,小圆机汇总表!A:AP,5,FALSE))</f>
        <v/>
      </c>
      <c r="F1676" s="8" t="str">
        <f>IF(B1676="","",VLOOKUP(B1676,小圆机汇总表!A:AP,8,FALSE))</f>
        <v/>
      </c>
      <c r="J1676" s="8" t="str">
        <f t="shared" si="34"/>
        <v/>
      </c>
    </row>
    <row r="1677" spans="1:10">
      <c r="A1677" s="4">
        <v>1677</v>
      </c>
      <c r="C1677" s="8" t="str">
        <f>IF(B1677="","",VLOOKUP(B1677,小圆机汇总表!A:AP,2,FALSE))</f>
        <v/>
      </c>
      <c r="D1677" s="8" t="str">
        <f>IF(B1677="","",VLOOKUP(B1677,小圆机汇总表!A:AP,7,FALSE))</f>
        <v/>
      </c>
      <c r="E1677" s="8" t="str">
        <f>IF(B1677="","",VLOOKUP(B1677,小圆机汇总表!A:AP,5,FALSE))</f>
        <v/>
      </c>
      <c r="F1677" s="8" t="str">
        <f>IF(B1677="","",VLOOKUP(B1677,小圆机汇总表!A:AP,8,FALSE))</f>
        <v/>
      </c>
      <c r="J1677" s="8" t="str">
        <f t="shared" si="34"/>
        <v/>
      </c>
    </row>
    <row r="1678" spans="1:10">
      <c r="A1678" s="4">
        <v>1678</v>
      </c>
      <c r="C1678" s="8" t="str">
        <f>IF(B1678="","",VLOOKUP(B1678,小圆机汇总表!A:AP,2,FALSE))</f>
        <v/>
      </c>
      <c r="D1678" s="8" t="str">
        <f>IF(B1678="","",VLOOKUP(B1678,小圆机汇总表!A:AP,7,FALSE))</f>
        <v/>
      </c>
      <c r="E1678" s="8" t="str">
        <f>IF(B1678="","",VLOOKUP(B1678,小圆机汇总表!A:AP,5,FALSE))</f>
        <v/>
      </c>
      <c r="F1678" s="8" t="str">
        <f>IF(B1678="","",VLOOKUP(B1678,小圆机汇总表!A:AP,8,FALSE))</f>
        <v/>
      </c>
      <c r="J1678" s="8" t="str">
        <f t="shared" si="34"/>
        <v/>
      </c>
    </row>
    <row r="1679" spans="1:10">
      <c r="A1679" s="4">
        <v>1679</v>
      </c>
      <c r="C1679" s="8" t="str">
        <f>IF(B1679="","",VLOOKUP(B1679,小圆机汇总表!A:AP,2,FALSE))</f>
        <v/>
      </c>
      <c r="D1679" s="8" t="str">
        <f>IF(B1679="","",VLOOKUP(B1679,小圆机汇总表!A:AP,7,FALSE))</f>
        <v/>
      </c>
      <c r="E1679" s="8" t="str">
        <f>IF(B1679="","",VLOOKUP(B1679,小圆机汇总表!A:AP,5,FALSE))</f>
        <v/>
      </c>
      <c r="F1679" s="8" t="str">
        <f>IF(B1679="","",VLOOKUP(B1679,小圆机汇总表!A:AP,8,FALSE))</f>
        <v/>
      </c>
      <c r="J1679" s="8" t="str">
        <f t="shared" si="34"/>
        <v/>
      </c>
    </row>
    <row r="1680" spans="1:10">
      <c r="A1680" s="4">
        <v>1680</v>
      </c>
      <c r="C1680" s="8" t="str">
        <f>IF(B1680="","",VLOOKUP(B1680,小圆机汇总表!A:AP,2,FALSE))</f>
        <v/>
      </c>
      <c r="D1680" s="8" t="str">
        <f>IF(B1680="","",VLOOKUP(B1680,小圆机汇总表!A:AP,7,FALSE))</f>
        <v/>
      </c>
      <c r="E1680" s="8" t="str">
        <f>IF(B1680="","",VLOOKUP(B1680,小圆机汇总表!A:AP,5,FALSE))</f>
        <v/>
      </c>
      <c r="F1680" s="8" t="str">
        <f>IF(B1680="","",VLOOKUP(B1680,小圆机汇总表!A:AP,8,FALSE))</f>
        <v/>
      </c>
      <c r="J1680" s="8" t="str">
        <f t="shared" si="34"/>
        <v/>
      </c>
    </row>
    <row r="1681" spans="1:10">
      <c r="A1681" s="4">
        <v>1681</v>
      </c>
      <c r="C1681" s="8" t="str">
        <f>IF(B1681="","",VLOOKUP(B1681,小圆机汇总表!A:AP,2,FALSE))</f>
        <v/>
      </c>
      <c r="D1681" s="8" t="str">
        <f>IF(B1681="","",VLOOKUP(B1681,小圆机汇总表!A:AP,7,FALSE))</f>
        <v/>
      </c>
      <c r="E1681" s="8" t="str">
        <f>IF(B1681="","",VLOOKUP(B1681,小圆机汇总表!A:AP,5,FALSE))</f>
        <v/>
      </c>
      <c r="F1681" s="8" t="str">
        <f>IF(B1681="","",VLOOKUP(B1681,小圆机汇总表!A:AP,8,FALSE))</f>
        <v/>
      </c>
      <c r="J1681" s="8" t="str">
        <f t="shared" si="34"/>
        <v/>
      </c>
    </row>
    <row r="1682" spans="1:10">
      <c r="A1682" s="4">
        <v>1682</v>
      </c>
      <c r="C1682" s="8" t="s">
        <v>399</v>
      </c>
      <c r="D1682" s="8" t="str">
        <f>IF(B1682="","",VLOOKUP(B1682,小圆机汇总表!A:AP,7,FALSE))</f>
        <v/>
      </c>
      <c r="E1682" s="8" t="str">
        <f>IF(B1682="","",VLOOKUP(B1682,小圆机汇总表!A:AP,5,FALSE))</f>
        <v/>
      </c>
      <c r="F1682" s="8" t="str">
        <f>IF(B1682="","",VLOOKUP(B1682,小圆机汇总表!A:AP,8,FALSE))</f>
        <v/>
      </c>
      <c r="J1682" s="8" t="str">
        <f t="shared" si="34"/>
        <v/>
      </c>
    </row>
    <row r="1683" spans="1:10">
      <c r="A1683" s="4">
        <v>1683</v>
      </c>
      <c r="C1683" s="8" t="s">
        <v>399</v>
      </c>
      <c r="D1683" s="8" t="str">
        <f>IF(B1683="","",VLOOKUP(B1683,小圆机汇总表!A:AP,7,FALSE))</f>
        <v/>
      </c>
      <c r="E1683" s="8" t="str">
        <f>IF(B1683="","",VLOOKUP(B1683,小圆机汇总表!A:AP,5,FALSE))</f>
        <v/>
      </c>
      <c r="F1683" s="8" t="str">
        <f>IF(B1683="","",VLOOKUP(B1683,小圆机汇总表!A:AP,8,FALSE))</f>
        <v/>
      </c>
      <c r="J1683" s="8" t="str">
        <f t="shared" si="34"/>
        <v/>
      </c>
    </row>
    <row r="1684" spans="1:10">
      <c r="A1684" s="4">
        <v>1684</v>
      </c>
      <c r="C1684" s="8" t="s">
        <v>399</v>
      </c>
      <c r="D1684" s="8" t="str">
        <f>IF(B1684="","",VLOOKUP(B1684,小圆机汇总表!A:AP,7,FALSE))</f>
        <v/>
      </c>
      <c r="E1684" s="8" t="str">
        <f>IF(B1684="","",VLOOKUP(B1684,小圆机汇总表!A:AP,5,FALSE))</f>
        <v/>
      </c>
      <c r="F1684" s="8" t="str">
        <f>IF(B1684="","",VLOOKUP(B1684,小圆机汇总表!A:AP,8,FALSE))</f>
        <v/>
      </c>
      <c r="J1684" s="8" t="str">
        <f t="shared" si="34"/>
        <v/>
      </c>
    </row>
    <row r="1685" spans="1:10">
      <c r="A1685" s="4">
        <v>1685</v>
      </c>
      <c r="C1685" s="8" t="s">
        <v>399</v>
      </c>
      <c r="D1685" s="8" t="str">
        <f>IF(B1685="","",VLOOKUP(B1685,小圆机汇总表!A:AP,7,FALSE))</f>
        <v/>
      </c>
      <c r="E1685" s="8" t="str">
        <f>IF(B1685="","",VLOOKUP(B1685,小圆机汇总表!A:AP,5,FALSE))</f>
        <v/>
      </c>
      <c r="F1685" s="8" t="str">
        <f>IF(B1685="","",VLOOKUP(B1685,小圆机汇总表!A:AP,8,FALSE))</f>
        <v/>
      </c>
      <c r="J1685" s="8" t="str">
        <f t="shared" si="34"/>
        <v/>
      </c>
    </row>
    <row r="1686" spans="1:10">
      <c r="A1686" s="4">
        <v>1686</v>
      </c>
      <c r="C1686" s="8" t="s">
        <v>399</v>
      </c>
      <c r="D1686" s="8" t="str">
        <f>IF(B1686="","",VLOOKUP(B1686,小圆机汇总表!A:AP,7,FALSE))</f>
        <v/>
      </c>
      <c r="E1686" s="8" t="str">
        <f>IF(B1686="","",VLOOKUP(B1686,小圆机汇总表!A:AP,5,FALSE))</f>
        <v/>
      </c>
      <c r="F1686" s="8" t="str">
        <f>IF(B1686="","",VLOOKUP(B1686,小圆机汇总表!A:AP,8,FALSE))</f>
        <v/>
      </c>
      <c r="J1686" s="8" t="str">
        <f t="shared" si="34"/>
        <v/>
      </c>
    </row>
    <row r="1687" spans="1:10">
      <c r="A1687" s="4">
        <v>1687</v>
      </c>
      <c r="C1687" s="8" t="s">
        <v>399</v>
      </c>
      <c r="D1687" s="8" t="str">
        <f>IF(B1687="","",VLOOKUP(B1687,小圆机汇总表!A:AP,7,FALSE))</f>
        <v/>
      </c>
      <c r="E1687" s="8" t="str">
        <f>IF(B1687="","",VLOOKUP(B1687,小圆机汇总表!A:AP,5,FALSE))</f>
        <v/>
      </c>
      <c r="F1687" s="8" t="str">
        <f>IF(B1687="","",VLOOKUP(B1687,小圆机汇总表!A:AP,8,FALSE))</f>
        <v/>
      </c>
      <c r="J1687" s="8" t="str">
        <f t="shared" si="34"/>
        <v/>
      </c>
    </row>
    <row r="1688" spans="1:10">
      <c r="A1688" s="4">
        <v>1688</v>
      </c>
      <c r="C1688" s="8" t="s">
        <v>399</v>
      </c>
      <c r="D1688" s="8" t="str">
        <f>IF(B1688="","",VLOOKUP(B1688,小圆机汇总表!A:AP,7,FALSE))</f>
        <v/>
      </c>
      <c r="E1688" s="8" t="str">
        <f>IF(B1688="","",VLOOKUP(B1688,小圆机汇总表!A:AP,5,FALSE))</f>
        <v/>
      </c>
      <c r="F1688" s="8" t="str">
        <f>IF(B1688="","",VLOOKUP(B1688,小圆机汇总表!A:AP,8,FALSE))</f>
        <v/>
      </c>
      <c r="J1688" s="8" t="str">
        <f t="shared" si="34"/>
        <v/>
      </c>
    </row>
    <row r="1689" spans="1:10">
      <c r="A1689" s="4">
        <v>1689</v>
      </c>
      <c r="C1689" s="8" t="s">
        <v>399</v>
      </c>
      <c r="D1689" s="8" t="str">
        <f>IF(B1689="","",VLOOKUP(B1689,小圆机汇总表!A:AP,7,FALSE))</f>
        <v/>
      </c>
      <c r="E1689" s="8" t="str">
        <f>IF(B1689="","",VLOOKUP(B1689,小圆机汇总表!A:AP,5,FALSE))</f>
        <v/>
      </c>
      <c r="F1689" s="8" t="str">
        <f>IF(B1689="","",VLOOKUP(B1689,小圆机汇总表!A:AP,8,FALSE))</f>
        <v/>
      </c>
      <c r="J1689" s="8" t="str">
        <f t="shared" si="34"/>
        <v/>
      </c>
    </row>
    <row r="1690" spans="1:10">
      <c r="A1690" s="4">
        <v>1690</v>
      </c>
      <c r="C1690" s="8" t="s">
        <v>399</v>
      </c>
      <c r="D1690" s="8" t="str">
        <f>IF(B1690="","",VLOOKUP(B1690,小圆机汇总表!A:AP,7,FALSE))</f>
        <v/>
      </c>
      <c r="E1690" s="8" t="str">
        <f>IF(B1690="","",VLOOKUP(B1690,小圆机汇总表!A:AP,5,FALSE))</f>
        <v/>
      </c>
      <c r="F1690" s="8" t="str">
        <f>IF(B1690="","",VLOOKUP(B1690,小圆机汇总表!A:AP,8,FALSE))</f>
        <v/>
      </c>
      <c r="J1690" s="8" t="str">
        <f t="shared" si="34"/>
        <v/>
      </c>
    </row>
    <row r="1691" spans="1:10">
      <c r="A1691" s="4">
        <v>1691</v>
      </c>
      <c r="C1691" s="8" t="s">
        <v>399</v>
      </c>
      <c r="D1691" s="8" t="str">
        <f>IF(B1691="","",VLOOKUP(B1691,小圆机汇总表!A:AP,7,FALSE))</f>
        <v/>
      </c>
      <c r="E1691" s="8" t="str">
        <f>IF(B1691="","",VLOOKUP(B1691,小圆机汇总表!A:AP,5,FALSE))</f>
        <v/>
      </c>
      <c r="F1691" s="8" t="str">
        <f>IF(B1691="","",VLOOKUP(B1691,小圆机汇总表!A:AP,8,FALSE))</f>
        <v/>
      </c>
      <c r="J1691" s="8" t="str">
        <f t="shared" si="34"/>
        <v/>
      </c>
    </row>
    <row r="1692" spans="1:10">
      <c r="A1692" s="4">
        <v>1692</v>
      </c>
      <c r="C1692" s="8" t="s">
        <v>399</v>
      </c>
      <c r="D1692" s="8" t="str">
        <f>IF(B1692="","",VLOOKUP(B1692,小圆机汇总表!A:AP,7,FALSE))</f>
        <v/>
      </c>
      <c r="E1692" s="8" t="str">
        <f>IF(B1692="","",VLOOKUP(B1692,小圆机汇总表!A:AP,5,FALSE))</f>
        <v/>
      </c>
      <c r="F1692" s="8" t="str">
        <f>IF(B1692="","",VLOOKUP(B1692,小圆机汇总表!A:AP,8,FALSE))</f>
        <v/>
      </c>
      <c r="J1692" s="8" t="str">
        <f t="shared" si="34"/>
        <v/>
      </c>
    </row>
    <row r="1693" spans="1:10">
      <c r="A1693" s="4">
        <v>1693</v>
      </c>
      <c r="C1693" s="8" t="s">
        <v>399</v>
      </c>
      <c r="D1693" s="8" t="str">
        <f>IF(B1693="","",VLOOKUP(B1693,小圆机汇总表!A:AP,7,FALSE))</f>
        <v/>
      </c>
      <c r="E1693" s="8" t="str">
        <f>IF(B1693="","",VLOOKUP(B1693,小圆机汇总表!A:AP,5,FALSE))</f>
        <v/>
      </c>
      <c r="F1693" s="8" t="str">
        <f>IF(B1693="","",VLOOKUP(B1693,小圆机汇总表!A:AP,8,FALSE))</f>
        <v/>
      </c>
      <c r="J1693" s="8" t="str">
        <f t="shared" si="34"/>
        <v/>
      </c>
    </row>
    <row r="1694" spans="1:10">
      <c r="A1694" s="4">
        <v>1694</v>
      </c>
      <c r="C1694" s="8" t="s">
        <v>399</v>
      </c>
      <c r="D1694" s="8" t="str">
        <f>IF(B1694="","",VLOOKUP(B1694,小圆机汇总表!A:AP,7,FALSE))</f>
        <v/>
      </c>
      <c r="E1694" s="8" t="str">
        <f>IF(B1694="","",VLOOKUP(B1694,小圆机汇总表!A:AP,5,FALSE))</f>
        <v/>
      </c>
      <c r="F1694" s="8" t="str">
        <f>IF(B1694="","",VLOOKUP(B1694,小圆机汇总表!A:AP,8,FALSE))</f>
        <v/>
      </c>
      <c r="J1694" s="8" t="str">
        <f t="shared" si="34"/>
        <v/>
      </c>
    </row>
    <row r="1695" spans="1:10">
      <c r="A1695" s="4">
        <v>1695</v>
      </c>
      <c r="C1695" s="8" t="s">
        <v>399</v>
      </c>
      <c r="D1695" s="8" t="str">
        <f>IF(B1695="","",VLOOKUP(B1695,小圆机汇总表!A:AP,7,FALSE))</f>
        <v/>
      </c>
      <c r="E1695" s="8" t="str">
        <f>IF(B1695="","",VLOOKUP(B1695,小圆机汇总表!A:AP,5,FALSE))</f>
        <v/>
      </c>
      <c r="F1695" s="8" t="str">
        <f>IF(B1695="","",VLOOKUP(B1695,小圆机汇总表!A:AP,8,FALSE))</f>
        <v/>
      </c>
      <c r="J1695" s="8" t="str">
        <f t="shared" si="34"/>
        <v/>
      </c>
    </row>
    <row r="1696" spans="1:10">
      <c r="A1696" s="4">
        <v>1696</v>
      </c>
      <c r="C1696" s="8" t="s">
        <v>399</v>
      </c>
      <c r="D1696" s="8" t="str">
        <f>IF(B1696="","",VLOOKUP(B1696,小圆机汇总表!A:AP,7,FALSE))</f>
        <v/>
      </c>
      <c r="E1696" s="8" t="str">
        <f>IF(B1696="","",VLOOKUP(B1696,小圆机汇总表!A:AP,5,FALSE))</f>
        <v/>
      </c>
      <c r="F1696" s="8" t="str">
        <f>IF(B1696="","",VLOOKUP(B1696,小圆机汇总表!A:AP,8,FALSE))</f>
        <v/>
      </c>
      <c r="J1696" s="8" t="str">
        <f t="shared" si="34"/>
        <v/>
      </c>
    </row>
    <row r="1697" spans="1:10">
      <c r="A1697" s="4">
        <v>1697</v>
      </c>
      <c r="C1697" s="8" t="s">
        <v>399</v>
      </c>
      <c r="D1697" s="8" t="str">
        <f>IF(B1697="","",VLOOKUP(B1697,小圆机汇总表!A:AP,7,FALSE))</f>
        <v/>
      </c>
      <c r="E1697" s="8" t="str">
        <f>IF(B1697="","",VLOOKUP(B1697,小圆机汇总表!A:AP,5,FALSE))</f>
        <v/>
      </c>
      <c r="F1697" s="8" t="str">
        <f>IF(B1697="","",VLOOKUP(B1697,小圆机汇总表!A:AP,8,FALSE))</f>
        <v/>
      </c>
      <c r="J1697" s="8" t="str">
        <f t="shared" si="34"/>
        <v/>
      </c>
    </row>
    <row r="1698" spans="1:10">
      <c r="A1698" s="4">
        <v>1698</v>
      </c>
      <c r="C1698" s="8" t="s">
        <v>399</v>
      </c>
      <c r="D1698" s="8" t="str">
        <f>IF(B1698="","",VLOOKUP(B1698,小圆机汇总表!A:AP,7,FALSE))</f>
        <v/>
      </c>
      <c r="E1698" s="8" t="str">
        <f>IF(B1698="","",VLOOKUP(B1698,小圆机汇总表!A:AP,5,FALSE))</f>
        <v/>
      </c>
      <c r="F1698" s="8" t="str">
        <f>IF(B1698="","",VLOOKUP(B1698,小圆机汇总表!A:AP,8,FALSE))</f>
        <v/>
      </c>
      <c r="J1698" s="8" t="str">
        <f t="shared" si="34"/>
        <v/>
      </c>
    </row>
    <row r="1699" spans="1:10">
      <c r="A1699" s="4">
        <v>1699</v>
      </c>
      <c r="C1699" s="8" t="s">
        <v>399</v>
      </c>
      <c r="D1699" s="8" t="str">
        <f>IF(B1699="","",VLOOKUP(B1699,小圆机汇总表!A:AP,7,FALSE))</f>
        <v/>
      </c>
      <c r="E1699" s="8" t="str">
        <f>IF(B1699="","",VLOOKUP(B1699,小圆机汇总表!A:AP,5,FALSE))</f>
        <v/>
      </c>
      <c r="F1699" s="8" t="str">
        <f>IF(B1699="","",VLOOKUP(B1699,小圆机汇总表!A:AP,8,FALSE))</f>
        <v/>
      </c>
      <c r="J1699" s="8" t="str">
        <f t="shared" ref="J1699:J1762" si="35">IF(B1699="","",MONTH(G1699))</f>
        <v/>
      </c>
    </row>
    <row r="1700" spans="1:10">
      <c r="A1700" s="4">
        <v>1700</v>
      </c>
      <c r="C1700" s="8" t="s">
        <v>399</v>
      </c>
      <c r="D1700" s="8" t="str">
        <f>IF(B1700="","",VLOOKUP(B1700,小圆机汇总表!A:AP,7,FALSE))</f>
        <v/>
      </c>
      <c r="E1700" s="8" t="str">
        <f>IF(B1700="","",VLOOKUP(B1700,小圆机汇总表!A:AP,5,FALSE))</f>
        <v/>
      </c>
      <c r="F1700" s="8" t="str">
        <f>IF(B1700="","",VLOOKUP(B1700,小圆机汇总表!A:AP,8,FALSE))</f>
        <v/>
      </c>
      <c r="J1700" s="8" t="str">
        <f t="shared" si="35"/>
        <v/>
      </c>
    </row>
    <row r="1701" spans="1:10">
      <c r="A1701" s="4">
        <v>1701</v>
      </c>
      <c r="C1701" s="8" t="s">
        <v>399</v>
      </c>
      <c r="D1701" s="8" t="str">
        <f>IF(B1701="","",VLOOKUP(B1701,小圆机汇总表!A:AP,7,FALSE))</f>
        <v/>
      </c>
      <c r="E1701" s="8" t="str">
        <f>IF(B1701="","",VLOOKUP(B1701,小圆机汇总表!A:AP,5,FALSE))</f>
        <v/>
      </c>
      <c r="F1701" s="8" t="str">
        <f>IF(B1701="","",VLOOKUP(B1701,小圆机汇总表!A:AP,8,FALSE))</f>
        <v/>
      </c>
      <c r="J1701" s="8" t="str">
        <f t="shared" si="35"/>
        <v/>
      </c>
    </row>
    <row r="1702" spans="1:10">
      <c r="A1702" s="4">
        <v>1702</v>
      </c>
      <c r="C1702" s="8" t="s">
        <v>399</v>
      </c>
      <c r="D1702" s="8" t="str">
        <f>IF(B1702="","",VLOOKUP(B1702,小圆机汇总表!A:AP,7,FALSE))</f>
        <v/>
      </c>
      <c r="E1702" s="8" t="str">
        <f>IF(B1702="","",VLOOKUP(B1702,小圆机汇总表!A:AP,5,FALSE))</f>
        <v/>
      </c>
      <c r="F1702" s="8" t="str">
        <f>IF(B1702="","",VLOOKUP(B1702,小圆机汇总表!A:AP,8,FALSE))</f>
        <v/>
      </c>
      <c r="J1702" s="8" t="str">
        <f t="shared" si="35"/>
        <v/>
      </c>
    </row>
    <row r="1703" spans="1:10">
      <c r="A1703" s="4">
        <v>1703</v>
      </c>
      <c r="C1703" s="8" t="s">
        <v>399</v>
      </c>
      <c r="D1703" s="8" t="str">
        <f>IF(B1703="","",VLOOKUP(B1703,小圆机汇总表!A:AP,7,FALSE))</f>
        <v/>
      </c>
      <c r="E1703" s="8" t="str">
        <f>IF(B1703="","",VLOOKUP(B1703,小圆机汇总表!A:AP,5,FALSE))</f>
        <v/>
      </c>
      <c r="F1703" s="8" t="str">
        <f>IF(B1703="","",VLOOKUP(B1703,小圆机汇总表!A:AP,8,FALSE))</f>
        <v/>
      </c>
      <c r="J1703" s="8" t="str">
        <f t="shared" si="35"/>
        <v/>
      </c>
    </row>
    <row r="1704" spans="1:10">
      <c r="A1704" s="4">
        <v>1704</v>
      </c>
      <c r="C1704" s="8" t="s">
        <v>399</v>
      </c>
      <c r="D1704" s="8" t="str">
        <f>IF(B1704="","",VLOOKUP(B1704,小圆机汇总表!A:AP,7,FALSE))</f>
        <v/>
      </c>
      <c r="E1704" s="8" t="str">
        <f>IF(B1704="","",VLOOKUP(B1704,小圆机汇总表!A:AP,5,FALSE))</f>
        <v/>
      </c>
      <c r="F1704" s="8" t="str">
        <f>IF(B1704="","",VLOOKUP(B1704,小圆机汇总表!A:AP,8,FALSE))</f>
        <v/>
      </c>
      <c r="J1704" s="8" t="str">
        <f t="shared" si="35"/>
        <v/>
      </c>
    </row>
    <row r="1705" spans="1:10">
      <c r="A1705" s="4">
        <v>1705</v>
      </c>
      <c r="C1705" s="8" t="s">
        <v>399</v>
      </c>
      <c r="D1705" s="8" t="str">
        <f>IF(B1705="","",VLOOKUP(B1705,小圆机汇总表!A:AP,7,FALSE))</f>
        <v/>
      </c>
      <c r="E1705" s="8" t="str">
        <f>IF(B1705="","",VLOOKUP(B1705,小圆机汇总表!A:AP,5,FALSE))</f>
        <v/>
      </c>
      <c r="F1705" s="8" t="str">
        <f>IF(B1705="","",VLOOKUP(B1705,小圆机汇总表!A:AP,8,FALSE))</f>
        <v/>
      </c>
      <c r="J1705" s="8" t="str">
        <f t="shared" si="35"/>
        <v/>
      </c>
    </row>
    <row r="1706" spans="1:10">
      <c r="A1706" s="4">
        <v>1706</v>
      </c>
      <c r="C1706" s="8" t="s">
        <v>399</v>
      </c>
      <c r="D1706" s="8" t="str">
        <f>IF(B1706="","",VLOOKUP(B1706,小圆机汇总表!A:AP,7,FALSE))</f>
        <v/>
      </c>
      <c r="E1706" s="8" t="str">
        <f>IF(B1706="","",VLOOKUP(B1706,小圆机汇总表!A:AP,5,FALSE))</f>
        <v/>
      </c>
      <c r="F1706" s="8" t="str">
        <f>IF(B1706="","",VLOOKUP(B1706,小圆机汇总表!A:AP,8,FALSE))</f>
        <v/>
      </c>
      <c r="J1706" s="8" t="str">
        <f t="shared" si="35"/>
        <v/>
      </c>
    </row>
    <row r="1707" spans="1:10">
      <c r="A1707" s="4">
        <v>1707</v>
      </c>
      <c r="C1707" s="8" t="s">
        <v>399</v>
      </c>
      <c r="D1707" s="8" t="str">
        <f>IF(B1707="","",VLOOKUP(B1707,小圆机汇总表!A:AP,7,FALSE))</f>
        <v/>
      </c>
      <c r="E1707" s="8" t="str">
        <f>IF(B1707="","",VLOOKUP(B1707,小圆机汇总表!A:AP,5,FALSE))</f>
        <v/>
      </c>
      <c r="F1707" s="8" t="str">
        <f>IF(B1707="","",VLOOKUP(B1707,小圆机汇总表!A:AP,8,FALSE))</f>
        <v/>
      </c>
      <c r="J1707" s="8" t="str">
        <f t="shared" si="35"/>
        <v/>
      </c>
    </row>
    <row r="1708" spans="1:10">
      <c r="A1708" s="4">
        <v>1708</v>
      </c>
      <c r="C1708" s="8" t="s">
        <v>399</v>
      </c>
      <c r="D1708" s="8" t="str">
        <f>IF(B1708="","",VLOOKUP(B1708,小圆机汇总表!A:AP,7,FALSE))</f>
        <v/>
      </c>
      <c r="E1708" s="8" t="str">
        <f>IF(B1708="","",VLOOKUP(B1708,小圆机汇总表!A:AP,5,FALSE))</f>
        <v/>
      </c>
      <c r="F1708" s="8" t="str">
        <f>IF(B1708="","",VLOOKUP(B1708,小圆机汇总表!A:AP,8,FALSE))</f>
        <v/>
      </c>
      <c r="J1708" s="8" t="str">
        <f t="shared" si="35"/>
        <v/>
      </c>
    </row>
    <row r="1709" spans="1:10">
      <c r="A1709" s="4">
        <v>1709</v>
      </c>
      <c r="C1709" s="8" t="s">
        <v>399</v>
      </c>
      <c r="D1709" s="8" t="str">
        <f>IF(B1709="","",VLOOKUP(B1709,小圆机汇总表!A:AP,7,FALSE))</f>
        <v/>
      </c>
      <c r="E1709" s="8" t="str">
        <f>IF(B1709="","",VLOOKUP(B1709,小圆机汇总表!A:AP,5,FALSE))</f>
        <v/>
      </c>
      <c r="F1709" s="8" t="str">
        <f>IF(B1709="","",VLOOKUP(B1709,小圆机汇总表!A:AP,8,FALSE))</f>
        <v/>
      </c>
      <c r="J1709" s="8" t="str">
        <f t="shared" si="35"/>
        <v/>
      </c>
    </row>
    <row r="1710" spans="1:10">
      <c r="A1710" s="4">
        <v>1710</v>
      </c>
      <c r="C1710" s="8" t="s">
        <v>399</v>
      </c>
      <c r="D1710" s="8" t="str">
        <f>IF(B1710="","",VLOOKUP(B1710,小圆机汇总表!A:AP,7,FALSE))</f>
        <v/>
      </c>
      <c r="E1710" s="8" t="str">
        <f>IF(B1710="","",VLOOKUP(B1710,小圆机汇总表!A:AP,5,FALSE))</f>
        <v/>
      </c>
      <c r="F1710" s="8" t="str">
        <f>IF(B1710="","",VLOOKUP(B1710,小圆机汇总表!A:AP,8,FALSE))</f>
        <v/>
      </c>
      <c r="J1710" s="8" t="str">
        <f t="shared" si="35"/>
        <v/>
      </c>
    </row>
    <row r="1711" spans="1:10">
      <c r="A1711" s="4">
        <v>1711</v>
      </c>
      <c r="C1711" s="8" t="s">
        <v>399</v>
      </c>
      <c r="D1711" s="8" t="str">
        <f>IF(B1711="","",VLOOKUP(B1711,小圆机汇总表!A:AP,7,FALSE))</f>
        <v/>
      </c>
      <c r="E1711" s="8" t="str">
        <f>IF(B1711="","",VLOOKUP(B1711,小圆机汇总表!A:AP,5,FALSE))</f>
        <v/>
      </c>
      <c r="F1711" s="8" t="str">
        <f>IF(B1711="","",VLOOKUP(B1711,小圆机汇总表!A:AP,8,FALSE))</f>
        <v/>
      </c>
      <c r="J1711" s="8" t="str">
        <f t="shared" si="35"/>
        <v/>
      </c>
    </row>
    <row r="1712" spans="1:10">
      <c r="A1712" s="4">
        <v>1712</v>
      </c>
      <c r="C1712" s="8" t="s">
        <v>399</v>
      </c>
      <c r="D1712" s="8" t="str">
        <f>IF(B1712="","",VLOOKUP(B1712,小圆机汇总表!A:AP,7,FALSE))</f>
        <v/>
      </c>
      <c r="E1712" s="8" t="str">
        <f>IF(B1712="","",VLOOKUP(B1712,小圆机汇总表!A:AP,5,FALSE))</f>
        <v/>
      </c>
      <c r="F1712" s="8" t="str">
        <f>IF(B1712="","",VLOOKUP(B1712,小圆机汇总表!A:AP,8,FALSE))</f>
        <v/>
      </c>
      <c r="J1712" s="8" t="str">
        <f t="shared" si="35"/>
        <v/>
      </c>
    </row>
    <row r="1713" spans="1:10">
      <c r="A1713" s="4">
        <v>1713</v>
      </c>
      <c r="C1713" s="8" t="s">
        <v>399</v>
      </c>
      <c r="D1713" s="8" t="str">
        <f>IF(B1713="","",VLOOKUP(B1713,小圆机汇总表!A:AP,7,FALSE))</f>
        <v/>
      </c>
      <c r="E1713" s="8" t="str">
        <f>IF(B1713="","",VLOOKUP(B1713,小圆机汇总表!A:AP,5,FALSE))</f>
        <v/>
      </c>
      <c r="F1713" s="8" t="str">
        <f>IF(B1713="","",VLOOKUP(B1713,小圆机汇总表!A:AP,8,FALSE))</f>
        <v/>
      </c>
      <c r="J1713" s="8" t="str">
        <f t="shared" si="35"/>
        <v/>
      </c>
    </row>
    <row r="1714" spans="1:10">
      <c r="A1714" s="4">
        <v>1714</v>
      </c>
      <c r="C1714" s="8" t="s">
        <v>399</v>
      </c>
      <c r="D1714" s="8" t="str">
        <f>IF(B1714="","",VLOOKUP(B1714,小圆机汇总表!A:AP,7,FALSE))</f>
        <v/>
      </c>
      <c r="E1714" s="8" t="str">
        <f>IF(B1714="","",VLOOKUP(B1714,小圆机汇总表!A:AP,5,FALSE))</f>
        <v/>
      </c>
      <c r="F1714" s="8" t="str">
        <f>IF(B1714="","",VLOOKUP(B1714,小圆机汇总表!A:AP,8,FALSE))</f>
        <v/>
      </c>
      <c r="J1714" s="8" t="str">
        <f t="shared" si="35"/>
        <v/>
      </c>
    </row>
    <row r="1715" spans="1:10">
      <c r="A1715" s="4">
        <v>1715</v>
      </c>
      <c r="C1715" s="8" t="s">
        <v>399</v>
      </c>
      <c r="D1715" s="8" t="str">
        <f>IF(B1715="","",VLOOKUP(B1715,小圆机汇总表!A:AP,7,FALSE))</f>
        <v/>
      </c>
      <c r="E1715" s="8" t="str">
        <f>IF(B1715="","",VLOOKUP(B1715,小圆机汇总表!A:AP,5,FALSE))</f>
        <v/>
      </c>
      <c r="F1715" s="8" t="str">
        <f>IF(B1715="","",VLOOKUP(B1715,小圆机汇总表!A:AP,8,FALSE))</f>
        <v/>
      </c>
      <c r="J1715" s="8" t="str">
        <f t="shared" si="35"/>
        <v/>
      </c>
    </row>
    <row r="1716" spans="1:10">
      <c r="A1716" s="4">
        <v>1716</v>
      </c>
      <c r="C1716" s="8" t="s">
        <v>399</v>
      </c>
      <c r="D1716" s="8" t="str">
        <f>IF(B1716="","",VLOOKUP(B1716,小圆机汇总表!A:AP,7,FALSE))</f>
        <v/>
      </c>
      <c r="E1716" s="8" t="str">
        <f>IF(B1716="","",VLOOKUP(B1716,小圆机汇总表!A:AP,5,FALSE))</f>
        <v/>
      </c>
      <c r="F1716" s="8" t="str">
        <f>IF(B1716="","",VLOOKUP(B1716,小圆机汇总表!A:AP,8,FALSE))</f>
        <v/>
      </c>
      <c r="J1716" s="8" t="str">
        <f t="shared" si="35"/>
        <v/>
      </c>
    </row>
    <row r="1717" spans="1:10">
      <c r="A1717" s="4">
        <v>1717</v>
      </c>
      <c r="C1717" s="8" t="s">
        <v>399</v>
      </c>
      <c r="D1717" s="8" t="str">
        <f>IF(B1717="","",VLOOKUP(B1717,小圆机汇总表!A:AP,7,FALSE))</f>
        <v/>
      </c>
      <c r="E1717" s="8" t="str">
        <f>IF(B1717="","",VLOOKUP(B1717,小圆机汇总表!A:AP,5,FALSE))</f>
        <v/>
      </c>
      <c r="F1717" s="8" t="str">
        <f>IF(B1717="","",VLOOKUP(B1717,小圆机汇总表!A:AP,8,FALSE))</f>
        <v/>
      </c>
      <c r="J1717" s="8" t="str">
        <f t="shared" si="35"/>
        <v/>
      </c>
    </row>
    <row r="1718" spans="1:10">
      <c r="A1718" s="4">
        <v>1718</v>
      </c>
      <c r="C1718" s="8" t="s">
        <v>399</v>
      </c>
      <c r="D1718" s="8" t="str">
        <f>IF(B1718="","",VLOOKUP(B1718,小圆机汇总表!A:AP,7,FALSE))</f>
        <v/>
      </c>
      <c r="E1718" s="8" t="str">
        <f>IF(B1718="","",VLOOKUP(B1718,小圆机汇总表!A:AP,5,FALSE))</f>
        <v/>
      </c>
      <c r="F1718" s="8" t="str">
        <f>IF(B1718="","",VLOOKUP(B1718,小圆机汇总表!A:AP,8,FALSE))</f>
        <v/>
      </c>
      <c r="J1718" s="8" t="str">
        <f t="shared" si="35"/>
        <v/>
      </c>
    </row>
    <row r="1719" spans="1:10">
      <c r="A1719" s="4">
        <v>1719</v>
      </c>
      <c r="C1719" s="8" t="s">
        <v>399</v>
      </c>
      <c r="D1719" s="8" t="str">
        <f>IF(B1719="","",VLOOKUP(B1719,小圆机汇总表!A:AP,7,FALSE))</f>
        <v/>
      </c>
      <c r="E1719" s="8" t="str">
        <f>IF(B1719="","",VLOOKUP(B1719,小圆机汇总表!A:AP,5,FALSE))</f>
        <v/>
      </c>
      <c r="F1719" s="8" t="str">
        <f>IF(B1719="","",VLOOKUP(B1719,小圆机汇总表!A:AP,8,FALSE))</f>
        <v/>
      </c>
      <c r="J1719" s="8" t="str">
        <f t="shared" si="35"/>
        <v/>
      </c>
    </row>
    <row r="1720" spans="1:10">
      <c r="A1720" s="4">
        <v>1720</v>
      </c>
      <c r="C1720" s="8" t="s">
        <v>399</v>
      </c>
      <c r="D1720" s="8" t="str">
        <f>IF(B1720="","",VLOOKUP(B1720,小圆机汇总表!A:AP,7,FALSE))</f>
        <v/>
      </c>
      <c r="E1720" s="8" t="str">
        <f>IF(B1720="","",VLOOKUP(B1720,小圆机汇总表!A:AP,5,FALSE))</f>
        <v/>
      </c>
      <c r="F1720" s="8" t="str">
        <f>IF(B1720="","",VLOOKUP(B1720,小圆机汇总表!A:AP,8,FALSE))</f>
        <v/>
      </c>
      <c r="J1720" s="8" t="str">
        <f t="shared" si="35"/>
        <v/>
      </c>
    </row>
    <row r="1721" spans="1:10">
      <c r="A1721" s="4">
        <v>1721</v>
      </c>
      <c r="C1721" s="8" t="s">
        <v>399</v>
      </c>
      <c r="D1721" s="8" t="str">
        <f>IF(B1721="","",VLOOKUP(B1721,小圆机汇总表!A:AP,7,FALSE))</f>
        <v/>
      </c>
      <c r="E1721" s="8" t="str">
        <f>IF(B1721="","",VLOOKUP(B1721,小圆机汇总表!A:AP,5,FALSE))</f>
        <v/>
      </c>
      <c r="F1721" s="8" t="str">
        <f>IF(B1721="","",VLOOKUP(B1721,小圆机汇总表!A:AP,8,FALSE))</f>
        <v/>
      </c>
      <c r="J1721" s="8" t="str">
        <f t="shared" si="35"/>
        <v/>
      </c>
    </row>
    <row r="1722" spans="1:10">
      <c r="A1722" s="4">
        <v>1722</v>
      </c>
      <c r="C1722" s="8" t="s">
        <v>399</v>
      </c>
      <c r="D1722" s="8" t="str">
        <f>IF(B1722="","",VLOOKUP(B1722,小圆机汇总表!A:AP,7,FALSE))</f>
        <v/>
      </c>
      <c r="E1722" s="8" t="str">
        <f>IF(B1722="","",VLOOKUP(B1722,小圆机汇总表!A:AP,5,FALSE))</f>
        <v/>
      </c>
      <c r="F1722" s="8" t="str">
        <f>IF(B1722="","",VLOOKUP(B1722,小圆机汇总表!A:AP,8,FALSE))</f>
        <v/>
      </c>
      <c r="J1722" s="8" t="str">
        <f t="shared" si="35"/>
        <v/>
      </c>
    </row>
    <row r="1723" spans="1:10">
      <c r="A1723" s="4">
        <v>1723</v>
      </c>
      <c r="C1723" s="8" t="s">
        <v>399</v>
      </c>
      <c r="D1723" s="8" t="str">
        <f>IF(B1723="","",VLOOKUP(B1723,小圆机汇总表!A:AP,7,FALSE))</f>
        <v/>
      </c>
      <c r="E1723" s="8" t="str">
        <f>IF(B1723="","",VLOOKUP(B1723,小圆机汇总表!A:AP,5,FALSE))</f>
        <v/>
      </c>
      <c r="F1723" s="8" t="str">
        <f>IF(B1723="","",VLOOKUP(B1723,小圆机汇总表!A:AP,8,FALSE))</f>
        <v/>
      </c>
      <c r="J1723" s="8" t="str">
        <f t="shared" si="35"/>
        <v/>
      </c>
    </row>
    <row r="1724" spans="1:10">
      <c r="A1724" s="4">
        <v>1724</v>
      </c>
      <c r="C1724" s="8" t="s">
        <v>399</v>
      </c>
      <c r="D1724" s="8" t="str">
        <f>IF(B1724="","",VLOOKUP(B1724,小圆机汇总表!A:AP,7,FALSE))</f>
        <v/>
      </c>
      <c r="E1724" s="8" t="str">
        <f>IF(B1724="","",VLOOKUP(B1724,小圆机汇总表!A:AP,5,FALSE))</f>
        <v/>
      </c>
      <c r="F1724" s="8" t="str">
        <f>IF(B1724="","",VLOOKUP(B1724,小圆机汇总表!A:AP,8,FALSE))</f>
        <v/>
      </c>
      <c r="J1724" s="8" t="str">
        <f t="shared" si="35"/>
        <v/>
      </c>
    </row>
    <row r="1725" spans="1:10">
      <c r="A1725" s="4">
        <v>1725</v>
      </c>
      <c r="C1725" s="8" t="s">
        <v>399</v>
      </c>
      <c r="D1725" s="8" t="str">
        <f>IF(B1725="","",VLOOKUP(B1725,小圆机汇总表!A:AP,7,FALSE))</f>
        <v/>
      </c>
      <c r="E1725" s="8" t="str">
        <f>IF(B1725="","",VLOOKUP(B1725,小圆机汇总表!A:AP,5,FALSE))</f>
        <v/>
      </c>
      <c r="F1725" s="8" t="str">
        <f>IF(B1725="","",VLOOKUP(B1725,小圆机汇总表!A:AP,8,FALSE))</f>
        <v/>
      </c>
      <c r="J1725" s="8" t="str">
        <f t="shared" si="35"/>
        <v/>
      </c>
    </row>
    <row r="1726" spans="1:10">
      <c r="A1726" s="4">
        <v>1726</v>
      </c>
      <c r="C1726" s="8" t="s">
        <v>399</v>
      </c>
      <c r="D1726" s="8" t="str">
        <f>IF(B1726="","",VLOOKUP(B1726,小圆机汇总表!A:AP,7,FALSE))</f>
        <v/>
      </c>
      <c r="E1726" s="8" t="str">
        <f>IF(B1726="","",VLOOKUP(B1726,小圆机汇总表!A:AP,5,FALSE))</f>
        <v/>
      </c>
      <c r="F1726" s="8" t="str">
        <f>IF(B1726="","",VLOOKUP(B1726,小圆机汇总表!A:AP,8,FALSE))</f>
        <v/>
      </c>
      <c r="J1726" s="8" t="str">
        <f t="shared" si="35"/>
        <v/>
      </c>
    </row>
    <row r="1727" spans="1:10">
      <c r="A1727" s="4">
        <v>1727</v>
      </c>
      <c r="C1727" s="8" t="s">
        <v>399</v>
      </c>
      <c r="D1727" s="8" t="str">
        <f>IF(B1727="","",VLOOKUP(B1727,小圆机汇总表!A:AP,7,FALSE))</f>
        <v/>
      </c>
      <c r="E1727" s="8" t="str">
        <f>IF(B1727="","",VLOOKUP(B1727,小圆机汇总表!A:AP,5,FALSE))</f>
        <v/>
      </c>
      <c r="F1727" s="8" t="str">
        <f>IF(B1727="","",VLOOKUP(B1727,小圆机汇总表!A:AP,8,FALSE))</f>
        <v/>
      </c>
      <c r="J1727" s="8" t="str">
        <f t="shared" si="35"/>
        <v/>
      </c>
    </row>
    <row r="1728" spans="1:10">
      <c r="A1728" s="4">
        <v>1728</v>
      </c>
      <c r="C1728" s="8" t="s">
        <v>399</v>
      </c>
      <c r="D1728" s="8" t="str">
        <f>IF(B1728="","",VLOOKUP(B1728,小圆机汇总表!A:AP,7,FALSE))</f>
        <v/>
      </c>
      <c r="E1728" s="8" t="str">
        <f>IF(B1728="","",VLOOKUP(B1728,小圆机汇总表!A:AP,5,FALSE))</f>
        <v/>
      </c>
      <c r="F1728" s="8" t="str">
        <f>IF(B1728="","",VLOOKUP(B1728,小圆机汇总表!A:AP,8,FALSE))</f>
        <v/>
      </c>
      <c r="J1728" s="8" t="str">
        <f t="shared" si="35"/>
        <v/>
      </c>
    </row>
    <row r="1729" spans="1:10">
      <c r="A1729" s="4">
        <v>1729</v>
      </c>
      <c r="C1729" s="8" t="s">
        <v>399</v>
      </c>
      <c r="D1729" s="8" t="str">
        <f>IF(B1729="","",VLOOKUP(B1729,小圆机汇总表!A:AP,7,FALSE))</f>
        <v/>
      </c>
      <c r="E1729" s="8" t="str">
        <f>IF(B1729="","",VLOOKUP(B1729,小圆机汇总表!A:AP,5,FALSE))</f>
        <v/>
      </c>
      <c r="F1729" s="8" t="str">
        <f>IF(B1729="","",VLOOKUP(B1729,小圆机汇总表!A:AP,8,FALSE))</f>
        <v/>
      </c>
      <c r="J1729" s="8" t="str">
        <f t="shared" si="35"/>
        <v/>
      </c>
    </row>
    <row r="1730" spans="1:10">
      <c r="A1730" s="4">
        <v>1730</v>
      </c>
      <c r="C1730" s="8" t="s">
        <v>399</v>
      </c>
      <c r="D1730" s="8" t="str">
        <f>IF(B1730="","",VLOOKUP(B1730,小圆机汇总表!A:AP,7,FALSE))</f>
        <v/>
      </c>
      <c r="E1730" s="8" t="str">
        <f>IF(B1730="","",VLOOKUP(B1730,小圆机汇总表!A:AP,5,FALSE))</f>
        <v/>
      </c>
      <c r="F1730" s="8" t="str">
        <f>IF(B1730="","",VLOOKUP(B1730,小圆机汇总表!A:AP,8,FALSE))</f>
        <v/>
      </c>
      <c r="J1730" s="8" t="str">
        <f t="shared" si="35"/>
        <v/>
      </c>
    </row>
    <row r="1731" spans="1:10">
      <c r="A1731" s="4">
        <v>1731</v>
      </c>
      <c r="C1731" s="8" t="s">
        <v>399</v>
      </c>
      <c r="D1731" s="8" t="str">
        <f>IF(B1731="","",VLOOKUP(B1731,小圆机汇总表!A:AP,7,FALSE))</f>
        <v/>
      </c>
      <c r="E1731" s="8" t="str">
        <f>IF(B1731="","",VLOOKUP(B1731,小圆机汇总表!A:AP,5,FALSE))</f>
        <v/>
      </c>
      <c r="F1731" s="8" t="str">
        <f>IF(B1731="","",VLOOKUP(B1731,小圆机汇总表!A:AP,8,FALSE))</f>
        <v/>
      </c>
      <c r="J1731" s="8" t="str">
        <f t="shared" si="35"/>
        <v/>
      </c>
    </row>
    <row r="1732" spans="1:10">
      <c r="A1732" s="4">
        <v>1732</v>
      </c>
      <c r="C1732" s="8" t="s">
        <v>399</v>
      </c>
      <c r="D1732" s="8" t="str">
        <f>IF(B1732="","",VLOOKUP(B1732,小圆机汇总表!A:AP,7,FALSE))</f>
        <v/>
      </c>
      <c r="E1732" s="8" t="str">
        <f>IF(B1732="","",VLOOKUP(B1732,小圆机汇总表!A:AP,5,FALSE))</f>
        <v/>
      </c>
      <c r="F1732" s="8" t="str">
        <f>IF(B1732="","",VLOOKUP(B1732,小圆机汇总表!A:AP,8,FALSE))</f>
        <v/>
      </c>
      <c r="J1732" s="8" t="str">
        <f t="shared" si="35"/>
        <v/>
      </c>
    </row>
    <row r="1733" spans="1:10">
      <c r="A1733" s="4">
        <v>1733</v>
      </c>
      <c r="C1733" s="8" t="s">
        <v>399</v>
      </c>
      <c r="D1733" s="8" t="str">
        <f>IF(B1733="","",VLOOKUP(B1733,小圆机汇总表!A:AP,7,FALSE))</f>
        <v/>
      </c>
      <c r="E1733" s="8" t="str">
        <f>IF(B1733="","",VLOOKUP(B1733,小圆机汇总表!A:AP,5,FALSE))</f>
        <v/>
      </c>
      <c r="F1733" s="8" t="str">
        <f>IF(B1733="","",VLOOKUP(B1733,小圆机汇总表!A:AP,8,FALSE))</f>
        <v/>
      </c>
      <c r="J1733" s="8" t="str">
        <f t="shared" si="35"/>
        <v/>
      </c>
    </row>
    <row r="1734" spans="1:10">
      <c r="A1734" s="4">
        <v>1734</v>
      </c>
      <c r="C1734" s="8" t="s">
        <v>399</v>
      </c>
      <c r="D1734" s="8" t="str">
        <f>IF(B1734="","",VLOOKUP(B1734,小圆机汇总表!A:AP,7,FALSE))</f>
        <v/>
      </c>
      <c r="E1734" s="8" t="str">
        <f>IF(B1734="","",VLOOKUP(B1734,小圆机汇总表!A:AP,5,FALSE))</f>
        <v/>
      </c>
      <c r="F1734" s="8" t="str">
        <f>IF(B1734="","",VLOOKUP(B1734,小圆机汇总表!A:AP,8,FALSE))</f>
        <v/>
      </c>
      <c r="J1734" s="8" t="str">
        <f t="shared" si="35"/>
        <v/>
      </c>
    </row>
    <row r="1735" spans="1:10">
      <c r="A1735" s="4">
        <v>1735</v>
      </c>
      <c r="C1735" s="8" t="s">
        <v>399</v>
      </c>
      <c r="D1735" s="8" t="str">
        <f>IF(B1735="","",VLOOKUP(B1735,小圆机汇总表!A:AP,7,FALSE))</f>
        <v/>
      </c>
      <c r="E1735" s="8" t="str">
        <f>IF(B1735="","",VLOOKUP(B1735,小圆机汇总表!A:AP,5,FALSE))</f>
        <v/>
      </c>
      <c r="F1735" s="8" t="str">
        <f>IF(B1735="","",VLOOKUP(B1735,小圆机汇总表!A:AP,8,FALSE))</f>
        <v/>
      </c>
      <c r="J1735" s="8" t="str">
        <f t="shared" si="35"/>
        <v/>
      </c>
    </row>
    <row r="1736" spans="1:10">
      <c r="A1736" s="4">
        <v>1736</v>
      </c>
      <c r="C1736" s="8" t="s">
        <v>399</v>
      </c>
      <c r="D1736" s="8" t="str">
        <f>IF(B1736="","",VLOOKUP(B1736,小圆机汇总表!A:AP,7,FALSE))</f>
        <v/>
      </c>
      <c r="E1736" s="8" t="str">
        <f>IF(B1736="","",VLOOKUP(B1736,小圆机汇总表!A:AP,5,FALSE))</f>
        <v/>
      </c>
      <c r="F1736" s="8" t="str">
        <f>IF(B1736="","",VLOOKUP(B1736,小圆机汇总表!A:AP,8,FALSE))</f>
        <v/>
      </c>
      <c r="J1736" s="8" t="str">
        <f t="shared" si="35"/>
        <v/>
      </c>
    </row>
    <row r="1737" spans="1:10">
      <c r="A1737" s="4">
        <v>1737</v>
      </c>
      <c r="C1737" s="8" t="s">
        <v>399</v>
      </c>
      <c r="D1737" s="8" t="str">
        <f>IF(B1737="","",VLOOKUP(B1737,小圆机汇总表!A:AP,7,FALSE))</f>
        <v/>
      </c>
      <c r="E1737" s="8" t="str">
        <f>IF(B1737="","",VLOOKUP(B1737,小圆机汇总表!A:AP,5,FALSE))</f>
        <v/>
      </c>
      <c r="F1737" s="8" t="str">
        <f>IF(B1737="","",VLOOKUP(B1737,小圆机汇总表!A:AP,8,FALSE))</f>
        <v/>
      </c>
      <c r="J1737" s="8" t="str">
        <f t="shared" si="35"/>
        <v/>
      </c>
    </row>
    <row r="1738" spans="1:10">
      <c r="A1738" s="4">
        <v>1738</v>
      </c>
      <c r="C1738" s="8" t="s">
        <v>399</v>
      </c>
      <c r="D1738" s="8" t="str">
        <f>IF(B1738="","",VLOOKUP(B1738,小圆机汇总表!A:AP,7,FALSE))</f>
        <v/>
      </c>
      <c r="E1738" s="8" t="str">
        <f>IF(B1738="","",VLOOKUP(B1738,小圆机汇总表!A:AP,5,FALSE))</f>
        <v/>
      </c>
      <c r="F1738" s="8" t="str">
        <f>IF(B1738="","",VLOOKUP(B1738,小圆机汇总表!A:AP,8,FALSE))</f>
        <v/>
      </c>
      <c r="J1738" s="8" t="str">
        <f t="shared" si="35"/>
        <v/>
      </c>
    </row>
    <row r="1739" spans="1:10">
      <c r="A1739" s="4">
        <v>1739</v>
      </c>
      <c r="C1739" s="8" t="s">
        <v>399</v>
      </c>
      <c r="D1739" s="8" t="str">
        <f>IF(B1739="","",VLOOKUP(B1739,小圆机汇总表!A:AP,7,FALSE))</f>
        <v/>
      </c>
      <c r="E1739" s="8" t="str">
        <f>IF(B1739="","",VLOOKUP(B1739,小圆机汇总表!A:AP,5,FALSE))</f>
        <v/>
      </c>
      <c r="F1739" s="8" t="str">
        <f>IF(B1739="","",VLOOKUP(B1739,小圆机汇总表!A:AP,8,FALSE))</f>
        <v/>
      </c>
      <c r="J1739" s="8" t="str">
        <f t="shared" si="35"/>
        <v/>
      </c>
    </row>
    <row r="1740" spans="1:10">
      <c r="A1740" s="4">
        <v>1740</v>
      </c>
      <c r="C1740" s="8" t="s">
        <v>399</v>
      </c>
      <c r="D1740" s="8" t="str">
        <f>IF(B1740="","",VLOOKUP(B1740,小圆机汇总表!A:AP,7,FALSE))</f>
        <v/>
      </c>
      <c r="E1740" s="8" t="str">
        <f>IF(B1740="","",VLOOKUP(B1740,小圆机汇总表!A:AP,5,FALSE))</f>
        <v/>
      </c>
      <c r="F1740" s="8" t="str">
        <f>IF(B1740="","",VLOOKUP(B1740,小圆机汇总表!A:AP,8,FALSE))</f>
        <v/>
      </c>
      <c r="J1740" s="8" t="str">
        <f t="shared" si="35"/>
        <v/>
      </c>
    </row>
    <row r="1741" spans="1:10">
      <c r="A1741" s="4">
        <v>1741</v>
      </c>
      <c r="C1741" s="8" t="s">
        <v>399</v>
      </c>
      <c r="D1741" s="8" t="str">
        <f>IF(B1741="","",VLOOKUP(B1741,小圆机汇总表!A:AP,7,FALSE))</f>
        <v/>
      </c>
      <c r="E1741" s="8" t="str">
        <f>IF(B1741="","",VLOOKUP(B1741,小圆机汇总表!A:AP,5,FALSE))</f>
        <v/>
      </c>
      <c r="F1741" s="8" t="str">
        <f>IF(B1741="","",VLOOKUP(B1741,小圆机汇总表!A:AP,8,FALSE))</f>
        <v/>
      </c>
      <c r="J1741" s="8" t="str">
        <f t="shared" si="35"/>
        <v/>
      </c>
    </row>
    <row r="1742" spans="1:10">
      <c r="A1742" s="4">
        <v>1742</v>
      </c>
      <c r="C1742" s="8" t="s">
        <v>399</v>
      </c>
      <c r="D1742" s="8" t="str">
        <f>IF(B1742="","",VLOOKUP(B1742,小圆机汇总表!A:AP,7,FALSE))</f>
        <v/>
      </c>
      <c r="E1742" s="8" t="str">
        <f>IF(B1742="","",VLOOKUP(B1742,小圆机汇总表!A:AP,5,FALSE))</f>
        <v/>
      </c>
      <c r="F1742" s="8" t="str">
        <f>IF(B1742="","",VLOOKUP(B1742,小圆机汇总表!A:AP,8,FALSE))</f>
        <v/>
      </c>
      <c r="J1742" s="8" t="str">
        <f t="shared" si="35"/>
        <v/>
      </c>
    </row>
    <row r="1743" spans="1:10">
      <c r="A1743" s="4">
        <v>1743</v>
      </c>
      <c r="C1743" s="8" t="s">
        <v>399</v>
      </c>
      <c r="D1743" s="8" t="str">
        <f>IF(B1743="","",VLOOKUP(B1743,小圆机汇总表!A:AP,7,FALSE))</f>
        <v/>
      </c>
      <c r="E1743" s="8" t="str">
        <f>IF(B1743="","",VLOOKUP(B1743,小圆机汇总表!A:AP,5,FALSE))</f>
        <v/>
      </c>
      <c r="F1743" s="8" t="str">
        <f>IF(B1743="","",VLOOKUP(B1743,小圆机汇总表!A:AP,8,FALSE))</f>
        <v/>
      </c>
      <c r="J1743" s="8" t="str">
        <f t="shared" si="35"/>
        <v/>
      </c>
    </row>
    <row r="1744" spans="1:10">
      <c r="A1744" s="4">
        <v>1744</v>
      </c>
      <c r="C1744" s="8" t="s">
        <v>399</v>
      </c>
      <c r="D1744" s="8" t="str">
        <f>IF(B1744="","",VLOOKUP(B1744,小圆机汇总表!A:AP,7,FALSE))</f>
        <v/>
      </c>
      <c r="E1744" s="8" t="str">
        <f>IF(B1744="","",VLOOKUP(B1744,小圆机汇总表!A:AP,5,FALSE))</f>
        <v/>
      </c>
      <c r="F1744" s="8" t="str">
        <f>IF(B1744="","",VLOOKUP(B1744,小圆机汇总表!A:AP,8,FALSE))</f>
        <v/>
      </c>
      <c r="J1744" s="8" t="str">
        <f t="shared" si="35"/>
        <v/>
      </c>
    </row>
    <row r="1745" spans="1:10">
      <c r="A1745" s="4">
        <v>1745</v>
      </c>
      <c r="C1745" s="8" t="s">
        <v>399</v>
      </c>
      <c r="D1745" s="8" t="str">
        <f>IF(B1745="","",VLOOKUP(B1745,小圆机汇总表!A:AP,7,FALSE))</f>
        <v/>
      </c>
      <c r="E1745" s="8" t="str">
        <f>IF(B1745="","",VLOOKUP(B1745,小圆机汇总表!A:AP,5,FALSE))</f>
        <v/>
      </c>
      <c r="F1745" s="8" t="str">
        <f>IF(B1745="","",VLOOKUP(B1745,小圆机汇总表!A:AP,8,FALSE))</f>
        <v/>
      </c>
      <c r="J1745" s="8" t="str">
        <f t="shared" si="35"/>
        <v/>
      </c>
    </row>
    <row r="1746" spans="1:10">
      <c r="A1746" s="4">
        <v>1746</v>
      </c>
      <c r="C1746" s="8" t="s">
        <v>399</v>
      </c>
      <c r="D1746" s="8" t="str">
        <f>IF(B1746="","",VLOOKUP(B1746,小圆机汇总表!A:AP,7,FALSE))</f>
        <v/>
      </c>
      <c r="E1746" s="8" t="str">
        <f>IF(B1746="","",VLOOKUP(B1746,小圆机汇总表!A:AP,5,FALSE))</f>
        <v/>
      </c>
      <c r="F1746" s="8" t="str">
        <f>IF(B1746="","",VLOOKUP(B1746,小圆机汇总表!A:AP,8,FALSE))</f>
        <v/>
      </c>
      <c r="J1746" s="8" t="str">
        <f t="shared" si="35"/>
        <v/>
      </c>
    </row>
    <row r="1747" spans="1:10">
      <c r="A1747" s="4">
        <v>1747</v>
      </c>
      <c r="C1747" s="8" t="s">
        <v>399</v>
      </c>
      <c r="D1747" s="8" t="str">
        <f>IF(B1747="","",VLOOKUP(B1747,小圆机汇总表!A:AP,7,FALSE))</f>
        <v/>
      </c>
      <c r="E1747" s="8" t="str">
        <f>IF(B1747="","",VLOOKUP(B1747,小圆机汇总表!A:AP,5,FALSE))</f>
        <v/>
      </c>
      <c r="F1747" s="8" t="str">
        <f>IF(B1747="","",VLOOKUP(B1747,小圆机汇总表!A:AP,8,FALSE))</f>
        <v/>
      </c>
      <c r="J1747" s="8" t="str">
        <f t="shared" si="35"/>
        <v/>
      </c>
    </row>
    <row r="1748" spans="1:10">
      <c r="A1748" s="4">
        <v>1748</v>
      </c>
      <c r="C1748" s="8" t="s">
        <v>399</v>
      </c>
      <c r="D1748" s="8" t="str">
        <f>IF(B1748="","",VLOOKUP(B1748,小圆机汇总表!A:AP,7,FALSE))</f>
        <v/>
      </c>
      <c r="E1748" s="8" t="str">
        <f>IF(B1748="","",VLOOKUP(B1748,小圆机汇总表!A:AP,5,FALSE))</f>
        <v/>
      </c>
      <c r="F1748" s="8" t="str">
        <f>IF(B1748="","",VLOOKUP(B1748,小圆机汇总表!A:AP,8,FALSE))</f>
        <v/>
      </c>
      <c r="J1748" s="8" t="str">
        <f t="shared" si="35"/>
        <v/>
      </c>
    </row>
    <row r="1749" spans="1:10">
      <c r="A1749" s="4">
        <v>1749</v>
      </c>
      <c r="C1749" s="8" t="s">
        <v>399</v>
      </c>
      <c r="D1749" s="8" t="str">
        <f>IF(B1749="","",VLOOKUP(B1749,小圆机汇总表!A:AP,7,FALSE))</f>
        <v/>
      </c>
      <c r="E1749" s="8" t="str">
        <f>IF(B1749="","",VLOOKUP(B1749,小圆机汇总表!A:AP,5,FALSE))</f>
        <v/>
      </c>
      <c r="F1749" s="8" t="str">
        <f>IF(B1749="","",VLOOKUP(B1749,小圆机汇总表!A:AP,8,FALSE))</f>
        <v/>
      </c>
      <c r="J1749" s="8" t="str">
        <f t="shared" si="35"/>
        <v/>
      </c>
    </row>
    <row r="1750" spans="1:10">
      <c r="A1750" s="4">
        <v>1750</v>
      </c>
      <c r="C1750" s="8" t="s">
        <v>399</v>
      </c>
      <c r="D1750" s="8" t="str">
        <f>IF(B1750="","",VLOOKUP(B1750,小圆机汇总表!A:AP,7,FALSE))</f>
        <v/>
      </c>
      <c r="E1750" s="8" t="str">
        <f>IF(B1750="","",VLOOKUP(B1750,小圆机汇总表!A:AP,5,FALSE))</f>
        <v/>
      </c>
      <c r="F1750" s="8" t="str">
        <f>IF(B1750="","",VLOOKUP(B1750,小圆机汇总表!A:AP,8,FALSE))</f>
        <v/>
      </c>
      <c r="J1750" s="8" t="str">
        <f t="shared" si="35"/>
        <v/>
      </c>
    </row>
    <row r="1751" spans="1:10">
      <c r="A1751" s="4">
        <v>1751</v>
      </c>
      <c r="C1751" s="8" t="s">
        <v>399</v>
      </c>
      <c r="D1751" s="8" t="str">
        <f>IF(B1751="","",VLOOKUP(B1751,小圆机汇总表!A:AP,7,FALSE))</f>
        <v/>
      </c>
      <c r="E1751" s="8" t="str">
        <f>IF(B1751="","",VLOOKUP(B1751,小圆机汇总表!A:AP,5,FALSE))</f>
        <v/>
      </c>
      <c r="F1751" s="8" t="str">
        <f>IF(B1751="","",VLOOKUP(B1751,小圆机汇总表!A:AP,8,FALSE))</f>
        <v/>
      </c>
      <c r="J1751" s="8" t="str">
        <f t="shared" si="35"/>
        <v/>
      </c>
    </row>
    <row r="1752" spans="1:10">
      <c r="A1752" s="4">
        <v>1752</v>
      </c>
      <c r="C1752" s="8" t="s">
        <v>399</v>
      </c>
      <c r="D1752" s="8" t="str">
        <f>IF(B1752="","",VLOOKUP(B1752,小圆机汇总表!A:AP,7,FALSE))</f>
        <v/>
      </c>
      <c r="E1752" s="8" t="str">
        <f>IF(B1752="","",VLOOKUP(B1752,小圆机汇总表!A:AP,5,FALSE))</f>
        <v/>
      </c>
      <c r="F1752" s="8" t="str">
        <f>IF(B1752="","",VLOOKUP(B1752,小圆机汇总表!A:AP,8,FALSE))</f>
        <v/>
      </c>
      <c r="J1752" s="8" t="str">
        <f t="shared" si="35"/>
        <v/>
      </c>
    </row>
    <row r="1753" spans="1:10">
      <c r="A1753" s="4">
        <v>1753</v>
      </c>
      <c r="C1753" s="8" t="s">
        <v>399</v>
      </c>
      <c r="D1753" s="8" t="str">
        <f>IF(B1753="","",VLOOKUP(B1753,小圆机汇总表!A:AP,7,FALSE))</f>
        <v/>
      </c>
      <c r="E1753" s="8" t="str">
        <f>IF(B1753="","",VLOOKUP(B1753,小圆机汇总表!A:AP,5,FALSE))</f>
        <v/>
      </c>
      <c r="F1753" s="8" t="str">
        <f>IF(B1753="","",VLOOKUP(B1753,小圆机汇总表!A:AP,8,FALSE))</f>
        <v/>
      </c>
      <c r="J1753" s="8" t="str">
        <f t="shared" si="35"/>
        <v/>
      </c>
    </row>
    <row r="1754" spans="1:10">
      <c r="A1754" s="4">
        <v>1754</v>
      </c>
      <c r="C1754" s="8" t="s">
        <v>399</v>
      </c>
      <c r="D1754" s="8" t="str">
        <f>IF(B1754="","",VLOOKUP(B1754,小圆机汇总表!A:AP,7,FALSE))</f>
        <v/>
      </c>
      <c r="E1754" s="8" t="str">
        <f>IF(B1754="","",VLOOKUP(B1754,小圆机汇总表!A:AP,5,FALSE))</f>
        <v/>
      </c>
      <c r="F1754" s="8" t="str">
        <f>IF(B1754="","",VLOOKUP(B1754,小圆机汇总表!A:AP,8,FALSE))</f>
        <v/>
      </c>
      <c r="J1754" s="8" t="str">
        <f t="shared" si="35"/>
        <v/>
      </c>
    </row>
    <row r="1755" spans="1:10">
      <c r="A1755" s="4">
        <v>1755</v>
      </c>
      <c r="C1755" s="8" t="s">
        <v>399</v>
      </c>
      <c r="D1755" s="8" t="str">
        <f>IF(B1755="","",VLOOKUP(B1755,小圆机汇总表!A:AP,7,FALSE))</f>
        <v/>
      </c>
      <c r="E1755" s="8" t="str">
        <f>IF(B1755="","",VLOOKUP(B1755,小圆机汇总表!A:AP,5,FALSE))</f>
        <v/>
      </c>
      <c r="F1755" s="8" t="str">
        <f>IF(B1755="","",VLOOKUP(B1755,小圆机汇总表!A:AP,8,FALSE))</f>
        <v/>
      </c>
      <c r="J1755" s="8" t="str">
        <f t="shared" si="35"/>
        <v/>
      </c>
    </row>
    <row r="1756" spans="1:10">
      <c r="A1756" s="4">
        <v>1756</v>
      </c>
      <c r="C1756" s="8" t="s">
        <v>399</v>
      </c>
      <c r="D1756" s="8" t="str">
        <f>IF(B1756="","",VLOOKUP(B1756,小圆机汇总表!A:AP,7,FALSE))</f>
        <v/>
      </c>
      <c r="E1756" s="8" t="str">
        <f>IF(B1756="","",VLOOKUP(B1756,小圆机汇总表!A:AP,5,FALSE))</f>
        <v/>
      </c>
      <c r="F1756" s="8" t="str">
        <f>IF(B1756="","",VLOOKUP(B1756,小圆机汇总表!A:AP,8,FALSE))</f>
        <v/>
      </c>
      <c r="J1756" s="8" t="str">
        <f t="shared" si="35"/>
        <v/>
      </c>
    </row>
    <row r="1757" spans="1:10">
      <c r="A1757" s="4">
        <v>1757</v>
      </c>
      <c r="C1757" s="8" t="s">
        <v>399</v>
      </c>
      <c r="D1757" s="8" t="str">
        <f>IF(B1757="","",VLOOKUP(B1757,小圆机汇总表!A:AP,7,FALSE))</f>
        <v/>
      </c>
      <c r="E1757" s="8" t="str">
        <f>IF(B1757="","",VLOOKUP(B1757,小圆机汇总表!A:AP,5,FALSE))</f>
        <v/>
      </c>
      <c r="F1757" s="8" t="str">
        <f>IF(B1757="","",VLOOKUP(B1757,小圆机汇总表!A:AP,8,FALSE))</f>
        <v/>
      </c>
      <c r="J1757" s="8" t="str">
        <f t="shared" si="35"/>
        <v/>
      </c>
    </row>
    <row r="1758" spans="1:10">
      <c r="A1758" s="4">
        <v>1758</v>
      </c>
      <c r="C1758" s="8" t="s">
        <v>399</v>
      </c>
      <c r="D1758" s="8" t="str">
        <f>IF(B1758="","",VLOOKUP(B1758,小圆机汇总表!A:AP,7,FALSE))</f>
        <v/>
      </c>
      <c r="E1758" s="8" t="str">
        <f>IF(B1758="","",VLOOKUP(B1758,小圆机汇总表!A:AP,5,FALSE))</f>
        <v/>
      </c>
      <c r="F1758" s="8" t="str">
        <f>IF(B1758="","",VLOOKUP(B1758,小圆机汇总表!A:AP,8,FALSE))</f>
        <v/>
      </c>
      <c r="J1758" s="8" t="str">
        <f t="shared" si="35"/>
        <v/>
      </c>
    </row>
    <row r="1759" spans="1:10">
      <c r="A1759" s="4">
        <v>1759</v>
      </c>
      <c r="C1759" s="8" t="s">
        <v>399</v>
      </c>
      <c r="D1759" s="8" t="str">
        <f>IF(B1759="","",VLOOKUP(B1759,小圆机汇总表!A:AP,7,FALSE))</f>
        <v/>
      </c>
      <c r="E1759" s="8" t="str">
        <f>IF(B1759="","",VLOOKUP(B1759,小圆机汇总表!A:AP,5,FALSE))</f>
        <v/>
      </c>
      <c r="F1759" s="8" t="str">
        <f>IF(B1759="","",VLOOKUP(B1759,小圆机汇总表!A:AP,8,FALSE))</f>
        <v/>
      </c>
      <c r="J1759" s="8" t="str">
        <f t="shared" si="35"/>
        <v/>
      </c>
    </row>
    <row r="1760" spans="1:10">
      <c r="A1760" s="4">
        <v>1760</v>
      </c>
      <c r="C1760" s="8" t="s">
        <v>399</v>
      </c>
      <c r="D1760" s="8" t="str">
        <f>IF(B1760="","",VLOOKUP(B1760,小圆机汇总表!A:AP,7,FALSE))</f>
        <v/>
      </c>
      <c r="E1760" s="8" t="str">
        <f>IF(B1760="","",VLOOKUP(B1760,小圆机汇总表!A:AP,5,FALSE))</f>
        <v/>
      </c>
      <c r="F1760" s="8" t="str">
        <f>IF(B1760="","",VLOOKUP(B1760,小圆机汇总表!A:AP,8,FALSE))</f>
        <v/>
      </c>
      <c r="J1760" s="8" t="str">
        <f t="shared" si="35"/>
        <v/>
      </c>
    </row>
    <row r="1761" spans="1:10">
      <c r="A1761" s="4">
        <v>1761</v>
      </c>
      <c r="C1761" s="8" t="s">
        <v>399</v>
      </c>
      <c r="D1761" s="8" t="str">
        <f>IF(B1761="","",VLOOKUP(B1761,小圆机汇总表!A:AP,7,FALSE))</f>
        <v/>
      </c>
      <c r="E1761" s="8" t="str">
        <f>IF(B1761="","",VLOOKUP(B1761,小圆机汇总表!A:AP,5,FALSE))</f>
        <v/>
      </c>
      <c r="F1761" s="8" t="str">
        <f>IF(B1761="","",VLOOKUP(B1761,小圆机汇总表!A:AP,8,FALSE))</f>
        <v/>
      </c>
      <c r="J1761" s="8" t="str">
        <f t="shared" si="35"/>
        <v/>
      </c>
    </row>
    <row r="1762" spans="1:10">
      <c r="A1762" s="4">
        <v>1762</v>
      </c>
      <c r="C1762" s="8" t="s">
        <v>399</v>
      </c>
      <c r="D1762" s="8" t="str">
        <f>IF(B1762="","",VLOOKUP(B1762,小圆机汇总表!A:AP,7,FALSE))</f>
        <v/>
      </c>
      <c r="E1762" s="8" t="str">
        <f>IF(B1762="","",VLOOKUP(B1762,小圆机汇总表!A:AP,5,FALSE))</f>
        <v/>
      </c>
      <c r="F1762" s="8" t="str">
        <f>IF(B1762="","",VLOOKUP(B1762,小圆机汇总表!A:AP,8,FALSE))</f>
        <v/>
      </c>
      <c r="J1762" s="8" t="str">
        <f t="shared" si="35"/>
        <v/>
      </c>
    </row>
    <row r="1763" spans="1:10">
      <c r="A1763" s="4">
        <v>1763</v>
      </c>
      <c r="C1763" s="8" t="s">
        <v>399</v>
      </c>
      <c r="D1763" s="8" t="str">
        <f>IF(B1763="","",VLOOKUP(B1763,小圆机汇总表!A:AP,7,FALSE))</f>
        <v/>
      </c>
      <c r="E1763" s="8" t="str">
        <f>IF(B1763="","",VLOOKUP(B1763,小圆机汇总表!A:AP,5,FALSE))</f>
        <v/>
      </c>
      <c r="F1763" s="8" t="str">
        <f>IF(B1763="","",VLOOKUP(B1763,小圆机汇总表!A:AP,8,FALSE))</f>
        <v/>
      </c>
      <c r="J1763" s="8" t="str">
        <f t="shared" ref="J1763:J1826" si="36">IF(B1763="","",MONTH(G1763))</f>
        <v/>
      </c>
    </row>
    <row r="1764" spans="1:10">
      <c r="A1764" s="4">
        <v>1764</v>
      </c>
      <c r="C1764" s="8" t="s">
        <v>399</v>
      </c>
      <c r="D1764" s="8" t="str">
        <f>IF(B1764="","",VLOOKUP(B1764,小圆机汇总表!A:AP,7,FALSE))</f>
        <v/>
      </c>
      <c r="E1764" s="8" t="str">
        <f>IF(B1764="","",VLOOKUP(B1764,小圆机汇总表!A:AP,5,FALSE))</f>
        <v/>
      </c>
      <c r="F1764" s="8" t="str">
        <f>IF(B1764="","",VLOOKUP(B1764,小圆机汇总表!A:AP,8,FALSE))</f>
        <v/>
      </c>
      <c r="J1764" s="8" t="str">
        <f t="shared" si="36"/>
        <v/>
      </c>
    </row>
    <row r="1765" spans="1:10">
      <c r="A1765" s="4">
        <v>1765</v>
      </c>
      <c r="C1765" s="8" t="s">
        <v>399</v>
      </c>
      <c r="D1765" s="8" t="str">
        <f>IF(B1765="","",VLOOKUP(B1765,小圆机汇总表!A:AP,7,FALSE))</f>
        <v/>
      </c>
      <c r="E1765" s="8" t="str">
        <f>IF(B1765="","",VLOOKUP(B1765,小圆机汇总表!A:AP,5,FALSE))</f>
        <v/>
      </c>
      <c r="F1765" s="8" t="str">
        <f>IF(B1765="","",VLOOKUP(B1765,小圆机汇总表!A:AP,8,FALSE))</f>
        <v/>
      </c>
      <c r="J1765" s="8" t="str">
        <f t="shared" si="36"/>
        <v/>
      </c>
    </row>
    <row r="1766" spans="1:10">
      <c r="A1766" s="4">
        <v>1766</v>
      </c>
      <c r="C1766" s="8" t="s">
        <v>399</v>
      </c>
      <c r="D1766" s="8" t="str">
        <f>IF(B1766="","",VLOOKUP(B1766,小圆机汇总表!A:AP,7,FALSE))</f>
        <v/>
      </c>
      <c r="E1766" s="8" t="str">
        <f>IF(B1766="","",VLOOKUP(B1766,小圆机汇总表!A:AP,5,FALSE))</f>
        <v/>
      </c>
      <c r="F1766" s="8" t="str">
        <f>IF(B1766="","",VLOOKUP(B1766,小圆机汇总表!A:AP,8,FALSE))</f>
        <v/>
      </c>
      <c r="J1766" s="8" t="str">
        <f t="shared" si="36"/>
        <v/>
      </c>
    </row>
    <row r="1767" spans="1:10">
      <c r="A1767" s="4">
        <v>1767</v>
      </c>
      <c r="C1767" s="8" t="s">
        <v>399</v>
      </c>
      <c r="D1767" s="8" t="str">
        <f>IF(B1767="","",VLOOKUP(B1767,小圆机汇总表!A:AP,7,FALSE))</f>
        <v/>
      </c>
      <c r="E1767" s="8" t="str">
        <f>IF(B1767="","",VLOOKUP(B1767,小圆机汇总表!A:AP,5,FALSE))</f>
        <v/>
      </c>
      <c r="F1767" s="8" t="str">
        <f>IF(B1767="","",VLOOKUP(B1767,小圆机汇总表!A:AP,8,FALSE))</f>
        <v/>
      </c>
      <c r="J1767" s="8" t="str">
        <f t="shared" si="36"/>
        <v/>
      </c>
    </row>
    <row r="1768" spans="1:10">
      <c r="A1768" s="4">
        <v>1768</v>
      </c>
      <c r="C1768" s="8" t="s">
        <v>399</v>
      </c>
      <c r="D1768" s="8" t="str">
        <f>IF(B1768="","",VLOOKUP(B1768,小圆机汇总表!A:AP,7,FALSE))</f>
        <v/>
      </c>
      <c r="E1768" s="8" t="str">
        <f>IF(B1768="","",VLOOKUP(B1768,小圆机汇总表!A:AP,5,FALSE))</f>
        <v/>
      </c>
      <c r="F1768" s="8" t="str">
        <f>IF(B1768="","",VLOOKUP(B1768,小圆机汇总表!A:AP,8,FALSE))</f>
        <v/>
      </c>
      <c r="J1768" s="8" t="str">
        <f t="shared" si="36"/>
        <v/>
      </c>
    </row>
    <row r="1769" spans="1:10">
      <c r="A1769" s="4">
        <v>1769</v>
      </c>
      <c r="C1769" s="8" t="s">
        <v>399</v>
      </c>
      <c r="D1769" s="8" t="str">
        <f>IF(B1769="","",VLOOKUP(B1769,小圆机汇总表!A:AP,7,FALSE))</f>
        <v/>
      </c>
      <c r="E1769" s="8" t="str">
        <f>IF(B1769="","",VLOOKUP(B1769,小圆机汇总表!A:AP,5,FALSE))</f>
        <v/>
      </c>
      <c r="F1769" s="8" t="str">
        <f>IF(B1769="","",VLOOKUP(B1769,小圆机汇总表!A:AP,8,FALSE))</f>
        <v/>
      </c>
      <c r="J1769" s="8" t="str">
        <f t="shared" si="36"/>
        <v/>
      </c>
    </row>
    <row r="1770" spans="1:10">
      <c r="A1770" s="4">
        <v>1770</v>
      </c>
      <c r="C1770" s="8" t="s">
        <v>399</v>
      </c>
      <c r="D1770" s="8" t="str">
        <f>IF(B1770="","",VLOOKUP(B1770,小圆机汇总表!A:AP,7,FALSE))</f>
        <v/>
      </c>
      <c r="E1770" s="8" t="str">
        <f>IF(B1770="","",VLOOKUP(B1770,小圆机汇总表!A:AP,5,FALSE))</f>
        <v/>
      </c>
      <c r="F1770" s="8" t="str">
        <f>IF(B1770="","",VLOOKUP(B1770,小圆机汇总表!A:AP,8,FALSE))</f>
        <v/>
      </c>
      <c r="J1770" s="8" t="str">
        <f t="shared" si="36"/>
        <v/>
      </c>
    </row>
    <row r="1771" spans="1:10">
      <c r="A1771" s="4">
        <v>1771</v>
      </c>
      <c r="C1771" s="8" t="s">
        <v>399</v>
      </c>
      <c r="D1771" s="8" t="str">
        <f>IF(B1771="","",VLOOKUP(B1771,小圆机汇总表!A:AP,7,FALSE))</f>
        <v/>
      </c>
      <c r="E1771" s="8" t="str">
        <f>IF(B1771="","",VLOOKUP(B1771,小圆机汇总表!A:AP,5,FALSE))</f>
        <v/>
      </c>
      <c r="F1771" s="8" t="str">
        <f>IF(B1771="","",VLOOKUP(B1771,小圆机汇总表!A:AP,8,FALSE))</f>
        <v/>
      </c>
      <c r="J1771" s="8" t="str">
        <f t="shared" si="36"/>
        <v/>
      </c>
    </row>
    <row r="1772" spans="1:10">
      <c r="A1772" s="4">
        <v>1772</v>
      </c>
      <c r="C1772" s="8" t="s">
        <v>399</v>
      </c>
      <c r="D1772" s="8" t="str">
        <f>IF(B1772="","",VLOOKUP(B1772,小圆机汇总表!A:AP,7,FALSE))</f>
        <v/>
      </c>
      <c r="E1772" s="8" t="str">
        <f>IF(B1772="","",VLOOKUP(B1772,小圆机汇总表!A:AP,5,FALSE))</f>
        <v/>
      </c>
      <c r="F1772" s="8" t="str">
        <f>IF(B1772="","",VLOOKUP(B1772,小圆机汇总表!A:AP,8,FALSE))</f>
        <v/>
      </c>
      <c r="J1772" s="8" t="str">
        <f t="shared" si="36"/>
        <v/>
      </c>
    </row>
    <row r="1773" spans="1:10">
      <c r="A1773" s="4">
        <v>1773</v>
      </c>
      <c r="C1773" s="8" t="s">
        <v>399</v>
      </c>
      <c r="D1773" s="8" t="str">
        <f>IF(B1773="","",VLOOKUP(B1773,小圆机汇总表!A:AP,7,FALSE))</f>
        <v/>
      </c>
      <c r="E1773" s="8" t="str">
        <f>IF(B1773="","",VLOOKUP(B1773,小圆机汇总表!A:AP,5,FALSE))</f>
        <v/>
      </c>
      <c r="F1773" s="8" t="str">
        <f>IF(B1773="","",VLOOKUP(B1773,小圆机汇总表!A:AP,8,FALSE))</f>
        <v/>
      </c>
      <c r="J1773" s="8" t="str">
        <f t="shared" si="36"/>
        <v/>
      </c>
    </row>
    <row r="1774" spans="1:10">
      <c r="A1774" s="4">
        <v>1774</v>
      </c>
      <c r="C1774" s="8" t="s">
        <v>399</v>
      </c>
      <c r="D1774" s="8" t="str">
        <f>IF(B1774="","",VLOOKUP(B1774,小圆机汇总表!A:AP,7,FALSE))</f>
        <v/>
      </c>
      <c r="E1774" s="8" t="str">
        <f>IF(B1774="","",VLOOKUP(B1774,小圆机汇总表!A:AP,5,FALSE))</f>
        <v/>
      </c>
      <c r="F1774" s="8" t="str">
        <f>IF(B1774="","",VLOOKUP(B1774,小圆机汇总表!A:AP,8,FALSE))</f>
        <v/>
      </c>
      <c r="J1774" s="8" t="str">
        <f t="shared" si="36"/>
        <v/>
      </c>
    </row>
    <row r="1775" spans="1:10">
      <c r="A1775" s="4">
        <v>1775</v>
      </c>
      <c r="C1775" s="8" t="s">
        <v>399</v>
      </c>
      <c r="D1775" s="8" t="str">
        <f>IF(B1775="","",VLOOKUP(B1775,小圆机汇总表!A:AP,7,FALSE))</f>
        <v/>
      </c>
      <c r="E1775" s="8" t="str">
        <f>IF(B1775="","",VLOOKUP(B1775,小圆机汇总表!A:AP,5,FALSE))</f>
        <v/>
      </c>
      <c r="F1775" s="8" t="str">
        <f>IF(B1775="","",VLOOKUP(B1775,小圆机汇总表!A:AP,8,FALSE))</f>
        <v/>
      </c>
      <c r="J1775" s="8" t="str">
        <f t="shared" si="36"/>
        <v/>
      </c>
    </row>
    <row r="1776" spans="1:10">
      <c r="A1776" s="4">
        <v>1776</v>
      </c>
      <c r="C1776" s="8" t="s">
        <v>399</v>
      </c>
      <c r="D1776" s="8" t="str">
        <f>IF(B1776="","",VLOOKUP(B1776,小圆机汇总表!A:AP,7,FALSE))</f>
        <v/>
      </c>
      <c r="E1776" s="8" t="str">
        <f>IF(B1776="","",VLOOKUP(B1776,小圆机汇总表!A:AP,5,FALSE))</f>
        <v/>
      </c>
      <c r="F1776" s="8" t="str">
        <f>IF(B1776="","",VLOOKUP(B1776,小圆机汇总表!A:AP,8,FALSE))</f>
        <v/>
      </c>
      <c r="J1776" s="8" t="str">
        <f t="shared" si="36"/>
        <v/>
      </c>
    </row>
    <row r="1777" spans="1:10">
      <c r="A1777" s="4">
        <v>1777</v>
      </c>
      <c r="C1777" s="8" t="s">
        <v>399</v>
      </c>
      <c r="D1777" s="8" t="str">
        <f>IF(B1777="","",VLOOKUP(B1777,小圆机汇总表!A:AP,7,FALSE))</f>
        <v/>
      </c>
      <c r="E1777" s="8" t="str">
        <f>IF(B1777="","",VLOOKUP(B1777,小圆机汇总表!A:AP,5,FALSE))</f>
        <v/>
      </c>
      <c r="F1777" s="8" t="str">
        <f>IF(B1777="","",VLOOKUP(B1777,小圆机汇总表!A:AP,8,FALSE))</f>
        <v/>
      </c>
      <c r="J1777" s="8" t="str">
        <f t="shared" si="36"/>
        <v/>
      </c>
    </row>
    <row r="1778" spans="1:10">
      <c r="A1778" s="4">
        <v>1778</v>
      </c>
      <c r="C1778" s="8" t="s">
        <v>399</v>
      </c>
      <c r="D1778" s="8" t="str">
        <f>IF(B1778="","",VLOOKUP(B1778,小圆机汇总表!A:AP,7,FALSE))</f>
        <v/>
      </c>
      <c r="E1778" s="8" t="str">
        <f>IF(B1778="","",VLOOKUP(B1778,小圆机汇总表!A:AP,5,FALSE))</f>
        <v/>
      </c>
      <c r="F1778" s="8" t="str">
        <f>IF(B1778="","",VLOOKUP(B1778,小圆机汇总表!A:AP,8,FALSE))</f>
        <v/>
      </c>
      <c r="J1778" s="8" t="str">
        <f t="shared" si="36"/>
        <v/>
      </c>
    </row>
    <row r="1779" spans="1:10">
      <c r="A1779" s="4">
        <v>1779</v>
      </c>
      <c r="C1779" s="8" t="s">
        <v>399</v>
      </c>
      <c r="D1779" s="8" t="str">
        <f>IF(B1779="","",VLOOKUP(B1779,小圆机汇总表!A:AP,7,FALSE))</f>
        <v/>
      </c>
      <c r="E1779" s="8" t="str">
        <f>IF(B1779="","",VLOOKUP(B1779,小圆机汇总表!A:AP,5,FALSE))</f>
        <v/>
      </c>
      <c r="F1779" s="8" t="str">
        <f>IF(B1779="","",VLOOKUP(B1779,小圆机汇总表!A:AP,8,FALSE))</f>
        <v/>
      </c>
      <c r="J1779" s="8" t="str">
        <f t="shared" si="36"/>
        <v/>
      </c>
    </row>
    <row r="1780" spans="1:10">
      <c r="A1780" s="4">
        <v>1780</v>
      </c>
      <c r="C1780" s="8" t="s">
        <v>399</v>
      </c>
      <c r="D1780" s="8" t="str">
        <f>IF(B1780="","",VLOOKUP(B1780,小圆机汇总表!A:AP,7,FALSE))</f>
        <v/>
      </c>
      <c r="E1780" s="8" t="str">
        <f>IF(B1780="","",VLOOKUP(B1780,小圆机汇总表!A:AP,5,FALSE))</f>
        <v/>
      </c>
      <c r="F1780" s="8" t="str">
        <f>IF(B1780="","",VLOOKUP(B1780,小圆机汇总表!A:AP,8,FALSE))</f>
        <v/>
      </c>
      <c r="J1780" s="8" t="str">
        <f t="shared" si="36"/>
        <v/>
      </c>
    </row>
    <row r="1781" spans="1:10">
      <c r="A1781" s="4">
        <v>1781</v>
      </c>
      <c r="C1781" s="8" t="s">
        <v>399</v>
      </c>
      <c r="D1781" s="8" t="str">
        <f>IF(B1781="","",VLOOKUP(B1781,小圆机汇总表!A:AP,7,FALSE))</f>
        <v/>
      </c>
      <c r="E1781" s="8" t="str">
        <f>IF(B1781="","",VLOOKUP(B1781,小圆机汇总表!A:AP,5,FALSE))</f>
        <v/>
      </c>
      <c r="F1781" s="8" t="str">
        <f>IF(B1781="","",VLOOKUP(B1781,小圆机汇总表!A:AP,8,FALSE))</f>
        <v/>
      </c>
      <c r="J1781" s="8" t="str">
        <f t="shared" si="36"/>
        <v/>
      </c>
    </row>
    <row r="1782" spans="1:10">
      <c r="A1782" s="4">
        <v>1782</v>
      </c>
      <c r="C1782" s="8" t="s">
        <v>399</v>
      </c>
      <c r="D1782" s="8" t="str">
        <f>IF(B1782="","",VLOOKUP(B1782,小圆机汇总表!A:AP,7,FALSE))</f>
        <v/>
      </c>
      <c r="E1782" s="8" t="str">
        <f>IF(B1782="","",VLOOKUP(B1782,小圆机汇总表!A:AP,5,FALSE))</f>
        <v/>
      </c>
      <c r="F1782" s="8" t="str">
        <f>IF(B1782="","",VLOOKUP(B1782,小圆机汇总表!A:AP,8,FALSE))</f>
        <v/>
      </c>
      <c r="J1782" s="8" t="str">
        <f t="shared" si="36"/>
        <v/>
      </c>
    </row>
    <row r="1783" spans="1:10">
      <c r="A1783" s="4">
        <v>1783</v>
      </c>
      <c r="C1783" s="8" t="s">
        <v>399</v>
      </c>
      <c r="D1783" s="8" t="str">
        <f>IF(B1783="","",VLOOKUP(B1783,小圆机汇总表!A:AP,7,FALSE))</f>
        <v/>
      </c>
      <c r="E1783" s="8" t="str">
        <f>IF(B1783="","",VLOOKUP(B1783,小圆机汇总表!A:AP,5,FALSE))</f>
        <v/>
      </c>
      <c r="F1783" s="8" t="str">
        <f>IF(B1783="","",VLOOKUP(B1783,小圆机汇总表!A:AP,8,FALSE))</f>
        <v/>
      </c>
      <c r="J1783" s="8" t="str">
        <f t="shared" si="36"/>
        <v/>
      </c>
    </row>
    <row r="1784" spans="1:10">
      <c r="A1784" s="4">
        <v>1784</v>
      </c>
      <c r="C1784" s="8" t="s">
        <v>399</v>
      </c>
      <c r="D1784" s="8" t="str">
        <f>IF(B1784="","",VLOOKUP(B1784,小圆机汇总表!A:AP,7,FALSE))</f>
        <v/>
      </c>
      <c r="E1784" s="8" t="str">
        <f>IF(B1784="","",VLOOKUP(B1784,小圆机汇总表!A:AP,5,FALSE))</f>
        <v/>
      </c>
      <c r="F1784" s="8" t="str">
        <f>IF(B1784="","",VLOOKUP(B1784,小圆机汇总表!A:AP,8,FALSE))</f>
        <v/>
      </c>
      <c r="J1784" s="8" t="str">
        <f t="shared" si="36"/>
        <v/>
      </c>
    </row>
    <row r="1785" spans="1:10">
      <c r="A1785" s="4">
        <v>1785</v>
      </c>
      <c r="C1785" s="8" t="s">
        <v>399</v>
      </c>
      <c r="D1785" s="8" t="str">
        <f>IF(B1785="","",VLOOKUP(B1785,小圆机汇总表!A:AP,7,FALSE))</f>
        <v/>
      </c>
      <c r="E1785" s="8" t="str">
        <f>IF(B1785="","",VLOOKUP(B1785,小圆机汇总表!A:AP,5,FALSE))</f>
        <v/>
      </c>
      <c r="F1785" s="8" t="str">
        <f>IF(B1785="","",VLOOKUP(B1785,小圆机汇总表!A:AP,8,FALSE))</f>
        <v/>
      </c>
      <c r="J1785" s="8" t="str">
        <f t="shared" si="36"/>
        <v/>
      </c>
    </row>
    <row r="1786" spans="1:10">
      <c r="A1786" s="4">
        <v>1786</v>
      </c>
      <c r="C1786" s="8" t="s">
        <v>399</v>
      </c>
      <c r="D1786" s="8" t="str">
        <f>IF(B1786="","",VLOOKUP(B1786,小圆机汇总表!A:AP,7,FALSE))</f>
        <v/>
      </c>
      <c r="E1786" s="8" t="str">
        <f>IF(B1786="","",VLOOKUP(B1786,小圆机汇总表!A:AP,5,FALSE))</f>
        <v/>
      </c>
      <c r="F1786" s="8" t="str">
        <f>IF(B1786="","",VLOOKUP(B1786,小圆机汇总表!A:AP,8,FALSE))</f>
        <v/>
      </c>
      <c r="J1786" s="8" t="str">
        <f t="shared" si="36"/>
        <v/>
      </c>
    </row>
    <row r="1787" spans="1:10">
      <c r="A1787" s="4">
        <v>1787</v>
      </c>
      <c r="C1787" s="8" t="s">
        <v>399</v>
      </c>
      <c r="D1787" s="8" t="str">
        <f>IF(B1787="","",VLOOKUP(B1787,小圆机汇总表!A:AP,7,FALSE))</f>
        <v/>
      </c>
      <c r="E1787" s="8" t="str">
        <f>IF(B1787="","",VLOOKUP(B1787,小圆机汇总表!A:AP,5,FALSE))</f>
        <v/>
      </c>
      <c r="F1787" s="8" t="str">
        <f>IF(B1787="","",VLOOKUP(B1787,小圆机汇总表!A:AP,8,FALSE))</f>
        <v/>
      </c>
      <c r="J1787" s="8" t="str">
        <f t="shared" si="36"/>
        <v/>
      </c>
    </row>
    <row r="1788" spans="1:10">
      <c r="A1788" s="4">
        <v>1788</v>
      </c>
      <c r="C1788" s="8" t="s">
        <v>399</v>
      </c>
      <c r="D1788" s="8" t="str">
        <f>IF(B1788="","",VLOOKUP(B1788,小圆机汇总表!A:AP,7,FALSE))</f>
        <v/>
      </c>
      <c r="E1788" s="8" t="str">
        <f>IF(B1788="","",VLOOKUP(B1788,小圆机汇总表!A:AP,5,FALSE))</f>
        <v/>
      </c>
      <c r="F1788" s="8" t="str">
        <f>IF(B1788="","",VLOOKUP(B1788,小圆机汇总表!A:AP,8,FALSE))</f>
        <v/>
      </c>
      <c r="J1788" s="8" t="str">
        <f t="shared" si="36"/>
        <v/>
      </c>
    </row>
    <row r="1789" spans="1:10">
      <c r="A1789" s="4">
        <v>1789</v>
      </c>
      <c r="C1789" s="8" t="s">
        <v>399</v>
      </c>
      <c r="D1789" s="8" t="str">
        <f>IF(B1789="","",VLOOKUP(B1789,小圆机汇总表!A:AP,7,FALSE))</f>
        <v/>
      </c>
      <c r="E1789" s="8" t="str">
        <f>IF(B1789="","",VLOOKUP(B1789,小圆机汇总表!A:AP,5,FALSE))</f>
        <v/>
      </c>
      <c r="F1789" s="8" t="str">
        <f>IF(B1789="","",VLOOKUP(B1789,小圆机汇总表!A:AP,8,FALSE))</f>
        <v/>
      </c>
      <c r="J1789" s="8" t="str">
        <f t="shared" si="36"/>
        <v/>
      </c>
    </row>
    <row r="1790" spans="1:10">
      <c r="A1790" s="4">
        <v>1790</v>
      </c>
      <c r="C1790" s="8" t="s">
        <v>399</v>
      </c>
      <c r="D1790" s="8" t="str">
        <f>IF(B1790="","",VLOOKUP(B1790,小圆机汇总表!A:AP,7,FALSE))</f>
        <v/>
      </c>
      <c r="E1790" s="8" t="str">
        <f>IF(B1790="","",VLOOKUP(B1790,小圆机汇总表!A:AP,5,FALSE))</f>
        <v/>
      </c>
      <c r="F1790" s="8" t="str">
        <f>IF(B1790="","",VLOOKUP(B1790,小圆机汇总表!A:AP,8,FALSE))</f>
        <v/>
      </c>
      <c r="J1790" s="8" t="str">
        <f t="shared" si="36"/>
        <v/>
      </c>
    </row>
    <row r="1791" spans="1:10">
      <c r="A1791" s="4">
        <v>1791</v>
      </c>
      <c r="C1791" s="8" t="s">
        <v>399</v>
      </c>
      <c r="D1791" s="8" t="str">
        <f>IF(B1791="","",VLOOKUP(B1791,小圆机汇总表!A:AP,7,FALSE))</f>
        <v/>
      </c>
      <c r="E1791" s="8" t="str">
        <f>IF(B1791="","",VLOOKUP(B1791,小圆机汇总表!A:AP,5,FALSE))</f>
        <v/>
      </c>
      <c r="F1791" s="8" t="str">
        <f>IF(B1791="","",VLOOKUP(B1791,小圆机汇总表!A:AP,8,FALSE))</f>
        <v/>
      </c>
      <c r="J1791" s="8" t="str">
        <f t="shared" si="36"/>
        <v/>
      </c>
    </row>
    <row r="1792" spans="1:10">
      <c r="A1792" s="4">
        <v>1792</v>
      </c>
      <c r="C1792" s="8" t="s">
        <v>399</v>
      </c>
      <c r="D1792" s="8" t="str">
        <f>IF(B1792="","",VLOOKUP(B1792,小圆机汇总表!A:AP,7,FALSE))</f>
        <v/>
      </c>
      <c r="E1792" s="8" t="str">
        <f>IF(B1792="","",VLOOKUP(B1792,小圆机汇总表!A:AP,5,FALSE))</f>
        <v/>
      </c>
      <c r="F1792" s="8" t="str">
        <f>IF(B1792="","",VLOOKUP(B1792,小圆机汇总表!A:AP,8,FALSE))</f>
        <v/>
      </c>
      <c r="J1792" s="8" t="str">
        <f t="shared" si="36"/>
        <v/>
      </c>
    </row>
    <row r="1793" spans="1:10">
      <c r="A1793" s="4">
        <v>1793</v>
      </c>
      <c r="C1793" s="8" t="s">
        <v>399</v>
      </c>
      <c r="D1793" s="8" t="str">
        <f>IF(B1793="","",VLOOKUP(B1793,小圆机汇总表!A:AP,7,FALSE))</f>
        <v/>
      </c>
      <c r="E1793" s="8" t="str">
        <f>IF(B1793="","",VLOOKUP(B1793,小圆机汇总表!A:AP,5,FALSE))</f>
        <v/>
      </c>
      <c r="F1793" s="8" t="str">
        <f>IF(B1793="","",VLOOKUP(B1793,小圆机汇总表!A:AP,8,FALSE))</f>
        <v/>
      </c>
      <c r="J1793" s="8" t="str">
        <f t="shared" si="36"/>
        <v/>
      </c>
    </row>
    <row r="1794" spans="1:10">
      <c r="A1794" s="4">
        <v>1794</v>
      </c>
      <c r="C1794" s="8" t="s">
        <v>399</v>
      </c>
      <c r="D1794" s="8" t="str">
        <f>IF(B1794="","",VLOOKUP(B1794,小圆机汇总表!A:AP,7,FALSE))</f>
        <v/>
      </c>
      <c r="E1794" s="8" t="str">
        <f>IF(B1794="","",VLOOKUP(B1794,小圆机汇总表!A:AP,5,FALSE))</f>
        <v/>
      </c>
      <c r="F1794" s="8" t="str">
        <f>IF(B1794="","",VLOOKUP(B1794,小圆机汇总表!A:AP,8,FALSE))</f>
        <v/>
      </c>
      <c r="J1794" s="8" t="str">
        <f t="shared" si="36"/>
        <v/>
      </c>
    </row>
    <row r="1795" spans="1:10">
      <c r="A1795" s="4">
        <v>1795</v>
      </c>
      <c r="C1795" s="8" t="s">
        <v>399</v>
      </c>
      <c r="D1795" s="8" t="str">
        <f>IF(B1795="","",VLOOKUP(B1795,小圆机汇总表!A:AP,7,FALSE))</f>
        <v/>
      </c>
      <c r="E1795" s="8" t="str">
        <f>IF(B1795="","",VLOOKUP(B1795,小圆机汇总表!A:AP,5,FALSE))</f>
        <v/>
      </c>
      <c r="F1795" s="8" t="str">
        <f>IF(B1795="","",VLOOKUP(B1795,小圆机汇总表!A:AP,8,FALSE))</f>
        <v/>
      </c>
      <c r="J1795" s="8" t="str">
        <f t="shared" si="36"/>
        <v/>
      </c>
    </row>
    <row r="1796" spans="1:10">
      <c r="A1796" s="4">
        <v>1796</v>
      </c>
      <c r="C1796" s="8" t="s">
        <v>399</v>
      </c>
      <c r="D1796" s="8" t="str">
        <f>IF(B1796="","",VLOOKUP(B1796,小圆机汇总表!A:AP,7,FALSE))</f>
        <v/>
      </c>
      <c r="E1796" s="8" t="str">
        <f>IF(B1796="","",VLOOKUP(B1796,小圆机汇总表!A:AP,5,FALSE))</f>
        <v/>
      </c>
      <c r="F1796" s="8" t="str">
        <f>IF(B1796="","",VLOOKUP(B1796,小圆机汇总表!A:AP,8,FALSE))</f>
        <v/>
      </c>
      <c r="J1796" s="8" t="str">
        <f t="shared" si="36"/>
        <v/>
      </c>
    </row>
    <row r="1797" spans="1:10">
      <c r="A1797" s="4">
        <v>1797</v>
      </c>
      <c r="C1797" s="8" t="s">
        <v>399</v>
      </c>
      <c r="D1797" s="8" t="str">
        <f>IF(B1797="","",VLOOKUP(B1797,小圆机汇总表!A:AP,7,FALSE))</f>
        <v/>
      </c>
      <c r="E1797" s="8" t="str">
        <f>IF(B1797="","",VLOOKUP(B1797,小圆机汇总表!A:AP,5,FALSE))</f>
        <v/>
      </c>
      <c r="F1797" s="8" t="str">
        <f>IF(B1797="","",VLOOKUP(B1797,小圆机汇总表!A:AP,8,FALSE))</f>
        <v/>
      </c>
      <c r="J1797" s="8" t="str">
        <f t="shared" si="36"/>
        <v/>
      </c>
    </row>
    <row r="1798" spans="1:10">
      <c r="A1798" s="4">
        <v>1798</v>
      </c>
      <c r="C1798" s="8" t="s">
        <v>399</v>
      </c>
      <c r="D1798" s="8" t="str">
        <f>IF(B1798="","",VLOOKUP(B1798,小圆机汇总表!A:AP,7,FALSE))</f>
        <v/>
      </c>
      <c r="E1798" s="8" t="str">
        <f>IF(B1798="","",VLOOKUP(B1798,小圆机汇总表!A:AP,5,FALSE))</f>
        <v/>
      </c>
      <c r="F1798" s="8" t="str">
        <f>IF(B1798="","",VLOOKUP(B1798,小圆机汇总表!A:AP,8,FALSE))</f>
        <v/>
      </c>
      <c r="J1798" s="8" t="str">
        <f t="shared" si="36"/>
        <v/>
      </c>
    </row>
    <row r="1799" spans="1:10">
      <c r="A1799" s="4">
        <v>1799</v>
      </c>
      <c r="C1799" s="8" t="s">
        <v>399</v>
      </c>
      <c r="D1799" s="8" t="str">
        <f>IF(B1799="","",VLOOKUP(B1799,小圆机汇总表!A:AP,7,FALSE))</f>
        <v/>
      </c>
      <c r="E1799" s="8" t="str">
        <f>IF(B1799="","",VLOOKUP(B1799,小圆机汇总表!A:AP,5,FALSE))</f>
        <v/>
      </c>
      <c r="F1799" s="8" t="str">
        <f>IF(B1799="","",VLOOKUP(B1799,小圆机汇总表!A:AP,8,FALSE))</f>
        <v/>
      </c>
      <c r="J1799" s="8" t="str">
        <f t="shared" si="36"/>
        <v/>
      </c>
    </row>
    <row r="1800" spans="1:10">
      <c r="A1800" s="4">
        <v>1800</v>
      </c>
      <c r="C1800" s="8" t="s">
        <v>399</v>
      </c>
      <c r="D1800" s="8" t="str">
        <f>IF(B1800="","",VLOOKUP(B1800,小圆机汇总表!A:AP,7,FALSE))</f>
        <v/>
      </c>
      <c r="E1800" s="8" t="str">
        <f>IF(B1800="","",VLOOKUP(B1800,小圆机汇总表!A:AP,5,FALSE))</f>
        <v/>
      </c>
      <c r="F1800" s="8" t="str">
        <f>IF(B1800="","",VLOOKUP(B1800,小圆机汇总表!A:AP,8,FALSE))</f>
        <v/>
      </c>
      <c r="J1800" s="8" t="str">
        <f t="shared" si="36"/>
        <v/>
      </c>
    </row>
    <row r="1801" spans="1:10">
      <c r="A1801" s="4">
        <v>1801</v>
      </c>
      <c r="C1801" s="8" t="s">
        <v>399</v>
      </c>
      <c r="D1801" s="8" t="str">
        <f>IF(B1801="","",VLOOKUP(B1801,小圆机汇总表!A:AP,7,FALSE))</f>
        <v/>
      </c>
      <c r="E1801" s="8" t="str">
        <f>IF(B1801="","",VLOOKUP(B1801,小圆机汇总表!A:AP,5,FALSE))</f>
        <v/>
      </c>
      <c r="F1801" s="8" t="str">
        <f>IF(B1801="","",VLOOKUP(B1801,小圆机汇总表!A:AP,8,FALSE))</f>
        <v/>
      </c>
      <c r="J1801" s="8" t="str">
        <f t="shared" si="36"/>
        <v/>
      </c>
    </row>
    <row r="1802" spans="1:10">
      <c r="A1802" s="4">
        <v>1802</v>
      </c>
      <c r="C1802" s="8" t="s">
        <v>399</v>
      </c>
      <c r="D1802" s="8" t="str">
        <f>IF(B1802="","",VLOOKUP(B1802,小圆机汇总表!A:AP,7,FALSE))</f>
        <v/>
      </c>
      <c r="E1802" s="8" t="str">
        <f>IF(B1802="","",VLOOKUP(B1802,小圆机汇总表!A:AP,5,FALSE))</f>
        <v/>
      </c>
      <c r="F1802" s="8" t="str">
        <f>IF(B1802="","",VLOOKUP(B1802,小圆机汇总表!A:AP,8,FALSE))</f>
        <v/>
      </c>
      <c r="J1802" s="8" t="str">
        <f t="shared" si="36"/>
        <v/>
      </c>
    </row>
    <row r="1803" spans="1:10">
      <c r="A1803" s="4">
        <v>1803</v>
      </c>
      <c r="C1803" s="8" t="s">
        <v>399</v>
      </c>
      <c r="D1803" s="8" t="str">
        <f>IF(B1803="","",VLOOKUP(B1803,小圆机汇总表!A:AP,7,FALSE))</f>
        <v/>
      </c>
      <c r="E1803" s="8" t="str">
        <f>IF(B1803="","",VLOOKUP(B1803,小圆机汇总表!A:AP,5,FALSE))</f>
        <v/>
      </c>
      <c r="F1803" s="8" t="str">
        <f>IF(B1803="","",VLOOKUP(B1803,小圆机汇总表!A:AP,8,FALSE))</f>
        <v/>
      </c>
      <c r="J1803" s="8" t="str">
        <f t="shared" si="36"/>
        <v/>
      </c>
    </row>
    <row r="1804" spans="1:10">
      <c r="A1804" s="4">
        <v>1804</v>
      </c>
      <c r="C1804" s="8" t="s">
        <v>399</v>
      </c>
      <c r="D1804" s="8" t="str">
        <f>IF(B1804="","",VLOOKUP(B1804,小圆机汇总表!A:AP,7,FALSE))</f>
        <v/>
      </c>
      <c r="E1804" s="8" t="str">
        <f>IF(B1804="","",VLOOKUP(B1804,小圆机汇总表!A:AP,5,FALSE))</f>
        <v/>
      </c>
      <c r="F1804" s="8" t="str">
        <f>IF(B1804="","",VLOOKUP(B1804,小圆机汇总表!A:AP,8,FALSE))</f>
        <v/>
      </c>
      <c r="J1804" s="8" t="str">
        <f t="shared" si="36"/>
        <v/>
      </c>
    </row>
    <row r="1805" spans="1:10">
      <c r="A1805" s="4">
        <v>1805</v>
      </c>
      <c r="C1805" s="8" t="s">
        <v>399</v>
      </c>
      <c r="D1805" s="8" t="str">
        <f>IF(B1805="","",VLOOKUP(B1805,小圆机汇总表!A:AP,7,FALSE))</f>
        <v/>
      </c>
      <c r="E1805" s="8" t="str">
        <f>IF(B1805="","",VLOOKUP(B1805,小圆机汇总表!A:AP,5,FALSE))</f>
        <v/>
      </c>
      <c r="F1805" s="8" t="str">
        <f>IF(B1805="","",VLOOKUP(B1805,小圆机汇总表!A:AP,8,FALSE))</f>
        <v/>
      </c>
      <c r="J1805" s="8" t="str">
        <f t="shared" si="36"/>
        <v/>
      </c>
    </row>
    <row r="1806" spans="1:10">
      <c r="A1806" s="4">
        <v>1806</v>
      </c>
      <c r="C1806" s="8" t="s">
        <v>399</v>
      </c>
      <c r="D1806" s="8" t="str">
        <f>IF(B1806="","",VLOOKUP(B1806,小圆机汇总表!A:AP,7,FALSE))</f>
        <v/>
      </c>
      <c r="E1806" s="8" t="str">
        <f>IF(B1806="","",VLOOKUP(B1806,小圆机汇总表!A:AP,5,FALSE))</f>
        <v/>
      </c>
      <c r="F1806" s="8" t="str">
        <f>IF(B1806="","",VLOOKUP(B1806,小圆机汇总表!A:AP,8,FALSE))</f>
        <v/>
      </c>
      <c r="J1806" s="8" t="str">
        <f t="shared" si="36"/>
        <v/>
      </c>
    </row>
    <row r="1807" spans="1:10">
      <c r="A1807" s="4">
        <v>1807</v>
      </c>
      <c r="C1807" s="8" t="s">
        <v>399</v>
      </c>
      <c r="D1807" s="8" t="str">
        <f>IF(B1807="","",VLOOKUP(B1807,小圆机汇总表!A:AP,7,FALSE))</f>
        <v/>
      </c>
      <c r="E1807" s="8" t="str">
        <f>IF(B1807="","",VLOOKUP(B1807,小圆机汇总表!A:AP,5,FALSE))</f>
        <v/>
      </c>
      <c r="F1807" s="8" t="str">
        <f>IF(B1807="","",VLOOKUP(B1807,小圆机汇总表!A:AP,8,FALSE))</f>
        <v/>
      </c>
      <c r="J1807" s="8" t="str">
        <f t="shared" si="36"/>
        <v/>
      </c>
    </row>
    <row r="1808" spans="1:10">
      <c r="A1808" s="4">
        <v>1808</v>
      </c>
      <c r="C1808" s="8" t="s">
        <v>399</v>
      </c>
      <c r="D1808" s="8" t="str">
        <f>IF(B1808="","",VLOOKUP(B1808,小圆机汇总表!A:AP,7,FALSE))</f>
        <v/>
      </c>
      <c r="E1808" s="8" t="str">
        <f>IF(B1808="","",VLOOKUP(B1808,小圆机汇总表!A:AP,5,FALSE))</f>
        <v/>
      </c>
      <c r="F1808" s="8" t="str">
        <f>IF(B1808="","",VLOOKUP(B1808,小圆机汇总表!A:AP,8,FALSE))</f>
        <v/>
      </c>
      <c r="J1808" s="8" t="str">
        <f t="shared" si="36"/>
        <v/>
      </c>
    </row>
    <row r="1809" spans="1:10">
      <c r="A1809" s="4">
        <v>1809</v>
      </c>
      <c r="C1809" s="8" t="s">
        <v>399</v>
      </c>
      <c r="D1809" s="8" t="str">
        <f>IF(B1809="","",VLOOKUP(B1809,小圆机汇总表!A:AP,7,FALSE))</f>
        <v/>
      </c>
      <c r="E1809" s="8" t="str">
        <f>IF(B1809="","",VLOOKUP(B1809,小圆机汇总表!A:AP,5,FALSE))</f>
        <v/>
      </c>
      <c r="F1809" s="8" t="str">
        <f>IF(B1809="","",VLOOKUP(B1809,小圆机汇总表!A:AP,8,FALSE))</f>
        <v/>
      </c>
      <c r="J1809" s="8" t="str">
        <f t="shared" si="36"/>
        <v/>
      </c>
    </row>
    <row r="1810" spans="1:10">
      <c r="A1810" s="4">
        <v>1810</v>
      </c>
      <c r="C1810" s="8" t="s">
        <v>399</v>
      </c>
      <c r="D1810" s="8" t="str">
        <f>IF(B1810="","",VLOOKUP(B1810,小圆机汇总表!A:AP,7,FALSE))</f>
        <v/>
      </c>
      <c r="E1810" s="8" t="str">
        <f>IF(B1810="","",VLOOKUP(B1810,小圆机汇总表!A:AP,5,FALSE))</f>
        <v/>
      </c>
      <c r="F1810" s="8" t="str">
        <f>IF(B1810="","",VLOOKUP(B1810,小圆机汇总表!A:AP,8,FALSE))</f>
        <v/>
      </c>
      <c r="J1810" s="8" t="str">
        <f t="shared" si="36"/>
        <v/>
      </c>
    </row>
    <row r="1811" spans="1:10">
      <c r="A1811" s="4">
        <v>1811</v>
      </c>
      <c r="C1811" s="8" t="s">
        <v>399</v>
      </c>
      <c r="D1811" s="8" t="str">
        <f>IF(B1811="","",VLOOKUP(B1811,小圆机汇总表!A:AP,7,FALSE))</f>
        <v/>
      </c>
      <c r="E1811" s="8" t="str">
        <f>IF(B1811="","",VLOOKUP(B1811,小圆机汇总表!A:AP,5,FALSE))</f>
        <v/>
      </c>
      <c r="F1811" s="8" t="str">
        <f>IF(B1811="","",VLOOKUP(B1811,小圆机汇总表!A:AP,8,FALSE))</f>
        <v/>
      </c>
      <c r="J1811" s="8" t="str">
        <f t="shared" si="36"/>
        <v/>
      </c>
    </row>
    <row r="1812" spans="1:10">
      <c r="A1812" s="4">
        <v>1812</v>
      </c>
      <c r="C1812" s="8" t="s">
        <v>399</v>
      </c>
      <c r="D1812" s="8" t="str">
        <f>IF(B1812="","",VLOOKUP(B1812,小圆机汇总表!A:AP,7,FALSE))</f>
        <v/>
      </c>
      <c r="E1812" s="8" t="str">
        <f>IF(B1812="","",VLOOKUP(B1812,小圆机汇总表!A:AP,5,FALSE))</f>
        <v/>
      </c>
      <c r="F1812" s="8" t="str">
        <f>IF(B1812="","",VLOOKUP(B1812,小圆机汇总表!A:AP,8,FALSE))</f>
        <v/>
      </c>
      <c r="J1812" s="8" t="str">
        <f t="shared" si="36"/>
        <v/>
      </c>
    </row>
    <row r="1813" spans="1:10">
      <c r="A1813" s="4">
        <v>1813</v>
      </c>
      <c r="C1813" s="8" t="s">
        <v>399</v>
      </c>
      <c r="D1813" s="8" t="str">
        <f>IF(B1813="","",VLOOKUP(B1813,小圆机汇总表!A:AP,7,FALSE))</f>
        <v/>
      </c>
      <c r="E1813" s="8" t="str">
        <f>IF(B1813="","",VLOOKUP(B1813,小圆机汇总表!A:AP,5,FALSE))</f>
        <v/>
      </c>
      <c r="F1813" s="8" t="str">
        <f>IF(B1813="","",VLOOKUP(B1813,小圆机汇总表!A:AP,8,FALSE))</f>
        <v/>
      </c>
      <c r="J1813" s="8" t="str">
        <f t="shared" si="36"/>
        <v/>
      </c>
    </row>
    <row r="1814" spans="1:10">
      <c r="A1814" s="4">
        <v>1814</v>
      </c>
      <c r="C1814" s="8" t="s">
        <v>399</v>
      </c>
      <c r="D1814" s="8" t="str">
        <f>IF(B1814="","",VLOOKUP(B1814,小圆机汇总表!A:AP,7,FALSE))</f>
        <v/>
      </c>
      <c r="E1814" s="8" t="str">
        <f>IF(B1814="","",VLOOKUP(B1814,小圆机汇总表!A:AP,5,FALSE))</f>
        <v/>
      </c>
      <c r="F1814" s="8" t="str">
        <f>IF(B1814="","",VLOOKUP(B1814,小圆机汇总表!A:AP,8,FALSE))</f>
        <v/>
      </c>
      <c r="J1814" s="8" t="str">
        <f t="shared" si="36"/>
        <v/>
      </c>
    </row>
    <row r="1815" spans="1:10">
      <c r="A1815" s="4">
        <v>1815</v>
      </c>
      <c r="C1815" s="8" t="s">
        <v>399</v>
      </c>
      <c r="D1815" s="8" t="str">
        <f>IF(B1815="","",VLOOKUP(B1815,小圆机汇总表!A:AP,7,FALSE))</f>
        <v/>
      </c>
      <c r="E1815" s="8" t="str">
        <f>IF(B1815="","",VLOOKUP(B1815,小圆机汇总表!A:AP,5,FALSE))</f>
        <v/>
      </c>
      <c r="F1815" s="8" t="str">
        <f>IF(B1815="","",VLOOKUP(B1815,小圆机汇总表!A:AP,8,FALSE))</f>
        <v/>
      </c>
      <c r="J1815" s="8" t="str">
        <f t="shared" si="36"/>
        <v/>
      </c>
    </row>
    <row r="1816" spans="1:10">
      <c r="A1816" s="4">
        <v>1816</v>
      </c>
      <c r="C1816" s="8" t="s">
        <v>399</v>
      </c>
      <c r="D1816" s="8" t="str">
        <f>IF(B1816="","",VLOOKUP(B1816,小圆机汇总表!A:AP,7,FALSE))</f>
        <v/>
      </c>
      <c r="E1816" s="8" t="str">
        <f>IF(B1816="","",VLOOKUP(B1816,小圆机汇总表!A:AP,5,FALSE))</f>
        <v/>
      </c>
      <c r="F1816" s="8" t="str">
        <f>IF(B1816="","",VLOOKUP(B1816,小圆机汇总表!A:AP,8,FALSE))</f>
        <v/>
      </c>
      <c r="J1816" s="8" t="str">
        <f t="shared" si="36"/>
        <v/>
      </c>
    </row>
    <row r="1817" spans="1:10">
      <c r="A1817" s="4">
        <v>1817</v>
      </c>
      <c r="C1817" s="8" t="s">
        <v>399</v>
      </c>
      <c r="D1817" s="8" t="str">
        <f>IF(B1817="","",VLOOKUP(B1817,小圆机汇总表!A:AP,7,FALSE))</f>
        <v/>
      </c>
      <c r="E1817" s="8" t="str">
        <f>IF(B1817="","",VLOOKUP(B1817,小圆机汇总表!A:AP,5,FALSE))</f>
        <v/>
      </c>
      <c r="F1817" s="8" t="str">
        <f>IF(B1817="","",VLOOKUP(B1817,小圆机汇总表!A:AP,8,FALSE))</f>
        <v/>
      </c>
      <c r="J1817" s="8" t="str">
        <f t="shared" si="36"/>
        <v/>
      </c>
    </row>
    <row r="1818" spans="1:10">
      <c r="A1818" s="4">
        <v>1818</v>
      </c>
      <c r="C1818" s="8" t="s">
        <v>399</v>
      </c>
      <c r="D1818" s="8" t="str">
        <f>IF(B1818="","",VLOOKUP(B1818,小圆机汇总表!A:AP,7,FALSE))</f>
        <v/>
      </c>
      <c r="E1818" s="8" t="str">
        <f>IF(B1818="","",VLOOKUP(B1818,小圆机汇总表!A:AP,5,FALSE))</f>
        <v/>
      </c>
      <c r="F1818" s="8" t="str">
        <f>IF(B1818="","",VLOOKUP(B1818,小圆机汇总表!A:AP,8,FALSE))</f>
        <v/>
      </c>
      <c r="J1818" s="8" t="str">
        <f t="shared" si="36"/>
        <v/>
      </c>
    </row>
    <row r="1819" spans="1:10">
      <c r="A1819" s="4">
        <v>1819</v>
      </c>
      <c r="C1819" s="8" t="s">
        <v>399</v>
      </c>
      <c r="D1819" s="8" t="str">
        <f>IF(B1819="","",VLOOKUP(B1819,小圆机汇总表!A:AP,7,FALSE))</f>
        <v/>
      </c>
      <c r="E1819" s="8" t="str">
        <f>IF(B1819="","",VLOOKUP(B1819,小圆机汇总表!A:AP,5,FALSE))</f>
        <v/>
      </c>
      <c r="F1819" s="8" t="str">
        <f>IF(B1819="","",VLOOKUP(B1819,小圆机汇总表!A:AP,8,FALSE))</f>
        <v/>
      </c>
      <c r="J1819" s="8" t="str">
        <f t="shared" si="36"/>
        <v/>
      </c>
    </row>
    <row r="1820" spans="1:10">
      <c r="A1820" s="4">
        <v>1820</v>
      </c>
      <c r="C1820" s="8" t="s">
        <v>399</v>
      </c>
      <c r="D1820" s="8" t="str">
        <f>IF(B1820="","",VLOOKUP(B1820,小圆机汇总表!A:AP,7,FALSE))</f>
        <v/>
      </c>
      <c r="E1820" s="8" t="str">
        <f>IF(B1820="","",VLOOKUP(B1820,小圆机汇总表!A:AP,5,FALSE))</f>
        <v/>
      </c>
      <c r="F1820" s="8" t="str">
        <f>IF(B1820="","",VLOOKUP(B1820,小圆机汇总表!A:AP,8,FALSE))</f>
        <v/>
      </c>
      <c r="J1820" s="8" t="str">
        <f t="shared" si="36"/>
        <v/>
      </c>
    </row>
    <row r="1821" spans="1:10">
      <c r="A1821" s="4">
        <v>1821</v>
      </c>
      <c r="C1821" s="8" t="s">
        <v>399</v>
      </c>
      <c r="D1821" s="8" t="str">
        <f>IF(B1821="","",VLOOKUP(B1821,小圆机汇总表!A:AP,7,FALSE))</f>
        <v/>
      </c>
      <c r="E1821" s="8" t="str">
        <f>IF(B1821="","",VLOOKUP(B1821,小圆机汇总表!A:AP,5,FALSE))</f>
        <v/>
      </c>
      <c r="F1821" s="8" t="str">
        <f>IF(B1821="","",VLOOKUP(B1821,小圆机汇总表!A:AP,8,FALSE))</f>
        <v/>
      </c>
      <c r="J1821" s="8" t="str">
        <f t="shared" si="36"/>
        <v/>
      </c>
    </row>
    <row r="1822" spans="1:10">
      <c r="A1822" s="4">
        <v>1822</v>
      </c>
      <c r="C1822" s="8" t="s">
        <v>399</v>
      </c>
      <c r="D1822" s="8" t="str">
        <f>IF(B1822="","",VLOOKUP(B1822,小圆机汇总表!A:AP,7,FALSE))</f>
        <v/>
      </c>
      <c r="E1822" s="8" t="str">
        <f>IF(B1822="","",VLOOKUP(B1822,小圆机汇总表!A:AP,5,FALSE))</f>
        <v/>
      </c>
      <c r="F1822" s="8" t="str">
        <f>IF(B1822="","",VLOOKUP(B1822,小圆机汇总表!A:AP,8,FALSE))</f>
        <v/>
      </c>
      <c r="J1822" s="8" t="str">
        <f t="shared" si="36"/>
        <v/>
      </c>
    </row>
    <row r="1823" spans="1:10">
      <c r="A1823" s="4">
        <v>1823</v>
      </c>
      <c r="C1823" s="8" t="s">
        <v>399</v>
      </c>
      <c r="D1823" s="8" t="str">
        <f>IF(B1823="","",VLOOKUP(B1823,小圆机汇总表!A:AP,7,FALSE))</f>
        <v/>
      </c>
      <c r="E1823" s="8" t="str">
        <f>IF(B1823="","",VLOOKUP(B1823,小圆机汇总表!A:AP,5,FALSE))</f>
        <v/>
      </c>
      <c r="F1823" s="8" t="str">
        <f>IF(B1823="","",VLOOKUP(B1823,小圆机汇总表!A:AP,8,FALSE))</f>
        <v/>
      </c>
      <c r="J1823" s="8" t="str">
        <f t="shared" si="36"/>
        <v/>
      </c>
    </row>
    <row r="1824" spans="1:10">
      <c r="A1824" s="4">
        <v>1824</v>
      </c>
      <c r="C1824" s="8" t="s">
        <v>399</v>
      </c>
      <c r="D1824" s="8" t="str">
        <f>IF(B1824="","",VLOOKUP(B1824,小圆机汇总表!A:AP,7,FALSE))</f>
        <v/>
      </c>
      <c r="E1824" s="8" t="str">
        <f>IF(B1824="","",VLOOKUP(B1824,小圆机汇总表!A:AP,5,FALSE))</f>
        <v/>
      </c>
      <c r="F1824" s="8" t="str">
        <f>IF(B1824="","",VLOOKUP(B1824,小圆机汇总表!A:AP,8,FALSE))</f>
        <v/>
      </c>
      <c r="J1824" s="8" t="str">
        <f t="shared" si="36"/>
        <v/>
      </c>
    </row>
    <row r="1825" spans="1:10">
      <c r="A1825" s="4">
        <v>1825</v>
      </c>
      <c r="C1825" s="8" t="s">
        <v>399</v>
      </c>
      <c r="D1825" s="8" t="str">
        <f>IF(B1825="","",VLOOKUP(B1825,小圆机汇总表!A:AP,7,FALSE))</f>
        <v/>
      </c>
      <c r="E1825" s="8" t="str">
        <f>IF(B1825="","",VLOOKUP(B1825,小圆机汇总表!A:AP,5,FALSE))</f>
        <v/>
      </c>
      <c r="F1825" s="8" t="str">
        <f>IF(B1825="","",VLOOKUP(B1825,小圆机汇总表!A:AP,8,FALSE))</f>
        <v/>
      </c>
      <c r="J1825" s="8" t="str">
        <f t="shared" si="36"/>
        <v/>
      </c>
    </row>
    <row r="1826" spans="1:10">
      <c r="A1826" s="4">
        <v>1826</v>
      </c>
      <c r="C1826" s="8" t="s">
        <v>399</v>
      </c>
      <c r="D1826" s="8" t="str">
        <f>IF(B1826="","",VLOOKUP(B1826,小圆机汇总表!A:AP,7,FALSE))</f>
        <v/>
      </c>
      <c r="E1826" s="8" t="str">
        <f>IF(B1826="","",VLOOKUP(B1826,小圆机汇总表!A:AP,5,FALSE))</f>
        <v/>
      </c>
      <c r="F1826" s="8" t="str">
        <f>IF(B1826="","",VLOOKUP(B1826,小圆机汇总表!A:AP,8,FALSE))</f>
        <v/>
      </c>
      <c r="J1826" s="8" t="str">
        <f t="shared" si="36"/>
        <v/>
      </c>
    </row>
    <row r="1827" spans="1:10">
      <c r="A1827" s="4">
        <v>1827</v>
      </c>
      <c r="C1827" s="8" t="s">
        <v>399</v>
      </c>
      <c r="D1827" s="8" t="str">
        <f>IF(B1827="","",VLOOKUP(B1827,小圆机汇总表!A:AP,7,FALSE))</f>
        <v/>
      </c>
      <c r="E1827" s="8" t="str">
        <f>IF(B1827="","",VLOOKUP(B1827,小圆机汇总表!A:AP,5,FALSE))</f>
        <v/>
      </c>
      <c r="F1827" s="8" t="str">
        <f>IF(B1827="","",VLOOKUP(B1827,小圆机汇总表!A:AP,8,FALSE))</f>
        <v/>
      </c>
      <c r="J1827" s="8" t="str">
        <f t="shared" ref="J1827:J1890" si="37">IF(B1827="","",MONTH(G1827))</f>
        <v/>
      </c>
    </row>
    <row r="1828" spans="1:10">
      <c r="A1828" s="4">
        <v>1828</v>
      </c>
      <c r="C1828" s="8" t="s">
        <v>399</v>
      </c>
      <c r="D1828" s="8" t="str">
        <f>IF(B1828="","",VLOOKUP(B1828,小圆机汇总表!A:AP,7,FALSE))</f>
        <v/>
      </c>
      <c r="E1828" s="8" t="str">
        <f>IF(B1828="","",VLOOKUP(B1828,小圆机汇总表!A:AP,5,FALSE))</f>
        <v/>
      </c>
      <c r="F1828" s="8" t="str">
        <f>IF(B1828="","",VLOOKUP(B1828,小圆机汇总表!A:AP,8,FALSE))</f>
        <v/>
      </c>
      <c r="J1828" s="8" t="str">
        <f t="shared" si="37"/>
        <v/>
      </c>
    </row>
    <row r="1829" spans="1:10">
      <c r="A1829" s="4">
        <v>1829</v>
      </c>
      <c r="C1829" s="8" t="s">
        <v>399</v>
      </c>
      <c r="D1829" s="8" t="str">
        <f>IF(B1829="","",VLOOKUP(B1829,小圆机汇总表!A:AP,7,FALSE))</f>
        <v/>
      </c>
      <c r="E1829" s="8" t="str">
        <f>IF(B1829="","",VLOOKUP(B1829,小圆机汇总表!A:AP,5,FALSE))</f>
        <v/>
      </c>
      <c r="F1829" s="8" t="str">
        <f>IF(B1829="","",VLOOKUP(B1829,小圆机汇总表!A:AP,8,FALSE))</f>
        <v/>
      </c>
      <c r="J1829" s="8" t="str">
        <f t="shared" si="37"/>
        <v/>
      </c>
    </row>
    <row r="1830" spans="1:10">
      <c r="A1830" s="4">
        <v>1830</v>
      </c>
      <c r="C1830" s="8" t="s">
        <v>399</v>
      </c>
      <c r="D1830" s="8" t="str">
        <f>IF(B1830="","",VLOOKUP(B1830,小圆机汇总表!A:AP,7,FALSE))</f>
        <v/>
      </c>
      <c r="E1830" s="8" t="str">
        <f>IF(B1830="","",VLOOKUP(B1830,小圆机汇总表!A:AP,5,FALSE))</f>
        <v/>
      </c>
      <c r="F1830" s="8" t="str">
        <f>IF(B1830="","",VLOOKUP(B1830,小圆机汇总表!A:AP,8,FALSE))</f>
        <v/>
      </c>
      <c r="J1830" s="8" t="str">
        <f t="shared" si="37"/>
        <v/>
      </c>
    </row>
    <row r="1831" spans="1:10">
      <c r="A1831" s="4">
        <v>1831</v>
      </c>
      <c r="C1831" s="8" t="s">
        <v>399</v>
      </c>
      <c r="D1831" s="8" t="str">
        <f>IF(B1831="","",VLOOKUP(B1831,小圆机汇总表!A:AP,7,FALSE))</f>
        <v/>
      </c>
      <c r="E1831" s="8" t="str">
        <f>IF(B1831="","",VLOOKUP(B1831,小圆机汇总表!A:AP,5,FALSE))</f>
        <v/>
      </c>
      <c r="F1831" s="8" t="str">
        <f>IF(B1831="","",VLOOKUP(B1831,小圆机汇总表!A:AP,8,FALSE))</f>
        <v/>
      </c>
      <c r="J1831" s="8" t="str">
        <f t="shared" si="37"/>
        <v/>
      </c>
    </row>
    <row r="1832" spans="1:10">
      <c r="A1832" s="4">
        <v>1832</v>
      </c>
      <c r="C1832" s="8" t="s">
        <v>399</v>
      </c>
      <c r="D1832" s="8" t="str">
        <f>IF(B1832="","",VLOOKUP(B1832,小圆机汇总表!A:AP,7,FALSE))</f>
        <v/>
      </c>
      <c r="E1832" s="8" t="str">
        <f>IF(B1832="","",VLOOKUP(B1832,小圆机汇总表!A:AP,5,FALSE))</f>
        <v/>
      </c>
      <c r="F1832" s="8" t="str">
        <f>IF(B1832="","",VLOOKUP(B1832,小圆机汇总表!A:AP,8,FALSE))</f>
        <v/>
      </c>
      <c r="J1832" s="8" t="str">
        <f t="shared" si="37"/>
        <v/>
      </c>
    </row>
    <row r="1833" spans="1:10">
      <c r="A1833" s="4">
        <v>1833</v>
      </c>
      <c r="C1833" s="8" t="s">
        <v>399</v>
      </c>
      <c r="D1833" s="8" t="str">
        <f>IF(B1833="","",VLOOKUP(B1833,小圆机汇总表!A:AP,7,FALSE))</f>
        <v/>
      </c>
      <c r="E1833" s="8" t="str">
        <f>IF(B1833="","",VLOOKUP(B1833,小圆机汇总表!A:AP,5,FALSE))</f>
        <v/>
      </c>
      <c r="F1833" s="8" t="str">
        <f>IF(B1833="","",VLOOKUP(B1833,小圆机汇总表!A:AP,8,FALSE))</f>
        <v/>
      </c>
      <c r="J1833" s="8" t="str">
        <f t="shared" si="37"/>
        <v/>
      </c>
    </row>
    <row r="1834" spans="1:10">
      <c r="A1834" s="4">
        <v>1834</v>
      </c>
      <c r="C1834" s="8" t="s">
        <v>399</v>
      </c>
      <c r="D1834" s="8" t="str">
        <f>IF(B1834="","",VLOOKUP(B1834,小圆机汇总表!A:AP,7,FALSE))</f>
        <v/>
      </c>
      <c r="E1834" s="8" t="str">
        <f>IF(B1834="","",VLOOKUP(B1834,小圆机汇总表!A:AP,5,FALSE))</f>
        <v/>
      </c>
      <c r="F1834" s="8" t="str">
        <f>IF(B1834="","",VLOOKUP(B1834,小圆机汇总表!A:AP,8,FALSE))</f>
        <v/>
      </c>
      <c r="J1834" s="8" t="str">
        <f t="shared" si="37"/>
        <v/>
      </c>
    </row>
    <row r="1835" spans="1:10">
      <c r="A1835" s="4">
        <v>1835</v>
      </c>
      <c r="C1835" s="8" t="s">
        <v>399</v>
      </c>
      <c r="D1835" s="8" t="str">
        <f>IF(B1835="","",VLOOKUP(B1835,小圆机汇总表!A:AP,7,FALSE))</f>
        <v/>
      </c>
      <c r="E1835" s="8" t="str">
        <f>IF(B1835="","",VLOOKUP(B1835,小圆机汇总表!A:AP,5,FALSE))</f>
        <v/>
      </c>
      <c r="F1835" s="8" t="str">
        <f>IF(B1835="","",VLOOKUP(B1835,小圆机汇总表!A:AP,8,FALSE))</f>
        <v/>
      </c>
      <c r="J1835" s="8" t="str">
        <f t="shared" si="37"/>
        <v/>
      </c>
    </row>
    <row r="1836" spans="1:10">
      <c r="A1836" s="4">
        <v>1836</v>
      </c>
      <c r="C1836" s="8" t="s">
        <v>399</v>
      </c>
      <c r="D1836" s="8" t="str">
        <f>IF(B1836="","",VLOOKUP(B1836,小圆机汇总表!A:AP,7,FALSE))</f>
        <v/>
      </c>
      <c r="E1836" s="8" t="str">
        <f>IF(B1836="","",VLOOKUP(B1836,小圆机汇总表!A:AP,5,FALSE))</f>
        <v/>
      </c>
      <c r="F1836" s="8" t="str">
        <f>IF(B1836="","",VLOOKUP(B1836,小圆机汇总表!A:AP,8,FALSE))</f>
        <v/>
      </c>
      <c r="J1836" s="8" t="str">
        <f t="shared" si="37"/>
        <v/>
      </c>
    </row>
    <row r="1837" spans="1:10">
      <c r="A1837" s="4">
        <v>1837</v>
      </c>
      <c r="C1837" s="8" t="s">
        <v>399</v>
      </c>
      <c r="D1837" s="8" t="str">
        <f>IF(B1837="","",VLOOKUP(B1837,小圆机汇总表!A:AP,7,FALSE))</f>
        <v/>
      </c>
      <c r="E1837" s="8" t="str">
        <f>IF(B1837="","",VLOOKUP(B1837,小圆机汇总表!A:AP,5,FALSE))</f>
        <v/>
      </c>
      <c r="F1837" s="8" t="str">
        <f>IF(B1837="","",VLOOKUP(B1837,小圆机汇总表!A:AP,8,FALSE))</f>
        <v/>
      </c>
      <c r="J1837" s="8" t="str">
        <f t="shared" si="37"/>
        <v/>
      </c>
    </row>
    <row r="1838" spans="1:10">
      <c r="A1838" s="4">
        <v>1838</v>
      </c>
      <c r="C1838" s="8" t="s">
        <v>399</v>
      </c>
      <c r="D1838" s="8" t="str">
        <f>IF(B1838="","",VLOOKUP(B1838,小圆机汇总表!A:AP,7,FALSE))</f>
        <v/>
      </c>
      <c r="E1838" s="8" t="str">
        <f>IF(B1838="","",VLOOKUP(B1838,小圆机汇总表!A:AP,5,FALSE))</f>
        <v/>
      </c>
      <c r="F1838" s="8" t="str">
        <f>IF(B1838="","",VLOOKUP(B1838,小圆机汇总表!A:AP,8,FALSE))</f>
        <v/>
      </c>
      <c r="J1838" s="8" t="str">
        <f t="shared" si="37"/>
        <v/>
      </c>
    </row>
    <row r="1839" spans="1:10">
      <c r="A1839" s="4">
        <v>1839</v>
      </c>
      <c r="C1839" s="8" t="s">
        <v>399</v>
      </c>
      <c r="D1839" s="8" t="str">
        <f>IF(B1839="","",VLOOKUP(B1839,小圆机汇总表!A:AP,7,FALSE))</f>
        <v/>
      </c>
      <c r="E1839" s="8" t="str">
        <f>IF(B1839="","",VLOOKUP(B1839,小圆机汇总表!A:AP,5,FALSE))</f>
        <v/>
      </c>
      <c r="F1839" s="8" t="str">
        <f>IF(B1839="","",VLOOKUP(B1839,小圆机汇总表!A:AP,8,FALSE))</f>
        <v/>
      </c>
      <c r="J1839" s="8" t="str">
        <f t="shared" si="37"/>
        <v/>
      </c>
    </row>
    <row r="1840" spans="1:10">
      <c r="A1840" s="4">
        <v>1840</v>
      </c>
      <c r="C1840" s="8" t="s">
        <v>399</v>
      </c>
      <c r="D1840" s="8" t="str">
        <f>IF(B1840="","",VLOOKUP(B1840,小圆机汇总表!A:AP,7,FALSE))</f>
        <v/>
      </c>
      <c r="E1840" s="8" t="str">
        <f>IF(B1840="","",VLOOKUP(B1840,小圆机汇总表!A:AP,5,FALSE))</f>
        <v/>
      </c>
      <c r="F1840" s="8" t="str">
        <f>IF(B1840="","",VLOOKUP(B1840,小圆机汇总表!A:AP,8,FALSE))</f>
        <v/>
      </c>
      <c r="J1840" s="8" t="str">
        <f t="shared" si="37"/>
        <v/>
      </c>
    </row>
    <row r="1841" spans="1:10">
      <c r="A1841" s="4">
        <v>1841</v>
      </c>
      <c r="C1841" s="8" t="s">
        <v>399</v>
      </c>
      <c r="D1841" s="8" t="str">
        <f>IF(B1841="","",VLOOKUP(B1841,小圆机汇总表!A:AP,7,FALSE))</f>
        <v/>
      </c>
      <c r="E1841" s="8" t="str">
        <f>IF(B1841="","",VLOOKUP(B1841,小圆机汇总表!A:AP,5,FALSE))</f>
        <v/>
      </c>
      <c r="F1841" s="8" t="str">
        <f>IF(B1841="","",VLOOKUP(B1841,小圆机汇总表!A:AP,8,FALSE))</f>
        <v/>
      </c>
      <c r="J1841" s="8" t="str">
        <f t="shared" si="37"/>
        <v/>
      </c>
    </row>
    <row r="1842" spans="1:10">
      <c r="A1842" s="4">
        <v>1842</v>
      </c>
      <c r="C1842" s="8" t="s">
        <v>399</v>
      </c>
      <c r="D1842" s="8" t="str">
        <f>IF(B1842="","",VLOOKUP(B1842,小圆机汇总表!A:AP,7,FALSE))</f>
        <v/>
      </c>
      <c r="E1842" s="8" t="str">
        <f>IF(B1842="","",VLOOKUP(B1842,小圆机汇总表!A:AP,5,FALSE))</f>
        <v/>
      </c>
      <c r="F1842" s="8" t="str">
        <f>IF(B1842="","",VLOOKUP(B1842,小圆机汇总表!A:AP,8,FALSE))</f>
        <v/>
      </c>
      <c r="J1842" s="8" t="str">
        <f t="shared" si="37"/>
        <v/>
      </c>
    </row>
    <row r="1843" spans="1:10">
      <c r="A1843" s="4">
        <v>1843</v>
      </c>
      <c r="C1843" s="8" t="s">
        <v>399</v>
      </c>
      <c r="D1843" s="8" t="str">
        <f>IF(B1843="","",VLOOKUP(B1843,小圆机汇总表!A:AP,7,FALSE))</f>
        <v/>
      </c>
      <c r="E1843" s="8" t="str">
        <f>IF(B1843="","",VLOOKUP(B1843,小圆机汇总表!A:AP,5,FALSE))</f>
        <v/>
      </c>
      <c r="F1843" s="8" t="str">
        <f>IF(B1843="","",VLOOKUP(B1843,小圆机汇总表!A:AP,8,FALSE))</f>
        <v/>
      </c>
      <c r="J1843" s="8" t="str">
        <f t="shared" si="37"/>
        <v/>
      </c>
    </row>
    <row r="1844" spans="1:10">
      <c r="A1844" s="4">
        <v>1844</v>
      </c>
      <c r="C1844" s="8" t="s">
        <v>399</v>
      </c>
      <c r="D1844" s="8" t="str">
        <f>IF(B1844="","",VLOOKUP(B1844,小圆机汇总表!A:AP,7,FALSE))</f>
        <v/>
      </c>
      <c r="E1844" s="8" t="str">
        <f>IF(B1844="","",VLOOKUP(B1844,小圆机汇总表!A:AP,5,FALSE))</f>
        <v/>
      </c>
      <c r="F1844" s="8" t="str">
        <f>IF(B1844="","",VLOOKUP(B1844,小圆机汇总表!A:AP,8,FALSE))</f>
        <v/>
      </c>
      <c r="J1844" s="8" t="str">
        <f t="shared" si="37"/>
        <v/>
      </c>
    </row>
    <row r="1845" spans="1:10">
      <c r="A1845" s="4">
        <v>1845</v>
      </c>
      <c r="C1845" s="8" t="s">
        <v>399</v>
      </c>
      <c r="D1845" s="8" t="str">
        <f>IF(B1845="","",VLOOKUP(B1845,小圆机汇总表!A:AP,7,FALSE))</f>
        <v/>
      </c>
      <c r="E1845" s="8" t="str">
        <f>IF(B1845="","",VLOOKUP(B1845,小圆机汇总表!A:AP,5,FALSE))</f>
        <v/>
      </c>
      <c r="F1845" s="8" t="str">
        <f>IF(B1845="","",VLOOKUP(B1845,小圆机汇总表!A:AP,8,FALSE))</f>
        <v/>
      </c>
      <c r="J1845" s="8" t="str">
        <f t="shared" si="37"/>
        <v/>
      </c>
    </row>
    <row r="1846" spans="1:10">
      <c r="A1846" s="4">
        <v>1846</v>
      </c>
      <c r="C1846" s="8" t="s">
        <v>399</v>
      </c>
      <c r="D1846" s="8" t="str">
        <f>IF(B1846="","",VLOOKUP(B1846,小圆机汇总表!A:AP,7,FALSE))</f>
        <v/>
      </c>
      <c r="E1846" s="8" t="str">
        <f>IF(B1846="","",VLOOKUP(B1846,小圆机汇总表!A:AP,5,FALSE))</f>
        <v/>
      </c>
      <c r="F1846" s="8" t="str">
        <f>IF(B1846="","",VLOOKUP(B1846,小圆机汇总表!A:AP,8,FALSE))</f>
        <v/>
      </c>
      <c r="J1846" s="8" t="str">
        <f t="shared" si="37"/>
        <v/>
      </c>
    </row>
    <row r="1847" spans="1:10">
      <c r="A1847" s="4">
        <v>1847</v>
      </c>
      <c r="C1847" s="8" t="s">
        <v>399</v>
      </c>
      <c r="D1847" s="8" t="str">
        <f>IF(B1847="","",VLOOKUP(B1847,小圆机汇总表!A:AP,7,FALSE))</f>
        <v/>
      </c>
      <c r="E1847" s="8" t="str">
        <f>IF(B1847="","",VLOOKUP(B1847,小圆机汇总表!A:AP,5,FALSE))</f>
        <v/>
      </c>
      <c r="F1847" s="8" t="str">
        <f>IF(B1847="","",VLOOKUP(B1847,小圆机汇总表!A:AP,8,FALSE))</f>
        <v/>
      </c>
      <c r="J1847" s="8" t="str">
        <f t="shared" si="37"/>
        <v/>
      </c>
    </row>
    <row r="1848" spans="1:10">
      <c r="A1848" s="4">
        <v>1848</v>
      </c>
      <c r="C1848" s="8" t="s">
        <v>399</v>
      </c>
      <c r="D1848" s="8" t="str">
        <f>IF(B1848="","",VLOOKUP(B1848,小圆机汇总表!A:AP,7,FALSE))</f>
        <v/>
      </c>
      <c r="E1848" s="8" t="str">
        <f>IF(B1848="","",VLOOKUP(B1848,小圆机汇总表!A:AP,5,FALSE))</f>
        <v/>
      </c>
      <c r="F1848" s="8" t="str">
        <f>IF(B1848="","",VLOOKUP(B1848,小圆机汇总表!A:AP,8,FALSE))</f>
        <v/>
      </c>
      <c r="J1848" s="8" t="str">
        <f t="shared" si="37"/>
        <v/>
      </c>
    </row>
    <row r="1849" spans="1:10">
      <c r="A1849" s="4">
        <v>1849</v>
      </c>
      <c r="C1849" s="8" t="s">
        <v>399</v>
      </c>
      <c r="D1849" s="8" t="str">
        <f>IF(B1849="","",VLOOKUP(B1849,小圆机汇总表!A:AP,7,FALSE))</f>
        <v/>
      </c>
      <c r="E1849" s="8" t="str">
        <f>IF(B1849="","",VLOOKUP(B1849,小圆机汇总表!A:AP,5,FALSE))</f>
        <v/>
      </c>
      <c r="F1849" s="8" t="str">
        <f>IF(B1849="","",VLOOKUP(B1849,小圆机汇总表!A:AP,8,FALSE))</f>
        <v/>
      </c>
      <c r="J1849" s="8" t="str">
        <f t="shared" si="37"/>
        <v/>
      </c>
    </row>
    <row r="1850" spans="1:10">
      <c r="A1850" s="4">
        <v>1850</v>
      </c>
      <c r="C1850" s="8" t="s">
        <v>399</v>
      </c>
      <c r="D1850" s="8" t="str">
        <f>IF(B1850="","",VLOOKUP(B1850,小圆机汇总表!A:AP,7,FALSE))</f>
        <v/>
      </c>
      <c r="E1850" s="8" t="str">
        <f>IF(B1850="","",VLOOKUP(B1850,小圆机汇总表!A:AP,5,FALSE))</f>
        <v/>
      </c>
      <c r="F1850" s="8" t="str">
        <f>IF(B1850="","",VLOOKUP(B1850,小圆机汇总表!A:AP,8,FALSE))</f>
        <v/>
      </c>
      <c r="J1850" s="8" t="str">
        <f t="shared" si="37"/>
        <v/>
      </c>
    </row>
    <row r="1851" spans="1:10">
      <c r="A1851" s="4">
        <v>1851</v>
      </c>
      <c r="C1851" s="8" t="s">
        <v>399</v>
      </c>
      <c r="D1851" s="8" t="str">
        <f>IF(B1851="","",VLOOKUP(B1851,小圆机汇总表!A:AP,7,FALSE))</f>
        <v/>
      </c>
      <c r="E1851" s="8" t="str">
        <f>IF(B1851="","",VLOOKUP(B1851,小圆机汇总表!A:AP,5,FALSE))</f>
        <v/>
      </c>
      <c r="F1851" s="8" t="str">
        <f>IF(B1851="","",VLOOKUP(B1851,小圆机汇总表!A:AP,8,FALSE))</f>
        <v/>
      </c>
      <c r="J1851" s="8" t="str">
        <f t="shared" si="37"/>
        <v/>
      </c>
    </row>
    <row r="1852" spans="1:10">
      <c r="A1852" s="4">
        <v>1852</v>
      </c>
      <c r="C1852" s="8" t="s">
        <v>399</v>
      </c>
      <c r="D1852" s="8" t="str">
        <f>IF(B1852="","",VLOOKUP(B1852,小圆机汇总表!A:AP,7,FALSE))</f>
        <v/>
      </c>
      <c r="E1852" s="8" t="str">
        <f>IF(B1852="","",VLOOKUP(B1852,小圆机汇总表!A:AP,5,FALSE))</f>
        <v/>
      </c>
      <c r="F1852" s="8" t="str">
        <f>IF(B1852="","",VLOOKUP(B1852,小圆机汇总表!A:AP,8,FALSE))</f>
        <v/>
      </c>
      <c r="J1852" s="8" t="str">
        <f t="shared" si="37"/>
        <v/>
      </c>
    </row>
    <row r="1853" spans="1:10">
      <c r="A1853" s="4">
        <v>1853</v>
      </c>
      <c r="C1853" s="8" t="s">
        <v>399</v>
      </c>
      <c r="D1853" s="8" t="str">
        <f>IF(B1853="","",VLOOKUP(B1853,小圆机汇总表!A:AP,7,FALSE))</f>
        <v/>
      </c>
      <c r="E1853" s="8" t="str">
        <f>IF(B1853="","",VLOOKUP(B1853,小圆机汇总表!A:AP,5,FALSE))</f>
        <v/>
      </c>
      <c r="F1853" s="8" t="str">
        <f>IF(B1853="","",VLOOKUP(B1853,小圆机汇总表!A:AP,8,FALSE))</f>
        <v/>
      </c>
      <c r="J1853" s="8" t="str">
        <f t="shared" si="37"/>
        <v/>
      </c>
    </row>
    <row r="1854" spans="1:10">
      <c r="A1854" s="4">
        <v>1854</v>
      </c>
      <c r="C1854" s="8" t="s">
        <v>399</v>
      </c>
      <c r="D1854" s="8" t="str">
        <f>IF(B1854="","",VLOOKUP(B1854,小圆机汇总表!A:AP,7,FALSE))</f>
        <v/>
      </c>
      <c r="E1854" s="8" t="str">
        <f>IF(B1854="","",VLOOKUP(B1854,小圆机汇总表!A:AP,5,FALSE))</f>
        <v/>
      </c>
      <c r="F1854" s="8" t="str">
        <f>IF(B1854="","",VLOOKUP(B1854,小圆机汇总表!A:AP,8,FALSE))</f>
        <v/>
      </c>
      <c r="J1854" s="8" t="str">
        <f t="shared" si="37"/>
        <v/>
      </c>
    </row>
    <row r="1855" spans="1:10">
      <c r="A1855" s="4">
        <v>1855</v>
      </c>
      <c r="C1855" s="8" t="s">
        <v>399</v>
      </c>
      <c r="D1855" s="8" t="str">
        <f>IF(B1855="","",VLOOKUP(B1855,小圆机汇总表!A:AP,7,FALSE))</f>
        <v/>
      </c>
      <c r="E1855" s="8" t="str">
        <f>IF(B1855="","",VLOOKUP(B1855,小圆机汇总表!A:AP,5,FALSE))</f>
        <v/>
      </c>
      <c r="F1855" s="8" t="str">
        <f>IF(B1855="","",VLOOKUP(B1855,小圆机汇总表!A:AP,8,FALSE))</f>
        <v/>
      </c>
      <c r="J1855" s="8" t="str">
        <f t="shared" si="37"/>
        <v/>
      </c>
    </row>
    <row r="1856" spans="1:10">
      <c r="A1856" s="4">
        <v>1856</v>
      </c>
      <c r="C1856" s="8" t="s">
        <v>399</v>
      </c>
      <c r="D1856" s="8" t="str">
        <f>IF(B1856="","",VLOOKUP(B1856,小圆机汇总表!A:AP,7,FALSE))</f>
        <v/>
      </c>
      <c r="E1856" s="8" t="str">
        <f>IF(B1856="","",VLOOKUP(B1856,小圆机汇总表!A:AP,5,FALSE))</f>
        <v/>
      </c>
      <c r="F1856" s="8" t="str">
        <f>IF(B1856="","",VLOOKUP(B1856,小圆机汇总表!A:AP,8,FALSE))</f>
        <v/>
      </c>
      <c r="J1856" s="8" t="str">
        <f t="shared" si="37"/>
        <v/>
      </c>
    </row>
    <row r="1857" spans="1:10">
      <c r="A1857" s="4">
        <v>1857</v>
      </c>
      <c r="C1857" s="8" t="s">
        <v>399</v>
      </c>
      <c r="D1857" s="8" t="str">
        <f>IF(B1857="","",VLOOKUP(B1857,小圆机汇总表!A:AP,7,FALSE))</f>
        <v/>
      </c>
      <c r="E1857" s="8" t="str">
        <f>IF(B1857="","",VLOOKUP(B1857,小圆机汇总表!A:AP,5,FALSE))</f>
        <v/>
      </c>
      <c r="F1857" s="8" t="str">
        <f>IF(B1857="","",VLOOKUP(B1857,小圆机汇总表!A:AP,8,FALSE))</f>
        <v/>
      </c>
      <c r="J1857" s="8" t="str">
        <f t="shared" si="37"/>
        <v/>
      </c>
    </row>
    <row r="1858" spans="1:10">
      <c r="A1858" s="4">
        <v>1858</v>
      </c>
      <c r="C1858" s="8" t="s">
        <v>399</v>
      </c>
      <c r="D1858" s="8" t="str">
        <f>IF(B1858="","",VLOOKUP(B1858,小圆机汇总表!A:AP,7,FALSE))</f>
        <v/>
      </c>
      <c r="E1858" s="8" t="str">
        <f>IF(B1858="","",VLOOKUP(B1858,小圆机汇总表!A:AP,5,FALSE))</f>
        <v/>
      </c>
      <c r="F1858" s="8" t="str">
        <f>IF(B1858="","",VLOOKUP(B1858,小圆机汇总表!A:AP,8,FALSE))</f>
        <v/>
      </c>
      <c r="J1858" s="8" t="str">
        <f t="shared" si="37"/>
        <v/>
      </c>
    </row>
    <row r="1859" spans="1:10">
      <c r="A1859" s="4">
        <v>1859</v>
      </c>
      <c r="C1859" s="8" t="s">
        <v>399</v>
      </c>
      <c r="D1859" s="8" t="str">
        <f>IF(B1859="","",VLOOKUP(B1859,小圆机汇总表!A:AP,7,FALSE))</f>
        <v/>
      </c>
      <c r="E1859" s="8" t="str">
        <f>IF(B1859="","",VLOOKUP(B1859,小圆机汇总表!A:AP,5,FALSE))</f>
        <v/>
      </c>
      <c r="F1859" s="8" t="str">
        <f>IF(B1859="","",VLOOKUP(B1859,小圆机汇总表!A:AP,8,FALSE))</f>
        <v/>
      </c>
      <c r="J1859" s="8" t="str">
        <f t="shared" si="37"/>
        <v/>
      </c>
    </row>
    <row r="1860" spans="1:10">
      <c r="A1860" s="4">
        <v>1860</v>
      </c>
      <c r="C1860" s="8" t="s">
        <v>399</v>
      </c>
      <c r="D1860" s="8" t="str">
        <f>IF(B1860="","",VLOOKUP(B1860,小圆机汇总表!A:AP,7,FALSE))</f>
        <v/>
      </c>
      <c r="E1860" s="8" t="str">
        <f>IF(B1860="","",VLOOKUP(B1860,小圆机汇总表!A:AP,5,FALSE))</f>
        <v/>
      </c>
      <c r="F1860" s="8" t="str">
        <f>IF(B1860="","",VLOOKUP(B1860,小圆机汇总表!A:AP,8,FALSE))</f>
        <v/>
      </c>
      <c r="J1860" s="8" t="str">
        <f t="shared" si="37"/>
        <v/>
      </c>
    </row>
    <row r="1861" spans="1:10">
      <c r="A1861" s="4">
        <v>1861</v>
      </c>
      <c r="C1861" s="8" t="s">
        <v>399</v>
      </c>
      <c r="D1861" s="8" t="str">
        <f>IF(B1861="","",VLOOKUP(B1861,小圆机汇总表!A:AP,7,FALSE))</f>
        <v/>
      </c>
      <c r="E1861" s="8" t="str">
        <f>IF(B1861="","",VLOOKUP(B1861,小圆机汇总表!A:AP,5,FALSE))</f>
        <v/>
      </c>
      <c r="F1861" s="8" t="str">
        <f>IF(B1861="","",VLOOKUP(B1861,小圆机汇总表!A:AP,8,FALSE))</f>
        <v/>
      </c>
      <c r="J1861" s="8" t="str">
        <f t="shared" si="37"/>
        <v/>
      </c>
    </row>
    <row r="1862" spans="1:10">
      <c r="A1862" s="4">
        <v>1862</v>
      </c>
      <c r="C1862" s="8" t="s">
        <v>399</v>
      </c>
      <c r="D1862" s="8" t="str">
        <f>IF(B1862="","",VLOOKUP(B1862,小圆机汇总表!A:AP,7,FALSE))</f>
        <v/>
      </c>
      <c r="E1862" s="8" t="str">
        <f>IF(B1862="","",VLOOKUP(B1862,小圆机汇总表!A:AP,5,FALSE))</f>
        <v/>
      </c>
      <c r="F1862" s="8" t="str">
        <f>IF(B1862="","",VLOOKUP(B1862,小圆机汇总表!A:AP,8,FALSE))</f>
        <v/>
      </c>
      <c r="J1862" s="8" t="str">
        <f t="shared" si="37"/>
        <v/>
      </c>
    </row>
    <row r="1863" spans="1:10">
      <c r="A1863" s="4">
        <v>1863</v>
      </c>
      <c r="C1863" s="8" t="s">
        <v>399</v>
      </c>
      <c r="D1863" s="8" t="str">
        <f>IF(B1863="","",VLOOKUP(B1863,小圆机汇总表!A:AP,7,FALSE))</f>
        <v/>
      </c>
      <c r="E1863" s="8" t="str">
        <f>IF(B1863="","",VLOOKUP(B1863,小圆机汇总表!A:AP,5,FALSE))</f>
        <v/>
      </c>
      <c r="F1863" s="8" t="str">
        <f>IF(B1863="","",VLOOKUP(B1863,小圆机汇总表!A:AP,8,FALSE))</f>
        <v/>
      </c>
      <c r="J1863" s="8" t="str">
        <f t="shared" si="37"/>
        <v/>
      </c>
    </row>
    <row r="1864" spans="1:10">
      <c r="A1864" s="4">
        <v>1864</v>
      </c>
      <c r="C1864" s="8" t="s">
        <v>399</v>
      </c>
      <c r="D1864" s="8" t="str">
        <f>IF(B1864="","",VLOOKUP(B1864,小圆机汇总表!A:AP,7,FALSE))</f>
        <v/>
      </c>
      <c r="E1864" s="8" t="str">
        <f>IF(B1864="","",VLOOKUP(B1864,小圆机汇总表!A:AP,5,FALSE))</f>
        <v/>
      </c>
      <c r="F1864" s="8" t="str">
        <f>IF(B1864="","",VLOOKUP(B1864,小圆机汇总表!A:AP,8,FALSE))</f>
        <v/>
      </c>
      <c r="J1864" s="8" t="str">
        <f t="shared" si="37"/>
        <v/>
      </c>
    </row>
    <row r="1865" spans="1:10">
      <c r="A1865" s="4">
        <v>1865</v>
      </c>
      <c r="C1865" s="8" t="s">
        <v>399</v>
      </c>
      <c r="D1865" s="8" t="str">
        <f>IF(B1865="","",VLOOKUP(B1865,小圆机汇总表!A:AP,7,FALSE))</f>
        <v/>
      </c>
      <c r="E1865" s="8" t="str">
        <f>IF(B1865="","",VLOOKUP(B1865,小圆机汇总表!A:AP,5,FALSE))</f>
        <v/>
      </c>
      <c r="F1865" s="8" t="str">
        <f>IF(B1865="","",VLOOKUP(B1865,小圆机汇总表!A:AP,8,FALSE))</f>
        <v/>
      </c>
      <c r="J1865" s="8" t="str">
        <f t="shared" si="37"/>
        <v/>
      </c>
    </row>
    <row r="1866" spans="1:10">
      <c r="A1866" s="4">
        <v>1866</v>
      </c>
      <c r="C1866" s="8" t="s">
        <v>399</v>
      </c>
      <c r="D1866" s="8" t="str">
        <f>IF(B1866="","",VLOOKUP(B1866,小圆机汇总表!A:AP,7,FALSE))</f>
        <v/>
      </c>
      <c r="E1866" s="8" t="str">
        <f>IF(B1866="","",VLOOKUP(B1866,小圆机汇总表!A:AP,5,FALSE))</f>
        <v/>
      </c>
      <c r="F1866" s="8" t="str">
        <f>IF(B1866="","",VLOOKUP(B1866,小圆机汇总表!A:AP,8,FALSE))</f>
        <v/>
      </c>
      <c r="J1866" s="8" t="str">
        <f t="shared" si="37"/>
        <v/>
      </c>
    </row>
    <row r="1867" spans="1:10">
      <c r="A1867" s="4">
        <v>1867</v>
      </c>
      <c r="C1867" s="8" t="s">
        <v>399</v>
      </c>
      <c r="D1867" s="8" t="str">
        <f>IF(B1867="","",VLOOKUP(B1867,小圆机汇总表!A:AP,7,FALSE))</f>
        <v/>
      </c>
      <c r="E1867" s="8" t="str">
        <f>IF(B1867="","",VLOOKUP(B1867,小圆机汇总表!A:AP,5,FALSE))</f>
        <v/>
      </c>
      <c r="F1867" s="8" t="str">
        <f>IF(B1867="","",VLOOKUP(B1867,小圆机汇总表!A:AP,8,FALSE))</f>
        <v/>
      </c>
      <c r="J1867" s="8" t="str">
        <f t="shared" si="37"/>
        <v/>
      </c>
    </row>
    <row r="1868" spans="1:10">
      <c r="A1868" s="4">
        <v>1868</v>
      </c>
      <c r="C1868" s="8" t="s">
        <v>399</v>
      </c>
      <c r="D1868" s="8" t="str">
        <f>IF(B1868="","",VLOOKUP(B1868,小圆机汇总表!A:AP,7,FALSE))</f>
        <v/>
      </c>
      <c r="E1868" s="8" t="str">
        <f>IF(B1868="","",VLOOKUP(B1868,小圆机汇总表!A:AP,5,FALSE))</f>
        <v/>
      </c>
      <c r="F1868" s="8" t="str">
        <f>IF(B1868="","",VLOOKUP(B1868,小圆机汇总表!A:AP,8,FALSE))</f>
        <v/>
      </c>
      <c r="J1868" s="8" t="str">
        <f t="shared" si="37"/>
        <v/>
      </c>
    </row>
    <row r="1869" spans="1:10">
      <c r="A1869" s="4">
        <v>1869</v>
      </c>
      <c r="C1869" s="8" t="s">
        <v>399</v>
      </c>
      <c r="D1869" s="8" t="str">
        <f>IF(B1869="","",VLOOKUP(B1869,小圆机汇总表!A:AP,7,FALSE))</f>
        <v/>
      </c>
      <c r="E1869" s="8" t="str">
        <f>IF(B1869="","",VLOOKUP(B1869,小圆机汇总表!A:AP,5,FALSE))</f>
        <v/>
      </c>
      <c r="F1869" s="8" t="str">
        <f>IF(B1869="","",VLOOKUP(B1869,小圆机汇总表!A:AP,8,FALSE))</f>
        <v/>
      </c>
      <c r="J1869" s="8" t="str">
        <f t="shared" si="37"/>
        <v/>
      </c>
    </row>
    <row r="1870" spans="1:10">
      <c r="A1870" s="4">
        <v>1870</v>
      </c>
      <c r="C1870" s="8" t="s">
        <v>399</v>
      </c>
      <c r="D1870" s="8" t="str">
        <f>IF(B1870="","",VLOOKUP(B1870,小圆机汇总表!A:AP,7,FALSE))</f>
        <v/>
      </c>
      <c r="E1870" s="8" t="str">
        <f>IF(B1870="","",VLOOKUP(B1870,小圆机汇总表!A:AP,5,FALSE))</f>
        <v/>
      </c>
      <c r="F1870" s="8" t="str">
        <f>IF(B1870="","",VLOOKUP(B1870,小圆机汇总表!A:AP,8,FALSE))</f>
        <v/>
      </c>
      <c r="J1870" s="8" t="str">
        <f t="shared" si="37"/>
        <v/>
      </c>
    </row>
    <row r="1871" spans="1:10">
      <c r="A1871" s="4">
        <v>1871</v>
      </c>
      <c r="C1871" s="8" t="s">
        <v>399</v>
      </c>
      <c r="D1871" s="8" t="str">
        <f>IF(B1871="","",VLOOKUP(B1871,小圆机汇总表!A:AP,7,FALSE))</f>
        <v/>
      </c>
      <c r="E1871" s="8" t="str">
        <f>IF(B1871="","",VLOOKUP(B1871,小圆机汇总表!A:AP,5,FALSE))</f>
        <v/>
      </c>
      <c r="F1871" s="8" t="str">
        <f>IF(B1871="","",VLOOKUP(B1871,小圆机汇总表!A:AP,8,FALSE))</f>
        <v/>
      </c>
      <c r="J1871" s="8" t="str">
        <f t="shared" si="37"/>
        <v/>
      </c>
    </row>
    <row r="1872" spans="1:10">
      <c r="A1872" s="4">
        <v>1872</v>
      </c>
      <c r="C1872" s="8" t="s">
        <v>399</v>
      </c>
      <c r="D1872" s="8" t="str">
        <f>IF(B1872="","",VLOOKUP(B1872,小圆机汇总表!A:AP,7,FALSE))</f>
        <v/>
      </c>
      <c r="E1872" s="8" t="str">
        <f>IF(B1872="","",VLOOKUP(B1872,小圆机汇总表!A:AP,5,FALSE))</f>
        <v/>
      </c>
      <c r="F1872" s="8" t="str">
        <f>IF(B1872="","",VLOOKUP(B1872,小圆机汇总表!A:AP,8,FALSE))</f>
        <v/>
      </c>
      <c r="J1872" s="8" t="str">
        <f t="shared" si="37"/>
        <v/>
      </c>
    </row>
    <row r="1873" spans="1:10">
      <c r="A1873" s="4">
        <v>1873</v>
      </c>
      <c r="C1873" s="8" t="s">
        <v>399</v>
      </c>
      <c r="D1873" s="8" t="str">
        <f>IF(B1873="","",VLOOKUP(B1873,小圆机汇总表!A:AP,7,FALSE))</f>
        <v/>
      </c>
      <c r="E1873" s="8" t="str">
        <f>IF(B1873="","",VLOOKUP(B1873,小圆机汇总表!A:AP,5,FALSE))</f>
        <v/>
      </c>
      <c r="F1873" s="8" t="str">
        <f>IF(B1873="","",VLOOKUP(B1873,小圆机汇总表!A:AP,8,FALSE))</f>
        <v/>
      </c>
      <c r="J1873" s="8" t="str">
        <f t="shared" si="37"/>
        <v/>
      </c>
    </row>
    <row r="1874" spans="1:10">
      <c r="A1874" s="4">
        <v>1874</v>
      </c>
      <c r="C1874" s="8" t="s">
        <v>399</v>
      </c>
      <c r="D1874" s="8" t="str">
        <f>IF(B1874="","",VLOOKUP(B1874,小圆机汇总表!A:AP,7,FALSE))</f>
        <v/>
      </c>
      <c r="E1874" s="8" t="str">
        <f>IF(B1874="","",VLOOKUP(B1874,小圆机汇总表!A:AP,5,FALSE))</f>
        <v/>
      </c>
      <c r="F1874" s="8" t="str">
        <f>IF(B1874="","",VLOOKUP(B1874,小圆机汇总表!A:AP,8,FALSE))</f>
        <v/>
      </c>
      <c r="J1874" s="8" t="str">
        <f t="shared" si="37"/>
        <v/>
      </c>
    </row>
    <row r="1875" spans="1:10">
      <c r="A1875" s="4">
        <v>1875</v>
      </c>
      <c r="C1875" s="8" t="s">
        <v>399</v>
      </c>
      <c r="D1875" s="8" t="str">
        <f>IF(B1875="","",VLOOKUP(B1875,小圆机汇总表!A:AP,7,FALSE))</f>
        <v/>
      </c>
      <c r="E1875" s="8" t="str">
        <f>IF(B1875="","",VLOOKUP(B1875,小圆机汇总表!A:AP,5,FALSE))</f>
        <v/>
      </c>
      <c r="F1875" s="8" t="str">
        <f>IF(B1875="","",VLOOKUP(B1875,小圆机汇总表!A:AP,8,FALSE))</f>
        <v/>
      </c>
      <c r="J1875" s="8" t="str">
        <f t="shared" si="37"/>
        <v/>
      </c>
    </row>
    <row r="1876" spans="1:10">
      <c r="A1876" s="4">
        <v>1876</v>
      </c>
      <c r="C1876" s="8" t="s">
        <v>399</v>
      </c>
      <c r="D1876" s="8" t="str">
        <f>IF(B1876="","",VLOOKUP(B1876,小圆机汇总表!A:AP,7,FALSE))</f>
        <v/>
      </c>
      <c r="E1876" s="8" t="str">
        <f>IF(B1876="","",VLOOKUP(B1876,小圆机汇总表!A:AP,5,FALSE))</f>
        <v/>
      </c>
      <c r="F1876" s="8" t="str">
        <f>IF(B1876="","",VLOOKUP(B1876,小圆机汇总表!A:AP,8,FALSE))</f>
        <v/>
      </c>
      <c r="J1876" s="8" t="str">
        <f t="shared" si="37"/>
        <v/>
      </c>
    </row>
    <row r="1877" spans="1:10">
      <c r="A1877" s="4">
        <v>1877</v>
      </c>
      <c r="C1877" s="8" t="s">
        <v>399</v>
      </c>
      <c r="D1877" s="8" t="str">
        <f>IF(B1877="","",VLOOKUP(B1877,小圆机汇总表!A:AP,7,FALSE))</f>
        <v/>
      </c>
      <c r="E1877" s="8" t="str">
        <f>IF(B1877="","",VLOOKUP(B1877,小圆机汇总表!A:AP,5,FALSE))</f>
        <v/>
      </c>
      <c r="F1877" s="8" t="str">
        <f>IF(B1877="","",VLOOKUP(B1877,小圆机汇总表!A:AP,8,FALSE))</f>
        <v/>
      </c>
      <c r="J1877" s="8" t="str">
        <f t="shared" si="37"/>
        <v/>
      </c>
    </row>
    <row r="1878" spans="1:10">
      <c r="A1878" s="4">
        <v>1878</v>
      </c>
      <c r="C1878" s="8" t="s">
        <v>399</v>
      </c>
      <c r="D1878" s="8" t="str">
        <f>IF(B1878="","",VLOOKUP(B1878,小圆机汇总表!A:AP,7,FALSE))</f>
        <v/>
      </c>
      <c r="E1878" s="8" t="str">
        <f>IF(B1878="","",VLOOKUP(B1878,小圆机汇总表!A:AP,5,FALSE))</f>
        <v/>
      </c>
      <c r="F1878" s="8" t="str">
        <f>IF(B1878="","",VLOOKUP(B1878,小圆机汇总表!A:AP,8,FALSE))</f>
        <v/>
      </c>
      <c r="J1878" s="8" t="str">
        <f t="shared" si="37"/>
        <v/>
      </c>
    </row>
    <row r="1879" spans="1:10">
      <c r="A1879" s="4">
        <v>1879</v>
      </c>
      <c r="C1879" s="8" t="s">
        <v>399</v>
      </c>
      <c r="D1879" s="8" t="str">
        <f>IF(B1879="","",VLOOKUP(B1879,小圆机汇总表!A:AP,7,FALSE))</f>
        <v/>
      </c>
      <c r="E1879" s="8" t="str">
        <f>IF(B1879="","",VLOOKUP(B1879,小圆机汇总表!A:AP,5,FALSE))</f>
        <v/>
      </c>
      <c r="F1879" s="8" t="str">
        <f>IF(B1879="","",VLOOKUP(B1879,小圆机汇总表!A:AP,8,FALSE))</f>
        <v/>
      </c>
      <c r="J1879" s="8" t="str">
        <f t="shared" si="37"/>
        <v/>
      </c>
    </row>
    <row r="1880" spans="1:10">
      <c r="A1880" s="4">
        <v>1880</v>
      </c>
      <c r="C1880" s="8" t="s">
        <v>399</v>
      </c>
      <c r="D1880" s="8" t="str">
        <f>IF(B1880="","",VLOOKUP(B1880,小圆机汇总表!A:AP,7,FALSE))</f>
        <v/>
      </c>
      <c r="E1880" s="8" t="str">
        <f>IF(B1880="","",VLOOKUP(B1880,小圆机汇总表!A:AP,5,FALSE))</f>
        <v/>
      </c>
      <c r="F1880" s="8" t="str">
        <f>IF(B1880="","",VLOOKUP(B1880,小圆机汇总表!A:AP,8,FALSE))</f>
        <v/>
      </c>
      <c r="J1880" s="8" t="str">
        <f t="shared" si="37"/>
        <v/>
      </c>
    </row>
    <row r="1881" spans="1:10">
      <c r="A1881" s="4">
        <v>1881</v>
      </c>
      <c r="C1881" s="8" t="s">
        <v>399</v>
      </c>
      <c r="D1881" s="8" t="str">
        <f>IF(B1881="","",VLOOKUP(B1881,小圆机汇总表!A:AP,7,FALSE))</f>
        <v/>
      </c>
      <c r="E1881" s="8" t="str">
        <f>IF(B1881="","",VLOOKUP(B1881,小圆机汇总表!A:AP,5,FALSE))</f>
        <v/>
      </c>
      <c r="F1881" s="8" t="str">
        <f>IF(B1881="","",VLOOKUP(B1881,小圆机汇总表!A:AP,8,FALSE))</f>
        <v/>
      </c>
      <c r="J1881" s="8" t="str">
        <f t="shared" si="37"/>
        <v/>
      </c>
    </row>
    <row r="1882" spans="1:10">
      <c r="A1882" s="4">
        <v>1882</v>
      </c>
      <c r="C1882" s="8" t="s">
        <v>399</v>
      </c>
      <c r="D1882" s="8" t="str">
        <f>IF(B1882="","",VLOOKUP(B1882,小圆机汇总表!A:AP,7,FALSE))</f>
        <v/>
      </c>
      <c r="E1882" s="8" t="str">
        <f>IF(B1882="","",VLOOKUP(B1882,小圆机汇总表!A:AP,5,FALSE))</f>
        <v/>
      </c>
      <c r="F1882" s="8" t="str">
        <f>IF(B1882="","",VLOOKUP(B1882,小圆机汇总表!A:AP,8,FALSE))</f>
        <v/>
      </c>
      <c r="J1882" s="8" t="str">
        <f t="shared" si="37"/>
        <v/>
      </c>
    </row>
    <row r="1883" spans="1:10">
      <c r="A1883" s="4">
        <v>1883</v>
      </c>
      <c r="C1883" s="8" t="s">
        <v>399</v>
      </c>
      <c r="D1883" s="8" t="str">
        <f>IF(B1883="","",VLOOKUP(B1883,小圆机汇总表!A:AP,7,FALSE))</f>
        <v/>
      </c>
      <c r="E1883" s="8" t="str">
        <f>IF(B1883="","",VLOOKUP(B1883,小圆机汇总表!A:AP,5,FALSE))</f>
        <v/>
      </c>
      <c r="F1883" s="8" t="str">
        <f>IF(B1883="","",VLOOKUP(B1883,小圆机汇总表!A:AP,8,FALSE))</f>
        <v/>
      </c>
      <c r="J1883" s="8" t="str">
        <f t="shared" si="37"/>
        <v/>
      </c>
    </row>
    <row r="1884" spans="1:10">
      <c r="A1884" s="4">
        <v>1884</v>
      </c>
      <c r="C1884" s="8" t="s">
        <v>399</v>
      </c>
      <c r="D1884" s="8" t="str">
        <f>IF(B1884="","",VLOOKUP(B1884,小圆机汇总表!A:AP,7,FALSE))</f>
        <v/>
      </c>
      <c r="E1884" s="8" t="str">
        <f>IF(B1884="","",VLOOKUP(B1884,小圆机汇总表!A:AP,5,FALSE))</f>
        <v/>
      </c>
      <c r="F1884" s="8" t="str">
        <f>IF(B1884="","",VLOOKUP(B1884,小圆机汇总表!A:AP,8,FALSE))</f>
        <v/>
      </c>
      <c r="J1884" s="8" t="str">
        <f t="shared" si="37"/>
        <v/>
      </c>
    </row>
    <row r="1885" spans="1:10">
      <c r="A1885" s="4">
        <v>1885</v>
      </c>
      <c r="C1885" s="8" t="s">
        <v>399</v>
      </c>
      <c r="D1885" s="8" t="str">
        <f>IF(B1885="","",VLOOKUP(B1885,小圆机汇总表!A:AP,7,FALSE))</f>
        <v/>
      </c>
      <c r="E1885" s="8" t="str">
        <f>IF(B1885="","",VLOOKUP(B1885,小圆机汇总表!A:AP,5,FALSE))</f>
        <v/>
      </c>
      <c r="F1885" s="8" t="str">
        <f>IF(B1885="","",VLOOKUP(B1885,小圆机汇总表!A:AP,8,FALSE))</f>
        <v/>
      </c>
      <c r="J1885" s="8" t="str">
        <f t="shared" si="37"/>
        <v/>
      </c>
    </row>
    <row r="1886" spans="1:10">
      <c r="A1886" s="4">
        <v>1886</v>
      </c>
      <c r="C1886" s="8" t="s">
        <v>399</v>
      </c>
      <c r="D1886" s="8" t="str">
        <f>IF(B1886="","",VLOOKUP(B1886,小圆机汇总表!A:AP,7,FALSE))</f>
        <v/>
      </c>
      <c r="E1886" s="8" t="str">
        <f>IF(B1886="","",VLOOKUP(B1886,小圆机汇总表!A:AP,5,FALSE))</f>
        <v/>
      </c>
      <c r="F1886" s="8" t="str">
        <f>IF(B1886="","",VLOOKUP(B1886,小圆机汇总表!A:AP,8,FALSE))</f>
        <v/>
      </c>
      <c r="J1886" s="8" t="str">
        <f t="shared" si="37"/>
        <v/>
      </c>
    </row>
    <row r="1887" spans="1:10">
      <c r="A1887" s="4">
        <v>1887</v>
      </c>
      <c r="C1887" s="8" t="s">
        <v>399</v>
      </c>
      <c r="D1887" s="8" t="str">
        <f>IF(B1887="","",VLOOKUP(B1887,小圆机汇总表!A:AP,7,FALSE))</f>
        <v/>
      </c>
      <c r="E1887" s="8" t="str">
        <f>IF(B1887="","",VLOOKUP(B1887,小圆机汇总表!A:AP,5,FALSE))</f>
        <v/>
      </c>
      <c r="F1887" s="8" t="str">
        <f>IF(B1887="","",VLOOKUP(B1887,小圆机汇总表!A:AP,8,FALSE))</f>
        <v/>
      </c>
      <c r="J1887" s="8" t="str">
        <f t="shared" si="37"/>
        <v/>
      </c>
    </row>
    <row r="1888" spans="1:10">
      <c r="A1888" s="4">
        <v>1888</v>
      </c>
      <c r="C1888" s="8" t="s">
        <v>399</v>
      </c>
      <c r="D1888" s="8" t="str">
        <f>IF(B1888="","",VLOOKUP(B1888,小圆机汇总表!A:AP,7,FALSE))</f>
        <v/>
      </c>
      <c r="E1888" s="8" t="str">
        <f>IF(B1888="","",VLOOKUP(B1888,小圆机汇总表!A:AP,5,FALSE))</f>
        <v/>
      </c>
      <c r="F1888" s="8" t="str">
        <f>IF(B1888="","",VLOOKUP(B1888,小圆机汇总表!A:AP,8,FALSE))</f>
        <v/>
      </c>
      <c r="J1888" s="8" t="str">
        <f t="shared" si="37"/>
        <v/>
      </c>
    </row>
    <row r="1889" spans="1:10">
      <c r="A1889" s="4">
        <v>1889</v>
      </c>
      <c r="C1889" s="8" t="s">
        <v>399</v>
      </c>
      <c r="D1889" s="8" t="str">
        <f>IF(B1889="","",VLOOKUP(B1889,小圆机汇总表!A:AP,7,FALSE))</f>
        <v/>
      </c>
      <c r="E1889" s="8" t="str">
        <f>IF(B1889="","",VLOOKUP(B1889,小圆机汇总表!A:AP,5,FALSE))</f>
        <v/>
      </c>
      <c r="F1889" s="8" t="str">
        <f>IF(B1889="","",VLOOKUP(B1889,小圆机汇总表!A:AP,8,FALSE))</f>
        <v/>
      </c>
      <c r="J1889" s="8" t="str">
        <f t="shared" si="37"/>
        <v/>
      </c>
    </row>
    <row r="1890" spans="1:10">
      <c r="A1890" s="4">
        <v>1890</v>
      </c>
      <c r="C1890" s="8" t="s">
        <v>399</v>
      </c>
      <c r="D1890" s="8" t="str">
        <f>IF(B1890="","",VLOOKUP(B1890,小圆机汇总表!A:AP,7,FALSE))</f>
        <v/>
      </c>
      <c r="E1890" s="8" t="str">
        <f>IF(B1890="","",VLOOKUP(B1890,小圆机汇总表!A:AP,5,FALSE))</f>
        <v/>
      </c>
      <c r="F1890" s="8" t="str">
        <f>IF(B1890="","",VLOOKUP(B1890,小圆机汇总表!A:AP,8,FALSE))</f>
        <v/>
      </c>
      <c r="J1890" s="8" t="str">
        <f t="shared" si="37"/>
        <v/>
      </c>
    </row>
    <row r="1891" spans="1:10">
      <c r="A1891" s="4">
        <v>1891</v>
      </c>
      <c r="C1891" s="8" t="s">
        <v>399</v>
      </c>
      <c r="D1891" s="8" t="str">
        <f>IF(B1891="","",VLOOKUP(B1891,小圆机汇总表!A:AP,7,FALSE))</f>
        <v/>
      </c>
      <c r="E1891" s="8" t="str">
        <f>IF(B1891="","",VLOOKUP(B1891,小圆机汇总表!A:AP,5,FALSE))</f>
        <v/>
      </c>
      <c r="F1891" s="8" t="str">
        <f>IF(B1891="","",VLOOKUP(B1891,小圆机汇总表!A:AP,8,FALSE))</f>
        <v/>
      </c>
      <c r="J1891" s="8" t="str">
        <f t="shared" ref="J1891:J1915" si="38">IF(B1891="","",MONTH(G1891))</f>
        <v/>
      </c>
    </row>
    <row r="1892" spans="1:10">
      <c r="A1892" s="4">
        <v>1892</v>
      </c>
      <c r="C1892" s="8" t="s">
        <v>399</v>
      </c>
      <c r="D1892" s="8" t="str">
        <f>IF(B1892="","",VLOOKUP(B1892,小圆机汇总表!A:AP,7,FALSE))</f>
        <v/>
      </c>
      <c r="E1892" s="8" t="str">
        <f>IF(B1892="","",VLOOKUP(B1892,小圆机汇总表!A:AP,5,FALSE))</f>
        <v/>
      </c>
      <c r="F1892" s="8" t="str">
        <f>IF(B1892="","",VLOOKUP(B1892,小圆机汇总表!A:AP,8,FALSE))</f>
        <v/>
      </c>
      <c r="J1892" s="8" t="str">
        <f t="shared" si="38"/>
        <v/>
      </c>
    </row>
    <row r="1893" spans="1:10">
      <c r="A1893" s="4">
        <v>1893</v>
      </c>
      <c r="C1893" s="8" t="s">
        <v>399</v>
      </c>
      <c r="D1893" s="8" t="str">
        <f>IF(B1893="","",VLOOKUP(B1893,小圆机汇总表!A:AP,7,FALSE))</f>
        <v/>
      </c>
      <c r="E1893" s="8" t="str">
        <f>IF(B1893="","",VLOOKUP(B1893,小圆机汇总表!A:AP,5,FALSE))</f>
        <v/>
      </c>
      <c r="F1893" s="8" t="str">
        <f>IF(B1893="","",VLOOKUP(B1893,小圆机汇总表!A:AP,8,FALSE))</f>
        <v/>
      </c>
      <c r="J1893" s="8" t="str">
        <f t="shared" si="38"/>
        <v/>
      </c>
    </row>
    <row r="1894" spans="1:10">
      <c r="A1894" s="4">
        <v>1894</v>
      </c>
      <c r="C1894" s="8" t="s">
        <v>399</v>
      </c>
      <c r="D1894" s="8" t="str">
        <f>IF(B1894="","",VLOOKUP(B1894,小圆机汇总表!A:AP,7,FALSE))</f>
        <v/>
      </c>
      <c r="E1894" s="8" t="str">
        <f>IF(B1894="","",VLOOKUP(B1894,小圆机汇总表!A:AP,5,FALSE))</f>
        <v/>
      </c>
      <c r="F1894" s="8" t="str">
        <f>IF(B1894="","",VLOOKUP(B1894,小圆机汇总表!A:AP,8,FALSE))</f>
        <v/>
      </c>
      <c r="J1894" s="8" t="str">
        <f t="shared" si="38"/>
        <v/>
      </c>
    </row>
    <row r="1895" spans="1:10">
      <c r="A1895" s="4">
        <v>1895</v>
      </c>
      <c r="C1895" s="8" t="s">
        <v>399</v>
      </c>
      <c r="D1895" s="8" t="str">
        <f>IF(B1895="","",VLOOKUP(B1895,小圆机汇总表!A:AP,7,FALSE))</f>
        <v/>
      </c>
      <c r="E1895" s="8" t="str">
        <f>IF(B1895="","",VLOOKUP(B1895,小圆机汇总表!A:AP,5,FALSE))</f>
        <v/>
      </c>
      <c r="F1895" s="8" t="str">
        <f>IF(B1895="","",VLOOKUP(B1895,小圆机汇总表!A:AP,8,FALSE))</f>
        <v/>
      </c>
      <c r="J1895" s="8" t="str">
        <f t="shared" si="38"/>
        <v/>
      </c>
    </row>
    <row r="1896" spans="1:10">
      <c r="A1896" s="4">
        <v>1896</v>
      </c>
      <c r="C1896" s="8" t="s">
        <v>399</v>
      </c>
      <c r="D1896" s="8" t="str">
        <f>IF(B1896="","",VLOOKUP(B1896,小圆机汇总表!A:AP,7,FALSE))</f>
        <v/>
      </c>
      <c r="E1896" s="8" t="str">
        <f>IF(B1896="","",VLOOKUP(B1896,小圆机汇总表!A:AP,5,FALSE))</f>
        <v/>
      </c>
      <c r="F1896" s="8" t="str">
        <f>IF(B1896="","",VLOOKUP(B1896,小圆机汇总表!A:AP,8,FALSE))</f>
        <v/>
      </c>
      <c r="J1896" s="8" t="str">
        <f t="shared" si="38"/>
        <v/>
      </c>
    </row>
    <row r="1897" spans="1:10">
      <c r="A1897" s="4">
        <v>1897</v>
      </c>
      <c r="C1897" s="8" t="s">
        <v>399</v>
      </c>
      <c r="D1897" s="8" t="str">
        <f>IF(B1897="","",VLOOKUP(B1897,小圆机汇总表!A:AP,7,FALSE))</f>
        <v/>
      </c>
      <c r="E1897" s="8" t="str">
        <f>IF(B1897="","",VLOOKUP(B1897,小圆机汇总表!A:AP,5,FALSE))</f>
        <v/>
      </c>
      <c r="F1897" s="8" t="str">
        <f>IF(B1897="","",VLOOKUP(B1897,小圆机汇总表!A:AP,8,FALSE))</f>
        <v/>
      </c>
      <c r="J1897" s="8" t="str">
        <f t="shared" si="38"/>
        <v/>
      </c>
    </row>
    <row r="1898" spans="1:10">
      <c r="A1898" s="4">
        <v>1898</v>
      </c>
      <c r="C1898" s="8" t="s">
        <v>399</v>
      </c>
      <c r="D1898" s="8" t="str">
        <f>IF(B1898="","",VLOOKUP(B1898,小圆机汇总表!A:AP,7,FALSE))</f>
        <v/>
      </c>
      <c r="E1898" s="8" t="str">
        <f>IF(B1898="","",VLOOKUP(B1898,小圆机汇总表!A:AP,5,FALSE))</f>
        <v/>
      </c>
      <c r="F1898" s="8" t="str">
        <f>IF(B1898="","",VLOOKUP(B1898,小圆机汇总表!A:AP,8,FALSE))</f>
        <v/>
      </c>
      <c r="J1898" s="8" t="str">
        <f t="shared" si="38"/>
        <v/>
      </c>
    </row>
    <row r="1899" spans="1:10">
      <c r="A1899" s="4">
        <v>1899</v>
      </c>
      <c r="C1899" s="8" t="s">
        <v>399</v>
      </c>
      <c r="D1899" s="8" t="str">
        <f>IF(B1899="","",VLOOKUP(B1899,小圆机汇总表!A:AP,7,FALSE))</f>
        <v/>
      </c>
      <c r="E1899" s="8" t="str">
        <f>IF(B1899="","",VLOOKUP(B1899,小圆机汇总表!A:AP,5,FALSE))</f>
        <v/>
      </c>
      <c r="F1899" s="8" t="str">
        <f>IF(B1899="","",VLOOKUP(B1899,小圆机汇总表!A:AP,8,FALSE))</f>
        <v/>
      </c>
      <c r="J1899" s="8" t="str">
        <f t="shared" si="38"/>
        <v/>
      </c>
    </row>
    <row r="1900" spans="1:10">
      <c r="A1900" s="4">
        <v>1900</v>
      </c>
      <c r="C1900" s="8" t="s">
        <v>399</v>
      </c>
      <c r="D1900" s="8" t="str">
        <f>IF(B1900="","",VLOOKUP(B1900,小圆机汇总表!A:AP,7,FALSE))</f>
        <v/>
      </c>
      <c r="E1900" s="8" t="str">
        <f>IF(B1900="","",VLOOKUP(B1900,小圆机汇总表!A:AP,5,FALSE))</f>
        <v/>
      </c>
      <c r="F1900" s="8" t="str">
        <f>IF(B1900="","",VLOOKUP(B1900,小圆机汇总表!A:AP,8,FALSE))</f>
        <v/>
      </c>
      <c r="J1900" s="8" t="str">
        <f t="shared" si="38"/>
        <v/>
      </c>
    </row>
    <row r="1901" spans="1:10">
      <c r="A1901" s="4">
        <v>1901</v>
      </c>
      <c r="C1901" s="8" t="s">
        <v>399</v>
      </c>
      <c r="D1901" s="8" t="str">
        <f>IF(B1901="","",VLOOKUP(B1901,小圆机汇总表!A:AP,7,FALSE))</f>
        <v/>
      </c>
      <c r="E1901" s="8" t="str">
        <f>IF(B1901="","",VLOOKUP(B1901,小圆机汇总表!A:AP,5,FALSE))</f>
        <v/>
      </c>
      <c r="F1901" s="8" t="str">
        <f>IF(B1901="","",VLOOKUP(B1901,小圆机汇总表!A:AP,8,FALSE))</f>
        <v/>
      </c>
      <c r="J1901" s="8" t="str">
        <f t="shared" si="38"/>
        <v/>
      </c>
    </row>
    <row r="1902" spans="1:10">
      <c r="A1902" s="4">
        <v>1902</v>
      </c>
      <c r="C1902" s="8" t="s">
        <v>399</v>
      </c>
      <c r="D1902" s="8" t="str">
        <f>IF(B1902="","",VLOOKUP(B1902,小圆机汇总表!A:AP,7,FALSE))</f>
        <v/>
      </c>
      <c r="E1902" s="8" t="str">
        <f>IF(B1902="","",VLOOKUP(B1902,小圆机汇总表!A:AP,5,FALSE))</f>
        <v/>
      </c>
      <c r="F1902" s="8" t="str">
        <f>IF(B1902="","",VLOOKUP(B1902,小圆机汇总表!A:AP,8,FALSE))</f>
        <v/>
      </c>
      <c r="J1902" s="8" t="str">
        <f t="shared" si="38"/>
        <v/>
      </c>
    </row>
    <row r="1903" spans="1:10">
      <c r="A1903" s="4">
        <v>1903</v>
      </c>
      <c r="C1903" s="8" t="s">
        <v>399</v>
      </c>
      <c r="D1903" s="8" t="str">
        <f>IF(B1903="","",VLOOKUP(B1903,小圆机汇总表!A:AP,7,FALSE))</f>
        <v/>
      </c>
      <c r="E1903" s="8" t="str">
        <f>IF(B1903="","",VLOOKUP(B1903,小圆机汇总表!A:AP,5,FALSE))</f>
        <v/>
      </c>
      <c r="F1903" s="8" t="str">
        <f>IF(B1903="","",VLOOKUP(B1903,小圆机汇总表!A:AP,8,FALSE))</f>
        <v/>
      </c>
      <c r="J1903" s="8" t="str">
        <f t="shared" si="38"/>
        <v/>
      </c>
    </row>
    <row r="1904" spans="1:10">
      <c r="J1904" s="8" t="str">
        <f t="shared" si="38"/>
        <v/>
      </c>
    </row>
    <row r="1905" spans="10:10">
      <c r="J1905" s="8" t="str">
        <f t="shared" si="38"/>
        <v/>
      </c>
    </row>
    <row r="1906" spans="10:10">
      <c r="J1906" s="8" t="str">
        <f t="shared" si="38"/>
        <v/>
      </c>
    </row>
    <row r="1907" spans="10:10">
      <c r="J1907" s="8" t="str">
        <f t="shared" si="38"/>
        <v/>
      </c>
    </row>
    <row r="1908" spans="10:10">
      <c r="J1908" s="8" t="str">
        <f t="shared" si="38"/>
        <v/>
      </c>
    </row>
    <row r="1909" spans="10:10">
      <c r="J1909" s="8" t="str">
        <f t="shared" si="38"/>
        <v/>
      </c>
    </row>
    <row r="1910" spans="10:10">
      <c r="J1910" s="8" t="str">
        <f t="shared" si="38"/>
        <v/>
      </c>
    </row>
    <row r="1911" spans="10:10">
      <c r="J1911" s="8" t="str">
        <f t="shared" si="38"/>
        <v/>
      </c>
    </row>
    <row r="1912" spans="10:10">
      <c r="J1912" s="8" t="str">
        <f t="shared" si="38"/>
        <v/>
      </c>
    </row>
    <row r="1913" spans="10:10">
      <c r="J1913" s="8" t="str">
        <f t="shared" si="38"/>
        <v/>
      </c>
    </row>
    <row r="1914" spans="10:10">
      <c r="J1914" s="8" t="str">
        <f t="shared" si="38"/>
        <v/>
      </c>
    </row>
    <row r="1915" spans="10:10">
      <c r="J1915" s="8" t="str">
        <f t="shared" si="38"/>
        <v/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6"/>
  <dimension ref="A1:U1906"/>
  <sheetViews>
    <sheetView workbookViewId="0">
      <pane xSplit="1" ySplit="1" topLeftCell="B308" activePane="bottomRight" state="frozen"/>
      <selection pane="topRight" activeCell="B1" sqref="B1"/>
      <selection pane="bottomLeft" activeCell="A2" sqref="A2"/>
      <selection pane="bottomRight" activeCell="I339" sqref="I339:I341"/>
    </sheetView>
  </sheetViews>
  <sheetFormatPr defaultRowHeight="13.5" outlineLevelRow="1"/>
  <cols>
    <col min="1" max="1" width="5.5" style="206" bestFit="1" customWidth="1"/>
    <col min="2" max="2" width="13.875" style="86" bestFit="1" customWidth="1"/>
    <col min="3" max="3" width="8.5" style="206" bestFit="1" customWidth="1"/>
    <col min="4" max="4" width="5.25" style="206" bestFit="1" customWidth="1"/>
    <col min="5" max="5" width="6.5" style="206" bestFit="1" customWidth="1"/>
    <col min="6" max="6" width="5.25" style="206" bestFit="1" customWidth="1"/>
    <col min="7" max="7" width="6.5" style="206" bestFit="1" customWidth="1"/>
    <col min="8" max="8" width="5.25" style="86" bestFit="1" customWidth="1"/>
    <col min="9" max="9" width="11.625" style="191" bestFit="1" customWidth="1"/>
    <col min="10" max="11" width="8.5" style="206" bestFit="1" customWidth="1"/>
    <col min="12" max="13" width="13.375" style="206" bestFit="1" customWidth="1"/>
    <col min="14" max="14" width="6.5" style="206" bestFit="1" customWidth="1"/>
    <col min="15" max="17" width="5.25" style="206" bestFit="1" customWidth="1"/>
    <col min="18" max="16384" width="9" style="206"/>
  </cols>
  <sheetData>
    <row r="1" spans="1:21">
      <c r="A1" s="20" t="s">
        <v>107</v>
      </c>
      <c r="B1" s="88" t="s">
        <v>3</v>
      </c>
      <c r="C1" s="21" t="s">
        <v>4</v>
      </c>
      <c r="D1" s="21" t="s">
        <v>11</v>
      </c>
      <c r="E1" s="21" t="s">
        <v>1150</v>
      </c>
      <c r="F1" s="21" t="s">
        <v>8</v>
      </c>
      <c r="G1" s="21" t="s">
        <v>1079</v>
      </c>
      <c r="H1" s="88" t="s">
        <v>963</v>
      </c>
      <c r="I1" s="22" t="s">
        <v>108</v>
      </c>
      <c r="J1" s="106" t="s">
        <v>1188</v>
      </c>
      <c r="K1" s="106" t="s">
        <v>1189</v>
      </c>
      <c r="L1" s="103" t="s">
        <v>1179</v>
      </c>
      <c r="M1" s="103" t="s">
        <v>1180</v>
      </c>
      <c r="N1" s="21" t="s">
        <v>14</v>
      </c>
      <c r="O1" s="28" t="s">
        <v>130</v>
      </c>
      <c r="P1" s="206" t="s">
        <v>109</v>
      </c>
      <c r="Q1" s="28" t="s">
        <v>240</v>
      </c>
      <c r="R1" s="250" t="s">
        <v>2802</v>
      </c>
    </row>
    <row r="2" spans="1:21" outlineLevel="1">
      <c r="A2" s="4">
        <v>1</v>
      </c>
      <c r="B2" s="89" t="s">
        <v>1096</v>
      </c>
      <c r="C2" s="8" t="str">
        <f>IF(B2="","",VLOOKUP(B2,经纬!B:C,2,FALSE))</f>
        <v>30*30</v>
      </c>
      <c r="D2" s="8">
        <f>IF(B2="","",VLOOKUP(B2,经纬!B:G,6,FALSE))</f>
        <v>23</v>
      </c>
      <c r="E2" s="8" t="str">
        <f>IF(B2="","",MID(B2,LEN(C2),LEN(B2)-LEN(C2)-LEN(D2)+1))</f>
        <v>190</v>
      </c>
      <c r="F2" s="8" t="s">
        <v>2</v>
      </c>
      <c r="G2" s="8" t="s">
        <v>387</v>
      </c>
      <c r="H2" s="89" t="s">
        <v>1110</v>
      </c>
      <c r="I2" s="23">
        <v>43739</v>
      </c>
      <c r="J2" s="105" t="str">
        <f>IF(B2="","",LEFT(C2,FIND("*",C2)-1))</f>
        <v>30</v>
      </c>
      <c r="K2" s="105" t="str">
        <f>IF(B2="","",RIGHT(C2,LEN(C2)-LEN(J2)-1))</f>
        <v>30</v>
      </c>
      <c r="L2" s="104">
        <f>IF(B2="","",VLOOKUP(B2&amp;F2&amp;H2,经纬!A:M,13,FALSE)*N2)</f>
        <v>209.75021599999999</v>
      </c>
      <c r="M2" s="104">
        <f>IF(B2="","",VLOOKUP(B2&amp;F2&amp;H2,经纬!A:N,14,FALSE)*N2)</f>
        <v>164.97119422572177</v>
      </c>
      <c r="N2" s="8">
        <v>11570</v>
      </c>
      <c r="R2" s="206">
        <f>IF(B2="","",MONTH(I2))</f>
        <v>10</v>
      </c>
    </row>
    <row r="3" spans="1:21" outlineLevel="1">
      <c r="A3" s="4">
        <v>2</v>
      </c>
      <c r="B3" s="89" t="s">
        <v>1084</v>
      </c>
      <c r="C3" s="8" t="str">
        <f>IF(B3="","",VLOOKUP(B3,经纬!B:C,2,FALSE))</f>
        <v>75*100</v>
      </c>
      <c r="D3" s="8">
        <f>IF(B3="","",VLOOKUP(B3,经纬!B:G,6,FALSE))</f>
        <v>50</v>
      </c>
      <c r="E3" s="8" t="str">
        <f t="shared" ref="E3:E66" si="0">IF(B3="","",MID(B3,LEN(C3),LEN(B3)-LEN(C3)-LEN(D3)+1))</f>
        <v>190.5</v>
      </c>
      <c r="F3" s="8" t="s">
        <v>1</v>
      </c>
      <c r="G3" s="8" t="s">
        <v>387</v>
      </c>
      <c r="H3" s="89" t="s">
        <v>197</v>
      </c>
      <c r="I3" s="23">
        <v>43739</v>
      </c>
      <c r="J3" s="105" t="str">
        <f t="shared" ref="J3:J66" si="1">IF(B3="","",LEFT(C3,FIND("*",C3)-1))</f>
        <v>75</v>
      </c>
      <c r="K3" s="105" t="str">
        <f t="shared" ref="K3:K66" si="2">IF(B3="","",RIGHT(C3,LEN(C3)-LEN(J3)-1))</f>
        <v>100</v>
      </c>
      <c r="L3" s="104">
        <f>IF(B3="","",VLOOKUP(B3&amp;F3&amp;H3,经纬!A:M,13,FALSE)*N3)</f>
        <v>133.99467999999999</v>
      </c>
      <c r="M3" s="104">
        <f>IF(B3="","",VLOOKUP(B3&amp;F3&amp;H3,经纬!A:N,14,FALSE)*N3)</f>
        <v>135.04658136482939</v>
      </c>
      <c r="N3" s="8">
        <v>3902</v>
      </c>
      <c r="R3" s="250">
        <f t="shared" ref="R3:R66" si="3">IF(B3="","",MONTH(I3))</f>
        <v>10</v>
      </c>
    </row>
    <row r="4" spans="1:21" outlineLevel="1">
      <c r="A4" s="4">
        <v>3</v>
      </c>
      <c r="B4" s="89" t="s">
        <v>1092</v>
      </c>
      <c r="C4" s="8" t="str">
        <f>IF(B4="","",VLOOKUP(B4,经纬!B:C,2,FALSE))</f>
        <v>50*50</v>
      </c>
      <c r="D4" s="8">
        <f>IF(B4="","",VLOOKUP(B4,经纬!B:G,6,FALSE))</f>
        <v>37</v>
      </c>
      <c r="E4" s="8" t="str">
        <f t="shared" si="0"/>
        <v>190.5</v>
      </c>
      <c r="F4" s="8" t="s">
        <v>2</v>
      </c>
      <c r="G4" s="8" t="s">
        <v>287</v>
      </c>
      <c r="H4" s="89" t="s">
        <v>1110</v>
      </c>
      <c r="I4" s="23">
        <v>43739</v>
      </c>
      <c r="J4" s="105" t="str">
        <f t="shared" si="1"/>
        <v>50</v>
      </c>
      <c r="K4" s="105" t="str">
        <f t="shared" si="2"/>
        <v>50</v>
      </c>
      <c r="L4" s="104">
        <f>IF(B4="","",VLOOKUP(B4&amp;F4&amp;H4,经纬!A:M,13,FALSE)*N4)</f>
        <v>195.95359400000001</v>
      </c>
      <c r="M4" s="104">
        <f>IF(B4="","",VLOOKUP(B4&amp;F4&amp;H4,经纬!A:N,14,FALSE)*N4)</f>
        <v>252.3002427821522</v>
      </c>
      <c r="N4" s="8">
        <v>6527</v>
      </c>
      <c r="R4" s="250">
        <f t="shared" si="3"/>
        <v>10</v>
      </c>
    </row>
    <row r="5" spans="1:21" outlineLevel="1">
      <c r="A5" s="4">
        <v>4</v>
      </c>
      <c r="B5" s="89" t="s">
        <v>1092</v>
      </c>
      <c r="C5" s="8" t="str">
        <f>IF(B5="","",VLOOKUP(B5,经纬!B:C,2,FALSE))</f>
        <v>50*50</v>
      </c>
      <c r="D5" s="8">
        <f>IF(B5="","",VLOOKUP(B5,经纬!B:G,6,FALSE))</f>
        <v>37</v>
      </c>
      <c r="E5" s="8" t="str">
        <f t="shared" si="0"/>
        <v>190.5</v>
      </c>
      <c r="F5" s="8" t="s">
        <v>1</v>
      </c>
      <c r="G5" s="8" t="s">
        <v>287</v>
      </c>
      <c r="H5" s="89" t="s">
        <v>197</v>
      </c>
      <c r="I5" s="23">
        <v>43739</v>
      </c>
      <c r="J5" s="105" t="str">
        <f t="shared" si="1"/>
        <v>50</v>
      </c>
      <c r="K5" s="105" t="str">
        <f t="shared" si="2"/>
        <v>50</v>
      </c>
      <c r="L5" s="104">
        <f>IF(B5="","",VLOOKUP(B5&amp;F5&amp;H5,经纬!A:M,13,FALSE)*N5)</f>
        <v>257.52871599999997</v>
      </c>
      <c r="M5" s="104">
        <f>IF(B5="","",VLOOKUP(B5&amp;F5&amp;H5,经纬!A:N,14,FALSE)*N5)</f>
        <v>171.57407152230971</v>
      </c>
      <c r="N5" s="8">
        <v>8578</v>
      </c>
      <c r="R5" s="250">
        <f t="shared" si="3"/>
        <v>10</v>
      </c>
    </row>
    <row r="6" spans="1:21" outlineLevel="1">
      <c r="A6" s="4">
        <v>5</v>
      </c>
      <c r="B6" s="89" t="s">
        <v>1093</v>
      </c>
      <c r="C6" s="8" t="str">
        <f>IF(B6="","",VLOOKUP(B6,经纬!B:C,2,FALSE))</f>
        <v>75*75</v>
      </c>
      <c r="D6" s="8">
        <f>IF(B6="","",VLOOKUP(B6,经纬!B:G,6,FALSE))</f>
        <v>43</v>
      </c>
      <c r="E6" s="8" t="str">
        <f t="shared" si="0"/>
        <v>190.5</v>
      </c>
      <c r="F6" s="8" t="s">
        <v>1</v>
      </c>
      <c r="G6" s="8" t="s">
        <v>287</v>
      </c>
      <c r="H6" s="89" t="s">
        <v>197</v>
      </c>
      <c r="I6" s="23">
        <v>43739</v>
      </c>
      <c r="J6" s="105" t="str">
        <f t="shared" si="1"/>
        <v>75</v>
      </c>
      <c r="K6" s="105" t="str">
        <f t="shared" si="2"/>
        <v>75</v>
      </c>
      <c r="L6" s="104">
        <f>IF(B6="","",VLOOKUP(B6&amp;F6&amp;H6,经纬!A:M,13,FALSE)*N6)</f>
        <v>288.93675999999994</v>
      </c>
      <c r="M6" s="104">
        <f>IF(B6="","",VLOOKUP(B6&amp;F6&amp;H6,经纬!A:N,14,FALSE)*N6)</f>
        <v>221.24016732283462</v>
      </c>
      <c r="N6" s="8">
        <v>8414</v>
      </c>
      <c r="R6" s="250">
        <f t="shared" si="3"/>
        <v>10</v>
      </c>
    </row>
    <row r="7" spans="1:21" outlineLevel="1">
      <c r="A7" s="4">
        <v>6</v>
      </c>
      <c r="B7" s="89" t="s">
        <v>1098</v>
      </c>
      <c r="C7" s="8" t="str">
        <f>IF(B7="","",VLOOKUP(B7,经纬!B:C,2,FALSE))</f>
        <v>75*300</v>
      </c>
      <c r="D7" s="8">
        <f>IF(B7="","",VLOOKUP(B7,经纬!B:G,6,FALSE))</f>
        <v>70</v>
      </c>
      <c r="E7" s="8" t="str">
        <f t="shared" si="0"/>
        <v>190.5</v>
      </c>
      <c r="F7" s="8" t="s">
        <v>1</v>
      </c>
      <c r="G7" s="8" t="s">
        <v>287</v>
      </c>
      <c r="H7" s="89" t="s">
        <v>197</v>
      </c>
      <c r="I7" s="23">
        <v>43739</v>
      </c>
      <c r="J7" s="105" t="str">
        <f t="shared" si="1"/>
        <v>75</v>
      </c>
      <c r="K7" s="105" t="str">
        <f t="shared" si="2"/>
        <v>300</v>
      </c>
      <c r="L7" s="104">
        <f>IF(B7="","",VLOOKUP(B7&amp;F7&amp;H7,经纬!A:M,13,FALSE)*N7)</f>
        <v>359.57413999999994</v>
      </c>
      <c r="M7" s="104">
        <f>IF(B7="","",VLOOKUP(B7&amp;F7&amp;H7,经纬!A:N,14,FALSE)*N7)</f>
        <v>649.49057086614164</v>
      </c>
      <c r="N7" s="8">
        <v>10471</v>
      </c>
      <c r="R7" s="250">
        <f t="shared" si="3"/>
        <v>10</v>
      </c>
    </row>
    <row r="8" spans="1:21" outlineLevel="1">
      <c r="A8" s="4">
        <v>7</v>
      </c>
      <c r="B8" s="89" t="s">
        <v>1084</v>
      </c>
      <c r="C8" s="8" t="str">
        <f>IF(B8="","",VLOOKUP(B8,经纬!B:C,2,FALSE))</f>
        <v>75*100</v>
      </c>
      <c r="D8" s="8">
        <f>IF(B8="","",VLOOKUP(B8,经纬!B:G,6,FALSE))</f>
        <v>50</v>
      </c>
      <c r="E8" s="8" t="str">
        <f t="shared" si="0"/>
        <v>190.5</v>
      </c>
      <c r="F8" s="8" t="s">
        <v>1</v>
      </c>
      <c r="G8" s="8" t="s">
        <v>287</v>
      </c>
      <c r="H8" s="89" t="s">
        <v>197</v>
      </c>
      <c r="I8" s="23">
        <v>43739</v>
      </c>
      <c r="J8" s="105" t="str">
        <f t="shared" si="1"/>
        <v>75</v>
      </c>
      <c r="K8" s="105" t="str">
        <f t="shared" si="2"/>
        <v>100</v>
      </c>
      <c r="L8" s="104">
        <f>IF(B8="","",VLOOKUP(B8&amp;F8&amp;H8,经纬!A:M,13,FALSE)*N8)</f>
        <v>18.028499999999998</v>
      </c>
      <c r="M8" s="104">
        <f>IF(B8="","",VLOOKUP(B8&amp;F8&amp;H8,经纬!A:N,14,FALSE)*N8)</f>
        <v>18.170029527559052</v>
      </c>
      <c r="N8" s="8">
        <v>525</v>
      </c>
      <c r="R8" s="250">
        <f t="shared" si="3"/>
        <v>10</v>
      </c>
    </row>
    <row r="9" spans="1:21" outlineLevel="1">
      <c r="A9" s="4">
        <v>8</v>
      </c>
      <c r="B9" s="89" t="s">
        <v>1094</v>
      </c>
      <c r="C9" s="8" t="str">
        <f>IF(B9="","",VLOOKUP(B9,经纬!B:C,2,FALSE))</f>
        <v>30*30</v>
      </c>
      <c r="D9" s="8">
        <f>IF(B9="","",VLOOKUP(B9,经纬!B:G,6,FALSE))</f>
        <v>23</v>
      </c>
      <c r="E9" s="8" t="str">
        <f t="shared" si="0"/>
        <v>200</v>
      </c>
      <c r="F9" s="8" t="s">
        <v>2</v>
      </c>
      <c r="G9" s="8" t="s">
        <v>282</v>
      </c>
      <c r="H9" s="89" t="s">
        <v>1110</v>
      </c>
      <c r="I9" s="23">
        <v>43739</v>
      </c>
      <c r="J9" s="105" t="str">
        <f t="shared" si="1"/>
        <v>30</v>
      </c>
      <c r="K9" s="105" t="str">
        <f t="shared" si="2"/>
        <v>30</v>
      </c>
      <c r="L9" s="104">
        <f>IF(B9="","",VLOOKUP(B9&amp;F9&amp;H9,经纬!A:M,13,FALSE)*N9)</f>
        <v>147.25307520000001</v>
      </c>
      <c r="M9" s="104">
        <f>IF(B9="","",VLOOKUP(B9&amp;F9&amp;H9,经纬!A:N,14,FALSE)*N9)</f>
        <v>96.983622047244083</v>
      </c>
      <c r="N9" s="8">
        <v>7161</v>
      </c>
      <c r="R9" s="250">
        <f t="shared" si="3"/>
        <v>10</v>
      </c>
    </row>
    <row r="10" spans="1:21" outlineLevel="1">
      <c r="A10" s="4">
        <v>9</v>
      </c>
      <c r="B10" s="89" t="s">
        <v>1095</v>
      </c>
      <c r="C10" s="8" t="str">
        <f>IF(B10="","",VLOOKUP(B10,经纬!B:C,2,FALSE))</f>
        <v>20*20</v>
      </c>
      <c r="D10" s="8">
        <f>IF(B10="","",VLOOKUP(B10,经纬!B:G,6,FALSE))</f>
        <v>17</v>
      </c>
      <c r="E10" s="8" t="str">
        <f t="shared" si="0"/>
        <v>197</v>
      </c>
      <c r="F10" s="8" t="s">
        <v>1</v>
      </c>
      <c r="G10" s="8" t="s">
        <v>387</v>
      </c>
      <c r="H10" s="89" t="s">
        <v>1110</v>
      </c>
      <c r="I10" s="23">
        <v>43740</v>
      </c>
      <c r="J10" s="105" t="str">
        <f t="shared" si="1"/>
        <v>20</v>
      </c>
      <c r="K10" s="105" t="str">
        <f t="shared" si="2"/>
        <v>20</v>
      </c>
      <c r="L10" s="104">
        <f>IF(B10="","",VLOOKUP(B10&amp;F10&amp;H10,经纬!A:M,13,FALSE)*N10)</f>
        <v>185.1234992</v>
      </c>
      <c r="M10" s="104">
        <f>IF(B10="","",VLOOKUP(B10&amp;F10&amp;H10,经纬!A:N,14,FALSE)*N10)</f>
        <v>135.48079790026244</v>
      </c>
      <c r="N10" s="8">
        <v>13782</v>
      </c>
      <c r="R10" s="250">
        <f t="shared" si="3"/>
        <v>10</v>
      </c>
    </row>
    <row r="11" spans="1:21" outlineLevel="1">
      <c r="A11" s="4">
        <v>10</v>
      </c>
      <c r="B11" s="89" t="s">
        <v>1096</v>
      </c>
      <c r="C11" s="8" t="str">
        <f>IF(B11="","",VLOOKUP(B11,经纬!B:C,2,FALSE))</f>
        <v>30*30</v>
      </c>
      <c r="D11" s="8">
        <f>IF(B11="","",VLOOKUP(B11,经纬!B:G,6,FALSE))</f>
        <v>23</v>
      </c>
      <c r="E11" s="8" t="str">
        <f t="shared" si="0"/>
        <v>190</v>
      </c>
      <c r="F11" s="8" t="s">
        <v>2</v>
      </c>
      <c r="G11" s="8" t="s">
        <v>387</v>
      </c>
      <c r="H11" s="89" t="s">
        <v>1110</v>
      </c>
      <c r="I11" s="23">
        <v>43740</v>
      </c>
      <c r="J11" s="105" t="str">
        <f t="shared" si="1"/>
        <v>30</v>
      </c>
      <c r="K11" s="105" t="str">
        <f t="shared" si="2"/>
        <v>30</v>
      </c>
      <c r="L11" s="104">
        <f>IF(B11="","",VLOOKUP(B11&amp;F11&amp;H11,经纬!A:M,13,FALSE)*N11)</f>
        <v>266.69277679999999</v>
      </c>
      <c r="M11" s="104">
        <f>IF(B11="","",VLOOKUP(B11&amp;F11&amp;H11,经纬!A:N,14,FALSE)*N11)</f>
        <v>209.7572375328084</v>
      </c>
      <c r="N11" s="8">
        <v>14711</v>
      </c>
      <c r="R11" s="250">
        <f t="shared" si="3"/>
        <v>10</v>
      </c>
    </row>
    <row r="12" spans="1:21" outlineLevel="1">
      <c r="A12" s="4">
        <v>11</v>
      </c>
      <c r="B12" s="89" t="s">
        <v>1092</v>
      </c>
      <c r="C12" s="8" t="str">
        <f>IF(B12="","",VLOOKUP(B12,经纬!B:C,2,FALSE))</f>
        <v>50*50</v>
      </c>
      <c r="D12" s="8">
        <f>IF(B12="","",VLOOKUP(B12,经纬!B:G,6,FALSE))</f>
        <v>37</v>
      </c>
      <c r="E12" s="8" t="str">
        <f t="shared" si="0"/>
        <v>190.5</v>
      </c>
      <c r="F12" s="8" t="s">
        <v>2</v>
      </c>
      <c r="G12" s="8" t="s">
        <v>287</v>
      </c>
      <c r="H12" s="89" t="s">
        <v>1110</v>
      </c>
      <c r="I12" s="23">
        <v>43740</v>
      </c>
      <c r="J12" s="105" t="str">
        <f t="shared" si="1"/>
        <v>50</v>
      </c>
      <c r="K12" s="105" t="str">
        <f t="shared" si="2"/>
        <v>50</v>
      </c>
      <c r="L12" s="104">
        <f>IF(B12="","",VLOOKUP(B12&amp;F12&amp;H12,经纬!A:M,13,FALSE)*N12)</f>
        <v>334.47510199999999</v>
      </c>
      <c r="M12" s="104">
        <f>IF(B12="","",VLOOKUP(B12&amp;F12&amp;H12,经纬!A:N,14,FALSE)*N12)</f>
        <v>430.65374671916004</v>
      </c>
      <c r="N12" s="8">
        <v>11141</v>
      </c>
      <c r="R12" s="250">
        <f t="shared" si="3"/>
        <v>10</v>
      </c>
      <c r="U12" s="8"/>
    </row>
    <row r="13" spans="1:21" outlineLevel="1">
      <c r="A13" s="4">
        <v>12</v>
      </c>
      <c r="B13" s="89" t="s">
        <v>1092</v>
      </c>
      <c r="C13" s="8" t="str">
        <f>IF(B13="","",VLOOKUP(B13,经纬!B:C,2,FALSE))</f>
        <v>50*50</v>
      </c>
      <c r="D13" s="8">
        <f>IF(B13="","",VLOOKUP(B13,经纬!B:G,6,FALSE))</f>
        <v>37</v>
      </c>
      <c r="E13" s="8" t="str">
        <f t="shared" si="0"/>
        <v>190.5</v>
      </c>
      <c r="F13" s="8" t="s">
        <v>2</v>
      </c>
      <c r="G13" s="8" t="s">
        <v>287</v>
      </c>
      <c r="H13" s="89" t="s">
        <v>197</v>
      </c>
      <c r="I13" s="23">
        <v>43740</v>
      </c>
      <c r="J13" s="105" t="str">
        <f t="shared" si="1"/>
        <v>50</v>
      </c>
      <c r="K13" s="105" t="str">
        <f t="shared" si="2"/>
        <v>50</v>
      </c>
      <c r="L13" s="104">
        <f>IF(B13="","",VLOOKUP(B13&amp;F13&amp;H13,经纬!A:M,13,FALSE)*N13)</f>
        <v>302.44162799999998</v>
      </c>
      <c r="M13" s="104">
        <f>IF(B13="","",VLOOKUP(B13&amp;F13&amp;H13,经纬!A:N,14,FALSE)*N13)</f>
        <v>201.49652559055116</v>
      </c>
      <c r="N13" s="8">
        <v>10074</v>
      </c>
      <c r="R13" s="250">
        <f t="shared" si="3"/>
        <v>10</v>
      </c>
    </row>
    <row r="14" spans="1:21" outlineLevel="1">
      <c r="A14" s="4">
        <v>13</v>
      </c>
      <c r="B14" s="89" t="s">
        <v>1093</v>
      </c>
      <c r="C14" s="8" t="str">
        <f>IF(B14="","",VLOOKUP(B14,经纬!B:C,2,FALSE))</f>
        <v>75*75</v>
      </c>
      <c r="D14" s="8">
        <f>IF(B14="","",VLOOKUP(B14,经纬!B:G,6,FALSE))</f>
        <v>43</v>
      </c>
      <c r="E14" s="8" t="str">
        <f t="shared" si="0"/>
        <v>190.5</v>
      </c>
      <c r="F14" s="8" t="s">
        <v>2</v>
      </c>
      <c r="G14" s="8" t="s">
        <v>287</v>
      </c>
      <c r="H14" s="89" t="s">
        <v>197</v>
      </c>
      <c r="I14" s="23">
        <v>43740</v>
      </c>
      <c r="J14" s="105" t="str">
        <f t="shared" si="1"/>
        <v>75</v>
      </c>
      <c r="K14" s="105" t="str">
        <f t="shared" si="2"/>
        <v>75</v>
      </c>
      <c r="L14" s="104">
        <f>IF(B14="","",VLOOKUP(B14&amp;F14&amp;H14,经纬!A:M,13,FALSE)*N14)</f>
        <v>415.47965999999997</v>
      </c>
      <c r="M14" s="104">
        <f>IF(B14="","",VLOOKUP(B14&amp;F14&amp;H14,经纬!A:N,14,FALSE)*N14)</f>
        <v>318.13463090551176</v>
      </c>
      <c r="N14" s="8">
        <v>12099</v>
      </c>
      <c r="R14" s="250">
        <f t="shared" si="3"/>
        <v>10</v>
      </c>
    </row>
    <row r="15" spans="1:21" outlineLevel="1">
      <c r="A15" s="4">
        <v>14</v>
      </c>
      <c r="B15" s="89" t="s">
        <v>1093</v>
      </c>
      <c r="C15" s="8" t="str">
        <f>IF(B15="","",VLOOKUP(B15,经纬!B:C,2,FALSE))</f>
        <v>75*75</v>
      </c>
      <c r="D15" s="8">
        <f>IF(B15="","",VLOOKUP(B15,经纬!B:G,6,FALSE))</f>
        <v>43</v>
      </c>
      <c r="E15" s="8" t="str">
        <f t="shared" si="0"/>
        <v>190.5</v>
      </c>
      <c r="F15" s="8" t="s">
        <v>2</v>
      </c>
      <c r="G15" s="8" t="s">
        <v>287</v>
      </c>
      <c r="H15" s="89" t="s">
        <v>197</v>
      </c>
      <c r="I15" s="23">
        <v>43740</v>
      </c>
      <c r="J15" s="105" t="str">
        <f t="shared" si="1"/>
        <v>75</v>
      </c>
      <c r="K15" s="105" t="str">
        <f t="shared" si="2"/>
        <v>75</v>
      </c>
      <c r="L15" s="104">
        <f>IF(B15="","",VLOOKUP(B15&amp;F15&amp;H15,经纬!A:M,13,FALSE)*N15)</f>
        <v>2113.6269999999995</v>
      </c>
      <c r="M15" s="104">
        <f>IF(B15="","",VLOOKUP(B15&amp;F15&amp;H15,经纬!A:N,14,FALSE)*N15)</f>
        <v>1618.4136318897636</v>
      </c>
      <c r="N15" s="8">
        <v>61550</v>
      </c>
      <c r="R15" s="250">
        <f t="shared" si="3"/>
        <v>10</v>
      </c>
    </row>
    <row r="16" spans="1:21" outlineLevel="1">
      <c r="A16" s="4">
        <v>15</v>
      </c>
      <c r="B16" s="89" t="s">
        <v>1097</v>
      </c>
      <c r="C16" s="8" t="str">
        <f>IF(B16="","",VLOOKUP(B16,经纬!B:C,2,FALSE))</f>
        <v>75*200</v>
      </c>
      <c r="D16" s="8">
        <f>IF(B16="","",VLOOKUP(B16,经纬!B:G,6,FALSE))</f>
        <v>62</v>
      </c>
      <c r="E16" s="8" t="str">
        <f t="shared" si="0"/>
        <v>190.5</v>
      </c>
      <c r="F16" s="8" t="s">
        <v>1</v>
      </c>
      <c r="G16" s="8" t="s">
        <v>287</v>
      </c>
      <c r="H16" s="89" t="s">
        <v>197</v>
      </c>
      <c r="I16" s="23">
        <v>43740</v>
      </c>
      <c r="J16" s="105" t="str">
        <f t="shared" si="1"/>
        <v>75</v>
      </c>
      <c r="K16" s="105" t="str">
        <f t="shared" si="2"/>
        <v>200</v>
      </c>
      <c r="L16" s="104">
        <f>IF(B16="","",VLOOKUP(B16&amp;F16&amp;H16,经纬!A:M,13,FALSE)*N16)</f>
        <v>526.57499999999993</v>
      </c>
      <c r="M16" s="104">
        <f>IF(B16="","",VLOOKUP(B16&amp;F16&amp;H16,经纬!A:N,14,FALSE)*N16)</f>
        <v>782.08661417322833</v>
      </c>
      <c r="N16" s="8">
        <v>15000</v>
      </c>
      <c r="R16" s="250">
        <f t="shared" si="3"/>
        <v>10</v>
      </c>
    </row>
    <row r="17" spans="1:18" outlineLevel="1">
      <c r="A17" s="4">
        <v>16</v>
      </c>
      <c r="B17" s="89" t="s">
        <v>1098</v>
      </c>
      <c r="C17" s="8" t="str">
        <f>IF(B17="","",VLOOKUP(B17,经纬!B:C,2,FALSE))</f>
        <v>75*300</v>
      </c>
      <c r="D17" s="8">
        <f>IF(B17="","",VLOOKUP(B17,经纬!B:G,6,FALSE))</f>
        <v>70</v>
      </c>
      <c r="E17" s="8" t="str">
        <f t="shared" si="0"/>
        <v>190.5</v>
      </c>
      <c r="F17" s="8" t="s">
        <v>1</v>
      </c>
      <c r="G17" s="8" t="s">
        <v>287</v>
      </c>
      <c r="H17" s="89" t="s">
        <v>197</v>
      </c>
      <c r="I17" s="23">
        <v>43740</v>
      </c>
      <c r="J17" s="105" t="str">
        <f t="shared" si="1"/>
        <v>75</v>
      </c>
      <c r="K17" s="105" t="str">
        <f t="shared" si="2"/>
        <v>300</v>
      </c>
      <c r="L17" s="104">
        <f>IF(B17="","",VLOOKUP(B17&amp;F17&amp;H17,经纬!A:M,13,FALSE)*N17)</f>
        <v>372.03955999999994</v>
      </c>
      <c r="M17" s="104">
        <f>IF(B17="","",VLOOKUP(B17&amp;F17&amp;H17,经纬!A:N,14,FALSE)*N17)</f>
        <v>672.00657480314953</v>
      </c>
      <c r="N17" s="8">
        <v>10834</v>
      </c>
      <c r="R17" s="250">
        <f t="shared" si="3"/>
        <v>10</v>
      </c>
    </row>
    <row r="18" spans="1:18" outlineLevel="1">
      <c r="A18" s="4">
        <v>17</v>
      </c>
      <c r="B18" s="89" t="s">
        <v>1099</v>
      </c>
      <c r="C18" s="8" t="str">
        <f>IF(B18="","",VLOOKUP(B18,经纬!B:C,2,FALSE))</f>
        <v>100*300</v>
      </c>
      <c r="D18" s="8">
        <f>IF(B18="","",VLOOKUP(B18,经纬!B:G,6,FALSE))</f>
        <v>96</v>
      </c>
      <c r="E18" s="8" t="str">
        <f t="shared" si="0"/>
        <v>188</v>
      </c>
      <c r="F18" s="8" t="s">
        <v>2</v>
      </c>
      <c r="G18" s="8" t="s">
        <v>287</v>
      </c>
      <c r="H18" s="89" t="s">
        <v>2444</v>
      </c>
      <c r="I18" s="23">
        <v>43740</v>
      </c>
      <c r="J18" s="105" t="str">
        <f t="shared" si="1"/>
        <v>100</v>
      </c>
      <c r="K18" s="105" t="str">
        <f t="shared" si="2"/>
        <v>300</v>
      </c>
      <c r="L18" s="104">
        <f>IF(B18="","",VLOOKUP(B18&amp;F18&amp;H18,经纬!A:M,13,FALSE)*N18)</f>
        <v>467.50000000000006</v>
      </c>
      <c r="M18" s="104">
        <f>IF(B18="","",VLOOKUP(B18&amp;F18&amp;H18,经纬!A:N,14,FALSE)*N18)</f>
        <v>996.35170603674544</v>
      </c>
      <c r="N18" s="8">
        <v>11000</v>
      </c>
      <c r="R18" s="250">
        <f t="shared" si="3"/>
        <v>10</v>
      </c>
    </row>
    <row r="19" spans="1:18" outlineLevel="1">
      <c r="A19" s="4">
        <v>18</v>
      </c>
      <c r="B19" s="89" t="s">
        <v>1096</v>
      </c>
      <c r="C19" s="8" t="str">
        <f>IF(B19="","",VLOOKUP(B19,经纬!B:C,2,FALSE))</f>
        <v>30*30</v>
      </c>
      <c r="D19" s="8">
        <f>IF(B19="","",VLOOKUP(B19,经纬!B:G,6,FALSE))</f>
        <v>23</v>
      </c>
      <c r="E19" s="8" t="str">
        <f t="shared" si="0"/>
        <v>190</v>
      </c>
      <c r="F19" s="8" t="s">
        <v>2</v>
      </c>
      <c r="G19" s="8" t="s">
        <v>1075</v>
      </c>
      <c r="H19" s="89" t="s">
        <v>1110</v>
      </c>
      <c r="I19" s="23">
        <v>43740</v>
      </c>
      <c r="J19" s="105" t="str">
        <f t="shared" si="1"/>
        <v>30</v>
      </c>
      <c r="K19" s="105" t="str">
        <f t="shared" si="2"/>
        <v>30</v>
      </c>
      <c r="L19" s="104">
        <f>IF(B19="","",VLOOKUP(B19&amp;F19&amp;H19,经纬!A:M,13,FALSE)*N19)</f>
        <v>86.456247200000007</v>
      </c>
      <c r="M19" s="104">
        <f>IF(B19="","",VLOOKUP(B19&amp;F19&amp;H19,经纬!A:N,14,FALSE)*N19)</f>
        <v>67.998930446194223</v>
      </c>
      <c r="N19" s="8">
        <v>4769</v>
      </c>
      <c r="R19" s="250">
        <f t="shared" si="3"/>
        <v>10</v>
      </c>
    </row>
    <row r="20" spans="1:18" outlineLevel="1">
      <c r="A20" s="4">
        <v>19</v>
      </c>
      <c r="B20" s="89" t="s">
        <v>1096</v>
      </c>
      <c r="C20" s="8" t="str">
        <f>IF(B20="","",VLOOKUP(B20,经纬!B:C,2,FALSE))</f>
        <v>30*30</v>
      </c>
      <c r="D20" s="8">
        <f>IF(B20="","",VLOOKUP(B20,经纬!B:G,6,FALSE))</f>
        <v>23</v>
      </c>
      <c r="E20" s="8" t="str">
        <f t="shared" si="0"/>
        <v>190</v>
      </c>
      <c r="F20" s="8" t="s">
        <v>2</v>
      </c>
      <c r="G20" s="8" t="s">
        <v>282</v>
      </c>
      <c r="H20" s="89" t="s">
        <v>1110</v>
      </c>
      <c r="I20" s="23">
        <v>43740</v>
      </c>
      <c r="J20" s="105" t="str">
        <f t="shared" si="1"/>
        <v>30</v>
      </c>
      <c r="K20" s="105" t="str">
        <f t="shared" si="2"/>
        <v>30</v>
      </c>
      <c r="L20" s="104">
        <f>IF(B20="","",VLOOKUP(B20&amp;F20&amp;H20,经纬!A:M,13,FALSE)*N20)</f>
        <v>22.026492000000001</v>
      </c>
      <c r="M20" s="104">
        <f>IF(B20="","",VLOOKUP(B20&amp;F20&amp;H20,经纬!A:N,14,FALSE)*N20)</f>
        <v>17.324114173228345</v>
      </c>
      <c r="N20" s="8">
        <v>1215</v>
      </c>
      <c r="R20" s="250">
        <f t="shared" si="3"/>
        <v>10</v>
      </c>
    </row>
    <row r="21" spans="1:18" outlineLevel="1">
      <c r="A21" s="4">
        <v>20</v>
      </c>
      <c r="B21" s="89" t="s">
        <v>1095</v>
      </c>
      <c r="C21" s="8" t="str">
        <f>IF(B21="","",VLOOKUP(B21,经纬!B:C,2,FALSE))</f>
        <v>20*20</v>
      </c>
      <c r="D21" s="8">
        <f>IF(B21="","",VLOOKUP(B21,经纬!B:G,6,FALSE))</f>
        <v>17</v>
      </c>
      <c r="E21" s="8" t="str">
        <f t="shared" si="0"/>
        <v>197</v>
      </c>
      <c r="F21" s="8" t="s">
        <v>2</v>
      </c>
      <c r="G21" s="8" t="s">
        <v>387</v>
      </c>
      <c r="H21" s="89" t="s">
        <v>1110</v>
      </c>
      <c r="I21" s="23">
        <v>43741</v>
      </c>
      <c r="J21" s="105" t="str">
        <f t="shared" si="1"/>
        <v>20</v>
      </c>
      <c r="K21" s="105" t="str">
        <f t="shared" si="2"/>
        <v>20</v>
      </c>
      <c r="L21" s="104">
        <f>IF(B21="","",VLOOKUP(B21&amp;F21&amp;H21,经纬!A:M,13,FALSE)*N21)</f>
        <v>145.8341192</v>
      </c>
      <c r="M21" s="104">
        <f>IF(B21="","",VLOOKUP(B21&amp;F21&amp;H21,经纬!A:N,14,FALSE)*N21)</f>
        <v>106.72725459317584</v>
      </c>
      <c r="N21" s="8">
        <v>10857</v>
      </c>
      <c r="R21" s="250">
        <f t="shared" si="3"/>
        <v>10</v>
      </c>
    </row>
    <row r="22" spans="1:18" outlineLevel="1">
      <c r="A22" s="4">
        <v>21</v>
      </c>
      <c r="B22" s="89" t="s">
        <v>1095</v>
      </c>
      <c r="C22" s="8" t="str">
        <f>IF(B22="","",VLOOKUP(B22,经纬!B:C,2,FALSE))</f>
        <v>20*20</v>
      </c>
      <c r="D22" s="8">
        <f>IF(B22="","",VLOOKUP(B22,经纬!B:G,6,FALSE))</f>
        <v>17</v>
      </c>
      <c r="E22" s="8" t="str">
        <f t="shared" si="0"/>
        <v>197</v>
      </c>
      <c r="F22" s="8" t="s">
        <v>2</v>
      </c>
      <c r="G22" s="8" t="s">
        <v>287</v>
      </c>
      <c r="H22" s="89" t="s">
        <v>1110</v>
      </c>
      <c r="I22" s="23">
        <v>43741</v>
      </c>
      <c r="J22" s="105" t="str">
        <f t="shared" si="1"/>
        <v>20</v>
      </c>
      <c r="K22" s="105" t="str">
        <f t="shared" si="2"/>
        <v>20</v>
      </c>
      <c r="L22" s="104">
        <f>IF(B22="","",VLOOKUP(B22&amp;F22&amp;H22,经纬!A:M,13,FALSE)*N22)</f>
        <v>100.80916133333334</v>
      </c>
      <c r="M22" s="104">
        <f>IF(B22="","",VLOOKUP(B22&amp;F22&amp;H22,经纬!A:N,14,FALSE)*N22)</f>
        <v>73.776185476815385</v>
      </c>
      <c r="N22" s="8">
        <v>7505</v>
      </c>
      <c r="R22" s="250">
        <f t="shared" si="3"/>
        <v>10</v>
      </c>
    </row>
    <row r="23" spans="1:18" outlineLevel="1">
      <c r="A23" s="4">
        <v>22</v>
      </c>
      <c r="B23" s="89" t="s">
        <v>1092</v>
      </c>
      <c r="C23" s="8" t="str">
        <f>IF(B23="","",VLOOKUP(B23,经纬!B:C,2,FALSE))</f>
        <v>50*50</v>
      </c>
      <c r="D23" s="8">
        <f>IF(B23="","",VLOOKUP(B23,经纬!B:G,6,FALSE))</f>
        <v>37</v>
      </c>
      <c r="E23" s="8" t="str">
        <f t="shared" si="0"/>
        <v>190.5</v>
      </c>
      <c r="F23" s="8" t="s">
        <v>2</v>
      </c>
      <c r="G23" s="8" t="s">
        <v>287</v>
      </c>
      <c r="H23" s="89" t="s">
        <v>197</v>
      </c>
      <c r="I23" s="23">
        <v>43741</v>
      </c>
      <c r="J23" s="105" t="str">
        <f t="shared" si="1"/>
        <v>50</v>
      </c>
      <c r="K23" s="105" t="str">
        <f t="shared" si="2"/>
        <v>50</v>
      </c>
      <c r="L23" s="104">
        <f>IF(B23="","",VLOOKUP(B23&amp;F23&amp;H23,经纬!A:M,13,FALSE)*N23)</f>
        <v>575.04138799999998</v>
      </c>
      <c r="M23" s="104">
        <f>IF(B23="","",VLOOKUP(B23&amp;F23&amp;H23,经纬!A:N,14,FALSE)*N23)</f>
        <v>383.1114206036745</v>
      </c>
      <c r="N23" s="8">
        <v>19154</v>
      </c>
      <c r="R23" s="250">
        <f t="shared" si="3"/>
        <v>10</v>
      </c>
    </row>
    <row r="24" spans="1:18" outlineLevel="1">
      <c r="A24" s="4">
        <v>24</v>
      </c>
      <c r="B24" s="89" t="s">
        <v>1092</v>
      </c>
      <c r="C24" s="8" t="str">
        <f>IF(B24="","",VLOOKUP(B24,经纬!B:C,2,FALSE))</f>
        <v>50*50</v>
      </c>
      <c r="D24" s="8">
        <f>IF(B24="","",VLOOKUP(B24,经纬!B:G,6,FALSE))</f>
        <v>37</v>
      </c>
      <c r="E24" s="8" t="str">
        <f t="shared" si="0"/>
        <v>190.5</v>
      </c>
      <c r="F24" s="8" t="s">
        <v>1</v>
      </c>
      <c r="G24" s="8" t="s">
        <v>287</v>
      </c>
      <c r="H24" s="89" t="s">
        <v>197</v>
      </c>
      <c r="I24" s="23">
        <v>43741</v>
      </c>
      <c r="J24" s="105" t="str">
        <f t="shared" si="1"/>
        <v>50</v>
      </c>
      <c r="K24" s="105" t="str">
        <f t="shared" si="2"/>
        <v>50</v>
      </c>
      <c r="L24" s="104">
        <f>IF(B24="","",VLOOKUP(B24&amp;F24&amp;H24,经纬!A:M,13,FALSE)*N24)</f>
        <v>169.264036</v>
      </c>
      <c r="M24" s="104">
        <f>IF(B24="","",VLOOKUP(B24&amp;F24&amp;H24,经纬!A:N,14,FALSE)*N24)</f>
        <v>112.76924868766403</v>
      </c>
      <c r="N24" s="8">
        <v>5638</v>
      </c>
      <c r="R24" s="250">
        <f t="shared" si="3"/>
        <v>10</v>
      </c>
    </row>
    <row r="25" spans="1:18" outlineLevel="1">
      <c r="A25" s="4">
        <v>25</v>
      </c>
      <c r="B25" s="89" t="s">
        <v>1093</v>
      </c>
      <c r="C25" s="8" t="str">
        <f>IF(B25="","",VLOOKUP(B25,经纬!B:C,2,FALSE))</f>
        <v>75*75</v>
      </c>
      <c r="D25" s="8">
        <f>IF(B25="","",VLOOKUP(B25,经纬!B:G,6,FALSE))</f>
        <v>43</v>
      </c>
      <c r="E25" s="8" t="str">
        <f t="shared" si="0"/>
        <v>190.5</v>
      </c>
      <c r="F25" s="8" t="s">
        <v>2</v>
      </c>
      <c r="G25" s="8" t="s">
        <v>287</v>
      </c>
      <c r="H25" s="89" t="s">
        <v>197</v>
      </c>
      <c r="I25" s="23">
        <v>43741</v>
      </c>
      <c r="J25" s="105" t="str">
        <f t="shared" si="1"/>
        <v>75</v>
      </c>
      <c r="K25" s="105" t="str">
        <f t="shared" si="2"/>
        <v>75</v>
      </c>
      <c r="L25" s="104">
        <f>IF(B25="","",VLOOKUP(B25&amp;F25&amp;H25,经纬!A:M,13,FALSE)*N25)</f>
        <v>917.90819999999985</v>
      </c>
      <c r="M25" s="104">
        <f>IF(B25="","",VLOOKUP(B25&amp;F25&amp;H25,经纬!A:N,14,FALSE)*N25)</f>
        <v>702.84640748031484</v>
      </c>
      <c r="N25" s="8">
        <v>26730</v>
      </c>
      <c r="R25" s="250">
        <f t="shared" si="3"/>
        <v>10</v>
      </c>
    </row>
    <row r="26" spans="1:18" outlineLevel="1">
      <c r="A26" s="4">
        <v>26</v>
      </c>
      <c r="B26" s="89" t="s">
        <v>1093</v>
      </c>
      <c r="C26" s="8" t="str">
        <f>IF(B26="","",VLOOKUP(B26,经纬!B:C,2,FALSE))</f>
        <v>75*75</v>
      </c>
      <c r="D26" s="8">
        <f>IF(B26="","",VLOOKUP(B26,经纬!B:G,6,FALSE))</f>
        <v>43</v>
      </c>
      <c r="E26" s="8" t="str">
        <f t="shared" si="0"/>
        <v>190.5</v>
      </c>
      <c r="F26" s="8" t="s">
        <v>1</v>
      </c>
      <c r="G26" s="8" t="s">
        <v>287</v>
      </c>
      <c r="H26" s="89" t="s">
        <v>197</v>
      </c>
      <c r="I26" s="23">
        <v>43741</v>
      </c>
      <c r="J26" s="105" t="str">
        <f t="shared" si="1"/>
        <v>75</v>
      </c>
      <c r="K26" s="105" t="str">
        <f t="shared" si="2"/>
        <v>75</v>
      </c>
      <c r="L26" s="104">
        <f>IF(B26="","",VLOOKUP(B26&amp;F26&amp;H26,经纬!A:M,13,FALSE)*N26)</f>
        <v>579.55617999999993</v>
      </c>
      <c r="M26" s="104">
        <f>IF(B26="","",VLOOKUP(B26&amp;F26&amp;H26,经纬!A:N,14,FALSE)*N26)</f>
        <v>443.76875492125976</v>
      </c>
      <c r="N26" s="8">
        <v>16877</v>
      </c>
      <c r="R26" s="250">
        <f t="shared" si="3"/>
        <v>10</v>
      </c>
    </row>
    <row r="27" spans="1:18" outlineLevel="1">
      <c r="A27" s="4">
        <v>27</v>
      </c>
      <c r="B27" s="89" t="s">
        <v>1098</v>
      </c>
      <c r="C27" s="8" t="str">
        <f>IF(B27="","",VLOOKUP(B27,经纬!B:C,2,FALSE))</f>
        <v>75*300</v>
      </c>
      <c r="D27" s="8">
        <f>IF(B27="","",VLOOKUP(B27,经纬!B:G,6,FALSE))</f>
        <v>70</v>
      </c>
      <c r="E27" s="8" t="str">
        <f t="shared" si="0"/>
        <v>190.5</v>
      </c>
      <c r="F27" s="8" t="s">
        <v>1</v>
      </c>
      <c r="G27" s="8" t="s">
        <v>287</v>
      </c>
      <c r="H27" s="89" t="s">
        <v>197</v>
      </c>
      <c r="I27" s="23">
        <v>43741</v>
      </c>
      <c r="J27" s="105" t="str">
        <f t="shared" si="1"/>
        <v>75</v>
      </c>
      <c r="K27" s="105" t="str">
        <f t="shared" si="2"/>
        <v>300</v>
      </c>
      <c r="L27" s="104">
        <f>IF(B27="","",VLOOKUP(B27&amp;F27&amp;H27,经纬!A:M,13,FALSE)*N27)</f>
        <v>257.75603999999998</v>
      </c>
      <c r="M27" s="104">
        <f>IF(B27="","",VLOOKUP(B27&amp;F27&amp;H27,经纬!A:N,14,FALSE)*N27)</f>
        <v>465.57885826771644</v>
      </c>
      <c r="N27" s="8">
        <v>7506</v>
      </c>
      <c r="R27" s="250">
        <f t="shared" si="3"/>
        <v>10</v>
      </c>
    </row>
    <row r="28" spans="1:18" outlineLevel="1">
      <c r="A28" s="4">
        <v>28</v>
      </c>
      <c r="B28" s="89" t="s">
        <v>1107</v>
      </c>
      <c r="C28" s="8" t="str">
        <f>IF(B28="","",VLOOKUP(B28,经纬!B:C,2,FALSE))</f>
        <v>200*300</v>
      </c>
      <c r="D28" s="8">
        <f>IF(B28="","",VLOOKUP(B28,经纬!B:G,6,FALSE))</f>
        <v>135</v>
      </c>
      <c r="E28" s="8" t="str">
        <f t="shared" si="0"/>
        <v>180</v>
      </c>
      <c r="F28" s="8" t="s">
        <v>1</v>
      </c>
      <c r="G28" s="8" t="s">
        <v>287</v>
      </c>
      <c r="H28" s="89" t="s">
        <v>2444</v>
      </c>
      <c r="I28" s="23">
        <v>43741</v>
      </c>
      <c r="J28" s="105" t="str">
        <f t="shared" si="1"/>
        <v>200</v>
      </c>
      <c r="K28" s="105" t="str">
        <f t="shared" si="2"/>
        <v>300</v>
      </c>
      <c r="L28" s="104">
        <f>IF(B28="","",VLOOKUP(B28&amp;F28&amp;H28,经纬!A:M,13,FALSE)*N28)</f>
        <v>575.16032000000007</v>
      </c>
      <c r="M28" s="104">
        <f>IF(B28="","",VLOOKUP(B28&amp;F28&amp;H28,经纬!A:N,14,FALSE)*N28)</f>
        <v>742.84251968503929</v>
      </c>
      <c r="N28" s="8">
        <v>7080</v>
      </c>
      <c r="R28" s="250">
        <f t="shared" si="3"/>
        <v>10</v>
      </c>
    </row>
    <row r="29" spans="1:18" outlineLevel="1">
      <c r="A29" s="4">
        <v>29</v>
      </c>
      <c r="B29" s="89" t="s">
        <v>1095</v>
      </c>
      <c r="C29" s="8" t="str">
        <f>IF(B29="","",VLOOKUP(B29,经纬!B:C,2,FALSE))</f>
        <v>20*20</v>
      </c>
      <c r="D29" s="8">
        <f>IF(B29="","",VLOOKUP(B29,经纬!B:G,6,FALSE))</f>
        <v>17</v>
      </c>
      <c r="E29" s="8" t="str">
        <f t="shared" si="0"/>
        <v>197</v>
      </c>
      <c r="F29" s="8" t="s">
        <v>2</v>
      </c>
      <c r="G29" s="8" t="s">
        <v>282</v>
      </c>
      <c r="H29" s="89" t="s">
        <v>1110</v>
      </c>
      <c r="I29" s="23">
        <v>43741</v>
      </c>
      <c r="J29" s="105" t="str">
        <f t="shared" si="1"/>
        <v>20</v>
      </c>
      <c r="K29" s="105" t="str">
        <f t="shared" si="2"/>
        <v>20</v>
      </c>
      <c r="L29" s="104">
        <f>IF(B29="","",VLOOKUP(B29&amp;F29&amp;H29,经纬!A:M,13,FALSE)*N29)</f>
        <v>16.991817333333334</v>
      </c>
      <c r="M29" s="104">
        <f>IF(B29="","",VLOOKUP(B29&amp;F29&amp;H29,经纬!A:N,14,FALSE)*N29)</f>
        <v>12.435293088363952</v>
      </c>
      <c r="N29" s="8">
        <v>1265</v>
      </c>
      <c r="R29" s="250">
        <f t="shared" si="3"/>
        <v>10</v>
      </c>
    </row>
    <row r="30" spans="1:18" outlineLevel="1">
      <c r="A30" s="4">
        <v>30</v>
      </c>
      <c r="B30" s="89" t="s">
        <v>1094</v>
      </c>
      <c r="C30" s="8" t="str">
        <f>IF(B30="","",VLOOKUP(B30,经纬!B:C,2,FALSE))</f>
        <v>30*30</v>
      </c>
      <c r="D30" s="8">
        <f>IF(B30="","",VLOOKUP(B30,经纬!B:G,6,FALSE))</f>
        <v>23</v>
      </c>
      <c r="E30" s="8" t="str">
        <f t="shared" si="0"/>
        <v>200</v>
      </c>
      <c r="F30" s="8" t="s">
        <v>2</v>
      </c>
      <c r="G30" s="8" t="s">
        <v>282</v>
      </c>
      <c r="H30" s="89" t="s">
        <v>1110</v>
      </c>
      <c r="I30" s="23">
        <v>43741</v>
      </c>
      <c r="J30" s="105" t="str">
        <f t="shared" si="1"/>
        <v>30</v>
      </c>
      <c r="K30" s="105" t="str">
        <f t="shared" si="2"/>
        <v>30</v>
      </c>
      <c r="L30" s="104">
        <f>IF(B30="","",VLOOKUP(B30&amp;F30&amp;H30,经纬!A:M,13,FALSE)*N30)</f>
        <v>26.423712000000002</v>
      </c>
      <c r="M30" s="104">
        <f>IF(B30="","",VLOOKUP(B30&amp;F30&amp;H30,经纬!A:N,14,FALSE)*N30)</f>
        <v>17.403149606299209</v>
      </c>
      <c r="N30" s="8">
        <v>1285</v>
      </c>
      <c r="R30" s="250">
        <f t="shared" si="3"/>
        <v>10</v>
      </c>
    </row>
    <row r="31" spans="1:18" outlineLevel="1">
      <c r="A31" s="4">
        <v>31</v>
      </c>
      <c r="B31" s="89" t="s">
        <v>1092</v>
      </c>
      <c r="C31" s="8" t="str">
        <f>IF(B31="","",VLOOKUP(B31,经纬!B:C,2,FALSE))</f>
        <v>50*50</v>
      </c>
      <c r="D31" s="8">
        <f>IF(B31="","",VLOOKUP(B31,经纬!B:G,6,FALSE))</f>
        <v>37</v>
      </c>
      <c r="E31" s="8" t="str">
        <f t="shared" si="0"/>
        <v>190.5</v>
      </c>
      <c r="F31" s="8" t="s">
        <v>2</v>
      </c>
      <c r="G31" s="8" t="s">
        <v>282</v>
      </c>
      <c r="H31" s="89" t="s">
        <v>197</v>
      </c>
      <c r="I31" s="23">
        <v>43741</v>
      </c>
      <c r="J31" s="105" t="str">
        <f t="shared" si="1"/>
        <v>50</v>
      </c>
      <c r="K31" s="105" t="str">
        <f t="shared" si="2"/>
        <v>50</v>
      </c>
      <c r="L31" s="104">
        <f>IF(B31="","",VLOOKUP(B31&amp;F31&amp;H31,经纬!A:M,13,FALSE)*N31)</f>
        <v>19.694431999999999</v>
      </c>
      <c r="M31" s="104">
        <f>IF(B31="","",VLOOKUP(B31&amp;F31&amp;H31,经纬!A:N,14,FALSE)*N31)</f>
        <v>13.121076115485563</v>
      </c>
      <c r="N31" s="8">
        <v>656</v>
      </c>
      <c r="R31" s="250">
        <f t="shared" si="3"/>
        <v>10</v>
      </c>
    </row>
    <row r="32" spans="1:18" outlineLevel="1">
      <c r="A32" s="4">
        <v>32</v>
      </c>
      <c r="B32" s="89" t="s">
        <v>1095</v>
      </c>
      <c r="C32" s="8" t="str">
        <f>IF(B32="","",VLOOKUP(B32,经纬!B:C,2,FALSE))</f>
        <v>20*20</v>
      </c>
      <c r="D32" s="8">
        <f>IF(B32="","",VLOOKUP(B32,经纬!B:G,6,FALSE))</f>
        <v>17</v>
      </c>
      <c r="E32" s="8" t="str">
        <f t="shared" si="0"/>
        <v>197</v>
      </c>
      <c r="F32" s="8" t="s">
        <v>2</v>
      </c>
      <c r="G32" s="8" t="s">
        <v>387</v>
      </c>
      <c r="H32" s="89" t="s">
        <v>1110</v>
      </c>
      <c r="I32" s="23">
        <v>43742</v>
      </c>
      <c r="J32" s="105" t="str">
        <f t="shared" si="1"/>
        <v>20</v>
      </c>
      <c r="K32" s="105" t="str">
        <f t="shared" si="2"/>
        <v>20</v>
      </c>
      <c r="L32" s="104">
        <f>IF(B32="","",VLOOKUP(B32&amp;F32&amp;H32,经纬!A:M,13,FALSE)*N32)</f>
        <v>307.63920346666669</v>
      </c>
      <c r="M32" s="104">
        <f>IF(B32="","",VLOOKUP(B32&amp;F32&amp;H32,经纬!A:N,14,FALSE)*N32)</f>
        <v>225.14270166229218</v>
      </c>
      <c r="N32" s="8">
        <v>22903</v>
      </c>
      <c r="R32" s="250">
        <f t="shared" si="3"/>
        <v>10</v>
      </c>
    </row>
    <row r="33" spans="1:18" outlineLevel="1">
      <c r="A33" s="4">
        <v>33</v>
      </c>
      <c r="B33" s="89" t="s">
        <v>1096</v>
      </c>
      <c r="C33" s="8" t="str">
        <f>IF(B33="","",VLOOKUP(B33,经纬!B:C,2,FALSE))</f>
        <v>30*30</v>
      </c>
      <c r="D33" s="8">
        <f>IF(B33="","",VLOOKUP(B33,经纬!B:G,6,FALSE))</f>
        <v>23</v>
      </c>
      <c r="E33" s="8" t="str">
        <f t="shared" si="0"/>
        <v>190</v>
      </c>
      <c r="F33" s="8" t="s">
        <v>2</v>
      </c>
      <c r="G33" s="8" t="s">
        <v>387</v>
      </c>
      <c r="H33" s="89" t="s">
        <v>1110</v>
      </c>
      <c r="I33" s="23">
        <v>43742</v>
      </c>
      <c r="J33" s="105" t="str">
        <f t="shared" si="1"/>
        <v>30</v>
      </c>
      <c r="K33" s="105" t="str">
        <f t="shared" si="2"/>
        <v>30</v>
      </c>
      <c r="L33" s="104">
        <f>IF(B33="","",VLOOKUP(B33&amp;F33&amp;H33,经纬!A:M,13,FALSE)*N33)</f>
        <v>216.6210312</v>
      </c>
      <c r="M33" s="104">
        <f>IF(B33="","",VLOOKUP(B33&amp;F33&amp;H33,经纬!A:N,14,FALSE)*N33)</f>
        <v>170.37517716535433</v>
      </c>
      <c r="N33" s="8">
        <v>11949</v>
      </c>
      <c r="R33" s="250">
        <f t="shared" si="3"/>
        <v>10</v>
      </c>
    </row>
    <row r="34" spans="1:18" outlineLevel="1">
      <c r="A34" s="4">
        <v>34</v>
      </c>
      <c r="B34" s="89" t="s">
        <v>1094</v>
      </c>
      <c r="C34" s="8" t="str">
        <f>IF(B34="","",VLOOKUP(B34,经纬!B:C,2,FALSE))</f>
        <v>30*30</v>
      </c>
      <c r="D34" s="8">
        <f>IF(B34="","",VLOOKUP(B34,经纬!B:G,6,FALSE))</f>
        <v>23</v>
      </c>
      <c r="E34" s="8" t="str">
        <f t="shared" si="0"/>
        <v>200</v>
      </c>
      <c r="F34" s="8" t="s">
        <v>2</v>
      </c>
      <c r="G34" s="8" t="s">
        <v>287</v>
      </c>
      <c r="H34" s="89" t="s">
        <v>1110</v>
      </c>
      <c r="I34" s="23">
        <v>43742</v>
      </c>
      <c r="J34" s="105" t="str">
        <f t="shared" si="1"/>
        <v>30</v>
      </c>
      <c r="K34" s="105" t="str">
        <f t="shared" si="2"/>
        <v>30</v>
      </c>
      <c r="L34" s="104">
        <f>IF(B34="","",VLOOKUP(B34&amp;F34&amp;H34,经纬!A:M,13,FALSE)*N34)</f>
        <v>48.755347200000003</v>
      </c>
      <c r="M34" s="104">
        <f>IF(B34="","",VLOOKUP(B34&amp;F34&amp;H34,经纬!A:N,14,FALSE)*N34)</f>
        <v>32.111181102362202</v>
      </c>
      <c r="N34" s="8">
        <v>2371</v>
      </c>
      <c r="R34" s="250">
        <f t="shared" si="3"/>
        <v>10</v>
      </c>
    </row>
    <row r="35" spans="1:18" outlineLevel="1">
      <c r="A35" s="4">
        <v>35</v>
      </c>
      <c r="B35" s="89" t="s">
        <v>1109</v>
      </c>
      <c r="C35" s="8" t="str">
        <f>IF(B35="","",VLOOKUP(B35,经纬!B:C,2,FALSE))</f>
        <v>50*50</v>
      </c>
      <c r="D35" s="8">
        <f>IF(B35="","",VLOOKUP(B35,经纬!B:G,6,FALSE))</f>
        <v>35</v>
      </c>
      <c r="E35" s="8" t="str">
        <f t="shared" si="0"/>
        <v>190</v>
      </c>
      <c r="F35" s="8" t="s">
        <v>2</v>
      </c>
      <c r="G35" s="8" t="s">
        <v>287</v>
      </c>
      <c r="H35" s="89" t="s">
        <v>1110</v>
      </c>
      <c r="I35" s="23">
        <v>43742</v>
      </c>
      <c r="J35" s="105" t="str">
        <f t="shared" si="1"/>
        <v>50</v>
      </c>
      <c r="K35" s="105" t="str">
        <f t="shared" si="2"/>
        <v>50</v>
      </c>
      <c r="L35" s="104">
        <f>IF(B35="","",VLOOKUP(B35&amp;F35&amp;H35,经纬!A:M,13,FALSE)*N35)</f>
        <v>27.079186666666669</v>
      </c>
      <c r="M35" s="104">
        <f>IF(B35="","",VLOOKUP(B35&amp;F35&amp;H35,经纬!A:N,14,FALSE)*N35)</f>
        <v>41.538057742782151</v>
      </c>
      <c r="N35" s="8">
        <v>965</v>
      </c>
      <c r="R35" s="250">
        <f t="shared" si="3"/>
        <v>10</v>
      </c>
    </row>
    <row r="36" spans="1:18" outlineLevel="1">
      <c r="A36" s="4">
        <v>36</v>
      </c>
      <c r="B36" s="89" t="s">
        <v>1092</v>
      </c>
      <c r="C36" s="8" t="str">
        <f>IF(B36="","",VLOOKUP(B36,经纬!B:C,2,FALSE))</f>
        <v>50*50</v>
      </c>
      <c r="D36" s="8">
        <f>IF(B36="","",VLOOKUP(B36,经纬!B:G,6,FALSE))</f>
        <v>37</v>
      </c>
      <c r="E36" s="8" t="str">
        <f t="shared" si="0"/>
        <v>190.5</v>
      </c>
      <c r="F36" s="8" t="s">
        <v>2</v>
      </c>
      <c r="G36" s="8" t="s">
        <v>287</v>
      </c>
      <c r="H36" s="89" t="s">
        <v>1110</v>
      </c>
      <c r="I36" s="23">
        <v>43742</v>
      </c>
      <c r="J36" s="105" t="str">
        <f t="shared" si="1"/>
        <v>50</v>
      </c>
      <c r="K36" s="105" t="str">
        <f t="shared" si="2"/>
        <v>50</v>
      </c>
      <c r="L36" s="104">
        <f>IF(B36="","",VLOOKUP(B36&amp;F36&amp;H36,经纬!A:M,13,FALSE)*N36)</f>
        <v>340.29937000000001</v>
      </c>
      <c r="M36" s="104">
        <f>IF(B36="","",VLOOKUP(B36&amp;F36&amp;H36,经纬!A:N,14,FALSE)*N36)</f>
        <v>438.1527887139107</v>
      </c>
      <c r="N36" s="8">
        <v>11335</v>
      </c>
      <c r="R36" s="250">
        <f t="shared" si="3"/>
        <v>10</v>
      </c>
    </row>
    <row r="37" spans="1:18" outlineLevel="1">
      <c r="A37" s="4">
        <v>37</v>
      </c>
      <c r="B37" s="89" t="s">
        <v>1092</v>
      </c>
      <c r="C37" s="8" t="str">
        <f>IF(B37="","",VLOOKUP(B37,经纬!B:C,2,FALSE))</f>
        <v>50*50</v>
      </c>
      <c r="D37" s="8">
        <f>IF(B37="","",VLOOKUP(B37,经纬!B:G,6,FALSE))</f>
        <v>37</v>
      </c>
      <c r="E37" s="8" t="str">
        <f t="shared" si="0"/>
        <v>190.5</v>
      </c>
      <c r="F37" s="8" t="s">
        <v>2</v>
      </c>
      <c r="G37" s="8" t="s">
        <v>287</v>
      </c>
      <c r="H37" s="89" t="s">
        <v>197</v>
      </c>
      <c r="I37" s="23">
        <v>43742</v>
      </c>
      <c r="J37" s="105" t="str">
        <f t="shared" si="1"/>
        <v>50</v>
      </c>
      <c r="K37" s="105" t="str">
        <f t="shared" si="2"/>
        <v>50</v>
      </c>
      <c r="L37" s="104">
        <f>IF(B37="","",VLOOKUP(B37&amp;F37&amp;H37,经纬!A:M,13,FALSE)*N37)</f>
        <v>113.693314</v>
      </c>
      <c r="M37" s="104">
        <f>IF(B37="","",VLOOKUP(B37&amp;F37&amp;H37,经纬!A:N,14,FALSE)*N37)</f>
        <v>75.746212270341204</v>
      </c>
      <c r="N37" s="8">
        <v>3787</v>
      </c>
      <c r="R37" s="250">
        <f t="shared" si="3"/>
        <v>10</v>
      </c>
    </row>
    <row r="38" spans="1:18" outlineLevel="1">
      <c r="A38" s="4">
        <v>38</v>
      </c>
      <c r="B38" s="89" t="s">
        <v>1115</v>
      </c>
      <c r="C38" s="8" t="str">
        <f>IF(B38="","",VLOOKUP(B38,经纬!B:C,2,FALSE))</f>
        <v>75*150</v>
      </c>
      <c r="D38" s="8">
        <f>IF(B38="","",VLOOKUP(B38,经纬!B:G,6,FALSE))</f>
        <v>54</v>
      </c>
      <c r="E38" s="8" t="str">
        <f t="shared" si="0"/>
        <v>190.5</v>
      </c>
      <c r="F38" s="8" t="s">
        <v>2</v>
      </c>
      <c r="G38" s="8" t="s">
        <v>287</v>
      </c>
      <c r="H38" s="89" t="s">
        <v>197</v>
      </c>
      <c r="I38" s="23">
        <v>43742</v>
      </c>
      <c r="J38" s="105" t="str">
        <f t="shared" si="1"/>
        <v>75</v>
      </c>
      <c r="K38" s="105" t="str">
        <f t="shared" si="2"/>
        <v>150</v>
      </c>
      <c r="L38" s="104">
        <f>IF(B38="","",VLOOKUP(B38&amp;F38&amp;H38,经纬!A:M,13,FALSE)*N38)</f>
        <v>160.50515999999999</v>
      </c>
      <c r="M38" s="104">
        <f>IF(B38="","",VLOOKUP(B38&amp;F38&amp;H38,经纬!A:N,14,FALSE)*N38)</f>
        <v>182.77364173228344</v>
      </c>
      <c r="N38" s="8">
        <v>4674</v>
      </c>
      <c r="R38" s="250">
        <f t="shared" si="3"/>
        <v>10</v>
      </c>
    </row>
    <row r="39" spans="1:18" outlineLevel="1">
      <c r="A39" s="4">
        <v>39</v>
      </c>
      <c r="B39" s="89" t="s">
        <v>1093</v>
      </c>
      <c r="C39" s="8" t="str">
        <f>IF(B39="","",VLOOKUP(B39,经纬!B:C,2,FALSE))</f>
        <v>75*75</v>
      </c>
      <c r="D39" s="8">
        <f>IF(B39="","",VLOOKUP(B39,经纬!B:G,6,FALSE))</f>
        <v>43</v>
      </c>
      <c r="E39" s="8" t="str">
        <f t="shared" si="0"/>
        <v>190.5</v>
      </c>
      <c r="F39" s="8" t="s">
        <v>1</v>
      </c>
      <c r="G39" s="8" t="s">
        <v>287</v>
      </c>
      <c r="H39" s="89" t="s">
        <v>197</v>
      </c>
      <c r="I39" s="23">
        <v>43742</v>
      </c>
      <c r="J39" s="105" t="str">
        <f t="shared" si="1"/>
        <v>75</v>
      </c>
      <c r="K39" s="105" t="str">
        <f t="shared" si="2"/>
        <v>75</v>
      </c>
      <c r="L39" s="104">
        <f>IF(B39="","",VLOOKUP(B39&amp;F39&amp;H39,经纬!A:M,13,FALSE)*N39)</f>
        <v>710.83799999999985</v>
      </c>
      <c r="M39" s="104">
        <f>IF(B39="","",VLOOKUP(B39&amp;F39&amp;H39,经纬!A:N,14,FALSE)*N39)</f>
        <v>544.29183070866134</v>
      </c>
      <c r="N39" s="8">
        <v>20700</v>
      </c>
      <c r="R39" s="250">
        <f t="shared" si="3"/>
        <v>10</v>
      </c>
    </row>
    <row r="40" spans="1:18" outlineLevel="1">
      <c r="A40" s="4">
        <v>40</v>
      </c>
      <c r="B40" s="89" t="s">
        <v>1115</v>
      </c>
      <c r="C40" s="8" t="str">
        <f>IF(B40="","",VLOOKUP(B40,经纬!B:C,2,FALSE))</f>
        <v>75*150</v>
      </c>
      <c r="D40" s="8">
        <f>IF(B40="","",VLOOKUP(B40,经纬!B:G,6,FALSE))</f>
        <v>54</v>
      </c>
      <c r="E40" s="8" t="str">
        <f t="shared" si="0"/>
        <v>190.5</v>
      </c>
      <c r="F40" s="8" t="s">
        <v>1</v>
      </c>
      <c r="G40" s="8" t="s">
        <v>287</v>
      </c>
      <c r="H40" s="89" t="s">
        <v>197</v>
      </c>
      <c r="I40" s="23">
        <v>43742</v>
      </c>
      <c r="J40" s="105" t="str">
        <f t="shared" si="1"/>
        <v>75</v>
      </c>
      <c r="K40" s="105" t="str">
        <f t="shared" si="2"/>
        <v>150</v>
      </c>
      <c r="L40" s="104">
        <f>IF(B40="","",VLOOKUP(B40&amp;F40&amp;H40,经纬!A:M,13,FALSE)*N40)</f>
        <v>327.53491999999994</v>
      </c>
      <c r="M40" s="104">
        <f>IF(B40="","",VLOOKUP(B40&amp;F40&amp;H40,经纬!A:N,14,FALSE)*N40)</f>
        <v>372.97710629921255</v>
      </c>
      <c r="N40" s="8">
        <v>9538</v>
      </c>
      <c r="R40" s="250">
        <f t="shared" si="3"/>
        <v>10</v>
      </c>
    </row>
    <row r="41" spans="1:18" outlineLevel="1">
      <c r="A41" s="4">
        <v>41</v>
      </c>
      <c r="B41" s="89" t="s">
        <v>1115</v>
      </c>
      <c r="C41" s="8" t="str">
        <f>IF(B41="","",VLOOKUP(B41,经纬!B:C,2,FALSE))</f>
        <v>75*150</v>
      </c>
      <c r="D41" s="8">
        <f>IF(B41="","",VLOOKUP(B41,经纬!B:G,6,FALSE))</f>
        <v>54</v>
      </c>
      <c r="E41" s="8" t="str">
        <f t="shared" si="0"/>
        <v>190.5</v>
      </c>
      <c r="F41" s="8" t="s">
        <v>2273</v>
      </c>
      <c r="G41" s="8" t="s">
        <v>287</v>
      </c>
      <c r="H41" s="89" t="s">
        <v>2444</v>
      </c>
      <c r="I41" s="23">
        <v>43742</v>
      </c>
      <c r="J41" s="105" t="str">
        <f t="shared" si="1"/>
        <v>75</v>
      </c>
      <c r="K41" s="105" t="str">
        <f t="shared" si="2"/>
        <v>150</v>
      </c>
      <c r="L41" s="104">
        <f>IF(B41="","",VLOOKUP(B41&amp;F41&amp;H41,经纬!A:M,13,FALSE)*N41)</f>
        <v>353.04953999999998</v>
      </c>
      <c r="M41" s="104">
        <f>IF(B41="","",VLOOKUP(B41&amp;F41&amp;H41,经纬!A:N,14,FALSE)*N41)</f>
        <v>402.03162401574798</v>
      </c>
      <c r="N41" s="8">
        <v>10281</v>
      </c>
      <c r="R41" s="250">
        <f t="shared" si="3"/>
        <v>10</v>
      </c>
    </row>
    <row r="42" spans="1:18" outlineLevel="1">
      <c r="A42" s="4">
        <v>42</v>
      </c>
      <c r="B42" s="89" t="s">
        <v>1097</v>
      </c>
      <c r="C42" s="8" t="str">
        <f>IF(B42="","",VLOOKUP(B42,经纬!B:C,2,FALSE))</f>
        <v>75*200</v>
      </c>
      <c r="D42" s="8">
        <f>IF(B42="","",VLOOKUP(B42,经纬!B:G,6,FALSE))</f>
        <v>62</v>
      </c>
      <c r="E42" s="8" t="str">
        <f t="shared" si="0"/>
        <v>190.5</v>
      </c>
      <c r="F42" s="8" t="s">
        <v>1</v>
      </c>
      <c r="G42" s="8" t="s">
        <v>287</v>
      </c>
      <c r="H42" s="89" t="s">
        <v>197</v>
      </c>
      <c r="I42" s="23">
        <v>43742</v>
      </c>
      <c r="J42" s="105" t="str">
        <f t="shared" si="1"/>
        <v>75</v>
      </c>
      <c r="K42" s="105" t="str">
        <f t="shared" si="2"/>
        <v>200</v>
      </c>
      <c r="L42" s="104">
        <f>IF(B42="","",VLOOKUP(B42&amp;F42&amp;H42,经纬!A:M,13,FALSE)*N42)</f>
        <v>210.63</v>
      </c>
      <c r="M42" s="104">
        <f>IF(B42="","",VLOOKUP(B42&amp;F42&amp;H42,经纬!A:N,14,FALSE)*N42)</f>
        <v>312.83464566929132</v>
      </c>
      <c r="N42" s="8">
        <v>6000</v>
      </c>
      <c r="R42" s="250">
        <f t="shared" si="3"/>
        <v>10</v>
      </c>
    </row>
    <row r="43" spans="1:18" outlineLevel="1">
      <c r="A43" s="4">
        <v>43</v>
      </c>
      <c r="B43" s="89" t="s">
        <v>1098</v>
      </c>
      <c r="C43" s="8" t="str">
        <f>IF(B43="","",VLOOKUP(B43,经纬!B:C,2,FALSE))</f>
        <v>75*300</v>
      </c>
      <c r="D43" s="8">
        <f>IF(B43="","",VLOOKUP(B43,经纬!B:G,6,FALSE))</f>
        <v>70</v>
      </c>
      <c r="E43" s="8" t="str">
        <f t="shared" si="0"/>
        <v>190.5</v>
      </c>
      <c r="F43" s="8" t="s">
        <v>1</v>
      </c>
      <c r="G43" s="8" t="s">
        <v>287</v>
      </c>
      <c r="H43" s="89" t="s">
        <v>197</v>
      </c>
      <c r="I43" s="23">
        <v>43742</v>
      </c>
      <c r="J43" s="105" t="str">
        <f t="shared" si="1"/>
        <v>75</v>
      </c>
      <c r="K43" s="105" t="str">
        <f t="shared" si="2"/>
        <v>300</v>
      </c>
      <c r="L43" s="104">
        <f>IF(B43="","",VLOOKUP(B43&amp;F43&amp;H43,经纬!A:M,13,FALSE)*N43)</f>
        <v>416.81891999999993</v>
      </c>
      <c r="M43" s="104">
        <f>IF(B43="","",VLOOKUP(B43&amp;F43&amp;H43,经纬!A:N,14,FALSE)*N43)</f>
        <v>752.89051181102354</v>
      </c>
      <c r="N43" s="8">
        <v>12138</v>
      </c>
      <c r="R43" s="250">
        <f t="shared" si="3"/>
        <v>10</v>
      </c>
    </row>
    <row r="44" spans="1:18" outlineLevel="1">
      <c r="A44" s="4">
        <v>44</v>
      </c>
      <c r="B44" s="89" t="s">
        <v>1095</v>
      </c>
      <c r="C44" s="8" t="str">
        <f>IF(B44="","",VLOOKUP(B44,经纬!B:C,2,FALSE))</f>
        <v>20*20</v>
      </c>
      <c r="D44" s="8">
        <f>IF(B44="","",VLOOKUP(B44,经纬!B:G,6,FALSE))</f>
        <v>17</v>
      </c>
      <c r="E44" s="8" t="str">
        <f t="shared" si="0"/>
        <v>197</v>
      </c>
      <c r="F44" s="8" t="s">
        <v>2</v>
      </c>
      <c r="G44" s="8" t="s">
        <v>282</v>
      </c>
      <c r="H44" s="89" t="s">
        <v>1110</v>
      </c>
      <c r="I44" s="23">
        <v>43742</v>
      </c>
      <c r="J44" s="105" t="str">
        <f t="shared" si="1"/>
        <v>20</v>
      </c>
      <c r="K44" s="105" t="str">
        <f t="shared" si="2"/>
        <v>20</v>
      </c>
      <c r="L44" s="104">
        <f>IF(B44="","",VLOOKUP(B44&amp;F44&amp;H44,经纬!A:M,13,FALSE)*N44)</f>
        <v>16.306771733333331</v>
      </c>
      <c r="M44" s="104">
        <f>IF(B44="","",VLOOKUP(B44&amp;F44&amp;H44,经纬!A:N,14,FALSE)*N44)</f>
        <v>11.933949256342956</v>
      </c>
      <c r="N44" s="8">
        <v>1214</v>
      </c>
      <c r="R44" s="250">
        <f t="shared" si="3"/>
        <v>10</v>
      </c>
    </row>
    <row r="45" spans="1:18" outlineLevel="1">
      <c r="A45" s="4">
        <v>45</v>
      </c>
      <c r="B45" s="89" t="s">
        <v>1094</v>
      </c>
      <c r="C45" s="8" t="str">
        <f>IF(B45="","",VLOOKUP(B45,经纬!B:C,2,FALSE))</f>
        <v>30*30</v>
      </c>
      <c r="D45" s="8">
        <f>IF(B45="","",VLOOKUP(B45,经纬!B:G,6,FALSE))</f>
        <v>23</v>
      </c>
      <c r="E45" s="8" t="str">
        <f t="shared" si="0"/>
        <v>200</v>
      </c>
      <c r="F45" s="8" t="s">
        <v>2</v>
      </c>
      <c r="G45" s="8" t="s">
        <v>282</v>
      </c>
      <c r="H45" s="89" t="s">
        <v>1110</v>
      </c>
      <c r="I45" s="23">
        <v>43742</v>
      </c>
      <c r="J45" s="105" t="str">
        <f t="shared" si="1"/>
        <v>30</v>
      </c>
      <c r="K45" s="105" t="str">
        <f t="shared" si="2"/>
        <v>30</v>
      </c>
      <c r="L45" s="104">
        <f>IF(B45="","",VLOOKUP(B45&amp;F45&amp;H45,经纬!A:M,13,FALSE)*N45)</f>
        <v>172.8542592</v>
      </c>
      <c r="M45" s="104">
        <f>IF(B45="","",VLOOKUP(B45&amp;F45&amp;H45,经纬!A:N,14,FALSE)*N45)</f>
        <v>113.84503937007872</v>
      </c>
      <c r="N45" s="8">
        <v>8406</v>
      </c>
      <c r="R45" s="250">
        <f t="shared" si="3"/>
        <v>10</v>
      </c>
    </row>
    <row r="46" spans="1:18" outlineLevel="1">
      <c r="A46" s="4">
        <v>46</v>
      </c>
      <c r="B46" s="89" t="s">
        <v>1092</v>
      </c>
      <c r="C46" s="8" t="str">
        <f>IF(B46="","",VLOOKUP(B46,经纬!B:C,2,FALSE))</f>
        <v>50*50</v>
      </c>
      <c r="D46" s="8">
        <f>IF(B46="","",VLOOKUP(B46,经纬!B:G,6,FALSE))</f>
        <v>37</v>
      </c>
      <c r="E46" s="8" t="str">
        <f t="shared" si="0"/>
        <v>190.5</v>
      </c>
      <c r="F46" s="8" t="s">
        <v>2</v>
      </c>
      <c r="G46" s="8" t="s">
        <v>282</v>
      </c>
      <c r="H46" s="89" t="s">
        <v>197</v>
      </c>
      <c r="I46" s="23">
        <v>43742</v>
      </c>
      <c r="J46" s="105" t="str">
        <f t="shared" si="1"/>
        <v>50</v>
      </c>
      <c r="K46" s="105" t="str">
        <f t="shared" si="2"/>
        <v>50</v>
      </c>
      <c r="L46" s="104">
        <f>IF(B46="","",VLOOKUP(B46&amp;F46&amp;H46,经纬!A:M,13,FALSE)*N46)</f>
        <v>27.0198</v>
      </c>
      <c r="M46" s="104">
        <f>IF(B46="","",VLOOKUP(B46&amp;F46&amp;H46,经纬!A:N,14,FALSE)*N46)</f>
        <v>18.001476377952756</v>
      </c>
      <c r="N46" s="8">
        <v>900</v>
      </c>
      <c r="R46" s="250">
        <f t="shared" si="3"/>
        <v>10</v>
      </c>
    </row>
    <row r="47" spans="1:18" outlineLevel="1">
      <c r="A47" s="4">
        <v>47</v>
      </c>
      <c r="B47" s="89" t="s">
        <v>1115</v>
      </c>
      <c r="C47" s="8" t="str">
        <f>IF(B47="","",VLOOKUP(B47,经纬!B:C,2,FALSE))</f>
        <v>75*150</v>
      </c>
      <c r="D47" s="8">
        <f>IF(B47="","",VLOOKUP(B47,经纬!B:G,6,FALSE))</f>
        <v>54</v>
      </c>
      <c r="E47" s="8" t="str">
        <f t="shared" si="0"/>
        <v>190.5</v>
      </c>
      <c r="F47" s="8" t="s">
        <v>1</v>
      </c>
      <c r="G47" s="8" t="s">
        <v>282</v>
      </c>
      <c r="H47" s="89" t="s">
        <v>197</v>
      </c>
      <c r="I47" s="23">
        <v>43742</v>
      </c>
      <c r="J47" s="105" t="str">
        <f t="shared" si="1"/>
        <v>75</v>
      </c>
      <c r="K47" s="105" t="str">
        <f t="shared" si="2"/>
        <v>150</v>
      </c>
      <c r="L47" s="104">
        <f>IF(B47="","",VLOOKUP(B47&amp;F47&amp;H47,经纬!A:M,13,FALSE)*N47)</f>
        <v>16.929619999999996</v>
      </c>
      <c r="M47" s="104">
        <f>IF(B47="","",VLOOKUP(B47&amp;F47&amp;H47,经纬!A:N,14,FALSE)*N47)</f>
        <v>19.278435039370077</v>
      </c>
      <c r="N47" s="8">
        <v>493</v>
      </c>
      <c r="R47" s="250">
        <f t="shared" si="3"/>
        <v>10</v>
      </c>
    </row>
    <row r="48" spans="1:18" outlineLevel="1">
      <c r="A48" s="4">
        <v>48</v>
      </c>
      <c r="B48" s="89" t="s">
        <v>1084</v>
      </c>
      <c r="C48" s="8" t="str">
        <f>IF(B48="","",VLOOKUP(B48,经纬!B:C,2,FALSE))</f>
        <v>75*100</v>
      </c>
      <c r="D48" s="8">
        <f>IF(B48="","",VLOOKUP(B48,经纬!B:G,6,FALSE))</f>
        <v>50</v>
      </c>
      <c r="E48" s="8" t="str">
        <f t="shared" si="0"/>
        <v>190.5</v>
      </c>
      <c r="F48" s="8" t="s">
        <v>1</v>
      </c>
      <c r="G48" s="8" t="s">
        <v>387</v>
      </c>
      <c r="H48" s="89" t="s">
        <v>197</v>
      </c>
      <c r="I48" s="23">
        <v>43743</v>
      </c>
      <c r="J48" s="105" t="str">
        <f t="shared" si="1"/>
        <v>75</v>
      </c>
      <c r="K48" s="105" t="str">
        <f t="shared" si="2"/>
        <v>100</v>
      </c>
      <c r="L48" s="104">
        <f>IF(B48="","",VLOOKUP(B48&amp;F48&amp;H48,经纬!A:M,13,FALSE)*N48)</f>
        <v>337.87125999999995</v>
      </c>
      <c r="M48" s="104">
        <f>IF(B48="","",VLOOKUP(B48&amp;F48&amp;H48,经纬!A:N,14,FALSE)*N48)</f>
        <v>340.52365813648288</v>
      </c>
      <c r="N48" s="8">
        <v>9839</v>
      </c>
      <c r="R48" s="250">
        <f t="shared" si="3"/>
        <v>10</v>
      </c>
    </row>
    <row r="49" spans="1:18" outlineLevel="1">
      <c r="A49" s="4">
        <v>49</v>
      </c>
      <c r="B49" s="89" t="s">
        <v>1092</v>
      </c>
      <c r="C49" s="8" t="str">
        <f>IF(B49="","",VLOOKUP(B49,经纬!B:C,2,FALSE))</f>
        <v>50*50</v>
      </c>
      <c r="D49" s="8">
        <f>IF(B49="","",VLOOKUP(B49,经纬!B:G,6,FALSE))</f>
        <v>37</v>
      </c>
      <c r="E49" s="8" t="str">
        <f t="shared" si="0"/>
        <v>190.5</v>
      </c>
      <c r="F49" s="8" t="s">
        <v>2</v>
      </c>
      <c r="G49" s="8" t="s">
        <v>287</v>
      </c>
      <c r="H49" s="89" t="s">
        <v>1110</v>
      </c>
      <c r="I49" s="23">
        <v>43743</v>
      </c>
      <c r="J49" s="105" t="str">
        <f t="shared" si="1"/>
        <v>50</v>
      </c>
      <c r="K49" s="105" t="str">
        <f t="shared" si="2"/>
        <v>50</v>
      </c>
      <c r="L49" s="104">
        <f>IF(B49="","",VLOOKUP(B49&amp;F49&amp;H49,经纬!A:M,13,FALSE)*N49)</f>
        <v>81.539752000000007</v>
      </c>
      <c r="M49" s="104">
        <f>IF(B49="","",VLOOKUP(B49&amp;F49&amp;H49,经纬!A:N,14,FALSE)*N49)</f>
        <v>104.98658792650917</v>
      </c>
      <c r="N49" s="8">
        <v>2716</v>
      </c>
      <c r="R49" s="250">
        <f t="shared" si="3"/>
        <v>10</v>
      </c>
    </row>
    <row r="50" spans="1:18" outlineLevel="1">
      <c r="A50" s="4">
        <v>50</v>
      </c>
      <c r="B50" s="89" t="s">
        <v>1092</v>
      </c>
      <c r="C50" s="8" t="str">
        <f>IF(B50="","",VLOOKUP(B50,经纬!B:C,2,FALSE))</f>
        <v>50*50</v>
      </c>
      <c r="D50" s="8">
        <f>IF(B50="","",VLOOKUP(B50,经纬!B:G,6,FALSE))</f>
        <v>37</v>
      </c>
      <c r="E50" s="8" t="str">
        <f t="shared" si="0"/>
        <v>190.5</v>
      </c>
      <c r="F50" s="8" t="s">
        <v>2</v>
      </c>
      <c r="G50" s="8" t="s">
        <v>287</v>
      </c>
      <c r="H50" s="89" t="s">
        <v>197</v>
      </c>
      <c r="I50" s="23">
        <v>43743</v>
      </c>
      <c r="J50" s="105" t="str">
        <f t="shared" si="1"/>
        <v>50</v>
      </c>
      <c r="K50" s="105" t="str">
        <f t="shared" si="2"/>
        <v>50</v>
      </c>
      <c r="L50" s="104">
        <f>IF(B50="","",VLOOKUP(B50&amp;F50&amp;H50,经纬!A:M,13,FALSE)*N50)</f>
        <v>303.31226600000002</v>
      </c>
      <c r="M50" s="104">
        <f>IF(B50="","",VLOOKUP(B50&amp;F50&amp;H50,经纬!A:N,14,FALSE)*N50)</f>
        <v>202.07657316272963</v>
      </c>
      <c r="N50" s="8">
        <v>10103</v>
      </c>
      <c r="R50" s="250">
        <f t="shared" si="3"/>
        <v>10</v>
      </c>
    </row>
    <row r="51" spans="1:18" outlineLevel="1">
      <c r="A51" s="4">
        <v>51</v>
      </c>
      <c r="B51" s="89" t="s">
        <v>1092</v>
      </c>
      <c r="C51" s="8" t="str">
        <f>IF(B51="","",VLOOKUP(B51,经纬!B:C,2,FALSE))</f>
        <v>50*50</v>
      </c>
      <c r="D51" s="8">
        <f>IF(B51="","",VLOOKUP(B51,经纬!B:G,6,FALSE))</f>
        <v>37</v>
      </c>
      <c r="E51" s="8" t="str">
        <f t="shared" si="0"/>
        <v>190.5</v>
      </c>
      <c r="F51" s="8" t="s">
        <v>1</v>
      </c>
      <c r="G51" s="8" t="s">
        <v>287</v>
      </c>
      <c r="H51" s="89" t="s">
        <v>197</v>
      </c>
      <c r="I51" s="23">
        <v>43743</v>
      </c>
      <c r="J51" s="105" t="str">
        <f t="shared" si="1"/>
        <v>50</v>
      </c>
      <c r="K51" s="105" t="str">
        <f t="shared" si="2"/>
        <v>50</v>
      </c>
      <c r="L51" s="104">
        <f>IF(B51="","",VLOOKUP(B51&amp;F51&amp;H51,经纬!A:M,13,FALSE)*N51)</f>
        <v>216.57870800000001</v>
      </c>
      <c r="M51" s="104">
        <f>IF(B51="","",VLOOKUP(B51&amp;F51&amp;H51,经纬!A:N,14,FALSE)*N51)</f>
        <v>144.2918339895013</v>
      </c>
      <c r="N51" s="8">
        <v>7214</v>
      </c>
      <c r="R51" s="250">
        <f t="shared" si="3"/>
        <v>10</v>
      </c>
    </row>
    <row r="52" spans="1:18" outlineLevel="1">
      <c r="A52" s="4">
        <v>52</v>
      </c>
      <c r="B52" s="89" t="s">
        <v>1093</v>
      </c>
      <c r="C52" s="8" t="str">
        <f>IF(B52="","",VLOOKUP(B52,经纬!B:C,2,FALSE))</f>
        <v>75*75</v>
      </c>
      <c r="D52" s="8">
        <f>IF(B52="","",VLOOKUP(B52,经纬!B:G,6,FALSE))</f>
        <v>43</v>
      </c>
      <c r="E52" s="8" t="str">
        <f t="shared" si="0"/>
        <v>190.5</v>
      </c>
      <c r="F52" s="8" t="s">
        <v>1</v>
      </c>
      <c r="G52" s="8" t="s">
        <v>287</v>
      </c>
      <c r="H52" s="89" t="s">
        <v>197</v>
      </c>
      <c r="I52" s="23">
        <v>43743</v>
      </c>
      <c r="J52" s="105" t="str">
        <f t="shared" si="1"/>
        <v>75</v>
      </c>
      <c r="K52" s="105" t="str">
        <f t="shared" si="2"/>
        <v>75</v>
      </c>
      <c r="L52" s="104">
        <f>IF(B52="","",VLOOKUP(B52&amp;F52&amp;H52,经纬!A:M,13,FALSE)*N52)</f>
        <v>626.67065999999988</v>
      </c>
      <c r="M52" s="104">
        <f>IF(B52="","",VLOOKUP(B52&amp;F52&amp;H52,经纬!A:N,14,FALSE)*N52)</f>
        <v>479.84452263779519</v>
      </c>
      <c r="N52" s="8">
        <v>18249</v>
      </c>
      <c r="R52" s="250">
        <f t="shared" si="3"/>
        <v>10</v>
      </c>
    </row>
    <row r="53" spans="1:18" outlineLevel="1">
      <c r="A53" s="4">
        <v>53</v>
      </c>
      <c r="B53" s="89" t="s">
        <v>1098</v>
      </c>
      <c r="C53" s="8" t="str">
        <f>IF(B53="","",VLOOKUP(B53,经纬!B:C,2,FALSE))</f>
        <v>75*300</v>
      </c>
      <c r="D53" s="8">
        <f>IF(B53="","",VLOOKUP(B53,经纬!B:G,6,FALSE))</f>
        <v>70</v>
      </c>
      <c r="E53" s="8" t="str">
        <f t="shared" si="0"/>
        <v>190.5</v>
      </c>
      <c r="F53" s="8" t="s">
        <v>1</v>
      </c>
      <c r="G53" s="8" t="s">
        <v>287</v>
      </c>
      <c r="H53" s="89" t="s">
        <v>197</v>
      </c>
      <c r="I53" s="23">
        <v>43743</v>
      </c>
      <c r="J53" s="105" t="str">
        <f t="shared" si="1"/>
        <v>75</v>
      </c>
      <c r="K53" s="105" t="str">
        <f t="shared" si="2"/>
        <v>300</v>
      </c>
      <c r="L53" s="104">
        <f>IF(B53="","",VLOOKUP(B53&amp;F53&amp;H53,经纬!A:M,13,FALSE)*N53)</f>
        <v>379.52567999999997</v>
      </c>
      <c r="M53" s="104">
        <f>IF(B53="","",VLOOKUP(B53&amp;F53&amp;H53,经纬!A:N,14,FALSE)*N53)</f>
        <v>685.52858267716522</v>
      </c>
      <c r="N53" s="8">
        <v>11052</v>
      </c>
      <c r="R53" s="250">
        <f t="shared" si="3"/>
        <v>10</v>
      </c>
    </row>
    <row r="54" spans="1:18" outlineLevel="1">
      <c r="A54" s="4">
        <v>54</v>
      </c>
      <c r="B54" s="89" t="s">
        <v>1107</v>
      </c>
      <c r="C54" s="8" t="str">
        <f>IF(B54="","",VLOOKUP(B54,经纬!B:C,2,FALSE))</f>
        <v>200*300</v>
      </c>
      <c r="D54" s="8">
        <f>IF(B54="","",VLOOKUP(B54,经纬!B:G,6,FALSE))</f>
        <v>135</v>
      </c>
      <c r="E54" s="8" t="str">
        <f t="shared" si="0"/>
        <v>180</v>
      </c>
      <c r="F54" s="8" t="s">
        <v>1</v>
      </c>
      <c r="G54" s="8" t="s">
        <v>287</v>
      </c>
      <c r="H54" s="89" t="s">
        <v>2444</v>
      </c>
      <c r="I54" s="23">
        <v>43743</v>
      </c>
      <c r="J54" s="105" t="str">
        <f t="shared" si="1"/>
        <v>200</v>
      </c>
      <c r="K54" s="105" t="str">
        <f t="shared" si="2"/>
        <v>300</v>
      </c>
      <c r="L54" s="104">
        <f>IF(B54="","",VLOOKUP(B54&amp;F54&amp;H54,经纬!A:M,13,FALSE)*N54)</f>
        <v>519.91893333333337</v>
      </c>
      <c r="M54" s="104">
        <f>IF(B54="","",VLOOKUP(B54&amp;F54&amp;H54,经纬!A:N,14,FALSE)*N54)</f>
        <v>671.49606299212599</v>
      </c>
      <c r="N54" s="8">
        <v>6400</v>
      </c>
      <c r="R54" s="250">
        <f t="shared" si="3"/>
        <v>10</v>
      </c>
    </row>
    <row r="55" spans="1:18" outlineLevel="1">
      <c r="A55" s="4">
        <v>55</v>
      </c>
      <c r="B55" s="89" t="s">
        <v>1095</v>
      </c>
      <c r="C55" s="8" t="str">
        <f>IF(B55="","",VLOOKUP(B55,经纬!B:C,2,FALSE))</f>
        <v>20*20</v>
      </c>
      <c r="D55" s="8">
        <f>IF(B55="","",VLOOKUP(B55,经纬!B:G,6,FALSE))</f>
        <v>17</v>
      </c>
      <c r="E55" s="8" t="str">
        <f t="shared" si="0"/>
        <v>197</v>
      </c>
      <c r="F55" s="8" t="s">
        <v>2</v>
      </c>
      <c r="G55" s="8" t="s">
        <v>387</v>
      </c>
      <c r="H55" s="89" t="s">
        <v>1110</v>
      </c>
      <c r="I55" s="23">
        <v>43744</v>
      </c>
      <c r="J55" s="105" t="str">
        <f t="shared" si="1"/>
        <v>20</v>
      </c>
      <c r="K55" s="105" t="str">
        <f t="shared" si="2"/>
        <v>20</v>
      </c>
      <c r="L55" s="104">
        <f>IF(B55="","",VLOOKUP(B55&amp;F55&amp;H55,经纬!A:M,13,FALSE)*N55)</f>
        <v>157.61421706666667</v>
      </c>
      <c r="M55" s="104">
        <f>IF(B55="","",VLOOKUP(B55&amp;F55&amp;H55,经纬!A:N,14,FALSE)*N55)</f>
        <v>115.34840244969378</v>
      </c>
      <c r="N55" s="8">
        <v>11734</v>
      </c>
      <c r="R55" s="250">
        <f t="shared" si="3"/>
        <v>10</v>
      </c>
    </row>
    <row r="56" spans="1:18" outlineLevel="1">
      <c r="A56" s="4">
        <v>56</v>
      </c>
      <c r="B56" s="89" t="s">
        <v>1096</v>
      </c>
      <c r="C56" s="8" t="str">
        <f>IF(B56="","",VLOOKUP(B56,经纬!B:C,2,FALSE))</f>
        <v>30*30</v>
      </c>
      <c r="D56" s="8">
        <f>IF(B56="","",VLOOKUP(B56,经纬!B:G,6,FALSE))</f>
        <v>23</v>
      </c>
      <c r="E56" s="8" t="str">
        <f t="shared" si="0"/>
        <v>190</v>
      </c>
      <c r="F56" s="8" t="s">
        <v>2</v>
      </c>
      <c r="G56" s="8" t="s">
        <v>387</v>
      </c>
      <c r="H56" s="89" t="s">
        <v>1110</v>
      </c>
      <c r="I56" s="23">
        <v>43744</v>
      </c>
      <c r="J56" s="105" t="str">
        <f t="shared" si="1"/>
        <v>30</v>
      </c>
      <c r="K56" s="105" t="str">
        <f t="shared" si="2"/>
        <v>30</v>
      </c>
      <c r="L56" s="104">
        <f>IF(B56="","",VLOOKUP(B56&amp;F56&amp;H56,经纬!A:M,13,FALSE)*N56)</f>
        <v>225.75794640000001</v>
      </c>
      <c r="M56" s="104">
        <f>IF(B56="","",VLOOKUP(B56&amp;F56&amp;H56,经纬!A:N,14,FALSE)*N56)</f>
        <v>177.56147637795274</v>
      </c>
      <c r="N56" s="8">
        <v>12453</v>
      </c>
      <c r="R56" s="250">
        <f t="shared" si="3"/>
        <v>10</v>
      </c>
    </row>
    <row r="57" spans="1:18" outlineLevel="1">
      <c r="A57" s="4">
        <v>57</v>
      </c>
      <c r="B57" s="89" t="s">
        <v>1093</v>
      </c>
      <c r="C57" s="8" t="str">
        <f>IF(B57="","",VLOOKUP(B57,经纬!B:C,2,FALSE))</f>
        <v>75*75</v>
      </c>
      <c r="D57" s="8">
        <f>IF(B57="","",VLOOKUP(B57,经纬!B:G,6,FALSE))</f>
        <v>43</v>
      </c>
      <c r="E57" s="8" t="str">
        <f t="shared" si="0"/>
        <v>190.5</v>
      </c>
      <c r="F57" s="8" t="s">
        <v>2</v>
      </c>
      <c r="G57" s="8" t="s">
        <v>287</v>
      </c>
      <c r="H57" s="89" t="s">
        <v>197</v>
      </c>
      <c r="I57" s="23">
        <v>43744</v>
      </c>
      <c r="J57" s="105" t="str">
        <f t="shared" si="1"/>
        <v>75</v>
      </c>
      <c r="K57" s="105" t="str">
        <f t="shared" si="2"/>
        <v>75</v>
      </c>
      <c r="L57" s="104">
        <f>IF(B57="","",VLOOKUP(B57&amp;F57&amp;H57,经纬!A:M,13,FALSE)*N57)</f>
        <v>1378.1672199999998</v>
      </c>
      <c r="M57" s="104">
        <f>IF(B57="","",VLOOKUP(B57&amp;F57&amp;H57,经纬!A:N,14,FALSE)*N57)</f>
        <v>1055.2687942913385</v>
      </c>
      <c r="N57" s="8">
        <v>40133</v>
      </c>
      <c r="R57" s="250">
        <f t="shared" si="3"/>
        <v>10</v>
      </c>
    </row>
    <row r="58" spans="1:18" outlineLevel="1">
      <c r="A58" s="4">
        <v>58</v>
      </c>
      <c r="B58" s="89" t="s">
        <v>1093</v>
      </c>
      <c r="C58" s="8" t="str">
        <f>IF(B58="","",VLOOKUP(B58,经纬!B:C,2,FALSE))</f>
        <v>75*75</v>
      </c>
      <c r="D58" s="8">
        <f>IF(B58="","",VLOOKUP(B58,经纬!B:G,6,FALSE))</f>
        <v>43</v>
      </c>
      <c r="E58" s="8" t="str">
        <f t="shared" si="0"/>
        <v>190.5</v>
      </c>
      <c r="F58" s="8" t="s">
        <v>1</v>
      </c>
      <c r="G58" s="8" t="s">
        <v>287</v>
      </c>
      <c r="H58" s="89" t="s">
        <v>197</v>
      </c>
      <c r="I58" s="23">
        <v>43744</v>
      </c>
      <c r="J58" s="105" t="str">
        <f t="shared" si="1"/>
        <v>75</v>
      </c>
      <c r="K58" s="105" t="str">
        <f t="shared" si="2"/>
        <v>75</v>
      </c>
      <c r="L58" s="104">
        <f>IF(B58="","",VLOOKUP(B58&amp;F58&amp;H58,经纬!A:M,13,FALSE)*N58)</f>
        <v>109.47591999999999</v>
      </c>
      <c r="M58" s="104">
        <f>IF(B58="","",VLOOKUP(B58&amp;F58&amp;H58,经纬!A:N,14,FALSE)*N58)</f>
        <v>83.826200787401561</v>
      </c>
      <c r="N58" s="8">
        <v>3188</v>
      </c>
      <c r="R58" s="250">
        <f t="shared" si="3"/>
        <v>10</v>
      </c>
    </row>
    <row r="59" spans="1:18" outlineLevel="1">
      <c r="A59" s="4">
        <v>59</v>
      </c>
      <c r="B59" s="89" t="s">
        <v>1098</v>
      </c>
      <c r="C59" s="8" t="str">
        <f>IF(B59="","",VLOOKUP(B59,经纬!B:C,2,FALSE))</f>
        <v>75*300</v>
      </c>
      <c r="D59" s="8">
        <f>IF(B59="","",VLOOKUP(B59,经纬!B:G,6,FALSE))</f>
        <v>70</v>
      </c>
      <c r="E59" s="8" t="str">
        <f t="shared" si="0"/>
        <v>190.5</v>
      </c>
      <c r="F59" s="8" t="s">
        <v>1</v>
      </c>
      <c r="G59" s="8" t="s">
        <v>287</v>
      </c>
      <c r="H59" s="89" t="s">
        <v>197</v>
      </c>
      <c r="I59" s="23">
        <v>43744</v>
      </c>
      <c r="J59" s="105" t="str">
        <f t="shared" si="1"/>
        <v>75</v>
      </c>
      <c r="K59" s="105" t="str">
        <f t="shared" si="2"/>
        <v>300</v>
      </c>
      <c r="L59" s="104">
        <f>IF(B59="","",VLOOKUP(B59&amp;F59&amp;H59,经纬!A:M,13,FALSE)*N59)</f>
        <v>344.63623999999993</v>
      </c>
      <c r="M59" s="104">
        <f>IF(B59="","",VLOOKUP(B59&amp;F59&amp;H59,经纬!A:N,14,FALSE)*N59)</f>
        <v>622.50858267716524</v>
      </c>
      <c r="N59" s="8">
        <v>10036</v>
      </c>
      <c r="R59" s="250">
        <f t="shared" si="3"/>
        <v>10</v>
      </c>
    </row>
    <row r="60" spans="1:18" outlineLevel="1">
      <c r="A60" s="4">
        <v>60</v>
      </c>
      <c r="B60" s="89" t="s">
        <v>1116</v>
      </c>
      <c r="C60" s="8" t="str">
        <f>IF(B60="","",VLOOKUP(B60,经纬!B:C,2,FALSE))</f>
        <v>100*100</v>
      </c>
      <c r="D60" s="8">
        <f>IF(B60="","",VLOOKUP(B60,经纬!B:G,6,FALSE))</f>
        <v>54</v>
      </c>
      <c r="E60" s="8" t="str">
        <f t="shared" si="0"/>
        <v>188</v>
      </c>
      <c r="F60" s="8" t="s">
        <v>2</v>
      </c>
      <c r="G60" s="8" t="s">
        <v>287</v>
      </c>
      <c r="H60" s="89" t="s">
        <v>1110</v>
      </c>
      <c r="I60" s="23">
        <v>43744</v>
      </c>
      <c r="J60" s="105" t="str">
        <f t="shared" si="1"/>
        <v>100</v>
      </c>
      <c r="K60" s="105" t="str">
        <f t="shared" si="2"/>
        <v>100</v>
      </c>
      <c r="L60" s="104">
        <f>IF(B60="","",VLOOKUP(B60&amp;F60&amp;H60,经纬!A:M,13,FALSE)*N60)</f>
        <v>31.025000000000002</v>
      </c>
      <c r="M60" s="104">
        <f>IF(B60="","",VLOOKUP(B60&amp;F60&amp;H60,经纬!A:N,14,FALSE)*N60)</f>
        <v>42.136264216972876</v>
      </c>
      <c r="N60" s="8">
        <v>730</v>
      </c>
      <c r="R60" s="250">
        <f t="shared" si="3"/>
        <v>10</v>
      </c>
    </row>
    <row r="61" spans="1:18" outlineLevel="1">
      <c r="A61" s="4">
        <v>61</v>
      </c>
      <c r="B61" s="89" t="s">
        <v>1107</v>
      </c>
      <c r="C61" s="8" t="str">
        <f>IF(B61="","",VLOOKUP(B61,经纬!B:C,2,FALSE))</f>
        <v>200*300</v>
      </c>
      <c r="D61" s="8">
        <f>IF(B61="","",VLOOKUP(B61,经纬!B:G,6,FALSE))</f>
        <v>135</v>
      </c>
      <c r="E61" s="8" t="str">
        <f t="shared" si="0"/>
        <v>180</v>
      </c>
      <c r="F61" s="8" t="s">
        <v>1</v>
      </c>
      <c r="G61" s="8" t="s">
        <v>287</v>
      </c>
      <c r="H61" s="89" t="s">
        <v>2444</v>
      </c>
      <c r="I61" s="23">
        <v>43744</v>
      </c>
      <c r="J61" s="105" t="str">
        <f t="shared" si="1"/>
        <v>200</v>
      </c>
      <c r="K61" s="105" t="str">
        <f t="shared" si="2"/>
        <v>300</v>
      </c>
      <c r="L61" s="104">
        <f>IF(B61="","",VLOOKUP(B61&amp;F61&amp;H61,经纬!A:M,13,FALSE)*N61)</f>
        <v>227.46453333333335</v>
      </c>
      <c r="M61" s="104">
        <f>IF(B61="","",VLOOKUP(B61&amp;F61&amp;H61,经纬!A:N,14,FALSE)*N61)</f>
        <v>293.77952755905511</v>
      </c>
      <c r="N61" s="8">
        <v>2800</v>
      </c>
      <c r="R61" s="250">
        <f t="shared" si="3"/>
        <v>10</v>
      </c>
    </row>
    <row r="62" spans="1:18" outlineLevel="1">
      <c r="A62" s="4">
        <v>62</v>
      </c>
      <c r="B62" s="89" t="s">
        <v>1093</v>
      </c>
      <c r="C62" s="8" t="str">
        <f>IF(B62="","",VLOOKUP(B62,经纬!B:C,2,FALSE))</f>
        <v>75*75</v>
      </c>
      <c r="D62" s="8">
        <f>IF(B62="","",VLOOKUP(B62,经纬!B:G,6,FALSE))</f>
        <v>43</v>
      </c>
      <c r="E62" s="8" t="str">
        <f t="shared" si="0"/>
        <v>190.5</v>
      </c>
      <c r="F62" s="8" t="s">
        <v>2</v>
      </c>
      <c r="G62" s="8" t="s">
        <v>1076</v>
      </c>
      <c r="H62" s="89" t="s">
        <v>197</v>
      </c>
      <c r="I62" s="23">
        <v>43744</v>
      </c>
      <c r="J62" s="105" t="str">
        <f t="shared" si="1"/>
        <v>75</v>
      </c>
      <c r="K62" s="105" t="str">
        <f t="shared" si="2"/>
        <v>75</v>
      </c>
      <c r="L62" s="104">
        <f>IF(B62="","",VLOOKUP(B62&amp;F62&amp;H62,经纬!A:M,13,FALSE)*N62)</f>
        <v>58.00025999999999</v>
      </c>
      <c r="M62" s="104">
        <f>IF(B62="","",VLOOKUP(B62&amp;F62&amp;H62,经纬!A:N,14,FALSE)*N62)</f>
        <v>44.411058070866133</v>
      </c>
      <c r="N62" s="8">
        <v>1689</v>
      </c>
      <c r="R62" s="250">
        <f t="shared" si="3"/>
        <v>10</v>
      </c>
    </row>
    <row r="63" spans="1:18" outlineLevel="1">
      <c r="A63" s="4">
        <v>63</v>
      </c>
      <c r="B63" s="89" t="s">
        <v>1093</v>
      </c>
      <c r="C63" s="8" t="str">
        <f>IF(B63="","",VLOOKUP(B63,经纬!B:C,2,FALSE))</f>
        <v>75*75</v>
      </c>
      <c r="D63" s="8">
        <f>IF(B63="","",VLOOKUP(B63,经纬!B:G,6,FALSE))</f>
        <v>43</v>
      </c>
      <c r="E63" s="8" t="str">
        <f t="shared" si="0"/>
        <v>190.5</v>
      </c>
      <c r="F63" s="8" t="s">
        <v>2</v>
      </c>
      <c r="G63" s="8" t="s">
        <v>282</v>
      </c>
      <c r="H63" s="89" t="s">
        <v>197</v>
      </c>
      <c r="I63" s="23">
        <v>43744</v>
      </c>
      <c r="J63" s="105" t="str">
        <f t="shared" si="1"/>
        <v>75</v>
      </c>
      <c r="K63" s="105" t="str">
        <f t="shared" si="2"/>
        <v>75</v>
      </c>
      <c r="L63" s="104">
        <f>IF(B63="","",VLOOKUP(B63&amp;F63&amp;H63,经纬!A:M,13,FALSE)*N63)</f>
        <v>208.75285999999997</v>
      </c>
      <c r="M63" s="104">
        <f>IF(B63="","",VLOOKUP(B63&amp;F63&amp;H63,经纬!A:N,14,FALSE)*N63)</f>
        <v>159.84299704724407</v>
      </c>
      <c r="N63" s="8">
        <v>6079</v>
      </c>
      <c r="R63" s="250">
        <f t="shared" si="3"/>
        <v>10</v>
      </c>
    </row>
    <row r="64" spans="1:18" outlineLevel="1">
      <c r="A64" s="4">
        <v>64</v>
      </c>
      <c r="B64" s="89" t="s">
        <v>1095</v>
      </c>
      <c r="C64" s="8" t="str">
        <f>IF(B64="","",VLOOKUP(B64,经纬!B:C,2,FALSE))</f>
        <v>20*20</v>
      </c>
      <c r="D64" s="8">
        <f>IF(B64="","",VLOOKUP(B64,经纬!B:G,6,FALSE))</f>
        <v>17</v>
      </c>
      <c r="E64" s="8" t="str">
        <f t="shared" si="0"/>
        <v>197</v>
      </c>
      <c r="F64" s="8" t="s">
        <v>2</v>
      </c>
      <c r="G64" s="8" t="s">
        <v>387</v>
      </c>
      <c r="H64" s="89" t="s">
        <v>1110</v>
      </c>
      <c r="I64" s="23">
        <v>43745</v>
      </c>
      <c r="J64" s="105" t="str">
        <f t="shared" si="1"/>
        <v>20</v>
      </c>
      <c r="K64" s="105" t="str">
        <f t="shared" si="2"/>
        <v>20</v>
      </c>
      <c r="L64" s="104">
        <f>IF(B64="","",VLOOKUP(B64&amp;F64&amp;H64,经纬!A:M,13,FALSE)*N64)</f>
        <v>303.24685226666668</v>
      </c>
      <c r="M64" s="104">
        <f>IF(B64="","",VLOOKUP(B64&amp;F64&amp;H64,经纬!A:N,14,FALSE)*N64)</f>
        <v>221.92820297462814</v>
      </c>
      <c r="N64" s="8">
        <v>22576</v>
      </c>
      <c r="R64" s="250">
        <f t="shared" si="3"/>
        <v>10</v>
      </c>
    </row>
    <row r="65" spans="1:18" outlineLevel="1">
      <c r="A65" s="4">
        <v>65</v>
      </c>
      <c r="B65" s="89" t="s">
        <v>1096</v>
      </c>
      <c r="C65" s="8" t="str">
        <f>IF(B65="","",VLOOKUP(B65,经纬!B:C,2,FALSE))</f>
        <v>30*30</v>
      </c>
      <c r="D65" s="8">
        <f>IF(B65="","",VLOOKUP(B65,经纬!B:G,6,FALSE))</f>
        <v>23</v>
      </c>
      <c r="E65" s="8" t="str">
        <f t="shared" si="0"/>
        <v>190</v>
      </c>
      <c r="F65" s="8" t="s">
        <v>2</v>
      </c>
      <c r="G65" s="8" t="s">
        <v>387</v>
      </c>
      <c r="H65" s="89" t="s">
        <v>1110</v>
      </c>
      <c r="I65" s="23">
        <v>43745</v>
      </c>
      <c r="J65" s="105" t="str">
        <f t="shared" si="1"/>
        <v>30</v>
      </c>
      <c r="K65" s="105" t="str">
        <f t="shared" si="2"/>
        <v>30</v>
      </c>
      <c r="L65" s="104">
        <f>IF(B65="","",VLOOKUP(B65&amp;F65&amp;H65,经纬!A:M,13,FALSE)*N65)</f>
        <v>136.47360639999999</v>
      </c>
      <c r="M65" s="104">
        <f>IF(B65="","",VLOOKUP(B65&amp;F65&amp;H65,经纬!A:N,14,FALSE)*N65)</f>
        <v>107.33821522309711</v>
      </c>
      <c r="N65" s="8">
        <v>7528</v>
      </c>
      <c r="R65" s="250">
        <f t="shared" si="3"/>
        <v>10</v>
      </c>
    </row>
    <row r="66" spans="1:18" outlineLevel="1">
      <c r="A66" s="4">
        <v>66</v>
      </c>
      <c r="B66" s="89" t="s">
        <v>1095</v>
      </c>
      <c r="C66" s="8" t="str">
        <f>IF(B66="","",VLOOKUP(B66,经纬!B:C,2,FALSE))</f>
        <v>20*20</v>
      </c>
      <c r="D66" s="8">
        <f>IF(B66="","",VLOOKUP(B66,经纬!B:G,6,FALSE))</f>
        <v>17</v>
      </c>
      <c r="E66" s="8" t="str">
        <f t="shared" si="0"/>
        <v>197</v>
      </c>
      <c r="F66" s="8" t="s">
        <v>2</v>
      </c>
      <c r="G66" s="8" t="s">
        <v>287</v>
      </c>
      <c r="H66" s="89" t="s">
        <v>1110</v>
      </c>
      <c r="I66" s="23">
        <v>43745</v>
      </c>
      <c r="J66" s="105" t="str">
        <f t="shared" si="1"/>
        <v>20</v>
      </c>
      <c r="K66" s="105" t="str">
        <f t="shared" si="2"/>
        <v>20</v>
      </c>
      <c r="L66" s="104">
        <f>IF(B66="","",VLOOKUP(B66&amp;F66&amp;H66,经纬!A:M,13,FALSE)*N66)</f>
        <v>33.338885866666665</v>
      </c>
      <c r="M66" s="104">
        <f>IF(B66="","",VLOOKUP(B66&amp;F66&amp;H66,经纬!A:N,14,FALSE)*N66)</f>
        <v>24.398733158355203</v>
      </c>
      <c r="N66" s="8">
        <v>2482</v>
      </c>
      <c r="R66" s="250">
        <f t="shared" si="3"/>
        <v>10</v>
      </c>
    </row>
    <row r="67" spans="1:18" outlineLevel="1">
      <c r="A67" s="4">
        <v>67</v>
      </c>
      <c r="B67" s="89" t="s">
        <v>1096</v>
      </c>
      <c r="C67" s="8" t="str">
        <f>IF(B67="","",VLOOKUP(B67,经纬!B:C,2,FALSE))</f>
        <v>30*30</v>
      </c>
      <c r="D67" s="8">
        <f>IF(B67="","",VLOOKUP(B67,经纬!B:G,6,FALSE))</f>
        <v>23</v>
      </c>
      <c r="E67" s="8" t="str">
        <f t="shared" ref="E67:E130" si="4">IF(B67="","",MID(B67,LEN(C67),LEN(B67)-LEN(C67)-LEN(D67)+1))</f>
        <v>190</v>
      </c>
      <c r="F67" s="8" t="s">
        <v>2</v>
      </c>
      <c r="G67" s="8" t="s">
        <v>287</v>
      </c>
      <c r="H67" s="89" t="s">
        <v>1110</v>
      </c>
      <c r="I67" s="23">
        <v>43745</v>
      </c>
      <c r="J67" s="105" t="str">
        <f t="shared" ref="J67:J130" si="5">IF(B67="","",LEFT(C67,FIND("*",C67)-1))</f>
        <v>30</v>
      </c>
      <c r="K67" s="105" t="str">
        <f t="shared" ref="K67:K130" si="6">IF(B67="","",RIGHT(C67,LEN(C67)-LEN(J67)-1))</f>
        <v>30</v>
      </c>
      <c r="L67" s="104">
        <f>IF(B67="","",VLOOKUP(B67&amp;F67&amp;H67,经纬!A:M,13,FALSE)*N67)</f>
        <v>52.809194400000003</v>
      </c>
      <c r="M67" s="104">
        <f>IF(B67="","",VLOOKUP(B67&amp;F67&amp;H67,经纬!A:N,14,FALSE)*N67)</f>
        <v>41.53509842519685</v>
      </c>
      <c r="N67" s="8">
        <v>2913</v>
      </c>
      <c r="R67" s="250">
        <f t="shared" ref="R67:R130" si="7">IF(B67="","",MONTH(I67))</f>
        <v>10</v>
      </c>
    </row>
    <row r="68" spans="1:18" outlineLevel="1">
      <c r="A68" s="4">
        <v>68</v>
      </c>
      <c r="B68" s="89" t="s">
        <v>1096</v>
      </c>
      <c r="C68" s="8" t="str">
        <f>IF(B68="","",VLOOKUP(B68,经纬!B:C,2,FALSE))</f>
        <v>30*30</v>
      </c>
      <c r="D68" s="8">
        <f>IF(B68="","",VLOOKUP(B68,经纬!B:G,6,FALSE))</f>
        <v>23</v>
      </c>
      <c r="E68" s="8" t="str">
        <f t="shared" si="4"/>
        <v>190</v>
      </c>
      <c r="F68" s="8" t="s">
        <v>2</v>
      </c>
      <c r="G68" s="8" t="s">
        <v>287</v>
      </c>
      <c r="H68" s="89" t="s">
        <v>197</v>
      </c>
      <c r="I68" s="23">
        <v>43745</v>
      </c>
      <c r="J68" s="105" t="str">
        <f t="shared" si="5"/>
        <v>30</v>
      </c>
      <c r="K68" s="105" t="str">
        <f t="shared" si="6"/>
        <v>30</v>
      </c>
      <c r="L68" s="104">
        <f>IF(B68="","",VLOOKUP(B68&amp;F68&amp;H68,经纬!A:M,13,FALSE)*N68)</f>
        <v>77.337460800000002</v>
      </c>
      <c r="M68" s="104">
        <f>IF(B68="","",VLOOKUP(B68&amp;F68&amp;H68,经纬!A:N,14,FALSE)*N68)</f>
        <v>30.413444881889763</v>
      </c>
      <c r="N68" s="8">
        <v>4266</v>
      </c>
      <c r="R68" s="250">
        <f t="shared" si="7"/>
        <v>10</v>
      </c>
    </row>
    <row r="69" spans="1:18" outlineLevel="1">
      <c r="A69" s="4">
        <v>69</v>
      </c>
      <c r="B69" s="89" t="s">
        <v>1092</v>
      </c>
      <c r="C69" s="8" t="str">
        <f>IF(B69="","",VLOOKUP(B69,经纬!B:C,2,FALSE))</f>
        <v>50*50</v>
      </c>
      <c r="D69" s="8">
        <f>IF(B69="","",VLOOKUP(B69,经纬!B:G,6,FALSE))</f>
        <v>37</v>
      </c>
      <c r="E69" s="8" t="str">
        <f t="shared" si="4"/>
        <v>190.5</v>
      </c>
      <c r="F69" s="8" t="s">
        <v>2</v>
      </c>
      <c r="G69" s="8" t="s">
        <v>287</v>
      </c>
      <c r="H69" s="89" t="s">
        <v>197</v>
      </c>
      <c r="I69" s="23">
        <v>43745</v>
      </c>
      <c r="J69" s="105" t="str">
        <f t="shared" si="5"/>
        <v>50</v>
      </c>
      <c r="K69" s="105" t="str">
        <f t="shared" si="6"/>
        <v>50</v>
      </c>
      <c r="L69" s="104">
        <f>IF(B69="","",VLOOKUP(B69&amp;F69&amp;H69,经纬!A:M,13,FALSE)*N69)</f>
        <v>388.844944</v>
      </c>
      <c r="M69" s="104">
        <f>IF(B69="","",VLOOKUP(B69&amp;F69&amp;H69,经纬!A:N,14,FALSE)*N69)</f>
        <v>259.06124671916007</v>
      </c>
      <c r="N69" s="8">
        <v>12952</v>
      </c>
      <c r="R69" s="250">
        <f t="shared" si="7"/>
        <v>10</v>
      </c>
    </row>
    <row r="70" spans="1:18" outlineLevel="1">
      <c r="A70" s="4">
        <v>70</v>
      </c>
      <c r="B70" s="89" t="s">
        <v>1092</v>
      </c>
      <c r="C70" s="8" t="str">
        <f>IF(B70="","",VLOOKUP(B70,经纬!B:C,2,FALSE))</f>
        <v>50*50</v>
      </c>
      <c r="D70" s="8">
        <f>IF(B70="","",VLOOKUP(B70,经纬!B:G,6,FALSE))</f>
        <v>37</v>
      </c>
      <c r="E70" s="8" t="str">
        <f t="shared" si="4"/>
        <v>190.5</v>
      </c>
      <c r="F70" s="8" t="s">
        <v>1</v>
      </c>
      <c r="G70" s="8" t="s">
        <v>287</v>
      </c>
      <c r="H70" s="89" t="s">
        <v>197</v>
      </c>
      <c r="I70" s="23">
        <v>43745</v>
      </c>
      <c r="J70" s="105" t="str">
        <f t="shared" si="5"/>
        <v>50</v>
      </c>
      <c r="K70" s="105" t="str">
        <f t="shared" si="6"/>
        <v>50</v>
      </c>
      <c r="L70" s="104">
        <f>IF(B70="","",VLOOKUP(B70&amp;F70&amp;H70,经纬!A:M,13,FALSE)*N70)</f>
        <v>247.56141199999999</v>
      </c>
      <c r="M70" s="104">
        <f>IF(B70="","",VLOOKUP(B70&amp;F70&amp;H70,经纬!A:N,14,FALSE)*N70)</f>
        <v>164.93352690288714</v>
      </c>
      <c r="N70" s="8">
        <v>8246</v>
      </c>
      <c r="R70" s="250">
        <f t="shared" si="7"/>
        <v>10</v>
      </c>
    </row>
    <row r="71" spans="1:18" outlineLevel="1">
      <c r="A71" s="4">
        <v>71</v>
      </c>
      <c r="B71" s="89" t="s">
        <v>1093</v>
      </c>
      <c r="C71" s="8" t="str">
        <f>IF(B71="","",VLOOKUP(B71,经纬!B:C,2,FALSE))</f>
        <v>75*75</v>
      </c>
      <c r="D71" s="8">
        <f>IF(B71="","",VLOOKUP(B71,经纬!B:G,6,FALSE))</f>
        <v>43</v>
      </c>
      <c r="E71" s="8" t="str">
        <f t="shared" si="4"/>
        <v>190.5</v>
      </c>
      <c r="F71" s="8" t="s">
        <v>2</v>
      </c>
      <c r="G71" s="8" t="s">
        <v>287</v>
      </c>
      <c r="H71" s="89" t="s">
        <v>197</v>
      </c>
      <c r="I71" s="23">
        <v>43745</v>
      </c>
      <c r="J71" s="105" t="str">
        <f t="shared" si="5"/>
        <v>75</v>
      </c>
      <c r="K71" s="105" t="str">
        <f t="shared" si="6"/>
        <v>75</v>
      </c>
      <c r="L71" s="104">
        <f>IF(B71="","",VLOOKUP(B71&amp;F71&amp;H71,经纬!A:M,13,FALSE)*N71)</f>
        <v>947.85267999999985</v>
      </c>
      <c r="M71" s="104">
        <f>IF(B71="","",VLOOKUP(B71&amp;F71&amp;H71,经纬!A:N,14,FALSE)*N71)</f>
        <v>725.7750295275589</v>
      </c>
      <c r="N71" s="8">
        <v>27602</v>
      </c>
      <c r="R71" s="250">
        <f t="shared" si="7"/>
        <v>10</v>
      </c>
    </row>
    <row r="72" spans="1:18" outlineLevel="1">
      <c r="A72" s="4">
        <v>72</v>
      </c>
      <c r="B72" s="89" t="s">
        <v>1093</v>
      </c>
      <c r="C72" s="8" t="str">
        <f>IF(B72="","",VLOOKUP(B72,经纬!B:C,2,FALSE))</f>
        <v>75*75</v>
      </c>
      <c r="D72" s="8">
        <f>IF(B72="","",VLOOKUP(B72,经纬!B:G,6,FALSE))</f>
        <v>43</v>
      </c>
      <c r="E72" s="8" t="str">
        <f t="shared" si="4"/>
        <v>190.5</v>
      </c>
      <c r="F72" s="8" t="s">
        <v>1</v>
      </c>
      <c r="G72" s="8" t="s">
        <v>287</v>
      </c>
      <c r="H72" s="89" t="s">
        <v>197</v>
      </c>
      <c r="I72" s="23">
        <v>43745</v>
      </c>
      <c r="J72" s="105" t="str">
        <f t="shared" si="5"/>
        <v>75</v>
      </c>
      <c r="K72" s="105" t="str">
        <f t="shared" si="6"/>
        <v>75</v>
      </c>
      <c r="L72" s="104">
        <f>IF(B72="","",VLOOKUP(B72&amp;F72&amp;H72,经纬!A:M,13,FALSE)*N72)</f>
        <v>860.21699999999987</v>
      </c>
      <c r="M72" s="104">
        <f>IF(B72="","",VLOOKUP(B72&amp;F72&amp;H72,经纬!A:N,14,FALSE)*N72)</f>
        <v>658.67199803149595</v>
      </c>
      <c r="N72" s="8">
        <v>25050</v>
      </c>
      <c r="R72" s="250">
        <f t="shared" si="7"/>
        <v>10</v>
      </c>
    </row>
    <row r="73" spans="1:18" outlineLevel="1">
      <c r="A73" s="4">
        <v>73</v>
      </c>
      <c r="B73" s="89" t="s">
        <v>1097</v>
      </c>
      <c r="C73" s="8" t="str">
        <f>IF(B73="","",VLOOKUP(B73,经纬!B:C,2,FALSE))</f>
        <v>75*200</v>
      </c>
      <c r="D73" s="8">
        <f>IF(B73="","",VLOOKUP(B73,经纬!B:G,6,FALSE))</f>
        <v>62</v>
      </c>
      <c r="E73" s="8" t="str">
        <f t="shared" si="4"/>
        <v>190.5</v>
      </c>
      <c r="F73" s="8" t="s">
        <v>1</v>
      </c>
      <c r="G73" s="8" t="s">
        <v>287</v>
      </c>
      <c r="H73" s="89" t="s">
        <v>197</v>
      </c>
      <c r="I73" s="23">
        <v>43745</v>
      </c>
      <c r="J73" s="105" t="str">
        <f t="shared" si="5"/>
        <v>75</v>
      </c>
      <c r="K73" s="105" t="str">
        <f t="shared" si="6"/>
        <v>200</v>
      </c>
      <c r="L73" s="104">
        <f>IF(B73="","",VLOOKUP(B73&amp;F73&amp;H73,经纬!A:M,13,FALSE)*N73)</f>
        <v>273.81899999999996</v>
      </c>
      <c r="M73" s="104">
        <f>IF(B73="","",VLOOKUP(B73&amp;F73&amp;H73,经纬!A:N,14,FALSE)*N73)</f>
        <v>406.6850393700787</v>
      </c>
      <c r="N73" s="8">
        <v>7800</v>
      </c>
      <c r="R73" s="250">
        <f t="shared" si="7"/>
        <v>10</v>
      </c>
    </row>
    <row r="74" spans="1:18" outlineLevel="1">
      <c r="A74" s="4">
        <v>74</v>
      </c>
      <c r="B74" s="89" t="s">
        <v>1098</v>
      </c>
      <c r="C74" s="8" t="str">
        <f>IF(B74="","",VLOOKUP(B74,经纬!B:C,2,FALSE))</f>
        <v>75*300</v>
      </c>
      <c r="D74" s="8">
        <f>IF(B74="","",VLOOKUP(B74,经纬!B:G,6,FALSE))</f>
        <v>70</v>
      </c>
      <c r="E74" s="8" t="str">
        <f t="shared" si="4"/>
        <v>190.5</v>
      </c>
      <c r="F74" s="8" t="s">
        <v>1</v>
      </c>
      <c r="G74" s="8" t="s">
        <v>287</v>
      </c>
      <c r="H74" s="89" t="s">
        <v>197</v>
      </c>
      <c r="I74" s="23">
        <v>43745</v>
      </c>
      <c r="J74" s="105" t="str">
        <f t="shared" si="5"/>
        <v>75</v>
      </c>
      <c r="K74" s="105" t="str">
        <f t="shared" si="6"/>
        <v>300</v>
      </c>
      <c r="L74" s="104">
        <f>IF(B74="","",VLOOKUP(B74&amp;F74&amp;H74,经纬!A:M,13,FALSE)*N74)</f>
        <v>377.15621999999996</v>
      </c>
      <c r="M74" s="104">
        <f>IF(B74="","",VLOOKUP(B74&amp;F74&amp;H74,经纬!A:N,14,FALSE)*N74)</f>
        <v>681.24868110236207</v>
      </c>
      <c r="N74" s="8">
        <v>10983</v>
      </c>
      <c r="R74" s="250">
        <f t="shared" si="7"/>
        <v>10</v>
      </c>
    </row>
    <row r="75" spans="1:18" outlineLevel="1">
      <c r="A75" s="4">
        <v>75</v>
      </c>
      <c r="B75" s="89" t="s">
        <v>1117</v>
      </c>
      <c r="C75" s="8" t="str">
        <f>IF(B75="","",VLOOKUP(B75,经纬!B:C,2,FALSE))</f>
        <v>200*300</v>
      </c>
      <c r="D75" s="8">
        <f>IF(B75="","",VLOOKUP(B75,经纬!B:G,6,FALSE))</f>
        <v>116</v>
      </c>
      <c r="E75" s="8" t="str">
        <f t="shared" si="4"/>
        <v>180</v>
      </c>
      <c r="F75" s="8" t="s">
        <v>2</v>
      </c>
      <c r="G75" s="8" t="s">
        <v>287</v>
      </c>
      <c r="H75" s="89" t="s">
        <v>2444</v>
      </c>
      <c r="I75" s="23">
        <v>43745</v>
      </c>
      <c r="J75" s="105" t="str">
        <f t="shared" si="5"/>
        <v>200</v>
      </c>
      <c r="K75" s="105" t="str">
        <f t="shared" si="6"/>
        <v>300</v>
      </c>
      <c r="L75" s="104">
        <f>IF(B75="","",VLOOKUP(B75&amp;F75&amp;H75,经纬!A:M,13,FALSE)*N75)</f>
        <v>1186.7133333333334</v>
      </c>
      <c r="M75" s="104">
        <f>IF(B75="","",VLOOKUP(B75&amp;F75&amp;H75,经纬!A:N,14,FALSE)*N75)</f>
        <v>1068.2135826771653</v>
      </c>
      <c r="N75" s="8">
        <v>14150</v>
      </c>
      <c r="R75" s="250">
        <f t="shared" si="7"/>
        <v>10</v>
      </c>
    </row>
    <row r="76" spans="1:18" outlineLevel="1">
      <c r="A76" s="4">
        <v>76</v>
      </c>
      <c r="B76" s="89" t="s">
        <v>1107</v>
      </c>
      <c r="C76" s="8" t="str">
        <f>IF(B76="","",VLOOKUP(B76,经纬!B:C,2,FALSE))</f>
        <v>200*300</v>
      </c>
      <c r="D76" s="8">
        <f>IF(B76="","",VLOOKUP(B76,经纬!B:G,6,FALSE))</f>
        <v>135</v>
      </c>
      <c r="E76" s="8" t="str">
        <f t="shared" si="4"/>
        <v>180</v>
      </c>
      <c r="F76" s="8" t="s">
        <v>2</v>
      </c>
      <c r="G76" s="8" t="s">
        <v>287</v>
      </c>
      <c r="H76" s="89" t="s">
        <v>2444</v>
      </c>
      <c r="I76" s="23">
        <v>43745</v>
      </c>
      <c r="J76" s="105" t="str">
        <f t="shared" si="5"/>
        <v>200</v>
      </c>
      <c r="K76" s="105" t="str">
        <f t="shared" si="6"/>
        <v>300</v>
      </c>
      <c r="L76" s="104">
        <f>IF(B76="","",VLOOKUP(B76&amp;F76&amp;H76,经纬!A:M,13,FALSE)*N76)</f>
        <v>519.91893333333337</v>
      </c>
      <c r="M76" s="104">
        <f>IF(B76="","",VLOOKUP(B76&amp;F76&amp;H76,经纬!A:N,14,FALSE)*N76)</f>
        <v>671.49606299212599</v>
      </c>
      <c r="N76" s="8">
        <v>6400</v>
      </c>
      <c r="R76" s="250">
        <f t="shared" si="7"/>
        <v>10</v>
      </c>
    </row>
    <row r="77" spans="1:18" outlineLevel="1">
      <c r="A77" s="4">
        <v>77</v>
      </c>
      <c r="B77" s="89" t="s">
        <v>1096</v>
      </c>
      <c r="C77" s="8" t="str">
        <f>IF(B77="","",VLOOKUP(B77,经纬!B:C,2,FALSE))</f>
        <v>30*30</v>
      </c>
      <c r="D77" s="8">
        <f>IF(B77="","",VLOOKUP(B77,经纬!B:G,6,FALSE))</f>
        <v>23</v>
      </c>
      <c r="E77" s="8" t="str">
        <f t="shared" si="4"/>
        <v>190</v>
      </c>
      <c r="F77" s="8" t="s">
        <v>2</v>
      </c>
      <c r="G77" s="8" t="s">
        <v>1075</v>
      </c>
      <c r="H77" s="89" t="s">
        <v>1110</v>
      </c>
      <c r="I77" s="23">
        <v>43745</v>
      </c>
      <c r="J77" s="105" t="str">
        <f t="shared" si="5"/>
        <v>30</v>
      </c>
      <c r="K77" s="105" t="str">
        <f t="shared" si="6"/>
        <v>30</v>
      </c>
      <c r="L77" s="104">
        <f>IF(B77="","",VLOOKUP(B77&amp;F77&amp;H77,经纬!A:M,13,FALSE)*N77)</f>
        <v>135.76658320000001</v>
      </c>
      <c r="M77" s="104">
        <f>IF(B77="","",VLOOKUP(B77&amp;F77&amp;H77,经纬!A:N,14,FALSE)*N77)</f>
        <v>106.78213254593176</v>
      </c>
      <c r="N77" s="8">
        <v>7489</v>
      </c>
      <c r="R77" s="250">
        <f t="shared" si="7"/>
        <v>10</v>
      </c>
    </row>
    <row r="78" spans="1:18" outlineLevel="1">
      <c r="A78" s="4">
        <v>78</v>
      </c>
      <c r="B78" s="89" t="s">
        <v>1096</v>
      </c>
      <c r="C78" s="8" t="str">
        <f>IF(B78="","",VLOOKUP(B78,经纬!B:C,2,FALSE))</f>
        <v>30*30</v>
      </c>
      <c r="D78" s="8">
        <f>IF(B78="","",VLOOKUP(B78,经纬!B:G,6,FALSE))</f>
        <v>23</v>
      </c>
      <c r="E78" s="8" t="str">
        <f t="shared" si="4"/>
        <v>190</v>
      </c>
      <c r="F78" s="8" t="s">
        <v>2</v>
      </c>
      <c r="G78" s="8" t="s">
        <v>1076</v>
      </c>
      <c r="H78" s="89" t="s">
        <v>1110</v>
      </c>
      <c r="I78" s="23">
        <v>43745</v>
      </c>
      <c r="J78" s="105" t="str">
        <f t="shared" si="5"/>
        <v>30</v>
      </c>
      <c r="K78" s="105" t="str">
        <f t="shared" si="6"/>
        <v>30</v>
      </c>
      <c r="L78" s="104">
        <f>IF(B78="","",VLOOKUP(B78&amp;F78&amp;H78,经纬!A:M,13,FALSE)*N78)</f>
        <v>42.675195200000005</v>
      </c>
      <c r="M78" s="104">
        <f>IF(B78="","",VLOOKUP(B78&amp;F78&amp;H78,经纬!A:N,14,FALSE)*N78)</f>
        <v>33.56458005249344</v>
      </c>
      <c r="N78" s="8">
        <v>2354</v>
      </c>
      <c r="R78" s="250">
        <f t="shared" si="7"/>
        <v>10</v>
      </c>
    </row>
    <row r="79" spans="1:18" outlineLevel="1">
      <c r="A79" s="4">
        <v>79</v>
      </c>
      <c r="B79" s="89" t="s">
        <v>1096</v>
      </c>
      <c r="C79" s="8" t="str">
        <f>IF(B79="","",VLOOKUP(B79,经纬!B:C,2,FALSE))</f>
        <v>30*30</v>
      </c>
      <c r="D79" s="8">
        <f>IF(B79="","",VLOOKUP(B79,经纬!B:G,6,FALSE))</f>
        <v>23</v>
      </c>
      <c r="E79" s="8" t="str">
        <f t="shared" si="4"/>
        <v>190</v>
      </c>
      <c r="F79" s="8" t="s">
        <v>2</v>
      </c>
      <c r="G79" s="8" t="s">
        <v>282</v>
      </c>
      <c r="H79" s="89" t="s">
        <v>1110</v>
      </c>
      <c r="I79" s="23">
        <v>43745</v>
      </c>
      <c r="J79" s="105" t="str">
        <f t="shared" si="5"/>
        <v>30</v>
      </c>
      <c r="K79" s="105" t="str">
        <f t="shared" si="6"/>
        <v>30</v>
      </c>
      <c r="L79" s="104">
        <f>IF(B79="","",VLOOKUP(B79&amp;F79&amp;H79,经纬!A:M,13,FALSE)*N79)</f>
        <v>20.5036728</v>
      </c>
      <c r="M79" s="104">
        <f>IF(B79="","",VLOOKUP(B79&amp;F79&amp;H79,经纬!A:N,14,FALSE)*N79)</f>
        <v>16.126397637795275</v>
      </c>
      <c r="N79" s="8">
        <v>1131</v>
      </c>
      <c r="R79" s="250">
        <f t="shared" si="7"/>
        <v>10</v>
      </c>
    </row>
    <row r="80" spans="1:18" outlineLevel="1">
      <c r="A80" s="4">
        <v>80</v>
      </c>
      <c r="B80" s="89" t="s">
        <v>1096</v>
      </c>
      <c r="C80" s="8" t="str">
        <f>IF(B80="","",VLOOKUP(B80,经纬!B:C,2,FALSE))</f>
        <v>30*30</v>
      </c>
      <c r="D80" s="8">
        <f>IF(B80="","",VLOOKUP(B80,经纬!B:G,6,FALSE))</f>
        <v>23</v>
      </c>
      <c r="E80" s="8" t="str">
        <f t="shared" si="4"/>
        <v>190</v>
      </c>
      <c r="F80" s="8" t="s">
        <v>2</v>
      </c>
      <c r="G80" s="8" t="s">
        <v>282</v>
      </c>
      <c r="H80" s="89" t="s">
        <v>197</v>
      </c>
      <c r="I80" s="23">
        <v>43745</v>
      </c>
      <c r="J80" s="105" t="str">
        <f t="shared" si="5"/>
        <v>30</v>
      </c>
      <c r="K80" s="105" t="str">
        <f t="shared" si="6"/>
        <v>30</v>
      </c>
      <c r="L80" s="104">
        <f>IF(B80="","",VLOOKUP(B80&amp;F80&amp;H80,经纬!A:M,13,FALSE)*N80)</f>
        <v>22.0627496</v>
      </c>
      <c r="M80" s="104">
        <f>IF(B80="","",VLOOKUP(B80&amp;F80&amp;H80,经纬!A:N,14,FALSE)*N80)</f>
        <v>8.6763156167979005</v>
      </c>
      <c r="N80" s="8">
        <v>1217</v>
      </c>
      <c r="R80" s="250">
        <f t="shared" si="7"/>
        <v>10</v>
      </c>
    </row>
    <row r="81" spans="1:18" outlineLevel="1">
      <c r="A81" s="4">
        <v>81</v>
      </c>
      <c r="B81" s="89" t="s">
        <v>1093</v>
      </c>
      <c r="C81" s="8" t="str">
        <f>IF(B81="","",VLOOKUP(B81,经纬!B:C,2,FALSE))</f>
        <v>75*75</v>
      </c>
      <c r="D81" s="8">
        <f>IF(B81="","",VLOOKUP(B81,经纬!B:G,6,FALSE))</f>
        <v>43</v>
      </c>
      <c r="E81" s="8" t="str">
        <f t="shared" si="4"/>
        <v>190.5</v>
      </c>
      <c r="F81" s="8" t="s">
        <v>2</v>
      </c>
      <c r="G81" s="8" t="s">
        <v>282</v>
      </c>
      <c r="H81" s="89" t="s">
        <v>197</v>
      </c>
      <c r="I81" s="23">
        <v>43745</v>
      </c>
      <c r="J81" s="105" t="str">
        <f t="shared" si="5"/>
        <v>75</v>
      </c>
      <c r="K81" s="105" t="str">
        <f t="shared" si="6"/>
        <v>75</v>
      </c>
      <c r="L81" s="104">
        <f>IF(B81="","",VLOOKUP(B81&amp;F81&amp;H81,经纬!A:M,13,FALSE)*N81)</f>
        <v>360.02055999999993</v>
      </c>
      <c r="M81" s="104">
        <f>IF(B81="","",VLOOKUP(B81&amp;F81&amp;H81,经纬!A:N,14,FALSE)*N81)</f>
        <v>275.66935039370077</v>
      </c>
      <c r="N81" s="8">
        <v>10484</v>
      </c>
      <c r="R81" s="250">
        <f t="shared" si="7"/>
        <v>10</v>
      </c>
    </row>
    <row r="82" spans="1:18" outlineLevel="1">
      <c r="A82" s="4">
        <v>82</v>
      </c>
      <c r="B82" s="89" t="s">
        <v>1095</v>
      </c>
      <c r="C82" s="8" t="str">
        <f>IF(B82="","",VLOOKUP(B82,经纬!B:C,2,FALSE))</f>
        <v>20*20</v>
      </c>
      <c r="D82" s="8">
        <f>IF(B82="","",VLOOKUP(B82,经纬!B:G,6,FALSE))</f>
        <v>17</v>
      </c>
      <c r="E82" s="8" t="str">
        <f t="shared" si="4"/>
        <v>197</v>
      </c>
      <c r="F82" s="8" t="s">
        <v>2</v>
      </c>
      <c r="G82" s="8" t="s">
        <v>387</v>
      </c>
      <c r="H82" s="89" t="s">
        <v>1110</v>
      </c>
      <c r="I82" s="23">
        <v>43746</v>
      </c>
      <c r="J82" s="105" t="str">
        <f t="shared" si="5"/>
        <v>20</v>
      </c>
      <c r="K82" s="105" t="str">
        <f t="shared" si="6"/>
        <v>20</v>
      </c>
      <c r="L82" s="104">
        <f>IF(B82="","",VLOOKUP(B82&amp;F82&amp;H82,经纬!A:M,13,FALSE)*N82)</f>
        <v>488.61213226666666</v>
      </c>
      <c r="M82" s="104">
        <f>IF(B82="","",VLOOKUP(B82&amp;F82&amp;H82,经纬!A:N,14,FALSE)*N82)</f>
        <v>357.58594575678035</v>
      </c>
      <c r="N82" s="8">
        <v>36376</v>
      </c>
      <c r="R82" s="250">
        <f t="shared" si="7"/>
        <v>10</v>
      </c>
    </row>
    <row r="83" spans="1:18" outlineLevel="1">
      <c r="A83" s="4">
        <v>83</v>
      </c>
      <c r="B83" s="89" t="s">
        <v>1095</v>
      </c>
      <c r="C83" s="8" t="str">
        <f>IF(B83="","",VLOOKUP(B83,经纬!B:C,2,FALSE))</f>
        <v>20*20</v>
      </c>
      <c r="D83" s="8">
        <f>IF(B83="","",VLOOKUP(B83,经纬!B:G,6,FALSE))</f>
        <v>17</v>
      </c>
      <c r="E83" s="8" t="str">
        <f t="shared" si="4"/>
        <v>197</v>
      </c>
      <c r="F83" s="8" t="s">
        <v>2</v>
      </c>
      <c r="G83" s="8" t="s">
        <v>287</v>
      </c>
      <c r="H83" s="89" t="s">
        <v>1110</v>
      </c>
      <c r="I83" s="23">
        <v>43746</v>
      </c>
      <c r="J83" s="105" t="str">
        <f t="shared" si="5"/>
        <v>20</v>
      </c>
      <c r="K83" s="105" t="str">
        <f t="shared" si="6"/>
        <v>20</v>
      </c>
      <c r="L83" s="104">
        <f>IF(B83="","",VLOOKUP(B83&amp;F83&amp;H83,经纬!A:M,13,FALSE)*N83)</f>
        <v>34.19855093333333</v>
      </c>
      <c r="M83" s="104">
        <f>IF(B83="","",VLOOKUP(B83&amp;F83&amp;H83,经纬!A:N,14,FALSE)*N83)</f>
        <v>25.027870516185473</v>
      </c>
      <c r="N83" s="8">
        <v>2546</v>
      </c>
      <c r="R83" s="250">
        <f t="shared" si="7"/>
        <v>10</v>
      </c>
    </row>
    <row r="84" spans="1:18" outlineLevel="1">
      <c r="A84" s="4">
        <v>84</v>
      </c>
      <c r="B84" s="89" t="s">
        <v>1096</v>
      </c>
      <c r="C84" s="8" t="str">
        <f>IF(B84="","",VLOOKUP(B84,经纬!B:C,2,FALSE))</f>
        <v>30*30</v>
      </c>
      <c r="D84" s="8">
        <f>IF(B84="","",VLOOKUP(B84,经纬!B:G,6,FALSE))</f>
        <v>23</v>
      </c>
      <c r="E84" s="8" t="str">
        <f t="shared" si="4"/>
        <v>190</v>
      </c>
      <c r="F84" s="8" t="s">
        <v>2</v>
      </c>
      <c r="G84" s="8" t="s">
        <v>287</v>
      </c>
      <c r="H84" s="89" t="s">
        <v>197</v>
      </c>
      <c r="I84" s="23">
        <v>43746</v>
      </c>
      <c r="J84" s="105" t="str">
        <f t="shared" si="5"/>
        <v>30</v>
      </c>
      <c r="K84" s="105" t="str">
        <f t="shared" si="6"/>
        <v>30</v>
      </c>
      <c r="L84" s="104">
        <f>IF(B84="","",VLOOKUP(B84&amp;F84&amp;H84,经纬!A:M,13,FALSE)*N84)</f>
        <v>308.08082719999999</v>
      </c>
      <c r="M84" s="104">
        <f>IF(B84="","",VLOOKUP(B84&amp;F84&amp;H84,经纬!A:N,14,FALSE)*N84)</f>
        <v>121.1547309711286</v>
      </c>
      <c r="N84" s="8">
        <v>16994</v>
      </c>
      <c r="R84" s="250">
        <f t="shared" si="7"/>
        <v>10</v>
      </c>
    </row>
    <row r="85" spans="1:18" outlineLevel="1">
      <c r="A85" s="4">
        <v>85</v>
      </c>
      <c r="B85" s="89" t="s">
        <v>1109</v>
      </c>
      <c r="C85" s="8" t="str">
        <f>IF(B85="","",VLOOKUP(B85,经纬!B:C,2,FALSE))</f>
        <v>50*50</v>
      </c>
      <c r="D85" s="8">
        <f>IF(B85="","",VLOOKUP(B85,经纬!B:G,6,FALSE))</f>
        <v>35</v>
      </c>
      <c r="E85" s="8" t="str">
        <f t="shared" si="4"/>
        <v>190</v>
      </c>
      <c r="F85" s="8" t="s">
        <v>2</v>
      </c>
      <c r="G85" s="8" t="s">
        <v>287</v>
      </c>
      <c r="H85" s="89" t="s">
        <v>1110</v>
      </c>
      <c r="I85" s="23">
        <v>43746</v>
      </c>
      <c r="J85" s="105" t="str">
        <f t="shared" si="5"/>
        <v>50</v>
      </c>
      <c r="K85" s="105" t="str">
        <f t="shared" si="6"/>
        <v>50</v>
      </c>
      <c r="L85" s="104">
        <f>IF(B85="","",VLOOKUP(B85&amp;F85&amp;H85,经纬!A:M,13,FALSE)*N85)</f>
        <v>53.372655999999999</v>
      </c>
      <c r="M85" s="104">
        <f>IF(B85="","",VLOOKUP(B85&amp;F85&amp;H85,经纬!A:N,14,FALSE)*N85)</f>
        <v>81.870866141732279</v>
      </c>
      <c r="N85" s="8">
        <v>1902</v>
      </c>
      <c r="R85" s="250">
        <f t="shared" si="7"/>
        <v>10</v>
      </c>
    </row>
    <row r="86" spans="1:18" outlineLevel="1">
      <c r="A86" s="4">
        <v>86</v>
      </c>
      <c r="B86" s="89" t="s">
        <v>1092</v>
      </c>
      <c r="C86" s="8" t="str">
        <f>IF(B86="","",VLOOKUP(B86,经纬!B:C,2,FALSE))</f>
        <v>50*50</v>
      </c>
      <c r="D86" s="8">
        <f>IF(B86="","",VLOOKUP(B86,经纬!B:G,6,FALSE))</f>
        <v>37</v>
      </c>
      <c r="E86" s="8" t="str">
        <f t="shared" si="4"/>
        <v>190.5</v>
      </c>
      <c r="F86" s="8" t="s">
        <v>2</v>
      </c>
      <c r="G86" s="8" t="s">
        <v>287</v>
      </c>
      <c r="H86" s="89" t="s">
        <v>1110</v>
      </c>
      <c r="I86" s="23">
        <v>43746</v>
      </c>
      <c r="J86" s="105" t="str">
        <f t="shared" si="5"/>
        <v>50</v>
      </c>
      <c r="K86" s="105" t="str">
        <f t="shared" si="6"/>
        <v>50</v>
      </c>
      <c r="L86" s="104">
        <f>IF(B86="","",VLOOKUP(B86&amp;F86&amp;H86,经纬!A:M,13,FALSE)*N86)</f>
        <v>412.62236799999999</v>
      </c>
      <c r="M86" s="104">
        <f>IF(B86="","",VLOOKUP(B86&amp;F86&amp;H86,经纬!A:N,14,FALSE)*N86)</f>
        <v>531.2723359580051</v>
      </c>
      <c r="N86" s="8">
        <v>13744</v>
      </c>
      <c r="R86" s="250">
        <f t="shared" si="7"/>
        <v>10</v>
      </c>
    </row>
    <row r="87" spans="1:18" outlineLevel="1">
      <c r="A87" s="4">
        <v>87</v>
      </c>
      <c r="B87" s="89" t="s">
        <v>1092</v>
      </c>
      <c r="C87" s="8" t="str">
        <f>IF(B87="","",VLOOKUP(B87,经纬!B:C,2,FALSE))</f>
        <v>50*50</v>
      </c>
      <c r="D87" s="8">
        <f>IF(B87="","",VLOOKUP(B87,经纬!B:G,6,FALSE))</f>
        <v>37</v>
      </c>
      <c r="E87" s="8" t="str">
        <f t="shared" si="4"/>
        <v>190.5</v>
      </c>
      <c r="F87" s="8" t="s">
        <v>2</v>
      </c>
      <c r="G87" s="8" t="s">
        <v>287</v>
      </c>
      <c r="H87" s="89" t="s">
        <v>197</v>
      </c>
      <c r="I87" s="23">
        <v>43746</v>
      </c>
      <c r="J87" s="105" t="str">
        <f t="shared" si="5"/>
        <v>50</v>
      </c>
      <c r="K87" s="105" t="str">
        <f t="shared" si="6"/>
        <v>50</v>
      </c>
      <c r="L87" s="104">
        <f>IF(B87="","",VLOOKUP(B87&amp;F87&amp;H87,经纬!A:M,13,FALSE)*N87)</f>
        <v>507.04155800000001</v>
      </c>
      <c r="M87" s="104">
        <f>IF(B87="","",VLOOKUP(B87&amp;F87&amp;H87,经纬!A:N,14,FALSE)*N87)</f>
        <v>337.80770505249342</v>
      </c>
      <c r="N87" s="8">
        <v>16889</v>
      </c>
      <c r="R87" s="250">
        <f t="shared" si="7"/>
        <v>10</v>
      </c>
    </row>
    <row r="88" spans="1:18" outlineLevel="1">
      <c r="A88" s="4">
        <v>88</v>
      </c>
      <c r="B88" s="89" t="s">
        <v>1118</v>
      </c>
      <c r="C88" s="8" t="str">
        <f>IF(B88="","",VLOOKUP(B88,经纬!B:C,2,FALSE))</f>
        <v>50*75</v>
      </c>
      <c r="D88" s="8">
        <f>IF(B88="","",VLOOKUP(B88,经纬!B:G,6,FALSE))</f>
        <v>44</v>
      </c>
      <c r="E88" s="8" t="str">
        <f t="shared" si="4"/>
        <v>190</v>
      </c>
      <c r="F88" s="8" t="s">
        <v>2</v>
      </c>
      <c r="G88" s="8" t="s">
        <v>287</v>
      </c>
      <c r="H88" s="89" t="s">
        <v>1110</v>
      </c>
      <c r="I88" s="23">
        <v>43746</v>
      </c>
      <c r="J88" s="105" t="str">
        <f t="shared" si="5"/>
        <v>50</v>
      </c>
      <c r="K88" s="105" t="str">
        <f t="shared" si="6"/>
        <v>75</v>
      </c>
      <c r="L88" s="104">
        <f>IF(B88="","",VLOOKUP(B88&amp;F88&amp;H88,经纬!A:M,13,FALSE)*N88)</f>
        <v>143.38507200000001</v>
      </c>
      <c r="M88" s="104">
        <f>IF(B88="","",VLOOKUP(B88&amp;F88&amp;H88,经纬!A:N,14,FALSE)*N88)</f>
        <v>260.18858267716536</v>
      </c>
      <c r="N88" s="8">
        <v>4776</v>
      </c>
      <c r="R88" s="250">
        <f t="shared" si="7"/>
        <v>10</v>
      </c>
    </row>
    <row r="89" spans="1:18" outlineLevel="1">
      <c r="A89" s="4">
        <v>89</v>
      </c>
      <c r="B89" s="89" t="s">
        <v>1098</v>
      </c>
      <c r="C89" s="8" t="str">
        <f>IF(B89="","",VLOOKUP(B89,经纬!B:C,2,FALSE))</f>
        <v>75*300</v>
      </c>
      <c r="D89" s="8">
        <f>IF(B89="","",VLOOKUP(B89,经纬!B:G,6,FALSE))</f>
        <v>70</v>
      </c>
      <c r="E89" s="8" t="str">
        <f t="shared" si="4"/>
        <v>190.5</v>
      </c>
      <c r="F89" s="8" t="s">
        <v>2</v>
      </c>
      <c r="G89" s="8" t="s">
        <v>287</v>
      </c>
      <c r="H89" s="89" t="s">
        <v>197</v>
      </c>
      <c r="I89" s="23">
        <v>43746</v>
      </c>
      <c r="J89" s="105" t="str">
        <f t="shared" si="5"/>
        <v>75</v>
      </c>
      <c r="K89" s="105" t="str">
        <f t="shared" si="6"/>
        <v>300</v>
      </c>
      <c r="L89" s="104">
        <f>IF(B89="","",VLOOKUP(B89&amp;F89&amp;H89,经纬!A:M,13,FALSE)*N89)</f>
        <v>146.18537999999998</v>
      </c>
      <c r="M89" s="104">
        <f>IF(B89="","",VLOOKUP(B89&amp;F89&amp;H89,经纬!A:N,14,FALSE)*N89)</f>
        <v>264.05131889763777</v>
      </c>
      <c r="N89" s="8">
        <v>4257</v>
      </c>
      <c r="R89" s="250">
        <f t="shared" si="7"/>
        <v>10</v>
      </c>
    </row>
    <row r="90" spans="1:18" outlineLevel="1">
      <c r="A90" s="4">
        <v>90</v>
      </c>
      <c r="B90" s="89" t="s">
        <v>1093</v>
      </c>
      <c r="C90" s="8" t="str">
        <f>IF(B90="","",VLOOKUP(B90,经纬!B:C,2,FALSE))</f>
        <v>75*75</v>
      </c>
      <c r="D90" s="8">
        <f>IF(B90="","",VLOOKUP(B90,经纬!B:G,6,FALSE))</f>
        <v>43</v>
      </c>
      <c r="E90" s="8" t="str">
        <f t="shared" si="4"/>
        <v>190.5</v>
      </c>
      <c r="F90" s="8" t="s">
        <v>1</v>
      </c>
      <c r="G90" s="8" t="s">
        <v>287</v>
      </c>
      <c r="H90" s="89" t="s">
        <v>197</v>
      </c>
      <c r="I90" s="23">
        <v>43746</v>
      </c>
      <c r="J90" s="105" t="str">
        <f t="shared" si="5"/>
        <v>75</v>
      </c>
      <c r="K90" s="105" t="str">
        <f t="shared" si="6"/>
        <v>75</v>
      </c>
      <c r="L90" s="104">
        <f>IF(B90="","",VLOOKUP(B90&amp;F90&amp;H90,经纬!A:M,13,FALSE)*N90)</f>
        <v>366.40779999999995</v>
      </c>
      <c r="M90" s="104">
        <f>IF(B90="","",VLOOKUP(B90&amp;F90&amp;H90,经纬!A:N,14,FALSE)*N90)</f>
        <v>280.56008858267711</v>
      </c>
      <c r="N90" s="8">
        <v>10670</v>
      </c>
      <c r="R90" s="250">
        <f t="shared" si="7"/>
        <v>10</v>
      </c>
    </row>
    <row r="91" spans="1:18" outlineLevel="1">
      <c r="A91" s="4">
        <v>91</v>
      </c>
      <c r="B91" s="89" t="s">
        <v>1097</v>
      </c>
      <c r="C91" s="8" t="str">
        <f>IF(B91="","",VLOOKUP(B91,经纬!B:C,2,FALSE))</f>
        <v>75*200</v>
      </c>
      <c r="D91" s="8">
        <f>IF(B91="","",VLOOKUP(B91,经纬!B:G,6,FALSE))</f>
        <v>62</v>
      </c>
      <c r="E91" s="8" t="str">
        <f t="shared" si="4"/>
        <v>190.5</v>
      </c>
      <c r="F91" s="8" t="s">
        <v>1</v>
      </c>
      <c r="G91" s="8" t="s">
        <v>287</v>
      </c>
      <c r="H91" s="89" t="s">
        <v>197</v>
      </c>
      <c r="I91" s="23">
        <v>43746</v>
      </c>
      <c r="J91" s="105" t="str">
        <f t="shared" si="5"/>
        <v>75</v>
      </c>
      <c r="K91" s="105" t="str">
        <f t="shared" si="6"/>
        <v>200</v>
      </c>
      <c r="L91" s="104">
        <f>IF(B91="","",VLOOKUP(B91&amp;F91&amp;H91,经纬!A:M,13,FALSE)*N91)</f>
        <v>42.125999999999998</v>
      </c>
      <c r="M91" s="104">
        <f>IF(B91="","",VLOOKUP(B91&amp;F91&amp;H91,经纬!A:N,14,FALSE)*N91)</f>
        <v>62.56692913385826</v>
      </c>
      <c r="N91" s="8">
        <v>1200</v>
      </c>
      <c r="R91" s="250">
        <f t="shared" si="7"/>
        <v>10</v>
      </c>
    </row>
    <row r="92" spans="1:18" outlineLevel="1">
      <c r="A92" s="4">
        <v>92</v>
      </c>
      <c r="B92" s="89" t="s">
        <v>1098</v>
      </c>
      <c r="C92" s="8" t="str">
        <f>IF(B92="","",VLOOKUP(B92,经纬!B:C,2,FALSE))</f>
        <v>75*300</v>
      </c>
      <c r="D92" s="8">
        <f>IF(B92="","",VLOOKUP(B92,经纬!B:G,6,FALSE))</f>
        <v>70</v>
      </c>
      <c r="E92" s="8" t="str">
        <f t="shared" si="4"/>
        <v>190.5</v>
      </c>
      <c r="F92" s="8" t="s">
        <v>1</v>
      </c>
      <c r="G92" s="8" t="s">
        <v>287</v>
      </c>
      <c r="H92" s="89" t="s">
        <v>197</v>
      </c>
      <c r="I92" s="23">
        <v>43746</v>
      </c>
      <c r="J92" s="105" t="str">
        <f t="shared" si="5"/>
        <v>75</v>
      </c>
      <c r="K92" s="105" t="str">
        <f t="shared" si="6"/>
        <v>300</v>
      </c>
      <c r="L92" s="104">
        <f>IF(B92="","",VLOOKUP(B92&amp;F92&amp;H92,经纬!A:M,13,FALSE)*N92)</f>
        <v>399.03079999999994</v>
      </c>
      <c r="M92" s="104">
        <f>IF(B92="","",VLOOKUP(B92&amp;F92&amp;H92,经纬!A:N,14,FALSE)*N92)</f>
        <v>720.76023622047228</v>
      </c>
      <c r="N92" s="8">
        <v>11620</v>
      </c>
      <c r="R92" s="250">
        <f t="shared" si="7"/>
        <v>10</v>
      </c>
    </row>
    <row r="93" spans="1:18" outlineLevel="1">
      <c r="A93" s="4">
        <v>93</v>
      </c>
      <c r="B93" s="89" t="s">
        <v>1107</v>
      </c>
      <c r="C93" s="8" t="str">
        <f>IF(B93="","",VLOOKUP(B93,经纬!B:C,2,FALSE))</f>
        <v>200*300</v>
      </c>
      <c r="D93" s="8">
        <f>IF(B93="","",VLOOKUP(B93,经纬!B:G,6,FALSE))</f>
        <v>135</v>
      </c>
      <c r="E93" s="8" t="str">
        <f t="shared" si="4"/>
        <v>180</v>
      </c>
      <c r="F93" s="8" t="s">
        <v>1</v>
      </c>
      <c r="G93" s="8" t="s">
        <v>287</v>
      </c>
      <c r="H93" s="89" t="s">
        <v>2444</v>
      </c>
      <c r="I93" s="23">
        <v>43746</v>
      </c>
      <c r="J93" s="105" t="str">
        <f t="shared" si="5"/>
        <v>200</v>
      </c>
      <c r="K93" s="105" t="str">
        <f t="shared" si="6"/>
        <v>300</v>
      </c>
      <c r="L93" s="104">
        <f>IF(B93="","",VLOOKUP(B93&amp;F93&amp;H93,经纬!A:M,13,FALSE)*N93)</f>
        <v>519.91893333333337</v>
      </c>
      <c r="M93" s="104">
        <f>IF(B93="","",VLOOKUP(B93&amp;F93&amp;H93,经纬!A:N,14,FALSE)*N93)</f>
        <v>671.49606299212599</v>
      </c>
      <c r="N93" s="8">
        <v>6400</v>
      </c>
      <c r="R93" s="250">
        <f t="shared" si="7"/>
        <v>10</v>
      </c>
    </row>
    <row r="94" spans="1:18" outlineLevel="1">
      <c r="A94" s="4">
        <v>94</v>
      </c>
      <c r="B94" s="89" t="s">
        <v>1096</v>
      </c>
      <c r="C94" s="8" t="str">
        <f>IF(B94="","",VLOOKUP(B94,经纬!B:C,2,FALSE))</f>
        <v>30*30</v>
      </c>
      <c r="D94" s="8">
        <f>IF(B94="","",VLOOKUP(B94,经纬!B:G,6,FALSE))</f>
        <v>23</v>
      </c>
      <c r="E94" s="8" t="str">
        <f t="shared" si="4"/>
        <v>190</v>
      </c>
      <c r="F94" s="8" t="s">
        <v>2</v>
      </c>
      <c r="G94" s="8" t="s">
        <v>1076</v>
      </c>
      <c r="H94" s="89" t="s">
        <v>197</v>
      </c>
      <c r="I94" s="23">
        <v>43746</v>
      </c>
      <c r="J94" s="105" t="str">
        <f t="shared" si="5"/>
        <v>30</v>
      </c>
      <c r="K94" s="105" t="str">
        <f t="shared" si="6"/>
        <v>30</v>
      </c>
      <c r="L94" s="104">
        <f>IF(B94="","",VLOOKUP(B94&amp;F94&amp;H94,经纬!A:M,13,FALSE)*N94)</f>
        <v>15.1556768</v>
      </c>
      <c r="M94" s="104">
        <f>IF(B94="","",VLOOKUP(B94&amp;F94&amp;H94,经纬!A:N,14,FALSE)*N94)</f>
        <v>5.9600656167979</v>
      </c>
      <c r="N94" s="8">
        <v>836</v>
      </c>
      <c r="R94" s="250">
        <f t="shared" si="7"/>
        <v>10</v>
      </c>
    </row>
    <row r="95" spans="1:18" outlineLevel="1">
      <c r="A95" s="4">
        <v>95</v>
      </c>
      <c r="B95" s="89" t="s">
        <v>1092</v>
      </c>
      <c r="C95" s="8" t="str">
        <f>IF(B95="","",VLOOKUP(B95,经纬!B:C,2,FALSE))</f>
        <v>50*50</v>
      </c>
      <c r="D95" s="8">
        <f>IF(B95="","",VLOOKUP(B95,经纬!B:G,6,FALSE))</f>
        <v>37</v>
      </c>
      <c r="E95" s="8" t="str">
        <f t="shared" si="4"/>
        <v>190.5</v>
      </c>
      <c r="F95" s="8" t="s">
        <v>2</v>
      </c>
      <c r="G95" s="8" t="s">
        <v>282</v>
      </c>
      <c r="H95" s="89" t="s">
        <v>1110</v>
      </c>
      <c r="I95" s="23">
        <v>43746</v>
      </c>
      <c r="J95" s="105" t="str">
        <f t="shared" si="5"/>
        <v>50</v>
      </c>
      <c r="K95" s="105" t="str">
        <f t="shared" si="6"/>
        <v>50</v>
      </c>
      <c r="L95" s="104">
        <f>IF(B95="","",VLOOKUP(B95&amp;F95&amp;H95,经纬!A:M,13,FALSE)*N95)</f>
        <v>55.390590000000003</v>
      </c>
      <c r="M95" s="104">
        <f>IF(B95="","",VLOOKUP(B95&amp;F95&amp;H95,经纬!A:N,14,FALSE)*N95)</f>
        <v>71.318208661417316</v>
      </c>
      <c r="N95" s="8">
        <v>1845</v>
      </c>
      <c r="R95" s="250">
        <f t="shared" si="7"/>
        <v>10</v>
      </c>
    </row>
    <row r="96" spans="1:18" outlineLevel="1">
      <c r="A96" s="4">
        <v>96</v>
      </c>
      <c r="B96" s="89" t="s">
        <v>1092</v>
      </c>
      <c r="C96" s="8" t="str">
        <f>IF(B96="","",VLOOKUP(B96,经纬!B:C,2,FALSE))</f>
        <v>50*50</v>
      </c>
      <c r="D96" s="8">
        <f>IF(B96="","",VLOOKUP(B96,经纬!B:G,6,FALSE))</f>
        <v>37</v>
      </c>
      <c r="E96" s="8" t="str">
        <f t="shared" si="4"/>
        <v>190.5</v>
      </c>
      <c r="F96" s="8" t="s">
        <v>2</v>
      </c>
      <c r="G96" s="8" t="s">
        <v>282</v>
      </c>
      <c r="H96" s="89" t="s">
        <v>197</v>
      </c>
      <c r="I96" s="23">
        <v>43746</v>
      </c>
      <c r="J96" s="105" t="str">
        <f t="shared" si="5"/>
        <v>50</v>
      </c>
      <c r="K96" s="105" t="str">
        <f t="shared" si="6"/>
        <v>50</v>
      </c>
      <c r="L96" s="104">
        <f>IF(B96="","",VLOOKUP(B96&amp;F96&amp;H96,经纬!A:M,13,FALSE)*N96)</f>
        <v>28.580943999999999</v>
      </c>
      <c r="M96" s="104">
        <f>IF(B96="","",VLOOKUP(B96&amp;F96&amp;H96,经纬!A:N,14,FALSE)*N96)</f>
        <v>19.041561679790025</v>
      </c>
      <c r="N96" s="8">
        <v>952</v>
      </c>
      <c r="R96" s="250">
        <f t="shared" si="7"/>
        <v>10</v>
      </c>
    </row>
    <row r="97" spans="1:18" outlineLevel="1">
      <c r="A97" s="4">
        <v>97</v>
      </c>
      <c r="B97" s="89" t="s">
        <v>1119</v>
      </c>
      <c r="C97" s="8" t="str">
        <f>IF(B97="","",VLOOKUP(B97,经纬!B:C,2,FALSE))</f>
        <v>15*15</v>
      </c>
      <c r="D97" s="8">
        <f>IF(B97="","",VLOOKUP(B97,经纬!B:G,6,FALSE))</f>
        <v>13</v>
      </c>
      <c r="E97" s="8" t="str">
        <f t="shared" si="4"/>
        <v>197</v>
      </c>
      <c r="F97" s="8" t="s">
        <v>2</v>
      </c>
      <c r="G97" s="8" t="s">
        <v>387</v>
      </c>
      <c r="H97" s="89" t="s">
        <v>1110</v>
      </c>
      <c r="I97" s="23">
        <v>43747</v>
      </c>
      <c r="J97" s="105" t="str">
        <f t="shared" si="5"/>
        <v>15</v>
      </c>
      <c r="K97" s="105" t="str">
        <f t="shared" si="6"/>
        <v>15</v>
      </c>
      <c r="L97" s="104">
        <f>IF(B97="","",VLOOKUP(B97&amp;F97&amp;H97,经纬!A:M,13,FALSE)*N97)</f>
        <v>30.232674200000002</v>
      </c>
      <c r="M97" s="104">
        <f>IF(B97="","",VLOOKUP(B97&amp;F97&amp;H97,经纬!A:N,14,FALSE)*N97)</f>
        <v>20.873097112860894</v>
      </c>
      <c r="N97" s="8">
        <v>3001</v>
      </c>
      <c r="R97" s="250">
        <f t="shared" si="7"/>
        <v>10</v>
      </c>
    </row>
    <row r="98" spans="1:18" outlineLevel="1">
      <c r="A98" s="4">
        <v>98</v>
      </c>
      <c r="B98" s="89" t="s">
        <v>1095</v>
      </c>
      <c r="C98" s="8" t="str">
        <f>IF(B98="","",VLOOKUP(B98,经纬!B:C,2,FALSE))</f>
        <v>20*20</v>
      </c>
      <c r="D98" s="8">
        <f>IF(B98="","",VLOOKUP(B98,经纬!B:G,6,FALSE))</f>
        <v>17</v>
      </c>
      <c r="E98" s="8" t="str">
        <f t="shared" si="4"/>
        <v>197</v>
      </c>
      <c r="F98" s="8" t="s">
        <v>2</v>
      </c>
      <c r="G98" s="8" t="s">
        <v>387</v>
      </c>
      <c r="H98" s="89" t="s">
        <v>1110</v>
      </c>
      <c r="I98" s="23">
        <v>43747</v>
      </c>
      <c r="J98" s="105" t="str">
        <f t="shared" si="5"/>
        <v>20</v>
      </c>
      <c r="K98" s="105" t="str">
        <f t="shared" si="6"/>
        <v>20</v>
      </c>
      <c r="L98" s="104">
        <f>IF(B98="","",VLOOKUP(B98&amp;F98&amp;H98,经纬!A:M,13,FALSE)*N98)</f>
        <v>66.75836533333333</v>
      </c>
      <c r="M98" s="104">
        <f>IF(B98="","",VLOOKUP(B98&amp;F98&amp;H98,经纬!A:N,14,FALSE)*N98)</f>
        <v>48.856447944006995</v>
      </c>
      <c r="N98" s="8">
        <v>4970</v>
      </c>
      <c r="R98" s="250">
        <f t="shared" si="7"/>
        <v>10</v>
      </c>
    </row>
    <row r="99" spans="1:18" outlineLevel="1">
      <c r="A99" s="4">
        <v>99</v>
      </c>
      <c r="B99" s="89" t="s">
        <v>1119</v>
      </c>
      <c r="C99" s="8" t="str">
        <f>IF(B99="","",VLOOKUP(B99,经纬!B:C,2,FALSE))</f>
        <v>15*15</v>
      </c>
      <c r="D99" s="8">
        <f>IF(B99="","",VLOOKUP(B99,经纬!B:G,6,FALSE))</f>
        <v>13</v>
      </c>
      <c r="E99" s="8" t="str">
        <f t="shared" si="4"/>
        <v>197</v>
      </c>
      <c r="F99" s="8" t="s">
        <v>2</v>
      </c>
      <c r="G99" s="8" t="s">
        <v>287</v>
      </c>
      <c r="H99" s="89" t="s">
        <v>1110</v>
      </c>
      <c r="I99" s="23">
        <v>43747</v>
      </c>
      <c r="J99" s="105" t="str">
        <f t="shared" si="5"/>
        <v>15</v>
      </c>
      <c r="K99" s="105" t="str">
        <f t="shared" si="6"/>
        <v>15</v>
      </c>
      <c r="L99" s="104">
        <f>IF(B99="","",VLOOKUP(B99&amp;F99&amp;H99,经纬!A:M,13,FALSE)*N99)</f>
        <v>20.5312196</v>
      </c>
      <c r="M99" s="104">
        <f>IF(B99="","",VLOOKUP(B99&amp;F99&amp;H99,经纬!A:N,14,FALSE)*N99)</f>
        <v>14.175065616797902</v>
      </c>
      <c r="N99" s="8">
        <v>2038</v>
      </c>
      <c r="R99" s="250">
        <f t="shared" si="7"/>
        <v>10</v>
      </c>
    </row>
    <row r="100" spans="1:18" outlineLevel="1">
      <c r="A100" s="4">
        <v>100</v>
      </c>
      <c r="B100" s="89" t="s">
        <v>1095</v>
      </c>
      <c r="C100" s="8" t="str">
        <f>IF(B100="","",VLOOKUP(B100,经纬!B:C,2,FALSE))</f>
        <v>20*20</v>
      </c>
      <c r="D100" s="8">
        <f>IF(B100="","",VLOOKUP(B100,经纬!B:G,6,FALSE))</f>
        <v>17</v>
      </c>
      <c r="E100" s="8" t="str">
        <f t="shared" si="4"/>
        <v>197</v>
      </c>
      <c r="F100" s="8" t="s">
        <v>2</v>
      </c>
      <c r="G100" s="8" t="s">
        <v>287</v>
      </c>
      <c r="H100" s="89" t="s">
        <v>1110</v>
      </c>
      <c r="I100" s="23">
        <v>43747</v>
      </c>
      <c r="J100" s="105" t="str">
        <f t="shared" si="5"/>
        <v>20</v>
      </c>
      <c r="K100" s="105" t="str">
        <f t="shared" si="6"/>
        <v>20</v>
      </c>
      <c r="L100" s="104">
        <f>IF(B100="","",VLOOKUP(B100&amp;F100&amp;H100,经纬!A:M,13,FALSE)*N100)</f>
        <v>50.344135466666664</v>
      </c>
      <c r="M100" s="104">
        <f>IF(B100="","",VLOOKUP(B100&amp;F100&amp;H100,经纬!A:N,14,FALSE)*N100)</f>
        <v>36.843856517935251</v>
      </c>
      <c r="N100" s="8">
        <v>3748</v>
      </c>
      <c r="R100" s="250">
        <f t="shared" si="7"/>
        <v>10</v>
      </c>
    </row>
    <row r="101" spans="1:18" outlineLevel="1">
      <c r="A101" s="4">
        <v>101</v>
      </c>
      <c r="B101" s="89" t="s">
        <v>1109</v>
      </c>
      <c r="C101" s="8" t="str">
        <f>IF(B101="","",VLOOKUP(B101,经纬!B:C,2,FALSE))</f>
        <v>50*50</v>
      </c>
      <c r="D101" s="8">
        <f>IF(B101="","",VLOOKUP(B101,经纬!B:G,6,FALSE))</f>
        <v>35</v>
      </c>
      <c r="E101" s="8" t="str">
        <f t="shared" si="4"/>
        <v>190</v>
      </c>
      <c r="F101" s="8" t="s">
        <v>2</v>
      </c>
      <c r="G101" s="8" t="s">
        <v>287</v>
      </c>
      <c r="H101" s="89" t="s">
        <v>1110</v>
      </c>
      <c r="I101" s="23">
        <v>43747</v>
      </c>
      <c r="J101" s="105" t="str">
        <f t="shared" si="5"/>
        <v>50</v>
      </c>
      <c r="K101" s="105" t="str">
        <f t="shared" si="6"/>
        <v>50</v>
      </c>
      <c r="L101" s="104">
        <f>IF(B101="","",VLOOKUP(B101&amp;F101&amp;H101,经纬!A:M,13,FALSE)*N101)</f>
        <v>231.56212266666668</v>
      </c>
      <c r="M101" s="104">
        <f>IF(B101="","",VLOOKUP(B101&amp;F101&amp;H101,经纬!A:N,14,FALSE)*N101)</f>
        <v>355.20419947506559</v>
      </c>
      <c r="N101" s="8">
        <v>8252</v>
      </c>
      <c r="R101" s="250">
        <f t="shared" si="7"/>
        <v>10</v>
      </c>
    </row>
    <row r="102" spans="1:18" outlineLevel="1">
      <c r="A102" s="4">
        <v>102</v>
      </c>
      <c r="B102" s="89" t="s">
        <v>1092</v>
      </c>
      <c r="C102" s="8" t="str">
        <f>IF(B102="","",VLOOKUP(B102,经纬!B:C,2,FALSE))</f>
        <v>50*50</v>
      </c>
      <c r="D102" s="8">
        <f>IF(B102="","",VLOOKUP(B102,经纬!B:G,6,FALSE))</f>
        <v>37</v>
      </c>
      <c r="E102" s="8" t="str">
        <f t="shared" si="4"/>
        <v>190.5</v>
      </c>
      <c r="F102" s="8" t="s">
        <v>2</v>
      </c>
      <c r="G102" s="8" t="s">
        <v>287</v>
      </c>
      <c r="H102" s="89" t="s">
        <v>197</v>
      </c>
      <c r="I102" s="23">
        <v>43747</v>
      </c>
      <c r="J102" s="105" t="str">
        <f t="shared" si="5"/>
        <v>50</v>
      </c>
      <c r="K102" s="105" t="str">
        <f t="shared" si="6"/>
        <v>50</v>
      </c>
      <c r="L102" s="104">
        <f>IF(B102="","",VLOOKUP(B102&amp;F102&amp;H102,经纬!A:M,13,FALSE)*N102)</f>
        <v>56.381315999999998</v>
      </c>
      <c r="M102" s="104">
        <f>IF(B102="","",VLOOKUP(B102&amp;F102&amp;H102,经纬!A:N,14,FALSE)*N102)</f>
        <v>37.563080708661417</v>
      </c>
      <c r="N102" s="8">
        <v>1878</v>
      </c>
      <c r="R102" s="250">
        <f t="shared" si="7"/>
        <v>10</v>
      </c>
    </row>
    <row r="103" spans="1:18" outlineLevel="1">
      <c r="A103" s="4">
        <v>103</v>
      </c>
      <c r="B103" s="89" t="s">
        <v>1092</v>
      </c>
      <c r="C103" s="8" t="str">
        <f>IF(B103="","",VLOOKUP(B103,经纬!B:C,2,FALSE))</f>
        <v>50*50</v>
      </c>
      <c r="D103" s="8">
        <f>IF(B103="","",VLOOKUP(B103,经纬!B:G,6,FALSE))</f>
        <v>37</v>
      </c>
      <c r="E103" s="8" t="str">
        <f t="shared" si="4"/>
        <v>190.5</v>
      </c>
      <c r="F103" s="8" t="s">
        <v>1</v>
      </c>
      <c r="G103" s="8" t="s">
        <v>287</v>
      </c>
      <c r="H103" s="89" t="s">
        <v>197</v>
      </c>
      <c r="I103" s="23">
        <v>43747</v>
      </c>
      <c r="J103" s="105" t="str">
        <f t="shared" si="5"/>
        <v>50</v>
      </c>
      <c r="K103" s="105" t="str">
        <f t="shared" si="6"/>
        <v>50</v>
      </c>
      <c r="L103" s="104">
        <f>IF(B103="","",VLOOKUP(B103&amp;F103&amp;H103,经纬!A:M,13,FALSE)*N103)</f>
        <v>211.74516600000001</v>
      </c>
      <c r="M103" s="104">
        <f>IF(B103="","",VLOOKUP(B103&amp;F103&amp;H103,经纬!A:N,14,FALSE)*N103)</f>
        <v>141.07156988188976</v>
      </c>
      <c r="N103" s="8">
        <v>7053</v>
      </c>
      <c r="R103" s="250">
        <f t="shared" si="7"/>
        <v>10</v>
      </c>
    </row>
    <row r="104" spans="1:18" outlineLevel="1">
      <c r="A104" s="4">
        <v>104</v>
      </c>
      <c r="B104" s="89" t="s">
        <v>1093</v>
      </c>
      <c r="C104" s="8" t="str">
        <f>IF(B104="","",VLOOKUP(B104,经纬!B:C,2,FALSE))</f>
        <v>75*75</v>
      </c>
      <c r="D104" s="8">
        <f>IF(B104="","",VLOOKUP(B104,经纬!B:G,6,FALSE))</f>
        <v>43</v>
      </c>
      <c r="E104" s="8" t="str">
        <f t="shared" si="4"/>
        <v>190.5</v>
      </c>
      <c r="F104" s="8" t="s">
        <v>2</v>
      </c>
      <c r="G104" s="8" t="s">
        <v>287</v>
      </c>
      <c r="H104" s="89" t="s">
        <v>197</v>
      </c>
      <c r="I104" s="23">
        <v>43747</v>
      </c>
      <c r="J104" s="105" t="str">
        <f t="shared" si="5"/>
        <v>75</v>
      </c>
      <c r="K104" s="105" t="str">
        <f t="shared" si="6"/>
        <v>75</v>
      </c>
      <c r="L104" s="104">
        <f>IF(B104="","",VLOOKUP(B104&amp;F104&amp;H104,经纬!A:M,13,FALSE)*N104)</f>
        <v>1108.1174599999999</v>
      </c>
      <c r="M104" s="104">
        <f>IF(B104="","",VLOOKUP(B104&amp;F104&amp;H104,经纬!A:N,14,FALSE)*N104)</f>
        <v>848.49048720472433</v>
      </c>
      <c r="N104" s="8">
        <v>32269</v>
      </c>
      <c r="R104" s="250">
        <f t="shared" si="7"/>
        <v>10</v>
      </c>
    </row>
    <row r="105" spans="1:18" outlineLevel="1">
      <c r="A105" s="4">
        <v>105</v>
      </c>
      <c r="B105" s="89" t="s">
        <v>1115</v>
      </c>
      <c r="C105" s="8" t="str">
        <f>IF(B105="","",VLOOKUP(B105,经纬!B:C,2,FALSE))</f>
        <v>75*150</v>
      </c>
      <c r="D105" s="8">
        <f>IF(B105="","",VLOOKUP(B105,经纬!B:G,6,FALSE))</f>
        <v>54</v>
      </c>
      <c r="E105" s="8" t="str">
        <f t="shared" si="4"/>
        <v>190.5</v>
      </c>
      <c r="F105" s="8" t="s">
        <v>2</v>
      </c>
      <c r="G105" s="8" t="s">
        <v>287</v>
      </c>
      <c r="H105" s="89" t="s">
        <v>197</v>
      </c>
      <c r="I105" s="23">
        <v>43747</v>
      </c>
      <c r="J105" s="105" t="str">
        <f t="shared" si="5"/>
        <v>75</v>
      </c>
      <c r="K105" s="105" t="str">
        <f t="shared" si="6"/>
        <v>150</v>
      </c>
      <c r="L105" s="104">
        <f>IF(B105="","",VLOOKUP(B105&amp;F105&amp;H105,经纬!A:M,13,FALSE)*N105)</f>
        <v>126.16515999999999</v>
      </c>
      <c r="M105" s="104">
        <f>IF(B105="","",VLOOKUP(B105&amp;F105&amp;H105,经纬!A:N,14,FALSE)*N105)</f>
        <v>143.66931102362204</v>
      </c>
      <c r="N105" s="8">
        <v>3674</v>
      </c>
      <c r="R105" s="250">
        <f t="shared" si="7"/>
        <v>10</v>
      </c>
    </row>
    <row r="106" spans="1:18" outlineLevel="1">
      <c r="A106" s="4">
        <v>106</v>
      </c>
      <c r="B106" s="89" t="s">
        <v>1115</v>
      </c>
      <c r="C106" s="8" t="str">
        <f>IF(B106="","",VLOOKUP(B106,经纬!B:C,2,FALSE))</f>
        <v>75*150</v>
      </c>
      <c r="D106" s="8">
        <f>IF(B106="","",VLOOKUP(B106,经纬!B:G,6,FALSE))</f>
        <v>54</v>
      </c>
      <c r="E106" s="8" t="str">
        <f t="shared" si="4"/>
        <v>190.5</v>
      </c>
      <c r="F106" s="8" t="s">
        <v>2</v>
      </c>
      <c r="G106" s="8" t="s">
        <v>287</v>
      </c>
      <c r="H106" s="89" t="s">
        <v>2444</v>
      </c>
      <c r="I106" s="23">
        <v>43747</v>
      </c>
      <c r="J106" s="105" t="str">
        <f t="shared" si="5"/>
        <v>75</v>
      </c>
      <c r="K106" s="105" t="str">
        <f t="shared" si="6"/>
        <v>150</v>
      </c>
      <c r="L106" s="104">
        <f>IF(B106="","",VLOOKUP(B106&amp;F106&amp;H106,经纬!A:M,13,FALSE)*N106)</f>
        <v>99.757699999999986</v>
      </c>
      <c r="M106" s="104">
        <f>IF(B106="","",VLOOKUP(B106&amp;F106&amp;H106,经纬!A:N,14,FALSE)*N106)</f>
        <v>113.59808070866141</v>
      </c>
      <c r="N106" s="8">
        <v>2905</v>
      </c>
      <c r="R106" s="250">
        <f t="shared" si="7"/>
        <v>10</v>
      </c>
    </row>
    <row r="107" spans="1:18" outlineLevel="1">
      <c r="A107" s="4">
        <v>107</v>
      </c>
      <c r="B107" s="89" t="s">
        <v>1120</v>
      </c>
      <c r="C107" s="8" t="str">
        <f>IF(B107="","",VLOOKUP(B107,经纬!B:C,2,FALSE))</f>
        <v>75*150</v>
      </c>
      <c r="D107" s="8">
        <f>IF(B107="","",VLOOKUP(B107,经纬!B:G,6,FALSE))</f>
        <v>58</v>
      </c>
      <c r="E107" s="8" t="str">
        <f t="shared" si="4"/>
        <v>190.5</v>
      </c>
      <c r="F107" s="8" t="s">
        <v>2</v>
      </c>
      <c r="G107" s="8" t="s">
        <v>287</v>
      </c>
      <c r="H107" s="89" t="s">
        <v>197</v>
      </c>
      <c r="I107" s="23">
        <v>43747</v>
      </c>
      <c r="J107" s="105" t="str">
        <f t="shared" si="5"/>
        <v>75</v>
      </c>
      <c r="K107" s="105" t="str">
        <f t="shared" si="6"/>
        <v>150</v>
      </c>
      <c r="L107" s="104">
        <f>IF(B107="","",VLOOKUP(B107&amp;F107&amp;H107,经纬!A:M,13,FALSE)*N107)</f>
        <v>492.09219999999993</v>
      </c>
      <c r="M107" s="104">
        <f>IF(B107="","",VLOOKUP(B107&amp;F107&amp;H107,经纬!A:N,14,FALSE)*N107)</f>
        <v>608.67239173228347</v>
      </c>
      <c r="N107" s="8">
        <v>14330</v>
      </c>
      <c r="R107" s="250">
        <f t="shared" si="7"/>
        <v>10</v>
      </c>
    </row>
    <row r="108" spans="1:18" outlineLevel="1">
      <c r="A108" s="4">
        <v>108</v>
      </c>
      <c r="B108" s="89" t="s">
        <v>1093</v>
      </c>
      <c r="C108" s="8" t="str">
        <f>IF(B108="","",VLOOKUP(B108,经纬!B:C,2,FALSE))</f>
        <v>75*75</v>
      </c>
      <c r="D108" s="8">
        <f>IF(B108="","",VLOOKUP(B108,经纬!B:G,6,FALSE))</f>
        <v>43</v>
      </c>
      <c r="E108" s="8" t="str">
        <f t="shared" si="4"/>
        <v>190.5</v>
      </c>
      <c r="F108" s="8" t="s">
        <v>1</v>
      </c>
      <c r="G108" s="8" t="s">
        <v>287</v>
      </c>
      <c r="H108" s="89" t="s">
        <v>197</v>
      </c>
      <c r="I108" s="23">
        <v>43747</v>
      </c>
      <c r="J108" s="105" t="str">
        <f t="shared" si="5"/>
        <v>75</v>
      </c>
      <c r="K108" s="105" t="str">
        <f t="shared" si="6"/>
        <v>75</v>
      </c>
      <c r="L108" s="104">
        <f>IF(B108="","",VLOOKUP(B108&amp;F108&amp;H108,经纬!A:M,13,FALSE)*N108)</f>
        <v>29.188999999999997</v>
      </c>
      <c r="M108" s="104">
        <f>IF(B108="","",VLOOKUP(B108&amp;F108&amp;H108,经纬!A:N,14,FALSE)*N108)</f>
        <v>22.350147637795271</v>
      </c>
      <c r="N108" s="8">
        <v>850</v>
      </c>
      <c r="R108" s="250">
        <f t="shared" si="7"/>
        <v>10</v>
      </c>
    </row>
    <row r="109" spans="1:18" outlineLevel="1">
      <c r="A109" s="4">
        <v>109</v>
      </c>
      <c r="B109" s="89" t="s">
        <v>1093</v>
      </c>
      <c r="C109" s="8" t="str">
        <f>IF(B109="","",VLOOKUP(B109,经纬!B:C,2,FALSE))</f>
        <v>75*75</v>
      </c>
      <c r="D109" s="8">
        <f>IF(B109="","",VLOOKUP(B109,经纬!B:G,6,FALSE))</f>
        <v>43</v>
      </c>
      <c r="E109" s="8" t="str">
        <f t="shared" si="4"/>
        <v>190.5</v>
      </c>
      <c r="F109" s="8" t="s">
        <v>1</v>
      </c>
      <c r="G109" s="8" t="s">
        <v>287</v>
      </c>
      <c r="H109" s="89" t="s">
        <v>197</v>
      </c>
      <c r="I109" s="23">
        <v>43747</v>
      </c>
      <c r="J109" s="105" t="str">
        <f t="shared" si="5"/>
        <v>75</v>
      </c>
      <c r="K109" s="105" t="str">
        <f t="shared" si="6"/>
        <v>75</v>
      </c>
      <c r="L109" s="104">
        <f>IF(B109="","",VLOOKUP(B109&amp;F109&amp;H109,经纬!A:M,13,FALSE)*N109)</f>
        <v>598.54619999999989</v>
      </c>
      <c r="M109" s="104">
        <f>IF(B109="","",VLOOKUP(B109&amp;F109&amp;H109,经纬!A:N,14,FALSE)*N109)</f>
        <v>458.30949803149599</v>
      </c>
      <c r="N109" s="8">
        <v>17430</v>
      </c>
      <c r="R109" s="250">
        <f t="shared" si="7"/>
        <v>10</v>
      </c>
    </row>
    <row r="110" spans="1:18" outlineLevel="1">
      <c r="A110" s="4">
        <v>110</v>
      </c>
      <c r="B110" s="89" t="s">
        <v>1115</v>
      </c>
      <c r="C110" s="8" t="str">
        <f>IF(B110="","",VLOOKUP(B110,经纬!B:C,2,FALSE))</f>
        <v>75*150</v>
      </c>
      <c r="D110" s="8">
        <f>IF(B110="","",VLOOKUP(B110,经纬!B:G,6,FALSE))</f>
        <v>54</v>
      </c>
      <c r="E110" s="8" t="str">
        <f t="shared" si="4"/>
        <v>190.5</v>
      </c>
      <c r="F110" s="8" t="s">
        <v>1</v>
      </c>
      <c r="G110" s="8" t="s">
        <v>287</v>
      </c>
      <c r="H110" s="89" t="s">
        <v>197</v>
      </c>
      <c r="I110" s="23">
        <v>43747</v>
      </c>
      <c r="J110" s="105" t="str">
        <f t="shared" si="5"/>
        <v>75</v>
      </c>
      <c r="K110" s="105" t="str">
        <f t="shared" si="6"/>
        <v>150</v>
      </c>
      <c r="L110" s="104">
        <f>IF(B110="","",VLOOKUP(B110&amp;F110&amp;H110,经纬!A:M,13,FALSE)*N110)</f>
        <v>182.62011999999999</v>
      </c>
      <c r="M110" s="104">
        <f>IF(B110="","",VLOOKUP(B110&amp;F110&amp;H110,经纬!A:N,14,FALSE)*N110)</f>
        <v>207.95683070866139</v>
      </c>
      <c r="N110" s="8">
        <v>5318</v>
      </c>
      <c r="R110" s="250">
        <f t="shared" si="7"/>
        <v>10</v>
      </c>
    </row>
    <row r="111" spans="1:18" outlineLevel="1">
      <c r="A111" s="4">
        <v>111</v>
      </c>
      <c r="B111" s="89" t="s">
        <v>1121</v>
      </c>
      <c r="C111" s="8" t="str">
        <f>IF(B111="","",VLOOKUP(B111,经纬!B:C,2,FALSE))</f>
        <v>75*150</v>
      </c>
      <c r="D111" s="8">
        <f>IF(B111="","",VLOOKUP(B111,经纬!B:G,6,FALSE))</f>
        <v>54</v>
      </c>
      <c r="E111" s="8" t="str">
        <f t="shared" si="4"/>
        <v>188</v>
      </c>
      <c r="F111" s="8" t="s">
        <v>1</v>
      </c>
      <c r="G111" s="8" t="s">
        <v>287</v>
      </c>
      <c r="H111" s="89" t="s">
        <v>2444</v>
      </c>
      <c r="I111" s="23">
        <v>43747</v>
      </c>
      <c r="J111" s="105" t="str">
        <f t="shared" si="5"/>
        <v>75</v>
      </c>
      <c r="K111" s="105" t="str">
        <f t="shared" si="6"/>
        <v>150</v>
      </c>
      <c r="L111" s="104">
        <f>IF(B111="","",VLOOKUP(B111&amp;F111&amp;H111,经纬!A:M,13,FALSE)*N111)</f>
        <v>126.272685</v>
      </c>
      <c r="M111" s="104">
        <f>IF(B111="","",VLOOKUP(B111&amp;F111&amp;H111,经纬!A:N,14,FALSE)*N111)</f>
        <v>134.15582677165352</v>
      </c>
      <c r="N111" s="8">
        <v>3597</v>
      </c>
      <c r="R111" s="250">
        <f t="shared" si="7"/>
        <v>10</v>
      </c>
    </row>
    <row r="112" spans="1:18" outlineLevel="1">
      <c r="A112" s="4">
        <v>112</v>
      </c>
      <c r="B112" s="89" t="s">
        <v>1098</v>
      </c>
      <c r="C112" s="8" t="str">
        <f>IF(B112="","",VLOOKUP(B112,经纬!B:C,2,FALSE))</f>
        <v>75*300</v>
      </c>
      <c r="D112" s="8">
        <f>IF(B112="","",VLOOKUP(B112,经纬!B:G,6,FALSE))</f>
        <v>70</v>
      </c>
      <c r="E112" s="8" t="str">
        <f t="shared" si="4"/>
        <v>190.5</v>
      </c>
      <c r="F112" s="8" t="s">
        <v>1</v>
      </c>
      <c r="G112" s="8" t="s">
        <v>287</v>
      </c>
      <c r="H112" s="89" t="s">
        <v>197</v>
      </c>
      <c r="I112" s="23">
        <v>43747</v>
      </c>
      <c r="J112" s="105" t="str">
        <f t="shared" si="5"/>
        <v>75</v>
      </c>
      <c r="K112" s="105" t="str">
        <f t="shared" si="6"/>
        <v>300</v>
      </c>
      <c r="L112" s="104">
        <f>IF(B112="","",VLOOKUP(B112&amp;F112&amp;H112,经纬!A:M,13,FALSE)*N112)</f>
        <v>330.72853999999995</v>
      </c>
      <c r="M112" s="104">
        <f>IF(B112="","",VLOOKUP(B112&amp;F112&amp;H112,经纬!A:N,14,FALSE)*N112)</f>
        <v>597.38742125984243</v>
      </c>
      <c r="N112" s="8">
        <v>9631</v>
      </c>
      <c r="R112" s="250">
        <f t="shared" si="7"/>
        <v>10</v>
      </c>
    </row>
    <row r="113" spans="1:18" outlineLevel="1">
      <c r="A113" s="4">
        <v>113</v>
      </c>
      <c r="B113" s="89" t="s">
        <v>1116</v>
      </c>
      <c r="C113" s="8" t="str">
        <f>IF(B113="","",VLOOKUP(B113,经纬!B:C,2,FALSE))</f>
        <v>100*100</v>
      </c>
      <c r="D113" s="8">
        <f>IF(B113="","",VLOOKUP(B113,经纬!B:G,6,FALSE))</f>
        <v>54</v>
      </c>
      <c r="E113" s="8" t="str">
        <f t="shared" si="4"/>
        <v>188</v>
      </c>
      <c r="F113" s="8" t="s">
        <v>2</v>
      </c>
      <c r="G113" s="8" t="s">
        <v>287</v>
      </c>
      <c r="H113" s="89" t="s">
        <v>1110</v>
      </c>
      <c r="I113" s="23">
        <v>43747</v>
      </c>
      <c r="J113" s="105" t="str">
        <f t="shared" si="5"/>
        <v>100</v>
      </c>
      <c r="K113" s="105" t="str">
        <f t="shared" si="6"/>
        <v>100</v>
      </c>
      <c r="L113" s="104">
        <f>IF(B113="","",VLOOKUP(B113&amp;F113&amp;H113,经纬!A:M,13,FALSE)*N113)</f>
        <v>171.9975</v>
      </c>
      <c r="M113" s="104">
        <f>IF(B113="","",VLOOKUP(B113&amp;F113&amp;H113,经纬!A:N,14,FALSE)*N113)</f>
        <v>233.59652230971128</v>
      </c>
      <c r="N113" s="8">
        <v>4047</v>
      </c>
      <c r="R113" s="250">
        <f t="shared" si="7"/>
        <v>10</v>
      </c>
    </row>
    <row r="114" spans="1:18" outlineLevel="1">
      <c r="A114" s="4">
        <v>114</v>
      </c>
      <c r="B114" s="89" t="s">
        <v>1099</v>
      </c>
      <c r="C114" s="8" t="str">
        <f>IF(B114="","",VLOOKUP(B114,经纬!B:C,2,FALSE))</f>
        <v>100*300</v>
      </c>
      <c r="D114" s="8">
        <f>IF(B114="","",VLOOKUP(B114,经纬!B:G,6,FALSE))</f>
        <v>96</v>
      </c>
      <c r="E114" s="8" t="str">
        <f t="shared" si="4"/>
        <v>188</v>
      </c>
      <c r="F114" s="8" t="s">
        <v>2</v>
      </c>
      <c r="G114" s="8" t="s">
        <v>287</v>
      </c>
      <c r="H114" s="89" t="s">
        <v>2444</v>
      </c>
      <c r="I114" s="23">
        <v>43747</v>
      </c>
      <c r="J114" s="105" t="str">
        <f t="shared" si="5"/>
        <v>100</v>
      </c>
      <c r="K114" s="105" t="str">
        <f t="shared" si="6"/>
        <v>300</v>
      </c>
      <c r="L114" s="104">
        <f>IF(B114="","",VLOOKUP(B114&amp;F114&amp;H114,经纬!A:M,13,FALSE)*N114)</f>
        <v>288.15000000000003</v>
      </c>
      <c r="M114" s="104">
        <f>IF(B114="","",VLOOKUP(B114&amp;F114&amp;H114,经纬!A:N,14,FALSE)*N114)</f>
        <v>614.11496062992126</v>
      </c>
      <c r="N114" s="8">
        <v>6780</v>
      </c>
      <c r="R114" s="250">
        <f t="shared" si="7"/>
        <v>10</v>
      </c>
    </row>
    <row r="115" spans="1:18" outlineLevel="1">
      <c r="A115" s="4">
        <v>115</v>
      </c>
      <c r="B115" s="89" t="s">
        <v>1117</v>
      </c>
      <c r="C115" s="8" t="str">
        <f>IF(B115="","",VLOOKUP(B115,经纬!B:C,2,FALSE))</f>
        <v>200*300</v>
      </c>
      <c r="D115" s="8">
        <f>IF(B115="","",VLOOKUP(B115,经纬!B:G,6,FALSE))</f>
        <v>116</v>
      </c>
      <c r="E115" s="8" t="str">
        <f t="shared" si="4"/>
        <v>180</v>
      </c>
      <c r="F115" s="8" t="s">
        <v>2</v>
      </c>
      <c r="G115" s="8" t="s">
        <v>287</v>
      </c>
      <c r="H115" s="89" t="s">
        <v>2444</v>
      </c>
      <c r="I115" s="23">
        <v>43747</v>
      </c>
      <c r="J115" s="105" t="str">
        <f t="shared" si="5"/>
        <v>200</v>
      </c>
      <c r="K115" s="105" t="str">
        <f t="shared" si="6"/>
        <v>300</v>
      </c>
      <c r="L115" s="104">
        <f>IF(B115="","",VLOOKUP(B115&amp;F115&amp;H115,经纬!A:M,13,FALSE)*N115)</f>
        <v>738.02666666666676</v>
      </c>
      <c r="M115" s="104">
        <f>IF(B115="","",VLOOKUP(B115&amp;F115&amp;H115,经纬!A:N,14,FALSE)*N115)</f>
        <v>664.33070866141725</v>
      </c>
      <c r="N115" s="8">
        <v>8800</v>
      </c>
      <c r="R115" s="250">
        <f t="shared" si="7"/>
        <v>10</v>
      </c>
    </row>
    <row r="116" spans="1:18" outlineLevel="1">
      <c r="A116" s="4">
        <v>116</v>
      </c>
      <c r="B116" s="89" t="s">
        <v>1107</v>
      </c>
      <c r="C116" s="8" t="str">
        <f>IF(B116="","",VLOOKUP(B116,经纬!B:C,2,FALSE))</f>
        <v>200*300</v>
      </c>
      <c r="D116" s="8">
        <f>IF(B116="","",VLOOKUP(B116,经纬!B:G,6,FALSE))</f>
        <v>135</v>
      </c>
      <c r="E116" s="8" t="str">
        <f t="shared" si="4"/>
        <v>180</v>
      </c>
      <c r="F116" s="8" t="s">
        <v>2</v>
      </c>
      <c r="G116" s="8" t="s">
        <v>287</v>
      </c>
      <c r="H116" s="89" t="s">
        <v>2444</v>
      </c>
      <c r="I116" s="23">
        <v>43747</v>
      </c>
      <c r="J116" s="105" t="str">
        <f t="shared" si="5"/>
        <v>200</v>
      </c>
      <c r="K116" s="105" t="str">
        <f t="shared" si="6"/>
        <v>300</v>
      </c>
      <c r="L116" s="104">
        <f>IF(B116="","",VLOOKUP(B116&amp;F116&amp;H116,经纬!A:M,13,FALSE)*N116)</f>
        <v>682.39360000000011</v>
      </c>
      <c r="M116" s="104">
        <f>IF(B116="","",VLOOKUP(B116&amp;F116&amp;H116,经纬!A:N,14,FALSE)*N116)</f>
        <v>881.33858267716528</v>
      </c>
      <c r="N116" s="8">
        <v>8400</v>
      </c>
      <c r="R116" s="250">
        <f t="shared" si="7"/>
        <v>10</v>
      </c>
    </row>
    <row r="117" spans="1:18" outlineLevel="1">
      <c r="A117" s="4">
        <v>117</v>
      </c>
      <c r="B117" s="89" t="s">
        <v>1095</v>
      </c>
      <c r="C117" s="8" t="str">
        <f>IF(B117="","",VLOOKUP(B117,经纬!B:C,2,FALSE))</f>
        <v>20*20</v>
      </c>
      <c r="D117" s="8">
        <f>IF(B117="","",VLOOKUP(B117,经纬!B:G,6,FALSE))</f>
        <v>17</v>
      </c>
      <c r="E117" s="8" t="str">
        <f t="shared" si="4"/>
        <v>197</v>
      </c>
      <c r="F117" s="8" t="s">
        <v>2</v>
      </c>
      <c r="G117" s="8" t="s">
        <v>1075</v>
      </c>
      <c r="H117" s="89" t="s">
        <v>1110</v>
      </c>
      <c r="I117" s="23">
        <v>43747</v>
      </c>
      <c r="J117" s="105" t="str">
        <f t="shared" si="5"/>
        <v>20</v>
      </c>
      <c r="K117" s="105" t="str">
        <f t="shared" si="6"/>
        <v>20</v>
      </c>
      <c r="L117" s="104">
        <f>IF(B117="","",VLOOKUP(B117&amp;F117&amp;H117,经纬!A:M,13,FALSE)*N117)</f>
        <v>75.12666746666666</v>
      </c>
      <c r="M117" s="104">
        <f>IF(B117="","",VLOOKUP(B117&amp;F117&amp;H117,经纬!A:N,14,FALSE)*N117)</f>
        <v>54.980706911636041</v>
      </c>
      <c r="N117" s="8">
        <v>5593</v>
      </c>
      <c r="R117" s="250">
        <f t="shared" si="7"/>
        <v>10</v>
      </c>
    </row>
    <row r="118" spans="1:18" outlineLevel="1">
      <c r="A118" s="4">
        <v>118</v>
      </c>
      <c r="B118" s="89" t="s">
        <v>1119</v>
      </c>
      <c r="C118" s="8" t="str">
        <f>IF(B118="","",VLOOKUP(B118,经纬!B:C,2,FALSE))</f>
        <v>15*15</v>
      </c>
      <c r="D118" s="8">
        <f>IF(B118="","",VLOOKUP(B118,经纬!B:G,6,FALSE))</f>
        <v>13</v>
      </c>
      <c r="E118" s="8" t="str">
        <f t="shared" si="4"/>
        <v>197</v>
      </c>
      <c r="F118" s="8" t="s">
        <v>2</v>
      </c>
      <c r="G118" s="8" t="s">
        <v>282</v>
      </c>
      <c r="H118" s="89" t="s">
        <v>1110</v>
      </c>
      <c r="I118" s="23">
        <v>43747</v>
      </c>
      <c r="J118" s="105" t="str">
        <f t="shared" si="5"/>
        <v>15</v>
      </c>
      <c r="K118" s="105" t="str">
        <f t="shared" si="6"/>
        <v>15</v>
      </c>
      <c r="L118" s="104">
        <f>IF(B118="","",VLOOKUP(B118&amp;F118&amp;H118,经纬!A:M,13,FALSE)*N118)</f>
        <v>67.708698200000001</v>
      </c>
      <c r="M118" s="104">
        <f>IF(B118="","",VLOOKUP(B118&amp;F118&amp;H118,经纬!A:N,14,FALSE)*N118)</f>
        <v>46.747112860892393</v>
      </c>
      <c r="N118" s="8">
        <v>6721</v>
      </c>
      <c r="R118" s="250">
        <f t="shared" si="7"/>
        <v>10</v>
      </c>
    </row>
    <row r="119" spans="1:18" outlineLevel="1">
      <c r="A119" s="4">
        <v>119</v>
      </c>
      <c r="B119" s="89" t="s">
        <v>1093</v>
      </c>
      <c r="C119" s="8" t="str">
        <f>IF(B119="","",VLOOKUP(B119,经纬!B:C,2,FALSE))</f>
        <v>75*75</v>
      </c>
      <c r="D119" s="8">
        <f>IF(B119="","",VLOOKUP(B119,经纬!B:G,6,FALSE))</f>
        <v>43</v>
      </c>
      <c r="E119" s="8" t="str">
        <f t="shared" si="4"/>
        <v>190.5</v>
      </c>
      <c r="F119" s="8" t="s">
        <v>2</v>
      </c>
      <c r="G119" s="8" t="s">
        <v>282</v>
      </c>
      <c r="H119" s="89" t="s">
        <v>197</v>
      </c>
      <c r="I119" s="23">
        <v>43747</v>
      </c>
      <c r="J119" s="105" t="str">
        <f t="shared" si="5"/>
        <v>75</v>
      </c>
      <c r="K119" s="105" t="str">
        <f t="shared" si="6"/>
        <v>75</v>
      </c>
      <c r="L119" s="104">
        <f>IF(B119="","",VLOOKUP(B119&amp;F119&amp;H119,经纬!A:M,13,FALSE)*N119)</f>
        <v>27.128599999999995</v>
      </c>
      <c r="M119" s="104">
        <f>IF(B119="","",VLOOKUP(B119&amp;F119&amp;H119,经纬!A:N,14,FALSE)*N119)</f>
        <v>20.772490157480313</v>
      </c>
      <c r="N119" s="8">
        <v>790</v>
      </c>
      <c r="R119" s="250">
        <f t="shared" si="7"/>
        <v>10</v>
      </c>
    </row>
    <row r="120" spans="1:18" outlineLevel="1">
      <c r="A120" s="4">
        <v>120</v>
      </c>
      <c r="B120" s="89" t="s">
        <v>1121</v>
      </c>
      <c r="C120" s="8" t="str">
        <f>IF(B120="","",VLOOKUP(B120,经纬!B:C,2,FALSE))</f>
        <v>75*150</v>
      </c>
      <c r="D120" s="8">
        <f>IF(B120="","",VLOOKUP(B120,经纬!B:G,6,FALSE))</f>
        <v>54</v>
      </c>
      <c r="E120" s="8" t="str">
        <f t="shared" si="4"/>
        <v>188</v>
      </c>
      <c r="F120" s="8" t="s">
        <v>1</v>
      </c>
      <c r="G120" s="8" t="s">
        <v>282</v>
      </c>
      <c r="H120" s="89" t="s">
        <v>2444</v>
      </c>
      <c r="I120" s="23">
        <v>43747</v>
      </c>
      <c r="J120" s="105" t="str">
        <f t="shared" si="5"/>
        <v>75</v>
      </c>
      <c r="K120" s="105" t="str">
        <f t="shared" si="6"/>
        <v>150</v>
      </c>
      <c r="L120" s="104">
        <f>IF(B120="","",VLOOKUP(B120&amp;F120&amp;H120,经纬!A:M,13,FALSE)*N120)</f>
        <v>17.025924999999997</v>
      </c>
      <c r="M120" s="104">
        <f>IF(B120="","",VLOOKUP(B120&amp;F120&amp;H120,经纬!A:N,14,FALSE)*N120)</f>
        <v>18.088845144356952</v>
      </c>
      <c r="N120" s="8">
        <v>485</v>
      </c>
      <c r="R120" s="250">
        <f t="shared" si="7"/>
        <v>10</v>
      </c>
    </row>
    <row r="121" spans="1:18" outlineLevel="1">
      <c r="A121" s="4">
        <v>121</v>
      </c>
      <c r="B121" s="89" t="s">
        <v>1095</v>
      </c>
      <c r="C121" s="8" t="str">
        <f>IF(B121="","",VLOOKUP(B121,经纬!B:C,2,FALSE))</f>
        <v>20*20</v>
      </c>
      <c r="D121" s="8">
        <f>IF(B121="","",VLOOKUP(B121,经纬!B:G,6,FALSE))</f>
        <v>17</v>
      </c>
      <c r="E121" s="8" t="str">
        <f t="shared" si="4"/>
        <v>197</v>
      </c>
      <c r="F121" s="8" t="s">
        <v>1</v>
      </c>
      <c r="G121" s="8" t="s">
        <v>387</v>
      </c>
      <c r="H121" s="89" t="s">
        <v>1110</v>
      </c>
      <c r="I121" s="23">
        <v>43748</v>
      </c>
      <c r="J121" s="105" t="str">
        <f t="shared" si="5"/>
        <v>20</v>
      </c>
      <c r="K121" s="105" t="str">
        <f t="shared" si="6"/>
        <v>20</v>
      </c>
      <c r="L121" s="104">
        <f>IF(B121="","",VLOOKUP(B121&amp;F121&amp;H121,经纬!A:M,13,FALSE)*N121)</f>
        <v>202.96154933333332</v>
      </c>
      <c r="M121" s="104">
        <f>IF(B121="","",VLOOKUP(B121&amp;F121&amp;H121,经纬!A:N,14,FALSE)*N121)</f>
        <v>148.53539807524058</v>
      </c>
      <c r="N121" s="8">
        <v>15110</v>
      </c>
      <c r="R121" s="250">
        <f t="shared" si="7"/>
        <v>10</v>
      </c>
    </row>
    <row r="122" spans="1:18" outlineLevel="1">
      <c r="A122" s="4">
        <v>122</v>
      </c>
      <c r="B122" s="90" t="s">
        <v>1096</v>
      </c>
      <c r="C122" s="8" t="str">
        <f>IF(B122="","",VLOOKUP(B122,经纬!B:C,2,FALSE))</f>
        <v>30*30</v>
      </c>
      <c r="D122" s="8">
        <f>IF(B122="","",VLOOKUP(B122,经纬!B:G,6,FALSE))</f>
        <v>23</v>
      </c>
      <c r="E122" s="8" t="str">
        <f t="shared" si="4"/>
        <v>190</v>
      </c>
      <c r="F122" s="8" t="s">
        <v>2</v>
      </c>
      <c r="G122" s="8" t="s">
        <v>387</v>
      </c>
      <c r="H122" s="89" t="s">
        <v>1110</v>
      </c>
      <c r="I122" s="23">
        <v>43748</v>
      </c>
      <c r="J122" s="105" t="str">
        <f t="shared" si="5"/>
        <v>30</v>
      </c>
      <c r="K122" s="105" t="str">
        <f t="shared" si="6"/>
        <v>30</v>
      </c>
      <c r="L122" s="104">
        <f>IF(B122="","",VLOOKUP(B122&amp;F122&amp;H122,经纬!A:M,13,FALSE)*N122)</f>
        <v>365.5491232</v>
      </c>
      <c r="M122" s="104">
        <f>IF(B122="","",VLOOKUP(B122&amp;F122&amp;H122,经纬!A:N,14,FALSE)*N122)</f>
        <v>287.50900262467189</v>
      </c>
      <c r="N122" s="8">
        <v>20164</v>
      </c>
      <c r="R122" s="250">
        <f t="shared" si="7"/>
        <v>10</v>
      </c>
    </row>
    <row r="123" spans="1:18" outlineLevel="1">
      <c r="A123" s="38">
        <v>123</v>
      </c>
      <c r="B123" s="90" t="s">
        <v>1119</v>
      </c>
      <c r="C123" s="8" t="str">
        <f>IF(B123="","",VLOOKUP(B123,经纬!B:C,2,FALSE))</f>
        <v>15*15</v>
      </c>
      <c r="D123" s="8">
        <f>IF(B123="","",VLOOKUP(B123,经纬!B:G,6,FALSE))</f>
        <v>13</v>
      </c>
      <c r="E123" s="8" t="str">
        <f t="shared" si="4"/>
        <v>197</v>
      </c>
      <c r="F123" s="8" t="s">
        <v>2</v>
      </c>
      <c r="G123" s="8" t="s">
        <v>287</v>
      </c>
      <c r="H123" s="89" t="s">
        <v>1110</v>
      </c>
      <c r="I123" s="23">
        <v>43748</v>
      </c>
      <c r="J123" s="105" t="str">
        <f t="shared" si="5"/>
        <v>15</v>
      </c>
      <c r="K123" s="105" t="str">
        <f t="shared" si="6"/>
        <v>15</v>
      </c>
      <c r="L123" s="104">
        <f>IF(B123="","",VLOOKUP(B123&amp;F123&amp;H123,经纬!A:M,13,FALSE)*N123)</f>
        <v>41.0624392</v>
      </c>
      <c r="M123" s="104">
        <f>IF(B123="","",VLOOKUP(B123&amp;F123&amp;H123,经纬!A:N,14,FALSE)*N123)</f>
        <v>28.350131233595803</v>
      </c>
      <c r="N123" s="8">
        <v>4076</v>
      </c>
      <c r="R123" s="250">
        <f t="shared" si="7"/>
        <v>10</v>
      </c>
    </row>
    <row r="124" spans="1:18" outlineLevel="1">
      <c r="A124" s="4">
        <v>124</v>
      </c>
      <c r="B124" s="91" t="s">
        <v>1096</v>
      </c>
      <c r="C124" s="8" t="str">
        <f>IF(B124="","",VLOOKUP(B124,经纬!B:C,2,FALSE))</f>
        <v>30*30</v>
      </c>
      <c r="D124" s="8">
        <f>IF(B124="","",VLOOKUP(B124,经纬!B:G,6,FALSE))</f>
        <v>23</v>
      </c>
      <c r="E124" s="8" t="str">
        <f t="shared" si="4"/>
        <v>190</v>
      </c>
      <c r="F124" s="8" t="s">
        <v>2</v>
      </c>
      <c r="G124" s="8" t="s">
        <v>287</v>
      </c>
      <c r="H124" s="89" t="s">
        <v>1110</v>
      </c>
      <c r="I124" s="23">
        <v>43748</v>
      </c>
      <c r="J124" s="105" t="str">
        <f t="shared" si="5"/>
        <v>30</v>
      </c>
      <c r="K124" s="105" t="str">
        <f t="shared" si="6"/>
        <v>30</v>
      </c>
      <c r="L124" s="104">
        <f>IF(B124="","",VLOOKUP(B124&amp;F124&amp;H124,经纬!A:M,13,FALSE)*N124)</f>
        <v>6.9433303999999998</v>
      </c>
      <c r="M124" s="104">
        <f>IF(B124="","",VLOOKUP(B124&amp;F124&amp;H124,经纬!A:N,14,FALSE)*N124)</f>
        <v>5.4610170603674542</v>
      </c>
      <c r="N124" s="8">
        <v>383</v>
      </c>
      <c r="R124" s="250">
        <f t="shared" si="7"/>
        <v>10</v>
      </c>
    </row>
    <row r="125" spans="1:18" outlineLevel="1">
      <c r="A125" s="4">
        <v>125</v>
      </c>
      <c r="B125" s="89" t="s">
        <v>1094</v>
      </c>
      <c r="C125" s="8" t="str">
        <f>IF(B125="","",VLOOKUP(B125,经纬!B:C,2,FALSE))</f>
        <v>30*30</v>
      </c>
      <c r="D125" s="8">
        <f>IF(B125="","",VLOOKUP(B125,经纬!B:G,6,FALSE))</f>
        <v>23</v>
      </c>
      <c r="E125" s="8" t="str">
        <f t="shared" si="4"/>
        <v>200</v>
      </c>
      <c r="F125" s="8" t="s">
        <v>2</v>
      </c>
      <c r="G125" s="8" t="s">
        <v>287</v>
      </c>
      <c r="H125" s="89" t="s">
        <v>1110</v>
      </c>
      <c r="I125" s="23">
        <v>43748</v>
      </c>
      <c r="J125" s="105" t="str">
        <f t="shared" si="5"/>
        <v>30</v>
      </c>
      <c r="K125" s="105" t="str">
        <f t="shared" si="6"/>
        <v>30</v>
      </c>
      <c r="L125" s="104">
        <f>IF(B125="","",VLOOKUP(B125&amp;F125&amp;H125,经纬!A:M,13,FALSE)*N125)</f>
        <v>173.4711552</v>
      </c>
      <c r="M125" s="104">
        <f>IF(B125="","",VLOOKUP(B125&amp;F125&amp;H125,经纬!A:N,14,FALSE)*N125)</f>
        <v>114.25133858267715</v>
      </c>
      <c r="N125" s="8">
        <v>8436</v>
      </c>
      <c r="R125" s="250">
        <f t="shared" si="7"/>
        <v>10</v>
      </c>
    </row>
    <row r="126" spans="1:18" outlineLevel="1">
      <c r="A126" s="4">
        <v>126</v>
      </c>
      <c r="B126" s="89" t="s">
        <v>1122</v>
      </c>
      <c r="C126" s="8" t="str">
        <f>IF(B126="","",VLOOKUP(B126,经纬!B:C,2,FALSE))</f>
        <v>30*30</v>
      </c>
      <c r="D126" s="8">
        <f>IF(B126="","",VLOOKUP(B126,经纬!B:G,6,FALSE))</f>
        <v>23</v>
      </c>
      <c r="E126" s="8" t="str">
        <f t="shared" si="4"/>
        <v>201</v>
      </c>
      <c r="F126" s="8" t="s">
        <v>2</v>
      </c>
      <c r="G126" s="8" t="s">
        <v>287</v>
      </c>
      <c r="H126" s="89" t="s">
        <v>197</v>
      </c>
      <c r="I126" s="23">
        <v>43748</v>
      </c>
      <c r="J126" s="105" t="str">
        <f t="shared" si="5"/>
        <v>30</v>
      </c>
      <c r="K126" s="105" t="str">
        <f t="shared" si="6"/>
        <v>30</v>
      </c>
      <c r="L126" s="104">
        <f>IF(B126="","",VLOOKUP(B126&amp;F126&amp;H126,经纬!A:M,13,FALSE)*N126)</f>
        <v>96.873235199999996</v>
      </c>
      <c r="M126" s="104">
        <f>IF(B126="","",VLOOKUP(B126&amp;F126&amp;H126,经纬!A:N,14,FALSE)*N126)</f>
        <v>34.052740157480315</v>
      </c>
      <c r="N126" s="8">
        <v>4711</v>
      </c>
      <c r="R126" s="250">
        <f t="shared" si="7"/>
        <v>10</v>
      </c>
    </row>
    <row r="127" spans="1:18" outlineLevel="1">
      <c r="A127" s="4">
        <v>127</v>
      </c>
      <c r="B127" s="89" t="s">
        <v>1092</v>
      </c>
      <c r="C127" s="8" t="str">
        <f>IF(B127="","",VLOOKUP(B127,经纬!B:C,2,FALSE))</f>
        <v>50*50</v>
      </c>
      <c r="D127" s="8">
        <f>IF(B127="","",VLOOKUP(B127,经纬!B:G,6,FALSE))</f>
        <v>37</v>
      </c>
      <c r="E127" s="8" t="str">
        <f t="shared" si="4"/>
        <v>190.5</v>
      </c>
      <c r="F127" s="8" t="s">
        <v>2</v>
      </c>
      <c r="G127" s="8" t="s">
        <v>287</v>
      </c>
      <c r="H127" s="89" t="s">
        <v>197</v>
      </c>
      <c r="I127" s="23">
        <v>43748</v>
      </c>
      <c r="J127" s="105" t="str">
        <f t="shared" si="5"/>
        <v>50</v>
      </c>
      <c r="K127" s="105" t="str">
        <f t="shared" si="6"/>
        <v>50</v>
      </c>
      <c r="L127" s="104">
        <f>IF(B127="","",VLOOKUP(B127&amp;F127&amp;H127,经纬!A:M,13,FALSE)*N127)</f>
        <v>444.205512</v>
      </c>
      <c r="M127" s="104">
        <f>IF(B127="","",VLOOKUP(B127&amp;F127&amp;H127,经纬!A:N,14,FALSE)*N127)</f>
        <v>295.9442716535433</v>
      </c>
      <c r="N127" s="8">
        <v>14796</v>
      </c>
      <c r="R127" s="250">
        <f t="shared" si="7"/>
        <v>10</v>
      </c>
    </row>
    <row r="128" spans="1:18" outlineLevel="1">
      <c r="A128" s="4">
        <v>128</v>
      </c>
      <c r="B128" s="89" t="s">
        <v>1118</v>
      </c>
      <c r="C128" s="8" t="str">
        <f>IF(B128="","",VLOOKUP(B128,经纬!B:C,2,FALSE))</f>
        <v>50*75</v>
      </c>
      <c r="D128" s="8">
        <f>IF(B128="","",VLOOKUP(B128,经纬!B:G,6,FALSE))</f>
        <v>44</v>
      </c>
      <c r="E128" s="8" t="str">
        <f t="shared" si="4"/>
        <v>190</v>
      </c>
      <c r="F128" s="8" t="s">
        <v>2</v>
      </c>
      <c r="G128" s="8" t="s">
        <v>287</v>
      </c>
      <c r="H128" s="89" t="s">
        <v>1110</v>
      </c>
      <c r="I128" s="23">
        <v>43748</v>
      </c>
      <c r="J128" s="105" t="str">
        <f t="shared" si="5"/>
        <v>50</v>
      </c>
      <c r="K128" s="105" t="str">
        <f t="shared" si="6"/>
        <v>75</v>
      </c>
      <c r="L128" s="104">
        <f>IF(B128="","",VLOOKUP(B128&amp;F128&amp;H128,经纬!A:M,13,FALSE)*N128)</f>
        <v>169.77440999999999</v>
      </c>
      <c r="M128" s="104">
        <f>IF(B128="","",VLOOKUP(B128&amp;F128&amp;H128,经纬!A:N,14,FALSE)*N128)</f>
        <v>308.0750492125984</v>
      </c>
      <c r="N128" s="8">
        <v>5655</v>
      </c>
      <c r="R128" s="250">
        <f t="shared" si="7"/>
        <v>10</v>
      </c>
    </row>
    <row r="129" spans="1:18" outlineLevel="1">
      <c r="A129" s="4">
        <v>129</v>
      </c>
      <c r="B129" s="89" t="s">
        <v>1092</v>
      </c>
      <c r="C129" s="8" t="str">
        <f>IF(B129="","",VLOOKUP(B129,经纬!B:C,2,FALSE))</f>
        <v>50*50</v>
      </c>
      <c r="D129" s="8">
        <f>IF(B129="","",VLOOKUP(B129,经纬!B:G,6,FALSE))</f>
        <v>37</v>
      </c>
      <c r="E129" s="8" t="str">
        <f t="shared" si="4"/>
        <v>190.5</v>
      </c>
      <c r="F129" s="8" t="s">
        <v>1</v>
      </c>
      <c r="G129" s="8" t="s">
        <v>287</v>
      </c>
      <c r="H129" s="89" t="s">
        <v>197</v>
      </c>
      <c r="I129" s="23">
        <v>43748</v>
      </c>
      <c r="J129" s="105" t="str">
        <f t="shared" si="5"/>
        <v>50</v>
      </c>
      <c r="K129" s="105" t="str">
        <f t="shared" si="6"/>
        <v>50</v>
      </c>
      <c r="L129" s="104">
        <f>IF(B129="","",VLOOKUP(B129&amp;F129&amp;H129,经纬!A:M,13,FALSE)*N129)</f>
        <v>149.299406</v>
      </c>
      <c r="M129" s="104">
        <f>IF(B129="","",VLOOKUP(B129&amp;F129&amp;H129,经纬!A:N,14,FALSE)*N129)</f>
        <v>99.468157808398942</v>
      </c>
      <c r="N129" s="8">
        <v>4973</v>
      </c>
      <c r="R129" s="250">
        <f t="shared" si="7"/>
        <v>10</v>
      </c>
    </row>
    <row r="130" spans="1:18" outlineLevel="1">
      <c r="A130" s="4">
        <v>130</v>
      </c>
      <c r="B130" s="89" t="s">
        <v>1093</v>
      </c>
      <c r="C130" s="8" t="str">
        <f>IF(B130="","",VLOOKUP(B130,经纬!B:C,2,FALSE))</f>
        <v>75*75</v>
      </c>
      <c r="D130" s="8">
        <f>IF(B130="","",VLOOKUP(B130,经纬!B:G,6,FALSE))</f>
        <v>43</v>
      </c>
      <c r="E130" s="8" t="str">
        <f t="shared" si="4"/>
        <v>190.5</v>
      </c>
      <c r="F130" s="8" t="s">
        <v>2</v>
      </c>
      <c r="G130" s="8" t="s">
        <v>287</v>
      </c>
      <c r="H130" s="89" t="s">
        <v>197</v>
      </c>
      <c r="I130" s="23">
        <v>43748</v>
      </c>
      <c r="J130" s="105" t="str">
        <f t="shared" si="5"/>
        <v>75</v>
      </c>
      <c r="K130" s="105" t="str">
        <f t="shared" si="6"/>
        <v>75</v>
      </c>
      <c r="L130" s="104">
        <f>IF(B130="","",VLOOKUP(B130&amp;F130&amp;H130,经纬!A:M,13,FALSE)*N130)</f>
        <v>461.52959999999996</v>
      </c>
      <c r="M130" s="104">
        <f>IF(B130="","",VLOOKUP(B130&amp;F130&amp;H130,经纬!A:N,14,FALSE)*N130)</f>
        <v>353.39527559055114</v>
      </c>
      <c r="N130" s="8">
        <v>13440</v>
      </c>
      <c r="R130" s="250">
        <f t="shared" si="7"/>
        <v>10</v>
      </c>
    </row>
    <row r="131" spans="1:18" outlineLevel="1">
      <c r="A131" s="4">
        <v>131</v>
      </c>
      <c r="B131" s="89" t="s">
        <v>1098</v>
      </c>
      <c r="C131" s="8" t="str">
        <f>IF(B131="","",VLOOKUP(B131,经纬!B:C,2,FALSE))</f>
        <v>75*300</v>
      </c>
      <c r="D131" s="8">
        <f>IF(B131="","",VLOOKUP(B131,经纬!B:G,6,FALSE))</f>
        <v>70</v>
      </c>
      <c r="E131" s="8" t="str">
        <f t="shared" ref="E131:E194" si="8">IF(B131="","",MID(B131,LEN(C131),LEN(B131)-LEN(C131)-LEN(D131)+1))</f>
        <v>190.5</v>
      </c>
      <c r="F131" s="8" t="s">
        <v>2</v>
      </c>
      <c r="G131" s="8" t="s">
        <v>287</v>
      </c>
      <c r="H131" s="89" t="s">
        <v>197</v>
      </c>
      <c r="I131" s="23">
        <v>43748</v>
      </c>
      <c r="J131" s="105" t="str">
        <f t="shared" ref="J131:J194" si="9">IF(B131="","",LEFT(C131,FIND("*",C131)-1))</f>
        <v>75</v>
      </c>
      <c r="K131" s="105" t="str">
        <f t="shared" ref="K131:K194" si="10">IF(B131="","",RIGHT(C131,LEN(C131)-LEN(J131)-1))</f>
        <v>300</v>
      </c>
      <c r="L131" s="104">
        <f>IF(B131="","",VLOOKUP(B131&amp;F131&amp;H131,经纬!A:M,13,FALSE)*N131)</f>
        <v>103.05433999999998</v>
      </c>
      <c r="M131" s="104">
        <f>IF(B131="","",VLOOKUP(B131&amp;F131&amp;H131,经纬!A:N,14,FALSE)*N131)</f>
        <v>186.14470472440942</v>
      </c>
      <c r="N131" s="8">
        <v>3001</v>
      </c>
      <c r="R131" s="250">
        <f t="shared" ref="R131:R194" si="11">IF(B131="","",MONTH(I131))</f>
        <v>10</v>
      </c>
    </row>
    <row r="132" spans="1:18" outlineLevel="1">
      <c r="A132" s="4">
        <v>132</v>
      </c>
      <c r="B132" s="89" t="s">
        <v>1093</v>
      </c>
      <c r="C132" s="8" t="str">
        <f>IF(B132="","",VLOOKUP(B132,经纬!B:C,2,FALSE))</f>
        <v>75*75</v>
      </c>
      <c r="D132" s="8">
        <f>IF(B132="","",VLOOKUP(B132,经纬!B:G,6,FALSE))</f>
        <v>43</v>
      </c>
      <c r="E132" s="8" t="str">
        <f t="shared" si="8"/>
        <v>190.5</v>
      </c>
      <c r="F132" s="8" t="s">
        <v>1</v>
      </c>
      <c r="G132" s="8" t="s">
        <v>287</v>
      </c>
      <c r="H132" s="89" t="s">
        <v>197</v>
      </c>
      <c r="I132" s="23">
        <v>43748</v>
      </c>
      <c r="J132" s="105" t="str">
        <f t="shared" si="9"/>
        <v>75</v>
      </c>
      <c r="K132" s="105" t="str">
        <f t="shared" si="10"/>
        <v>75</v>
      </c>
      <c r="L132" s="104">
        <f>IF(B132="","",VLOOKUP(B132&amp;F132&amp;H132,经纬!A:M,13,FALSE)*N132)</f>
        <v>363.31719999999996</v>
      </c>
      <c r="M132" s="104">
        <f>IF(B132="","",VLOOKUP(B132&amp;F132&amp;H132,经纬!A:N,14,FALSE)*N132)</f>
        <v>278.19360236220467</v>
      </c>
      <c r="N132" s="8">
        <v>10580</v>
      </c>
      <c r="R132" s="250">
        <f t="shared" si="11"/>
        <v>10</v>
      </c>
    </row>
    <row r="133" spans="1:18" outlineLevel="1">
      <c r="A133" s="4">
        <v>133</v>
      </c>
      <c r="B133" s="89" t="s">
        <v>1115</v>
      </c>
      <c r="C133" s="8" t="str">
        <f>IF(B133="","",VLOOKUP(B133,经纬!B:C,2,FALSE))</f>
        <v>75*150</v>
      </c>
      <c r="D133" s="8">
        <f>IF(B133="","",VLOOKUP(B133,经纬!B:G,6,FALSE))</f>
        <v>54</v>
      </c>
      <c r="E133" s="8" t="str">
        <f t="shared" si="8"/>
        <v>190.5</v>
      </c>
      <c r="F133" s="8" t="s">
        <v>1</v>
      </c>
      <c r="G133" s="8" t="s">
        <v>287</v>
      </c>
      <c r="H133" s="89" t="s">
        <v>197</v>
      </c>
      <c r="I133" s="23">
        <v>43748</v>
      </c>
      <c r="J133" s="105" t="str">
        <f t="shared" si="9"/>
        <v>75</v>
      </c>
      <c r="K133" s="105" t="str">
        <f t="shared" si="10"/>
        <v>150</v>
      </c>
      <c r="L133" s="104">
        <f>IF(B133="","",VLOOKUP(B133&amp;F133&amp;H133,经纬!A:M,13,FALSE)*N133)</f>
        <v>222.24847999999997</v>
      </c>
      <c r="M133" s="104">
        <f>IF(B133="","",VLOOKUP(B133&amp;F133&amp;H133,经纬!A:N,14,FALSE)*N133)</f>
        <v>253.08322834645668</v>
      </c>
      <c r="N133" s="8">
        <v>6472</v>
      </c>
      <c r="R133" s="250">
        <f t="shared" si="11"/>
        <v>10</v>
      </c>
    </row>
    <row r="134" spans="1:18" outlineLevel="1">
      <c r="A134" s="4">
        <v>134</v>
      </c>
      <c r="B134" s="89" t="s">
        <v>1097</v>
      </c>
      <c r="C134" s="8" t="str">
        <f>IF(B134="","",VLOOKUP(B134,经纬!B:C,2,FALSE))</f>
        <v>75*200</v>
      </c>
      <c r="D134" s="8">
        <f>IF(B134="","",VLOOKUP(B134,经纬!B:G,6,FALSE))</f>
        <v>62</v>
      </c>
      <c r="E134" s="8" t="str">
        <f t="shared" si="8"/>
        <v>190.5</v>
      </c>
      <c r="F134" s="8" t="s">
        <v>1</v>
      </c>
      <c r="G134" s="8" t="s">
        <v>287</v>
      </c>
      <c r="H134" s="89" t="s">
        <v>197</v>
      </c>
      <c r="I134" s="23">
        <v>43748</v>
      </c>
      <c r="J134" s="105" t="str">
        <f t="shared" si="9"/>
        <v>75</v>
      </c>
      <c r="K134" s="105" t="str">
        <f t="shared" si="10"/>
        <v>200</v>
      </c>
      <c r="L134" s="104">
        <f>IF(B134="","",VLOOKUP(B134&amp;F134&amp;H134,经纬!A:M,13,FALSE)*N134)</f>
        <v>245.38394999999997</v>
      </c>
      <c r="M134" s="104">
        <f>IF(B134="","",VLOOKUP(B134&amp;F134&amp;H134,经纬!A:N,14,FALSE)*N134)</f>
        <v>364.45236220472435</v>
      </c>
      <c r="N134" s="8">
        <v>6990</v>
      </c>
      <c r="R134" s="250">
        <f t="shared" si="11"/>
        <v>10</v>
      </c>
    </row>
    <row r="135" spans="1:18" outlineLevel="1">
      <c r="A135" s="4">
        <v>135</v>
      </c>
      <c r="B135" s="89" t="s">
        <v>1098</v>
      </c>
      <c r="C135" s="8" t="str">
        <f>IF(B135="","",VLOOKUP(B135,经纬!B:C,2,FALSE))</f>
        <v>75*300</v>
      </c>
      <c r="D135" s="8">
        <f>IF(B135="","",VLOOKUP(B135,经纬!B:G,6,FALSE))</f>
        <v>70</v>
      </c>
      <c r="E135" s="8" t="str">
        <f t="shared" si="8"/>
        <v>190.5</v>
      </c>
      <c r="F135" s="8" t="s">
        <v>1</v>
      </c>
      <c r="G135" s="8" t="s">
        <v>287</v>
      </c>
      <c r="H135" s="89" t="s">
        <v>197</v>
      </c>
      <c r="I135" s="23">
        <v>43748</v>
      </c>
      <c r="J135" s="105" t="str">
        <f t="shared" si="9"/>
        <v>75</v>
      </c>
      <c r="K135" s="105" t="str">
        <f t="shared" si="10"/>
        <v>300</v>
      </c>
      <c r="L135" s="104">
        <f>IF(B135="","",VLOOKUP(B135&amp;F135&amp;H135,经纬!A:M,13,FALSE)*N135)</f>
        <v>371.52445999999998</v>
      </c>
      <c r="M135" s="104">
        <f>IF(B135="","",VLOOKUP(B135&amp;F135&amp;H135,经纬!A:N,14,FALSE)*N135)</f>
        <v>671.07616141732274</v>
      </c>
      <c r="N135" s="8">
        <v>10819</v>
      </c>
      <c r="R135" s="250">
        <f t="shared" si="11"/>
        <v>10</v>
      </c>
    </row>
    <row r="136" spans="1:18" outlineLevel="1">
      <c r="A136" s="4">
        <v>136</v>
      </c>
      <c r="B136" s="89" t="s">
        <v>1096</v>
      </c>
      <c r="C136" s="8" t="str">
        <f>IF(B136="","",VLOOKUP(B136,经纬!B:C,2,FALSE))</f>
        <v>30*30</v>
      </c>
      <c r="D136" s="8">
        <f>IF(B136="","",VLOOKUP(B136,经纬!B:G,6,FALSE))</f>
        <v>23</v>
      </c>
      <c r="E136" s="8" t="str">
        <f t="shared" si="8"/>
        <v>190</v>
      </c>
      <c r="F136" s="8" t="s">
        <v>2</v>
      </c>
      <c r="G136" s="8" t="s">
        <v>1075</v>
      </c>
      <c r="H136" s="89" t="s">
        <v>1110</v>
      </c>
      <c r="I136" s="23">
        <v>43748</v>
      </c>
      <c r="J136" s="105" t="str">
        <f t="shared" si="9"/>
        <v>30</v>
      </c>
      <c r="K136" s="105" t="str">
        <f t="shared" si="10"/>
        <v>30</v>
      </c>
      <c r="L136" s="104">
        <f>IF(B136="","",VLOOKUP(B136&amp;F136&amp;H136,经纬!A:M,13,FALSE)*N136)</f>
        <v>163.77557920000001</v>
      </c>
      <c r="M136" s="104">
        <f>IF(B136="","",VLOOKUP(B136&amp;F136&amp;H136,经纬!A:N,14,FALSE)*N136)</f>
        <v>128.81156167979003</v>
      </c>
      <c r="N136" s="8">
        <v>9034</v>
      </c>
      <c r="R136" s="250">
        <f t="shared" si="11"/>
        <v>10</v>
      </c>
    </row>
    <row r="137" spans="1:18" outlineLevel="1">
      <c r="A137" s="4">
        <v>137</v>
      </c>
      <c r="B137" s="89" t="s">
        <v>1122</v>
      </c>
      <c r="C137" s="8" t="str">
        <f>IF(B137="","",VLOOKUP(B137,经纬!B:C,2,FALSE))</f>
        <v>30*30</v>
      </c>
      <c r="D137" s="8">
        <f>IF(B137="","",VLOOKUP(B137,经纬!B:G,6,FALSE))</f>
        <v>23</v>
      </c>
      <c r="E137" s="8" t="str">
        <f t="shared" si="8"/>
        <v>201</v>
      </c>
      <c r="F137" s="8" t="s">
        <v>2</v>
      </c>
      <c r="G137" s="8" t="s">
        <v>282</v>
      </c>
      <c r="H137" s="89" t="s">
        <v>197</v>
      </c>
      <c r="I137" s="23">
        <v>43748</v>
      </c>
      <c r="J137" s="105" t="str">
        <f t="shared" si="9"/>
        <v>30</v>
      </c>
      <c r="K137" s="105" t="str">
        <f t="shared" si="10"/>
        <v>30</v>
      </c>
      <c r="L137" s="104">
        <f>IF(B137="","",VLOOKUP(B137&amp;F137&amp;H137,经纬!A:M,13,FALSE)*N137)</f>
        <v>142.50297599999999</v>
      </c>
      <c r="M137" s="104">
        <f>IF(B137="","",VLOOKUP(B137&amp;F137&amp;H137,经纬!A:N,14,FALSE)*N137)</f>
        <v>50.092440944881893</v>
      </c>
      <c r="N137" s="8">
        <v>6930</v>
      </c>
      <c r="R137" s="250">
        <f t="shared" si="11"/>
        <v>10</v>
      </c>
    </row>
    <row r="138" spans="1:18" outlineLevel="1">
      <c r="A138" s="4">
        <v>138</v>
      </c>
      <c r="B138" s="89" t="s">
        <v>1092</v>
      </c>
      <c r="C138" s="8" t="str">
        <f>IF(B138="","",VLOOKUP(B138,经纬!B:C,2,FALSE))</f>
        <v>50*50</v>
      </c>
      <c r="D138" s="8">
        <f>IF(B138="","",VLOOKUP(B138,经纬!B:G,6,FALSE))</f>
        <v>37</v>
      </c>
      <c r="E138" s="8" t="str">
        <f t="shared" si="8"/>
        <v>190.5</v>
      </c>
      <c r="F138" s="8" t="s">
        <v>2</v>
      </c>
      <c r="G138" s="8" t="s">
        <v>282</v>
      </c>
      <c r="H138" s="89" t="s">
        <v>197</v>
      </c>
      <c r="I138" s="23">
        <v>43748</v>
      </c>
      <c r="J138" s="105" t="str">
        <f t="shared" si="9"/>
        <v>50</v>
      </c>
      <c r="K138" s="105" t="str">
        <f t="shared" si="10"/>
        <v>50</v>
      </c>
      <c r="L138" s="104">
        <f>IF(B138="","",VLOOKUP(B138&amp;F138&amp;H138,经纬!A:M,13,FALSE)*N138)</f>
        <v>52.838720000000002</v>
      </c>
      <c r="M138" s="104">
        <f>IF(B138="","",VLOOKUP(B138&amp;F138&amp;H138,经纬!A:N,14,FALSE)*N138)</f>
        <v>35.202887139107609</v>
      </c>
      <c r="N138" s="8">
        <v>1760</v>
      </c>
      <c r="R138" s="250">
        <f t="shared" si="11"/>
        <v>10</v>
      </c>
    </row>
    <row r="139" spans="1:18" outlineLevel="1">
      <c r="A139" s="4">
        <v>139</v>
      </c>
      <c r="B139" s="90" t="s">
        <v>1095</v>
      </c>
      <c r="C139" s="8" t="str">
        <f>IF(B139="","",VLOOKUP(B139,经纬!B:C,2,FALSE))</f>
        <v>20*20</v>
      </c>
      <c r="D139" s="8">
        <f>IF(B139="","",VLOOKUP(B139,经纬!B:G,6,FALSE))</f>
        <v>17</v>
      </c>
      <c r="E139" s="8" t="str">
        <f t="shared" si="8"/>
        <v>197</v>
      </c>
      <c r="F139" s="8" t="s">
        <v>2</v>
      </c>
      <c r="G139" s="8" t="s">
        <v>387</v>
      </c>
      <c r="H139" s="89" t="s">
        <v>1110</v>
      </c>
      <c r="I139" s="23">
        <v>43749</v>
      </c>
      <c r="J139" s="105" t="str">
        <f t="shared" si="9"/>
        <v>20</v>
      </c>
      <c r="K139" s="105" t="str">
        <f t="shared" si="10"/>
        <v>20</v>
      </c>
      <c r="L139" s="104">
        <f>IF(B139="","",VLOOKUP(B139&amp;F139&amp;H139,经纬!A:M,13,FALSE)*N139)</f>
        <v>118.90242453333333</v>
      </c>
      <c r="M139" s="104">
        <f>IF(B139="","",VLOOKUP(B139&amp;F139&amp;H139,经纬!A:N,14,FALSE)*N139)</f>
        <v>87.017560804899375</v>
      </c>
      <c r="N139" s="8">
        <v>8852</v>
      </c>
      <c r="R139" s="250">
        <f t="shared" si="11"/>
        <v>10</v>
      </c>
    </row>
    <row r="140" spans="1:18" outlineLevel="1">
      <c r="A140" s="4">
        <v>140</v>
      </c>
      <c r="B140" s="91" t="s">
        <v>1094</v>
      </c>
      <c r="C140" s="8" t="str">
        <f>IF(B140="","",VLOOKUP(B140,经纬!B:C,2,FALSE))</f>
        <v>30*30</v>
      </c>
      <c r="D140" s="8">
        <f>IF(B140="","",VLOOKUP(B140,经纬!B:G,6,FALSE))</f>
        <v>23</v>
      </c>
      <c r="E140" s="8" t="str">
        <f t="shared" si="8"/>
        <v>200</v>
      </c>
      <c r="F140" s="8" t="s">
        <v>2</v>
      </c>
      <c r="G140" s="8" t="s">
        <v>387</v>
      </c>
      <c r="H140" s="89" t="s">
        <v>1110</v>
      </c>
      <c r="I140" s="23">
        <v>43749</v>
      </c>
      <c r="J140" s="105" t="str">
        <f t="shared" si="9"/>
        <v>30</v>
      </c>
      <c r="K140" s="105" t="str">
        <f t="shared" si="10"/>
        <v>30</v>
      </c>
      <c r="L140" s="104">
        <f>IF(B140="","",VLOOKUP(B140&amp;F140&amp;H140,经纬!A:M,13,FALSE)*N140)</f>
        <v>46.102694399999997</v>
      </c>
      <c r="M140" s="104">
        <f>IF(B140="","",VLOOKUP(B140&amp;F140&amp;H140,经纬!A:N,14,FALSE)*N140)</f>
        <v>30.364094488188972</v>
      </c>
      <c r="N140" s="8">
        <v>2242</v>
      </c>
      <c r="R140" s="250">
        <f t="shared" si="11"/>
        <v>10</v>
      </c>
    </row>
    <row r="141" spans="1:18" outlineLevel="1">
      <c r="A141" s="4">
        <v>141</v>
      </c>
      <c r="B141" s="89" t="s">
        <v>1084</v>
      </c>
      <c r="C141" s="8" t="str">
        <f>IF(B141="","",VLOOKUP(B141,经纬!B:C,2,FALSE))</f>
        <v>75*100</v>
      </c>
      <c r="D141" s="8">
        <f>IF(B141="","",VLOOKUP(B141,经纬!B:G,6,FALSE))</f>
        <v>50</v>
      </c>
      <c r="E141" s="8" t="str">
        <f t="shared" si="8"/>
        <v>190.5</v>
      </c>
      <c r="F141" s="8" t="s">
        <v>1</v>
      </c>
      <c r="G141" s="8" t="s">
        <v>387</v>
      </c>
      <c r="H141" s="89" t="s">
        <v>197</v>
      </c>
      <c r="I141" s="23">
        <v>43749</v>
      </c>
      <c r="J141" s="105" t="str">
        <f t="shared" si="9"/>
        <v>75</v>
      </c>
      <c r="K141" s="105" t="str">
        <f t="shared" si="10"/>
        <v>100</v>
      </c>
      <c r="L141" s="104">
        <f>IF(B141="","",VLOOKUP(B141&amp;F141&amp;H141,经纬!A:M,13,FALSE)*N141)</f>
        <v>312.39097999999996</v>
      </c>
      <c r="M141" s="104">
        <f>IF(B141="","",VLOOKUP(B141&amp;F141&amp;H141,经纬!A:N,14,FALSE)*N141)</f>
        <v>314.84334973753278</v>
      </c>
      <c r="N141" s="8">
        <v>9097</v>
      </c>
      <c r="R141" s="250">
        <f t="shared" si="11"/>
        <v>10</v>
      </c>
    </row>
    <row r="142" spans="1:18" outlineLevel="1">
      <c r="A142" s="4">
        <v>142</v>
      </c>
      <c r="B142" s="89" t="s">
        <v>1119</v>
      </c>
      <c r="C142" s="8" t="str">
        <f>IF(B142="","",VLOOKUP(B142,经纬!B:C,2,FALSE))</f>
        <v>15*15</v>
      </c>
      <c r="D142" s="8">
        <f>IF(B142="","",VLOOKUP(B142,经纬!B:G,6,FALSE))</f>
        <v>13</v>
      </c>
      <c r="E142" s="8" t="str">
        <f t="shared" si="8"/>
        <v>197</v>
      </c>
      <c r="F142" s="8" t="s">
        <v>2</v>
      </c>
      <c r="G142" s="8" t="s">
        <v>287</v>
      </c>
      <c r="H142" s="89" t="s">
        <v>1110</v>
      </c>
      <c r="I142" s="23">
        <v>43749</v>
      </c>
      <c r="J142" s="105" t="str">
        <f t="shared" si="9"/>
        <v>15</v>
      </c>
      <c r="K142" s="105" t="str">
        <f t="shared" si="10"/>
        <v>15</v>
      </c>
      <c r="L142" s="104">
        <f>IF(B142="","",VLOOKUP(B142&amp;F142&amp;H142,经纬!A:M,13,FALSE)*N142)</f>
        <v>59.558670400000004</v>
      </c>
      <c r="M142" s="104">
        <f>IF(B142="","",VLOOKUP(B142&amp;F142&amp;H142,经纬!A:N,14,FALSE)*N142)</f>
        <v>41.120209973753283</v>
      </c>
      <c r="N142" s="8">
        <v>5912</v>
      </c>
      <c r="R142" s="250">
        <f t="shared" si="11"/>
        <v>10</v>
      </c>
    </row>
    <row r="143" spans="1:18" outlineLevel="1">
      <c r="A143" s="4">
        <v>143</v>
      </c>
      <c r="B143" s="89" t="s">
        <v>1095</v>
      </c>
      <c r="C143" s="8" t="str">
        <f>IF(B143="","",VLOOKUP(B143,经纬!B:C,2,FALSE))</f>
        <v>20*20</v>
      </c>
      <c r="D143" s="8">
        <f>IF(B143="","",VLOOKUP(B143,经纬!B:G,6,FALSE))</f>
        <v>17</v>
      </c>
      <c r="E143" s="8" t="str">
        <f t="shared" si="8"/>
        <v>197</v>
      </c>
      <c r="F143" s="8" t="s">
        <v>2</v>
      </c>
      <c r="G143" s="8" t="s">
        <v>287</v>
      </c>
      <c r="H143" s="89" t="s">
        <v>1110</v>
      </c>
      <c r="I143" s="23">
        <v>43749</v>
      </c>
      <c r="J143" s="105" t="str">
        <f t="shared" si="9"/>
        <v>20</v>
      </c>
      <c r="K143" s="105" t="str">
        <f t="shared" si="10"/>
        <v>20</v>
      </c>
      <c r="L143" s="104">
        <f>IF(B143="","",VLOOKUP(B143&amp;F143&amp;H143,经纬!A:M,13,FALSE)*N143)</f>
        <v>15.823210133333333</v>
      </c>
      <c r="M143" s="104">
        <f>IF(B143="","",VLOOKUP(B143&amp;F143&amp;H143,经纬!A:N,14,FALSE)*N143)</f>
        <v>11.580059492563429</v>
      </c>
      <c r="N143" s="8">
        <v>1178</v>
      </c>
      <c r="R143" s="250">
        <f t="shared" si="11"/>
        <v>10</v>
      </c>
    </row>
    <row r="144" spans="1:18" outlineLevel="1">
      <c r="A144" s="4">
        <v>144</v>
      </c>
      <c r="B144" s="89" t="s">
        <v>1123</v>
      </c>
      <c r="C144" s="8" t="str">
        <f>IF(B144="","",VLOOKUP(B144,经纬!B:C,2,FALSE))</f>
        <v>30*30</v>
      </c>
      <c r="D144" s="8">
        <f>IF(B144="","",VLOOKUP(B144,经纬!B:G,6,FALSE))</f>
        <v>23</v>
      </c>
      <c r="E144" s="8" t="str">
        <f t="shared" si="8"/>
        <v>192</v>
      </c>
      <c r="F144" s="8" t="s">
        <v>2</v>
      </c>
      <c r="G144" s="8" t="s">
        <v>287</v>
      </c>
      <c r="H144" s="89" t="s">
        <v>1110</v>
      </c>
      <c r="I144" s="23">
        <v>43749</v>
      </c>
      <c r="J144" s="105" t="str">
        <f t="shared" si="9"/>
        <v>30</v>
      </c>
      <c r="K144" s="105" t="str">
        <f t="shared" si="10"/>
        <v>30</v>
      </c>
      <c r="L144" s="104">
        <f>IF(B144="","",VLOOKUP(B144&amp;F144&amp;H144,经纬!A:M,13,FALSE)*N144)</f>
        <v>174.69996960000003</v>
      </c>
      <c r="M144" s="104">
        <f>IF(B144="","",VLOOKUP(B144&amp;F144&amp;H144,经纬!A:N,14,FALSE)*N144)</f>
        <v>113.65821259842522</v>
      </c>
      <c r="N144" s="8">
        <v>8902</v>
      </c>
      <c r="R144" s="250">
        <f t="shared" si="11"/>
        <v>10</v>
      </c>
    </row>
    <row r="145" spans="1:18" outlineLevel="1">
      <c r="A145" s="4">
        <v>145</v>
      </c>
      <c r="B145" s="89" t="s">
        <v>1094</v>
      </c>
      <c r="C145" s="8" t="str">
        <f>IF(B145="","",VLOOKUP(B145,经纬!B:C,2,FALSE))</f>
        <v>30*30</v>
      </c>
      <c r="D145" s="8">
        <f>IF(B145="","",VLOOKUP(B145,经纬!B:G,6,FALSE))</f>
        <v>23</v>
      </c>
      <c r="E145" s="8" t="str">
        <f t="shared" si="8"/>
        <v>200</v>
      </c>
      <c r="F145" s="8" t="s">
        <v>2</v>
      </c>
      <c r="G145" s="8" t="s">
        <v>287</v>
      </c>
      <c r="H145" s="89" t="s">
        <v>1110</v>
      </c>
      <c r="I145" s="23">
        <v>43749</v>
      </c>
      <c r="J145" s="105" t="str">
        <f t="shared" si="9"/>
        <v>30</v>
      </c>
      <c r="K145" s="105" t="str">
        <f t="shared" si="10"/>
        <v>30</v>
      </c>
      <c r="L145" s="104">
        <f>IF(B145="","",VLOOKUP(B145&amp;F145&amp;H145,经纬!A:M,13,FALSE)*N145)</f>
        <v>24.017817600000001</v>
      </c>
      <c r="M145" s="104">
        <f>IF(B145="","",VLOOKUP(B145&amp;F145&amp;H145,经纬!A:N,14,FALSE)*N145)</f>
        <v>15.818582677165352</v>
      </c>
      <c r="N145" s="8">
        <v>1168</v>
      </c>
      <c r="R145" s="250">
        <f t="shared" si="11"/>
        <v>10</v>
      </c>
    </row>
    <row r="146" spans="1:18" outlineLevel="1">
      <c r="A146" s="4">
        <v>146</v>
      </c>
      <c r="B146" s="89" t="s">
        <v>1092</v>
      </c>
      <c r="C146" s="8" t="str">
        <f>IF(B146="","",VLOOKUP(B146,经纬!B:C,2,FALSE))</f>
        <v>50*50</v>
      </c>
      <c r="D146" s="8">
        <f>IF(B146="","",VLOOKUP(B146,经纬!B:G,6,FALSE))</f>
        <v>37</v>
      </c>
      <c r="E146" s="8" t="str">
        <f t="shared" si="8"/>
        <v>190.5</v>
      </c>
      <c r="F146" s="8" t="s">
        <v>2</v>
      </c>
      <c r="G146" s="8" t="s">
        <v>287</v>
      </c>
      <c r="H146" s="89" t="s">
        <v>1110</v>
      </c>
      <c r="I146" s="23">
        <v>43749</v>
      </c>
      <c r="J146" s="105" t="str">
        <f t="shared" si="9"/>
        <v>50</v>
      </c>
      <c r="K146" s="105" t="str">
        <f t="shared" si="10"/>
        <v>50</v>
      </c>
      <c r="L146" s="104">
        <f>IF(B146="","",VLOOKUP(B146&amp;F146&amp;H146,经纬!A:M,13,FALSE)*N146)</f>
        <v>196.163748</v>
      </c>
      <c r="M146" s="104">
        <f>IF(B146="","",VLOOKUP(B146&amp;F146&amp;H146,经纬!A:N,14,FALSE)*N146)</f>
        <v>252.57082677165349</v>
      </c>
      <c r="N146" s="8">
        <v>6534</v>
      </c>
      <c r="R146" s="250">
        <f t="shared" si="11"/>
        <v>10</v>
      </c>
    </row>
    <row r="147" spans="1:18" outlineLevel="1">
      <c r="A147" s="4">
        <v>147</v>
      </c>
      <c r="B147" s="89" t="s">
        <v>1092</v>
      </c>
      <c r="C147" s="8" t="str">
        <f>IF(B147="","",VLOOKUP(B147,经纬!B:C,2,FALSE))</f>
        <v>50*50</v>
      </c>
      <c r="D147" s="8">
        <f>IF(B147="","",VLOOKUP(B147,经纬!B:G,6,FALSE))</f>
        <v>37</v>
      </c>
      <c r="E147" s="8" t="str">
        <f t="shared" si="8"/>
        <v>190.5</v>
      </c>
      <c r="F147" s="8" t="s">
        <v>2</v>
      </c>
      <c r="G147" s="8" t="s">
        <v>287</v>
      </c>
      <c r="H147" s="89" t="s">
        <v>197</v>
      </c>
      <c r="I147" s="23">
        <v>43749</v>
      </c>
      <c r="J147" s="105" t="str">
        <f t="shared" si="9"/>
        <v>50</v>
      </c>
      <c r="K147" s="105" t="str">
        <f t="shared" si="10"/>
        <v>50</v>
      </c>
      <c r="L147" s="104">
        <f>IF(B147="","",VLOOKUP(B147&amp;F147&amp;H147,经纬!A:M,13,FALSE)*N147)</f>
        <v>373.02334999999999</v>
      </c>
      <c r="M147" s="104">
        <f>IF(B147="","",VLOOKUP(B147&amp;F147&amp;H147,经纬!A:N,14,FALSE)*N147)</f>
        <v>248.52038221784775</v>
      </c>
      <c r="N147" s="8">
        <v>12425</v>
      </c>
      <c r="R147" s="250">
        <f t="shared" si="11"/>
        <v>10</v>
      </c>
    </row>
    <row r="148" spans="1:18" outlineLevel="1">
      <c r="A148" s="4">
        <v>148</v>
      </c>
      <c r="B148" s="89" t="s">
        <v>1092</v>
      </c>
      <c r="C148" s="8" t="str">
        <f>IF(B148="","",VLOOKUP(B148,经纬!B:C,2,FALSE))</f>
        <v>50*50</v>
      </c>
      <c r="D148" s="8">
        <f>IF(B148="","",VLOOKUP(B148,经纬!B:G,6,FALSE))</f>
        <v>37</v>
      </c>
      <c r="E148" s="8" t="str">
        <f t="shared" si="8"/>
        <v>190.5</v>
      </c>
      <c r="F148" s="8" t="s">
        <v>1</v>
      </c>
      <c r="G148" s="8" t="s">
        <v>287</v>
      </c>
      <c r="H148" s="89" t="s">
        <v>197</v>
      </c>
      <c r="I148" s="23">
        <v>43749</v>
      </c>
      <c r="J148" s="105" t="str">
        <f t="shared" si="9"/>
        <v>50</v>
      </c>
      <c r="K148" s="105" t="str">
        <f t="shared" si="10"/>
        <v>50</v>
      </c>
      <c r="L148" s="104">
        <f>IF(B148="","",VLOOKUP(B148&amp;F148&amp;H148,经纬!A:M,13,FALSE)*N148)</f>
        <v>172.47639000000001</v>
      </c>
      <c r="M148" s="104">
        <f>IF(B148="","",VLOOKUP(B148&amp;F148&amp;H148,经纬!A:N,14,FALSE)*N148)</f>
        <v>114.90942421259841</v>
      </c>
      <c r="N148" s="8">
        <v>5745</v>
      </c>
      <c r="R148" s="250">
        <f t="shared" si="11"/>
        <v>10</v>
      </c>
    </row>
    <row r="149" spans="1:18" outlineLevel="1">
      <c r="A149" s="4">
        <v>149</v>
      </c>
      <c r="B149" s="89" t="s">
        <v>1093</v>
      </c>
      <c r="C149" s="8" t="str">
        <f>IF(B149="","",VLOOKUP(B149,经纬!B:C,2,FALSE))</f>
        <v>75*75</v>
      </c>
      <c r="D149" s="8">
        <f>IF(B149="","",VLOOKUP(B149,经纬!B:G,6,FALSE))</f>
        <v>43</v>
      </c>
      <c r="E149" s="8" t="str">
        <f t="shared" si="8"/>
        <v>190.5</v>
      </c>
      <c r="F149" s="8" t="s">
        <v>2</v>
      </c>
      <c r="G149" s="8" t="s">
        <v>287</v>
      </c>
      <c r="H149" s="89" t="s">
        <v>197</v>
      </c>
      <c r="I149" s="23">
        <v>43749</v>
      </c>
      <c r="J149" s="105" t="str">
        <f t="shared" si="9"/>
        <v>75</v>
      </c>
      <c r="K149" s="105" t="str">
        <f t="shared" si="10"/>
        <v>75</v>
      </c>
      <c r="L149" s="104">
        <f>IF(B149="","",VLOOKUP(B149&amp;F149&amp;H149,经纬!A:M,13,FALSE)*N149)</f>
        <v>213.76649999999998</v>
      </c>
      <c r="M149" s="104">
        <f>IF(B149="","",VLOOKUP(B149&amp;F149&amp;H149,经纬!A:N,14,FALSE)*N149)</f>
        <v>163.68196358267713</v>
      </c>
      <c r="N149" s="8">
        <v>6225</v>
      </c>
      <c r="R149" s="250">
        <f t="shared" si="11"/>
        <v>10</v>
      </c>
    </row>
    <row r="150" spans="1:18" outlineLevel="1">
      <c r="A150" s="4">
        <v>150</v>
      </c>
      <c r="B150" s="89" t="s">
        <v>1115</v>
      </c>
      <c r="C150" s="8" t="str">
        <f>IF(B150="","",VLOOKUP(B150,经纬!B:C,2,FALSE))</f>
        <v>75*150</v>
      </c>
      <c r="D150" s="8">
        <f>IF(B150="","",VLOOKUP(B150,经纬!B:G,6,FALSE))</f>
        <v>54</v>
      </c>
      <c r="E150" s="8" t="str">
        <f t="shared" si="8"/>
        <v>190.5</v>
      </c>
      <c r="F150" s="8" t="s">
        <v>2</v>
      </c>
      <c r="G150" s="8" t="s">
        <v>287</v>
      </c>
      <c r="H150" s="89" t="s">
        <v>2444</v>
      </c>
      <c r="I150" s="23">
        <v>43749</v>
      </c>
      <c r="J150" s="105" t="str">
        <f t="shared" si="9"/>
        <v>75</v>
      </c>
      <c r="K150" s="105" t="str">
        <f t="shared" si="10"/>
        <v>150</v>
      </c>
      <c r="L150" s="104">
        <f>IF(B150="","",VLOOKUP(B150&amp;F150&amp;H150,经纬!A:M,13,FALSE)*N150)</f>
        <v>67.649799999999985</v>
      </c>
      <c r="M150" s="104">
        <f>IF(B150="","",VLOOKUP(B150&amp;F150&amp;H150,经纬!A:N,14,FALSE)*N150)</f>
        <v>77.035531496062987</v>
      </c>
      <c r="N150" s="8">
        <v>1970</v>
      </c>
      <c r="R150" s="250">
        <f t="shared" si="11"/>
        <v>10</v>
      </c>
    </row>
    <row r="151" spans="1:18" outlineLevel="1">
      <c r="A151" s="4">
        <v>151</v>
      </c>
      <c r="B151" s="89" t="s">
        <v>1120</v>
      </c>
      <c r="C151" s="8" t="str">
        <f>IF(B151="","",VLOOKUP(B151,经纬!B:C,2,FALSE))</f>
        <v>75*150</v>
      </c>
      <c r="D151" s="8">
        <f>IF(B151="","",VLOOKUP(B151,经纬!B:G,6,FALSE))</f>
        <v>58</v>
      </c>
      <c r="E151" s="8" t="str">
        <f t="shared" si="8"/>
        <v>190.5</v>
      </c>
      <c r="F151" s="8" t="s">
        <v>2</v>
      </c>
      <c r="G151" s="8" t="s">
        <v>287</v>
      </c>
      <c r="H151" s="89" t="s">
        <v>197</v>
      </c>
      <c r="I151" s="23">
        <v>43749</v>
      </c>
      <c r="J151" s="105" t="str">
        <f t="shared" si="9"/>
        <v>75</v>
      </c>
      <c r="K151" s="105" t="str">
        <f t="shared" si="10"/>
        <v>150</v>
      </c>
      <c r="L151" s="104">
        <f>IF(B151="","",VLOOKUP(B151&amp;F151&amp;H151,经纬!A:M,13,FALSE)*N151)</f>
        <v>208.99323999999999</v>
      </c>
      <c r="M151" s="104">
        <f>IF(B151="","",VLOOKUP(B151&amp;F151&amp;H151,经纬!A:N,14,FALSE)*N151)</f>
        <v>258.50524606299211</v>
      </c>
      <c r="N151" s="8">
        <v>6086</v>
      </c>
      <c r="R151" s="250">
        <f t="shared" si="11"/>
        <v>10</v>
      </c>
    </row>
    <row r="152" spans="1:18" outlineLevel="1">
      <c r="A152" s="4">
        <v>152</v>
      </c>
      <c r="B152" s="89" t="s">
        <v>1093</v>
      </c>
      <c r="C152" s="8" t="str">
        <f>IF(B152="","",VLOOKUP(B152,经纬!B:C,2,FALSE))</f>
        <v>75*75</v>
      </c>
      <c r="D152" s="8">
        <f>IF(B152="","",VLOOKUP(B152,经纬!B:G,6,FALSE))</f>
        <v>43</v>
      </c>
      <c r="E152" s="8" t="str">
        <f t="shared" si="8"/>
        <v>190.5</v>
      </c>
      <c r="F152" s="8" t="s">
        <v>1</v>
      </c>
      <c r="G152" s="8" t="s">
        <v>287</v>
      </c>
      <c r="H152" s="89" t="s">
        <v>197</v>
      </c>
      <c r="I152" s="23">
        <v>43749</v>
      </c>
      <c r="J152" s="105" t="str">
        <f t="shared" si="9"/>
        <v>75</v>
      </c>
      <c r="K152" s="105" t="str">
        <f t="shared" si="10"/>
        <v>75</v>
      </c>
      <c r="L152" s="104">
        <f>IF(B152="","",VLOOKUP(B152&amp;F152&amp;H152,经纬!A:M,13,FALSE)*N152)</f>
        <v>484.19399999999996</v>
      </c>
      <c r="M152" s="104">
        <f>IF(B152="","",VLOOKUP(B152&amp;F152&amp;H152,经纬!A:N,14,FALSE)*N152)</f>
        <v>370.74950787401571</v>
      </c>
      <c r="N152" s="8">
        <v>14100</v>
      </c>
      <c r="R152" s="250">
        <f t="shared" si="11"/>
        <v>10</v>
      </c>
    </row>
    <row r="153" spans="1:18" outlineLevel="1">
      <c r="A153" s="4">
        <v>153</v>
      </c>
      <c r="B153" s="90" t="s">
        <v>1115</v>
      </c>
      <c r="C153" s="8" t="str">
        <f>IF(B153="","",VLOOKUP(B153,经纬!B:C,2,FALSE))</f>
        <v>75*150</v>
      </c>
      <c r="D153" s="8">
        <f>IF(B153="","",VLOOKUP(B153,经纬!B:G,6,FALSE))</f>
        <v>54</v>
      </c>
      <c r="E153" s="8" t="str">
        <f t="shared" si="8"/>
        <v>190.5</v>
      </c>
      <c r="F153" s="8" t="s">
        <v>1</v>
      </c>
      <c r="G153" s="8" t="s">
        <v>287</v>
      </c>
      <c r="H153" s="89" t="s">
        <v>2444</v>
      </c>
      <c r="I153" s="23">
        <v>43749</v>
      </c>
      <c r="J153" s="105" t="str">
        <f t="shared" si="9"/>
        <v>75</v>
      </c>
      <c r="K153" s="105" t="str">
        <f t="shared" si="10"/>
        <v>150</v>
      </c>
      <c r="L153" s="104">
        <f>IF(B153="","",VLOOKUP(B153&amp;F153&amp;H153,经纬!A:M,13,FALSE)*N153)</f>
        <v>659.32799999999986</v>
      </c>
      <c r="M153" s="104">
        <f>IF(B153="","",VLOOKUP(B153&amp;F153&amp;H153,经纬!A:N,14,FALSE)*N153)</f>
        <v>750.80314960629914</v>
      </c>
      <c r="N153" s="8">
        <v>19200</v>
      </c>
      <c r="R153" s="250">
        <f t="shared" si="11"/>
        <v>10</v>
      </c>
    </row>
    <row r="154" spans="1:18" outlineLevel="1">
      <c r="A154" s="4">
        <v>154</v>
      </c>
      <c r="B154" s="90" t="s">
        <v>1098</v>
      </c>
      <c r="C154" s="8" t="str">
        <f>IF(B154="","",VLOOKUP(B154,经纬!B:C,2,FALSE))</f>
        <v>75*300</v>
      </c>
      <c r="D154" s="8">
        <f>IF(B154="","",VLOOKUP(B154,经纬!B:G,6,FALSE))</f>
        <v>70</v>
      </c>
      <c r="E154" s="8" t="str">
        <f t="shared" si="8"/>
        <v>190.5</v>
      </c>
      <c r="F154" s="8" t="s">
        <v>1</v>
      </c>
      <c r="G154" s="8" t="s">
        <v>287</v>
      </c>
      <c r="H154" s="89" t="s">
        <v>197</v>
      </c>
      <c r="I154" s="23">
        <v>43749</v>
      </c>
      <c r="J154" s="105" t="str">
        <f t="shared" si="9"/>
        <v>75</v>
      </c>
      <c r="K154" s="105" t="str">
        <f t="shared" si="10"/>
        <v>300</v>
      </c>
      <c r="L154" s="104">
        <f>IF(B154="","",VLOOKUP(B154&amp;F154&amp;H154,经纬!A:M,13,FALSE)*N154)</f>
        <v>324.37563999999998</v>
      </c>
      <c r="M154" s="104">
        <f>IF(B154="","",VLOOKUP(B154&amp;F154&amp;H154,经纬!A:N,14,FALSE)*N154)</f>
        <v>585.91232283464558</v>
      </c>
      <c r="N154" s="8">
        <v>9446</v>
      </c>
      <c r="R154" s="250">
        <f t="shared" si="11"/>
        <v>10</v>
      </c>
    </row>
    <row r="155" spans="1:18" outlineLevel="1">
      <c r="A155" s="4">
        <v>155</v>
      </c>
      <c r="B155" s="91" t="s">
        <v>1117</v>
      </c>
      <c r="C155" s="8" t="str">
        <f>IF(B155="","",VLOOKUP(B155,经纬!B:C,2,FALSE))</f>
        <v>200*300</v>
      </c>
      <c r="D155" s="8">
        <f>IF(B155="","",VLOOKUP(B155,经纬!B:G,6,FALSE))</f>
        <v>116</v>
      </c>
      <c r="E155" s="8" t="str">
        <f t="shared" si="8"/>
        <v>180</v>
      </c>
      <c r="F155" s="8" t="s">
        <v>2</v>
      </c>
      <c r="G155" s="8" t="s">
        <v>287</v>
      </c>
      <c r="H155" s="89" t="s">
        <v>2444</v>
      </c>
      <c r="I155" s="23">
        <v>43749</v>
      </c>
      <c r="J155" s="105" t="str">
        <f t="shared" si="9"/>
        <v>200</v>
      </c>
      <c r="K155" s="105" t="str">
        <f t="shared" si="10"/>
        <v>300</v>
      </c>
      <c r="L155" s="104">
        <f>IF(B155="","",VLOOKUP(B155&amp;F155&amp;H155,经纬!A:M,13,FALSE)*N155)</f>
        <v>536.74666666666667</v>
      </c>
      <c r="M155" s="104">
        <f>IF(B155="","",VLOOKUP(B155&amp;F155&amp;H155,经纬!A:N,14,FALSE)*N155)</f>
        <v>483.14960629921256</v>
      </c>
      <c r="N155" s="8">
        <v>6400</v>
      </c>
      <c r="R155" s="250">
        <f t="shared" si="11"/>
        <v>10</v>
      </c>
    </row>
    <row r="156" spans="1:18" outlineLevel="1">
      <c r="A156" s="4">
        <v>156</v>
      </c>
      <c r="B156" s="89" t="s">
        <v>1107</v>
      </c>
      <c r="C156" s="8" t="str">
        <f>IF(B156="","",VLOOKUP(B156,经纬!B:C,2,FALSE))</f>
        <v>200*300</v>
      </c>
      <c r="D156" s="8">
        <f>IF(B156="","",VLOOKUP(B156,经纬!B:G,6,FALSE))</f>
        <v>135</v>
      </c>
      <c r="E156" s="8" t="str">
        <f t="shared" si="8"/>
        <v>180</v>
      </c>
      <c r="F156" s="8" t="s">
        <v>2</v>
      </c>
      <c r="G156" s="8" t="s">
        <v>287</v>
      </c>
      <c r="H156" s="89" t="s">
        <v>2444</v>
      </c>
      <c r="I156" s="23">
        <v>43749</v>
      </c>
      <c r="J156" s="105" t="str">
        <f t="shared" si="9"/>
        <v>200</v>
      </c>
      <c r="K156" s="105" t="str">
        <f t="shared" si="10"/>
        <v>300</v>
      </c>
      <c r="L156" s="104">
        <f>IF(B156="","",VLOOKUP(B156&amp;F156&amp;H156,经纬!A:M,13,FALSE)*N156)</f>
        <v>684.83072000000004</v>
      </c>
      <c r="M156" s="104">
        <f>IF(B156="","",VLOOKUP(B156&amp;F156&amp;H156,经纬!A:N,14,FALSE)*N156)</f>
        <v>884.48622047244089</v>
      </c>
      <c r="N156" s="8">
        <v>8430</v>
      </c>
      <c r="R156" s="250">
        <f t="shared" si="11"/>
        <v>10</v>
      </c>
    </row>
    <row r="157" spans="1:18" outlineLevel="1">
      <c r="A157" s="4">
        <v>157</v>
      </c>
      <c r="B157" s="89" t="s">
        <v>1107</v>
      </c>
      <c r="C157" s="8" t="str">
        <f>IF(B157="","",VLOOKUP(B157,经纬!B:C,2,FALSE))</f>
        <v>200*300</v>
      </c>
      <c r="D157" s="8">
        <f>IF(B157="","",VLOOKUP(B157,经纬!B:G,6,FALSE))</f>
        <v>135</v>
      </c>
      <c r="E157" s="8" t="str">
        <f t="shared" si="8"/>
        <v>180</v>
      </c>
      <c r="F157" s="8" t="s">
        <v>1</v>
      </c>
      <c r="G157" s="8" t="s">
        <v>287</v>
      </c>
      <c r="H157" s="89" t="s">
        <v>2444</v>
      </c>
      <c r="I157" s="23">
        <v>43749</v>
      </c>
      <c r="J157" s="105" t="str">
        <f t="shared" si="9"/>
        <v>200</v>
      </c>
      <c r="K157" s="105" t="str">
        <f t="shared" si="10"/>
        <v>300</v>
      </c>
      <c r="L157" s="104">
        <f>IF(B157="","",VLOOKUP(B157&amp;F157&amp;H157,经纬!A:M,13,FALSE)*N157)</f>
        <v>625.52746666666678</v>
      </c>
      <c r="M157" s="104">
        <f>IF(B157="","",VLOOKUP(B157&amp;F157&amp;H157,经纬!A:N,14,FALSE)*N157)</f>
        <v>807.8937007874016</v>
      </c>
      <c r="N157" s="8">
        <v>7700</v>
      </c>
      <c r="R157" s="250">
        <f t="shared" si="11"/>
        <v>10</v>
      </c>
    </row>
    <row r="158" spans="1:18" outlineLevel="1">
      <c r="A158" s="4">
        <v>158</v>
      </c>
      <c r="B158" s="89" t="s">
        <v>1095</v>
      </c>
      <c r="C158" s="8" t="str">
        <f>IF(B158="","",VLOOKUP(B158,经纬!B:C,2,FALSE))</f>
        <v>20*20</v>
      </c>
      <c r="D158" s="8">
        <f>IF(B158="","",VLOOKUP(B158,经纬!B:G,6,FALSE))</f>
        <v>17</v>
      </c>
      <c r="E158" s="8" t="str">
        <f t="shared" si="8"/>
        <v>197</v>
      </c>
      <c r="F158" s="8" t="s">
        <v>2</v>
      </c>
      <c r="G158" s="8" t="s">
        <v>1075</v>
      </c>
      <c r="H158" s="89" t="s">
        <v>1110</v>
      </c>
      <c r="I158" s="23">
        <v>43749</v>
      </c>
      <c r="J158" s="105" t="str">
        <f t="shared" si="9"/>
        <v>20</v>
      </c>
      <c r="K158" s="105" t="str">
        <f t="shared" si="10"/>
        <v>20</v>
      </c>
      <c r="L158" s="104">
        <f>IF(B158="","",VLOOKUP(B158&amp;F158&amp;H158,经纬!A:M,13,FALSE)*N158)</f>
        <v>151.73088426666666</v>
      </c>
      <c r="M158" s="104">
        <f>IF(B158="","",VLOOKUP(B158&amp;F158&amp;H158,经纬!A:N,14,FALSE)*N158)</f>
        <v>111.04274365704286</v>
      </c>
      <c r="N158" s="8">
        <v>11296</v>
      </c>
      <c r="R158" s="250">
        <f t="shared" si="11"/>
        <v>10</v>
      </c>
    </row>
    <row r="159" spans="1:18" outlineLevel="1">
      <c r="A159" s="4">
        <v>159</v>
      </c>
      <c r="B159" s="89" t="s">
        <v>1095</v>
      </c>
      <c r="C159" s="8" t="str">
        <f>IF(B159="","",VLOOKUP(B159,经纬!B:C,2,FALSE))</f>
        <v>20*20</v>
      </c>
      <c r="D159" s="8">
        <f>IF(B159="","",VLOOKUP(B159,经纬!B:G,6,FALSE))</f>
        <v>17</v>
      </c>
      <c r="E159" s="8" t="str">
        <f t="shared" si="8"/>
        <v>197</v>
      </c>
      <c r="F159" s="8" t="s">
        <v>2</v>
      </c>
      <c r="G159" s="8" t="s">
        <v>282</v>
      </c>
      <c r="H159" s="89" t="s">
        <v>1110</v>
      </c>
      <c r="I159" s="23">
        <v>43749</v>
      </c>
      <c r="J159" s="105" t="str">
        <f t="shared" si="9"/>
        <v>20</v>
      </c>
      <c r="K159" s="105" t="str">
        <f t="shared" si="10"/>
        <v>20</v>
      </c>
      <c r="L159" s="104">
        <f>IF(B159="","",VLOOKUP(B159&amp;F159&amp;H159,经纬!A:M,13,FALSE)*N159)</f>
        <v>46.327887733333334</v>
      </c>
      <c r="M159" s="104">
        <f>IF(B159="","",VLOOKUP(B159&amp;F159&amp;H159,经纬!A:N,14,FALSE)*N159)</f>
        <v>33.904605424321957</v>
      </c>
      <c r="N159" s="8">
        <v>3449</v>
      </c>
      <c r="R159" s="250">
        <f t="shared" si="11"/>
        <v>10</v>
      </c>
    </row>
    <row r="160" spans="1:18" outlineLevel="1">
      <c r="A160" s="4">
        <v>160</v>
      </c>
      <c r="B160" s="89" t="s">
        <v>1123</v>
      </c>
      <c r="C160" s="8" t="str">
        <f>IF(B160="","",VLOOKUP(B160,经纬!B:C,2,FALSE))</f>
        <v>30*30</v>
      </c>
      <c r="D160" s="8">
        <f>IF(B160="","",VLOOKUP(B160,经纬!B:G,6,FALSE))</f>
        <v>23</v>
      </c>
      <c r="E160" s="8" t="str">
        <f t="shared" si="8"/>
        <v>192</v>
      </c>
      <c r="F160" s="8" t="s">
        <v>2</v>
      </c>
      <c r="G160" s="8" t="s">
        <v>282</v>
      </c>
      <c r="H160" s="89" t="s">
        <v>1110</v>
      </c>
      <c r="I160" s="23">
        <v>43749</v>
      </c>
      <c r="J160" s="105" t="str">
        <f t="shared" si="9"/>
        <v>30</v>
      </c>
      <c r="K160" s="105" t="str">
        <f t="shared" si="10"/>
        <v>30</v>
      </c>
      <c r="L160" s="104">
        <f>IF(B160="","",VLOOKUP(B160&amp;F160&amp;H160,经纬!A:M,13,FALSE)*N160)</f>
        <v>19.821048000000005</v>
      </c>
      <c r="M160" s="104">
        <f>IF(B160="","",VLOOKUP(B160&amp;F160&amp;H160,经纬!A:N,14,FALSE)*N160)</f>
        <v>12.895393700787404</v>
      </c>
      <c r="N160" s="8">
        <v>1010</v>
      </c>
      <c r="R160" s="250">
        <f t="shared" si="11"/>
        <v>10</v>
      </c>
    </row>
    <row r="161" spans="1:18" outlineLevel="1">
      <c r="A161" s="4">
        <v>161</v>
      </c>
      <c r="B161" s="89" t="s">
        <v>1093</v>
      </c>
      <c r="C161" s="8" t="str">
        <f>IF(B161="","",VLOOKUP(B161,经纬!B:C,2,FALSE))</f>
        <v>75*75</v>
      </c>
      <c r="D161" s="8">
        <f>IF(B161="","",VLOOKUP(B161,经纬!B:G,6,FALSE))</f>
        <v>43</v>
      </c>
      <c r="E161" s="8" t="str">
        <f t="shared" si="8"/>
        <v>190.5</v>
      </c>
      <c r="F161" s="8" t="s">
        <v>2</v>
      </c>
      <c r="G161" s="8" t="s">
        <v>282</v>
      </c>
      <c r="H161" s="89" t="s">
        <v>197</v>
      </c>
      <c r="I161" s="23">
        <v>43749</v>
      </c>
      <c r="J161" s="105" t="str">
        <f t="shared" si="9"/>
        <v>75</v>
      </c>
      <c r="K161" s="105" t="str">
        <f t="shared" si="10"/>
        <v>75</v>
      </c>
      <c r="L161" s="104">
        <f>IF(B161="","",VLOOKUP(B161&amp;F161&amp;H161,经纬!A:M,13,FALSE)*N161)</f>
        <v>221.18393999999998</v>
      </c>
      <c r="M161" s="104">
        <f>IF(B161="","",VLOOKUP(B161&amp;F161&amp;H161,经纬!A:N,14,FALSE)*N161)</f>
        <v>169.361530511811</v>
      </c>
      <c r="N161" s="8">
        <v>6441</v>
      </c>
      <c r="R161" s="250">
        <f t="shared" si="11"/>
        <v>10</v>
      </c>
    </row>
    <row r="162" spans="1:18" outlineLevel="1">
      <c r="A162" s="4">
        <v>162</v>
      </c>
      <c r="B162" s="89" t="s">
        <v>1098</v>
      </c>
      <c r="C162" s="8" t="str">
        <f>IF(B162="","",VLOOKUP(B162,经纬!B:C,2,FALSE))</f>
        <v>75*300</v>
      </c>
      <c r="D162" s="8">
        <f>IF(B162="","",VLOOKUP(B162,经纬!B:G,6,FALSE))</f>
        <v>70</v>
      </c>
      <c r="E162" s="8" t="str">
        <f t="shared" si="8"/>
        <v>190.5</v>
      </c>
      <c r="F162" s="8" t="s">
        <v>1</v>
      </c>
      <c r="G162" s="8" t="s">
        <v>282</v>
      </c>
      <c r="H162" s="89" t="s">
        <v>197</v>
      </c>
      <c r="I162" s="23">
        <v>43749</v>
      </c>
      <c r="J162" s="105" t="str">
        <f t="shared" si="9"/>
        <v>75</v>
      </c>
      <c r="K162" s="105" t="str">
        <f t="shared" si="10"/>
        <v>300</v>
      </c>
      <c r="L162" s="104">
        <f>IF(B162="","",VLOOKUP(B162&amp;F162&amp;H162,经纬!A:M,13,FALSE)*N162)</f>
        <v>37.190219999999997</v>
      </c>
      <c r="M162" s="104">
        <f>IF(B162="","",VLOOKUP(B162&amp;F162&amp;H162,经纬!A:N,14,FALSE)*N162)</f>
        <v>67.175846456692909</v>
      </c>
      <c r="N162" s="8">
        <v>1083</v>
      </c>
      <c r="R162" s="250">
        <f t="shared" si="11"/>
        <v>10</v>
      </c>
    </row>
    <row r="163" spans="1:18" outlineLevel="1">
      <c r="A163" s="4">
        <v>163</v>
      </c>
      <c r="B163" s="89" t="s">
        <v>1096</v>
      </c>
      <c r="C163" s="8" t="str">
        <f>IF(B163="","",VLOOKUP(B163,经纬!B:C,2,FALSE))</f>
        <v>30*30</v>
      </c>
      <c r="D163" s="8">
        <f>IF(B163="","",VLOOKUP(B163,经纬!B:G,6,FALSE))</f>
        <v>23</v>
      </c>
      <c r="E163" s="8" t="str">
        <f t="shared" si="8"/>
        <v>190</v>
      </c>
      <c r="F163" s="8" t="s">
        <v>2</v>
      </c>
      <c r="G163" s="8" t="s">
        <v>387</v>
      </c>
      <c r="H163" s="89" t="s">
        <v>1110</v>
      </c>
      <c r="I163" s="23">
        <v>43750</v>
      </c>
      <c r="J163" s="105" t="str">
        <f t="shared" si="9"/>
        <v>30</v>
      </c>
      <c r="K163" s="105" t="str">
        <f t="shared" si="10"/>
        <v>30</v>
      </c>
      <c r="L163" s="104">
        <f>IF(B163="","",VLOOKUP(B163&amp;F163&amp;H163,经纬!A:M,13,FALSE)*N163)</f>
        <v>190.0623392</v>
      </c>
      <c r="M163" s="104">
        <f>IF(B163="","",VLOOKUP(B163&amp;F163&amp;H163,经纬!A:N,14,FALSE)*N163)</f>
        <v>149.48643044619422</v>
      </c>
      <c r="N163" s="8">
        <v>10484</v>
      </c>
      <c r="R163" s="250">
        <f t="shared" si="11"/>
        <v>10</v>
      </c>
    </row>
    <row r="164" spans="1:18" outlineLevel="1">
      <c r="A164" s="4">
        <v>164</v>
      </c>
      <c r="B164" s="89" t="s">
        <v>1124</v>
      </c>
      <c r="C164" s="8" t="str">
        <f>IF(B164="","",VLOOKUP(B164,经纬!B:C,2,FALSE))</f>
        <v>20*20</v>
      </c>
      <c r="D164" s="8">
        <f>IF(B164="","",VLOOKUP(B164,经纬!B:G,6,FALSE))</f>
        <v>17</v>
      </c>
      <c r="E164" s="8" t="str">
        <f t="shared" si="8"/>
        <v>146</v>
      </c>
      <c r="F164" s="8" t="s">
        <v>2</v>
      </c>
      <c r="G164" s="8" t="s">
        <v>287</v>
      </c>
      <c r="H164" s="89" t="s">
        <v>1110</v>
      </c>
      <c r="I164" s="23">
        <v>43750</v>
      </c>
      <c r="J164" s="105" t="str">
        <f t="shared" si="9"/>
        <v>20</v>
      </c>
      <c r="K164" s="105" t="str">
        <f t="shared" si="10"/>
        <v>20</v>
      </c>
      <c r="L164" s="104">
        <f>IF(B164="","",VLOOKUP(B164&amp;F164&amp;H164,经纬!A:M,13,FALSE)*N164)</f>
        <v>93.717101333333332</v>
      </c>
      <c r="M164" s="104">
        <f>IF(B164="","",VLOOKUP(B164&amp;F164&amp;H164,经纬!A:N,14,FALSE)*N164)</f>
        <v>67.98777865266841</v>
      </c>
      <c r="N164" s="8">
        <v>9107</v>
      </c>
      <c r="R164" s="250">
        <f t="shared" si="11"/>
        <v>10</v>
      </c>
    </row>
    <row r="165" spans="1:18" outlineLevel="1">
      <c r="A165" s="4">
        <v>165</v>
      </c>
      <c r="B165" s="89" t="s">
        <v>1096</v>
      </c>
      <c r="C165" s="8" t="str">
        <f>IF(B165="","",VLOOKUP(B165,经纬!B:C,2,FALSE))</f>
        <v>30*30</v>
      </c>
      <c r="D165" s="8">
        <f>IF(B165="","",VLOOKUP(B165,经纬!B:G,6,FALSE))</f>
        <v>23</v>
      </c>
      <c r="E165" s="8" t="str">
        <f t="shared" si="8"/>
        <v>190</v>
      </c>
      <c r="F165" s="8" t="s">
        <v>2</v>
      </c>
      <c r="G165" s="8" t="s">
        <v>287</v>
      </c>
      <c r="H165" s="89" t="s">
        <v>197</v>
      </c>
      <c r="I165" s="23">
        <v>43750</v>
      </c>
      <c r="J165" s="105" t="str">
        <f t="shared" si="9"/>
        <v>30</v>
      </c>
      <c r="K165" s="105" t="str">
        <f t="shared" si="10"/>
        <v>30</v>
      </c>
      <c r="L165" s="104">
        <f>IF(B165="","",VLOOKUP(B165&amp;F165&amp;H165,经纬!A:M,13,FALSE)*N165)</f>
        <v>101.99262880000001</v>
      </c>
      <c r="M165" s="104">
        <f>IF(B165="","",VLOOKUP(B165&amp;F165&amp;H165,经纬!A:N,14,FALSE)*N165)</f>
        <v>40.109245406824144</v>
      </c>
      <c r="N165" s="8">
        <v>5626</v>
      </c>
      <c r="R165" s="250">
        <f t="shared" si="11"/>
        <v>10</v>
      </c>
    </row>
    <row r="166" spans="1:18" outlineLevel="1">
      <c r="A166" s="4">
        <v>166</v>
      </c>
      <c r="B166" s="89" t="s">
        <v>1092</v>
      </c>
      <c r="C166" s="8" t="str">
        <f>IF(B166="","",VLOOKUP(B166,经纬!B:C,2,FALSE))</f>
        <v>50*50</v>
      </c>
      <c r="D166" s="8">
        <f>IF(B166="","",VLOOKUP(B166,经纬!B:G,6,FALSE))</f>
        <v>37</v>
      </c>
      <c r="E166" s="8" t="str">
        <f t="shared" si="8"/>
        <v>190.5</v>
      </c>
      <c r="F166" s="8" t="s">
        <v>2</v>
      </c>
      <c r="G166" s="8" t="s">
        <v>287</v>
      </c>
      <c r="H166" s="89" t="s">
        <v>1110</v>
      </c>
      <c r="I166" s="23">
        <v>43750</v>
      </c>
      <c r="J166" s="105" t="str">
        <f t="shared" si="9"/>
        <v>50</v>
      </c>
      <c r="K166" s="105" t="str">
        <f t="shared" si="10"/>
        <v>50</v>
      </c>
      <c r="L166" s="104">
        <f>IF(B166="","",VLOOKUP(B166&amp;F166&amp;H166,经纬!A:M,13,FALSE)*N166)</f>
        <v>167.853002</v>
      </c>
      <c r="M166" s="104">
        <f>IF(B166="","",VLOOKUP(B166&amp;F166&amp;H166,经纬!A:N,14,FALSE)*N166)</f>
        <v>216.11929790026244</v>
      </c>
      <c r="N166" s="8">
        <v>5591</v>
      </c>
      <c r="R166" s="250">
        <f t="shared" si="11"/>
        <v>10</v>
      </c>
    </row>
    <row r="167" spans="1:18" outlineLevel="1">
      <c r="A167" s="4">
        <v>167</v>
      </c>
      <c r="B167" s="89" t="s">
        <v>1092</v>
      </c>
      <c r="C167" s="8" t="str">
        <f>IF(B167="","",VLOOKUP(B167,经纬!B:C,2,FALSE))</f>
        <v>50*50</v>
      </c>
      <c r="D167" s="8">
        <f>IF(B167="","",VLOOKUP(B167,经纬!B:G,6,FALSE))</f>
        <v>37</v>
      </c>
      <c r="E167" s="8" t="str">
        <f t="shared" si="8"/>
        <v>190.5</v>
      </c>
      <c r="F167" s="8" t="s">
        <v>2</v>
      </c>
      <c r="G167" s="8" t="s">
        <v>287</v>
      </c>
      <c r="H167" s="89" t="s">
        <v>197</v>
      </c>
      <c r="I167" s="23">
        <v>43750</v>
      </c>
      <c r="J167" s="105" t="str">
        <f t="shared" si="9"/>
        <v>50</v>
      </c>
      <c r="K167" s="105" t="str">
        <f t="shared" si="10"/>
        <v>50</v>
      </c>
      <c r="L167" s="104">
        <f>IF(B167="","",VLOOKUP(B167&amp;F167&amp;H167,经纬!A:M,13,FALSE)*N167)</f>
        <v>189.558908</v>
      </c>
      <c r="M167" s="104">
        <f>IF(B167="","",VLOOKUP(B167&amp;F167&amp;H167,经纬!A:N,14,FALSE)*N167)</f>
        <v>126.29035761154854</v>
      </c>
      <c r="N167" s="8">
        <v>6314</v>
      </c>
      <c r="R167" s="250">
        <f t="shared" si="11"/>
        <v>10</v>
      </c>
    </row>
    <row r="168" spans="1:18" outlineLevel="1">
      <c r="A168" s="4">
        <v>168</v>
      </c>
      <c r="B168" s="89" t="s">
        <v>1118</v>
      </c>
      <c r="C168" s="8" t="str">
        <f>IF(B168="","",VLOOKUP(B168,经纬!B:C,2,FALSE))</f>
        <v>50*75</v>
      </c>
      <c r="D168" s="8">
        <f>IF(B168="","",VLOOKUP(B168,经纬!B:G,6,FALSE))</f>
        <v>44</v>
      </c>
      <c r="E168" s="8" t="str">
        <f t="shared" si="8"/>
        <v>190</v>
      </c>
      <c r="F168" s="8" t="s">
        <v>2</v>
      </c>
      <c r="G168" s="8" t="s">
        <v>287</v>
      </c>
      <c r="H168" s="89" t="s">
        <v>1110</v>
      </c>
      <c r="I168" s="23">
        <v>43750</v>
      </c>
      <c r="J168" s="105" t="str">
        <f t="shared" si="9"/>
        <v>50</v>
      </c>
      <c r="K168" s="105" t="str">
        <f t="shared" si="10"/>
        <v>75</v>
      </c>
      <c r="L168" s="104">
        <f>IF(B168="","",VLOOKUP(B168&amp;F168&amp;H168,经纬!A:M,13,FALSE)*N168)</f>
        <v>258.03908999999999</v>
      </c>
      <c r="M168" s="104">
        <f>IF(B168="","",VLOOKUP(B168&amp;F168&amp;H168,经纬!A:N,14,FALSE)*N168)</f>
        <v>468.24138779527556</v>
      </c>
      <c r="N168" s="8">
        <v>8595</v>
      </c>
      <c r="R168" s="250">
        <f t="shared" si="11"/>
        <v>10</v>
      </c>
    </row>
    <row r="169" spans="1:18" outlineLevel="1">
      <c r="A169" s="4">
        <v>169</v>
      </c>
      <c r="B169" s="89" t="s">
        <v>1092</v>
      </c>
      <c r="C169" s="8" t="str">
        <f>IF(B169="","",VLOOKUP(B169,经纬!B:C,2,FALSE))</f>
        <v>50*50</v>
      </c>
      <c r="D169" s="8">
        <f>IF(B169="","",VLOOKUP(B169,经纬!B:G,6,FALSE))</f>
        <v>37</v>
      </c>
      <c r="E169" s="8" t="str">
        <f t="shared" si="8"/>
        <v>190.5</v>
      </c>
      <c r="F169" s="8" t="s">
        <v>1</v>
      </c>
      <c r="G169" s="8" t="s">
        <v>287</v>
      </c>
      <c r="H169" s="89" t="s">
        <v>1110</v>
      </c>
      <c r="I169" s="23">
        <v>43750</v>
      </c>
      <c r="J169" s="105" t="str">
        <f t="shared" si="9"/>
        <v>50</v>
      </c>
      <c r="K169" s="105" t="str">
        <f t="shared" si="10"/>
        <v>50</v>
      </c>
      <c r="L169" s="104">
        <f>IF(B169="","",VLOOKUP(B169&amp;F169&amp;H169,经纬!A:M,13,FALSE)*N169)</f>
        <v>558.10897999999997</v>
      </c>
      <c r="M169" s="104">
        <f>IF(B169="","",VLOOKUP(B169&amp;F169&amp;H169,经纬!A:N,14,FALSE)*N169)</f>
        <v>743.66099081364825</v>
      </c>
      <c r="N169" s="8">
        <v>18590</v>
      </c>
      <c r="R169" s="250">
        <f t="shared" si="11"/>
        <v>10</v>
      </c>
    </row>
    <row r="170" spans="1:18" outlineLevel="1">
      <c r="A170" s="4">
        <v>170</v>
      </c>
      <c r="B170" s="89" t="s">
        <v>1092</v>
      </c>
      <c r="C170" s="8" t="str">
        <f>IF(B170="","",VLOOKUP(B170,经纬!B:C,2,FALSE))</f>
        <v>50*50</v>
      </c>
      <c r="D170" s="8">
        <f>IF(B170="","",VLOOKUP(B170,经纬!B:G,6,FALSE))</f>
        <v>37</v>
      </c>
      <c r="E170" s="8" t="str">
        <f t="shared" si="8"/>
        <v>190.5</v>
      </c>
      <c r="F170" s="8" t="s">
        <v>1</v>
      </c>
      <c r="G170" s="8" t="s">
        <v>287</v>
      </c>
      <c r="H170" s="89" t="s">
        <v>197</v>
      </c>
      <c r="I170" s="23">
        <v>43750</v>
      </c>
      <c r="J170" s="105" t="str">
        <f t="shared" si="9"/>
        <v>50</v>
      </c>
      <c r="K170" s="105" t="str">
        <f t="shared" si="10"/>
        <v>50</v>
      </c>
      <c r="L170" s="104">
        <f>IF(B170="","",VLOOKUP(B170&amp;F170&amp;H170,经纬!A:M,13,FALSE)*N170)</f>
        <v>212.46569400000001</v>
      </c>
      <c r="M170" s="104">
        <f>IF(B170="","",VLOOKUP(B170&amp;F170&amp;H170,经纬!A:N,14,FALSE)*N170)</f>
        <v>141.5516092519685</v>
      </c>
      <c r="N170" s="8">
        <v>7077</v>
      </c>
      <c r="R170" s="250">
        <f t="shared" si="11"/>
        <v>10</v>
      </c>
    </row>
    <row r="171" spans="1:18" outlineLevel="1">
      <c r="A171" s="4">
        <v>171</v>
      </c>
      <c r="B171" s="90" t="s">
        <v>1093</v>
      </c>
      <c r="C171" s="8" t="str">
        <f>IF(B171="","",VLOOKUP(B171,经纬!B:C,2,FALSE))</f>
        <v>75*75</v>
      </c>
      <c r="D171" s="8">
        <f>IF(B171="","",VLOOKUP(B171,经纬!B:G,6,FALSE))</f>
        <v>43</v>
      </c>
      <c r="E171" s="8" t="str">
        <f t="shared" si="8"/>
        <v>190.5</v>
      </c>
      <c r="F171" s="8" t="s">
        <v>2</v>
      </c>
      <c r="G171" s="8" t="s">
        <v>287</v>
      </c>
      <c r="H171" s="89" t="s">
        <v>197</v>
      </c>
      <c r="I171" s="23">
        <v>43750</v>
      </c>
      <c r="J171" s="105" t="str">
        <f t="shared" si="9"/>
        <v>75</v>
      </c>
      <c r="K171" s="105" t="str">
        <f t="shared" si="10"/>
        <v>75</v>
      </c>
      <c r="L171" s="104">
        <f>IF(B171="","",VLOOKUP(B171&amp;F171&amp;H171,经纬!A:M,13,FALSE)*N171)</f>
        <v>98.967879999999994</v>
      </c>
      <c r="M171" s="104">
        <f>IF(B171="","",VLOOKUP(B171&amp;F171&amp;H171,经纬!A:N,14,FALSE)*N171)</f>
        <v>75.780147637795267</v>
      </c>
      <c r="N171" s="8">
        <v>2882</v>
      </c>
      <c r="R171" s="250">
        <f t="shared" si="11"/>
        <v>10</v>
      </c>
    </row>
    <row r="172" spans="1:18" outlineLevel="1">
      <c r="A172" s="4">
        <v>172</v>
      </c>
      <c r="B172" s="90" t="s">
        <v>1120</v>
      </c>
      <c r="C172" s="8" t="str">
        <f>IF(B172="","",VLOOKUP(B172,经纬!B:C,2,FALSE))</f>
        <v>75*150</v>
      </c>
      <c r="D172" s="8">
        <f>IF(B172="","",VLOOKUP(B172,经纬!B:G,6,FALSE))</f>
        <v>58</v>
      </c>
      <c r="E172" s="8" t="str">
        <f t="shared" si="8"/>
        <v>190.5</v>
      </c>
      <c r="F172" s="8" t="s">
        <v>2</v>
      </c>
      <c r="G172" s="8" t="s">
        <v>287</v>
      </c>
      <c r="H172" s="89" t="s">
        <v>197</v>
      </c>
      <c r="I172" s="23">
        <v>43750</v>
      </c>
      <c r="J172" s="105" t="str">
        <f t="shared" si="9"/>
        <v>75</v>
      </c>
      <c r="K172" s="105" t="str">
        <f t="shared" si="10"/>
        <v>150</v>
      </c>
      <c r="L172" s="104">
        <f>IF(B172="","",VLOOKUP(B172&amp;F172&amp;H172,经纬!A:M,13,FALSE)*N172)</f>
        <v>152.43525999999997</v>
      </c>
      <c r="M172" s="104">
        <f>IF(B172="","",VLOOKUP(B172&amp;F172&amp;H172,经纬!A:N,14,FALSE)*N172)</f>
        <v>188.54827263779526</v>
      </c>
      <c r="N172" s="8">
        <v>4439</v>
      </c>
      <c r="R172" s="250">
        <f t="shared" si="11"/>
        <v>10</v>
      </c>
    </row>
    <row r="173" spans="1:18" outlineLevel="1">
      <c r="A173" s="4">
        <v>173</v>
      </c>
      <c r="B173" s="91" t="s">
        <v>1093</v>
      </c>
      <c r="C173" s="8" t="str">
        <f>IF(B173="","",VLOOKUP(B173,经纬!B:C,2,FALSE))</f>
        <v>75*75</v>
      </c>
      <c r="D173" s="8">
        <f>IF(B173="","",VLOOKUP(B173,经纬!B:G,6,FALSE))</f>
        <v>43</v>
      </c>
      <c r="E173" s="8" t="str">
        <f t="shared" si="8"/>
        <v>190.5</v>
      </c>
      <c r="F173" s="8" t="s">
        <v>1</v>
      </c>
      <c r="G173" s="8" t="s">
        <v>287</v>
      </c>
      <c r="H173" s="89" t="s">
        <v>197</v>
      </c>
      <c r="I173" s="23">
        <v>43750</v>
      </c>
      <c r="J173" s="105" t="str">
        <f t="shared" si="9"/>
        <v>75</v>
      </c>
      <c r="K173" s="105" t="str">
        <f t="shared" si="10"/>
        <v>75</v>
      </c>
      <c r="L173" s="104">
        <f>IF(B173="","",VLOOKUP(B173&amp;F173&amp;H173,经纬!A:M,13,FALSE)*N173)</f>
        <v>366.06439999999998</v>
      </c>
      <c r="M173" s="104">
        <f>IF(B173="","",VLOOKUP(B173&amp;F173&amp;H173,经纬!A:N,14,FALSE)*N173)</f>
        <v>280.2971456692913</v>
      </c>
      <c r="N173" s="8">
        <v>10660</v>
      </c>
      <c r="R173" s="250">
        <f t="shared" si="11"/>
        <v>10</v>
      </c>
    </row>
    <row r="174" spans="1:18" outlineLevel="1">
      <c r="A174" s="4">
        <v>174</v>
      </c>
      <c r="B174" s="89" t="s">
        <v>1115</v>
      </c>
      <c r="C174" s="8" t="str">
        <f>IF(B174="","",VLOOKUP(B174,经纬!B:C,2,FALSE))</f>
        <v>75*150</v>
      </c>
      <c r="D174" s="8">
        <f>IF(B174="","",VLOOKUP(B174,经纬!B:G,6,FALSE))</f>
        <v>54</v>
      </c>
      <c r="E174" s="8" t="str">
        <f t="shared" si="8"/>
        <v>190.5</v>
      </c>
      <c r="F174" s="8" t="s">
        <v>1</v>
      </c>
      <c r="G174" s="8" t="s">
        <v>287</v>
      </c>
      <c r="H174" s="89" t="s">
        <v>197</v>
      </c>
      <c r="I174" s="23">
        <v>43750</v>
      </c>
      <c r="J174" s="105" t="str">
        <f t="shared" si="9"/>
        <v>75</v>
      </c>
      <c r="K174" s="105" t="str">
        <f t="shared" si="10"/>
        <v>150</v>
      </c>
      <c r="L174" s="104">
        <f>IF(B174="","",VLOOKUP(B174&amp;F174&amp;H174,经纬!A:M,13,FALSE)*N174)</f>
        <v>33.927919999999993</v>
      </c>
      <c r="M174" s="104">
        <f>IF(B174="","",VLOOKUP(B174&amp;F174&amp;H174,经纬!A:N,14,FALSE)*N174)</f>
        <v>38.635078740157475</v>
      </c>
      <c r="N174" s="8">
        <v>988</v>
      </c>
      <c r="R174" s="250">
        <f t="shared" si="11"/>
        <v>10</v>
      </c>
    </row>
    <row r="175" spans="1:18" outlineLevel="1">
      <c r="A175" s="4">
        <v>175</v>
      </c>
      <c r="B175" s="89" t="s">
        <v>1120</v>
      </c>
      <c r="C175" s="8" t="str">
        <f>IF(B175="","",VLOOKUP(B175,经纬!B:C,2,FALSE))</f>
        <v>75*150</v>
      </c>
      <c r="D175" s="8">
        <f>IF(B175="","",VLOOKUP(B175,经纬!B:G,6,FALSE))</f>
        <v>58</v>
      </c>
      <c r="E175" s="8" t="str">
        <f t="shared" si="8"/>
        <v>190.5</v>
      </c>
      <c r="F175" s="8" t="s">
        <v>1</v>
      </c>
      <c r="G175" s="8" t="s">
        <v>287</v>
      </c>
      <c r="H175" s="89" t="s">
        <v>197</v>
      </c>
      <c r="I175" s="23">
        <v>43750</v>
      </c>
      <c r="J175" s="105" t="str">
        <f t="shared" si="9"/>
        <v>75</v>
      </c>
      <c r="K175" s="105" t="str">
        <f t="shared" si="10"/>
        <v>150</v>
      </c>
      <c r="L175" s="104">
        <f>IF(B175="","",VLOOKUP(B175&amp;F175&amp;H175,经纬!A:M,13,FALSE)*N175)</f>
        <v>75.582339999999988</v>
      </c>
      <c r="M175" s="104">
        <f>IF(B175="","",VLOOKUP(B175&amp;F175&amp;H175,经纬!A:N,14,FALSE)*N175)</f>
        <v>93.488341535433065</v>
      </c>
      <c r="N175" s="8">
        <v>2201</v>
      </c>
      <c r="R175" s="250">
        <f t="shared" si="11"/>
        <v>10</v>
      </c>
    </row>
    <row r="176" spans="1:18" outlineLevel="1">
      <c r="A176" s="4">
        <v>176</v>
      </c>
      <c r="B176" s="89" t="s">
        <v>1098</v>
      </c>
      <c r="C176" s="8" t="str">
        <f>IF(B176="","",VLOOKUP(B176,经纬!B:C,2,FALSE))</f>
        <v>75*300</v>
      </c>
      <c r="D176" s="8">
        <f>IF(B176="","",VLOOKUP(B176,经纬!B:G,6,FALSE))</f>
        <v>70</v>
      </c>
      <c r="E176" s="8" t="str">
        <f t="shared" si="8"/>
        <v>190.5</v>
      </c>
      <c r="F176" s="8" t="s">
        <v>1</v>
      </c>
      <c r="G176" s="8" t="s">
        <v>287</v>
      </c>
      <c r="H176" s="89" t="s">
        <v>197</v>
      </c>
      <c r="I176" s="23">
        <v>43750</v>
      </c>
      <c r="J176" s="105" t="str">
        <f t="shared" si="9"/>
        <v>75</v>
      </c>
      <c r="K176" s="105" t="str">
        <f t="shared" si="10"/>
        <v>300</v>
      </c>
      <c r="L176" s="104">
        <f>IF(B176="","",VLOOKUP(B176&amp;F176&amp;H176,经纬!A:M,13,FALSE)*N176)</f>
        <v>305.72901999999993</v>
      </c>
      <c r="M176" s="104">
        <f>IF(B176="","",VLOOKUP(B176&amp;F176&amp;H176,经纬!A:N,14,FALSE)*N176)</f>
        <v>552.23135826771647</v>
      </c>
      <c r="N176" s="8">
        <v>8903</v>
      </c>
      <c r="R176" s="250">
        <f t="shared" si="11"/>
        <v>10</v>
      </c>
    </row>
    <row r="177" spans="1:18" outlineLevel="1">
      <c r="A177" s="4">
        <v>177</v>
      </c>
      <c r="B177" s="89" t="s">
        <v>1117</v>
      </c>
      <c r="C177" s="8" t="str">
        <f>IF(B177="","",VLOOKUP(B177,经纬!B:C,2,FALSE))</f>
        <v>200*300</v>
      </c>
      <c r="D177" s="8">
        <f>IF(B177="","",VLOOKUP(B177,经纬!B:G,6,FALSE))</f>
        <v>116</v>
      </c>
      <c r="E177" s="8" t="str">
        <f t="shared" si="8"/>
        <v>180</v>
      </c>
      <c r="F177" s="8" t="s">
        <v>1</v>
      </c>
      <c r="G177" s="8" t="s">
        <v>287</v>
      </c>
      <c r="H177" s="89" t="s">
        <v>2444</v>
      </c>
      <c r="I177" s="23">
        <v>43750</v>
      </c>
      <c r="J177" s="105" t="str">
        <f t="shared" si="9"/>
        <v>200</v>
      </c>
      <c r="K177" s="105" t="str">
        <f t="shared" si="10"/>
        <v>300</v>
      </c>
      <c r="L177" s="104">
        <f>IF(B177="","",VLOOKUP(B177&amp;F177&amp;H177,经纬!A:M,13,FALSE)*N177)</f>
        <v>536.74666666666667</v>
      </c>
      <c r="M177" s="104">
        <f>IF(B177="","",VLOOKUP(B177&amp;F177&amp;H177,经纬!A:N,14,FALSE)*N177)</f>
        <v>524.09448818897636</v>
      </c>
      <c r="N177" s="8">
        <v>6400</v>
      </c>
      <c r="R177" s="250">
        <f t="shared" si="11"/>
        <v>10</v>
      </c>
    </row>
    <row r="178" spans="1:18" outlineLevel="1">
      <c r="A178" s="4">
        <v>178</v>
      </c>
      <c r="B178" s="89" t="s">
        <v>1107</v>
      </c>
      <c r="C178" s="8" t="str">
        <f>IF(B178="","",VLOOKUP(B178,经纬!B:C,2,FALSE))</f>
        <v>200*300</v>
      </c>
      <c r="D178" s="8">
        <f>IF(B178="","",VLOOKUP(B178,经纬!B:G,6,FALSE))</f>
        <v>135</v>
      </c>
      <c r="E178" s="8" t="str">
        <f t="shared" si="8"/>
        <v>180</v>
      </c>
      <c r="F178" s="8" t="s">
        <v>1</v>
      </c>
      <c r="G178" s="8" t="s">
        <v>287</v>
      </c>
      <c r="H178" s="89" t="s">
        <v>2444</v>
      </c>
      <c r="I178" s="23">
        <v>43750</v>
      </c>
      <c r="J178" s="105" t="str">
        <f t="shared" si="9"/>
        <v>200</v>
      </c>
      <c r="K178" s="105" t="str">
        <f t="shared" si="10"/>
        <v>300</v>
      </c>
      <c r="L178" s="104">
        <f>IF(B178="","",VLOOKUP(B178&amp;F178&amp;H178,经纬!A:M,13,FALSE)*N178)</f>
        <v>584.90880000000004</v>
      </c>
      <c r="M178" s="104">
        <f>IF(B178="","",VLOOKUP(B178&amp;F178&amp;H178,经纬!A:N,14,FALSE)*N178)</f>
        <v>755.43307086614175</v>
      </c>
      <c r="N178" s="8">
        <v>7200</v>
      </c>
      <c r="R178" s="250">
        <f t="shared" si="11"/>
        <v>10</v>
      </c>
    </row>
    <row r="179" spans="1:18" outlineLevel="1">
      <c r="A179" s="4">
        <v>179</v>
      </c>
      <c r="B179" s="92" t="s">
        <v>1092</v>
      </c>
      <c r="C179" s="8" t="str">
        <f>IF(B179="","",VLOOKUP(B179,经纬!B:C,2,FALSE))</f>
        <v>50*50</v>
      </c>
      <c r="D179" s="8">
        <f>IF(B179="","",VLOOKUP(B179,经纬!B:G,6,FALSE))</f>
        <v>37</v>
      </c>
      <c r="E179" s="8" t="str">
        <f t="shared" si="8"/>
        <v>190.5</v>
      </c>
      <c r="F179" s="8" t="s">
        <v>2</v>
      </c>
      <c r="G179" s="8" t="s">
        <v>282</v>
      </c>
      <c r="H179" s="89" t="s">
        <v>1110</v>
      </c>
      <c r="I179" s="23">
        <v>43750</v>
      </c>
      <c r="J179" s="105" t="str">
        <f t="shared" si="9"/>
        <v>50</v>
      </c>
      <c r="K179" s="105" t="str">
        <f t="shared" si="10"/>
        <v>50</v>
      </c>
      <c r="L179" s="104">
        <f>IF(B179="","",VLOOKUP(B179&amp;F179&amp;H179,经纬!A:M,13,FALSE)*N179)</f>
        <v>28.190657999999999</v>
      </c>
      <c r="M179" s="104">
        <f>IF(B179="","",VLOOKUP(B179&amp;F179&amp;H179,经纬!A:N,14,FALSE)*N179)</f>
        <v>36.296909448818894</v>
      </c>
      <c r="N179" s="8">
        <v>939</v>
      </c>
      <c r="R179" s="250">
        <f t="shared" si="11"/>
        <v>10</v>
      </c>
    </row>
    <row r="180" spans="1:18" outlineLevel="1">
      <c r="A180" s="4">
        <v>180</v>
      </c>
      <c r="B180" s="89" t="s">
        <v>1093</v>
      </c>
      <c r="C180" s="8" t="str">
        <f>IF(B180="","",VLOOKUP(B180,经纬!B:C,2,FALSE))</f>
        <v>75*75</v>
      </c>
      <c r="D180" s="8">
        <f>IF(B180="","",VLOOKUP(B180,经纬!B:G,6,FALSE))</f>
        <v>43</v>
      </c>
      <c r="E180" s="8" t="str">
        <f t="shared" si="8"/>
        <v>190.5</v>
      </c>
      <c r="F180" s="8" t="s">
        <v>2</v>
      </c>
      <c r="G180" s="8" t="s">
        <v>282</v>
      </c>
      <c r="H180" s="89" t="s">
        <v>197</v>
      </c>
      <c r="I180" s="23">
        <v>43750</v>
      </c>
      <c r="J180" s="105" t="str">
        <f t="shared" si="9"/>
        <v>75</v>
      </c>
      <c r="K180" s="105" t="str">
        <f t="shared" si="10"/>
        <v>75</v>
      </c>
      <c r="L180" s="104">
        <f>IF(B180="","",VLOOKUP(B180&amp;F180&amp;H180,经纬!A:M,13,FALSE)*N180)</f>
        <v>200.57993999999997</v>
      </c>
      <c r="M180" s="104">
        <f>IF(B180="","",VLOOKUP(B180&amp;F180&amp;H180,经纬!A:N,14,FALSE)*N180)</f>
        <v>153.5849557086614</v>
      </c>
      <c r="N180" s="8">
        <v>5841</v>
      </c>
      <c r="R180" s="250">
        <f t="shared" si="11"/>
        <v>10</v>
      </c>
    </row>
    <row r="181" spans="1:18" outlineLevel="1">
      <c r="A181" s="4">
        <v>181</v>
      </c>
      <c r="B181" s="89" t="s">
        <v>1096</v>
      </c>
      <c r="C181" s="8" t="str">
        <f>IF(B181="","",VLOOKUP(B181,经纬!B:C,2,FALSE))</f>
        <v>30*30</v>
      </c>
      <c r="D181" s="8">
        <f>IF(B181="","",VLOOKUP(B181,经纬!B:G,6,FALSE))</f>
        <v>23</v>
      </c>
      <c r="E181" s="8" t="str">
        <f t="shared" si="8"/>
        <v>190</v>
      </c>
      <c r="F181" s="8" t="s">
        <v>2</v>
      </c>
      <c r="G181" s="8" t="s">
        <v>387</v>
      </c>
      <c r="H181" s="89" t="s">
        <v>1110</v>
      </c>
      <c r="I181" s="23">
        <v>43751</v>
      </c>
      <c r="J181" s="105" t="str">
        <f t="shared" si="9"/>
        <v>30</v>
      </c>
      <c r="K181" s="105" t="str">
        <f t="shared" si="10"/>
        <v>30</v>
      </c>
      <c r="L181" s="104">
        <f>IF(B181="","",VLOOKUP(B181&amp;F181&amp;H181,经纬!A:M,13,FALSE)*N181)</f>
        <v>102.8446824</v>
      </c>
      <c r="M181" s="104">
        <f>IF(B181="","",VLOOKUP(B181&amp;F181&amp;H181,经纬!A:N,14,FALSE)*N181)</f>
        <v>80.88864173228346</v>
      </c>
      <c r="N181" s="8">
        <v>5673</v>
      </c>
      <c r="R181" s="250">
        <f t="shared" si="11"/>
        <v>10</v>
      </c>
    </row>
    <row r="182" spans="1:18" outlineLevel="1">
      <c r="A182" s="4">
        <v>182</v>
      </c>
      <c r="B182" s="89" t="s">
        <v>1123</v>
      </c>
      <c r="C182" s="8" t="str">
        <f>IF(B182="","",VLOOKUP(B182,经纬!B:C,2,FALSE))</f>
        <v>30*30</v>
      </c>
      <c r="D182" s="8">
        <f>IF(B182="","",VLOOKUP(B182,经纬!B:G,6,FALSE))</f>
        <v>23</v>
      </c>
      <c r="E182" s="8" t="str">
        <f t="shared" si="8"/>
        <v>192</v>
      </c>
      <c r="F182" s="8" t="s">
        <v>2</v>
      </c>
      <c r="G182" s="8" t="s">
        <v>387</v>
      </c>
      <c r="H182" s="89" t="s">
        <v>1110</v>
      </c>
      <c r="I182" s="23">
        <v>43751</v>
      </c>
      <c r="J182" s="105" t="str">
        <f t="shared" si="9"/>
        <v>30</v>
      </c>
      <c r="K182" s="105" t="str">
        <f t="shared" si="10"/>
        <v>30</v>
      </c>
      <c r="L182" s="104">
        <f>IF(B182="","",VLOOKUP(B182&amp;F182&amp;H182,经纬!A:M,13,FALSE)*N182)</f>
        <v>44.195049600000011</v>
      </c>
      <c r="M182" s="104">
        <f>IF(B182="","",VLOOKUP(B182&amp;F182&amp;H182,经纬!A:N,14,FALSE)*N182)</f>
        <v>28.752897637795279</v>
      </c>
      <c r="N182" s="8">
        <v>2252</v>
      </c>
      <c r="R182" s="250">
        <f t="shared" si="11"/>
        <v>10</v>
      </c>
    </row>
    <row r="183" spans="1:18" outlineLevel="1">
      <c r="A183" s="4">
        <v>183</v>
      </c>
      <c r="B183" s="89" t="s">
        <v>1124</v>
      </c>
      <c r="C183" s="8" t="str">
        <f>IF(B183="","",VLOOKUP(B183,经纬!B:C,2,FALSE))</f>
        <v>20*20</v>
      </c>
      <c r="D183" s="8">
        <f>IF(B183="","",VLOOKUP(B183,经纬!B:G,6,FALSE))</f>
        <v>17</v>
      </c>
      <c r="E183" s="8" t="str">
        <f t="shared" si="8"/>
        <v>146</v>
      </c>
      <c r="F183" s="8" t="s">
        <v>2</v>
      </c>
      <c r="G183" s="8" t="s">
        <v>287</v>
      </c>
      <c r="H183" s="89" t="s">
        <v>1110</v>
      </c>
      <c r="I183" s="23">
        <v>43751</v>
      </c>
      <c r="J183" s="105" t="str">
        <f t="shared" si="9"/>
        <v>20</v>
      </c>
      <c r="K183" s="105" t="str">
        <f t="shared" si="10"/>
        <v>20</v>
      </c>
      <c r="L183" s="104">
        <f>IF(B183="","",VLOOKUP(B183&amp;F183&amp;H183,经纬!A:M,13,FALSE)*N183)</f>
        <v>59.480053333333331</v>
      </c>
      <c r="M183" s="104">
        <f>IF(B183="","",VLOOKUP(B183&amp;F183&amp;H183,经纬!A:N,14,FALSE)*N183)</f>
        <v>43.150253718285207</v>
      </c>
      <c r="N183" s="8">
        <v>5780</v>
      </c>
      <c r="R183" s="250">
        <f t="shared" si="11"/>
        <v>10</v>
      </c>
    </row>
    <row r="184" spans="1:18" outlineLevel="1">
      <c r="A184" s="4">
        <v>184</v>
      </c>
      <c r="B184" s="89" t="s">
        <v>1096</v>
      </c>
      <c r="C184" s="8" t="str">
        <f>IF(B184="","",VLOOKUP(B184,经纬!B:C,2,FALSE))</f>
        <v>30*30</v>
      </c>
      <c r="D184" s="8">
        <f>IF(B184="","",VLOOKUP(B184,经纬!B:G,6,FALSE))</f>
        <v>23</v>
      </c>
      <c r="E184" s="8" t="str">
        <f t="shared" si="8"/>
        <v>190</v>
      </c>
      <c r="F184" s="8" t="s">
        <v>2</v>
      </c>
      <c r="G184" s="8" t="s">
        <v>287</v>
      </c>
      <c r="H184" s="89" t="s">
        <v>1110</v>
      </c>
      <c r="I184" s="23">
        <v>43751</v>
      </c>
      <c r="J184" s="105" t="str">
        <f t="shared" si="9"/>
        <v>30</v>
      </c>
      <c r="K184" s="105" t="str">
        <f t="shared" si="10"/>
        <v>30</v>
      </c>
      <c r="L184" s="104">
        <f>IF(B184="","",VLOOKUP(B184&amp;F184&amp;H184,经纬!A:M,13,FALSE)*N184)</f>
        <v>148.22106880000001</v>
      </c>
      <c r="M184" s="104">
        <f>IF(B184="","",VLOOKUP(B184&amp;F184&amp;H184,经纬!A:N,14,FALSE)*N184)</f>
        <v>116.57774278215223</v>
      </c>
      <c r="N184" s="8">
        <v>8176</v>
      </c>
      <c r="R184" s="250">
        <f t="shared" si="11"/>
        <v>10</v>
      </c>
    </row>
    <row r="185" spans="1:18" outlineLevel="1">
      <c r="A185" s="4">
        <v>185</v>
      </c>
      <c r="B185" s="89" t="s">
        <v>1123</v>
      </c>
      <c r="C185" s="8" t="str">
        <f>IF(B185="","",VLOOKUP(B185,经纬!B:C,2,FALSE))</f>
        <v>30*30</v>
      </c>
      <c r="D185" s="8">
        <f>IF(B185="","",VLOOKUP(B185,经纬!B:G,6,FALSE))</f>
        <v>23</v>
      </c>
      <c r="E185" s="8" t="str">
        <f t="shared" si="8"/>
        <v>192</v>
      </c>
      <c r="F185" s="8" t="s">
        <v>2</v>
      </c>
      <c r="G185" s="8" t="s">
        <v>287</v>
      </c>
      <c r="H185" s="89" t="s">
        <v>1110</v>
      </c>
      <c r="I185" s="23">
        <v>43751</v>
      </c>
      <c r="J185" s="105" t="str">
        <f t="shared" si="9"/>
        <v>30</v>
      </c>
      <c r="K185" s="105" t="str">
        <f t="shared" si="10"/>
        <v>30</v>
      </c>
      <c r="L185" s="104">
        <f>IF(B185="","",VLOOKUP(B185&amp;F185&amp;H185,经纬!A:M,13,FALSE)*N185)</f>
        <v>139.76782560000004</v>
      </c>
      <c r="M185" s="104">
        <f>IF(B185="","",VLOOKUP(B185&amp;F185&amp;H185,经纬!A:N,14,FALSE)*N185)</f>
        <v>90.931677165354344</v>
      </c>
      <c r="N185" s="8">
        <v>7122</v>
      </c>
      <c r="R185" s="250">
        <f t="shared" si="11"/>
        <v>10</v>
      </c>
    </row>
    <row r="186" spans="1:18" outlineLevel="1">
      <c r="A186" s="4">
        <v>186</v>
      </c>
      <c r="B186" s="89" t="s">
        <v>1109</v>
      </c>
      <c r="C186" s="8" t="str">
        <f>IF(B186="","",VLOOKUP(B186,经纬!B:C,2,FALSE))</f>
        <v>50*50</v>
      </c>
      <c r="D186" s="8">
        <f>IF(B186="","",VLOOKUP(B186,经纬!B:G,6,FALSE))</f>
        <v>35</v>
      </c>
      <c r="E186" s="8" t="str">
        <f t="shared" si="8"/>
        <v>190</v>
      </c>
      <c r="F186" s="8" t="s">
        <v>2</v>
      </c>
      <c r="G186" s="8" t="s">
        <v>287</v>
      </c>
      <c r="H186" s="89" t="s">
        <v>1110</v>
      </c>
      <c r="I186" s="23">
        <v>43751</v>
      </c>
      <c r="J186" s="105" t="str">
        <f t="shared" si="9"/>
        <v>50</v>
      </c>
      <c r="K186" s="105" t="str">
        <f t="shared" si="10"/>
        <v>50</v>
      </c>
      <c r="L186" s="104">
        <f>IF(B186="","",VLOOKUP(B186&amp;F186&amp;H186,经纬!A:M,13,FALSE)*N186)</f>
        <v>102.70448</v>
      </c>
      <c r="M186" s="104">
        <f>IF(B186="","",VLOOKUP(B186&amp;F186&amp;H186,经纬!A:N,14,FALSE)*N186)</f>
        <v>157.54330708661416</v>
      </c>
      <c r="N186" s="8">
        <v>3660</v>
      </c>
      <c r="R186" s="250">
        <f t="shared" si="11"/>
        <v>10</v>
      </c>
    </row>
    <row r="187" spans="1:18" outlineLevel="1">
      <c r="A187" s="4">
        <v>187</v>
      </c>
      <c r="B187" s="89" t="s">
        <v>1092</v>
      </c>
      <c r="C187" s="8" t="str">
        <f>IF(B187="","",VLOOKUP(B187,经纬!B:C,2,FALSE))</f>
        <v>50*50</v>
      </c>
      <c r="D187" s="8">
        <f>IF(B187="","",VLOOKUP(B187,经纬!B:G,6,FALSE))</f>
        <v>37</v>
      </c>
      <c r="E187" s="8" t="str">
        <f t="shared" si="8"/>
        <v>190.5</v>
      </c>
      <c r="F187" s="8" t="s">
        <v>2</v>
      </c>
      <c r="G187" s="8" t="s">
        <v>287</v>
      </c>
      <c r="H187" s="89" t="s">
        <v>1110</v>
      </c>
      <c r="I187" s="23">
        <v>43751</v>
      </c>
      <c r="J187" s="105" t="str">
        <f t="shared" si="9"/>
        <v>50</v>
      </c>
      <c r="K187" s="105" t="str">
        <f t="shared" si="10"/>
        <v>50</v>
      </c>
      <c r="L187" s="104">
        <f>IF(B187="","",VLOOKUP(B187&amp;F187&amp;H187,经纬!A:M,13,FALSE)*N187)</f>
        <v>135.09899999999999</v>
      </c>
      <c r="M187" s="104">
        <f>IF(B187="","",VLOOKUP(B187&amp;F187&amp;H187,经纬!A:N,14,FALSE)*N187)</f>
        <v>173.94685039370074</v>
      </c>
      <c r="N187" s="8">
        <v>4500</v>
      </c>
      <c r="R187" s="250">
        <f t="shared" si="11"/>
        <v>10</v>
      </c>
    </row>
    <row r="188" spans="1:18" outlineLevel="1">
      <c r="A188" s="4">
        <v>188</v>
      </c>
      <c r="B188" s="89" t="s">
        <v>1092</v>
      </c>
      <c r="C188" s="8" t="str">
        <f>IF(B188="","",VLOOKUP(B188,经纬!B:C,2,FALSE))</f>
        <v>50*50</v>
      </c>
      <c r="D188" s="8">
        <f>IF(B188="","",VLOOKUP(B188,经纬!B:G,6,FALSE))</f>
        <v>37</v>
      </c>
      <c r="E188" s="8" t="str">
        <f t="shared" si="8"/>
        <v>190.5</v>
      </c>
      <c r="F188" s="8" t="s">
        <v>2</v>
      </c>
      <c r="G188" s="8" t="s">
        <v>287</v>
      </c>
      <c r="H188" s="89" t="s">
        <v>197</v>
      </c>
      <c r="I188" s="23">
        <v>43751</v>
      </c>
      <c r="J188" s="105" t="str">
        <f t="shared" si="9"/>
        <v>50</v>
      </c>
      <c r="K188" s="105" t="str">
        <f t="shared" si="10"/>
        <v>50</v>
      </c>
      <c r="L188" s="104">
        <f>IF(B188="","",VLOOKUP(B188&amp;F188&amp;H188,经纬!A:M,13,FALSE)*N188)</f>
        <v>80.639092000000005</v>
      </c>
      <c r="M188" s="104">
        <f>IF(B188="","",VLOOKUP(B188&amp;F188&amp;H188,经纬!A:N,14,FALSE)*N188)</f>
        <v>53.724406167978998</v>
      </c>
      <c r="N188" s="8">
        <v>2686</v>
      </c>
      <c r="R188" s="250">
        <f t="shared" si="11"/>
        <v>10</v>
      </c>
    </row>
    <row r="189" spans="1:18" outlineLevel="1">
      <c r="A189" s="4">
        <v>189</v>
      </c>
      <c r="B189" s="89" t="s">
        <v>1092</v>
      </c>
      <c r="C189" s="8" t="str">
        <f>IF(B189="","",VLOOKUP(B189,经纬!B:C,2,FALSE))</f>
        <v>50*50</v>
      </c>
      <c r="D189" s="8">
        <f>IF(B189="","",VLOOKUP(B189,经纬!B:G,6,FALSE))</f>
        <v>37</v>
      </c>
      <c r="E189" s="8" t="str">
        <f t="shared" si="8"/>
        <v>190.5</v>
      </c>
      <c r="F189" s="8" t="s">
        <v>1</v>
      </c>
      <c r="G189" s="8" t="s">
        <v>287</v>
      </c>
      <c r="H189" s="89" t="s">
        <v>197</v>
      </c>
      <c r="I189" s="23">
        <v>43751</v>
      </c>
      <c r="J189" s="105" t="str">
        <f t="shared" si="9"/>
        <v>50</v>
      </c>
      <c r="K189" s="105" t="str">
        <f t="shared" si="10"/>
        <v>50</v>
      </c>
      <c r="L189" s="104">
        <f>IF(B189="","",VLOOKUP(B189&amp;F189&amp;H189,经纬!A:M,13,FALSE)*N189)</f>
        <v>216.60873000000001</v>
      </c>
      <c r="M189" s="104">
        <f>IF(B189="","",VLOOKUP(B189&amp;F189&amp;H189,经纬!A:N,14,FALSE)*N189)</f>
        <v>144.31183562992126</v>
      </c>
      <c r="N189" s="8">
        <v>7215</v>
      </c>
      <c r="R189" s="250">
        <f t="shared" si="11"/>
        <v>10</v>
      </c>
    </row>
    <row r="190" spans="1:18" outlineLevel="1">
      <c r="A190" s="4">
        <v>190</v>
      </c>
      <c r="B190" s="90" t="s">
        <v>1093</v>
      </c>
      <c r="C190" s="8" t="str">
        <f>IF(B190="","",VLOOKUP(B190,经纬!B:C,2,FALSE))</f>
        <v>75*75</v>
      </c>
      <c r="D190" s="8">
        <f>IF(B190="","",VLOOKUP(B190,经纬!B:G,6,FALSE))</f>
        <v>43</v>
      </c>
      <c r="E190" s="8" t="str">
        <f t="shared" si="8"/>
        <v>190.5</v>
      </c>
      <c r="F190" s="8" t="s">
        <v>2</v>
      </c>
      <c r="G190" s="8" t="s">
        <v>287</v>
      </c>
      <c r="H190" s="89" t="s">
        <v>197</v>
      </c>
      <c r="I190" s="23">
        <v>43751</v>
      </c>
      <c r="J190" s="105" t="str">
        <f t="shared" si="9"/>
        <v>75</v>
      </c>
      <c r="K190" s="105" t="str">
        <f t="shared" si="10"/>
        <v>75</v>
      </c>
      <c r="L190" s="104">
        <f>IF(B190="","",VLOOKUP(B190&amp;F190&amp;H190,经纬!A:M,13,FALSE)*N190)</f>
        <v>215.75821999999997</v>
      </c>
      <c r="M190" s="104">
        <f>IF(B190="","",VLOOKUP(B190&amp;F190&amp;H190,经纬!A:N,14,FALSE)*N190)</f>
        <v>165.20703248031492</v>
      </c>
      <c r="N190" s="8">
        <v>6283</v>
      </c>
      <c r="R190" s="250">
        <f t="shared" si="11"/>
        <v>10</v>
      </c>
    </row>
    <row r="191" spans="1:18" outlineLevel="1">
      <c r="A191" s="4">
        <v>191</v>
      </c>
      <c r="B191" s="90" t="s">
        <v>1120</v>
      </c>
      <c r="C191" s="8" t="str">
        <f>IF(B191="","",VLOOKUP(B191,经纬!B:C,2,FALSE))</f>
        <v>75*150</v>
      </c>
      <c r="D191" s="8">
        <f>IF(B191="","",VLOOKUP(B191,经纬!B:G,6,FALSE))</f>
        <v>58</v>
      </c>
      <c r="E191" s="8" t="str">
        <f t="shared" si="8"/>
        <v>190.5</v>
      </c>
      <c r="F191" s="8" t="s">
        <v>2</v>
      </c>
      <c r="G191" s="8" t="s">
        <v>287</v>
      </c>
      <c r="H191" s="89" t="s">
        <v>197</v>
      </c>
      <c r="I191" s="23">
        <v>43751</v>
      </c>
      <c r="J191" s="105" t="str">
        <f t="shared" si="9"/>
        <v>75</v>
      </c>
      <c r="K191" s="105" t="str">
        <f t="shared" si="10"/>
        <v>150</v>
      </c>
      <c r="L191" s="104">
        <f>IF(B191="","",VLOOKUP(B191&amp;F191&amp;H191,经纬!A:M,13,FALSE)*N191)</f>
        <v>156.10963999999998</v>
      </c>
      <c r="M191" s="104">
        <f>IF(B191="","",VLOOKUP(B191&amp;F191&amp;H191,经纬!A:N,14,FALSE)*N191)</f>
        <v>193.09313976377953</v>
      </c>
      <c r="N191" s="8">
        <v>4546</v>
      </c>
      <c r="R191" s="250">
        <f t="shared" si="11"/>
        <v>10</v>
      </c>
    </row>
    <row r="192" spans="1:18" outlineLevel="1">
      <c r="A192" s="4">
        <v>192</v>
      </c>
      <c r="B192" s="91" t="s">
        <v>1093</v>
      </c>
      <c r="C192" s="8" t="str">
        <f>IF(B192="","",VLOOKUP(B192,经纬!B:C,2,FALSE))</f>
        <v>75*75</v>
      </c>
      <c r="D192" s="8">
        <f>IF(B192="","",VLOOKUP(B192,经纬!B:G,6,FALSE))</f>
        <v>43</v>
      </c>
      <c r="E192" s="8" t="str">
        <f t="shared" si="8"/>
        <v>190.5</v>
      </c>
      <c r="F192" s="8" t="s">
        <v>1</v>
      </c>
      <c r="G192" s="8" t="s">
        <v>287</v>
      </c>
      <c r="H192" s="89" t="s">
        <v>197</v>
      </c>
      <c r="I192" s="23">
        <v>43751</v>
      </c>
      <c r="J192" s="105" t="str">
        <f t="shared" si="9"/>
        <v>75</v>
      </c>
      <c r="K192" s="105" t="str">
        <f t="shared" si="10"/>
        <v>75</v>
      </c>
      <c r="L192" s="104">
        <f>IF(B192="","",VLOOKUP(B192&amp;F192&amp;H192,经纬!A:M,13,FALSE)*N192)</f>
        <v>508.91879999999992</v>
      </c>
      <c r="M192" s="104">
        <f>IF(B192="","",VLOOKUP(B192&amp;F192&amp;H192,经纬!A:N,14,FALSE)*N192)</f>
        <v>389.68139763779521</v>
      </c>
      <c r="N192" s="8">
        <v>14820</v>
      </c>
      <c r="R192" s="250">
        <f t="shared" si="11"/>
        <v>10</v>
      </c>
    </row>
    <row r="193" spans="1:18" outlineLevel="1">
      <c r="A193" s="4">
        <v>193</v>
      </c>
      <c r="B193" s="89" t="s">
        <v>1120</v>
      </c>
      <c r="C193" s="8" t="str">
        <f>IF(B193="","",VLOOKUP(B193,经纬!B:C,2,FALSE))</f>
        <v>75*150</v>
      </c>
      <c r="D193" s="8">
        <f>IF(B193="","",VLOOKUP(B193,经纬!B:G,6,FALSE))</f>
        <v>58</v>
      </c>
      <c r="E193" s="8" t="str">
        <f t="shared" si="8"/>
        <v>190.5</v>
      </c>
      <c r="F193" s="8" t="s">
        <v>1</v>
      </c>
      <c r="G193" s="8" t="s">
        <v>287</v>
      </c>
      <c r="H193" s="89" t="s">
        <v>197</v>
      </c>
      <c r="I193" s="23">
        <v>43751</v>
      </c>
      <c r="J193" s="105" t="str">
        <f t="shared" si="9"/>
        <v>75</v>
      </c>
      <c r="K193" s="105" t="str">
        <f t="shared" si="10"/>
        <v>150</v>
      </c>
      <c r="L193" s="104">
        <f>IF(B193="","",VLOOKUP(B193&amp;F193&amp;H193,经纬!A:M,13,FALSE)*N193)</f>
        <v>202.70901999999998</v>
      </c>
      <c r="M193" s="104">
        <f>IF(B193="","",VLOOKUP(B193&amp;F193&amp;H193,经纬!A:N,14,FALSE)*N193)</f>
        <v>250.73224901574804</v>
      </c>
      <c r="N193" s="8">
        <v>5903</v>
      </c>
      <c r="R193" s="250">
        <f t="shared" si="11"/>
        <v>10</v>
      </c>
    </row>
    <row r="194" spans="1:18" outlineLevel="1">
      <c r="A194" s="4">
        <v>194</v>
      </c>
      <c r="B194" s="89" t="s">
        <v>1098</v>
      </c>
      <c r="C194" s="8" t="str">
        <f>IF(B194="","",VLOOKUP(B194,经纬!B:C,2,FALSE))</f>
        <v>75*300</v>
      </c>
      <c r="D194" s="8">
        <f>IF(B194="","",VLOOKUP(B194,经纬!B:G,6,FALSE))</f>
        <v>70</v>
      </c>
      <c r="E194" s="8" t="str">
        <f t="shared" si="8"/>
        <v>190.5</v>
      </c>
      <c r="F194" s="8" t="s">
        <v>1</v>
      </c>
      <c r="G194" s="8" t="s">
        <v>287</v>
      </c>
      <c r="H194" s="89" t="s">
        <v>197</v>
      </c>
      <c r="I194" s="23">
        <v>43751</v>
      </c>
      <c r="J194" s="105" t="str">
        <f t="shared" si="9"/>
        <v>75</v>
      </c>
      <c r="K194" s="105" t="str">
        <f t="shared" si="10"/>
        <v>300</v>
      </c>
      <c r="L194" s="104">
        <f>IF(B194="","",VLOOKUP(B194&amp;F194&amp;H194,经纬!A:M,13,FALSE)*N194)</f>
        <v>421.00839999999994</v>
      </c>
      <c r="M194" s="104">
        <f>IF(B194="","",VLOOKUP(B194&amp;F194&amp;H194,经纬!A:N,14,FALSE)*N194)</f>
        <v>760.45787401574796</v>
      </c>
      <c r="N194" s="8">
        <v>12260</v>
      </c>
      <c r="R194" s="250">
        <f t="shared" si="11"/>
        <v>10</v>
      </c>
    </row>
    <row r="195" spans="1:18" outlineLevel="1">
      <c r="A195" s="4">
        <v>195</v>
      </c>
      <c r="B195" s="89" t="s">
        <v>1124</v>
      </c>
      <c r="C195" s="8" t="str">
        <f>IF(B195="","",VLOOKUP(B195,经纬!B:C,2,FALSE))</f>
        <v>20*20</v>
      </c>
      <c r="D195" s="8">
        <f>IF(B195="","",VLOOKUP(B195,经纬!B:G,6,FALSE))</f>
        <v>17</v>
      </c>
      <c r="E195" s="8" t="str">
        <f t="shared" ref="E195:E250" si="12">IF(B195="","",MID(B195,LEN(C195),LEN(B195)-LEN(C195)-LEN(D195)+1))</f>
        <v>146</v>
      </c>
      <c r="F195" s="8" t="s">
        <v>2</v>
      </c>
      <c r="G195" s="8" t="s">
        <v>282</v>
      </c>
      <c r="H195" s="89" t="s">
        <v>1110</v>
      </c>
      <c r="I195" s="23">
        <v>43751</v>
      </c>
      <c r="J195" s="105" t="str">
        <f t="shared" ref="J195:J250" si="13">IF(B195="","",LEFT(C195,FIND("*",C195)-1))</f>
        <v>20</v>
      </c>
      <c r="K195" s="105" t="str">
        <f t="shared" ref="K195:K250" si="14">IF(B195="","",RIGHT(C195,LEN(C195)-LEN(J195)-1))</f>
        <v>20</v>
      </c>
      <c r="L195" s="104">
        <f>IF(B195="","",VLOOKUP(B195&amp;F195&amp;H195,经纬!A:M,13,FALSE)*N195)</f>
        <v>9.7967146666666665</v>
      </c>
      <c r="M195" s="104">
        <f>IF(B195="","",VLOOKUP(B195&amp;F195&amp;H195,经纬!A:N,14,FALSE)*N195)</f>
        <v>7.1071006124234462</v>
      </c>
      <c r="N195" s="8">
        <v>952</v>
      </c>
      <c r="R195" s="250">
        <f t="shared" ref="R195:R258" si="15">IF(B195="","",MONTH(I195))</f>
        <v>10</v>
      </c>
    </row>
    <row r="196" spans="1:18" outlineLevel="1">
      <c r="A196" s="4">
        <v>196</v>
      </c>
      <c r="B196" s="89" t="s">
        <v>1092</v>
      </c>
      <c r="C196" s="8" t="str">
        <f>IF(B196="","",VLOOKUP(B196,经纬!B:C,2,FALSE))</f>
        <v>50*50</v>
      </c>
      <c r="D196" s="8">
        <f>IF(B196="","",VLOOKUP(B196,经纬!B:G,6,FALSE))</f>
        <v>37</v>
      </c>
      <c r="E196" s="8" t="str">
        <f t="shared" si="12"/>
        <v>190.5</v>
      </c>
      <c r="F196" s="8" t="s">
        <v>2</v>
      </c>
      <c r="G196" s="8" t="s">
        <v>282</v>
      </c>
      <c r="H196" s="89" t="s">
        <v>197</v>
      </c>
      <c r="I196" s="23">
        <v>43751</v>
      </c>
      <c r="J196" s="105" t="str">
        <f t="shared" si="13"/>
        <v>50</v>
      </c>
      <c r="K196" s="105" t="str">
        <f t="shared" si="14"/>
        <v>50</v>
      </c>
      <c r="L196" s="104">
        <f>IF(B196="","",VLOOKUP(B196&amp;F196&amp;H196,经纬!A:M,13,FALSE)*N196)</f>
        <v>52.688609999999997</v>
      </c>
      <c r="M196" s="104">
        <f>IF(B196="","",VLOOKUP(B196&amp;F196&amp;H196,经纬!A:N,14,FALSE)*N196)</f>
        <v>35.102878937007873</v>
      </c>
      <c r="N196" s="8">
        <v>1755</v>
      </c>
      <c r="R196" s="250">
        <f t="shared" si="15"/>
        <v>10</v>
      </c>
    </row>
    <row r="197" spans="1:18" outlineLevel="1">
      <c r="A197" s="4">
        <v>197</v>
      </c>
      <c r="B197" s="89" t="s">
        <v>1093</v>
      </c>
      <c r="C197" s="8" t="str">
        <f>IF(B197="","",VLOOKUP(B197,经纬!B:C,2,FALSE))</f>
        <v>75*75</v>
      </c>
      <c r="D197" s="8">
        <f>IF(B197="","",VLOOKUP(B197,经纬!B:G,6,FALSE))</f>
        <v>43</v>
      </c>
      <c r="E197" s="8" t="str">
        <f t="shared" si="12"/>
        <v>190.5</v>
      </c>
      <c r="F197" s="8" t="s">
        <v>2</v>
      </c>
      <c r="G197" s="8" t="s">
        <v>282</v>
      </c>
      <c r="H197" s="89" t="s">
        <v>197</v>
      </c>
      <c r="I197" s="23">
        <v>43751</v>
      </c>
      <c r="J197" s="105" t="str">
        <f t="shared" si="13"/>
        <v>75</v>
      </c>
      <c r="K197" s="105" t="str">
        <f t="shared" si="14"/>
        <v>75</v>
      </c>
      <c r="L197" s="104">
        <f>IF(B197="","",VLOOKUP(B197&amp;F197&amp;H197,经纬!A:M,13,FALSE)*N197)</f>
        <v>28.502199999999995</v>
      </c>
      <c r="M197" s="104">
        <f>IF(B197="","",VLOOKUP(B197&amp;F197&amp;H197,经纬!A:N,14,FALSE)*N197)</f>
        <v>21.824261811023618</v>
      </c>
      <c r="N197" s="8">
        <v>830</v>
      </c>
      <c r="R197" s="250">
        <f t="shared" si="15"/>
        <v>10</v>
      </c>
    </row>
    <row r="198" spans="1:18" outlineLevel="1">
      <c r="A198" s="4">
        <v>198</v>
      </c>
      <c r="B198" s="89" t="s">
        <v>1120</v>
      </c>
      <c r="C198" s="8" t="str">
        <f>IF(B198="","",VLOOKUP(B198,经纬!B:C,2,FALSE))</f>
        <v>75*150</v>
      </c>
      <c r="D198" s="8">
        <f>IF(B198="","",VLOOKUP(B198,经纬!B:G,6,FALSE))</f>
        <v>58</v>
      </c>
      <c r="E198" s="8" t="str">
        <f t="shared" si="12"/>
        <v>190.5</v>
      </c>
      <c r="F198" s="8" t="s">
        <v>2</v>
      </c>
      <c r="G198" s="8" t="s">
        <v>282</v>
      </c>
      <c r="H198" s="89" t="s">
        <v>197</v>
      </c>
      <c r="I198" s="23">
        <v>43751</v>
      </c>
      <c r="J198" s="105" t="str">
        <f t="shared" si="13"/>
        <v>75</v>
      </c>
      <c r="K198" s="105" t="str">
        <f t="shared" si="14"/>
        <v>150</v>
      </c>
      <c r="L198" s="104">
        <f>IF(B198="","",VLOOKUP(B198&amp;F198&amp;H198,经纬!A:M,13,FALSE)*N198)</f>
        <v>21.119099999999996</v>
      </c>
      <c r="M198" s="104">
        <f>IF(B198="","",VLOOKUP(B198&amp;F198&amp;H198,经纬!A:N,14,FALSE)*N198)</f>
        <v>26.122367125984251</v>
      </c>
      <c r="N198" s="8">
        <v>615</v>
      </c>
      <c r="R198" s="250">
        <f t="shared" si="15"/>
        <v>10</v>
      </c>
    </row>
    <row r="199" spans="1:18" outlineLevel="1">
      <c r="A199" s="4">
        <v>199</v>
      </c>
      <c r="B199" s="89" t="s">
        <v>1120</v>
      </c>
      <c r="C199" s="8" t="str">
        <f>IF(B199="","",VLOOKUP(B199,经纬!B:C,2,FALSE))</f>
        <v>75*150</v>
      </c>
      <c r="D199" s="8">
        <f>IF(B199="","",VLOOKUP(B199,经纬!B:G,6,FALSE))</f>
        <v>58</v>
      </c>
      <c r="E199" s="8" t="str">
        <f t="shared" si="12"/>
        <v>190.5</v>
      </c>
      <c r="F199" s="8" t="s">
        <v>1</v>
      </c>
      <c r="G199" s="8" t="s">
        <v>282</v>
      </c>
      <c r="H199" s="89" t="s">
        <v>197</v>
      </c>
      <c r="I199" s="23">
        <v>43751</v>
      </c>
      <c r="J199" s="105" t="str">
        <f t="shared" si="13"/>
        <v>75</v>
      </c>
      <c r="K199" s="105" t="str">
        <f t="shared" si="14"/>
        <v>150</v>
      </c>
      <c r="L199" s="104">
        <f>IF(B199="","",VLOOKUP(B199&amp;F199&amp;H199,经纬!A:M,13,FALSE)*N199)</f>
        <v>46.874099999999991</v>
      </c>
      <c r="M199" s="104">
        <f>IF(B199="","",VLOOKUP(B199&amp;F199&amp;H199,经纬!A:N,14,FALSE)*N199)</f>
        <v>57.978912401574803</v>
      </c>
      <c r="N199" s="8">
        <v>1365</v>
      </c>
      <c r="R199" s="250">
        <f t="shared" si="15"/>
        <v>10</v>
      </c>
    </row>
    <row r="200" spans="1:18" outlineLevel="1">
      <c r="A200" s="4">
        <v>200</v>
      </c>
      <c r="B200" s="89" t="s">
        <v>1098</v>
      </c>
      <c r="C200" s="8" t="str">
        <f>IF(B200="","",VLOOKUP(B200,经纬!B:C,2,FALSE))</f>
        <v>75*300</v>
      </c>
      <c r="D200" s="8">
        <f>IF(B200="","",VLOOKUP(B200,经纬!B:G,6,FALSE))</f>
        <v>70</v>
      </c>
      <c r="E200" s="8" t="str">
        <f t="shared" si="12"/>
        <v>190.5</v>
      </c>
      <c r="F200" s="8" t="s">
        <v>1</v>
      </c>
      <c r="G200" s="8" t="s">
        <v>282</v>
      </c>
      <c r="H200" s="89" t="s">
        <v>197</v>
      </c>
      <c r="I200" s="23">
        <v>43751</v>
      </c>
      <c r="J200" s="105" t="str">
        <f t="shared" si="13"/>
        <v>75</v>
      </c>
      <c r="K200" s="105" t="str">
        <f t="shared" si="14"/>
        <v>300</v>
      </c>
      <c r="L200" s="104">
        <f>IF(B200="","",VLOOKUP(B200&amp;F200&amp;H200,经纬!A:M,13,FALSE)*N200)</f>
        <v>16.620559999999998</v>
      </c>
      <c r="M200" s="104">
        <f>IF(B200="","",VLOOKUP(B200&amp;F200&amp;H200,经纬!A:N,14,FALSE)*N200)</f>
        <v>30.02133858267716</v>
      </c>
      <c r="N200" s="8">
        <v>484</v>
      </c>
      <c r="R200" s="250">
        <f t="shared" si="15"/>
        <v>10</v>
      </c>
    </row>
    <row r="201" spans="1:18" outlineLevel="1">
      <c r="A201" s="4">
        <v>201</v>
      </c>
      <c r="B201" s="89" t="s">
        <v>1096</v>
      </c>
      <c r="C201" s="8" t="str">
        <f>IF(B201="","",VLOOKUP(B201,经纬!B:C,2,FALSE))</f>
        <v>30*30</v>
      </c>
      <c r="D201" s="8">
        <f>IF(B201="","",VLOOKUP(B201,经纬!B:G,6,FALSE))</f>
        <v>23</v>
      </c>
      <c r="E201" s="8" t="str">
        <f t="shared" si="12"/>
        <v>190</v>
      </c>
      <c r="F201" s="8" t="s">
        <v>2</v>
      </c>
      <c r="G201" s="8" t="s">
        <v>287</v>
      </c>
      <c r="H201" s="89" t="s">
        <v>1110</v>
      </c>
      <c r="I201" s="23">
        <v>43752</v>
      </c>
      <c r="J201" s="105" t="str">
        <f t="shared" si="13"/>
        <v>30</v>
      </c>
      <c r="K201" s="105" t="str">
        <f t="shared" si="14"/>
        <v>30</v>
      </c>
      <c r="L201" s="104">
        <f>IF(B201="","",VLOOKUP(B201&amp;F201&amp;H201,经纬!A:M,13,FALSE)*N201)</f>
        <v>77.047399999999996</v>
      </c>
      <c r="M201" s="104">
        <f>IF(B201="","",VLOOKUP(B201&amp;F201&amp;H201,经纬!A:N,14,FALSE)*N201)</f>
        <v>60.598753280839894</v>
      </c>
      <c r="N201" s="8">
        <v>4250</v>
      </c>
      <c r="R201" s="250">
        <f t="shared" si="15"/>
        <v>10</v>
      </c>
    </row>
    <row r="202" spans="1:18" outlineLevel="1">
      <c r="A202" s="4">
        <v>202</v>
      </c>
      <c r="B202" s="89" t="s">
        <v>1096</v>
      </c>
      <c r="C202" s="8" t="str">
        <f>IF(B202="","",VLOOKUP(B202,经纬!B:C,2,FALSE))</f>
        <v>30*30</v>
      </c>
      <c r="D202" s="8">
        <f>IF(B202="","",VLOOKUP(B202,经纬!B:G,6,FALSE))</f>
        <v>23</v>
      </c>
      <c r="E202" s="8" t="str">
        <f t="shared" si="12"/>
        <v>190</v>
      </c>
      <c r="F202" s="8" t="s">
        <v>2</v>
      </c>
      <c r="G202" s="8" t="s">
        <v>287</v>
      </c>
      <c r="H202" s="89" t="s">
        <v>197</v>
      </c>
      <c r="I202" s="23">
        <v>43752</v>
      </c>
      <c r="J202" s="105" t="str">
        <f t="shared" si="13"/>
        <v>30</v>
      </c>
      <c r="K202" s="105" t="str">
        <f t="shared" si="14"/>
        <v>30</v>
      </c>
      <c r="L202" s="104">
        <f>IF(B202="","",VLOOKUP(B202&amp;F202&amp;H202,经纬!A:M,13,FALSE)*N202)</f>
        <v>24.582652800000002</v>
      </c>
      <c r="M202" s="104">
        <f>IF(B202="","",VLOOKUP(B202&amp;F202&amp;H202,经纬!A:N,14,FALSE)*N202)</f>
        <v>9.6672834645669283</v>
      </c>
      <c r="N202" s="8">
        <v>1356</v>
      </c>
      <c r="R202" s="250">
        <f t="shared" si="15"/>
        <v>10</v>
      </c>
    </row>
    <row r="203" spans="1:18" outlineLevel="1">
      <c r="A203" s="4">
        <v>203</v>
      </c>
      <c r="B203" s="89" t="s">
        <v>1092</v>
      </c>
      <c r="C203" s="8" t="str">
        <f>IF(B203="","",VLOOKUP(B203,经纬!B:C,2,FALSE))</f>
        <v>50*50</v>
      </c>
      <c r="D203" s="8">
        <f>IF(B203="","",VLOOKUP(B203,经纬!B:G,6,FALSE))</f>
        <v>37</v>
      </c>
      <c r="E203" s="8" t="str">
        <f t="shared" si="12"/>
        <v>190.5</v>
      </c>
      <c r="F203" s="8" t="s">
        <v>2</v>
      </c>
      <c r="G203" s="8" t="s">
        <v>287</v>
      </c>
      <c r="H203" s="89" t="s">
        <v>197</v>
      </c>
      <c r="I203" s="23">
        <v>43752</v>
      </c>
      <c r="J203" s="105" t="str">
        <f t="shared" si="13"/>
        <v>50</v>
      </c>
      <c r="K203" s="105" t="str">
        <f t="shared" si="14"/>
        <v>50</v>
      </c>
      <c r="L203" s="104">
        <f>IF(B203="","",VLOOKUP(B203&amp;F203&amp;H203,经纬!A:M,13,FALSE)*N203)</f>
        <v>193.64189999999999</v>
      </c>
      <c r="M203" s="104">
        <f>IF(B203="","",VLOOKUP(B203&amp;F203&amp;H203,经纬!A:N,14,FALSE)*N203)</f>
        <v>129.01058070866139</v>
      </c>
      <c r="N203" s="8">
        <v>6450</v>
      </c>
      <c r="R203" s="250">
        <f t="shared" si="15"/>
        <v>10</v>
      </c>
    </row>
    <row r="204" spans="1:18" outlineLevel="1">
      <c r="A204" s="4">
        <v>204</v>
      </c>
      <c r="B204" s="89" t="s">
        <v>1084</v>
      </c>
      <c r="C204" s="8" t="str">
        <f>IF(B204="","",VLOOKUP(B204,经纬!B:C,2,FALSE))</f>
        <v>75*100</v>
      </c>
      <c r="D204" s="8">
        <f>IF(B204="","",VLOOKUP(B204,经纬!B:G,6,FALSE))</f>
        <v>50</v>
      </c>
      <c r="E204" s="8" t="str">
        <f t="shared" si="12"/>
        <v>190.5</v>
      </c>
      <c r="F204" s="8" t="s">
        <v>2</v>
      </c>
      <c r="G204" s="8" t="s">
        <v>287</v>
      </c>
      <c r="H204" s="89" t="s">
        <v>197</v>
      </c>
      <c r="I204" s="23">
        <v>43752</v>
      </c>
      <c r="J204" s="105" t="str">
        <f t="shared" si="13"/>
        <v>75</v>
      </c>
      <c r="K204" s="105" t="str">
        <f t="shared" si="14"/>
        <v>100</v>
      </c>
      <c r="L204" s="104">
        <f>IF(B204="","",VLOOKUP(B204&amp;F204&amp;H204,经纬!A:M,13,FALSE)*N204)</f>
        <v>81.626179999999991</v>
      </c>
      <c r="M204" s="104">
        <f>IF(B204="","",VLOOKUP(B204&amp;F204&amp;H204,经纬!A:N,14,FALSE)*N204)</f>
        <v>82.266971784776899</v>
      </c>
      <c r="N204" s="8">
        <v>2377</v>
      </c>
      <c r="R204" s="250">
        <f t="shared" si="15"/>
        <v>10</v>
      </c>
    </row>
    <row r="205" spans="1:18" outlineLevel="1">
      <c r="A205" s="4">
        <v>205</v>
      </c>
      <c r="B205" s="89" t="s">
        <v>1115</v>
      </c>
      <c r="C205" s="8" t="str">
        <f>IF(B205="","",VLOOKUP(B205,经纬!B:C,2,FALSE))</f>
        <v>75*150</v>
      </c>
      <c r="D205" s="8">
        <f>IF(B205="","",VLOOKUP(B205,经纬!B:G,6,FALSE))</f>
        <v>54</v>
      </c>
      <c r="E205" s="8" t="str">
        <f t="shared" si="12"/>
        <v>190.5</v>
      </c>
      <c r="F205" s="8" t="s">
        <v>2</v>
      </c>
      <c r="G205" s="8" t="s">
        <v>287</v>
      </c>
      <c r="H205" s="89" t="s">
        <v>197</v>
      </c>
      <c r="I205" s="23">
        <v>43752</v>
      </c>
      <c r="J205" s="105" t="str">
        <f t="shared" si="13"/>
        <v>75</v>
      </c>
      <c r="K205" s="105" t="str">
        <f t="shared" si="14"/>
        <v>150</v>
      </c>
      <c r="L205" s="104">
        <f>IF(B205="","",VLOOKUP(B205&amp;F205&amp;H205,经纬!A:M,13,FALSE)*N205)</f>
        <v>54.737959999999994</v>
      </c>
      <c r="M205" s="104">
        <f>IF(B205="","",VLOOKUP(B205&amp;F205&amp;H205,经纬!A:N,14,FALSE)*N205)</f>
        <v>62.332303149606297</v>
      </c>
      <c r="N205" s="8">
        <v>1594</v>
      </c>
      <c r="R205" s="250">
        <f t="shared" si="15"/>
        <v>10</v>
      </c>
    </row>
    <row r="206" spans="1:18" outlineLevel="1">
      <c r="A206" s="4">
        <v>206</v>
      </c>
      <c r="B206" s="89" t="s">
        <v>1115</v>
      </c>
      <c r="C206" s="8" t="str">
        <f>IF(B206="","",VLOOKUP(B206,经纬!B:C,2,FALSE))</f>
        <v>75*150</v>
      </c>
      <c r="D206" s="8">
        <f>IF(B206="","",VLOOKUP(B206,经纬!B:G,6,FALSE))</f>
        <v>54</v>
      </c>
      <c r="E206" s="8" t="str">
        <f t="shared" si="12"/>
        <v>190.5</v>
      </c>
      <c r="F206" s="8" t="s">
        <v>2</v>
      </c>
      <c r="G206" s="8" t="s">
        <v>287</v>
      </c>
      <c r="H206" s="89" t="s">
        <v>2444</v>
      </c>
      <c r="I206" s="23">
        <v>43752</v>
      </c>
      <c r="J206" s="105" t="str">
        <f t="shared" si="13"/>
        <v>75</v>
      </c>
      <c r="K206" s="105" t="str">
        <f t="shared" si="14"/>
        <v>150</v>
      </c>
      <c r="L206" s="104">
        <f>IF(B206="","",VLOOKUP(B206&amp;F206&amp;H206,经纬!A:M,13,FALSE)*N206)</f>
        <v>131.65955999999997</v>
      </c>
      <c r="M206" s="104">
        <f>IF(B206="","",VLOOKUP(B206&amp;F206&amp;H206,经纬!A:N,14,FALSE)*N206)</f>
        <v>149.92600393700786</v>
      </c>
      <c r="N206" s="8">
        <v>3834</v>
      </c>
      <c r="R206" s="250">
        <f t="shared" si="15"/>
        <v>10</v>
      </c>
    </row>
    <row r="207" spans="1:18" outlineLevel="1">
      <c r="A207" s="4">
        <v>207</v>
      </c>
      <c r="B207" s="89" t="s">
        <v>1120</v>
      </c>
      <c r="C207" s="8" t="str">
        <f>IF(B207="","",VLOOKUP(B207,经纬!B:C,2,FALSE))</f>
        <v>75*150</v>
      </c>
      <c r="D207" s="8">
        <f>IF(B207="","",VLOOKUP(B207,经纬!B:G,6,FALSE))</f>
        <v>58</v>
      </c>
      <c r="E207" s="8" t="str">
        <f t="shared" si="12"/>
        <v>190.5</v>
      </c>
      <c r="F207" s="8" t="s">
        <v>2</v>
      </c>
      <c r="G207" s="8" t="s">
        <v>287</v>
      </c>
      <c r="H207" s="89" t="s">
        <v>197</v>
      </c>
      <c r="I207" s="23">
        <v>43752</v>
      </c>
      <c r="J207" s="105" t="str">
        <f t="shared" si="13"/>
        <v>75</v>
      </c>
      <c r="K207" s="105" t="str">
        <f t="shared" si="14"/>
        <v>150</v>
      </c>
      <c r="L207" s="104">
        <f>IF(B207="","",VLOOKUP(B207&amp;F207&amp;H207,经纬!A:M,13,FALSE)*N207)</f>
        <v>59.408199999999994</v>
      </c>
      <c r="M207" s="104">
        <f>IF(B207="","",VLOOKUP(B207&amp;F207&amp;H207,经纬!A:N,14,FALSE)*N207)</f>
        <v>73.482431102362199</v>
      </c>
      <c r="N207" s="8">
        <v>1730</v>
      </c>
      <c r="R207" s="250">
        <f t="shared" si="15"/>
        <v>10</v>
      </c>
    </row>
    <row r="208" spans="1:18" outlineLevel="1">
      <c r="A208" s="4">
        <v>208</v>
      </c>
      <c r="B208" s="89" t="s">
        <v>1098</v>
      </c>
      <c r="C208" s="8" t="str">
        <f>IF(B208="","",VLOOKUP(B208,经纬!B:C,2,FALSE))</f>
        <v>75*300</v>
      </c>
      <c r="D208" s="8">
        <f>IF(B208="","",VLOOKUP(B208,经纬!B:G,6,FALSE))</f>
        <v>70</v>
      </c>
      <c r="E208" s="8" t="str">
        <f t="shared" si="12"/>
        <v>190.5</v>
      </c>
      <c r="F208" s="8" t="s">
        <v>2</v>
      </c>
      <c r="G208" s="8" t="s">
        <v>287</v>
      </c>
      <c r="H208" s="89" t="s">
        <v>197</v>
      </c>
      <c r="I208" s="23">
        <v>43752</v>
      </c>
      <c r="J208" s="105" t="str">
        <f t="shared" si="13"/>
        <v>75</v>
      </c>
      <c r="K208" s="105" t="str">
        <f t="shared" si="14"/>
        <v>300</v>
      </c>
      <c r="L208" s="104">
        <f>IF(B208="","",VLOOKUP(B208&amp;F208&amp;H208,经纬!A:M,13,FALSE)*N208)</f>
        <v>56.626659999999994</v>
      </c>
      <c r="M208" s="104">
        <f>IF(B208="","",VLOOKUP(B208&amp;F208&amp;H208,经纬!A:N,14,FALSE)*N208)</f>
        <v>102.28344488188975</v>
      </c>
      <c r="N208" s="8">
        <v>1649</v>
      </c>
      <c r="R208" s="250">
        <f t="shared" si="15"/>
        <v>10</v>
      </c>
    </row>
    <row r="209" spans="1:18" outlineLevel="1">
      <c r="A209" s="4">
        <v>209</v>
      </c>
      <c r="B209" s="89" t="s">
        <v>1093</v>
      </c>
      <c r="C209" s="8" t="str">
        <f>IF(B209="","",VLOOKUP(B209,经纬!B:C,2,FALSE))</f>
        <v>75*75</v>
      </c>
      <c r="D209" s="8">
        <f>IF(B209="","",VLOOKUP(B209,经纬!B:G,6,FALSE))</f>
        <v>43</v>
      </c>
      <c r="E209" s="8" t="str">
        <f t="shared" si="12"/>
        <v>190.5</v>
      </c>
      <c r="F209" s="8" t="s">
        <v>1</v>
      </c>
      <c r="G209" s="8" t="s">
        <v>287</v>
      </c>
      <c r="H209" s="89" t="s">
        <v>197</v>
      </c>
      <c r="I209" s="23">
        <v>43752</v>
      </c>
      <c r="J209" s="105" t="str">
        <f t="shared" si="13"/>
        <v>75</v>
      </c>
      <c r="K209" s="105" t="str">
        <f t="shared" si="14"/>
        <v>75</v>
      </c>
      <c r="L209" s="104">
        <f>IF(B209="","",VLOOKUP(B209&amp;F209&amp;H209,经纬!A:M,13,FALSE)*N209)</f>
        <v>474.23539999999991</v>
      </c>
      <c r="M209" s="104">
        <f>IF(B209="","",VLOOKUP(B209&amp;F209&amp;H209,经纬!A:N,14,FALSE)*N209)</f>
        <v>363.12416338582671</v>
      </c>
      <c r="N209" s="8">
        <v>13810</v>
      </c>
      <c r="R209" s="250">
        <f t="shared" si="15"/>
        <v>10</v>
      </c>
    </row>
    <row r="210" spans="1:18" outlineLevel="1">
      <c r="A210" s="4">
        <v>210</v>
      </c>
      <c r="B210" s="89" t="s">
        <v>1115</v>
      </c>
      <c r="C210" s="8" t="str">
        <f>IF(B210="","",VLOOKUP(B210,经纬!B:C,2,FALSE))</f>
        <v>75*150</v>
      </c>
      <c r="D210" s="8">
        <f>IF(B210="","",VLOOKUP(B210,经纬!B:G,6,FALSE))</f>
        <v>54</v>
      </c>
      <c r="E210" s="8" t="str">
        <f t="shared" si="12"/>
        <v>190.5</v>
      </c>
      <c r="F210" s="8" t="s">
        <v>1</v>
      </c>
      <c r="G210" s="8" t="s">
        <v>287</v>
      </c>
      <c r="H210" s="89" t="s">
        <v>2444</v>
      </c>
      <c r="I210" s="23">
        <v>43752</v>
      </c>
      <c r="J210" s="105" t="str">
        <f t="shared" si="13"/>
        <v>75</v>
      </c>
      <c r="K210" s="105" t="str">
        <f t="shared" si="14"/>
        <v>150</v>
      </c>
      <c r="L210" s="104">
        <f>IF(B210="","",VLOOKUP(B210&amp;F210&amp;H210,经纬!A:M,13,FALSE)*N210)</f>
        <v>266.23801999999995</v>
      </c>
      <c r="M210" s="104">
        <f>IF(B210="","",VLOOKUP(B210&amp;F210&amp;H210,经纬!A:N,14,FALSE)*N210)</f>
        <v>303.17587598425195</v>
      </c>
      <c r="N210" s="8">
        <v>7753</v>
      </c>
      <c r="R210" s="250">
        <f t="shared" si="15"/>
        <v>10</v>
      </c>
    </row>
    <row r="211" spans="1:18" outlineLevel="1">
      <c r="A211" s="4">
        <v>211</v>
      </c>
      <c r="B211" s="89" t="s">
        <v>1120</v>
      </c>
      <c r="C211" s="8" t="str">
        <f>IF(B211="","",VLOOKUP(B211,经纬!B:C,2,FALSE))</f>
        <v>75*150</v>
      </c>
      <c r="D211" s="8">
        <f>IF(B211="","",VLOOKUP(B211,经纬!B:G,6,FALSE))</f>
        <v>58</v>
      </c>
      <c r="E211" s="8" t="str">
        <f t="shared" si="12"/>
        <v>190.5</v>
      </c>
      <c r="F211" s="8" t="s">
        <v>1</v>
      </c>
      <c r="G211" s="8" t="s">
        <v>287</v>
      </c>
      <c r="H211" s="89" t="s">
        <v>197</v>
      </c>
      <c r="I211" s="23">
        <v>43752</v>
      </c>
      <c r="J211" s="105" t="str">
        <f t="shared" si="13"/>
        <v>75</v>
      </c>
      <c r="K211" s="105" t="str">
        <f t="shared" si="14"/>
        <v>150</v>
      </c>
      <c r="L211" s="104">
        <f>IF(B211="","",VLOOKUP(B211&amp;F211&amp;H211,经纬!A:M,13,FALSE)*N211)</f>
        <v>118.98809999999999</v>
      </c>
      <c r="M211" s="104">
        <f>IF(B211="","",VLOOKUP(B211&amp;F211&amp;H211,经纬!A:N,14,FALSE)*N211)</f>
        <v>147.17723917322834</v>
      </c>
      <c r="N211" s="8">
        <v>3465</v>
      </c>
      <c r="R211" s="250">
        <f t="shared" si="15"/>
        <v>10</v>
      </c>
    </row>
    <row r="212" spans="1:18" outlineLevel="1">
      <c r="A212" s="4">
        <v>212</v>
      </c>
      <c r="B212" s="89" t="s">
        <v>1098</v>
      </c>
      <c r="C212" s="8" t="str">
        <f>IF(B212="","",VLOOKUP(B212,经纬!B:C,2,FALSE))</f>
        <v>75*300</v>
      </c>
      <c r="D212" s="8">
        <f>IF(B212="","",VLOOKUP(B212,经纬!B:G,6,FALSE))</f>
        <v>70</v>
      </c>
      <c r="E212" s="8" t="str">
        <f t="shared" si="12"/>
        <v>190.5</v>
      </c>
      <c r="F212" s="8" t="s">
        <v>1</v>
      </c>
      <c r="G212" s="8" t="s">
        <v>287</v>
      </c>
      <c r="H212" s="89" t="s">
        <v>197</v>
      </c>
      <c r="I212" s="23">
        <v>43752</v>
      </c>
      <c r="J212" s="105" t="str">
        <f t="shared" si="13"/>
        <v>75</v>
      </c>
      <c r="K212" s="105" t="str">
        <f t="shared" si="14"/>
        <v>300</v>
      </c>
      <c r="L212" s="104">
        <f>IF(B212="","",VLOOKUP(B212&amp;F212&amp;H212,经纬!A:M,13,FALSE)*N212)</f>
        <v>197.07725999999997</v>
      </c>
      <c r="M212" s="104">
        <f>IF(B212="","",VLOOKUP(B212&amp;F212&amp;H212,经纬!A:N,14,FALSE)*N212)</f>
        <v>355.97616141732277</v>
      </c>
      <c r="N212" s="8">
        <v>5739</v>
      </c>
      <c r="R212" s="250">
        <f t="shared" si="15"/>
        <v>10</v>
      </c>
    </row>
    <row r="213" spans="1:18" outlineLevel="1">
      <c r="A213" s="4">
        <v>213</v>
      </c>
      <c r="B213" s="89" t="s">
        <v>1125</v>
      </c>
      <c r="C213" s="8" t="str">
        <f>IF(B213="","",VLOOKUP(B213,经纬!B:C,2,FALSE))</f>
        <v>200*300</v>
      </c>
      <c r="D213" s="8">
        <f>IF(B213="","",VLOOKUP(B213,经纬!B:G,6,FALSE))</f>
        <v>106</v>
      </c>
      <c r="E213" s="8" t="str">
        <f t="shared" si="12"/>
        <v>180</v>
      </c>
      <c r="F213" s="8" t="s">
        <v>2</v>
      </c>
      <c r="G213" s="8" t="s">
        <v>287</v>
      </c>
      <c r="H213" s="89" t="s">
        <v>2444</v>
      </c>
      <c r="I213" s="23">
        <v>43752</v>
      </c>
      <c r="J213" s="105" t="str">
        <f t="shared" si="13"/>
        <v>200</v>
      </c>
      <c r="K213" s="105" t="str">
        <f t="shared" si="14"/>
        <v>300</v>
      </c>
      <c r="L213" s="104">
        <f>IF(B213="","",VLOOKUP(B213&amp;F213&amp;H213,经纬!A:M,13,FALSE)*N213)</f>
        <v>351.40133333333335</v>
      </c>
      <c r="M213" s="104">
        <f>IF(B213="","",VLOOKUP(B213&amp;F213&amp;H213,经纬!A:N,14,FALSE)*N213)</f>
        <v>268.06102362204729</v>
      </c>
      <c r="N213" s="8">
        <v>4190</v>
      </c>
      <c r="R213" s="250">
        <f t="shared" si="15"/>
        <v>10</v>
      </c>
    </row>
    <row r="214" spans="1:18" outlineLevel="1">
      <c r="A214" s="4">
        <v>214</v>
      </c>
      <c r="B214" s="89" t="s">
        <v>1117</v>
      </c>
      <c r="C214" s="8" t="str">
        <f>IF(B214="","",VLOOKUP(B214,经纬!B:C,2,FALSE))</f>
        <v>200*300</v>
      </c>
      <c r="D214" s="8">
        <f>IF(B214="","",VLOOKUP(B214,经纬!B:G,6,FALSE))</f>
        <v>116</v>
      </c>
      <c r="E214" s="8" t="str">
        <f t="shared" si="12"/>
        <v>180</v>
      </c>
      <c r="F214" s="8" t="s">
        <v>2</v>
      </c>
      <c r="G214" s="8" t="s">
        <v>287</v>
      </c>
      <c r="H214" s="89" t="s">
        <v>2444</v>
      </c>
      <c r="I214" s="23">
        <v>43752</v>
      </c>
      <c r="J214" s="105" t="str">
        <f t="shared" si="13"/>
        <v>200</v>
      </c>
      <c r="K214" s="105" t="str">
        <f t="shared" si="14"/>
        <v>300</v>
      </c>
      <c r="L214" s="104">
        <f>IF(B214="","",VLOOKUP(B214&amp;F214&amp;H214,经纬!A:M,13,FALSE)*N214)</f>
        <v>265.85733333333337</v>
      </c>
      <c r="M214" s="104">
        <f>IF(B214="","",VLOOKUP(B214&amp;F214&amp;H214,经纬!A:N,14,FALSE)*N214)</f>
        <v>239.31003937007873</v>
      </c>
      <c r="N214" s="8">
        <v>3170</v>
      </c>
      <c r="R214" s="250">
        <f t="shared" si="15"/>
        <v>10</v>
      </c>
    </row>
    <row r="215" spans="1:18" outlineLevel="1">
      <c r="A215" s="4">
        <v>215</v>
      </c>
      <c r="B215" s="89" t="s">
        <v>1107</v>
      </c>
      <c r="C215" s="8" t="str">
        <f>IF(B215="","",VLOOKUP(B215,经纬!B:C,2,FALSE))</f>
        <v>200*300</v>
      </c>
      <c r="D215" s="8">
        <f>IF(B215="","",VLOOKUP(B215,经纬!B:G,6,FALSE))</f>
        <v>135</v>
      </c>
      <c r="E215" s="8" t="str">
        <f t="shared" si="12"/>
        <v>180</v>
      </c>
      <c r="F215" s="8" t="s">
        <v>2</v>
      </c>
      <c r="G215" s="8" t="s">
        <v>287</v>
      </c>
      <c r="H215" s="89" t="s">
        <v>2444</v>
      </c>
      <c r="I215" s="23">
        <v>43752</v>
      </c>
      <c r="J215" s="105" t="str">
        <f t="shared" si="13"/>
        <v>200</v>
      </c>
      <c r="K215" s="105" t="str">
        <f t="shared" si="14"/>
        <v>300</v>
      </c>
      <c r="L215" s="104">
        <f>IF(B215="","",VLOOKUP(B215&amp;F215&amp;H215,经纬!A:M,13,FALSE)*N215)</f>
        <v>524.79317333333336</v>
      </c>
      <c r="M215" s="104">
        <f>IF(B215="","",VLOOKUP(B215&amp;F215&amp;H215,经纬!A:N,14,FALSE)*N215)</f>
        <v>677.7913385826771</v>
      </c>
      <c r="N215" s="8">
        <v>6460</v>
      </c>
      <c r="R215" s="250">
        <f t="shared" si="15"/>
        <v>10</v>
      </c>
    </row>
    <row r="216" spans="1:18" outlineLevel="1">
      <c r="A216" s="4">
        <v>218</v>
      </c>
      <c r="B216" s="89" t="s">
        <v>1092</v>
      </c>
      <c r="C216" s="8" t="str">
        <f>IF(B216="","",VLOOKUP(B216,经纬!B:C,2,FALSE))</f>
        <v>50*50</v>
      </c>
      <c r="D216" s="8">
        <f>IF(B216="","",VLOOKUP(B216,经纬!B:G,6,FALSE))</f>
        <v>37</v>
      </c>
      <c r="E216" s="8" t="str">
        <f t="shared" si="12"/>
        <v>190.5</v>
      </c>
      <c r="F216" s="8" t="s">
        <v>2</v>
      </c>
      <c r="G216" s="8" t="s">
        <v>282</v>
      </c>
      <c r="H216" s="89" t="s">
        <v>197</v>
      </c>
      <c r="I216" s="23">
        <v>43752</v>
      </c>
      <c r="J216" s="105" t="str">
        <f t="shared" si="13"/>
        <v>50</v>
      </c>
      <c r="K216" s="105" t="str">
        <f t="shared" si="14"/>
        <v>50</v>
      </c>
      <c r="L216" s="104">
        <f>IF(B216="","",VLOOKUP(B216&amp;F216&amp;H216,经纬!A:M,13,FALSE)*N216)</f>
        <v>28.100591999999999</v>
      </c>
      <c r="M216" s="104">
        <f>IF(B216="","",VLOOKUP(B216&amp;F216&amp;H216,经纬!A:N,14,FALSE)*N216)</f>
        <v>18.721535433070866</v>
      </c>
      <c r="N216" s="8">
        <v>936</v>
      </c>
      <c r="R216" s="250">
        <f t="shared" si="15"/>
        <v>10</v>
      </c>
    </row>
    <row r="217" spans="1:18" outlineLevel="1">
      <c r="A217" s="4">
        <v>219</v>
      </c>
      <c r="B217" s="89" t="s">
        <v>1084</v>
      </c>
      <c r="C217" s="8" t="str">
        <f>IF(B217="","",VLOOKUP(B217,经纬!B:C,2,FALSE))</f>
        <v>75*100</v>
      </c>
      <c r="D217" s="8">
        <f>IF(B217="","",VLOOKUP(B217,经纬!B:G,6,FALSE))</f>
        <v>50</v>
      </c>
      <c r="E217" s="8" t="str">
        <f t="shared" si="12"/>
        <v>190.5</v>
      </c>
      <c r="F217" s="8" t="s">
        <v>2</v>
      </c>
      <c r="G217" s="8" t="s">
        <v>282</v>
      </c>
      <c r="H217" s="89" t="s">
        <v>197</v>
      </c>
      <c r="I217" s="23">
        <v>43752</v>
      </c>
      <c r="J217" s="105" t="str">
        <f t="shared" si="13"/>
        <v>75</v>
      </c>
      <c r="K217" s="105" t="str">
        <f t="shared" si="14"/>
        <v>100</v>
      </c>
      <c r="L217" s="104">
        <f>IF(B217="","",VLOOKUP(B217&amp;F217&amp;H217,经纬!A:M,13,FALSE)*N217)</f>
        <v>81.832219999999992</v>
      </c>
      <c r="M217" s="104">
        <f>IF(B217="","",VLOOKUP(B217&amp;F217&amp;H217,经纬!A:N,14,FALSE)*N217)</f>
        <v>82.474629265091849</v>
      </c>
      <c r="N217" s="8">
        <v>2383</v>
      </c>
      <c r="R217" s="250">
        <f t="shared" si="15"/>
        <v>10</v>
      </c>
    </row>
    <row r="218" spans="1:18" outlineLevel="1">
      <c r="A218" s="4">
        <v>221</v>
      </c>
      <c r="B218" s="89" t="s">
        <v>1120</v>
      </c>
      <c r="C218" s="8" t="str">
        <f>IF(B218="","",VLOOKUP(B218,经纬!B:C,2,FALSE))</f>
        <v>75*150</v>
      </c>
      <c r="D218" s="8">
        <f>IF(B218="","",VLOOKUP(B218,经纬!B:G,6,FALSE))</f>
        <v>58</v>
      </c>
      <c r="E218" s="8" t="str">
        <f t="shared" si="12"/>
        <v>190.5</v>
      </c>
      <c r="F218" s="8" t="s">
        <v>1</v>
      </c>
      <c r="G218" s="8" t="s">
        <v>282</v>
      </c>
      <c r="H218" s="89" t="s">
        <v>197</v>
      </c>
      <c r="I218" s="23">
        <v>43752</v>
      </c>
      <c r="J218" s="105" t="str">
        <f t="shared" si="13"/>
        <v>75</v>
      </c>
      <c r="K218" s="105" t="str">
        <f t="shared" si="14"/>
        <v>150</v>
      </c>
      <c r="L218" s="104">
        <f>IF(B218="","",VLOOKUP(B218&amp;F218&amp;H218,经纬!A:M,13,FALSE)*N218)</f>
        <v>18.715299999999999</v>
      </c>
      <c r="M218" s="104">
        <f>IF(B218="","",VLOOKUP(B218&amp;F218&amp;H218,经纬!A:N,14,FALSE)*N218)</f>
        <v>23.149089566929135</v>
      </c>
      <c r="N218" s="8">
        <v>545</v>
      </c>
      <c r="R218" s="250">
        <f t="shared" si="15"/>
        <v>10</v>
      </c>
    </row>
    <row r="219" spans="1:18" outlineLevel="1">
      <c r="A219" s="4">
        <v>222</v>
      </c>
      <c r="B219" s="89" t="s">
        <v>1098</v>
      </c>
      <c r="C219" s="8" t="str">
        <f>IF(B219="","",VLOOKUP(B219,经纬!B:C,2,FALSE))</f>
        <v>75*300</v>
      </c>
      <c r="D219" s="8">
        <f>IF(B219="","",VLOOKUP(B219,经纬!B:G,6,FALSE))</f>
        <v>70</v>
      </c>
      <c r="E219" s="8" t="str">
        <f t="shared" si="12"/>
        <v>190.5</v>
      </c>
      <c r="F219" s="8" t="s">
        <v>1</v>
      </c>
      <c r="G219" s="8" t="s">
        <v>282</v>
      </c>
      <c r="H219" s="89" t="s">
        <v>197</v>
      </c>
      <c r="I219" s="23">
        <v>43752</v>
      </c>
      <c r="J219" s="105" t="str">
        <f t="shared" si="13"/>
        <v>75</v>
      </c>
      <c r="K219" s="105" t="str">
        <f t="shared" si="14"/>
        <v>300</v>
      </c>
      <c r="L219" s="104">
        <f>IF(B219="","",VLOOKUP(B219&amp;F219&amp;H219,经纬!A:M,13,FALSE)*N219)</f>
        <v>18.371899999999997</v>
      </c>
      <c r="M219" s="104">
        <f>IF(B219="","",VLOOKUP(B219&amp;F219&amp;H219,经纬!A:N,14,FALSE)*N219)</f>
        <v>33.184744094488181</v>
      </c>
      <c r="N219" s="8">
        <v>535</v>
      </c>
      <c r="R219" s="250">
        <f t="shared" si="15"/>
        <v>10</v>
      </c>
    </row>
    <row r="220" spans="1:18" outlineLevel="1">
      <c r="A220" s="4">
        <v>223</v>
      </c>
      <c r="B220" s="89" t="s">
        <v>1151</v>
      </c>
      <c r="C220" s="8" t="str">
        <f>IF(B220="","",VLOOKUP(B220,经纬!B:C,2,FALSE))</f>
        <v>50*50</v>
      </c>
      <c r="D220" s="8">
        <f>IF(B220="","",VLOOKUP(B220,经纬!B:G,6,FALSE))</f>
        <v>37</v>
      </c>
      <c r="E220" s="8" t="str">
        <f t="shared" si="12"/>
        <v>190.5</v>
      </c>
      <c r="F220" s="8" t="s">
        <v>2</v>
      </c>
      <c r="G220" s="8" t="s">
        <v>287</v>
      </c>
      <c r="H220" s="89" t="s">
        <v>197</v>
      </c>
      <c r="I220" s="23">
        <v>43753</v>
      </c>
      <c r="J220" s="105" t="str">
        <f t="shared" si="13"/>
        <v>50</v>
      </c>
      <c r="K220" s="105" t="str">
        <f t="shared" si="14"/>
        <v>50</v>
      </c>
      <c r="L220" s="104">
        <f>IF(B220="","",VLOOKUP(B220&amp;F220&amp;H220,经纬!A:M,13,FALSE)*N220)</f>
        <v>361.49490200000002</v>
      </c>
      <c r="M220" s="104">
        <f>IF(B220="","",VLOOKUP(B220&amp;F220&amp;H220,经纬!A:N,14,FALSE)*N220)</f>
        <v>240.8397522965879</v>
      </c>
      <c r="N220" s="8">
        <v>12041</v>
      </c>
      <c r="R220" s="250">
        <f t="shared" si="15"/>
        <v>10</v>
      </c>
    </row>
    <row r="221" spans="1:18" outlineLevel="1">
      <c r="A221" s="4">
        <v>224</v>
      </c>
      <c r="B221" s="89" t="s">
        <v>1152</v>
      </c>
      <c r="C221" s="8" t="str">
        <f>IF(B221="","",VLOOKUP(B221,经纬!B:C,2,FALSE))</f>
        <v>50*75</v>
      </c>
      <c r="D221" s="8">
        <f>IF(B221="","",VLOOKUP(B221,经纬!B:G,6,FALSE))</f>
        <v>44</v>
      </c>
      <c r="E221" s="8" t="str">
        <f t="shared" si="12"/>
        <v>190</v>
      </c>
      <c r="F221" s="8" t="s">
        <v>2</v>
      </c>
      <c r="G221" s="8" t="s">
        <v>287</v>
      </c>
      <c r="H221" s="89" t="s">
        <v>1110</v>
      </c>
      <c r="I221" s="23">
        <v>43753</v>
      </c>
      <c r="J221" s="105" t="str">
        <f t="shared" si="13"/>
        <v>50</v>
      </c>
      <c r="K221" s="105" t="str">
        <f t="shared" si="14"/>
        <v>75</v>
      </c>
      <c r="L221" s="104">
        <f>IF(B221="","",VLOOKUP(B221&amp;F221&amp;H221,经纬!A:M,13,FALSE)*N221)</f>
        <v>237.894328</v>
      </c>
      <c r="M221" s="104">
        <f>IF(B221="","",VLOOKUP(B221&amp;F221&amp;H221,经纬!A:N,14,FALSE)*N221)</f>
        <v>431.68641732283464</v>
      </c>
      <c r="N221" s="8">
        <v>7924</v>
      </c>
      <c r="R221" s="250">
        <f t="shared" si="15"/>
        <v>10</v>
      </c>
    </row>
    <row r="222" spans="1:18" outlineLevel="1">
      <c r="A222" s="4">
        <v>225</v>
      </c>
      <c r="B222" s="89" t="s">
        <v>1151</v>
      </c>
      <c r="C222" s="8" t="str">
        <f>IF(B222="","",VLOOKUP(B222,经纬!B:C,2,FALSE))</f>
        <v>50*50</v>
      </c>
      <c r="D222" s="8">
        <f>IF(B222="","",VLOOKUP(B222,经纬!B:G,6,FALSE))</f>
        <v>37</v>
      </c>
      <c r="E222" s="8" t="str">
        <f t="shared" si="12"/>
        <v>190.5</v>
      </c>
      <c r="F222" s="8" t="s">
        <v>1</v>
      </c>
      <c r="G222" s="8" t="s">
        <v>287</v>
      </c>
      <c r="H222" s="89" t="s">
        <v>197</v>
      </c>
      <c r="I222" s="23">
        <v>43753</v>
      </c>
      <c r="J222" s="105" t="str">
        <f t="shared" si="13"/>
        <v>50</v>
      </c>
      <c r="K222" s="105" t="str">
        <f t="shared" si="14"/>
        <v>50</v>
      </c>
      <c r="L222" s="104">
        <f>IF(B222="","",VLOOKUP(B222&amp;F222&amp;H222,经纬!A:M,13,FALSE)*N222)</f>
        <v>84.151666000000006</v>
      </c>
      <c r="M222" s="104">
        <f>IF(B222="","",VLOOKUP(B222&amp;F222&amp;H222,经纬!A:N,14,FALSE)*N222)</f>
        <v>56.064598097112857</v>
      </c>
      <c r="N222" s="8">
        <v>2803</v>
      </c>
      <c r="R222" s="250">
        <f t="shared" si="15"/>
        <v>10</v>
      </c>
    </row>
    <row r="223" spans="1:18" outlineLevel="1">
      <c r="A223" s="4">
        <v>226</v>
      </c>
      <c r="B223" s="89" t="s">
        <v>1153</v>
      </c>
      <c r="C223" s="8" t="str">
        <f>IF(B223="","",VLOOKUP(B223,经纬!B:C,2,FALSE))</f>
        <v>75*75</v>
      </c>
      <c r="D223" s="8">
        <f>IF(B223="","",VLOOKUP(B223,经纬!B:G,6,FALSE))</f>
        <v>43</v>
      </c>
      <c r="E223" s="8" t="str">
        <f t="shared" si="12"/>
        <v>190.5</v>
      </c>
      <c r="F223" s="8" t="s">
        <v>2</v>
      </c>
      <c r="G223" s="8" t="s">
        <v>287</v>
      </c>
      <c r="H223" s="89" t="s">
        <v>197</v>
      </c>
      <c r="I223" s="23">
        <v>43753</v>
      </c>
      <c r="J223" s="105" t="str">
        <f t="shared" si="13"/>
        <v>75</v>
      </c>
      <c r="K223" s="105" t="str">
        <f t="shared" si="14"/>
        <v>75</v>
      </c>
      <c r="L223" s="104">
        <f>IF(B223="","",VLOOKUP(B223&amp;F223&amp;H223,经纬!A:M,13,FALSE)*N223)</f>
        <v>314.76043999999996</v>
      </c>
      <c r="M223" s="104">
        <f>IF(B223="","",VLOOKUP(B223&amp;F223&amp;H223,经纬!A:N,14,FALSE)*N223)</f>
        <v>241.01347440944878</v>
      </c>
      <c r="N223" s="8">
        <v>9166</v>
      </c>
      <c r="R223" s="250">
        <f t="shared" si="15"/>
        <v>10</v>
      </c>
    </row>
    <row r="224" spans="1:18" outlineLevel="1">
      <c r="A224" s="4">
        <v>227</v>
      </c>
      <c r="B224" s="89" t="s">
        <v>1154</v>
      </c>
      <c r="C224" s="8" t="str">
        <f>IF(B224="","",VLOOKUP(B224,经纬!B:C,2,FALSE))</f>
        <v>75*100</v>
      </c>
      <c r="D224" s="8">
        <f>IF(B224="","",VLOOKUP(B224,经纬!B:G,6,FALSE))</f>
        <v>50</v>
      </c>
      <c r="E224" s="8" t="str">
        <f t="shared" si="12"/>
        <v>190.5</v>
      </c>
      <c r="F224" s="8" t="s">
        <v>2</v>
      </c>
      <c r="G224" s="8" t="s">
        <v>287</v>
      </c>
      <c r="H224" s="89" t="s">
        <v>197</v>
      </c>
      <c r="I224" s="23">
        <v>43753</v>
      </c>
      <c r="J224" s="105" t="str">
        <f t="shared" si="13"/>
        <v>75</v>
      </c>
      <c r="K224" s="105" t="str">
        <f t="shared" si="14"/>
        <v>100</v>
      </c>
      <c r="L224" s="104">
        <f>IF(B224="","",VLOOKUP(B224&amp;F224&amp;H224,经纬!A:M,13,FALSE)*N224)</f>
        <v>104.77133999999998</v>
      </c>
      <c r="M224" s="104">
        <f>IF(B224="","",VLOOKUP(B224&amp;F224&amp;H224,经纬!A:N,14,FALSE)*N224)</f>
        <v>105.59382874015746</v>
      </c>
      <c r="N224" s="8">
        <v>3051</v>
      </c>
      <c r="R224" s="250">
        <f t="shared" si="15"/>
        <v>10</v>
      </c>
    </row>
    <row r="225" spans="1:18" outlineLevel="1">
      <c r="A225" s="4">
        <v>228</v>
      </c>
      <c r="B225" s="89" t="s">
        <v>1155</v>
      </c>
      <c r="C225" s="8" t="str">
        <f>IF(B225="","",VLOOKUP(B225,经纬!B:C,2,FALSE))</f>
        <v>75*150</v>
      </c>
      <c r="D225" s="8">
        <f>IF(B225="","",VLOOKUP(B225,经纬!B:G,6,FALSE))</f>
        <v>58</v>
      </c>
      <c r="E225" s="8" t="str">
        <f t="shared" si="12"/>
        <v>190.5</v>
      </c>
      <c r="F225" s="8" t="s">
        <v>2</v>
      </c>
      <c r="G225" s="8" t="s">
        <v>287</v>
      </c>
      <c r="H225" s="89" t="s">
        <v>197</v>
      </c>
      <c r="I225" s="23">
        <v>43753</v>
      </c>
      <c r="J225" s="105" t="str">
        <f t="shared" si="13"/>
        <v>75</v>
      </c>
      <c r="K225" s="105" t="str">
        <f t="shared" si="14"/>
        <v>150</v>
      </c>
      <c r="L225" s="104">
        <f>IF(B225="","",VLOOKUP(B225&amp;F225&amp;H225,经纬!A:M,13,FALSE)*N225)</f>
        <v>180.52537999999998</v>
      </c>
      <c r="M225" s="104">
        <f>IF(B225="","",VLOOKUP(B225&amp;F225&amp;H225,经纬!A:N,14,FALSE)*N225)</f>
        <v>223.29314468503935</v>
      </c>
      <c r="N225" s="8">
        <v>5257</v>
      </c>
      <c r="R225" s="250">
        <f t="shared" si="15"/>
        <v>10</v>
      </c>
    </row>
    <row r="226" spans="1:18" outlineLevel="1">
      <c r="A226" s="4">
        <v>229</v>
      </c>
      <c r="B226" s="89" t="s">
        <v>1155</v>
      </c>
      <c r="C226" s="8" t="str">
        <f>IF(B226="","",VLOOKUP(B226,经纬!B:C,2,FALSE))</f>
        <v>75*150</v>
      </c>
      <c r="D226" s="8">
        <f>IF(B226="","",VLOOKUP(B226,经纬!B:G,6,FALSE))</f>
        <v>58</v>
      </c>
      <c r="E226" s="8" t="str">
        <f t="shared" si="12"/>
        <v>190.5</v>
      </c>
      <c r="F226" s="8" t="s">
        <v>2</v>
      </c>
      <c r="G226" s="8" t="s">
        <v>287</v>
      </c>
      <c r="H226" s="89" t="s">
        <v>197</v>
      </c>
      <c r="I226" s="23">
        <v>43753</v>
      </c>
      <c r="J226" s="105" t="str">
        <f t="shared" si="13"/>
        <v>75</v>
      </c>
      <c r="K226" s="105" t="str">
        <f t="shared" si="14"/>
        <v>150</v>
      </c>
      <c r="L226" s="104">
        <f>IF(B226="","",VLOOKUP(B226&amp;F226&amp;H226,经纬!A:M,13,FALSE)*N226)</f>
        <v>133.03315999999998</v>
      </c>
      <c r="M226" s="104">
        <f>IF(B226="","",VLOOKUP(B226&amp;F226&amp;H226,经纬!A:N,14,FALSE)*N226)</f>
        <v>164.54967519685039</v>
      </c>
      <c r="N226" s="8">
        <v>3874</v>
      </c>
      <c r="R226" s="250">
        <f t="shared" si="15"/>
        <v>10</v>
      </c>
    </row>
    <row r="227" spans="1:18" outlineLevel="1">
      <c r="A227" s="4">
        <v>230</v>
      </c>
      <c r="B227" s="89" t="s">
        <v>1153</v>
      </c>
      <c r="C227" s="8" t="str">
        <f>IF(B227="","",VLOOKUP(B227,经纬!B:C,2,FALSE))</f>
        <v>75*75</v>
      </c>
      <c r="D227" s="8">
        <f>IF(B227="","",VLOOKUP(B227,经纬!B:G,6,FALSE))</f>
        <v>43</v>
      </c>
      <c r="E227" s="8" t="str">
        <f t="shared" si="12"/>
        <v>190.5</v>
      </c>
      <c r="F227" s="8" t="s">
        <v>1</v>
      </c>
      <c r="G227" s="8" t="s">
        <v>287</v>
      </c>
      <c r="H227" s="89" t="s">
        <v>197</v>
      </c>
      <c r="I227" s="23">
        <v>43753</v>
      </c>
      <c r="J227" s="105" t="str">
        <f t="shared" si="13"/>
        <v>75</v>
      </c>
      <c r="K227" s="105" t="str">
        <f t="shared" si="14"/>
        <v>75</v>
      </c>
      <c r="L227" s="104">
        <f>IF(B227="","",VLOOKUP(B227&amp;F227&amp;H227,经纬!A:M,13,FALSE)*N227)</f>
        <v>58.377999999999993</v>
      </c>
      <c r="M227" s="104">
        <f>IF(B227="","",VLOOKUP(B227&amp;F227&amp;H227,经纬!A:N,14,FALSE)*N227)</f>
        <v>44.700295275590541</v>
      </c>
      <c r="N227" s="8">
        <v>1700</v>
      </c>
      <c r="R227" s="250">
        <f t="shared" si="15"/>
        <v>10</v>
      </c>
    </row>
    <row r="228" spans="1:18" outlineLevel="1">
      <c r="A228" s="4">
        <v>232</v>
      </c>
      <c r="B228" s="89" t="s">
        <v>1155</v>
      </c>
      <c r="C228" s="8" t="str">
        <f>IF(B228="","",VLOOKUP(B228,经纬!B:C,2,FALSE))</f>
        <v>75*150</v>
      </c>
      <c r="D228" s="8">
        <f>IF(B228="","",VLOOKUP(B228,经纬!B:G,6,FALSE))</f>
        <v>58</v>
      </c>
      <c r="E228" s="8" t="str">
        <f t="shared" si="12"/>
        <v>190.5</v>
      </c>
      <c r="F228" s="8" t="s">
        <v>1</v>
      </c>
      <c r="G228" s="8" t="s">
        <v>287</v>
      </c>
      <c r="H228" s="89" t="s">
        <v>197</v>
      </c>
      <c r="I228" s="23">
        <v>43753</v>
      </c>
      <c r="J228" s="105" t="str">
        <f t="shared" si="13"/>
        <v>75</v>
      </c>
      <c r="K228" s="105" t="str">
        <f t="shared" si="14"/>
        <v>150</v>
      </c>
      <c r="L228" s="104">
        <f>IF(B228="","",VLOOKUP(B228&amp;F228&amp;H228,经纬!A:M,13,FALSE)*N228)</f>
        <v>185.88241999999997</v>
      </c>
      <c r="M228" s="104">
        <f>IF(B228="","",VLOOKUP(B228&amp;F228&amp;H228,经纬!A:N,14,FALSE)*N228)</f>
        <v>229.91930610236219</v>
      </c>
      <c r="N228" s="8">
        <v>5413</v>
      </c>
      <c r="R228" s="250">
        <f t="shared" si="15"/>
        <v>10</v>
      </c>
    </row>
    <row r="229" spans="1:18" outlineLevel="1">
      <c r="A229" s="4">
        <v>233</v>
      </c>
      <c r="B229" s="89" t="s">
        <v>1156</v>
      </c>
      <c r="C229" s="8" t="str">
        <f>IF(B229="","",VLOOKUP(B229,经纬!B:C,2,FALSE))</f>
        <v>75*300</v>
      </c>
      <c r="D229" s="8">
        <f>IF(B229="","",VLOOKUP(B229,经纬!B:G,6,FALSE))</f>
        <v>70</v>
      </c>
      <c r="E229" s="8" t="str">
        <f t="shared" si="12"/>
        <v>190.5</v>
      </c>
      <c r="F229" s="8" t="s">
        <v>1</v>
      </c>
      <c r="G229" s="8" t="s">
        <v>287</v>
      </c>
      <c r="H229" s="89" t="s">
        <v>197</v>
      </c>
      <c r="I229" s="23">
        <v>43753</v>
      </c>
      <c r="J229" s="105" t="str">
        <f t="shared" si="13"/>
        <v>75</v>
      </c>
      <c r="K229" s="105" t="str">
        <f t="shared" si="14"/>
        <v>300</v>
      </c>
      <c r="L229" s="104">
        <f>IF(B229="","",VLOOKUP(B229&amp;F229&amp;H229,经纬!A:M,13,FALSE)*N229)</f>
        <v>345.56341999999995</v>
      </c>
      <c r="M229" s="104">
        <f>IF(B229="","",VLOOKUP(B229&amp;F229&amp;H229,经纬!A:N,14,FALSE)*N229)</f>
        <v>624.18332677165347</v>
      </c>
      <c r="N229" s="8">
        <v>10063</v>
      </c>
      <c r="R229" s="250">
        <f t="shared" si="15"/>
        <v>10</v>
      </c>
    </row>
    <row r="230" spans="1:18" outlineLevel="1">
      <c r="A230" s="4">
        <v>235</v>
      </c>
      <c r="B230" s="89" t="s">
        <v>1151</v>
      </c>
      <c r="C230" s="8" t="str">
        <f>IF(B230="","",VLOOKUP(B230,经纬!B:C,2,FALSE))</f>
        <v>50*50</v>
      </c>
      <c r="D230" s="8">
        <f>IF(B230="","",VLOOKUP(B230,经纬!B:G,6,FALSE))</f>
        <v>37</v>
      </c>
      <c r="E230" s="8" t="str">
        <f t="shared" si="12"/>
        <v>190.5</v>
      </c>
      <c r="F230" s="8" t="s">
        <v>1</v>
      </c>
      <c r="G230" s="8" t="s">
        <v>282</v>
      </c>
      <c r="H230" s="89" t="s">
        <v>197</v>
      </c>
      <c r="I230" s="23">
        <v>43753</v>
      </c>
      <c r="J230" s="105" t="str">
        <f t="shared" si="13"/>
        <v>50</v>
      </c>
      <c r="K230" s="105" t="str">
        <f t="shared" si="14"/>
        <v>50</v>
      </c>
      <c r="L230" s="104">
        <f>IF(B230="","",VLOOKUP(B230&amp;F230&amp;H230,经纬!A:M,13,FALSE)*N230)</f>
        <v>28.520900000000001</v>
      </c>
      <c r="M230" s="104">
        <f>IF(B230="","",VLOOKUP(B230&amp;F230&amp;H230,经纬!A:N,14,FALSE)*N230)</f>
        <v>19.001558398950131</v>
      </c>
      <c r="N230" s="8">
        <v>950</v>
      </c>
      <c r="R230" s="250">
        <f t="shared" si="15"/>
        <v>10</v>
      </c>
    </row>
    <row r="231" spans="1:18" outlineLevel="1">
      <c r="A231" s="4">
        <v>236</v>
      </c>
      <c r="B231" s="89" t="s">
        <v>1153</v>
      </c>
      <c r="C231" s="8" t="str">
        <f>IF(B231="","",VLOOKUP(B231,经纬!B:C,2,FALSE))</f>
        <v>75*75</v>
      </c>
      <c r="D231" s="8">
        <f>IF(B231="","",VLOOKUP(B231,经纬!B:G,6,FALSE))</f>
        <v>43</v>
      </c>
      <c r="E231" s="8" t="str">
        <f t="shared" si="12"/>
        <v>190.5</v>
      </c>
      <c r="F231" s="8" t="s">
        <v>2</v>
      </c>
      <c r="G231" s="8" t="s">
        <v>282</v>
      </c>
      <c r="H231" s="89" t="s">
        <v>197</v>
      </c>
      <c r="I231" s="23">
        <v>43753</v>
      </c>
      <c r="J231" s="105" t="str">
        <f t="shared" si="13"/>
        <v>75</v>
      </c>
      <c r="K231" s="105" t="str">
        <f t="shared" si="14"/>
        <v>75</v>
      </c>
      <c r="L231" s="104">
        <f>IF(B231="","",VLOOKUP(B231&amp;F231&amp;H231,经纬!A:M,13,FALSE)*N231)</f>
        <v>78.226519999999994</v>
      </c>
      <c r="M231" s="104">
        <f>IF(B231="","",VLOOKUP(B231&amp;F231&amp;H231,经纬!A:N,14,FALSE)*N231)</f>
        <v>59.898395669291332</v>
      </c>
      <c r="N231" s="8">
        <v>2278</v>
      </c>
      <c r="R231" s="250">
        <f t="shared" si="15"/>
        <v>10</v>
      </c>
    </row>
    <row r="232" spans="1:18" outlineLevel="1">
      <c r="A232" s="4">
        <v>237</v>
      </c>
      <c r="B232" s="89" t="s">
        <v>1156</v>
      </c>
      <c r="C232" s="8" t="str">
        <f>IF(B232="","",VLOOKUP(B232,经纬!B:C,2,FALSE))</f>
        <v>75*300</v>
      </c>
      <c r="D232" s="8">
        <f>IF(B232="","",VLOOKUP(B232,经纬!B:G,6,FALSE))</f>
        <v>70</v>
      </c>
      <c r="E232" s="8" t="str">
        <f t="shared" si="12"/>
        <v>190.5</v>
      </c>
      <c r="F232" s="8" t="s">
        <v>1</v>
      </c>
      <c r="G232" s="8" t="s">
        <v>282</v>
      </c>
      <c r="H232" s="89" t="s">
        <v>197</v>
      </c>
      <c r="I232" s="23">
        <v>43753</v>
      </c>
      <c r="J232" s="105" t="str">
        <f t="shared" si="13"/>
        <v>75</v>
      </c>
      <c r="K232" s="105" t="str">
        <f t="shared" si="14"/>
        <v>300</v>
      </c>
      <c r="L232" s="104">
        <f>IF(B232="","",VLOOKUP(B232&amp;F232&amp;H232,经纬!A:M,13,FALSE)*N232)</f>
        <v>18.165859999999999</v>
      </c>
      <c r="M232" s="104">
        <f>IF(B232="","",VLOOKUP(B232&amp;F232&amp;H232,经纬!A:N,14,FALSE)*N232)</f>
        <v>32.812578740157477</v>
      </c>
      <c r="N232" s="8">
        <v>529</v>
      </c>
      <c r="R232" s="250">
        <f t="shared" si="15"/>
        <v>10</v>
      </c>
    </row>
    <row r="233" spans="1:18" outlineLevel="1">
      <c r="A233" s="4">
        <v>238</v>
      </c>
      <c r="B233" s="89" t="s">
        <v>1171</v>
      </c>
      <c r="C233" s="8" t="str">
        <f>IF(B233="","",VLOOKUP(B233,经纬!B:C,2,FALSE))</f>
        <v>30*30</v>
      </c>
      <c r="D233" s="8">
        <f>IF(B233="","",VLOOKUP(B233,经纬!B:G,6,FALSE))</f>
        <v>23</v>
      </c>
      <c r="E233" s="8" t="str">
        <f t="shared" si="12"/>
        <v>190</v>
      </c>
      <c r="F233" s="8" t="s">
        <v>2</v>
      </c>
      <c r="G233" s="8" t="s">
        <v>387</v>
      </c>
      <c r="H233" s="89" t="s">
        <v>1110</v>
      </c>
      <c r="I233" s="23">
        <v>43754</v>
      </c>
      <c r="J233" s="105" t="str">
        <f t="shared" si="13"/>
        <v>30</v>
      </c>
      <c r="K233" s="105" t="str">
        <f t="shared" si="14"/>
        <v>30</v>
      </c>
      <c r="L233" s="104">
        <f>IF(B233="","",VLOOKUP(B233&amp;F233&amp;H233,经纬!A:M,13,FALSE)*N233)</f>
        <v>182.15818240000002</v>
      </c>
      <c r="M233" s="104">
        <f>IF(B233="","",VLOOKUP(B233&amp;F233&amp;H233,经纬!A:N,14,FALSE)*N233)</f>
        <v>143.26971128608923</v>
      </c>
      <c r="N233" s="8">
        <v>10048</v>
      </c>
      <c r="R233" s="250">
        <f t="shared" si="15"/>
        <v>10</v>
      </c>
    </row>
    <row r="234" spans="1:18" outlineLevel="1">
      <c r="A234" s="4">
        <v>239</v>
      </c>
      <c r="B234" s="89" t="s">
        <v>1172</v>
      </c>
      <c r="C234" s="8" t="str">
        <f>IF(B234="","",VLOOKUP(B234,经纬!B:C,2,FALSE))</f>
        <v>20*20</v>
      </c>
      <c r="D234" s="8">
        <f>IF(B234="","",VLOOKUP(B234,经纬!B:G,6,FALSE))</f>
        <v>17</v>
      </c>
      <c r="E234" s="8" t="str">
        <f t="shared" si="12"/>
        <v>146</v>
      </c>
      <c r="F234" s="8" t="s">
        <v>2</v>
      </c>
      <c r="G234" s="8" t="s">
        <v>287</v>
      </c>
      <c r="H234" s="89" t="s">
        <v>1110</v>
      </c>
      <c r="I234" s="23">
        <v>43754</v>
      </c>
      <c r="J234" s="105" t="str">
        <f t="shared" si="13"/>
        <v>20</v>
      </c>
      <c r="K234" s="105" t="str">
        <f t="shared" si="14"/>
        <v>20</v>
      </c>
      <c r="L234" s="104">
        <f>IF(B234="","",VLOOKUP(B234&amp;F234&amp;H234,经纬!A:M,13,FALSE)*N234)</f>
        <v>69.503162666666668</v>
      </c>
      <c r="M234" s="104">
        <f>IF(B234="","",VLOOKUP(B234&amp;F234&amp;H234,经纬!A:N,14,FALSE)*N234)</f>
        <v>50.42159405074365</v>
      </c>
      <c r="N234" s="8">
        <v>6754</v>
      </c>
      <c r="R234" s="250">
        <f t="shared" si="15"/>
        <v>10</v>
      </c>
    </row>
    <row r="235" spans="1:18" outlineLevel="1">
      <c r="A235" s="4">
        <v>240</v>
      </c>
      <c r="B235" s="89" t="s">
        <v>1173</v>
      </c>
      <c r="C235" s="8" t="str">
        <f>IF(B235="","",VLOOKUP(B235,经纬!B:C,2,FALSE))</f>
        <v>30*30</v>
      </c>
      <c r="D235" s="8">
        <f>IF(B235="","",VLOOKUP(B235,经纬!B:G,6,FALSE))</f>
        <v>23</v>
      </c>
      <c r="E235" s="8" t="str">
        <f t="shared" si="12"/>
        <v>143</v>
      </c>
      <c r="F235" s="8" t="s">
        <v>2</v>
      </c>
      <c r="G235" s="8" t="s">
        <v>287</v>
      </c>
      <c r="H235" s="89" t="s">
        <v>1110</v>
      </c>
      <c r="I235" s="23">
        <v>43754</v>
      </c>
      <c r="J235" s="105" t="str">
        <f t="shared" si="13"/>
        <v>30</v>
      </c>
      <c r="K235" s="105" t="str">
        <f t="shared" si="14"/>
        <v>30</v>
      </c>
      <c r="L235" s="104">
        <f>IF(B235="","",VLOOKUP(B235&amp;F235&amp;H235,经纬!A:M,13,FALSE)*N235)</f>
        <v>15.7354176</v>
      </c>
      <c r="M235" s="104">
        <f>IF(B235="","",VLOOKUP(B235&amp;F235&amp;H235,经纬!A:N,14,FALSE)*N235)</f>
        <v>10.835233595800526</v>
      </c>
      <c r="N235" s="8">
        <v>1136</v>
      </c>
      <c r="R235" s="250">
        <f t="shared" si="15"/>
        <v>10</v>
      </c>
    </row>
    <row r="236" spans="1:18" outlineLevel="1">
      <c r="A236" s="4">
        <v>241</v>
      </c>
      <c r="B236" s="89" t="s">
        <v>1174</v>
      </c>
      <c r="C236" s="8" t="str">
        <f>IF(B236="","",VLOOKUP(B236,经纬!B:C,2,FALSE))</f>
        <v>30*30</v>
      </c>
      <c r="D236" s="8">
        <f>IF(B236="","",VLOOKUP(B236,经纬!B:G,6,FALSE))</f>
        <v>23</v>
      </c>
      <c r="E236" s="8" t="str">
        <f t="shared" si="12"/>
        <v>200</v>
      </c>
      <c r="F236" s="8" t="s">
        <v>2</v>
      </c>
      <c r="G236" s="8" t="s">
        <v>287</v>
      </c>
      <c r="H236" s="89" t="s">
        <v>1110</v>
      </c>
      <c r="I236" s="23">
        <v>43754</v>
      </c>
      <c r="J236" s="105" t="str">
        <f t="shared" si="13"/>
        <v>30</v>
      </c>
      <c r="K236" s="105" t="str">
        <f t="shared" si="14"/>
        <v>30</v>
      </c>
      <c r="L236" s="104">
        <f>IF(B236="","",VLOOKUP(B236&amp;F236&amp;H236,经纬!A:M,13,FALSE)*N236)</f>
        <v>115.1333568</v>
      </c>
      <c r="M236" s="104">
        <f>IF(B236="","",VLOOKUP(B236&amp;F236&amp;H236,经纬!A:N,14,FALSE)*N236)</f>
        <v>75.828976377952742</v>
      </c>
      <c r="N236" s="8">
        <v>5599</v>
      </c>
      <c r="R236" s="250">
        <f t="shared" si="15"/>
        <v>10</v>
      </c>
    </row>
    <row r="237" spans="1:18" outlineLevel="1">
      <c r="A237" s="4">
        <v>242</v>
      </c>
      <c r="B237" s="89" t="s">
        <v>1175</v>
      </c>
      <c r="C237" s="8" t="str">
        <f>IF(B237="","",VLOOKUP(B237,经纬!B:C,2,FALSE))</f>
        <v>50*50</v>
      </c>
      <c r="D237" s="8">
        <f>IF(B237="","",VLOOKUP(B237,经纬!B:G,6,FALSE))</f>
        <v>37</v>
      </c>
      <c r="E237" s="8" t="str">
        <f t="shared" si="12"/>
        <v>190.5</v>
      </c>
      <c r="F237" s="8" t="s">
        <v>2</v>
      </c>
      <c r="G237" s="8" t="s">
        <v>287</v>
      </c>
      <c r="H237" s="89" t="s">
        <v>1110</v>
      </c>
      <c r="I237" s="23">
        <v>43754</v>
      </c>
      <c r="J237" s="105" t="str">
        <f t="shared" si="13"/>
        <v>50</v>
      </c>
      <c r="K237" s="105" t="str">
        <f t="shared" si="14"/>
        <v>50</v>
      </c>
      <c r="L237" s="104">
        <f>IF(B237="","",VLOOKUP(B237&amp;F237&amp;H237,经纬!A:M,13,FALSE)*N237)</f>
        <v>248.88238000000001</v>
      </c>
      <c r="M237" s="104">
        <f>IF(B237="","",VLOOKUP(B237&amp;F237&amp;H237,经纬!A:N,14,FALSE)*N237)</f>
        <v>320.44875328083981</v>
      </c>
      <c r="N237" s="8">
        <v>8290</v>
      </c>
      <c r="R237" s="250">
        <f t="shared" si="15"/>
        <v>10</v>
      </c>
    </row>
    <row r="238" spans="1:18" outlineLevel="1">
      <c r="A238" s="4">
        <v>243</v>
      </c>
      <c r="B238" s="89" t="s">
        <v>1175</v>
      </c>
      <c r="C238" s="8" t="str">
        <f>IF(B238="","",VLOOKUP(B238,经纬!B:C,2,FALSE))</f>
        <v>50*50</v>
      </c>
      <c r="D238" s="8">
        <f>IF(B238="","",VLOOKUP(B238,经纬!B:G,6,FALSE))</f>
        <v>37</v>
      </c>
      <c r="E238" s="8" t="str">
        <f t="shared" si="12"/>
        <v>190.5</v>
      </c>
      <c r="F238" s="8" t="s">
        <v>2</v>
      </c>
      <c r="G238" s="8" t="s">
        <v>287</v>
      </c>
      <c r="H238" s="89" t="s">
        <v>197</v>
      </c>
      <c r="I238" s="23">
        <v>43754</v>
      </c>
      <c r="J238" s="105" t="str">
        <f t="shared" si="13"/>
        <v>50</v>
      </c>
      <c r="K238" s="105" t="str">
        <f t="shared" si="14"/>
        <v>50</v>
      </c>
      <c r="L238" s="104">
        <f>IF(B238="","",VLOOKUP(B238&amp;F238&amp;H238,经纬!A:M,13,FALSE)*N238)</f>
        <v>135.15904399999999</v>
      </c>
      <c r="M238" s="104">
        <f>IF(B238="","",VLOOKUP(B238&amp;F238&amp;H238,经纬!A:N,14,FALSE)*N238)</f>
        <v>90.047385170603661</v>
      </c>
      <c r="N238" s="8">
        <v>4502</v>
      </c>
      <c r="R238" s="250">
        <f t="shared" si="15"/>
        <v>10</v>
      </c>
    </row>
    <row r="239" spans="1:18" outlineLevel="1">
      <c r="A239" s="4">
        <v>244</v>
      </c>
      <c r="B239" s="89" t="s">
        <v>1175</v>
      </c>
      <c r="C239" s="8" t="str">
        <f>IF(B239="","",VLOOKUP(B239,经纬!B:C,2,FALSE))</f>
        <v>50*50</v>
      </c>
      <c r="D239" s="8">
        <f>IF(B239="","",VLOOKUP(B239,经纬!B:G,6,FALSE))</f>
        <v>37</v>
      </c>
      <c r="E239" s="8" t="str">
        <f t="shared" si="12"/>
        <v>190.5</v>
      </c>
      <c r="F239" s="8" t="s">
        <v>1</v>
      </c>
      <c r="G239" s="8" t="s">
        <v>287</v>
      </c>
      <c r="H239" s="89" t="s">
        <v>1110</v>
      </c>
      <c r="I239" s="23">
        <v>43754</v>
      </c>
      <c r="J239" s="105" t="str">
        <f t="shared" si="13"/>
        <v>50</v>
      </c>
      <c r="K239" s="105" t="str">
        <f t="shared" si="14"/>
        <v>50</v>
      </c>
      <c r="L239" s="104">
        <f>IF(B239="","",VLOOKUP(B239&amp;F239&amp;H239,经纬!A:M,13,FALSE)*N239)</f>
        <v>264.49382000000003</v>
      </c>
      <c r="M239" s="104">
        <f>IF(B239="","",VLOOKUP(B239&amp;F239&amp;H239,经纬!A:N,14,FALSE)*N239)</f>
        <v>352.42890419947503</v>
      </c>
      <c r="N239" s="8">
        <v>8810</v>
      </c>
      <c r="R239" s="250">
        <f t="shared" si="15"/>
        <v>10</v>
      </c>
    </row>
    <row r="240" spans="1:18" outlineLevel="1">
      <c r="A240" s="4">
        <v>245</v>
      </c>
      <c r="B240" s="89" t="s">
        <v>1175</v>
      </c>
      <c r="C240" s="8" t="str">
        <f>IF(B240="","",VLOOKUP(B240,经纬!B:C,2,FALSE))</f>
        <v>50*50</v>
      </c>
      <c r="D240" s="8">
        <f>IF(B240="","",VLOOKUP(B240,经纬!B:G,6,FALSE))</f>
        <v>37</v>
      </c>
      <c r="E240" s="8" t="str">
        <f t="shared" si="12"/>
        <v>190.5</v>
      </c>
      <c r="F240" s="8" t="s">
        <v>1</v>
      </c>
      <c r="G240" s="8" t="s">
        <v>287</v>
      </c>
      <c r="H240" s="89" t="s">
        <v>197</v>
      </c>
      <c r="I240" s="23">
        <v>43754</v>
      </c>
      <c r="J240" s="105" t="str">
        <f t="shared" si="13"/>
        <v>50</v>
      </c>
      <c r="K240" s="105" t="str">
        <f t="shared" si="14"/>
        <v>50</v>
      </c>
      <c r="L240" s="104">
        <f>IF(B240="","",VLOOKUP(B240&amp;F240&amp;H240,经纬!A:M,13,FALSE)*N240)</f>
        <v>427.69341200000002</v>
      </c>
      <c r="M240" s="104">
        <f>IF(B240="","",VLOOKUP(B240&amp;F240&amp;H240,经纬!A:N,14,FALSE)*N240)</f>
        <v>284.94336942257218</v>
      </c>
      <c r="N240" s="8">
        <v>14246</v>
      </c>
      <c r="R240" s="250">
        <f t="shared" si="15"/>
        <v>10</v>
      </c>
    </row>
    <row r="241" spans="1:18" outlineLevel="1">
      <c r="A241" s="4">
        <v>246</v>
      </c>
      <c r="B241" s="89" t="s">
        <v>1176</v>
      </c>
      <c r="C241" s="8" t="str">
        <f>IF(B241="","",VLOOKUP(B241,经纬!B:C,2,FALSE))</f>
        <v>75*75</v>
      </c>
      <c r="D241" s="8">
        <f>IF(B241="","",VLOOKUP(B241,经纬!B:G,6,FALSE))</f>
        <v>43</v>
      </c>
      <c r="E241" s="8" t="str">
        <f t="shared" si="12"/>
        <v>190.5</v>
      </c>
      <c r="F241" s="8" t="s">
        <v>1</v>
      </c>
      <c r="G241" s="8" t="s">
        <v>287</v>
      </c>
      <c r="H241" s="89" t="s">
        <v>197</v>
      </c>
      <c r="I241" s="23">
        <v>43754</v>
      </c>
      <c r="J241" s="105" t="str">
        <f t="shared" si="13"/>
        <v>75</v>
      </c>
      <c r="K241" s="105" t="str">
        <f t="shared" si="14"/>
        <v>75</v>
      </c>
      <c r="L241" s="104">
        <f>IF(B241="","",VLOOKUP(B241&amp;F241&amp;H241,经纬!A:M,13,FALSE)*N241)</f>
        <v>801.42691999999988</v>
      </c>
      <c r="M241" s="104">
        <f>IF(B241="","",VLOOKUP(B241&amp;F241&amp;H241,经纬!A:N,14,FALSE)*N241)</f>
        <v>613.65617125984238</v>
      </c>
      <c r="N241" s="8">
        <v>23338</v>
      </c>
      <c r="R241" s="250">
        <f t="shared" si="15"/>
        <v>10</v>
      </c>
    </row>
    <row r="242" spans="1:18" outlineLevel="1">
      <c r="A242" s="4">
        <v>248</v>
      </c>
      <c r="B242" s="89" t="s">
        <v>1177</v>
      </c>
      <c r="C242" s="8" t="str">
        <f>IF(B242="","",VLOOKUP(B242,经纬!B:C,2,FALSE))</f>
        <v>75*200</v>
      </c>
      <c r="D242" s="8">
        <f>IF(B242="","",VLOOKUP(B242,经纬!B:G,6,FALSE))</f>
        <v>62</v>
      </c>
      <c r="E242" s="8" t="str">
        <f t="shared" si="12"/>
        <v>190.5</v>
      </c>
      <c r="F242" s="8" t="s">
        <v>1</v>
      </c>
      <c r="G242" s="8" t="s">
        <v>287</v>
      </c>
      <c r="H242" s="89" t="s">
        <v>197</v>
      </c>
      <c r="I242" s="23">
        <v>43754</v>
      </c>
      <c r="J242" s="105" t="str">
        <f t="shared" si="13"/>
        <v>75</v>
      </c>
      <c r="K242" s="105" t="str">
        <f t="shared" si="14"/>
        <v>200</v>
      </c>
      <c r="L242" s="104">
        <f>IF(B242="","",VLOOKUP(B242&amp;F242&amp;H242,经纬!A:M,13,FALSE)*N242)</f>
        <v>370.35774999999995</v>
      </c>
      <c r="M242" s="104">
        <f>IF(B242="","",VLOOKUP(B242&amp;F242&amp;H242,经纬!A:N,14,FALSE)*N242)</f>
        <v>550.0675853018372</v>
      </c>
      <c r="N242" s="8">
        <v>10550</v>
      </c>
      <c r="R242" s="250">
        <f t="shared" si="15"/>
        <v>10</v>
      </c>
    </row>
    <row r="243" spans="1:18" outlineLevel="1">
      <c r="A243" s="4">
        <v>249</v>
      </c>
      <c r="B243" s="89" t="s">
        <v>1178</v>
      </c>
      <c r="C243" s="8" t="str">
        <f>IF(B243="","",VLOOKUP(B243,经纬!B:C,2,FALSE))</f>
        <v>75*300</v>
      </c>
      <c r="D243" s="8">
        <f>IF(B243="","",VLOOKUP(B243,经纬!B:G,6,FALSE))</f>
        <v>70</v>
      </c>
      <c r="E243" s="8" t="str">
        <f t="shared" si="12"/>
        <v>190.5</v>
      </c>
      <c r="F243" s="8" t="s">
        <v>1</v>
      </c>
      <c r="G243" s="8" t="s">
        <v>287</v>
      </c>
      <c r="H243" s="89" t="s">
        <v>197</v>
      </c>
      <c r="I243" s="23">
        <v>43754</v>
      </c>
      <c r="J243" s="105" t="str">
        <f t="shared" si="13"/>
        <v>75</v>
      </c>
      <c r="K243" s="105" t="str">
        <f t="shared" si="14"/>
        <v>300</v>
      </c>
      <c r="L243" s="104">
        <f>IF(B243="","",VLOOKUP(B243&amp;F243&amp;H243,经纬!A:M,13,FALSE)*N243)</f>
        <v>312.59701999999999</v>
      </c>
      <c r="M243" s="104">
        <f>IF(B243="","",VLOOKUP(B243&amp;F243&amp;H243,经纬!A:N,14,FALSE)*N243)</f>
        <v>564.63687007874012</v>
      </c>
      <c r="N243" s="8">
        <v>9103</v>
      </c>
      <c r="R243" s="250">
        <f t="shared" si="15"/>
        <v>10</v>
      </c>
    </row>
    <row r="244" spans="1:18" outlineLevel="1">
      <c r="A244" s="4">
        <v>252</v>
      </c>
      <c r="B244" s="89" t="s">
        <v>1174</v>
      </c>
      <c r="C244" s="8" t="str">
        <f>IF(B244="","",VLOOKUP(B244,经纬!B:C,2,FALSE))</f>
        <v>30*30</v>
      </c>
      <c r="D244" s="8">
        <f>IF(B244="","",VLOOKUP(B244,经纬!B:G,6,FALSE))</f>
        <v>23</v>
      </c>
      <c r="E244" s="8" t="str">
        <f t="shared" si="12"/>
        <v>200</v>
      </c>
      <c r="F244" s="8" t="s">
        <v>2</v>
      </c>
      <c r="G244" s="8" t="s">
        <v>282</v>
      </c>
      <c r="H244" s="89" t="s">
        <v>1110</v>
      </c>
      <c r="I244" s="23">
        <v>43754</v>
      </c>
      <c r="J244" s="105" t="str">
        <f t="shared" si="13"/>
        <v>30</v>
      </c>
      <c r="K244" s="105" t="str">
        <f t="shared" si="14"/>
        <v>30</v>
      </c>
      <c r="L244" s="104">
        <f>IF(B244="","",VLOOKUP(B244&amp;F244&amp;H244,经纬!A:M,13,FALSE)*N244)</f>
        <v>22.619520000000001</v>
      </c>
      <c r="M244" s="104">
        <f>IF(B244="","",VLOOKUP(B244&amp;F244&amp;H244,经纬!A:N,14,FALSE)*N244)</f>
        <v>14.897637795275589</v>
      </c>
      <c r="N244" s="8">
        <v>1100</v>
      </c>
      <c r="R244" s="250">
        <f t="shared" si="15"/>
        <v>10</v>
      </c>
    </row>
    <row r="245" spans="1:18" outlineLevel="1">
      <c r="A245" s="4">
        <v>253</v>
      </c>
      <c r="B245" s="89" t="s">
        <v>1175</v>
      </c>
      <c r="C245" s="8" t="str">
        <f>IF(B245="","",VLOOKUP(B245,经纬!B:C,2,FALSE))</f>
        <v>50*50</v>
      </c>
      <c r="D245" s="8">
        <f>IF(B245="","",VLOOKUP(B245,经纬!B:G,6,FALSE))</f>
        <v>37</v>
      </c>
      <c r="E245" s="8" t="str">
        <f t="shared" si="12"/>
        <v>190.5</v>
      </c>
      <c r="F245" s="8" t="s">
        <v>2</v>
      </c>
      <c r="G245" s="8" t="s">
        <v>282</v>
      </c>
      <c r="H245" s="89" t="s">
        <v>1110</v>
      </c>
      <c r="I245" s="23">
        <v>43754</v>
      </c>
      <c r="J245" s="105" t="str">
        <f t="shared" si="13"/>
        <v>50</v>
      </c>
      <c r="K245" s="105" t="str">
        <f t="shared" si="14"/>
        <v>50</v>
      </c>
      <c r="L245" s="104">
        <f>IF(B245="","",VLOOKUP(B245&amp;F245&amp;H245,经纬!A:M,13,FALSE)*N245)</f>
        <v>28.37079</v>
      </c>
      <c r="M245" s="104">
        <f>IF(B245="","",VLOOKUP(B245&amp;F245&amp;H245,经纬!A:N,14,FALSE)*N245)</f>
        <v>36.52883858267716</v>
      </c>
      <c r="N245" s="8">
        <v>945</v>
      </c>
      <c r="R245" s="250">
        <f t="shared" si="15"/>
        <v>10</v>
      </c>
    </row>
    <row r="246" spans="1:18" outlineLevel="1">
      <c r="A246" s="4">
        <v>254</v>
      </c>
      <c r="B246" s="89" t="s">
        <v>1175</v>
      </c>
      <c r="C246" s="8" t="str">
        <f>IF(B246="","",VLOOKUP(B246,经纬!B:C,2,FALSE))</f>
        <v>50*50</v>
      </c>
      <c r="D246" s="8">
        <f>IF(B246="","",VLOOKUP(B246,经纬!B:G,6,FALSE))</f>
        <v>37</v>
      </c>
      <c r="E246" s="8" t="str">
        <f t="shared" si="12"/>
        <v>190.5</v>
      </c>
      <c r="F246" s="8" t="s">
        <v>2</v>
      </c>
      <c r="G246" s="8" t="s">
        <v>282</v>
      </c>
      <c r="H246" s="89" t="s">
        <v>197</v>
      </c>
      <c r="I246" s="23">
        <v>43754</v>
      </c>
      <c r="J246" s="105" t="str">
        <f t="shared" si="13"/>
        <v>50</v>
      </c>
      <c r="K246" s="105" t="str">
        <f t="shared" si="14"/>
        <v>50</v>
      </c>
      <c r="L246" s="104">
        <f>IF(B246="","",VLOOKUP(B246&amp;F246&amp;H246,经纬!A:M,13,FALSE)*N246)</f>
        <v>29.12134</v>
      </c>
      <c r="M246" s="104">
        <f>IF(B246="","",VLOOKUP(B246&amp;F246&amp;H246,经纬!A:N,14,FALSE)*N246)</f>
        <v>19.401591207349078</v>
      </c>
      <c r="N246" s="8">
        <v>970</v>
      </c>
      <c r="R246" s="250">
        <f t="shared" si="15"/>
        <v>10</v>
      </c>
    </row>
    <row r="247" spans="1:18" outlineLevel="1">
      <c r="A247" s="4">
        <v>255</v>
      </c>
      <c r="B247" s="89" t="s">
        <v>1176</v>
      </c>
      <c r="C247" s="8" t="str">
        <f>IF(B247="","",VLOOKUP(B247,经纬!B:C,2,FALSE))</f>
        <v>75*75</v>
      </c>
      <c r="D247" s="8">
        <f>IF(B247="","",VLOOKUP(B247,经纬!B:G,6,FALSE))</f>
        <v>43</v>
      </c>
      <c r="E247" s="8" t="str">
        <f t="shared" si="12"/>
        <v>190.5</v>
      </c>
      <c r="F247" s="8" t="s">
        <v>1</v>
      </c>
      <c r="G247" s="8" t="s">
        <v>282</v>
      </c>
      <c r="H247" s="89" t="s">
        <v>197</v>
      </c>
      <c r="I247" s="23">
        <v>43754</v>
      </c>
      <c r="J247" s="105" t="str">
        <f t="shared" si="13"/>
        <v>75</v>
      </c>
      <c r="K247" s="105" t="str">
        <f t="shared" si="14"/>
        <v>75</v>
      </c>
      <c r="L247" s="104">
        <f>IF(B247="","",VLOOKUP(B247&amp;F247&amp;H247,经纬!A:M,13,FALSE)*N247)</f>
        <v>28.742579999999997</v>
      </c>
      <c r="M247" s="104">
        <f>IF(B247="","",VLOOKUP(B247&amp;F247&amp;H247,经纬!A:N,14,FALSE)*N247)</f>
        <v>22.008321850393699</v>
      </c>
      <c r="N247" s="8">
        <v>837</v>
      </c>
      <c r="R247" s="250">
        <f t="shared" si="15"/>
        <v>10</v>
      </c>
    </row>
    <row r="248" spans="1:18" outlineLevel="1">
      <c r="A248" s="4">
        <v>256</v>
      </c>
      <c r="B248" s="89" t="s">
        <v>1178</v>
      </c>
      <c r="C248" s="8" t="str">
        <f>IF(B248="","",VLOOKUP(B248,经纬!B:C,2,FALSE))</f>
        <v>75*300</v>
      </c>
      <c r="D248" s="8">
        <f>IF(B248="","",VLOOKUP(B248,经纬!B:G,6,FALSE))</f>
        <v>70</v>
      </c>
      <c r="E248" s="8" t="str">
        <f t="shared" si="12"/>
        <v>190.5</v>
      </c>
      <c r="F248" s="8" t="s">
        <v>1</v>
      </c>
      <c r="G248" s="8" t="s">
        <v>282</v>
      </c>
      <c r="H248" s="89" t="s">
        <v>197</v>
      </c>
      <c r="I248" s="23">
        <v>43754</v>
      </c>
      <c r="J248" s="105" t="str">
        <f t="shared" si="13"/>
        <v>75</v>
      </c>
      <c r="K248" s="105" t="str">
        <f t="shared" si="14"/>
        <v>300</v>
      </c>
      <c r="L248" s="104">
        <f>IF(B248="","",VLOOKUP(B248&amp;F248&amp;H248,经纬!A:M,13,FALSE)*N248)</f>
        <v>18.543599999999998</v>
      </c>
      <c r="M248" s="104">
        <f>IF(B248="","",VLOOKUP(B248&amp;F248&amp;H248,经纬!A:N,14,FALSE)*N248)</f>
        <v>33.494881889763775</v>
      </c>
      <c r="N248" s="8">
        <v>540</v>
      </c>
      <c r="R248" s="250">
        <f t="shared" si="15"/>
        <v>10</v>
      </c>
    </row>
    <row r="249" spans="1:18" outlineLevel="1">
      <c r="A249" s="4">
        <v>257</v>
      </c>
      <c r="B249" s="89" t="s">
        <v>1483</v>
      </c>
      <c r="C249" s="8" t="str">
        <f>IF(B249="","",VLOOKUP(B249,经纬!B:C,2,FALSE))</f>
        <v>20*20</v>
      </c>
      <c r="D249" s="8">
        <f>IF(B249="","",VLOOKUP(B249,经纬!B:G,6,FALSE))</f>
        <v>17</v>
      </c>
      <c r="E249" s="8" t="str">
        <f t="shared" si="12"/>
        <v>197</v>
      </c>
      <c r="F249" s="8" t="s">
        <v>2</v>
      </c>
      <c r="G249" s="8" t="s">
        <v>387</v>
      </c>
      <c r="H249" s="89" t="s">
        <v>1110</v>
      </c>
      <c r="I249" s="23">
        <v>43755</v>
      </c>
      <c r="J249" s="105" t="str">
        <f t="shared" si="13"/>
        <v>20</v>
      </c>
      <c r="K249" s="105" t="str">
        <f t="shared" si="14"/>
        <v>20</v>
      </c>
      <c r="L249" s="104">
        <f>IF(B249="","",VLOOKUP(B249&amp;F249&amp;H249,经纬!A:M,13,FALSE)*N249)</f>
        <v>136.21661626666668</v>
      </c>
      <c r="M249" s="104">
        <f>IF(B249="","",VLOOKUP(B249&amp;F249&amp;H249,经纬!A:N,14,FALSE)*N249)</f>
        <v>99.68878040244968</v>
      </c>
      <c r="N249" s="8">
        <v>10141</v>
      </c>
      <c r="R249" s="250">
        <f t="shared" si="15"/>
        <v>10</v>
      </c>
    </row>
    <row r="250" spans="1:18" outlineLevel="1">
      <c r="A250" s="4">
        <v>258</v>
      </c>
      <c r="B250" s="89" t="s">
        <v>1483</v>
      </c>
      <c r="C250" s="8" t="str">
        <f>IF(B250="","",VLOOKUP(B250,经纬!B:C,2,FALSE))</f>
        <v>20*20</v>
      </c>
      <c r="D250" s="8">
        <f>IF(B250="","",VLOOKUP(B250,经纬!B:G,6,FALSE))</f>
        <v>17</v>
      </c>
      <c r="E250" s="8" t="str">
        <f t="shared" si="12"/>
        <v>197</v>
      </c>
      <c r="F250" s="8" t="s">
        <v>2</v>
      </c>
      <c r="G250" s="8" t="s">
        <v>287</v>
      </c>
      <c r="H250" s="89" t="s">
        <v>1110</v>
      </c>
      <c r="I250" s="23">
        <v>43755</v>
      </c>
      <c r="J250" s="105" t="str">
        <f t="shared" si="13"/>
        <v>20</v>
      </c>
      <c r="K250" s="105" t="str">
        <f t="shared" si="14"/>
        <v>20</v>
      </c>
      <c r="L250" s="104">
        <f>IF(B250="","",VLOOKUP(B250&amp;F250&amp;H250,经纬!A:M,13,FALSE)*N250)</f>
        <v>42.123588266666665</v>
      </c>
      <c r="M250" s="104">
        <f>IF(B250="","",VLOOKUP(B250&amp;F250&amp;H250,经纬!A:N,14,FALSE)*N250)</f>
        <v>30.827730533683287</v>
      </c>
      <c r="N250" s="8">
        <v>3136</v>
      </c>
      <c r="R250" s="250">
        <f t="shared" si="15"/>
        <v>10</v>
      </c>
    </row>
    <row r="251" spans="1:18" outlineLevel="1">
      <c r="A251" s="4">
        <v>259</v>
      </c>
      <c r="B251" s="89" t="s">
        <v>1484</v>
      </c>
      <c r="C251" s="8" t="str">
        <f>IF(B251="","",VLOOKUP(B251,经纬!B:C,2,FALSE))</f>
        <v>30*30</v>
      </c>
      <c r="D251" s="8">
        <f>IF(B251="","",VLOOKUP(B251,经纬!B:G,6,FALSE))</f>
        <v>23</v>
      </c>
      <c r="E251" s="8" t="str">
        <f t="shared" ref="E251:E313" si="16">IF(B251="","",MID(B251,LEN(C251),LEN(B251)-LEN(C251)-LEN(D251)+1))</f>
        <v>200</v>
      </c>
      <c r="F251" s="8" t="s">
        <v>2</v>
      </c>
      <c r="G251" s="8" t="s">
        <v>287</v>
      </c>
      <c r="H251" s="89" t="s">
        <v>1110</v>
      </c>
      <c r="I251" s="23">
        <v>43755</v>
      </c>
      <c r="J251" s="105" t="str">
        <f t="shared" ref="J251:J313" si="17">IF(B251="","",LEFT(C251,FIND("*",C251)-1))</f>
        <v>30</v>
      </c>
      <c r="K251" s="105" t="str">
        <f t="shared" ref="K251:K313" si="18">IF(B251="","",RIGHT(C251,LEN(C251)-LEN(J251)-1))</f>
        <v>30</v>
      </c>
      <c r="L251" s="104">
        <f>IF(B251="","",VLOOKUP(B251&amp;F251&amp;H251,经纬!A:M,13,FALSE)*N251)</f>
        <v>122.4744192</v>
      </c>
      <c r="M251" s="104">
        <f>IF(B251="","",VLOOKUP(B251&amp;F251&amp;H251,经纬!A:N,14,FALSE)*N251)</f>
        <v>80.663937007874011</v>
      </c>
      <c r="N251" s="8">
        <v>5956</v>
      </c>
      <c r="R251" s="250">
        <f t="shared" si="15"/>
        <v>10</v>
      </c>
    </row>
    <row r="252" spans="1:18" outlineLevel="1">
      <c r="A252" s="4">
        <v>260</v>
      </c>
      <c r="B252" s="89" t="s">
        <v>1485</v>
      </c>
      <c r="C252" s="8" t="str">
        <f>IF(B252="","",VLOOKUP(B252,经纬!B:C,2,FALSE))</f>
        <v>50*50</v>
      </c>
      <c r="D252" s="8">
        <f>IF(B252="","",VLOOKUP(B252,经纬!B:G,6,FALSE))</f>
        <v>35</v>
      </c>
      <c r="E252" s="8" t="str">
        <f t="shared" si="16"/>
        <v>190</v>
      </c>
      <c r="F252" s="8" t="s">
        <v>2</v>
      </c>
      <c r="G252" s="8" t="s">
        <v>287</v>
      </c>
      <c r="H252" s="89" t="s">
        <v>1110</v>
      </c>
      <c r="I252" s="23">
        <v>43755</v>
      </c>
      <c r="J252" s="105" t="str">
        <f t="shared" si="17"/>
        <v>50</v>
      </c>
      <c r="K252" s="105" t="str">
        <f t="shared" si="18"/>
        <v>50</v>
      </c>
      <c r="L252" s="104">
        <f>IF(B252="","",VLOOKUP(B252&amp;F252&amp;H252,经纬!A:M,13,FALSE)*N252)</f>
        <v>125.23773066666666</v>
      </c>
      <c r="M252" s="104">
        <f>IF(B252="","",VLOOKUP(B252&amp;F252&amp;H252,经纬!A:N,14,FALSE)*N252)</f>
        <v>192.10813648293964</v>
      </c>
      <c r="N252" s="8">
        <v>4463</v>
      </c>
      <c r="R252" s="250">
        <f t="shared" si="15"/>
        <v>10</v>
      </c>
    </row>
    <row r="253" spans="1:18" outlineLevel="1">
      <c r="A253" s="4">
        <v>261</v>
      </c>
      <c r="B253" s="89" t="s">
        <v>1205</v>
      </c>
      <c r="C253" s="8" t="str">
        <f>IF(B253="","",VLOOKUP(B253,经纬!B:C,2,FALSE))</f>
        <v>50*50</v>
      </c>
      <c r="D253" s="8">
        <f>IF(B253="","",VLOOKUP(B253,经纬!B:G,6,FALSE))</f>
        <v>37</v>
      </c>
      <c r="E253" s="8" t="str">
        <f t="shared" si="16"/>
        <v>190.5</v>
      </c>
      <c r="F253" s="8" t="s">
        <v>2</v>
      </c>
      <c r="G253" s="8" t="s">
        <v>287</v>
      </c>
      <c r="H253" s="89" t="s">
        <v>197</v>
      </c>
      <c r="I253" s="23">
        <v>43755</v>
      </c>
      <c r="J253" s="105" t="str">
        <f t="shared" si="17"/>
        <v>50</v>
      </c>
      <c r="K253" s="105" t="str">
        <f t="shared" si="18"/>
        <v>50</v>
      </c>
      <c r="L253" s="104">
        <f>IF(B253="","",VLOOKUP(B253&amp;F253&amp;H253,经纬!A:M,13,FALSE)*N253)</f>
        <v>493.35152599999998</v>
      </c>
      <c r="M253" s="104">
        <f>IF(B253="","",VLOOKUP(B253&amp;F253&amp;H253,经纬!A:N,14,FALSE)*N253)</f>
        <v>328.68695702099734</v>
      </c>
      <c r="N253" s="8">
        <v>16433</v>
      </c>
      <c r="R253" s="250">
        <f t="shared" si="15"/>
        <v>10</v>
      </c>
    </row>
    <row r="254" spans="1:18" outlineLevel="1">
      <c r="A254" s="4">
        <v>262</v>
      </c>
      <c r="B254" s="89" t="s">
        <v>1486</v>
      </c>
      <c r="C254" s="8" t="str">
        <f>IF(B254="","",VLOOKUP(B254,经纬!B:C,2,FALSE))</f>
        <v>50*75</v>
      </c>
      <c r="D254" s="8">
        <f>IF(B254="","",VLOOKUP(B254,经纬!B:G,6,FALSE))</f>
        <v>44</v>
      </c>
      <c r="E254" s="8" t="str">
        <f t="shared" si="16"/>
        <v>190</v>
      </c>
      <c r="F254" s="8" t="s">
        <v>2</v>
      </c>
      <c r="G254" s="8" t="s">
        <v>287</v>
      </c>
      <c r="H254" s="89" t="s">
        <v>1110</v>
      </c>
      <c r="I254" s="23">
        <v>43755</v>
      </c>
      <c r="J254" s="105" t="str">
        <f t="shared" si="17"/>
        <v>50</v>
      </c>
      <c r="K254" s="105" t="str">
        <f t="shared" si="18"/>
        <v>75</v>
      </c>
      <c r="L254" s="104">
        <f>IF(B254="","",VLOOKUP(B254&amp;F254&amp;H254,经纬!A:M,13,FALSE)*N254)</f>
        <v>167.22254000000001</v>
      </c>
      <c r="M254" s="104">
        <f>IF(B254="","",VLOOKUP(B254&amp;F254&amp;H254,经纬!A:N,14,FALSE)*N254)</f>
        <v>303.4443897637795</v>
      </c>
      <c r="N254" s="8">
        <v>5570</v>
      </c>
      <c r="R254" s="250">
        <f t="shared" si="15"/>
        <v>10</v>
      </c>
    </row>
    <row r="255" spans="1:18" outlineLevel="1">
      <c r="A255" s="4">
        <v>263</v>
      </c>
      <c r="B255" s="89" t="s">
        <v>1205</v>
      </c>
      <c r="C255" s="8" t="str">
        <f>IF(B255="","",VLOOKUP(B255,经纬!B:C,2,FALSE))</f>
        <v>50*50</v>
      </c>
      <c r="D255" s="8">
        <f>IF(B255="","",VLOOKUP(B255,经纬!B:G,6,FALSE))</f>
        <v>37</v>
      </c>
      <c r="E255" s="8" t="str">
        <f t="shared" si="16"/>
        <v>190.5</v>
      </c>
      <c r="F255" s="8" t="s">
        <v>1</v>
      </c>
      <c r="G255" s="8" t="s">
        <v>287</v>
      </c>
      <c r="H255" s="89" t="s">
        <v>197</v>
      </c>
      <c r="I255" s="23">
        <v>43755</v>
      </c>
      <c r="J255" s="105" t="str">
        <f t="shared" si="17"/>
        <v>50</v>
      </c>
      <c r="K255" s="105" t="str">
        <f t="shared" si="18"/>
        <v>50</v>
      </c>
      <c r="L255" s="104">
        <f>IF(B255="","",VLOOKUP(B255&amp;F255&amp;H255,经纬!A:M,13,FALSE)*N255)</f>
        <v>243.23824400000001</v>
      </c>
      <c r="M255" s="104">
        <f>IF(B255="","",VLOOKUP(B255&amp;F255&amp;H255,经纬!A:N,14,FALSE)*N255)</f>
        <v>162.05329068241468</v>
      </c>
      <c r="N255" s="8">
        <v>8102</v>
      </c>
      <c r="R255" s="250">
        <f t="shared" si="15"/>
        <v>10</v>
      </c>
    </row>
    <row r="256" spans="1:18" outlineLevel="1">
      <c r="A256" s="4">
        <v>264</v>
      </c>
      <c r="B256" s="89" t="s">
        <v>1487</v>
      </c>
      <c r="C256" s="8" t="str">
        <f>IF(B256="","",VLOOKUP(B256,经纬!B:C,2,FALSE))</f>
        <v>75*300</v>
      </c>
      <c r="D256" s="8">
        <f>IF(B256="","",VLOOKUP(B256,经纬!B:G,6,FALSE))</f>
        <v>70</v>
      </c>
      <c r="E256" s="8" t="str">
        <f t="shared" si="16"/>
        <v>190.5</v>
      </c>
      <c r="F256" s="8" t="s">
        <v>1</v>
      </c>
      <c r="G256" s="8" t="s">
        <v>287</v>
      </c>
      <c r="H256" s="89" t="s">
        <v>197</v>
      </c>
      <c r="I256" s="23">
        <v>43755</v>
      </c>
      <c r="J256" s="105" t="str">
        <f t="shared" si="17"/>
        <v>75</v>
      </c>
      <c r="K256" s="105" t="str">
        <f t="shared" si="18"/>
        <v>300</v>
      </c>
      <c r="L256" s="104">
        <f>IF(B256="","",VLOOKUP(B256&amp;F256&amp;H256,经纬!A:M,13,FALSE)*N256)</f>
        <v>436.63309999999996</v>
      </c>
      <c r="M256" s="104">
        <f>IF(B256="","",VLOOKUP(B256&amp;F256&amp;H256,经纬!A:N,14,FALSE)*N256)</f>
        <v>788.68041338582668</v>
      </c>
      <c r="N256" s="8">
        <v>12715</v>
      </c>
      <c r="R256" s="250">
        <f t="shared" si="15"/>
        <v>10</v>
      </c>
    </row>
    <row r="257" spans="1:18" outlineLevel="1">
      <c r="A257" s="4">
        <v>266</v>
      </c>
      <c r="B257" s="89" t="s">
        <v>1488</v>
      </c>
      <c r="C257" s="8" t="str">
        <f>IF(B257="","",VLOOKUP(B257,经纬!B:C,2,FALSE))</f>
        <v>75*75</v>
      </c>
      <c r="D257" s="8">
        <f>IF(B257="","",VLOOKUP(B257,经纬!B:G,6,FALSE))</f>
        <v>43</v>
      </c>
      <c r="E257" s="8" t="str">
        <f t="shared" si="16"/>
        <v>190.5</v>
      </c>
      <c r="F257" s="8" t="s">
        <v>2</v>
      </c>
      <c r="G257" s="8" t="s">
        <v>287</v>
      </c>
      <c r="H257" s="89" t="s">
        <v>197</v>
      </c>
      <c r="I257" s="23">
        <v>43755</v>
      </c>
      <c r="J257" s="105" t="str">
        <f t="shared" si="17"/>
        <v>75</v>
      </c>
      <c r="K257" s="105" t="str">
        <f t="shared" si="18"/>
        <v>75</v>
      </c>
      <c r="L257" s="104">
        <f>IF(B257="","",VLOOKUP(B257&amp;F257&amp;H257,经纬!A:M,13,FALSE)*N257)</f>
        <v>679.41689999999994</v>
      </c>
      <c r="M257" s="104">
        <f>IF(B257="","",VLOOKUP(B257&amp;F257&amp;H257,经纬!A:N,14,FALSE)*N257)</f>
        <v>520.23255413385823</v>
      </c>
      <c r="N257" s="8">
        <v>19785</v>
      </c>
      <c r="R257" s="250">
        <f t="shared" si="15"/>
        <v>10</v>
      </c>
    </row>
    <row r="258" spans="1:18" outlineLevel="1">
      <c r="A258" s="4">
        <v>267</v>
      </c>
      <c r="B258" s="89" t="s">
        <v>1489</v>
      </c>
      <c r="C258" s="8" t="str">
        <f>IF(B258="","",VLOOKUP(B258,经纬!B:C,2,FALSE))</f>
        <v>30*30</v>
      </c>
      <c r="D258" s="8">
        <f>IF(B258="","",VLOOKUP(B258,经纬!B:G,6,FALSE))</f>
        <v>23</v>
      </c>
      <c r="E258" s="8" t="str">
        <f t="shared" si="16"/>
        <v>190</v>
      </c>
      <c r="F258" s="8" t="s">
        <v>2</v>
      </c>
      <c r="G258" s="8" t="s">
        <v>1075</v>
      </c>
      <c r="H258" s="89" t="s">
        <v>1110</v>
      </c>
      <c r="I258" s="23">
        <v>43755</v>
      </c>
      <c r="J258" s="105" t="str">
        <f t="shared" si="17"/>
        <v>30</v>
      </c>
      <c r="K258" s="105" t="str">
        <f t="shared" si="18"/>
        <v>30</v>
      </c>
      <c r="L258" s="104">
        <f>IF(B258="","",VLOOKUP(B258&amp;F258&amp;H258,经纬!A:M,13,FALSE)*N258)</f>
        <v>168.96041600000001</v>
      </c>
      <c r="M258" s="104">
        <f>IF(B258="","",VLOOKUP(B258&amp;F258&amp;H258,经纬!A:N,14,FALSE)*N258)</f>
        <v>132.88950131233597</v>
      </c>
      <c r="N258" s="8">
        <v>9320</v>
      </c>
      <c r="R258" s="250">
        <f t="shared" si="15"/>
        <v>10</v>
      </c>
    </row>
    <row r="259" spans="1:18" outlineLevel="1">
      <c r="A259" s="4">
        <v>268</v>
      </c>
      <c r="B259" s="89" t="s">
        <v>1489</v>
      </c>
      <c r="C259" s="8" t="str">
        <f>IF(B259="","",VLOOKUP(B259,经纬!B:C,2,FALSE))</f>
        <v>30*30</v>
      </c>
      <c r="D259" s="8">
        <f>IF(B259="","",VLOOKUP(B259,经纬!B:G,6,FALSE))</f>
        <v>23</v>
      </c>
      <c r="E259" s="8" t="str">
        <f t="shared" si="16"/>
        <v>190</v>
      </c>
      <c r="F259" s="8" t="s">
        <v>2</v>
      </c>
      <c r="G259" s="8" t="s">
        <v>1076</v>
      </c>
      <c r="H259" s="89" t="s">
        <v>1110</v>
      </c>
      <c r="I259" s="23">
        <v>43755</v>
      </c>
      <c r="J259" s="105" t="str">
        <f t="shared" si="17"/>
        <v>30</v>
      </c>
      <c r="K259" s="105" t="str">
        <f t="shared" si="18"/>
        <v>30</v>
      </c>
      <c r="L259" s="104">
        <f>IF(B259="","",VLOOKUP(B259&amp;F259&amp;H259,经纬!A:M,13,FALSE)*N259)</f>
        <v>43.146543999999999</v>
      </c>
      <c r="M259" s="104">
        <f>IF(B259="","",VLOOKUP(B259&amp;F259&amp;H259,经纬!A:N,14,FALSE)*N259)</f>
        <v>33.935301837270337</v>
      </c>
      <c r="N259" s="8">
        <v>2380</v>
      </c>
      <c r="R259" s="250">
        <f t="shared" ref="R259:R322" si="19">IF(B259="","",MONTH(I259))</f>
        <v>10</v>
      </c>
    </row>
    <row r="260" spans="1:18" outlineLevel="1">
      <c r="A260" s="4">
        <v>269</v>
      </c>
      <c r="B260" s="89" t="s">
        <v>1488</v>
      </c>
      <c r="C260" s="8" t="str">
        <f>IF(B260="","",VLOOKUP(B260,经纬!B:C,2,FALSE))</f>
        <v>75*75</v>
      </c>
      <c r="D260" s="8">
        <f>IF(B260="","",VLOOKUP(B260,经纬!B:G,6,FALSE))</f>
        <v>43</v>
      </c>
      <c r="E260" s="8" t="str">
        <f t="shared" si="16"/>
        <v>190.5</v>
      </c>
      <c r="F260" s="8" t="s">
        <v>2</v>
      </c>
      <c r="G260" s="8" t="s">
        <v>1076</v>
      </c>
      <c r="H260" s="89" t="s">
        <v>197</v>
      </c>
      <c r="I260" s="23">
        <v>43755</v>
      </c>
      <c r="J260" s="105" t="str">
        <f t="shared" si="17"/>
        <v>75</v>
      </c>
      <c r="K260" s="105" t="str">
        <f t="shared" si="18"/>
        <v>75</v>
      </c>
      <c r="L260" s="104">
        <f>IF(B260="","",VLOOKUP(B260&amp;F260&amp;H260,经纬!A:M,13,FALSE)*N260)</f>
        <v>28.845599999999997</v>
      </c>
      <c r="M260" s="104">
        <f>IF(B260="","",VLOOKUP(B260&amp;F260&amp;H260,经纬!A:N,14,FALSE)*N260)</f>
        <v>22.087204724409446</v>
      </c>
      <c r="N260" s="8">
        <v>840</v>
      </c>
      <c r="R260" s="250">
        <f t="shared" si="19"/>
        <v>10</v>
      </c>
    </row>
    <row r="261" spans="1:18" outlineLevel="1">
      <c r="A261" s="4">
        <v>270</v>
      </c>
      <c r="B261" s="89" t="s">
        <v>1205</v>
      </c>
      <c r="C261" s="8" t="str">
        <f>IF(B261="","",VLOOKUP(B261,经纬!B:C,2,FALSE))</f>
        <v>50*50</v>
      </c>
      <c r="D261" s="8">
        <f>IF(B261="","",VLOOKUP(B261,经纬!B:G,6,FALSE))</f>
        <v>37</v>
      </c>
      <c r="E261" s="8" t="str">
        <f t="shared" si="16"/>
        <v>190.5</v>
      </c>
      <c r="F261" s="8" t="s">
        <v>1</v>
      </c>
      <c r="G261" s="8" t="s">
        <v>282</v>
      </c>
      <c r="H261" s="89" t="s">
        <v>197</v>
      </c>
      <c r="I261" s="23">
        <v>43755</v>
      </c>
      <c r="J261" s="105" t="str">
        <f t="shared" si="17"/>
        <v>50</v>
      </c>
      <c r="K261" s="105" t="str">
        <f t="shared" si="18"/>
        <v>50</v>
      </c>
      <c r="L261" s="104">
        <f>IF(B261="","",VLOOKUP(B261&amp;F261&amp;H261,经纬!A:M,13,FALSE)*N261)</f>
        <v>28.731054</v>
      </c>
      <c r="M261" s="104">
        <f>IF(B261="","",VLOOKUP(B261&amp;F261&amp;H261,经纬!A:N,14,FALSE)*N261)</f>
        <v>19.141569881889762</v>
      </c>
      <c r="N261" s="8">
        <v>957</v>
      </c>
      <c r="R261" s="250">
        <f t="shared" si="19"/>
        <v>10</v>
      </c>
    </row>
    <row r="262" spans="1:18" outlineLevel="1">
      <c r="A262" s="4">
        <v>271</v>
      </c>
      <c r="B262" s="89" t="s">
        <v>1488</v>
      </c>
      <c r="C262" s="8" t="str">
        <f>IF(B262="","",VLOOKUP(B262,经纬!B:C,2,FALSE))</f>
        <v>75*75</v>
      </c>
      <c r="D262" s="8">
        <f>IF(B262="","",VLOOKUP(B262,经纬!B:G,6,FALSE))</f>
        <v>43</v>
      </c>
      <c r="E262" s="8" t="str">
        <f t="shared" si="16"/>
        <v>190.5</v>
      </c>
      <c r="F262" s="8" t="s">
        <v>2</v>
      </c>
      <c r="G262" s="8" t="s">
        <v>282</v>
      </c>
      <c r="H262" s="89" t="s">
        <v>197</v>
      </c>
      <c r="I262" s="23">
        <v>43755</v>
      </c>
      <c r="J262" s="105" t="str">
        <f t="shared" si="17"/>
        <v>75</v>
      </c>
      <c r="K262" s="105" t="str">
        <f t="shared" si="18"/>
        <v>75</v>
      </c>
      <c r="L262" s="104">
        <f>IF(B262="","",VLOOKUP(B262&amp;F262&amp;H262,经纬!A:M,13,FALSE)*N262)</f>
        <v>55.630799999999994</v>
      </c>
      <c r="M262" s="104">
        <f>IF(B262="","",VLOOKUP(B262&amp;F262&amp;H262,经纬!A:N,14,FALSE)*N262)</f>
        <v>42.596751968503931</v>
      </c>
      <c r="N262" s="8">
        <v>1620</v>
      </c>
      <c r="R262" s="250">
        <f t="shared" si="19"/>
        <v>10</v>
      </c>
    </row>
    <row r="263" spans="1:18">
      <c r="A263" s="4">
        <v>272</v>
      </c>
      <c r="B263" s="86" t="s">
        <v>2560</v>
      </c>
      <c r="C263" s="8" t="str">
        <f>IF(B263="","",VLOOKUP(B263,经纬!B:C,2,FALSE))</f>
        <v>20*20</v>
      </c>
      <c r="D263" s="8">
        <f>IF(B263="","",VLOOKUP(B263,经纬!B:G,6,FALSE))</f>
        <v>17</v>
      </c>
      <c r="E263" s="8" t="str">
        <f t="shared" si="16"/>
        <v>197</v>
      </c>
      <c r="F263" s="8" t="s">
        <v>2551</v>
      </c>
      <c r="G263" s="193" t="s">
        <v>2794</v>
      </c>
      <c r="H263" s="86" t="s">
        <v>2561</v>
      </c>
      <c r="I263" s="191">
        <v>43771</v>
      </c>
      <c r="J263" s="105" t="str">
        <f t="shared" si="17"/>
        <v>20</v>
      </c>
      <c r="K263" s="105" t="str">
        <f t="shared" si="18"/>
        <v>20</v>
      </c>
      <c r="L263" s="104">
        <f>IF(B263="","",VLOOKUP(B263&amp;F263&amp;H263,经纬!A:M,13,FALSE)*N263)</f>
        <v>482.16464426666664</v>
      </c>
      <c r="M263" s="104">
        <f>IF(B263="","",VLOOKUP(B263&amp;F263&amp;H263,经纬!A:N,14,FALSE)*N263)</f>
        <v>352.86741557305334</v>
      </c>
      <c r="N263" s="206">
        <v>35896</v>
      </c>
      <c r="R263" s="250">
        <f t="shared" si="19"/>
        <v>11</v>
      </c>
    </row>
    <row r="264" spans="1:18">
      <c r="A264" s="4">
        <v>273</v>
      </c>
      <c r="B264" s="86" t="s">
        <v>2566</v>
      </c>
      <c r="C264" s="8" t="str">
        <f>IF(B264="","",VLOOKUP(B264,经纬!B:C,2,FALSE))</f>
        <v>30*30</v>
      </c>
      <c r="D264" s="8">
        <f>IF(B264="","",VLOOKUP(B264,经纬!B:G,6,FALSE))</f>
        <v>23</v>
      </c>
      <c r="E264" s="8" t="str">
        <f t="shared" si="16"/>
        <v>190</v>
      </c>
      <c r="F264" s="8" t="s">
        <v>2551</v>
      </c>
      <c r="G264" s="193" t="s">
        <v>2794</v>
      </c>
      <c r="H264" s="86" t="s">
        <v>2561</v>
      </c>
      <c r="I264" s="191">
        <v>43771</v>
      </c>
      <c r="J264" s="105" t="str">
        <f t="shared" si="17"/>
        <v>30</v>
      </c>
      <c r="K264" s="105" t="str">
        <f t="shared" si="18"/>
        <v>30</v>
      </c>
      <c r="L264" s="104">
        <f>IF(B264="","",VLOOKUP(B264&amp;F264&amp;H264,经纬!A:M,13,FALSE)*N264)</f>
        <v>51.250117600000003</v>
      </c>
      <c r="M264" s="104">
        <f>IF(B264="","",VLOOKUP(B264&amp;F264&amp;H264,经纬!A:N,14,FALSE)*N264)</f>
        <v>40.308864829396327</v>
      </c>
      <c r="N264" s="206">
        <v>2827</v>
      </c>
      <c r="R264" s="250">
        <f t="shared" si="19"/>
        <v>11</v>
      </c>
    </row>
    <row r="265" spans="1:18">
      <c r="A265" s="4">
        <v>274</v>
      </c>
      <c r="B265" s="86" t="s">
        <v>2793</v>
      </c>
      <c r="C265" s="8" t="str">
        <f>IF(B265="","",VLOOKUP(B265,经纬!B:C,2,FALSE))</f>
        <v>75*100</v>
      </c>
      <c r="D265" s="8">
        <f>IF(B265="","",VLOOKUP(B265,经纬!B:G,6,FALSE))</f>
        <v>50</v>
      </c>
      <c r="E265" s="8" t="str">
        <f t="shared" si="16"/>
        <v>190.5</v>
      </c>
      <c r="F265" s="250" t="s">
        <v>2527</v>
      </c>
      <c r="G265" s="193" t="s">
        <v>2794</v>
      </c>
      <c r="H265" s="86" t="s">
        <v>2606</v>
      </c>
      <c r="I265" s="191">
        <v>43771</v>
      </c>
      <c r="J265" s="105" t="str">
        <f t="shared" si="17"/>
        <v>75</v>
      </c>
      <c r="K265" s="105" t="str">
        <f t="shared" si="18"/>
        <v>100</v>
      </c>
      <c r="L265" s="104">
        <f>IF(B265="","",VLOOKUP(B265&amp;F265&amp;H265,经纬!A:M,13,FALSE)*N265)</f>
        <v>296.69759999999997</v>
      </c>
      <c r="M265" s="104">
        <f>IF(B265="","",VLOOKUP(B265&amp;F265&amp;H265,经纬!A:N,14,FALSE)*N265)</f>
        <v>299.02677165354328</v>
      </c>
      <c r="N265" s="206">
        <v>8640</v>
      </c>
      <c r="R265" s="250">
        <f t="shared" si="19"/>
        <v>11</v>
      </c>
    </row>
    <row r="266" spans="1:18">
      <c r="A266" s="4">
        <v>275</v>
      </c>
      <c r="B266" s="86" t="s">
        <v>2560</v>
      </c>
      <c r="C266" s="8" t="str">
        <f>IF(B266="","",VLOOKUP(B266,经纬!B:C,2,FALSE))</f>
        <v>20*20</v>
      </c>
      <c r="D266" s="8">
        <f>IF(B266="","",VLOOKUP(B266,经纬!B:G,6,FALSE))</f>
        <v>17</v>
      </c>
      <c r="E266" s="8" t="str">
        <f t="shared" si="16"/>
        <v>197</v>
      </c>
      <c r="F266" s="250" t="s">
        <v>2551</v>
      </c>
      <c r="G266" s="250" t="s">
        <v>2612</v>
      </c>
      <c r="H266" s="86" t="s">
        <v>2561</v>
      </c>
      <c r="I266" s="191">
        <v>43771</v>
      </c>
      <c r="J266" s="105" t="str">
        <f t="shared" si="17"/>
        <v>20</v>
      </c>
      <c r="K266" s="105" t="str">
        <f t="shared" si="18"/>
        <v>20</v>
      </c>
      <c r="L266" s="104">
        <f>IF(B266="","",VLOOKUP(B266&amp;F266&amp;H266,经纬!A:M,13,FALSE)*N266)</f>
        <v>16.387365333333332</v>
      </c>
      <c r="M266" s="104">
        <f>IF(B266="","",VLOOKUP(B266&amp;F266&amp;H266,经纬!A:N,14,FALSE)*N266)</f>
        <v>11.992930883639543</v>
      </c>
      <c r="N266" s="206">
        <v>1220</v>
      </c>
      <c r="R266" s="250">
        <f t="shared" si="19"/>
        <v>11</v>
      </c>
    </row>
    <row r="267" spans="1:18">
      <c r="A267" s="4">
        <v>276</v>
      </c>
      <c r="B267" s="86" t="s">
        <v>2566</v>
      </c>
      <c r="C267" s="8" t="str">
        <f>IF(B267="","",VLOOKUP(B267,经纬!B:C,2,FALSE))</f>
        <v>30*30</v>
      </c>
      <c r="D267" s="8">
        <f>IF(B267="","",VLOOKUP(B267,经纬!B:G,6,FALSE))</f>
        <v>23</v>
      </c>
      <c r="E267" s="8" t="str">
        <f t="shared" si="16"/>
        <v>190</v>
      </c>
      <c r="F267" s="250" t="s">
        <v>2551</v>
      </c>
      <c r="G267" s="250" t="s">
        <v>2612</v>
      </c>
      <c r="H267" s="86" t="s">
        <v>2561</v>
      </c>
      <c r="I267" s="191">
        <v>43771</v>
      </c>
      <c r="J267" s="105" t="str">
        <f t="shared" si="17"/>
        <v>30</v>
      </c>
      <c r="K267" s="105" t="str">
        <f t="shared" si="18"/>
        <v>30</v>
      </c>
      <c r="L267" s="104">
        <f>IF(B267="","",VLOOKUP(B267&amp;F267&amp;H267,经纬!A:M,13,FALSE)*N267)</f>
        <v>67.384749600000006</v>
      </c>
      <c r="M267" s="104">
        <f>IF(B267="","",VLOOKUP(B267&amp;F267&amp;H267,经纬!A:N,14,FALSE)*N267)</f>
        <v>52.998956692913382</v>
      </c>
      <c r="N267" s="206">
        <v>3717</v>
      </c>
      <c r="R267" s="250">
        <f t="shared" si="19"/>
        <v>11</v>
      </c>
    </row>
    <row r="268" spans="1:18">
      <c r="A268" s="4">
        <v>277</v>
      </c>
      <c r="B268" s="86" t="s">
        <v>2795</v>
      </c>
      <c r="C268" s="8" t="str">
        <f>IF(B268="","",VLOOKUP(B268,经纬!B:C,2,FALSE))</f>
        <v>50*50</v>
      </c>
      <c r="D268" s="8">
        <f>IF(B268="","",VLOOKUP(B268,经纬!B:G,6,FALSE))</f>
        <v>35</v>
      </c>
      <c r="E268" s="8" t="str">
        <f t="shared" si="16"/>
        <v>190</v>
      </c>
      <c r="F268" s="250" t="s">
        <v>2551</v>
      </c>
      <c r="G268" s="250" t="s">
        <v>2612</v>
      </c>
      <c r="H268" s="86" t="s">
        <v>2561</v>
      </c>
      <c r="I268" s="191">
        <v>43771</v>
      </c>
      <c r="J268" s="105" t="str">
        <f t="shared" si="17"/>
        <v>50</v>
      </c>
      <c r="K268" s="105" t="str">
        <f t="shared" si="18"/>
        <v>50</v>
      </c>
      <c r="L268" s="104">
        <f>IF(B268="","",VLOOKUP(B268&amp;F268&amp;H268,经纬!A:M,13,FALSE)*N268)</f>
        <v>178.04916</v>
      </c>
      <c r="M268" s="104">
        <f>IF(B268="","",VLOOKUP(B268&amp;F268&amp;H268,经纬!A:N,14,FALSE)*N268)</f>
        <v>273.11811023622045</v>
      </c>
      <c r="N268" s="206">
        <v>6345</v>
      </c>
      <c r="R268" s="250">
        <f t="shared" si="19"/>
        <v>11</v>
      </c>
    </row>
    <row r="269" spans="1:18">
      <c r="A269" s="4">
        <v>278</v>
      </c>
      <c r="B269" s="86" t="s">
        <v>2620</v>
      </c>
      <c r="C269" s="8" t="str">
        <f>IF(B269="","",VLOOKUP(B269,经纬!B:C,2,FALSE))</f>
        <v>50*50</v>
      </c>
      <c r="D269" s="8">
        <f>IF(B269="","",VLOOKUP(B269,经纬!B:G,6,FALSE))</f>
        <v>37</v>
      </c>
      <c r="E269" s="8" t="str">
        <f t="shared" si="16"/>
        <v>190.5</v>
      </c>
      <c r="F269" s="250" t="s">
        <v>2551</v>
      </c>
      <c r="G269" s="250" t="s">
        <v>2612</v>
      </c>
      <c r="H269" s="86" t="s">
        <v>2561</v>
      </c>
      <c r="I269" s="191">
        <v>43771</v>
      </c>
      <c r="J269" s="105" t="str">
        <f t="shared" si="17"/>
        <v>50</v>
      </c>
      <c r="K269" s="105" t="str">
        <f t="shared" si="18"/>
        <v>50</v>
      </c>
      <c r="L269" s="104">
        <f>IF(B269="","",VLOOKUP(B269&amp;F269&amp;H269,经纬!A:M,13,FALSE)*N269)</f>
        <v>192.53108599999999</v>
      </c>
      <c r="M269" s="104">
        <f>IF(B269="","",VLOOKUP(B269&amp;F269&amp;H269,经纬!A:N,14,FALSE)*N269)</f>
        <v>247.8935892388451</v>
      </c>
      <c r="N269" s="206">
        <v>6413</v>
      </c>
      <c r="R269" s="250">
        <f t="shared" si="19"/>
        <v>11</v>
      </c>
    </row>
    <row r="270" spans="1:18">
      <c r="A270" s="4">
        <v>279</v>
      </c>
      <c r="B270" s="86" t="s">
        <v>2620</v>
      </c>
      <c r="C270" s="8" t="str">
        <f>IF(B270="","",VLOOKUP(B270,经纬!B:C,2,FALSE))</f>
        <v>50*50</v>
      </c>
      <c r="D270" s="8">
        <f>IF(B270="","",VLOOKUP(B270,经纬!B:G,6,FALSE))</f>
        <v>37</v>
      </c>
      <c r="E270" s="8" t="str">
        <f t="shared" si="16"/>
        <v>190.5</v>
      </c>
      <c r="F270" s="250" t="s">
        <v>2551</v>
      </c>
      <c r="G270" s="250" t="s">
        <v>2612</v>
      </c>
      <c r="H270" s="86" t="s">
        <v>2606</v>
      </c>
      <c r="I270" s="191">
        <v>43771</v>
      </c>
      <c r="J270" s="105" t="str">
        <f t="shared" si="17"/>
        <v>50</v>
      </c>
      <c r="K270" s="105" t="str">
        <f t="shared" si="18"/>
        <v>50</v>
      </c>
      <c r="L270" s="104">
        <f>IF(B270="","",VLOOKUP(B270&amp;F270&amp;H270,经纬!A:M,13,FALSE)*N270)</f>
        <v>291.51362</v>
      </c>
      <c r="M270" s="104">
        <f>IF(B270="","",VLOOKUP(B270&amp;F270&amp;H270,经纬!A:N,14,FALSE)*N270)</f>
        <v>194.21592847769028</v>
      </c>
      <c r="N270" s="206">
        <v>9710</v>
      </c>
      <c r="R270" s="250">
        <f t="shared" si="19"/>
        <v>11</v>
      </c>
    </row>
    <row r="271" spans="1:18">
      <c r="A271" s="4">
        <v>280</v>
      </c>
      <c r="B271" s="86" t="s">
        <v>2620</v>
      </c>
      <c r="C271" s="8" t="str">
        <f>IF(B271="","",VLOOKUP(B271,经纬!B:C,2,FALSE))</f>
        <v>50*50</v>
      </c>
      <c r="D271" s="8">
        <f>IF(B271="","",VLOOKUP(B271,经纬!B:G,6,FALSE))</f>
        <v>37</v>
      </c>
      <c r="E271" s="8" t="str">
        <f t="shared" si="16"/>
        <v>190.5</v>
      </c>
      <c r="F271" s="250" t="s">
        <v>2527</v>
      </c>
      <c r="G271" s="250" t="s">
        <v>2612</v>
      </c>
      <c r="H271" s="86" t="s">
        <v>2606</v>
      </c>
      <c r="I271" s="191">
        <v>43771</v>
      </c>
      <c r="J271" s="105" t="str">
        <f t="shared" si="17"/>
        <v>50</v>
      </c>
      <c r="K271" s="105" t="str">
        <f t="shared" si="18"/>
        <v>50</v>
      </c>
      <c r="L271" s="104">
        <f>IF(B271="","",VLOOKUP(B271&amp;F271&amp;H271,经纬!A:M,13,FALSE)*N271)</f>
        <v>264.1936</v>
      </c>
      <c r="M271" s="104">
        <f>IF(B271="","",VLOOKUP(B271&amp;F271&amp;H271,经纬!A:N,14,FALSE)*N271)</f>
        <v>176.01443569553805</v>
      </c>
      <c r="N271" s="206">
        <v>8800</v>
      </c>
      <c r="R271" s="250">
        <f t="shared" si="19"/>
        <v>11</v>
      </c>
    </row>
    <row r="272" spans="1:18">
      <c r="A272" s="4">
        <v>281</v>
      </c>
      <c r="B272" s="86" t="s">
        <v>2796</v>
      </c>
      <c r="C272" s="8" t="str">
        <f>IF(B272="","",VLOOKUP(B272,经纬!B:C,2,FALSE))</f>
        <v>75*150</v>
      </c>
      <c r="D272" s="8">
        <f>IF(B272="","",VLOOKUP(B272,经纬!B:G,6,FALSE))</f>
        <v>54</v>
      </c>
      <c r="E272" s="8" t="str">
        <f t="shared" si="16"/>
        <v>190.5</v>
      </c>
      <c r="F272" s="250" t="s">
        <v>2551</v>
      </c>
      <c r="G272" s="250" t="s">
        <v>2612</v>
      </c>
      <c r="H272" s="86" t="s">
        <v>2606</v>
      </c>
      <c r="I272" s="191">
        <v>43771</v>
      </c>
      <c r="J272" s="105" t="str">
        <f t="shared" si="17"/>
        <v>75</v>
      </c>
      <c r="K272" s="105" t="str">
        <f t="shared" si="18"/>
        <v>150</v>
      </c>
      <c r="L272" s="104">
        <f>IF(B272="","",VLOOKUP(B272&amp;F272&amp;H272,经纬!A:M,13,FALSE)*N272)</f>
        <v>1167.11358</v>
      </c>
      <c r="M272" s="104">
        <f>IF(B272="","",VLOOKUP(B272&amp;F272&amp;H272,经纬!A:N,14,FALSE)*N272)</f>
        <v>1329.0388877952755</v>
      </c>
      <c r="N272" s="206">
        <v>33987</v>
      </c>
      <c r="R272" s="250">
        <f t="shared" si="19"/>
        <v>11</v>
      </c>
    </row>
    <row r="273" spans="1:18">
      <c r="A273" s="4">
        <v>282</v>
      </c>
      <c r="B273" s="86" t="s">
        <v>2581</v>
      </c>
      <c r="C273" s="8" t="str">
        <f>IF(B273="","",VLOOKUP(B273,经纬!B:C,2,FALSE))</f>
        <v>75*150</v>
      </c>
      <c r="D273" s="8">
        <f>IF(B273="","",VLOOKUP(B273,经纬!B:G,6,FALSE))</f>
        <v>58</v>
      </c>
      <c r="E273" s="8" t="str">
        <f t="shared" si="16"/>
        <v>190.5</v>
      </c>
      <c r="F273" s="250" t="s">
        <v>2527</v>
      </c>
      <c r="G273" s="250" t="s">
        <v>2612</v>
      </c>
      <c r="H273" s="86" t="s">
        <v>2606</v>
      </c>
      <c r="I273" s="191">
        <v>43771</v>
      </c>
      <c r="J273" s="105" t="str">
        <f t="shared" si="17"/>
        <v>75</v>
      </c>
      <c r="K273" s="105" t="str">
        <f t="shared" si="18"/>
        <v>150</v>
      </c>
      <c r="L273" s="104">
        <f>IF(B273="","",VLOOKUP(B273&amp;F273&amp;H273,经纬!A:M,13,FALSE)*N273)</f>
        <v>419.97819999999996</v>
      </c>
      <c r="M273" s="104">
        <f>IF(B273="","",VLOOKUP(B273&amp;F273&amp;H273,经纬!A:N,14,FALSE)*N273)</f>
        <v>519.4740649606299</v>
      </c>
      <c r="N273" s="206">
        <v>12230</v>
      </c>
      <c r="R273" s="250">
        <f t="shared" si="19"/>
        <v>11</v>
      </c>
    </row>
    <row r="274" spans="1:18">
      <c r="A274" s="4">
        <v>283</v>
      </c>
      <c r="B274" s="86" t="s">
        <v>2797</v>
      </c>
      <c r="C274" s="8" t="str">
        <f>IF(B274="","",VLOOKUP(B274,经纬!B:C,2,FALSE))</f>
        <v>75*300</v>
      </c>
      <c r="D274" s="8">
        <f>IF(B274="","",VLOOKUP(B274,经纬!B:G,6,FALSE))</f>
        <v>70</v>
      </c>
      <c r="E274" s="8" t="str">
        <f t="shared" si="16"/>
        <v>190.5</v>
      </c>
      <c r="F274" s="250" t="s">
        <v>2527</v>
      </c>
      <c r="G274" s="250" t="s">
        <v>2612</v>
      </c>
      <c r="H274" s="86" t="s">
        <v>2606</v>
      </c>
      <c r="I274" s="191">
        <v>43771</v>
      </c>
      <c r="J274" s="105" t="str">
        <f t="shared" si="17"/>
        <v>75</v>
      </c>
      <c r="K274" s="105" t="str">
        <f t="shared" si="18"/>
        <v>300</v>
      </c>
      <c r="L274" s="104">
        <f>IF(B274="","",VLOOKUP(B274&amp;F274&amp;H274,经纬!A:M,13,FALSE)*N274)</f>
        <v>241.51321999999996</v>
      </c>
      <c r="M274" s="104">
        <f>IF(B274="","",VLOOKUP(B274&amp;F274&amp;H274,经纬!A:N,14,FALSE)*N274)</f>
        <v>436.23982283464562</v>
      </c>
      <c r="N274" s="206">
        <v>7033</v>
      </c>
      <c r="R274" s="250">
        <f t="shared" si="19"/>
        <v>11</v>
      </c>
    </row>
    <row r="275" spans="1:18">
      <c r="A275" s="4">
        <v>284</v>
      </c>
      <c r="B275" s="86" t="s">
        <v>2588</v>
      </c>
      <c r="C275" s="8" t="str">
        <f>IF(B275="","",VLOOKUP(B275,经纬!B:C,2,FALSE))</f>
        <v>100*300</v>
      </c>
      <c r="D275" s="8">
        <f>IF(B275="","",VLOOKUP(B275,经纬!B:G,6,FALSE))</f>
        <v>86</v>
      </c>
      <c r="E275" s="8" t="str">
        <f t="shared" si="16"/>
        <v>188</v>
      </c>
      <c r="F275" s="250" t="s">
        <v>2551</v>
      </c>
      <c r="G275" s="250" t="s">
        <v>2612</v>
      </c>
      <c r="H275" s="86" t="s">
        <v>2582</v>
      </c>
      <c r="I275" s="191">
        <v>43771</v>
      </c>
      <c r="J275" s="105" t="str">
        <f t="shared" si="17"/>
        <v>100</v>
      </c>
      <c r="K275" s="105" t="str">
        <f t="shared" si="18"/>
        <v>300</v>
      </c>
      <c r="L275" s="104">
        <f>IF(B275="","",VLOOKUP(B275&amp;F275&amp;H275,经纬!A:M,13,FALSE)*N275)</f>
        <v>359.125</v>
      </c>
      <c r="M275" s="104">
        <f>IF(B275="","",VLOOKUP(B275&amp;F275&amp;H275,经纬!A:N,14,FALSE)*N275)</f>
        <v>619.05675853018363</v>
      </c>
      <c r="N275" s="206">
        <v>8450</v>
      </c>
      <c r="R275" s="250">
        <f t="shared" si="19"/>
        <v>11</v>
      </c>
    </row>
    <row r="276" spans="1:18">
      <c r="A276" s="4">
        <v>285</v>
      </c>
      <c r="B276" s="86" t="s">
        <v>2798</v>
      </c>
      <c r="C276" s="8" t="str">
        <f>IF(B276="","",VLOOKUP(B276,经纬!B:C,2,FALSE))</f>
        <v>100*300</v>
      </c>
      <c r="D276" s="8">
        <f>IF(B276="","",VLOOKUP(B276,经纬!B:G,6,FALSE))</f>
        <v>96</v>
      </c>
      <c r="E276" s="8" t="str">
        <f t="shared" si="16"/>
        <v>188</v>
      </c>
      <c r="F276" s="250" t="s">
        <v>2551</v>
      </c>
      <c r="G276" s="250" t="s">
        <v>2612</v>
      </c>
      <c r="H276" s="86" t="s">
        <v>2582</v>
      </c>
      <c r="I276" s="191">
        <v>43771</v>
      </c>
      <c r="J276" s="105" t="str">
        <f t="shared" si="17"/>
        <v>100</v>
      </c>
      <c r="K276" s="105" t="str">
        <f t="shared" si="18"/>
        <v>300</v>
      </c>
      <c r="L276" s="104">
        <f>IF(B276="","",VLOOKUP(B276&amp;F276&amp;H276,经纬!A:M,13,FALSE)*N276)</f>
        <v>45.050000000000004</v>
      </c>
      <c r="M276" s="104">
        <f>IF(B276="","",VLOOKUP(B276&amp;F276&amp;H276,经纬!A:N,14,FALSE)*N276)</f>
        <v>96.012073490813648</v>
      </c>
      <c r="N276" s="206">
        <v>1060</v>
      </c>
      <c r="R276" s="250">
        <f t="shared" si="19"/>
        <v>11</v>
      </c>
    </row>
    <row r="277" spans="1:18">
      <c r="A277" s="4">
        <v>286</v>
      </c>
      <c r="B277" s="86" t="s">
        <v>2588</v>
      </c>
      <c r="C277" s="8" t="str">
        <f>IF(B277="","",VLOOKUP(B277,经纬!B:C,2,FALSE))</f>
        <v>100*300</v>
      </c>
      <c r="D277" s="8">
        <f>IF(B277="","",VLOOKUP(B277,经纬!B:G,6,FALSE))</f>
        <v>86</v>
      </c>
      <c r="E277" s="8" t="str">
        <f t="shared" si="16"/>
        <v>188</v>
      </c>
      <c r="F277" s="250" t="s">
        <v>2527</v>
      </c>
      <c r="G277" s="250" t="s">
        <v>2612</v>
      </c>
      <c r="H277" s="86" t="s">
        <v>2582</v>
      </c>
      <c r="I277" s="191">
        <v>43771</v>
      </c>
      <c r="J277" s="105" t="str">
        <f t="shared" si="17"/>
        <v>100</v>
      </c>
      <c r="K277" s="105" t="str">
        <f t="shared" si="18"/>
        <v>300</v>
      </c>
      <c r="L277" s="104">
        <f>IF(B277="","",VLOOKUP(B277&amp;F277&amp;H277,经纬!A:M,13,FALSE)*N277)</f>
        <v>363.375</v>
      </c>
      <c r="M277" s="104">
        <f>IF(B277="","",VLOOKUP(B277&amp;F277&amp;H277,经纬!A:N,14,FALSE)*N277)</f>
        <v>626.38287401574792</v>
      </c>
      <c r="N277" s="206">
        <v>8550</v>
      </c>
      <c r="R277" s="250">
        <f t="shared" si="19"/>
        <v>11</v>
      </c>
    </row>
    <row r="278" spans="1:18">
      <c r="A278" s="4">
        <v>287</v>
      </c>
      <c r="B278" s="86" t="s">
        <v>2799</v>
      </c>
      <c r="C278" s="8" t="str">
        <f>IF(B278="","",VLOOKUP(B278,经纬!B:C,2,FALSE))</f>
        <v>200*300</v>
      </c>
      <c r="D278" s="8">
        <f>IF(B278="","",VLOOKUP(B278,经纬!B:G,6,FALSE))</f>
        <v>106</v>
      </c>
      <c r="E278" s="8" t="str">
        <f t="shared" si="16"/>
        <v>180</v>
      </c>
      <c r="F278" s="250" t="s">
        <v>2551</v>
      </c>
      <c r="G278" s="250" t="s">
        <v>2612</v>
      </c>
      <c r="H278" s="86" t="s">
        <v>2582</v>
      </c>
      <c r="I278" s="191">
        <v>43771</v>
      </c>
      <c r="J278" s="105" t="str">
        <f t="shared" si="17"/>
        <v>200</v>
      </c>
      <c r="K278" s="105" t="str">
        <f t="shared" si="18"/>
        <v>300</v>
      </c>
      <c r="L278" s="104">
        <f>IF(B278="","",VLOOKUP(B278&amp;F278&amp;H278,经纬!A:M,13,FALSE)*N278)</f>
        <v>167.73333333333335</v>
      </c>
      <c r="M278" s="104">
        <f>IF(B278="","",VLOOKUP(B278&amp;F278&amp;H278,经纬!A:N,14,FALSE)*N278)</f>
        <v>127.95275590551184</v>
      </c>
      <c r="N278" s="206">
        <v>2000</v>
      </c>
      <c r="R278" s="250">
        <f t="shared" si="19"/>
        <v>11</v>
      </c>
    </row>
    <row r="279" spans="1:18">
      <c r="A279" s="4">
        <v>288</v>
      </c>
      <c r="B279" s="86" t="s">
        <v>2591</v>
      </c>
      <c r="C279" s="8" t="str">
        <f>IF(B279="","",VLOOKUP(B279,经纬!B:C,2,FALSE))</f>
        <v>200*300</v>
      </c>
      <c r="D279" s="8">
        <f>IF(B279="","",VLOOKUP(B279,经纬!B:G,6,FALSE))</f>
        <v>116</v>
      </c>
      <c r="E279" s="8" t="str">
        <f t="shared" si="16"/>
        <v>180</v>
      </c>
      <c r="F279" s="250" t="s">
        <v>2527</v>
      </c>
      <c r="G279" s="250" t="s">
        <v>2612</v>
      </c>
      <c r="H279" s="86" t="s">
        <v>2582</v>
      </c>
      <c r="I279" s="191">
        <v>43771</v>
      </c>
      <c r="J279" s="105" t="str">
        <f t="shared" si="17"/>
        <v>200</v>
      </c>
      <c r="K279" s="105" t="str">
        <f t="shared" si="18"/>
        <v>300</v>
      </c>
      <c r="L279" s="104">
        <f>IF(B279="","",VLOOKUP(B279&amp;F279&amp;H279,经纬!A:M,13,FALSE)*N279)</f>
        <v>536.74666666666667</v>
      </c>
      <c r="M279" s="104">
        <f>IF(B279="","",VLOOKUP(B279&amp;F279&amp;H279,经纬!A:N,14,FALSE)*N279)</f>
        <v>524.09448818897636</v>
      </c>
      <c r="N279" s="206">
        <v>6400</v>
      </c>
      <c r="R279" s="250">
        <f t="shared" si="19"/>
        <v>11</v>
      </c>
    </row>
    <row r="280" spans="1:18">
      <c r="A280" s="4">
        <v>289</v>
      </c>
      <c r="B280" s="86" t="s">
        <v>2592</v>
      </c>
      <c r="C280" s="8" t="str">
        <f>IF(B280="","",VLOOKUP(B280,经纬!B:C,2,FALSE))</f>
        <v>200*300</v>
      </c>
      <c r="D280" s="8">
        <f>IF(B280="","",VLOOKUP(B280,经纬!B:G,6,FALSE))</f>
        <v>126</v>
      </c>
      <c r="E280" s="8" t="str">
        <f t="shared" si="16"/>
        <v>180</v>
      </c>
      <c r="F280" s="250" t="s">
        <v>2527</v>
      </c>
      <c r="G280" s="250" t="s">
        <v>2612</v>
      </c>
      <c r="H280" s="86" t="s">
        <v>2582</v>
      </c>
      <c r="I280" s="191">
        <v>43771</v>
      </c>
      <c r="J280" s="105" t="str">
        <f t="shared" si="17"/>
        <v>200</v>
      </c>
      <c r="K280" s="105" t="str">
        <f t="shared" si="18"/>
        <v>300</v>
      </c>
      <c r="L280" s="104">
        <f>IF(B280="","",VLOOKUP(B280&amp;F280&amp;H280,经纬!A:M,13,FALSE)*N280)</f>
        <v>536.74666666666667</v>
      </c>
      <c r="M280" s="104">
        <f>IF(B280="","",VLOOKUP(B280&amp;F280&amp;H280,经纬!A:N,14,FALSE)*N280)</f>
        <v>614.17322834645677</v>
      </c>
      <c r="N280" s="206">
        <v>6400</v>
      </c>
      <c r="R280" s="250">
        <f t="shared" si="19"/>
        <v>11</v>
      </c>
    </row>
    <row r="281" spans="1:18">
      <c r="A281" s="4">
        <v>290</v>
      </c>
      <c r="B281" s="86" t="s">
        <v>2560</v>
      </c>
      <c r="C281" s="8" t="str">
        <f>IF(B281="","",VLOOKUP(B281,经纬!B:C,2,FALSE))</f>
        <v>20*20</v>
      </c>
      <c r="D281" s="8">
        <f>IF(B281="","",VLOOKUP(B281,经纬!B:G,6,FALSE))</f>
        <v>17</v>
      </c>
      <c r="E281" s="8" t="str">
        <f t="shared" si="16"/>
        <v>197</v>
      </c>
      <c r="F281" s="250" t="s">
        <v>2551</v>
      </c>
      <c r="G281" s="250" t="s">
        <v>2800</v>
      </c>
      <c r="H281" s="86" t="s">
        <v>2561</v>
      </c>
      <c r="I281" s="191">
        <v>43771</v>
      </c>
      <c r="J281" s="105" t="str">
        <f t="shared" si="17"/>
        <v>20</v>
      </c>
      <c r="K281" s="105" t="str">
        <f t="shared" si="18"/>
        <v>20</v>
      </c>
      <c r="L281" s="104">
        <f>IF(B281="","",VLOOKUP(B281&amp;F281&amp;H281,经纬!A:M,13,FALSE)*N281)</f>
        <v>32.962782400000002</v>
      </c>
      <c r="M281" s="104">
        <f>IF(B281="","",VLOOKUP(B281&amp;F281&amp;H281,经纬!A:N,14,FALSE)*N281)</f>
        <v>24.12348556430446</v>
      </c>
      <c r="N281" s="206">
        <v>2454</v>
      </c>
      <c r="R281" s="250">
        <f t="shared" si="19"/>
        <v>11</v>
      </c>
    </row>
    <row r="282" spans="1:18">
      <c r="A282" s="4">
        <v>291</v>
      </c>
      <c r="B282" s="86" t="s">
        <v>2566</v>
      </c>
      <c r="C282" s="8" t="str">
        <f>IF(B282="","",VLOOKUP(B282,经纬!B:C,2,FALSE))</f>
        <v>30*30</v>
      </c>
      <c r="D282" s="8">
        <f>IF(B282="","",VLOOKUP(B282,经纬!B:G,6,FALSE))</f>
        <v>23</v>
      </c>
      <c r="E282" s="8" t="str">
        <f t="shared" si="16"/>
        <v>190</v>
      </c>
      <c r="F282" s="250" t="s">
        <v>2551</v>
      </c>
      <c r="G282" s="250" t="s">
        <v>2800</v>
      </c>
      <c r="H282" s="86" t="s">
        <v>2561</v>
      </c>
      <c r="I282" s="191">
        <v>43771</v>
      </c>
      <c r="J282" s="105" t="str">
        <f t="shared" si="17"/>
        <v>30</v>
      </c>
      <c r="K282" s="105" t="str">
        <f t="shared" si="18"/>
        <v>30</v>
      </c>
      <c r="L282" s="104">
        <f>IF(B282="","",VLOOKUP(B282&amp;F282&amp;H282,经纬!A:M,13,FALSE)*N282)</f>
        <v>15.40948</v>
      </c>
      <c r="M282" s="104">
        <f>IF(B282="","",VLOOKUP(B282&amp;F282&amp;H282,经纬!A:N,14,FALSE)*N282)</f>
        <v>12.119750656167978</v>
      </c>
      <c r="N282" s="206">
        <v>850</v>
      </c>
      <c r="R282" s="250">
        <f t="shared" si="19"/>
        <v>11</v>
      </c>
    </row>
    <row r="283" spans="1:18">
      <c r="A283" s="4">
        <v>292</v>
      </c>
      <c r="B283" s="86" t="s">
        <v>2793</v>
      </c>
      <c r="C283" s="8" t="str">
        <f>IF(B283="","",VLOOKUP(B283,经纬!B:C,2,FALSE))</f>
        <v>75*100</v>
      </c>
      <c r="D283" s="8">
        <f>IF(B283="","",VLOOKUP(B283,经纬!B:G,6,FALSE))</f>
        <v>50</v>
      </c>
      <c r="E283" s="8" t="str">
        <f t="shared" si="16"/>
        <v>190.5</v>
      </c>
      <c r="F283" s="250" t="s">
        <v>2527</v>
      </c>
      <c r="G283" s="250" t="s">
        <v>2611</v>
      </c>
      <c r="H283" s="86" t="s">
        <v>2606</v>
      </c>
      <c r="I283" s="191">
        <v>43771</v>
      </c>
      <c r="J283" s="105" t="str">
        <f t="shared" si="17"/>
        <v>75</v>
      </c>
      <c r="K283" s="105" t="str">
        <f t="shared" si="18"/>
        <v>100</v>
      </c>
      <c r="L283" s="104">
        <f>IF(B283="","",VLOOKUP(B283&amp;F283&amp;H283,经纬!A:M,13,FALSE)*N283)</f>
        <v>15.109599999999999</v>
      </c>
      <c r="M283" s="104">
        <f>IF(B283="","",VLOOKUP(B283&amp;F283&amp;H283,经纬!A:N,14,FALSE)*N283)</f>
        <v>15.228215223097111</v>
      </c>
      <c r="N283" s="206">
        <v>440</v>
      </c>
      <c r="R283" s="250">
        <f t="shared" si="19"/>
        <v>11</v>
      </c>
    </row>
    <row r="284" spans="1:18">
      <c r="A284" s="4">
        <v>293</v>
      </c>
      <c r="B284" s="86" t="s">
        <v>2620</v>
      </c>
      <c r="C284" s="8" t="str">
        <f>IF(B284="","",VLOOKUP(B284,经纬!B:C,2,FALSE))</f>
        <v>50*50</v>
      </c>
      <c r="D284" s="8">
        <f>IF(B284="","",VLOOKUP(B284,经纬!B:G,6,FALSE))</f>
        <v>37</v>
      </c>
      <c r="E284" s="8" t="str">
        <f t="shared" si="16"/>
        <v>190.5</v>
      </c>
      <c r="F284" s="250" t="s">
        <v>2551</v>
      </c>
      <c r="G284" s="250" t="s">
        <v>2801</v>
      </c>
      <c r="H284" s="86" t="s">
        <v>2561</v>
      </c>
      <c r="I284" s="191">
        <v>43771</v>
      </c>
      <c r="J284" s="105" t="str">
        <f t="shared" si="17"/>
        <v>50</v>
      </c>
      <c r="K284" s="105" t="str">
        <f t="shared" si="18"/>
        <v>50</v>
      </c>
      <c r="L284" s="104">
        <f>IF(B284="","",VLOOKUP(B284&amp;F284&amp;H284,经纬!A:M,13,FALSE)*N284)</f>
        <v>0.75055000000000005</v>
      </c>
      <c r="M284" s="104">
        <f>IF(B284="","",VLOOKUP(B284&amp;F284&amp;H284,经纬!A:N,14,FALSE)*N284)</f>
        <v>0.96637139107611536</v>
      </c>
      <c r="N284" s="206">
        <v>25</v>
      </c>
      <c r="R284" s="250">
        <f t="shared" si="19"/>
        <v>11</v>
      </c>
    </row>
    <row r="285" spans="1:18">
      <c r="A285" s="4">
        <v>294</v>
      </c>
      <c r="B285" s="86" t="s">
        <v>2560</v>
      </c>
      <c r="C285" s="8" t="str">
        <f>IF(B285="","",VLOOKUP(B285,经纬!B:C,2,FALSE))</f>
        <v>20*20</v>
      </c>
      <c r="D285" s="8">
        <f>IF(B285="","",VLOOKUP(B285,经纬!B:G,6,FALSE))</f>
        <v>17</v>
      </c>
      <c r="E285" s="8" t="str">
        <f t="shared" si="16"/>
        <v>197</v>
      </c>
      <c r="F285" s="250" t="s">
        <v>2551</v>
      </c>
      <c r="G285" s="250" t="s">
        <v>2794</v>
      </c>
      <c r="H285" s="86" t="s">
        <v>2561</v>
      </c>
      <c r="I285" s="191">
        <v>43772</v>
      </c>
      <c r="J285" s="105" t="str">
        <f t="shared" si="17"/>
        <v>20</v>
      </c>
      <c r="K285" s="105" t="str">
        <f t="shared" si="18"/>
        <v>20</v>
      </c>
      <c r="L285" s="104">
        <f>IF(B285="","",VLOOKUP(B285&amp;F285&amp;H285,经纬!A:M,13,FALSE)*N285)</f>
        <v>246.33433840000001</v>
      </c>
      <c r="M285" s="104">
        <f>IF(B285="","",VLOOKUP(B285&amp;F285&amp;H285,经纬!A:N,14,FALSE)*N285)</f>
        <v>180.27734383202099</v>
      </c>
      <c r="N285" s="206">
        <v>18339</v>
      </c>
      <c r="R285" s="250">
        <f t="shared" si="19"/>
        <v>11</v>
      </c>
    </row>
    <row r="286" spans="1:18">
      <c r="A286" s="4">
        <v>295</v>
      </c>
      <c r="B286" s="86" t="s">
        <v>2793</v>
      </c>
      <c r="C286" s="8" t="str">
        <f>IF(B286="","",VLOOKUP(B286,经纬!B:C,2,FALSE))</f>
        <v>75*100</v>
      </c>
      <c r="D286" s="8">
        <f>IF(B286="","",VLOOKUP(B286,经纬!B:G,6,FALSE))</f>
        <v>50</v>
      </c>
      <c r="E286" s="8" t="str">
        <f t="shared" si="16"/>
        <v>190.5</v>
      </c>
      <c r="F286" s="250" t="s">
        <v>2527</v>
      </c>
      <c r="G286" s="250" t="s">
        <v>2794</v>
      </c>
      <c r="H286" s="86" t="s">
        <v>2606</v>
      </c>
      <c r="I286" s="191">
        <v>43772</v>
      </c>
      <c r="J286" s="105" t="str">
        <f t="shared" si="17"/>
        <v>75</v>
      </c>
      <c r="K286" s="105" t="str">
        <f t="shared" si="18"/>
        <v>100</v>
      </c>
      <c r="L286" s="104">
        <f>IF(B286="","",VLOOKUP(B286&amp;F286&amp;H286,经纬!A:M,13,FALSE)*N286)</f>
        <v>167.71655999999999</v>
      </c>
      <c r="M286" s="104">
        <f>IF(B286="","",VLOOKUP(B286&amp;F286&amp;H286,经纬!A:N,14,FALSE)*N286)</f>
        <v>169.03318897637794</v>
      </c>
      <c r="N286" s="206">
        <v>4884</v>
      </c>
      <c r="R286" s="250">
        <f t="shared" si="19"/>
        <v>11</v>
      </c>
    </row>
    <row r="287" spans="1:18">
      <c r="A287" s="4">
        <v>296</v>
      </c>
      <c r="B287" s="86" t="s">
        <v>2560</v>
      </c>
      <c r="C287" s="8" t="str">
        <f>IF(B287="","",VLOOKUP(B287,经纬!B:C,2,FALSE))</f>
        <v>20*20</v>
      </c>
      <c r="D287" s="8">
        <f>IF(B287="","",VLOOKUP(B287,经纬!B:G,6,FALSE))</f>
        <v>17</v>
      </c>
      <c r="E287" s="8" t="str">
        <f t="shared" si="16"/>
        <v>197</v>
      </c>
      <c r="F287" s="250" t="s">
        <v>2551</v>
      </c>
      <c r="G287" s="250" t="s">
        <v>2612</v>
      </c>
      <c r="H287" s="86" t="s">
        <v>2561</v>
      </c>
      <c r="I287" s="191">
        <v>43772</v>
      </c>
      <c r="J287" s="105" t="str">
        <f t="shared" si="17"/>
        <v>20</v>
      </c>
      <c r="K287" s="105" t="str">
        <f t="shared" si="18"/>
        <v>20</v>
      </c>
      <c r="L287" s="104">
        <f>IF(B287="","",VLOOKUP(B287&amp;F287&amp;H287,经纬!A:M,13,FALSE)*N287)</f>
        <v>66.610610399999999</v>
      </c>
      <c r="M287" s="104">
        <f>IF(B287="","",VLOOKUP(B287&amp;F287&amp;H287,经纬!A:N,14,FALSE)*N287)</f>
        <v>48.748314960629912</v>
      </c>
      <c r="N287" s="206">
        <v>4959</v>
      </c>
      <c r="R287" s="250">
        <f t="shared" si="19"/>
        <v>11</v>
      </c>
    </row>
    <row r="288" spans="1:18">
      <c r="A288" s="4">
        <v>297</v>
      </c>
      <c r="B288" s="86" t="s">
        <v>2625</v>
      </c>
      <c r="C288" s="8" t="str">
        <f>IF(B288="","",VLOOKUP(B288,经纬!B:C,2,FALSE))</f>
        <v>30*30</v>
      </c>
      <c r="D288" s="8">
        <f>IF(B288="","",VLOOKUP(B288,经纬!B:G,6,FALSE))</f>
        <v>23</v>
      </c>
      <c r="E288" s="8" t="str">
        <f t="shared" si="16"/>
        <v>200</v>
      </c>
      <c r="F288" s="250" t="s">
        <v>2551</v>
      </c>
      <c r="G288" s="250" t="s">
        <v>2612</v>
      </c>
      <c r="H288" s="86" t="s">
        <v>2561</v>
      </c>
      <c r="I288" s="191">
        <v>43772</v>
      </c>
      <c r="J288" s="105" t="str">
        <f t="shared" si="17"/>
        <v>30</v>
      </c>
      <c r="K288" s="105" t="str">
        <f t="shared" si="18"/>
        <v>30</v>
      </c>
      <c r="L288" s="104">
        <f>IF(B288="","",VLOOKUP(B288&amp;F288&amp;H288,经纬!A:M,13,FALSE)*N288)</f>
        <v>71.724441600000006</v>
      </c>
      <c r="M288" s="104">
        <f>IF(B288="","",VLOOKUP(B288&amp;F288&amp;H288,经纬!A:N,14,FALSE)*N288)</f>
        <v>47.23905511811023</v>
      </c>
      <c r="N288" s="206">
        <v>3488</v>
      </c>
      <c r="R288" s="250">
        <f t="shared" si="19"/>
        <v>11</v>
      </c>
    </row>
    <row r="289" spans="1:18">
      <c r="A289" s="4">
        <v>298</v>
      </c>
      <c r="B289" s="86" t="s">
        <v>2850</v>
      </c>
      <c r="C289" s="8" t="str">
        <f>IF(B289="","",VLOOKUP(B289,经纬!B:C,2,FALSE))</f>
        <v>30*50</v>
      </c>
      <c r="D289" s="8">
        <f>IF(B289="","",VLOOKUP(B289,经纬!B:G,6,FALSE))</f>
        <v>31</v>
      </c>
      <c r="E289" s="8" t="str">
        <f t="shared" si="16"/>
        <v>190</v>
      </c>
      <c r="F289" s="250" t="s">
        <v>2551</v>
      </c>
      <c r="G289" s="250" t="s">
        <v>2612</v>
      </c>
      <c r="H289" s="86" t="s">
        <v>2582</v>
      </c>
      <c r="I289" s="191">
        <v>43772</v>
      </c>
      <c r="J289" s="105" t="str">
        <f t="shared" si="17"/>
        <v>30</v>
      </c>
      <c r="K289" s="105" t="str">
        <f t="shared" si="18"/>
        <v>50</v>
      </c>
      <c r="L289" s="104">
        <f>IF(B289="","",VLOOKUP(B289&amp;F289&amp;H289,经纬!A:M,13,FALSE)*N289)</f>
        <v>99.000486000000009</v>
      </c>
      <c r="M289" s="104">
        <f>IF(B289="","",VLOOKUP(B289&amp;F289&amp;H289,经纬!A:N,14,FALSE)*N289)</f>
        <v>58.788188976377953</v>
      </c>
      <c r="N289" s="206">
        <v>5463</v>
      </c>
      <c r="R289" s="250">
        <f t="shared" si="19"/>
        <v>11</v>
      </c>
    </row>
    <row r="290" spans="1:18">
      <c r="A290" s="4">
        <v>299</v>
      </c>
      <c r="B290" s="86" t="s">
        <v>2620</v>
      </c>
      <c r="C290" s="8" t="str">
        <f>IF(B290="","",VLOOKUP(B290,经纬!B:C,2,FALSE))</f>
        <v>50*50</v>
      </c>
      <c r="D290" s="8">
        <f>IF(B290="","",VLOOKUP(B290,经纬!B:G,6,FALSE))</f>
        <v>37</v>
      </c>
      <c r="E290" s="8" t="str">
        <f t="shared" si="16"/>
        <v>190.5</v>
      </c>
      <c r="F290" s="250" t="s">
        <v>2551</v>
      </c>
      <c r="G290" s="250" t="s">
        <v>2612</v>
      </c>
      <c r="H290" s="86" t="s">
        <v>2606</v>
      </c>
      <c r="I290" s="191">
        <v>43772</v>
      </c>
      <c r="J290" s="105" t="str">
        <f t="shared" si="17"/>
        <v>50</v>
      </c>
      <c r="K290" s="105" t="str">
        <f t="shared" si="18"/>
        <v>50</v>
      </c>
      <c r="L290" s="104">
        <f>IF(B290="","",VLOOKUP(B290&amp;F290&amp;H290,经纬!A:M,13,FALSE)*N290)</f>
        <v>288.75159600000001</v>
      </c>
      <c r="M290" s="104">
        <f>IF(B290="","",VLOOKUP(B290&amp;F290&amp;H290,经纬!A:N,14,FALSE)*N290)</f>
        <v>192.37577755905511</v>
      </c>
      <c r="N290" s="206">
        <v>9618</v>
      </c>
      <c r="R290" s="250">
        <f t="shared" si="19"/>
        <v>11</v>
      </c>
    </row>
    <row r="291" spans="1:18">
      <c r="A291" s="4">
        <v>300</v>
      </c>
      <c r="B291" s="86" t="s">
        <v>2620</v>
      </c>
      <c r="C291" s="8" t="str">
        <f>IF(B291="","",VLOOKUP(B291,经纬!B:C,2,FALSE))</f>
        <v>50*50</v>
      </c>
      <c r="D291" s="8">
        <f>IF(B291="","",VLOOKUP(B291,经纬!B:G,6,FALSE))</f>
        <v>37</v>
      </c>
      <c r="E291" s="8" t="str">
        <f t="shared" si="16"/>
        <v>190.5</v>
      </c>
      <c r="F291" s="250" t="s">
        <v>2527</v>
      </c>
      <c r="G291" s="250" t="s">
        <v>2612</v>
      </c>
      <c r="H291" s="86" t="s">
        <v>2606</v>
      </c>
      <c r="I291" s="191">
        <v>43772</v>
      </c>
      <c r="J291" s="105" t="str">
        <f t="shared" si="17"/>
        <v>50</v>
      </c>
      <c r="K291" s="105" t="str">
        <f t="shared" si="18"/>
        <v>50</v>
      </c>
      <c r="L291" s="104">
        <f>IF(B291="","",VLOOKUP(B291&amp;F291&amp;H291,经纬!A:M,13,FALSE)*N291)</f>
        <v>414.87401799999998</v>
      </c>
      <c r="M291" s="104">
        <f>IF(B291="","",VLOOKUP(B291&amp;F291&amp;H291,经纬!A:N,14,FALSE)*N291)</f>
        <v>276.4026689632546</v>
      </c>
      <c r="N291" s="206">
        <v>13819</v>
      </c>
      <c r="R291" s="250">
        <f t="shared" si="19"/>
        <v>11</v>
      </c>
    </row>
    <row r="292" spans="1:18">
      <c r="A292" s="4">
        <v>301</v>
      </c>
      <c r="B292" s="86" t="s">
        <v>2796</v>
      </c>
      <c r="C292" s="8" t="str">
        <f>IF(B292="","",VLOOKUP(B292,经纬!B:C,2,FALSE))</f>
        <v>75*150</v>
      </c>
      <c r="D292" s="8">
        <f>IF(B292="","",VLOOKUP(B292,经纬!B:G,6,FALSE))</f>
        <v>54</v>
      </c>
      <c r="E292" s="8" t="str">
        <f t="shared" si="16"/>
        <v>190.5</v>
      </c>
      <c r="F292" s="250" t="s">
        <v>2551</v>
      </c>
      <c r="G292" s="250" t="s">
        <v>2612</v>
      </c>
      <c r="H292" s="86" t="s">
        <v>2606</v>
      </c>
      <c r="I292" s="191">
        <v>43772</v>
      </c>
      <c r="J292" s="105" t="str">
        <f t="shared" si="17"/>
        <v>75</v>
      </c>
      <c r="K292" s="105" t="str">
        <f t="shared" si="18"/>
        <v>150</v>
      </c>
      <c r="L292" s="104">
        <f>IF(B292="","",VLOOKUP(B292&amp;F292&amp;H292,经纬!A:M,13,FALSE)*N292)</f>
        <v>344.80793999999997</v>
      </c>
      <c r="M292" s="104">
        <f>IF(B292="","",VLOOKUP(B292&amp;F292&amp;H292,经纬!A:N,14,FALSE)*N292)</f>
        <v>392.64658464566924</v>
      </c>
      <c r="N292" s="206">
        <v>10041</v>
      </c>
      <c r="R292" s="250">
        <f t="shared" si="19"/>
        <v>11</v>
      </c>
    </row>
    <row r="293" spans="1:18">
      <c r="A293" s="4">
        <v>302</v>
      </c>
      <c r="B293" s="86" t="s">
        <v>2605</v>
      </c>
      <c r="C293" s="8" t="str">
        <f>IF(B293="","",VLOOKUP(B293,经纬!B:C,2,FALSE))</f>
        <v>75*75</v>
      </c>
      <c r="D293" s="8">
        <f>IF(B293="","",VLOOKUP(B293,经纬!B:G,6,FALSE))</f>
        <v>43</v>
      </c>
      <c r="E293" s="8" t="str">
        <f t="shared" si="16"/>
        <v>190.5</v>
      </c>
      <c r="F293" s="250" t="s">
        <v>2527</v>
      </c>
      <c r="G293" s="250" t="s">
        <v>2612</v>
      </c>
      <c r="H293" s="86" t="s">
        <v>2606</v>
      </c>
      <c r="I293" s="191">
        <v>43772</v>
      </c>
      <c r="J293" s="105" t="str">
        <f t="shared" si="17"/>
        <v>75</v>
      </c>
      <c r="K293" s="105" t="str">
        <f t="shared" si="18"/>
        <v>75</v>
      </c>
      <c r="L293" s="104">
        <f>IF(B293="","",VLOOKUP(B293&amp;F293&amp;H293,经纬!A:M,13,FALSE)*N293)</f>
        <v>992.42599999999982</v>
      </c>
      <c r="M293" s="104">
        <f>IF(B293="","",VLOOKUP(B293&amp;F293&amp;H293,经纬!A:N,14,FALSE)*N293)</f>
        <v>759.90501968503929</v>
      </c>
      <c r="N293" s="206">
        <v>28900</v>
      </c>
      <c r="R293" s="250">
        <f t="shared" si="19"/>
        <v>11</v>
      </c>
    </row>
    <row r="294" spans="1:18">
      <c r="A294" s="4">
        <v>303</v>
      </c>
      <c r="B294" s="86" t="s">
        <v>2797</v>
      </c>
      <c r="C294" s="8" t="str">
        <f>IF(B294="","",VLOOKUP(B294,经纬!B:C,2,FALSE))</f>
        <v>75*300</v>
      </c>
      <c r="D294" s="8">
        <f>IF(B294="","",VLOOKUP(B294,经纬!B:G,6,FALSE))</f>
        <v>70</v>
      </c>
      <c r="E294" s="8" t="str">
        <f t="shared" si="16"/>
        <v>190.5</v>
      </c>
      <c r="F294" s="250" t="s">
        <v>2527</v>
      </c>
      <c r="G294" s="250" t="s">
        <v>2612</v>
      </c>
      <c r="H294" s="86" t="s">
        <v>2606</v>
      </c>
      <c r="I294" s="191">
        <v>43772</v>
      </c>
      <c r="J294" s="105" t="str">
        <f t="shared" si="17"/>
        <v>75</v>
      </c>
      <c r="K294" s="105" t="str">
        <f t="shared" si="18"/>
        <v>300</v>
      </c>
      <c r="L294" s="104">
        <f>IF(B294="","",VLOOKUP(B294&amp;F294&amp;H294,经纬!A:M,13,FALSE)*N294)</f>
        <v>162.15347999999997</v>
      </c>
      <c r="M294" s="104">
        <f>IF(B294="","",VLOOKUP(B294&amp;F294&amp;H294,经纬!A:N,14,FALSE)*N294)</f>
        <v>292.89413385826765</v>
      </c>
      <c r="N294" s="206">
        <v>4722</v>
      </c>
      <c r="R294" s="250">
        <f t="shared" si="19"/>
        <v>11</v>
      </c>
    </row>
    <row r="295" spans="1:18">
      <c r="A295" s="4">
        <v>304</v>
      </c>
      <c r="B295" s="86" t="s">
        <v>2798</v>
      </c>
      <c r="C295" s="8" t="str">
        <f>IF(B295="","",VLOOKUP(B295,经纬!B:C,2,FALSE))</f>
        <v>100*300</v>
      </c>
      <c r="D295" s="8">
        <f>IF(B295="","",VLOOKUP(B295,经纬!B:G,6,FALSE))</f>
        <v>96</v>
      </c>
      <c r="E295" s="8" t="str">
        <f t="shared" si="16"/>
        <v>188</v>
      </c>
      <c r="F295" s="250" t="s">
        <v>2527</v>
      </c>
      <c r="G295" s="250" t="s">
        <v>2612</v>
      </c>
      <c r="H295" s="86" t="s">
        <v>2582</v>
      </c>
      <c r="I295" s="191">
        <v>43772</v>
      </c>
      <c r="J295" s="105" t="str">
        <f t="shared" si="17"/>
        <v>100</v>
      </c>
      <c r="K295" s="105" t="str">
        <f t="shared" si="18"/>
        <v>300</v>
      </c>
      <c r="L295" s="104">
        <f>IF(B295="","",VLOOKUP(B295&amp;F295&amp;H295,经纬!A:M,13,FALSE)*N295)</f>
        <v>386.75</v>
      </c>
      <c r="M295" s="104">
        <f>IF(B295="","",VLOOKUP(B295&amp;F295&amp;H295,经纬!A:N,14,FALSE)*N295)</f>
        <v>824.25459317585307</v>
      </c>
      <c r="N295" s="206">
        <v>9100</v>
      </c>
      <c r="R295" s="250">
        <f t="shared" si="19"/>
        <v>11</v>
      </c>
    </row>
    <row r="296" spans="1:18">
      <c r="A296" s="4">
        <v>305</v>
      </c>
      <c r="B296" s="86" t="s">
        <v>2591</v>
      </c>
      <c r="C296" s="8" t="str">
        <f>IF(B296="","",VLOOKUP(B296,经纬!B:C,2,FALSE))</f>
        <v>200*300</v>
      </c>
      <c r="D296" s="8">
        <f>IF(B296="","",VLOOKUP(B296,经纬!B:G,6,FALSE))</f>
        <v>116</v>
      </c>
      <c r="E296" s="8" t="str">
        <f t="shared" si="16"/>
        <v>180</v>
      </c>
      <c r="F296" s="250" t="s">
        <v>2527</v>
      </c>
      <c r="G296" s="250" t="s">
        <v>2612</v>
      </c>
      <c r="H296" s="86" t="s">
        <v>2582</v>
      </c>
      <c r="I296" s="191">
        <v>43772</v>
      </c>
      <c r="J296" s="105" t="str">
        <f t="shared" si="17"/>
        <v>200</v>
      </c>
      <c r="K296" s="105" t="str">
        <f t="shared" si="18"/>
        <v>300</v>
      </c>
      <c r="L296" s="104">
        <f>IF(B296="","",VLOOKUP(B296&amp;F296&amp;H296,经纬!A:M,13,FALSE)*N296)</f>
        <v>485.58800000000002</v>
      </c>
      <c r="M296" s="104">
        <f>IF(B296="","",VLOOKUP(B296&amp;F296&amp;H296,经纬!A:N,14,FALSE)*N296)</f>
        <v>474.14173228346453</v>
      </c>
      <c r="N296" s="206">
        <v>5790</v>
      </c>
      <c r="R296" s="250">
        <f t="shared" si="19"/>
        <v>11</v>
      </c>
    </row>
    <row r="297" spans="1:18">
      <c r="A297" s="4">
        <v>306</v>
      </c>
      <c r="B297" s="86" t="s">
        <v>2592</v>
      </c>
      <c r="C297" s="8" t="str">
        <f>IF(B297="","",VLOOKUP(B297,经纬!B:C,2,FALSE))</f>
        <v>200*300</v>
      </c>
      <c r="D297" s="8">
        <f>IF(B297="","",VLOOKUP(B297,经纬!B:G,6,FALSE))</f>
        <v>126</v>
      </c>
      <c r="E297" s="8" t="str">
        <f t="shared" si="16"/>
        <v>180</v>
      </c>
      <c r="F297" s="250" t="s">
        <v>2527</v>
      </c>
      <c r="G297" s="250" t="s">
        <v>2612</v>
      </c>
      <c r="H297" s="86" t="s">
        <v>2582</v>
      </c>
      <c r="I297" s="191">
        <v>43772</v>
      </c>
      <c r="J297" s="105" t="str">
        <f t="shared" si="17"/>
        <v>200</v>
      </c>
      <c r="K297" s="105" t="str">
        <f t="shared" si="18"/>
        <v>300</v>
      </c>
      <c r="L297" s="104">
        <f>IF(B297="","",VLOOKUP(B297&amp;F297&amp;H297,经纬!A:M,13,FALSE)*N297)</f>
        <v>536.74666666666667</v>
      </c>
      <c r="M297" s="104">
        <f>IF(B297="","",VLOOKUP(B297&amp;F297&amp;H297,经纬!A:N,14,FALSE)*N297)</f>
        <v>614.17322834645677</v>
      </c>
      <c r="N297" s="206">
        <v>6400</v>
      </c>
      <c r="R297" s="250">
        <f t="shared" si="19"/>
        <v>11</v>
      </c>
    </row>
    <row r="298" spans="1:18">
      <c r="A298" s="4">
        <v>307</v>
      </c>
      <c r="B298" s="86" t="s">
        <v>2560</v>
      </c>
      <c r="C298" s="8" t="str">
        <f>IF(B298="","",VLOOKUP(B298,经纬!B:C,2,FALSE))</f>
        <v>20*20</v>
      </c>
      <c r="D298" s="8">
        <f>IF(B298="","",VLOOKUP(B298,经纬!B:G,6,FALSE))</f>
        <v>17</v>
      </c>
      <c r="E298" s="8" t="str">
        <f t="shared" si="16"/>
        <v>197</v>
      </c>
      <c r="F298" s="250" t="s">
        <v>2551</v>
      </c>
      <c r="G298" s="250" t="s">
        <v>2851</v>
      </c>
      <c r="H298" s="86" t="s">
        <v>2561</v>
      </c>
      <c r="I298" s="191">
        <v>43772</v>
      </c>
      <c r="J298" s="105" t="str">
        <f t="shared" si="17"/>
        <v>20</v>
      </c>
      <c r="K298" s="105" t="str">
        <f t="shared" si="18"/>
        <v>20</v>
      </c>
      <c r="L298" s="104">
        <f>IF(B298="","",VLOOKUP(B298&amp;F298&amp;H298,经纬!A:M,13,FALSE)*N298)</f>
        <v>16.897791466666668</v>
      </c>
      <c r="M298" s="104">
        <f>IF(B298="","",VLOOKUP(B298&amp;F298&amp;H298,经纬!A:N,14,FALSE)*N298)</f>
        <v>12.366481189851267</v>
      </c>
      <c r="N298" s="206">
        <v>1258</v>
      </c>
      <c r="R298" s="250">
        <f t="shared" si="19"/>
        <v>11</v>
      </c>
    </row>
    <row r="299" spans="1:18">
      <c r="A299" s="4">
        <v>308</v>
      </c>
      <c r="B299" s="86" t="s">
        <v>2625</v>
      </c>
      <c r="C299" s="8" t="str">
        <f>IF(B299="","",VLOOKUP(B299,经纬!B:C,2,FALSE))</f>
        <v>30*30</v>
      </c>
      <c r="D299" s="8">
        <f>IF(B299="","",VLOOKUP(B299,经纬!B:G,6,FALSE))</f>
        <v>23</v>
      </c>
      <c r="E299" s="8" t="str">
        <f t="shared" si="16"/>
        <v>200</v>
      </c>
      <c r="F299" s="250" t="s">
        <v>2551</v>
      </c>
      <c r="G299" s="250" t="s">
        <v>2611</v>
      </c>
      <c r="H299" s="86" t="s">
        <v>2561</v>
      </c>
      <c r="I299" s="191">
        <v>43772</v>
      </c>
      <c r="J299" s="105" t="str">
        <f t="shared" si="17"/>
        <v>30</v>
      </c>
      <c r="K299" s="105" t="str">
        <f t="shared" si="18"/>
        <v>30</v>
      </c>
      <c r="L299" s="104">
        <f>IF(B299="","",VLOOKUP(B299&amp;F299&amp;H299,经纬!A:M,13,FALSE)*N299)</f>
        <v>29.2614336</v>
      </c>
      <c r="M299" s="104">
        <f>IF(B299="","",VLOOKUP(B299&amp;F299&amp;H299,经纬!A:N,14,FALSE)*N299)</f>
        <v>19.272125984251968</v>
      </c>
      <c r="N299" s="206">
        <v>1423</v>
      </c>
      <c r="R299" s="250">
        <f t="shared" si="19"/>
        <v>11</v>
      </c>
    </row>
    <row r="300" spans="1:18">
      <c r="A300" s="4">
        <v>309</v>
      </c>
      <c r="B300" s="86" t="s">
        <v>2620</v>
      </c>
      <c r="C300" s="8" t="str">
        <f>IF(B300="","",VLOOKUP(B300,经纬!B:C,2,FALSE))</f>
        <v>50*50</v>
      </c>
      <c r="D300" s="8">
        <f>IF(B300="","",VLOOKUP(B300,经纬!B:G,6,FALSE))</f>
        <v>37</v>
      </c>
      <c r="E300" s="8" t="str">
        <f t="shared" si="16"/>
        <v>190.5</v>
      </c>
      <c r="F300" s="250" t="s">
        <v>2551</v>
      </c>
      <c r="G300" s="250" t="s">
        <v>2611</v>
      </c>
      <c r="H300" s="86" t="s">
        <v>2606</v>
      </c>
      <c r="I300" s="191">
        <v>43772</v>
      </c>
      <c r="J300" s="105" t="str">
        <f t="shared" si="17"/>
        <v>50</v>
      </c>
      <c r="K300" s="105" t="str">
        <f t="shared" si="18"/>
        <v>50</v>
      </c>
      <c r="L300" s="104">
        <f>IF(B300="","",VLOOKUP(B300&amp;F300&amp;H300,经纬!A:M,13,FALSE)*N300)</f>
        <v>28.731054</v>
      </c>
      <c r="M300" s="104">
        <f>IF(B300="","",VLOOKUP(B300&amp;F300&amp;H300,经纬!A:N,14,FALSE)*N300)</f>
        <v>19.141569881889762</v>
      </c>
      <c r="N300" s="206">
        <v>957</v>
      </c>
      <c r="R300" s="250">
        <f t="shared" si="19"/>
        <v>11</v>
      </c>
    </row>
    <row r="301" spans="1:18">
      <c r="A301" s="4">
        <v>310</v>
      </c>
      <c r="B301" s="86" t="s">
        <v>2560</v>
      </c>
      <c r="C301" s="8" t="str">
        <f>IF(B301="","",VLOOKUP(B301,经纬!B:C,2,FALSE))</f>
        <v>20*20</v>
      </c>
      <c r="D301" s="8">
        <f>IF(B301="","",VLOOKUP(B301,经纬!B:G,6,FALSE))</f>
        <v>17</v>
      </c>
      <c r="E301" s="8" t="str">
        <f t="shared" si="16"/>
        <v>197</v>
      </c>
      <c r="F301" s="250" t="s">
        <v>2551</v>
      </c>
      <c r="G301" s="250" t="s">
        <v>2794</v>
      </c>
      <c r="H301" s="86" t="s">
        <v>2561</v>
      </c>
      <c r="I301" s="191">
        <v>43773</v>
      </c>
      <c r="J301" s="105" t="str">
        <f t="shared" si="17"/>
        <v>20</v>
      </c>
      <c r="K301" s="105" t="str">
        <f t="shared" si="18"/>
        <v>20</v>
      </c>
      <c r="L301" s="104">
        <f>IF(B301="","",VLOOKUP(B301&amp;F301&amp;H301,经纬!A:M,13,FALSE)*N301)</f>
        <v>509.87541039999996</v>
      </c>
      <c r="M301" s="104">
        <f>IF(B301="","",VLOOKUP(B301&amp;F301&amp;H301,经纬!A:N,14,FALSE)*N301)</f>
        <v>373.14726509186346</v>
      </c>
      <c r="N301" s="206">
        <v>37959</v>
      </c>
      <c r="R301" s="250">
        <f t="shared" si="19"/>
        <v>11</v>
      </c>
    </row>
    <row r="302" spans="1:18">
      <c r="A302" s="4">
        <v>311</v>
      </c>
      <c r="B302" s="86" t="s">
        <v>2560</v>
      </c>
      <c r="C302" s="8" t="str">
        <f>IF(B302="","",VLOOKUP(B302,经纬!B:C,2,FALSE))</f>
        <v>20*20</v>
      </c>
      <c r="D302" s="8">
        <f>IF(B302="","",VLOOKUP(B302,经纬!B:G,6,FALSE))</f>
        <v>17</v>
      </c>
      <c r="E302" s="8" t="str">
        <f t="shared" si="16"/>
        <v>197</v>
      </c>
      <c r="F302" s="250" t="s">
        <v>2527</v>
      </c>
      <c r="G302" s="250" t="s">
        <v>2794</v>
      </c>
      <c r="H302" s="86" t="s">
        <v>2561</v>
      </c>
      <c r="I302" s="191">
        <v>43773</v>
      </c>
      <c r="J302" s="105" t="str">
        <f t="shared" si="17"/>
        <v>20</v>
      </c>
      <c r="K302" s="105" t="str">
        <f t="shared" si="18"/>
        <v>20</v>
      </c>
      <c r="L302" s="104">
        <f>IF(B302="","",VLOOKUP(B302&amp;F302&amp;H302,经纬!A:M,13,FALSE)*N302)</f>
        <v>104.86570586666666</v>
      </c>
      <c r="M302" s="104">
        <f>IF(B302="","",VLOOKUP(B302&amp;F302&amp;H302,经纬!A:N,14,FALSE)*N302)</f>
        <v>76.744927384076988</v>
      </c>
      <c r="N302" s="206">
        <v>7807</v>
      </c>
      <c r="R302" s="250">
        <f t="shared" si="19"/>
        <v>11</v>
      </c>
    </row>
    <row r="303" spans="1:18">
      <c r="A303" s="4">
        <v>312</v>
      </c>
      <c r="B303" s="86" t="s">
        <v>2560</v>
      </c>
      <c r="C303" s="8" t="str">
        <f>IF(B303="","",VLOOKUP(B303,经纬!B:C,2,FALSE))</f>
        <v>20*20</v>
      </c>
      <c r="D303" s="8">
        <f>IF(B303="","",VLOOKUP(B303,经纬!B:G,6,FALSE))</f>
        <v>17</v>
      </c>
      <c r="E303" s="8" t="str">
        <f t="shared" si="16"/>
        <v>197</v>
      </c>
      <c r="F303" s="250" t="s">
        <v>2551</v>
      </c>
      <c r="G303" s="250" t="s">
        <v>2612</v>
      </c>
      <c r="H303" s="86" t="s">
        <v>2561</v>
      </c>
      <c r="I303" s="191">
        <v>43773</v>
      </c>
      <c r="J303" s="105" t="str">
        <f t="shared" si="17"/>
        <v>20</v>
      </c>
      <c r="K303" s="105" t="str">
        <f t="shared" si="18"/>
        <v>20</v>
      </c>
      <c r="L303" s="104">
        <f>IF(B303="","",VLOOKUP(B303&amp;F303&amp;H303,经纬!A:M,13,FALSE)*N303)</f>
        <v>21.867730133333332</v>
      </c>
      <c r="M303" s="104">
        <f>IF(B303="","",VLOOKUP(B303&amp;F303&amp;H303,经纬!A:N,14,FALSE)*N303)</f>
        <v>16.003681539807523</v>
      </c>
      <c r="N303" s="206">
        <v>1628</v>
      </c>
      <c r="R303" s="250">
        <f t="shared" si="19"/>
        <v>11</v>
      </c>
    </row>
    <row r="304" spans="1:18">
      <c r="A304" s="4">
        <v>313</v>
      </c>
      <c r="B304" s="86" t="s">
        <v>2980</v>
      </c>
      <c r="C304" s="8" t="str">
        <f>IF(B304="","",VLOOKUP(B304,经纬!B:C,2,FALSE))</f>
        <v>30*30</v>
      </c>
      <c r="D304" s="8">
        <f>IF(B304="","",VLOOKUP(B304,经纬!B:G,6,FALSE))</f>
        <v>23</v>
      </c>
      <c r="E304" s="8" t="str">
        <f t="shared" si="16"/>
        <v>192</v>
      </c>
      <c r="F304" s="250" t="s">
        <v>2551</v>
      </c>
      <c r="G304" s="250" t="s">
        <v>2612</v>
      </c>
      <c r="H304" s="86" t="s">
        <v>2561</v>
      </c>
      <c r="I304" s="191">
        <v>43773</v>
      </c>
      <c r="J304" s="105" t="str">
        <f t="shared" si="17"/>
        <v>30</v>
      </c>
      <c r="K304" s="105" t="str">
        <f t="shared" si="18"/>
        <v>30</v>
      </c>
      <c r="L304" s="104">
        <f>IF(B304="","",VLOOKUP(B304&amp;F304&amp;H304,经纬!A:M,13,FALSE)*N304)</f>
        <v>220.81824960000006</v>
      </c>
      <c r="M304" s="104">
        <f>IF(B304="","",VLOOKUP(B304&amp;F304&amp;H304,经纬!A:N,14,FALSE)*N304)</f>
        <v>143.66234645669294</v>
      </c>
      <c r="N304" s="206">
        <v>11252</v>
      </c>
      <c r="R304" s="250">
        <f t="shared" si="19"/>
        <v>11</v>
      </c>
    </row>
    <row r="305" spans="1:18">
      <c r="A305" s="4">
        <v>314</v>
      </c>
      <c r="B305" s="86" t="s">
        <v>2850</v>
      </c>
      <c r="C305" s="8" t="str">
        <f>IF(B305="","",VLOOKUP(B305,经纬!B:C,2,FALSE))</f>
        <v>30*50</v>
      </c>
      <c r="D305" s="8">
        <f>IF(B305="","",VLOOKUP(B305,经纬!B:G,6,FALSE))</f>
        <v>31</v>
      </c>
      <c r="E305" s="8" t="str">
        <f t="shared" si="16"/>
        <v>190</v>
      </c>
      <c r="F305" s="250" t="s">
        <v>2551</v>
      </c>
      <c r="G305" s="250" t="s">
        <v>2612</v>
      </c>
      <c r="H305" s="86" t="s">
        <v>2582</v>
      </c>
      <c r="I305" s="191">
        <v>43773</v>
      </c>
      <c r="J305" s="105" t="str">
        <f t="shared" si="17"/>
        <v>30</v>
      </c>
      <c r="K305" s="105" t="str">
        <f t="shared" si="18"/>
        <v>50</v>
      </c>
      <c r="L305" s="104">
        <f>IF(B305="","",VLOOKUP(B305&amp;F305&amp;H305,经纬!A:M,13,FALSE)*N305)</f>
        <v>47.080956000000008</v>
      </c>
      <c r="M305" s="104">
        <f>IF(B305="","",VLOOKUP(B305&amp;F305&amp;H305,经纬!A:N,14,FALSE)*N305)</f>
        <v>27.95748031496063</v>
      </c>
      <c r="N305" s="206">
        <v>2598</v>
      </c>
      <c r="R305" s="250">
        <f t="shared" si="19"/>
        <v>11</v>
      </c>
    </row>
    <row r="306" spans="1:18">
      <c r="A306" s="4">
        <v>315</v>
      </c>
      <c r="B306" s="86" t="s">
        <v>2566</v>
      </c>
      <c r="C306" s="8" t="str">
        <f>IF(B306="","",VLOOKUP(B306,经纬!B:C,2,FALSE))</f>
        <v>30*30</v>
      </c>
      <c r="D306" s="8">
        <f>IF(B306="","",VLOOKUP(B306,经纬!B:G,6,FALSE))</f>
        <v>23</v>
      </c>
      <c r="E306" s="8" t="str">
        <f t="shared" si="16"/>
        <v>190</v>
      </c>
      <c r="F306" s="250" t="s">
        <v>2527</v>
      </c>
      <c r="G306" s="250" t="s">
        <v>2612</v>
      </c>
      <c r="H306" s="86" t="s">
        <v>2561</v>
      </c>
      <c r="I306" s="191">
        <v>43773</v>
      </c>
      <c r="J306" s="105" t="str">
        <f t="shared" si="17"/>
        <v>30</v>
      </c>
      <c r="K306" s="105" t="str">
        <f t="shared" si="18"/>
        <v>30</v>
      </c>
      <c r="L306" s="104">
        <f>IF(B306="","",VLOOKUP(B306&amp;F306&amp;H306,经纬!A:M,13,FALSE)*N306)</f>
        <v>85.712966399999999</v>
      </c>
      <c r="M306" s="104">
        <f>IF(B306="","",VLOOKUP(B306&amp;F306&amp;H306,经纬!A:N,14,FALSE)*N306)</f>
        <v>67.41433070866141</v>
      </c>
      <c r="N306" s="206">
        <v>4728</v>
      </c>
      <c r="R306" s="250">
        <f t="shared" si="19"/>
        <v>11</v>
      </c>
    </row>
    <row r="307" spans="1:18">
      <c r="A307" s="4">
        <v>316</v>
      </c>
      <c r="B307" s="86" t="s">
        <v>2620</v>
      </c>
      <c r="C307" s="8" t="str">
        <f>IF(B307="","",VLOOKUP(B307,经纬!B:C,2,FALSE))</f>
        <v>50*50</v>
      </c>
      <c r="D307" s="8">
        <f>IF(B307="","",VLOOKUP(B307,经纬!B:G,6,FALSE))</f>
        <v>37</v>
      </c>
      <c r="E307" s="8" t="str">
        <f t="shared" si="16"/>
        <v>190.5</v>
      </c>
      <c r="F307" s="250" t="s">
        <v>2551</v>
      </c>
      <c r="G307" s="250" t="s">
        <v>2612</v>
      </c>
      <c r="H307" s="86" t="s">
        <v>2561</v>
      </c>
      <c r="I307" s="191">
        <v>43773</v>
      </c>
      <c r="J307" s="105" t="str">
        <f t="shared" si="17"/>
        <v>50</v>
      </c>
      <c r="K307" s="105" t="str">
        <f t="shared" si="18"/>
        <v>50</v>
      </c>
      <c r="L307" s="104">
        <f>IF(B307="","",VLOOKUP(B307&amp;F307&amp;H307,经纬!A:M,13,FALSE)*N307)</f>
        <v>247.38128</v>
      </c>
      <c r="M307" s="104">
        <f>IF(B307="","",VLOOKUP(B307&amp;F307&amp;H307,经纬!A:N,14,FALSE)*N307)</f>
        <v>318.51601049868759</v>
      </c>
      <c r="N307" s="206">
        <v>8240</v>
      </c>
      <c r="R307" s="250">
        <f t="shared" si="19"/>
        <v>11</v>
      </c>
    </row>
    <row r="308" spans="1:18">
      <c r="A308" s="4">
        <v>317</v>
      </c>
      <c r="B308" s="86" t="s">
        <v>2620</v>
      </c>
      <c r="C308" s="8" t="str">
        <f>IF(B308="","",VLOOKUP(B308,经纬!B:C,2,FALSE))</f>
        <v>50*50</v>
      </c>
      <c r="D308" s="8">
        <f>IF(B308="","",VLOOKUP(B308,经纬!B:G,6,FALSE))</f>
        <v>37</v>
      </c>
      <c r="E308" s="8" t="str">
        <f t="shared" si="16"/>
        <v>190.5</v>
      </c>
      <c r="F308" s="250" t="s">
        <v>2551</v>
      </c>
      <c r="G308" s="250" t="s">
        <v>2612</v>
      </c>
      <c r="H308" s="86" t="s">
        <v>2606</v>
      </c>
      <c r="I308" s="191">
        <v>43773</v>
      </c>
      <c r="J308" s="105" t="str">
        <f t="shared" si="17"/>
        <v>50</v>
      </c>
      <c r="K308" s="105" t="str">
        <f t="shared" si="18"/>
        <v>50</v>
      </c>
      <c r="L308" s="104">
        <f>IF(B308="","",VLOOKUP(B308&amp;F308&amp;H308,经纬!A:M,13,FALSE)*N308)</f>
        <v>441.02318000000002</v>
      </c>
      <c r="M308" s="104">
        <f>IF(B308="","",VLOOKUP(B308&amp;F308&amp;H308,经纬!A:N,14,FALSE)*N308)</f>
        <v>293.82409776902887</v>
      </c>
      <c r="N308" s="206">
        <v>14690</v>
      </c>
      <c r="R308" s="250">
        <f t="shared" si="19"/>
        <v>11</v>
      </c>
    </row>
    <row r="309" spans="1:18">
      <c r="A309" s="4">
        <v>318</v>
      </c>
      <c r="B309" s="86" t="s">
        <v>2981</v>
      </c>
      <c r="C309" s="8" t="str">
        <f>IF(B309="","",VLOOKUP(B309,经纬!B:C,2,FALSE))</f>
        <v>50*75</v>
      </c>
      <c r="D309" s="8">
        <f>IF(B309="","",VLOOKUP(B309,经纬!B:G,6,FALSE))</f>
        <v>44</v>
      </c>
      <c r="E309" s="8" t="str">
        <f t="shared" si="16"/>
        <v>190</v>
      </c>
      <c r="F309" s="250" t="s">
        <v>2551</v>
      </c>
      <c r="G309" s="250" t="s">
        <v>2612</v>
      </c>
      <c r="H309" s="86" t="s">
        <v>2561</v>
      </c>
      <c r="I309" s="191">
        <v>43773</v>
      </c>
      <c r="J309" s="105" t="str">
        <f t="shared" si="17"/>
        <v>50</v>
      </c>
      <c r="K309" s="105" t="str">
        <f t="shared" si="18"/>
        <v>75</v>
      </c>
      <c r="L309" s="104">
        <f>IF(B309="","",VLOOKUP(B309&amp;F309&amp;H309,经纬!A:M,13,FALSE)*N309)</f>
        <v>19.154036000000001</v>
      </c>
      <c r="M309" s="104">
        <f>IF(B309="","",VLOOKUP(B309&amp;F309&amp;H309,经纬!A:N,14,FALSE)*N309)</f>
        <v>34.757185039370079</v>
      </c>
      <c r="N309" s="206">
        <v>638</v>
      </c>
      <c r="R309" s="250">
        <f t="shared" si="19"/>
        <v>11</v>
      </c>
    </row>
    <row r="310" spans="1:18">
      <c r="A310" s="4">
        <v>319</v>
      </c>
      <c r="B310" s="86" t="s">
        <v>2620</v>
      </c>
      <c r="C310" s="8" t="str">
        <f>IF(B310="","",VLOOKUP(B310,经纬!B:C,2,FALSE))</f>
        <v>50*50</v>
      </c>
      <c r="D310" s="8">
        <f>IF(B310="","",VLOOKUP(B310,经纬!B:G,6,FALSE))</f>
        <v>37</v>
      </c>
      <c r="E310" s="8" t="str">
        <f t="shared" si="16"/>
        <v>190.5</v>
      </c>
      <c r="F310" s="250" t="s">
        <v>2527</v>
      </c>
      <c r="G310" s="250" t="s">
        <v>2612</v>
      </c>
      <c r="H310" s="86" t="s">
        <v>2606</v>
      </c>
      <c r="I310" s="191">
        <v>43773</v>
      </c>
      <c r="J310" s="105" t="str">
        <f t="shared" si="17"/>
        <v>50</v>
      </c>
      <c r="K310" s="105" t="str">
        <f t="shared" si="18"/>
        <v>50</v>
      </c>
      <c r="L310" s="104">
        <f>IF(B310="","",VLOOKUP(B310&amp;F310&amp;H310,经纬!A:M,13,FALSE)*N310)</f>
        <v>175.29845800000001</v>
      </c>
      <c r="M310" s="104">
        <f>IF(B310="","",VLOOKUP(B310&amp;F310&amp;H310,经纬!A:N,14,FALSE)*N310)</f>
        <v>116.78957841207348</v>
      </c>
      <c r="N310" s="206">
        <v>5839</v>
      </c>
      <c r="R310" s="250">
        <f t="shared" si="19"/>
        <v>11</v>
      </c>
    </row>
    <row r="311" spans="1:18">
      <c r="A311" s="4">
        <v>320</v>
      </c>
      <c r="B311" s="86" t="s">
        <v>2779</v>
      </c>
      <c r="C311" s="8" t="str">
        <f>IF(B311="","",VLOOKUP(B311,经纬!B:C,2,FALSE))</f>
        <v>75*200</v>
      </c>
      <c r="D311" s="8">
        <f>IF(B311="","",VLOOKUP(B311,经纬!B:G,6,FALSE))</f>
        <v>62</v>
      </c>
      <c r="E311" s="8" t="str">
        <f t="shared" si="16"/>
        <v>190.5</v>
      </c>
      <c r="F311" s="250" t="s">
        <v>2527</v>
      </c>
      <c r="G311" s="250" t="s">
        <v>2612</v>
      </c>
      <c r="H311" s="86" t="s">
        <v>2606</v>
      </c>
      <c r="I311" s="191">
        <v>43773</v>
      </c>
      <c r="J311" s="105" t="str">
        <f t="shared" si="17"/>
        <v>75</v>
      </c>
      <c r="K311" s="105" t="str">
        <f t="shared" si="18"/>
        <v>200</v>
      </c>
      <c r="L311" s="104">
        <f>IF(B311="","",VLOOKUP(B311&amp;F311&amp;H311,经纬!A:M,13,FALSE)*N311)</f>
        <v>415.99424999999997</v>
      </c>
      <c r="M311" s="104">
        <f>IF(B311="","",VLOOKUP(B311&amp;F311&amp;H311,经纬!A:N,14,FALSE)*N311)</f>
        <v>617.84842519685037</v>
      </c>
      <c r="N311" s="206">
        <v>11850</v>
      </c>
      <c r="R311" s="250">
        <f t="shared" si="19"/>
        <v>11</v>
      </c>
    </row>
    <row r="312" spans="1:18">
      <c r="A312" s="4">
        <v>321</v>
      </c>
      <c r="B312" s="86" t="s">
        <v>2797</v>
      </c>
      <c r="C312" s="8" t="str">
        <f>IF(B312="","",VLOOKUP(B312,经纬!B:C,2,FALSE))</f>
        <v>75*300</v>
      </c>
      <c r="D312" s="8">
        <f>IF(B312="","",VLOOKUP(B312,经纬!B:G,6,FALSE))</f>
        <v>70</v>
      </c>
      <c r="E312" s="8" t="str">
        <f t="shared" si="16"/>
        <v>190.5</v>
      </c>
      <c r="F312" s="250" t="s">
        <v>2527</v>
      </c>
      <c r="G312" s="250" t="s">
        <v>2612</v>
      </c>
      <c r="H312" s="86" t="s">
        <v>2606</v>
      </c>
      <c r="I312" s="191">
        <v>43773</v>
      </c>
      <c r="J312" s="105" t="str">
        <f t="shared" si="17"/>
        <v>75</v>
      </c>
      <c r="K312" s="105" t="str">
        <f t="shared" si="18"/>
        <v>300</v>
      </c>
      <c r="L312" s="104">
        <f>IF(B312="","",VLOOKUP(B312&amp;F312&amp;H312,经纬!A:M,13,FALSE)*N312)</f>
        <v>228.84175999999997</v>
      </c>
      <c r="M312" s="104">
        <f>IF(B312="","",VLOOKUP(B312&amp;F312&amp;H312,经纬!A:N,14,FALSE)*N312)</f>
        <v>413.35165354330701</v>
      </c>
      <c r="N312" s="206">
        <v>6664</v>
      </c>
      <c r="R312" s="250">
        <f t="shared" si="19"/>
        <v>11</v>
      </c>
    </row>
    <row r="313" spans="1:18">
      <c r="A313" s="4">
        <v>322</v>
      </c>
      <c r="B313" s="86" t="s">
        <v>2588</v>
      </c>
      <c r="C313" s="8" t="str">
        <f>IF(B313="","",VLOOKUP(B313,经纬!B:C,2,FALSE))</f>
        <v>100*300</v>
      </c>
      <c r="D313" s="8">
        <f>IF(B313="","",VLOOKUP(B313,经纬!B:G,6,FALSE))</f>
        <v>86</v>
      </c>
      <c r="E313" s="8" t="str">
        <f t="shared" si="16"/>
        <v>188</v>
      </c>
      <c r="F313" s="250" t="s">
        <v>2551</v>
      </c>
      <c r="G313" s="250" t="s">
        <v>2612</v>
      </c>
      <c r="H313" s="86" t="s">
        <v>2582</v>
      </c>
      <c r="I313" s="191">
        <v>43773</v>
      </c>
      <c r="J313" s="105" t="str">
        <f t="shared" si="17"/>
        <v>100</v>
      </c>
      <c r="K313" s="105" t="str">
        <f t="shared" si="18"/>
        <v>300</v>
      </c>
      <c r="L313" s="104">
        <f>IF(B313="","",VLOOKUP(B313&amp;F313&amp;H313,经纬!A:M,13,FALSE)*N313)</f>
        <v>374</v>
      </c>
      <c r="M313" s="104">
        <f>IF(B313="","",VLOOKUP(B313&amp;F313&amp;H313,经纬!A:N,14,FALSE)*N313)</f>
        <v>644.69816272965875</v>
      </c>
      <c r="N313" s="206">
        <v>8800</v>
      </c>
      <c r="R313" s="250">
        <f t="shared" si="19"/>
        <v>11</v>
      </c>
    </row>
    <row r="314" spans="1:18">
      <c r="A314" s="4">
        <v>323</v>
      </c>
      <c r="B314" s="86" t="s">
        <v>2591</v>
      </c>
      <c r="C314" s="8" t="str">
        <f>IF(B314="","",VLOOKUP(B314,经纬!B:C,2,FALSE))</f>
        <v>200*300</v>
      </c>
      <c r="D314" s="8">
        <f>IF(B314="","",VLOOKUP(B314,经纬!B:G,6,FALSE))</f>
        <v>116</v>
      </c>
      <c r="E314" s="8" t="str">
        <f t="shared" ref="E314:E377" si="20">IF(B314="","",MID(B314,LEN(C314),LEN(B314)-LEN(C314)-LEN(D314)+1))</f>
        <v>180</v>
      </c>
      <c r="F314" s="250" t="s">
        <v>2527</v>
      </c>
      <c r="G314" s="250" t="s">
        <v>2612</v>
      </c>
      <c r="H314" s="86" t="s">
        <v>2582</v>
      </c>
      <c r="I314" s="191">
        <v>43773</v>
      </c>
      <c r="J314" s="105" t="str">
        <f t="shared" ref="J314:J377" si="21">IF(B314="","",LEFT(C314,FIND("*",C314)-1))</f>
        <v>200</v>
      </c>
      <c r="K314" s="105" t="str">
        <f t="shared" ref="K314:K377" si="22">IF(B314="","",RIGHT(C314,LEN(C314)-LEN(J314)-1))</f>
        <v>300</v>
      </c>
      <c r="L314" s="104">
        <f>IF(B314="","",VLOOKUP(B314&amp;F314&amp;H314,经纬!A:M,13,FALSE)*N314)</f>
        <v>536.74666666666667</v>
      </c>
      <c r="M314" s="104">
        <f>IF(B314="","",VLOOKUP(B314&amp;F314&amp;H314,经纬!A:N,14,FALSE)*N314)</f>
        <v>524.09448818897636</v>
      </c>
      <c r="N314" s="206">
        <v>6400</v>
      </c>
      <c r="R314" s="250">
        <f t="shared" si="19"/>
        <v>11</v>
      </c>
    </row>
    <row r="315" spans="1:18">
      <c r="A315" s="4">
        <v>324</v>
      </c>
      <c r="B315" s="86" t="s">
        <v>2592</v>
      </c>
      <c r="C315" s="8" t="str">
        <f>IF(B315="","",VLOOKUP(B315,经纬!B:C,2,FALSE))</f>
        <v>200*300</v>
      </c>
      <c r="D315" s="8">
        <f>IF(B315="","",VLOOKUP(B315,经纬!B:G,6,FALSE))</f>
        <v>126</v>
      </c>
      <c r="E315" s="8" t="str">
        <f t="shared" si="20"/>
        <v>180</v>
      </c>
      <c r="F315" s="250" t="s">
        <v>2527</v>
      </c>
      <c r="G315" s="250" t="s">
        <v>2612</v>
      </c>
      <c r="H315" s="86" t="s">
        <v>2582</v>
      </c>
      <c r="I315" s="191">
        <v>43773</v>
      </c>
      <c r="J315" s="105" t="str">
        <f t="shared" si="21"/>
        <v>200</v>
      </c>
      <c r="K315" s="105" t="str">
        <f t="shared" si="22"/>
        <v>300</v>
      </c>
      <c r="L315" s="104">
        <f>IF(B315="","",VLOOKUP(B315&amp;F315&amp;H315,经纬!A:M,13,FALSE)*N315)</f>
        <v>570.29333333333341</v>
      </c>
      <c r="M315" s="104">
        <f>IF(B315="","",VLOOKUP(B315&amp;F315&amp;H315,经纬!A:N,14,FALSE)*N315)</f>
        <v>652.55905511811034</v>
      </c>
      <c r="N315" s="206">
        <v>6800</v>
      </c>
      <c r="R315" s="250">
        <f t="shared" si="19"/>
        <v>11</v>
      </c>
    </row>
    <row r="316" spans="1:18">
      <c r="A316" s="4">
        <v>325</v>
      </c>
      <c r="B316" s="86" t="s">
        <v>2797</v>
      </c>
      <c r="C316" s="8" t="str">
        <f>IF(B316="","",VLOOKUP(B316,经纬!B:C,2,FALSE))</f>
        <v>75*300</v>
      </c>
      <c r="D316" s="8">
        <f>IF(B316="","",VLOOKUP(B316,经纬!B:G,6,FALSE))</f>
        <v>70</v>
      </c>
      <c r="E316" s="8" t="str">
        <f t="shared" si="20"/>
        <v>190.5</v>
      </c>
      <c r="F316" s="250" t="s">
        <v>2527</v>
      </c>
      <c r="G316" s="250" t="s">
        <v>2611</v>
      </c>
      <c r="H316" s="86" t="s">
        <v>2606</v>
      </c>
      <c r="I316" s="191">
        <v>43773</v>
      </c>
      <c r="J316" s="105" t="str">
        <f t="shared" si="21"/>
        <v>75</v>
      </c>
      <c r="K316" s="105" t="str">
        <f t="shared" si="22"/>
        <v>300</v>
      </c>
      <c r="L316" s="104">
        <f>IF(B316="","",VLOOKUP(B316&amp;F316&amp;H316,经纬!A:M,13,FALSE)*N316)</f>
        <v>19.230399999999996</v>
      </c>
      <c r="M316" s="104">
        <f>IF(B316="","",VLOOKUP(B316&amp;F316&amp;H316,经纬!A:N,14,FALSE)*N316)</f>
        <v>34.735433070866137</v>
      </c>
      <c r="N316" s="206">
        <v>560</v>
      </c>
      <c r="R316" s="250">
        <f t="shared" si="19"/>
        <v>11</v>
      </c>
    </row>
    <row r="317" spans="1:18">
      <c r="A317" s="4">
        <v>326</v>
      </c>
      <c r="B317" s="86" t="s">
        <v>2560</v>
      </c>
      <c r="C317" s="8" t="str">
        <f>IF(B317="","",VLOOKUP(B317,经纬!B:C,2,FALSE))</f>
        <v>20*20</v>
      </c>
      <c r="D317" s="8">
        <f>IF(B317="","",VLOOKUP(B317,经纬!B:G,6,FALSE))</f>
        <v>17</v>
      </c>
      <c r="E317" s="8" t="str">
        <f t="shared" si="20"/>
        <v>197</v>
      </c>
      <c r="F317" s="250" t="s">
        <v>2551</v>
      </c>
      <c r="G317" s="250" t="s">
        <v>2794</v>
      </c>
      <c r="H317" s="86" t="s">
        <v>2561</v>
      </c>
      <c r="I317" s="191">
        <v>43774</v>
      </c>
      <c r="J317" s="105" t="str">
        <f t="shared" si="21"/>
        <v>20</v>
      </c>
      <c r="K317" s="105" t="str">
        <f t="shared" si="22"/>
        <v>20</v>
      </c>
      <c r="L317" s="104">
        <f>IF(B317="","",VLOOKUP(B317&amp;F317&amp;H317,经纬!A:M,13,FALSE)*N317)</f>
        <v>201.34967733333332</v>
      </c>
      <c r="M317" s="104">
        <f>IF(B317="","",VLOOKUP(B317&amp;F317&amp;H317,经纬!A:N,14,FALSE)*N317)</f>
        <v>147.35576552930883</v>
      </c>
      <c r="N317" s="206">
        <v>14990</v>
      </c>
      <c r="R317" s="250">
        <f t="shared" si="19"/>
        <v>11</v>
      </c>
    </row>
    <row r="318" spans="1:18">
      <c r="A318" s="4">
        <v>327</v>
      </c>
      <c r="B318" s="86" t="s">
        <v>2560</v>
      </c>
      <c r="C318" s="8" t="str">
        <f>IF(B318="","",VLOOKUP(B318,经纬!B:C,2,FALSE))</f>
        <v>20*20</v>
      </c>
      <c r="D318" s="8">
        <f>IF(B318="","",VLOOKUP(B318,经纬!B:G,6,FALSE))</f>
        <v>17</v>
      </c>
      <c r="E318" s="8" t="str">
        <f t="shared" si="20"/>
        <v>197</v>
      </c>
      <c r="F318" s="250" t="s">
        <v>2527</v>
      </c>
      <c r="G318" s="250" t="s">
        <v>2794</v>
      </c>
      <c r="H318" s="86" t="s">
        <v>2561</v>
      </c>
      <c r="I318" s="191">
        <v>43774</v>
      </c>
      <c r="J318" s="105" t="str">
        <f t="shared" si="21"/>
        <v>20</v>
      </c>
      <c r="K318" s="105" t="str">
        <f t="shared" si="22"/>
        <v>20</v>
      </c>
      <c r="L318" s="104">
        <f>IF(B318="","",VLOOKUP(B318&amp;F318&amp;H318,经纬!A:M,13,FALSE)*N318)</f>
        <v>184.06235013333333</v>
      </c>
      <c r="M318" s="104">
        <f>IF(B318="","",VLOOKUP(B318&amp;F318&amp;H318,经纬!A:N,14,FALSE)*N318)</f>
        <v>134.7042064741907</v>
      </c>
      <c r="N318" s="206">
        <v>13703</v>
      </c>
      <c r="R318" s="250">
        <f t="shared" si="19"/>
        <v>11</v>
      </c>
    </row>
    <row r="319" spans="1:18">
      <c r="A319" s="4">
        <v>328</v>
      </c>
      <c r="B319" s="86" t="s">
        <v>2566</v>
      </c>
      <c r="C319" s="8" t="str">
        <f>IF(B319="","",VLOOKUP(B319,经纬!B:C,2,FALSE))</f>
        <v>30*30</v>
      </c>
      <c r="D319" s="8">
        <f>IF(B319="","",VLOOKUP(B319,经纬!B:G,6,FALSE))</f>
        <v>23</v>
      </c>
      <c r="E319" s="8" t="str">
        <f t="shared" si="20"/>
        <v>190</v>
      </c>
      <c r="F319" s="250" t="s">
        <v>2551</v>
      </c>
      <c r="G319" s="250" t="s">
        <v>2794</v>
      </c>
      <c r="H319" s="86" t="s">
        <v>2561</v>
      </c>
      <c r="I319" s="191">
        <v>43774</v>
      </c>
      <c r="J319" s="105" t="str">
        <f t="shared" si="21"/>
        <v>30</v>
      </c>
      <c r="K319" s="105" t="str">
        <f t="shared" si="22"/>
        <v>30</v>
      </c>
      <c r="L319" s="104">
        <f>IF(B319="","",VLOOKUP(B319&amp;F319&amp;H319,经纬!A:M,13,FALSE)*N319)</f>
        <v>434.34791920000004</v>
      </c>
      <c r="M319" s="104">
        <f>IF(B319="","",VLOOKUP(B319&amp;F319&amp;H319,经纬!A:N,14,FALSE)*N319)</f>
        <v>341.62012467191602</v>
      </c>
      <c r="N319" s="206">
        <v>23959</v>
      </c>
      <c r="R319" s="250">
        <f t="shared" si="19"/>
        <v>11</v>
      </c>
    </row>
    <row r="320" spans="1:18">
      <c r="A320" s="4">
        <v>329</v>
      </c>
      <c r="B320" s="86" t="s">
        <v>2620</v>
      </c>
      <c r="C320" s="8" t="str">
        <f>IF(B320="","",VLOOKUP(B320,经纬!B:C,2,FALSE))</f>
        <v>50*50</v>
      </c>
      <c r="D320" s="8">
        <f>IF(B320="","",VLOOKUP(B320,经纬!B:G,6,FALSE))</f>
        <v>37</v>
      </c>
      <c r="E320" s="8" t="str">
        <f t="shared" si="20"/>
        <v>190.5</v>
      </c>
      <c r="F320" s="250" t="s">
        <v>2527</v>
      </c>
      <c r="G320" s="250" t="s">
        <v>2612</v>
      </c>
      <c r="H320" s="86" t="s">
        <v>2606</v>
      </c>
      <c r="I320" s="191">
        <v>43774</v>
      </c>
      <c r="J320" s="105" t="str">
        <f t="shared" si="21"/>
        <v>50</v>
      </c>
      <c r="K320" s="105" t="str">
        <f t="shared" si="22"/>
        <v>50</v>
      </c>
      <c r="L320" s="104">
        <f>IF(B320="","",VLOOKUP(B320&amp;F320&amp;H320,经纬!A:M,13,FALSE)*N320)</f>
        <v>140.68309199999999</v>
      </c>
      <c r="M320" s="104">
        <f>IF(B320="","",VLOOKUP(B320&amp;F320&amp;H320,经纬!A:N,14,FALSE)*N320)</f>
        <v>93.72768700787401</v>
      </c>
      <c r="N320" s="206">
        <v>4686</v>
      </c>
      <c r="R320" s="250">
        <f t="shared" si="19"/>
        <v>11</v>
      </c>
    </row>
    <row r="321" spans="1:18">
      <c r="A321" s="4">
        <v>330</v>
      </c>
      <c r="B321" s="86" t="s">
        <v>2796</v>
      </c>
      <c r="C321" s="8" t="str">
        <f>IF(B321="","",VLOOKUP(B321,经纬!B:C,2,FALSE))</f>
        <v>75*150</v>
      </c>
      <c r="D321" s="8">
        <f>IF(B321="","",VLOOKUP(B321,经纬!B:G,6,FALSE))</f>
        <v>54</v>
      </c>
      <c r="E321" s="8" t="str">
        <f t="shared" si="20"/>
        <v>190.5</v>
      </c>
      <c r="F321" s="250" t="s">
        <v>2551</v>
      </c>
      <c r="G321" s="250" t="s">
        <v>2612</v>
      </c>
      <c r="H321" s="86" t="s">
        <v>2606</v>
      </c>
      <c r="I321" s="191">
        <v>43774</v>
      </c>
      <c r="J321" s="105" t="str">
        <f t="shared" si="21"/>
        <v>75</v>
      </c>
      <c r="K321" s="105" t="str">
        <f t="shared" si="22"/>
        <v>150</v>
      </c>
      <c r="L321" s="104">
        <f>IF(B321="","",VLOOKUP(B321&amp;F321&amp;H321,经纬!A:M,13,FALSE)*N321)</f>
        <v>210.81325999999999</v>
      </c>
      <c r="M321" s="104">
        <f>IF(B321="","",VLOOKUP(B321&amp;F321&amp;H321,经纬!A:N,14,FALSE)*N321)</f>
        <v>240.06148622047243</v>
      </c>
      <c r="N321" s="206">
        <v>6139</v>
      </c>
      <c r="R321" s="250">
        <f t="shared" si="19"/>
        <v>11</v>
      </c>
    </row>
    <row r="322" spans="1:18">
      <c r="A322" s="4">
        <v>331</v>
      </c>
      <c r="B322" s="86" t="s">
        <v>2581</v>
      </c>
      <c r="C322" s="8" t="str">
        <f>IF(B322="","",VLOOKUP(B322,经纬!B:C,2,FALSE))</f>
        <v>75*150</v>
      </c>
      <c r="D322" s="8">
        <f>IF(B322="","",VLOOKUP(B322,经纬!B:G,6,FALSE))</f>
        <v>58</v>
      </c>
      <c r="E322" s="8" t="str">
        <f t="shared" si="20"/>
        <v>190.5</v>
      </c>
      <c r="F322" s="250" t="s">
        <v>2551</v>
      </c>
      <c r="G322" s="250" t="s">
        <v>2612</v>
      </c>
      <c r="H322" s="86" t="s">
        <v>2606</v>
      </c>
      <c r="I322" s="191">
        <v>43774</v>
      </c>
      <c r="J322" s="105" t="str">
        <f t="shared" si="21"/>
        <v>75</v>
      </c>
      <c r="K322" s="105" t="str">
        <f t="shared" si="22"/>
        <v>150</v>
      </c>
      <c r="L322" s="104">
        <f>IF(B322="","",VLOOKUP(B322&amp;F322&amp;H322,经纬!A:M,13,FALSE)*N322)</f>
        <v>432.10021999999992</v>
      </c>
      <c r="M322" s="104">
        <f>IF(B322="","",VLOOKUP(B322&amp;F322&amp;H322,经纬!A:N,14,FALSE)*N322)</f>
        <v>534.46787893700787</v>
      </c>
      <c r="N322" s="206">
        <v>12583</v>
      </c>
      <c r="R322" s="250">
        <f t="shared" si="19"/>
        <v>11</v>
      </c>
    </row>
    <row r="323" spans="1:18">
      <c r="A323" s="4">
        <v>332</v>
      </c>
      <c r="B323" s="86" t="s">
        <v>2779</v>
      </c>
      <c r="C323" s="8" t="str">
        <f>IF(B323="","",VLOOKUP(B323,经纬!B:C,2,FALSE))</f>
        <v>75*200</v>
      </c>
      <c r="D323" s="8">
        <f>IF(B323="","",VLOOKUP(B323,经纬!B:G,6,FALSE))</f>
        <v>62</v>
      </c>
      <c r="E323" s="8" t="str">
        <f t="shared" si="20"/>
        <v>190.5</v>
      </c>
      <c r="F323" s="250" t="s">
        <v>2551</v>
      </c>
      <c r="G323" s="250" t="s">
        <v>2612</v>
      </c>
      <c r="H323" s="86" t="s">
        <v>2606</v>
      </c>
      <c r="I323" s="191">
        <v>43774</v>
      </c>
      <c r="J323" s="105" t="str">
        <f t="shared" si="21"/>
        <v>75</v>
      </c>
      <c r="K323" s="105" t="str">
        <f t="shared" si="22"/>
        <v>200</v>
      </c>
      <c r="L323" s="104">
        <f>IF(B323="","",VLOOKUP(B323&amp;F323&amp;H323,经纬!A:M,13,FALSE)*N323)</f>
        <v>82.415999999999983</v>
      </c>
      <c r="M323" s="104">
        <f>IF(B323="","",VLOOKUP(B323&amp;F323&amp;H323,经纬!A:N,14,FALSE)*N323)</f>
        <v>125.13385826771652</v>
      </c>
      <c r="N323" s="206">
        <v>2400</v>
      </c>
      <c r="R323" s="250">
        <f t="shared" ref="R323:R386" si="23">IF(B323="","",MONTH(I323))</f>
        <v>11</v>
      </c>
    </row>
    <row r="324" spans="1:18">
      <c r="A324" s="4">
        <v>333</v>
      </c>
      <c r="B324" s="86" t="s">
        <v>2605</v>
      </c>
      <c r="C324" s="8" t="str">
        <f>IF(B324="","",VLOOKUP(B324,经纬!B:C,2,FALSE))</f>
        <v>75*75</v>
      </c>
      <c r="D324" s="8">
        <f>IF(B324="","",VLOOKUP(B324,经纬!B:G,6,FALSE))</f>
        <v>43</v>
      </c>
      <c r="E324" s="8" t="str">
        <f t="shared" si="20"/>
        <v>190.5</v>
      </c>
      <c r="F324" s="250" t="s">
        <v>2527</v>
      </c>
      <c r="G324" s="250" t="s">
        <v>2612</v>
      </c>
      <c r="H324" s="86" t="s">
        <v>2606</v>
      </c>
      <c r="I324" s="191">
        <v>43774</v>
      </c>
      <c r="J324" s="105" t="str">
        <f t="shared" si="21"/>
        <v>75</v>
      </c>
      <c r="K324" s="105" t="str">
        <f t="shared" si="22"/>
        <v>75</v>
      </c>
      <c r="L324" s="104">
        <f>IF(B324="","",VLOOKUP(B324&amp;F324&amp;H324,经纬!A:M,13,FALSE)*N324)</f>
        <v>997.57699999999988</v>
      </c>
      <c r="M324" s="104">
        <f>IF(B324="","",VLOOKUP(B324&amp;F324&amp;H324,经纬!A:N,14,FALSE)*N324)</f>
        <v>763.84916338582661</v>
      </c>
      <c r="N324" s="206">
        <v>29050</v>
      </c>
      <c r="R324" s="250">
        <f t="shared" si="23"/>
        <v>11</v>
      </c>
    </row>
    <row r="325" spans="1:18">
      <c r="A325" s="4">
        <v>334</v>
      </c>
      <c r="B325" s="86" t="s">
        <v>2796</v>
      </c>
      <c r="C325" s="8" t="str">
        <f>IF(B325="","",VLOOKUP(B325,经纬!B:C,2,FALSE))</f>
        <v>75*150</v>
      </c>
      <c r="D325" s="8">
        <f>IF(B325="","",VLOOKUP(B325,经纬!B:G,6,FALSE))</f>
        <v>54</v>
      </c>
      <c r="E325" s="8" t="str">
        <f t="shared" si="20"/>
        <v>190.5</v>
      </c>
      <c r="F325" s="250" t="s">
        <v>2527</v>
      </c>
      <c r="G325" s="250" t="s">
        <v>2612</v>
      </c>
      <c r="H325" s="86" t="s">
        <v>2582</v>
      </c>
      <c r="I325" s="191">
        <v>43774</v>
      </c>
      <c r="J325" s="105" t="str">
        <f t="shared" si="21"/>
        <v>75</v>
      </c>
      <c r="K325" s="105" t="str">
        <f t="shared" si="22"/>
        <v>150</v>
      </c>
      <c r="L325" s="104">
        <f>IF(B325="","",VLOOKUP(B325&amp;F325&amp;H325,经纬!A:M,13,FALSE)*N325)</f>
        <v>464.55151999999993</v>
      </c>
      <c r="M325" s="104">
        <f>IF(B325="","",VLOOKUP(B325&amp;F325&amp;H325,经纬!A:N,14,FALSE)*N325)</f>
        <v>529.00338582677159</v>
      </c>
      <c r="N325" s="206">
        <v>13528</v>
      </c>
      <c r="R325" s="250">
        <f t="shared" si="23"/>
        <v>11</v>
      </c>
    </row>
    <row r="326" spans="1:18">
      <c r="A326" s="4">
        <v>335</v>
      </c>
      <c r="B326" s="86" t="s">
        <v>2581</v>
      </c>
      <c r="C326" s="8" t="str">
        <f>IF(B326="","",VLOOKUP(B326,经纬!B:C,2,FALSE))</f>
        <v>75*150</v>
      </c>
      <c r="D326" s="8">
        <f>IF(B326="","",VLOOKUP(B326,经纬!B:G,6,FALSE))</f>
        <v>58</v>
      </c>
      <c r="E326" s="8" t="str">
        <f t="shared" si="20"/>
        <v>190.5</v>
      </c>
      <c r="F326" s="250" t="s">
        <v>2527</v>
      </c>
      <c r="G326" s="250" t="s">
        <v>2612</v>
      </c>
      <c r="H326" s="86" t="s">
        <v>2606</v>
      </c>
      <c r="I326" s="191">
        <v>43774</v>
      </c>
      <c r="J326" s="105" t="str">
        <f t="shared" si="21"/>
        <v>75</v>
      </c>
      <c r="K326" s="105" t="str">
        <f t="shared" si="22"/>
        <v>150</v>
      </c>
      <c r="L326" s="104">
        <f>IF(B326="","",VLOOKUP(B326&amp;F326&amp;H326,经纬!A:M,13,FALSE)*N326)</f>
        <v>489.03593999999993</v>
      </c>
      <c r="M326" s="104">
        <f>IF(B326="","",VLOOKUP(B326&amp;F326&amp;H326,经纬!A:N,14,FALSE)*N326)</f>
        <v>604.89208169291339</v>
      </c>
      <c r="N326" s="206">
        <v>14241</v>
      </c>
      <c r="R326" s="250">
        <f t="shared" si="23"/>
        <v>11</v>
      </c>
    </row>
    <row r="327" spans="1:18">
      <c r="A327" s="4">
        <v>336</v>
      </c>
      <c r="B327" s="86" t="s">
        <v>2797</v>
      </c>
      <c r="C327" s="8" t="str">
        <f>IF(B327="","",VLOOKUP(B327,经纬!B:C,2,FALSE))</f>
        <v>75*300</v>
      </c>
      <c r="D327" s="8">
        <f>IF(B327="","",VLOOKUP(B327,经纬!B:G,6,FALSE))</f>
        <v>70</v>
      </c>
      <c r="E327" s="8" t="str">
        <f t="shared" si="20"/>
        <v>190.5</v>
      </c>
      <c r="F327" s="250" t="s">
        <v>2527</v>
      </c>
      <c r="G327" s="250" t="s">
        <v>2612</v>
      </c>
      <c r="H327" s="86" t="s">
        <v>2606</v>
      </c>
      <c r="I327" s="191">
        <v>43774</v>
      </c>
      <c r="J327" s="105" t="str">
        <f t="shared" si="21"/>
        <v>75</v>
      </c>
      <c r="K327" s="105" t="str">
        <f t="shared" si="22"/>
        <v>300</v>
      </c>
      <c r="L327" s="104">
        <f>IF(B327="","",VLOOKUP(B327&amp;F327&amp;H327,经纬!A:M,13,FALSE)*N327)</f>
        <v>153.63715999999997</v>
      </c>
      <c r="M327" s="104">
        <f>IF(B327="","",VLOOKUP(B327&amp;F327&amp;H327,经纬!A:N,14,FALSE)*N327)</f>
        <v>277.51129921259837</v>
      </c>
      <c r="N327" s="206">
        <v>4474</v>
      </c>
      <c r="R327" s="250">
        <f t="shared" si="23"/>
        <v>11</v>
      </c>
    </row>
    <row r="328" spans="1:18">
      <c r="A328" s="4">
        <v>337</v>
      </c>
      <c r="B328" s="86" t="s">
        <v>3140</v>
      </c>
      <c r="C328" s="8" t="str">
        <f>IF(B328="","",VLOOKUP(B328,经纬!B:C,2,FALSE))</f>
        <v>100*300</v>
      </c>
      <c r="D328" s="8">
        <f>IF(B328="","",VLOOKUP(B328,经纬!B:G,6,FALSE))</f>
        <v>82</v>
      </c>
      <c r="E328" s="8" t="str">
        <f t="shared" si="20"/>
        <v>188</v>
      </c>
      <c r="F328" s="250" t="s">
        <v>2551</v>
      </c>
      <c r="G328" s="250" t="s">
        <v>2612</v>
      </c>
      <c r="H328" s="86" t="s">
        <v>2582</v>
      </c>
      <c r="I328" s="191">
        <v>43774</v>
      </c>
      <c r="J328" s="105" t="str">
        <f t="shared" si="21"/>
        <v>100</v>
      </c>
      <c r="K328" s="105" t="str">
        <f t="shared" si="22"/>
        <v>300</v>
      </c>
      <c r="L328" s="104">
        <f>IF(B328="","",VLOOKUP(B328&amp;F328&amp;H328,经纬!A:M,13,FALSE)*N328)</f>
        <v>218.87500000000003</v>
      </c>
      <c r="M328" s="104">
        <f>IF(B328="","",VLOOKUP(B328&amp;F328&amp;H328,经纬!A:N,14,FALSE)*N328)</f>
        <v>384.15485564304458</v>
      </c>
      <c r="N328" s="206">
        <v>5150</v>
      </c>
      <c r="R328" s="250">
        <f t="shared" si="23"/>
        <v>11</v>
      </c>
    </row>
    <row r="329" spans="1:18">
      <c r="A329" s="4">
        <v>338</v>
      </c>
      <c r="B329" s="86" t="s">
        <v>2588</v>
      </c>
      <c r="C329" s="8" t="str">
        <f>IF(B329="","",VLOOKUP(B329,经纬!B:C,2,FALSE))</f>
        <v>100*300</v>
      </c>
      <c r="D329" s="8">
        <f>IF(B329="","",VLOOKUP(B329,经纬!B:G,6,FALSE))</f>
        <v>86</v>
      </c>
      <c r="E329" s="8" t="str">
        <f t="shared" si="20"/>
        <v>188</v>
      </c>
      <c r="F329" s="250" t="s">
        <v>2527</v>
      </c>
      <c r="G329" s="250" t="s">
        <v>2612</v>
      </c>
      <c r="H329" s="86" t="s">
        <v>2582</v>
      </c>
      <c r="I329" s="191">
        <v>43774</v>
      </c>
      <c r="J329" s="105" t="str">
        <f t="shared" si="21"/>
        <v>100</v>
      </c>
      <c r="K329" s="105" t="str">
        <f t="shared" si="22"/>
        <v>300</v>
      </c>
      <c r="L329" s="104">
        <f>IF(B329="","",VLOOKUP(B329&amp;F329&amp;H329,经纬!A:M,13,FALSE)*N329)</f>
        <v>413.52500000000003</v>
      </c>
      <c r="M329" s="104">
        <f>IF(B329="","",VLOOKUP(B329&amp;F329&amp;H329,经纬!A:N,14,FALSE)*N329)</f>
        <v>712.83103674540678</v>
      </c>
      <c r="N329" s="206">
        <v>9730</v>
      </c>
      <c r="R329" s="250">
        <f t="shared" si="23"/>
        <v>11</v>
      </c>
    </row>
    <row r="330" spans="1:18">
      <c r="A330" s="4">
        <v>339</v>
      </c>
      <c r="B330" s="86" t="s">
        <v>2798</v>
      </c>
      <c r="C330" s="8" t="str">
        <f>IF(B330="","",VLOOKUP(B330,经纬!B:C,2,FALSE))</f>
        <v>100*300</v>
      </c>
      <c r="D330" s="8">
        <f>IF(B330="","",VLOOKUP(B330,经纬!B:G,6,FALSE))</f>
        <v>96</v>
      </c>
      <c r="E330" s="8" t="str">
        <f t="shared" si="20"/>
        <v>188</v>
      </c>
      <c r="F330" s="250" t="s">
        <v>2527</v>
      </c>
      <c r="G330" s="250" t="s">
        <v>2612</v>
      </c>
      <c r="H330" s="86" t="s">
        <v>2582</v>
      </c>
      <c r="I330" s="191">
        <v>43774</v>
      </c>
      <c r="J330" s="105" t="str">
        <f t="shared" si="21"/>
        <v>100</v>
      </c>
      <c r="K330" s="105" t="str">
        <f t="shared" si="22"/>
        <v>300</v>
      </c>
      <c r="L330" s="104">
        <f>IF(B330="","",VLOOKUP(B330&amp;F330&amp;H330,经纬!A:M,13,FALSE)*N330)</f>
        <v>355.72500000000002</v>
      </c>
      <c r="M330" s="104">
        <f>IF(B330="","",VLOOKUP(B330&amp;F330&amp;H330,经纬!A:N,14,FALSE)*N330)</f>
        <v>758.13307086614179</v>
      </c>
      <c r="N330" s="206">
        <v>8370</v>
      </c>
      <c r="R330" s="250">
        <f t="shared" si="23"/>
        <v>11</v>
      </c>
    </row>
    <row r="331" spans="1:18">
      <c r="A331" s="4">
        <v>340</v>
      </c>
      <c r="B331" s="86" t="s">
        <v>2799</v>
      </c>
      <c r="C331" s="8" t="str">
        <f>IF(B331="","",VLOOKUP(B331,经纬!B:C,2,FALSE))</f>
        <v>200*300</v>
      </c>
      <c r="D331" s="8">
        <f>IF(B331="","",VLOOKUP(B331,经纬!B:G,6,FALSE))</f>
        <v>106</v>
      </c>
      <c r="E331" s="8" t="str">
        <f t="shared" si="20"/>
        <v>180</v>
      </c>
      <c r="F331" s="250" t="s">
        <v>2551</v>
      </c>
      <c r="G331" s="250" t="s">
        <v>2612</v>
      </c>
      <c r="H331" s="86" t="s">
        <v>2582</v>
      </c>
      <c r="I331" s="191">
        <v>43774</v>
      </c>
      <c r="J331" s="105" t="str">
        <f t="shared" si="21"/>
        <v>200</v>
      </c>
      <c r="K331" s="105" t="str">
        <f t="shared" si="22"/>
        <v>300</v>
      </c>
      <c r="L331" s="104">
        <f>IF(B331="","",VLOOKUP(B331&amp;F331&amp;H331,经纬!A:M,13,FALSE)*N331)</f>
        <v>570.29333333333341</v>
      </c>
      <c r="M331" s="104">
        <f>IF(B331="","",VLOOKUP(B331&amp;F331&amp;H331,经纬!A:N,14,FALSE)*N331)</f>
        <v>435.03937007874026</v>
      </c>
      <c r="N331" s="206">
        <v>6800</v>
      </c>
      <c r="R331" s="250">
        <f t="shared" si="23"/>
        <v>11</v>
      </c>
    </row>
    <row r="332" spans="1:18">
      <c r="A332" s="4">
        <v>341</v>
      </c>
      <c r="B332" s="86" t="s">
        <v>2591</v>
      </c>
      <c r="C332" s="8" t="str">
        <f>IF(B332="","",VLOOKUP(B332,经纬!B:C,2,FALSE))</f>
        <v>200*300</v>
      </c>
      <c r="D332" s="8">
        <f>IF(B332="","",VLOOKUP(B332,经纬!B:G,6,FALSE))</f>
        <v>116</v>
      </c>
      <c r="E332" s="8" t="str">
        <f t="shared" si="20"/>
        <v>180</v>
      </c>
      <c r="F332" s="250" t="s">
        <v>2527</v>
      </c>
      <c r="G332" s="250" t="s">
        <v>2612</v>
      </c>
      <c r="H332" s="86" t="s">
        <v>2582</v>
      </c>
      <c r="I332" s="191">
        <v>43774</v>
      </c>
      <c r="J332" s="105" t="str">
        <f t="shared" si="21"/>
        <v>200</v>
      </c>
      <c r="K332" s="105" t="str">
        <f t="shared" si="22"/>
        <v>300</v>
      </c>
      <c r="L332" s="104">
        <f>IF(B332="","",VLOOKUP(B332&amp;F332&amp;H332,经纬!A:M,13,FALSE)*N332)</f>
        <v>536.74666666666667</v>
      </c>
      <c r="M332" s="104">
        <f>IF(B332="","",VLOOKUP(B332&amp;F332&amp;H332,经纬!A:N,14,FALSE)*N332)</f>
        <v>524.09448818897636</v>
      </c>
      <c r="N332" s="206">
        <v>6400</v>
      </c>
      <c r="R332" s="250">
        <f t="shared" si="23"/>
        <v>11</v>
      </c>
    </row>
    <row r="333" spans="1:18">
      <c r="A333" s="4">
        <v>342</v>
      </c>
      <c r="B333" s="86" t="s">
        <v>2592</v>
      </c>
      <c r="C333" s="8" t="str">
        <f>IF(B333="","",VLOOKUP(B333,经纬!B:C,2,FALSE))</f>
        <v>200*300</v>
      </c>
      <c r="D333" s="8">
        <f>IF(B333="","",VLOOKUP(B333,经纬!B:G,6,FALSE))</f>
        <v>126</v>
      </c>
      <c r="E333" s="8" t="str">
        <f t="shared" si="20"/>
        <v>180</v>
      </c>
      <c r="F333" s="250" t="s">
        <v>2527</v>
      </c>
      <c r="G333" s="250" t="s">
        <v>2612</v>
      </c>
      <c r="H333" s="86" t="s">
        <v>2582</v>
      </c>
      <c r="I333" s="191">
        <v>43774</v>
      </c>
      <c r="J333" s="105" t="str">
        <f t="shared" si="21"/>
        <v>200</v>
      </c>
      <c r="K333" s="105" t="str">
        <f t="shared" si="22"/>
        <v>300</v>
      </c>
      <c r="L333" s="104">
        <f>IF(B333="","",VLOOKUP(B333&amp;F333&amp;H333,经纬!A:M,13,FALSE)*N333)</f>
        <v>532.5533333333334</v>
      </c>
      <c r="M333" s="104">
        <f>IF(B333="","",VLOOKUP(B333&amp;F333&amp;H333,经纬!A:N,14,FALSE)*N333)</f>
        <v>609.37500000000011</v>
      </c>
      <c r="N333" s="206">
        <v>6350</v>
      </c>
      <c r="R333" s="250">
        <f t="shared" si="23"/>
        <v>11</v>
      </c>
    </row>
    <row r="334" spans="1:18">
      <c r="A334" s="4">
        <v>343</v>
      </c>
      <c r="B334" s="86" t="s">
        <v>3141</v>
      </c>
      <c r="C334" s="8" t="str">
        <f>IF(B334="","",VLOOKUP(B334,经纬!B:C,2,FALSE))</f>
        <v>200*300</v>
      </c>
      <c r="D334" s="8">
        <f>IF(B334="","",VLOOKUP(B334,经纬!B:G,6,FALSE))</f>
        <v>135</v>
      </c>
      <c r="E334" s="8" t="str">
        <f t="shared" si="20"/>
        <v>180</v>
      </c>
      <c r="F334" s="250" t="s">
        <v>2527</v>
      </c>
      <c r="G334" s="250" t="s">
        <v>2612</v>
      </c>
      <c r="H334" s="86" t="s">
        <v>2582</v>
      </c>
      <c r="I334" s="191">
        <v>43774</v>
      </c>
      <c r="J334" s="105" t="str">
        <f t="shared" si="21"/>
        <v>200</v>
      </c>
      <c r="K334" s="105" t="str">
        <f t="shared" si="22"/>
        <v>300</v>
      </c>
      <c r="L334" s="104">
        <f>IF(B334="","",VLOOKUP(B334&amp;F334&amp;H334,经纬!A:M,13,FALSE)*N334)</f>
        <v>97.484800000000007</v>
      </c>
      <c r="M334" s="104">
        <f>IF(B334="","",VLOOKUP(B334&amp;F334&amp;H334,经纬!A:N,14,FALSE)*N334)</f>
        <v>125.90551181102362</v>
      </c>
      <c r="N334" s="206">
        <v>1200</v>
      </c>
      <c r="R334" s="250">
        <f t="shared" si="23"/>
        <v>11</v>
      </c>
    </row>
    <row r="335" spans="1:18">
      <c r="A335" s="4">
        <v>344</v>
      </c>
      <c r="B335" s="86" t="s">
        <v>2566</v>
      </c>
      <c r="C335" s="8" t="str">
        <f>IF(B335="","",VLOOKUP(B335,经纬!B:C,2,FALSE))</f>
        <v>30*30</v>
      </c>
      <c r="D335" s="8">
        <f>IF(B335="","",VLOOKUP(B335,经纬!B:G,6,FALSE))</f>
        <v>23</v>
      </c>
      <c r="E335" s="8" t="str">
        <f t="shared" si="20"/>
        <v>190</v>
      </c>
      <c r="F335" s="250" t="s">
        <v>2527</v>
      </c>
      <c r="G335" s="250" t="s">
        <v>2612</v>
      </c>
      <c r="H335" s="86" t="s">
        <v>2561</v>
      </c>
      <c r="I335" s="191">
        <v>43774</v>
      </c>
      <c r="J335" s="105" t="str">
        <f t="shared" si="21"/>
        <v>30</v>
      </c>
      <c r="K335" s="105" t="str">
        <f t="shared" si="22"/>
        <v>30</v>
      </c>
      <c r="L335" s="104">
        <f>IF(B335="","",VLOOKUP(B335&amp;F335&amp;H335,经纬!A:M,13,FALSE)*N335)</f>
        <v>125.65071280000001</v>
      </c>
      <c r="M335" s="104">
        <f>IF(B335="","",VLOOKUP(B335&amp;F335&amp;H335,经纬!A:N,14,FALSE)*N335)</f>
        <v>98.825872703412074</v>
      </c>
      <c r="N335" s="206">
        <v>6931</v>
      </c>
      <c r="R335" s="250">
        <f t="shared" si="23"/>
        <v>11</v>
      </c>
    </row>
    <row r="336" spans="1:18">
      <c r="A336" s="4">
        <v>345</v>
      </c>
      <c r="B336" s="86" t="s">
        <v>2560</v>
      </c>
      <c r="C336" s="8" t="str">
        <f>IF(B336="","",VLOOKUP(B336,经纬!B:C,2,FALSE))</f>
        <v>20*20</v>
      </c>
      <c r="D336" s="8">
        <f>IF(B336="","",VLOOKUP(B336,经纬!B:G,6,FALSE))</f>
        <v>17</v>
      </c>
      <c r="E336" s="8" t="str">
        <f t="shared" si="20"/>
        <v>197</v>
      </c>
      <c r="F336" s="250" t="s">
        <v>2551</v>
      </c>
      <c r="G336" s="250" t="s">
        <v>2800</v>
      </c>
      <c r="H336" s="86" t="s">
        <v>2561</v>
      </c>
      <c r="I336" s="191">
        <v>43774</v>
      </c>
      <c r="J336" s="105" t="str">
        <f t="shared" si="21"/>
        <v>20</v>
      </c>
      <c r="K336" s="105" t="str">
        <f t="shared" si="22"/>
        <v>20</v>
      </c>
      <c r="L336" s="104">
        <f>IF(B336="","",VLOOKUP(B336&amp;F336&amp;H336,经纬!A:M,13,FALSE)*N336)</f>
        <v>100.99721306666666</v>
      </c>
      <c r="M336" s="104">
        <f>IF(B336="","",VLOOKUP(B336&amp;F336&amp;H336,经纬!A:N,14,FALSE)*N336)</f>
        <v>73.913809273840755</v>
      </c>
      <c r="N336" s="206">
        <v>7519</v>
      </c>
      <c r="R336" s="250">
        <f t="shared" si="23"/>
        <v>11</v>
      </c>
    </row>
    <row r="337" spans="1:18">
      <c r="A337" s="4">
        <v>346</v>
      </c>
      <c r="B337" s="86" t="s">
        <v>2581</v>
      </c>
      <c r="C337" s="8" t="str">
        <f>IF(B337="","",VLOOKUP(B337,经纬!B:C,2,FALSE))</f>
        <v>75*150</v>
      </c>
      <c r="D337" s="8">
        <f>IF(B337="","",VLOOKUP(B337,经纬!B:G,6,FALSE))</f>
        <v>58</v>
      </c>
      <c r="E337" s="8" t="str">
        <f t="shared" si="20"/>
        <v>190.5</v>
      </c>
      <c r="F337" s="250" t="s">
        <v>2551</v>
      </c>
      <c r="G337" s="250" t="s">
        <v>2851</v>
      </c>
      <c r="H337" s="86" t="s">
        <v>2606</v>
      </c>
      <c r="I337" s="191">
        <v>43774</v>
      </c>
      <c r="J337" s="105" t="str">
        <f t="shared" si="21"/>
        <v>75</v>
      </c>
      <c r="K337" s="105" t="str">
        <f t="shared" si="22"/>
        <v>150</v>
      </c>
      <c r="L337" s="104">
        <f>IF(B337="","",VLOOKUP(B337&amp;F337&amp;H337,经纬!A:M,13,FALSE)*N337)</f>
        <v>22.355339999999998</v>
      </c>
      <c r="M337" s="104">
        <f>IF(B337="","",VLOOKUP(B337&amp;F337&amp;H337,经纬!A:N,14,FALSE)*N337)</f>
        <v>27.651481299212598</v>
      </c>
      <c r="N337" s="206">
        <v>651</v>
      </c>
      <c r="R337" s="250">
        <f t="shared" si="23"/>
        <v>11</v>
      </c>
    </row>
    <row r="338" spans="1:18">
      <c r="A338" s="4">
        <v>347</v>
      </c>
      <c r="B338" s="86" t="s">
        <v>2566</v>
      </c>
      <c r="C338" s="8" t="str">
        <f>IF(B338="","",VLOOKUP(B338,经纬!B:C,2,FALSE))</f>
        <v>30*30</v>
      </c>
      <c r="D338" s="8">
        <f>IF(B338="","",VLOOKUP(B338,经纬!B:G,6,FALSE))</f>
        <v>23</v>
      </c>
      <c r="E338" s="8" t="str">
        <f t="shared" si="20"/>
        <v>190</v>
      </c>
      <c r="F338" s="250" t="s">
        <v>2527</v>
      </c>
      <c r="G338" s="250" t="s">
        <v>2611</v>
      </c>
      <c r="H338" s="86" t="s">
        <v>2561</v>
      </c>
      <c r="I338" s="191">
        <v>43774</v>
      </c>
      <c r="J338" s="105" t="str">
        <f t="shared" si="21"/>
        <v>30</v>
      </c>
      <c r="K338" s="105" t="str">
        <f t="shared" si="22"/>
        <v>30</v>
      </c>
      <c r="L338" s="104">
        <f>IF(B338="","",VLOOKUP(B338&amp;F338&amp;H338,经纬!A:M,13,FALSE)*N338)</f>
        <v>42.040687200000001</v>
      </c>
      <c r="M338" s="104">
        <f>IF(B338="","",VLOOKUP(B338&amp;F338&amp;H338,经纬!A:N,14,FALSE)*N338)</f>
        <v>33.065531496062988</v>
      </c>
      <c r="N338" s="206">
        <v>2319</v>
      </c>
      <c r="R338" s="250">
        <f t="shared" si="23"/>
        <v>11</v>
      </c>
    </row>
    <row r="339" spans="1:18">
      <c r="A339" s="4">
        <v>348</v>
      </c>
      <c r="B339" s="86" t="s">
        <v>2566</v>
      </c>
      <c r="C339" s="8" t="str">
        <f>IF(B339="","",VLOOKUP(B339,经纬!B:C,2,FALSE))</f>
        <v>30*30</v>
      </c>
      <c r="D339" s="8">
        <f>IF(B339="","",VLOOKUP(B339,经纬!B:G,6,FALSE))</f>
        <v>23</v>
      </c>
      <c r="E339" s="8" t="str">
        <f t="shared" si="20"/>
        <v>190</v>
      </c>
      <c r="F339" s="250" t="s">
        <v>2551</v>
      </c>
      <c r="G339" s="250" t="s">
        <v>2612</v>
      </c>
      <c r="H339" s="86" t="s">
        <v>2561</v>
      </c>
      <c r="I339" s="191">
        <v>43775</v>
      </c>
      <c r="J339" s="105" t="str">
        <f t="shared" si="21"/>
        <v>30</v>
      </c>
      <c r="K339" s="105" t="str">
        <f t="shared" si="22"/>
        <v>30</v>
      </c>
      <c r="L339" s="104">
        <f>IF(B339="","",VLOOKUP(B339&amp;F339&amp;H339,经纬!A:M,13,FALSE)*N339)</f>
        <v>139.79117680000002</v>
      </c>
      <c r="M339" s="104">
        <f>IF(B339="","",VLOOKUP(B339&amp;F339&amp;H339,经纬!A:N,14,FALSE)*N339)</f>
        <v>109.94752624671916</v>
      </c>
      <c r="N339" s="206">
        <v>7711</v>
      </c>
      <c r="R339" s="250">
        <f t="shared" si="23"/>
        <v>11</v>
      </c>
    </row>
    <row r="340" spans="1:18">
      <c r="A340" s="4">
        <v>349</v>
      </c>
      <c r="B340" s="86" t="s">
        <v>2588</v>
      </c>
      <c r="C340" s="8" t="str">
        <f>IF(B340="","",VLOOKUP(B340,经纬!B:C,2,FALSE))</f>
        <v>100*300</v>
      </c>
      <c r="D340" s="8">
        <f>IF(B340="","",VLOOKUP(B340,经纬!B:G,6,FALSE))</f>
        <v>86</v>
      </c>
      <c r="E340" s="8" t="str">
        <f t="shared" si="20"/>
        <v>188</v>
      </c>
      <c r="F340" s="250" t="s">
        <v>2551</v>
      </c>
      <c r="G340" s="250" t="s">
        <v>2612</v>
      </c>
      <c r="H340" s="86" t="s">
        <v>2582</v>
      </c>
      <c r="I340" s="191">
        <v>43775</v>
      </c>
      <c r="J340" s="105" t="str">
        <f t="shared" si="21"/>
        <v>100</v>
      </c>
      <c r="K340" s="105" t="str">
        <f t="shared" si="22"/>
        <v>300</v>
      </c>
      <c r="L340" s="104">
        <f>IF(B340="","",VLOOKUP(B340&amp;F340&amp;H340,经纬!A:M,13,FALSE)*N340)</f>
        <v>374</v>
      </c>
      <c r="M340" s="104">
        <f>IF(B340="","",VLOOKUP(B340&amp;F340&amp;H340,经纬!A:N,14,FALSE)*N340)</f>
        <v>644.69816272965875</v>
      </c>
      <c r="N340" s="206">
        <v>8800</v>
      </c>
      <c r="R340" s="250">
        <f t="shared" si="23"/>
        <v>11</v>
      </c>
    </row>
    <row r="341" spans="1:18">
      <c r="A341" s="4">
        <v>350</v>
      </c>
      <c r="B341" s="86" t="s">
        <v>2592</v>
      </c>
      <c r="C341" s="8" t="str">
        <f>IF(B341="","",VLOOKUP(B341,经纬!B:C,2,FALSE))</f>
        <v>200*300</v>
      </c>
      <c r="D341" s="8">
        <f>IF(B341="","",VLOOKUP(B341,经纬!B:G,6,FALSE))</f>
        <v>126</v>
      </c>
      <c r="E341" s="8" t="str">
        <f t="shared" si="20"/>
        <v>180</v>
      </c>
      <c r="F341" s="250" t="s">
        <v>2527</v>
      </c>
      <c r="G341" s="250" t="s">
        <v>2612</v>
      </c>
      <c r="H341" s="86" t="s">
        <v>2582</v>
      </c>
      <c r="I341" s="191">
        <v>43775</v>
      </c>
      <c r="J341" s="105" t="str">
        <f t="shared" si="21"/>
        <v>200</v>
      </c>
      <c r="K341" s="105" t="str">
        <f t="shared" si="22"/>
        <v>300</v>
      </c>
      <c r="L341" s="104">
        <f>IF(B341="","",VLOOKUP(B341&amp;F341&amp;H341,经纬!A:M,13,FALSE)*N341)</f>
        <v>570.29333333333341</v>
      </c>
      <c r="M341" s="104">
        <f>IF(B341="","",VLOOKUP(B341&amp;F341&amp;H341,经纬!A:N,14,FALSE)*N341)</f>
        <v>652.55905511811034</v>
      </c>
      <c r="N341" s="206">
        <v>6800</v>
      </c>
      <c r="R341" s="250">
        <f t="shared" si="23"/>
        <v>11</v>
      </c>
    </row>
    <row r="342" spans="1:18">
      <c r="A342" s="4">
        <v>351</v>
      </c>
      <c r="C342" s="8" t="str">
        <f>IF(B342="","",VLOOKUP(B342,经纬!B:C,2,FALSE))</f>
        <v/>
      </c>
      <c r="D342" s="8" t="str">
        <f>IF(B342="","",VLOOKUP(B342,经纬!B:G,6,FALSE))</f>
        <v/>
      </c>
      <c r="E342" s="8" t="str">
        <f t="shared" si="20"/>
        <v/>
      </c>
      <c r="J342" s="105" t="str">
        <f t="shared" si="21"/>
        <v/>
      </c>
      <c r="K342" s="105" t="str">
        <f t="shared" si="22"/>
        <v/>
      </c>
      <c r="L342" s="104" t="str">
        <f>IF(B342="","",VLOOKUP(B342&amp;F342&amp;H342,经纬!A:M,13,FALSE)*N342)</f>
        <v/>
      </c>
      <c r="M342" s="104" t="str">
        <f>IF(B342="","",VLOOKUP(B342&amp;F342&amp;H342,经纬!A:N,14,FALSE)*N342)</f>
        <v/>
      </c>
      <c r="R342" s="250" t="str">
        <f t="shared" si="23"/>
        <v/>
      </c>
    </row>
    <row r="343" spans="1:18">
      <c r="A343" s="4">
        <v>352</v>
      </c>
      <c r="C343" s="8" t="str">
        <f>IF(B343="","",VLOOKUP(B343,经纬!B:C,2,FALSE))</f>
        <v/>
      </c>
      <c r="D343" s="8" t="str">
        <f>IF(B343="","",VLOOKUP(B343,经纬!B:G,6,FALSE))</f>
        <v/>
      </c>
      <c r="E343" s="8" t="str">
        <f t="shared" si="20"/>
        <v/>
      </c>
      <c r="J343" s="105" t="str">
        <f t="shared" si="21"/>
        <v/>
      </c>
      <c r="K343" s="105" t="str">
        <f t="shared" si="22"/>
        <v/>
      </c>
      <c r="L343" s="104" t="str">
        <f>IF(B343="","",VLOOKUP(B343&amp;F343&amp;H343,经纬!A:M,13,FALSE)*N343)</f>
        <v/>
      </c>
      <c r="M343" s="104" t="str">
        <f>IF(B343="","",VLOOKUP(B343&amp;F343&amp;H343,经纬!A:N,14,FALSE)*N343)</f>
        <v/>
      </c>
      <c r="R343" s="250" t="str">
        <f t="shared" si="23"/>
        <v/>
      </c>
    </row>
    <row r="344" spans="1:18">
      <c r="A344" s="4">
        <v>353</v>
      </c>
      <c r="C344" s="8" t="str">
        <f>IF(B344="","",VLOOKUP(B344,经纬!B:C,2,FALSE))</f>
        <v/>
      </c>
      <c r="D344" s="8" t="str">
        <f>IF(B344="","",VLOOKUP(B344,经纬!B:G,6,FALSE))</f>
        <v/>
      </c>
      <c r="E344" s="8" t="str">
        <f t="shared" si="20"/>
        <v/>
      </c>
      <c r="J344" s="105" t="str">
        <f t="shared" si="21"/>
        <v/>
      </c>
      <c r="K344" s="105" t="str">
        <f t="shared" si="22"/>
        <v/>
      </c>
      <c r="L344" s="104" t="str">
        <f>IF(B344="","",VLOOKUP(B344&amp;F344&amp;H344,经纬!A:M,13,FALSE)*N344)</f>
        <v/>
      </c>
      <c r="M344" s="104" t="str">
        <f>IF(B344="","",VLOOKUP(B344&amp;F344&amp;H344,经纬!A:N,14,FALSE)*N344)</f>
        <v/>
      </c>
      <c r="R344" s="250" t="str">
        <f t="shared" si="23"/>
        <v/>
      </c>
    </row>
    <row r="345" spans="1:18">
      <c r="A345" s="4">
        <v>354</v>
      </c>
      <c r="C345" s="8" t="str">
        <f>IF(B345="","",VLOOKUP(B345,经纬!B:C,2,FALSE))</f>
        <v/>
      </c>
      <c r="D345" s="8" t="str">
        <f>IF(B345="","",VLOOKUP(B345,经纬!B:G,6,FALSE))</f>
        <v/>
      </c>
      <c r="E345" s="8" t="str">
        <f t="shared" si="20"/>
        <v/>
      </c>
      <c r="J345" s="105" t="str">
        <f t="shared" si="21"/>
        <v/>
      </c>
      <c r="K345" s="105" t="str">
        <f t="shared" si="22"/>
        <v/>
      </c>
      <c r="L345" s="104" t="str">
        <f>IF(B345="","",VLOOKUP(B345&amp;F345&amp;H345,经纬!A:M,13,FALSE)*N345)</f>
        <v/>
      </c>
      <c r="M345" s="104" t="str">
        <f>IF(B345="","",VLOOKUP(B345&amp;F345&amp;H345,经纬!A:N,14,FALSE)*N345)</f>
        <v/>
      </c>
      <c r="R345" s="250" t="str">
        <f t="shared" si="23"/>
        <v/>
      </c>
    </row>
    <row r="346" spans="1:18">
      <c r="A346" s="4">
        <v>355</v>
      </c>
      <c r="C346" s="8" t="str">
        <f>IF(B346="","",VLOOKUP(B346,经纬!B:C,2,FALSE))</f>
        <v/>
      </c>
      <c r="D346" s="8" t="str">
        <f>IF(B346="","",VLOOKUP(B346,经纬!B:G,6,FALSE))</f>
        <v/>
      </c>
      <c r="E346" s="8" t="str">
        <f t="shared" si="20"/>
        <v/>
      </c>
      <c r="J346" s="105" t="str">
        <f t="shared" si="21"/>
        <v/>
      </c>
      <c r="K346" s="105" t="str">
        <f t="shared" si="22"/>
        <v/>
      </c>
      <c r="L346" s="104" t="str">
        <f>IF(B346="","",VLOOKUP(B346&amp;F346&amp;H346,经纬!A:M,13,FALSE)*N346)</f>
        <v/>
      </c>
      <c r="M346" s="104" t="str">
        <f>IF(B346="","",VLOOKUP(B346&amp;F346&amp;H346,经纬!A:N,14,FALSE)*N346)</f>
        <v/>
      </c>
      <c r="R346" s="250" t="str">
        <f t="shared" si="23"/>
        <v/>
      </c>
    </row>
    <row r="347" spans="1:18">
      <c r="A347" s="4">
        <v>356</v>
      </c>
      <c r="C347" s="8" t="str">
        <f>IF(B347="","",VLOOKUP(B347,经纬!B:C,2,FALSE))</f>
        <v/>
      </c>
      <c r="D347" s="8" t="str">
        <f>IF(B347="","",VLOOKUP(B347,经纬!B:G,6,FALSE))</f>
        <v/>
      </c>
      <c r="E347" s="8" t="str">
        <f t="shared" si="20"/>
        <v/>
      </c>
      <c r="J347" s="105" t="str">
        <f t="shared" si="21"/>
        <v/>
      </c>
      <c r="K347" s="105" t="str">
        <f t="shared" si="22"/>
        <v/>
      </c>
      <c r="L347" s="104" t="str">
        <f>IF(B347="","",VLOOKUP(B347&amp;F347&amp;H347,经纬!A:M,13,FALSE)*N347)</f>
        <v/>
      </c>
      <c r="M347" s="104" t="str">
        <f>IF(B347="","",VLOOKUP(B347&amp;F347&amp;H347,经纬!A:N,14,FALSE)*N347)</f>
        <v/>
      </c>
      <c r="R347" s="250" t="str">
        <f t="shared" si="23"/>
        <v/>
      </c>
    </row>
    <row r="348" spans="1:18">
      <c r="A348" s="4">
        <v>357</v>
      </c>
      <c r="C348" s="8" t="str">
        <f>IF(B348="","",VLOOKUP(B348,经纬!B:C,2,FALSE))</f>
        <v/>
      </c>
      <c r="D348" s="8" t="str">
        <f>IF(B348="","",VLOOKUP(B348,经纬!B:G,6,FALSE))</f>
        <v/>
      </c>
      <c r="E348" s="8" t="str">
        <f t="shared" si="20"/>
        <v/>
      </c>
      <c r="J348" s="105" t="str">
        <f t="shared" si="21"/>
        <v/>
      </c>
      <c r="K348" s="105" t="str">
        <f t="shared" si="22"/>
        <v/>
      </c>
      <c r="L348" s="104" t="str">
        <f>IF(B348="","",VLOOKUP(B348&amp;F348&amp;H348,经纬!A:M,13,FALSE)*N348)</f>
        <v/>
      </c>
      <c r="M348" s="104" t="str">
        <f>IF(B348="","",VLOOKUP(B348&amp;F348&amp;H348,经纬!A:N,14,FALSE)*N348)</f>
        <v/>
      </c>
      <c r="R348" s="250" t="str">
        <f t="shared" si="23"/>
        <v/>
      </c>
    </row>
    <row r="349" spans="1:18">
      <c r="A349" s="4">
        <v>358</v>
      </c>
      <c r="C349" s="8" t="str">
        <f>IF(B349="","",VLOOKUP(B349,经纬!B:C,2,FALSE))</f>
        <v/>
      </c>
      <c r="D349" s="8" t="str">
        <f>IF(B349="","",VLOOKUP(B349,经纬!B:G,6,FALSE))</f>
        <v/>
      </c>
      <c r="E349" s="8" t="str">
        <f t="shared" si="20"/>
        <v/>
      </c>
      <c r="J349" s="105" t="str">
        <f t="shared" si="21"/>
        <v/>
      </c>
      <c r="K349" s="105" t="str">
        <f t="shared" si="22"/>
        <v/>
      </c>
      <c r="L349" s="104" t="str">
        <f>IF(B349="","",VLOOKUP(B349&amp;F349&amp;H349,经纬!A:M,13,FALSE)*N349)</f>
        <v/>
      </c>
      <c r="M349" s="104" t="str">
        <f>IF(B349="","",VLOOKUP(B349&amp;F349&amp;H349,经纬!A:N,14,FALSE)*N349)</f>
        <v/>
      </c>
      <c r="R349" s="250" t="str">
        <f t="shared" si="23"/>
        <v/>
      </c>
    </row>
    <row r="350" spans="1:18">
      <c r="A350" s="4">
        <v>359</v>
      </c>
      <c r="C350" s="8" t="str">
        <f>IF(B350="","",VLOOKUP(B350,经纬!B:C,2,FALSE))</f>
        <v/>
      </c>
      <c r="D350" s="8" t="str">
        <f>IF(B350="","",VLOOKUP(B350,经纬!B:G,6,FALSE))</f>
        <v/>
      </c>
      <c r="E350" s="8" t="str">
        <f t="shared" si="20"/>
        <v/>
      </c>
      <c r="J350" s="105" t="str">
        <f t="shared" si="21"/>
        <v/>
      </c>
      <c r="K350" s="105" t="str">
        <f t="shared" si="22"/>
        <v/>
      </c>
      <c r="L350" s="104" t="str">
        <f>IF(B350="","",VLOOKUP(B350&amp;F350&amp;H350,经纬!A:M,13,FALSE)*N350)</f>
        <v/>
      </c>
      <c r="M350" s="104" t="str">
        <f>IF(B350="","",VLOOKUP(B350&amp;F350&amp;H350,经纬!A:N,14,FALSE)*N350)</f>
        <v/>
      </c>
      <c r="R350" s="250" t="str">
        <f t="shared" si="23"/>
        <v/>
      </c>
    </row>
    <row r="351" spans="1:18">
      <c r="A351" s="4">
        <v>360</v>
      </c>
      <c r="C351" s="8" t="str">
        <f>IF(B351="","",VLOOKUP(B351,经纬!B:C,2,FALSE))</f>
        <v/>
      </c>
      <c r="D351" s="8" t="str">
        <f>IF(B351="","",VLOOKUP(B351,经纬!B:G,6,FALSE))</f>
        <v/>
      </c>
      <c r="E351" s="8" t="str">
        <f t="shared" si="20"/>
        <v/>
      </c>
      <c r="J351" s="105" t="str">
        <f t="shared" si="21"/>
        <v/>
      </c>
      <c r="K351" s="105" t="str">
        <f t="shared" si="22"/>
        <v/>
      </c>
      <c r="L351" s="104" t="str">
        <f>IF(B351="","",VLOOKUP(B351&amp;F351&amp;H351,经纬!A:M,13,FALSE)*N351)</f>
        <v/>
      </c>
      <c r="M351" s="104" t="str">
        <f>IF(B351="","",VLOOKUP(B351&amp;F351&amp;H351,经纬!A:N,14,FALSE)*N351)</f>
        <v/>
      </c>
      <c r="R351" s="250" t="str">
        <f t="shared" si="23"/>
        <v/>
      </c>
    </row>
    <row r="352" spans="1:18">
      <c r="A352" s="4">
        <v>361</v>
      </c>
      <c r="C352" s="8" t="str">
        <f>IF(B352="","",VLOOKUP(B352,经纬!B:C,2,FALSE))</f>
        <v/>
      </c>
      <c r="D352" s="8" t="str">
        <f>IF(B352="","",VLOOKUP(B352,经纬!B:G,6,FALSE))</f>
        <v/>
      </c>
      <c r="E352" s="8" t="str">
        <f t="shared" si="20"/>
        <v/>
      </c>
      <c r="J352" s="105" t="str">
        <f t="shared" si="21"/>
        <v/>
      </c>
      <c r="K352" s="105" t="str">
        <f t="shared" si="22"/>
        <v/>
      </c>
      <c r="L352" s="104" t="str">
        <f>IF(B352="","",VLOOKUP(B352&amp;F352&amp;H352,经纬!A:M,13,FALSE)*N352)</f>
        <v/>
      </c>
      <c r="M352" s="104" t="str">
        <f>IF(B352="","",VLOOKUP(B352&amp;F352&amp;H352,经纬!A:N,14,FALSE)*N352)</f>
        <v/>
      </c>
      <c r="R352" s="250" t="str">
        <f t="shared" si="23"/>
        <v/>
      </c>
    </row>
    <row r="353" spans="1:18">
      <c r="A353" s="4">
        <v>362</v>
      </c>
      <c r="C353" s="8" t="str">
        <f>IF(B353="","",VLOOKUP(B353,经纬!B:C,2,FALSE))</f>
        <v/>
      </c>
      <c r="D353" s="8" t="str">
        <f>IF(B353="","",VLOOKUP(B353,经纬!B:G,6,FALSE))</f>
        <v/>
      </c>
      <c r="E353" s="8" t="str">
        <f t="shared" si="20"/>
        <v/>
      </c>
      <c r="J353" s="105" t="str">
        <f t="shared" si="21"/>
        <v/>
      </c>
      <c r="K353" s="105" t="str">
        <f t="shared" si="22"/>
        <v/>
      </c>
      <c r="L353" s="104" t="str">
        <f>IF(B353="","",VLOOKUP(B353&amp;F353&amp;H353,经纬!A:M,13,FALSE)*N353)</f>
        <v/>
      </c>
      <c r="M353" s="104" t="str">
        <f>IF(B353="","",VLOOKUP(B353&amp;F353&amp;H353,经纬!A:N,14,FALSE)*N353)</f>
        <v/>
      </c>
      <c r="R353" s="250" t="str">
        <f t="shared" si="23"/>
        <v/>
      </c>
    </row>
    <row r="354" spans="1:18">
      <c r="A354" s="4">
        <v>363</v>
      </c>
      <c r="C354" s="8" t="str">
        <f>IF(B354="","",VLOOKUP(B354,经纬!B:C,2,FALSE))</f>
        <v/>
      </c>
      <c r="D354" s="8" t="str">
        <f>IF(B354="","",VLOOKUP(B354,经纬!B:G,6,FALSE))</f>
        <v/>
      </c>
      <c r="E354" s="8" t="str">
        <f t="shared" si="20"/>
        <v/>
      </c>
      <c r="J354" s="105" t="str">
        <f t="shared" si="21"/>
        <v/>
      </c>
      <c r="K354" s="105" t="str">
        <f t="shared" si="22"/>
        <v/>
      </c>
      <c r="L354" s="104" t="str">
        <f>IF(B354="","",VLOOKUP(B354&amp;F354&amp;H354,经纬!A:M,13,FALSE)*N354)</f>
        <v/>
      </c>
      <c r="M354" s="104" t="str">
        <f>IF(B354="","",VLOOKUP(B354&amp;F354&amp;H354,经纬!A:N,14,FALSE)*N354)</f>
        <v/>
      </c>
      <c r="R354" s="250" t="str">
        <f t="shared" si="23"/>
        <v/>
      </c>
    </row>
    <row r="355" spans="1:18">
      <c r="A355" s="4">
        <v>364</v>
      </c>
      <c r="C355" s="8" t="str">
        <f>IF(B355="","",VLOOKUP(B355,经纬!B:C,2,FALSE))</f>
        <v/>
      </c>
      <c r="D355" s="8" t="str">
        <f>IF(B355="","",VLOOKUP(B355,经纬!B:G,6,FALSE))</f>
        <v/>
      </c>
      <c r="E355" s="8" t="str">
        <f t="shared" si="20"/>
        <v/>
      </c>
      <c r="J355" s="105" t="str">
        <f t="shared" si="21"/>
        <v/>
      </c>
      <c r="K355" s="105" t="str">
        <f t="shared" si="22"/>
        <v/>
      </c>
      <c r="L355" s="104" t="str">
        <f>IF(B355="","",VLOOKUP(B355&amp;F355&amp;H355,经纬!A:M,13,FALSE)*N355)</f>
        <v/>
      </c>
      <c r="M355" s="104" t="str">
        <f>IF(B355="","",VLOOKUP(B355&amp;F355&amp;H355,经纬!A:N,14,FALSE)*N355)</f>
        <v/>
      </c>
      <c r="R355" s="250" t="str">
        <f t="shared" si="23"/>
        <v/>
      </c>
    </row>
    <row r="356" spans="1:18">
      <c r="A356" s="4">
        <v>365</v>
      </c>
      <c r="C356" s="8" t="str">
        <f>IF(B356="","",VLOOKUP(B356,经纬!B:C,2,FALSE))</f>
        <v/>
      </c>
      <c r="D356" s="8" t="str">
        <f>IF(B356="","",VLOOKUP(B356,经纬!B:G,6,FALSE))</f>
        <v/>
      </c>
      <c r="E356" s="8" t="str">
        <f t="shared" si="20"/>
        <v/>
      </c>
      <c r="J356" s="105" t="str">
        <f t="shared" si="21"/>
        <v/>
      </c>
      <c r="K356" s="105" t="str">
        <f t="shared" si="22"/>
        <v/>
      </c>
      <c r="L356" s="104" t="str">
        <f>IF(B356="","",VLOOKUP(B356&amp;F356&amp;H356,经纬!A:M,13,FALSE)*N356)</f>
        <v/>
      </c>
      <c r="M356" s="104" t="str">
        <f>IF(B356="","",VLOOKUP(B356&amp;F356&amp;H356,经纬!A:N,14,FALSE)*N356)</f>
        <v/>
      </c>
      <c r="R356" s="250" t="str">
        <f t="shared" si="23"/>
        <v/>
      </c>
    </row>
    <row r="357" spans="1:18">
      <c r="A357" s="4">
        <v>366</v>
      </c>
      <c r="C357" s="8" t="str">
        <f>IF(B357="","",VLOOKUP(B357,经纬!B:C,2,FALSE))</f>
        <v/>
      </c>
      <c r="D357" s="8" t="str">
        <f>IF(B357="","",VLOOKUP(B357,经纬!B:G,6,FALSE))</f>
        <v/>
      </c>
      <c r="E357" s="8" t="str">
        <f t="shared" si="20"/>
        <v/>
      </c>
      <c r="J357" s="105" t="str">
        <f t="shared" si="21"/>
        <v/>
      </c>
      <c r="K357" s="105" t="str">
        <f t="shared" si="22"/>
        <v/>
      </c>
      <c r="L357" s="104" t="str">
        <f>IF(B357="","",VLOOKUP(B357&amp;F357&amp;H357,经纬!A:M,13,FALSE)*N357)</f>
        <v/>
      </c>
      <c r="M357" s="104" t="str">
        <f>IF(B357="","",VLOOKUP(B357&amp;F357&amp;H357,经纬!A:N,14,FALSE)*N357)</f>
        <v/>
      </c>
      <c r="R357" s="250" t="str">
        <f t="shared" si="23"/>
        <v/>
      </c>
    </row>
    <row r="358" spans="1:18">
      <c r="A358" s="4">
        <v>367</v>
      </c>
      <c r="C358" s="8" t="str">
        <f>IF(B358="","",VLOOKUP(B358,经纬!B:C,2,FALSE))</f>
        <v/>
      </c>
      <c r="D358" s="8" t="str">
        <f>IF(B358="","",VLOOKUP(B358,经纬!B:G,6,FALSE))</f>
        <v/>
      </c>
      <c r="E358" s="8" t="str">
        <f t="shared" si="20"/>
        <v/>
      </c>
      <c r="J358" s="105" t="str">
        <f t="shared" si="21"/>
        <v/>
      </c>
      <c r="K358" s="105" t="str">
        <f t="shared" si="22"/>
        <v/>
      </c>
      <c r="L358" s="104" t="str">
        <f>IF(B358="","",VLOOKUP(B358&amp;F358&amp;H358,经纬!A:M,13,FALSE)*N358)</f>
        <v/>
      </c>
      <c r="M358" s="104" t="str">
        <f>IF(B358="","",VLOOKUP(B358&amp;F358&amp;H358,经纬!A:N,14,FALSE)*N358)</f>
        <v/>
      </c>
      <c r="R358" s="250" t="str">
        <f t="shared" si="23"/>
        <v/>
      </c>
    </row>
    <row r="359" spans="1:18">
      <c r="A359" s="4">
        <v>368</v>
      </c>
      <c r="C359" s="8" t="str">
        <f>IF(B359="","",VLOOKUP(B359,经纬!B:C,2,FALSE))</f>
        <v/>
      </c>
      <c r="D359" s="8" t="str">
        <f>IF(B359="","",VLOOKUP(B359,经纬!B:G,6,FALSE))</f>
        <v/>
      </c>
      <c r="E359" s="8" t="str">
        <f t="shared" si="20"/>
        <v/>
      </c>
      <c r="J359" s="105" t="str">
        <f t="shared" si="21"/>
        <v/>
      </c>
      <c r="K359" s="105" t="str">
        <f t="shared" si="22"/>
        <v/>
      </c>
      <c r="L359" s="104" t="str">
        <f>IF(B359="","",VLOOKUP(B359&amp;F359&amp;H359,经纬!A:M,13,FALSE)*N359)</f>
        <v/>
      </c>
      <c r="M359" s="104" t="str">
        <f>IF(B359="","",VLOOKUP(B359&amp;F359&amp;H359,经纬!A:N,14,FALSE)*N359)</f>
        <v/>
      </c>
      <c r="R359" s="250" t="str">
        <f t="shared" si="23"/>
        <v/>
      </c>
    </row>
    <row r="360" spans="1:18">
      <c r="A360" s="4">
        <v>369</v>
      </c>
      <c r="C360" s="8" t="str">
        <f>IF(B360="","",VLOOKUP(B360,经纬!B:C,2,FALSE))</f>
        <v/>
      </c>
      <c r="D360" s="8" t="str">
        <f>IF(B360="","",VLOOKUP(B360,经纬!B:G,6,FALSE))</f>
        <v/>
      </c>
      <c r="E360" s="8" t="str">
        <f t="shared" si="20"/>
        <v/>
      </c>
      <c r="J360" s="105" t="str">
        <f t="shared" si="21"/>
        <v/>
      </c>
      <c r="K360" s="105" t="str">
        <f t="shared" si="22"/>
        <v/>
      </c>
      <c r="L360" s="104" t="str">
        <f>IF(B360="","",VLOOKUP(B360&amp;F360&amp;H360,经纬!A:M,13,FALSE)*N360)</f>
        <v/>
      </c>
      <c r="M360" s="104" t="str">
        <f>IF(B360="","",VLOOKUP(B360&amp;F360&amp;H360,经纬!A:N,14,FALSE)*N360)</f>
        <v/>
      </c>
      <c r="R360" s="250" t="str">
        <f t="shared" si="23"/>
        <v/>
      </c>
    </row>
    <row r="361" spans="1:18">
      <c r="A361" s="4">
        <v>370</v>
      </c>
      <c r="C361" s="8" t="str">
        <f>IF(B361="","",VLOOKUP(B361,经纬!B:C,2,FALSE))</f>
        <v/>
      </c>
      <c r="D361" s="8" t="str">
        <f>IF(B361="","",VLOOKUP(B361,经纬!B:G,6,FALSE))</f>
        <v/>
      </c>
      <c r="E361" s="8" t="str">
        <f t="shared" si="20"/>
        <v/>
      </c>
      <c r="J361" s="105" t="str">
        <f t="shared" si="21"/>
        <v/>
      </c>
      <c r="K361" s="105" t="str">
        <f t="shared" si="22"/>
        <v/>
      </c>
      <c r="L361" s="104" t="str">
        <f>IF(B361="","",VLOOKUP(B361&amp;F361&amp;H361,经纬!A:M,13,FALSE)*N361)</f>
        <v/>
      </c>
      <c r="M361" s="104" t="str">
        <f>IF(B361="","",VLOOKUP(B361&amp;F361&amp;H361,经纬!A:N,14,FALSE)*N361)</f>
        <v/>
      </c>
      <c r="R361" s="250" t="str">
        <f t="shared" si="23"/>
        <v/>
      </c>
    </row>
    <row r="362" spans="1:18">
      <c r="A362" s="4">
        <v>371</v>
      </c>
      <c r="C362" s="8" t="str">
        <f>IF(B362="","",VLOOKUP(B362,经纬!B:C,2,FALSE))</f>
        <v/>
      </c>
      <c r="D362" s="8" t="str">
        <f>IF(B362="","",VLOOKUP(B362,经纬!B:G,6,FALSE))</f>
        <v/>
      </c>
      <c r="E362" s="8" t="str">
        <f t="shared" si="20"/>
        <v/>
      </c>
      <c r="J362" s="105" t="str">
        <f t="shared" si="21"/>
        <v/>
      </c>
      <c r="K362" s="105" t="str">
        <f t="shared" si="22"/>
        <v/>
      </c>
      <c r="L362" s="104" t="str">
        <f>IF(B362="","",VLOOKUP(B362&amp;F362&amp;H362,经纬!A:M,13,FALSE)*N362)</f>
        <v/>
      </c>
      <c r="M362" s="104" t="str">
        <f>IF(B362="","",VLOOKUP(B362&amp;F362&amp;H362,经纬!A:N,14,FALSE)*N362)</f>
        <v/>
      </c>
      <c r="R362" s="250" t="str">
        <f t="shared" si="23"/>
        <v/>
      </c>
    </row>
    <row r="363" spans="1:18">
      <c r="A363" s="4">
        <v>372</v>
      </c>
      <c r="C363" s="8" t="str">
        <f>IF(B363="","",VLOOKUP(B363,经纬!B:C,2,FALSE))</f>
        <v/>
      </c>
      <c r="D363" s="8" t="str">
        <f>IF(B363="","",VLOOKUP(B363,经纬!B:G,6,FALSE))</f>
        <v/>
      </c>
      <c r="E363" s="8" t="str">
        <f t="shared" si="20"/>
        <v/>
      </c>
      <c r="J363" s="105" t="str">
        <f t="shared" si="21"/>
        <v/>
      </c>
      <c r="K363" s="105" t="str">
        <f t="shared" si="22"/>
        <v/>
      </c>
      <c r="L363" s="104" t="str">
        <f>IF(B363="","",VLOOKUP(B363&amp;F363&amp;H363,经纬!A:M,13,FALSE)*N363)</f>
        <v/>
      </c>
      <c r="M363" s="104" t="str">
        <f>IF(B363="","",VLOOKUP(B363&amp;F363&amp;H363,经纬!A:N,14,FALSE)*N363)</f>
        <v/>
      </c>
      <c r="R363" s="250" t="str">
        <f t="shared" si="23"/>
        <v/>
      </c>
    </row>
    <row r="364" spans="1:18">
      <c r="A364" s="4">
        <v>373</v>
      </c>
      <c r="C364" s="8" t="str">
        <f>IF(B364="","",VLOOKUP(B364,经纬!B:C,2,FALSE))</f>
        <v/>
      </c>
      <c r="D364" s="8" t="str">
        <f>IF(B364="","",VLOOKUP(B364,经纬!B:G,6,FALSE))</f>
        <v/>
      </c>
      <c r="E364" s="8" t="str">
        <f t="shared" si="20"/>
        <v/>
      </c>
      <c r="J364" s="105" t="str">
        <f t="shared" si="21"/>
        <v/>
      </c>
      <c r="K364" s="105" t="str">
        <f t="shared" si="22"/>
        <v/>
      </c>
      <c r="L364" s="104" t="str">
        <f>IF(B364="","",VLOOKUP(B364&amp;F364&amp;H364,经纬!A:M,13,FALSE)*N364)</f>
        <v/>
      </c>
      <c r="M364" s="104" t="str">
        <f>IF(B364="","",VLOOKUP(B364&amp;F364&amp;H364,经纬!A:N,14,FALSE)*N364)</f>
        <v/>
      </c>
      <c r="R364" s="250" t="str">
        <f t="shared" si="23"/>
        <v/>
      </c>
    </row>
    <row r="365" spans="1:18">
      <c r="A365" s="4">
        <v>374</v>
      </c>
      <c r="C365" s="8" t="str">
        <f>IF(B365="","",VLOOKUP(B365,经纬!B:C,2,FALSE))</f>
        <v/>
      </c>
      <c r="D365" s="8" t="str">
        <f>IF(B365="","",VLOOKUP(B365,经纬!B:G,6,FALSE))</f>
        <v/>
      </c>
      <c r="E365" s="8" t="str">
        <f t="shared" si="20"/>
        <v/>
      </c>
      <c r="J365" s="105" t="str">
        <f t="shared" si="21"/>
        <v/>
      </c>
      <c r="K365" s="105" t="str">
        <f t="shared" si="22"/>
        <v/>
      </c>
      <c r="L365" s="104" t="str">
        <f>IF(B365="","",VLOOKUP(B365&amp;F365&amp;H365,经纬!A:M,13,FALSE)*N365)</f>
        <v/>
      </c>
      <c r="M365" s="104" t="str">
        <f>IF(B365="","",VLOOKUP(B365&amp;F365&amp;H365,经纬!A:N,14,FALSE)*N365)</f>
        <v/>
      </c>
      <c r="R365" s="250" t="str">
        <f t="shared" si="23"/>
        <v/>
      </c>
    </row>
    <row r="366" spans="1:18">
      <c r="A366" s="4">
        <v>375</v>
      </c>
      <c r="C366" s="8" t="str">
        <f>IF(B366="","",VLOOKUP(B366,经纬!B:C,2,FALSE))</f>
        <v/>
      </c>
      <c r="D366" s="8" t="str">
        <f>IF(B366="","",VLOOKUP(B366,经纬!B:G,6,FALSE))</f>
        <v/>
      </c>
      <c r="E366" s="8" t="str">
        <f t="shared" si="20"/>
        <v/>
      </c>
      <c r="J366" s="105" t="str">
        <f t="shared" si="21"/>
        <v/>
      </c>
      <c r="K366" s="105" t="str">
        <f t="shared" si="22"/>
        <v/>
      </c>
      <c r="L366" s="104" t="str">
        <f>IF(B366="","",VLOOKUP(B366&amp;F366&amp;H366,经纬!A:M,13,FALSE)*N366)</f>
        <v/>
      </c>
      <c r="M366" s="104" t="str">
        <f>IF(B366="","",VLOOKUP(B366&amp;F366&amp;H366,经纬!A:N,14,FALSE)*N366)</f>
        <v/>
      </c>
      <c r="R366" s="250" t="str">
        <f t="shared" si="23"/>
        <v/>
      </c>
    </row>
    <row r="367" spans="1:18">
      <c r="A367" s="4">
        <v>376</v>
      </c>
      <c r="C367" s="8" t="str">
        <f>IF(B367="","",VLOOKUP(B367,经纬!B:C,2,FALSE))</f>
        <v/>
      </c>
      <c r="D367" s="8" t="str">
        <f>IF(B367="","",VLOOKUP(B367,经纬!B:G,6,FALSE))</f>
        <v/>
      </c>
      <c r="E367" s="8" t="str">
        <f t="shared" si="20"/>
        <v/>
      </c>
      <c r="J367" s="105" t="str">
        <f t="shared" si="21"/>
        <v/>
      </c>
      <c r="K367" s="105" t="str">
        <f t="shared" si="22"/>
        <v/>
      </c>
      <c r="L367" s="104" t="str">
        <f>IF(B367="","",VLOOKUP(B367&amp;F367&amp;H367,经纬!A:M,13,FALSE)*N367)</f>
        <v/>
      </c>
      <c r="M367" s="104" t="str">
        <f>IF(B367="","",VLOOKUP(B367&amp;F367&amp;H367,经纬!A:N,14,FALSE)*N367)</f>
        <v/>
      </c>
      <c r="R367" s="250" t="str">
        <f t="shared" si="23"/>
        <v/>
      </c>
    </row>
    <row r="368" spans="1:18">
      <c r="A368" s="4">
        <v>377</v>
      </c>
      <c r="C368" s="8" t="str">
        <f>IF(B368="","",VLOOKUP(B368,经纬!B:C,2,FALSE))</f>
        <v/>
      </c>
      <c r="D368" s="8" t="str">
        <f>IF(B368="","",VLOOKUP(B368,经纬!B:G,6,FALSE))</f>
        <v/>
      </c>
      <c r="E368" s="8" t="str">
        <f t="shared" si="20"/>
        <v/>
      </c>
      <c r="J368" s="105" t="str">
        <f t="shared" si="21"/>
        <v/>
      </c>
      <c r="K368" s="105" t="str">
        <f t="shared" si="22"/>
        <v/>
      </c>
      <c r="L368" s="104" t="str">
        <f>IF(B368="","",VLOOKUP(B368&amp;F368&amp;H368,经纬!A:M,13,FALSE)*N368)</f>
        <v/>
      </c>
      <c r="M368" s="104" t="str">
        <f>IF(B368="","",VLOOKUP(B368&amp;F368&amp;H368,经纬!A:N,14,FALSE)*N368)</f>
        <v/>
      </c>
      <c r="R368" s="250" t="str">
        <f t="shared" si="23"/>
        <v/>
      </c>
    </row>
    <row r="369" spans="1:18">
      <c r="A369" s="4">
        <v>378</v>
      </c>
      <c r="C369" s="8" t="str">
        <f>IF(B369="","",VLOOKUP(B369,经纬!B:C,2,FALSE))</f>
        <v/>
      </c>
      <c r="D369" s="8" t="str">
        <f>IF(B369="","",VLOOKUP(B369,经纬!B:G,6,FALSE))</f>
        <v/>
      </c>
      <c r="E369" s="8" t="str">
        <f t="shared" si="20"/>
        <v/>
      </c>
      <c r="J369" s="105" t="str">
        <f t="shared" si="21"/>
        <v/>
      </c>
      <c r="K369" s="105" t="str">
        <f t="shared" si="22"/>
        <v/>
      </c>
      <c r="L369" s="104" t="str">
        <f>IF(B369="","",VLOOKUP(B369&amp;F369&amp;H369,经纬!A:M,13,FALSE)*N369)</f>
        <v/>
      </c>
      <c r="M369" s="104" t="str">
        <f>IF(B369="","",VLOOKUP(B369&amp;F369&amp;H369,经纬!A:N,14,FALSE)*N369)</f>
        <v/>
      </c>
      <c r="R369" s="250" t="str">
        <f t="shared" si="23"/>
        <v/>
      </c>
    </row>
    <row r="370" spans="1:18">
      <c r="A370" s="4">
        <v>379</v>
      </c>
      <c r="C370" s="8" t="str">
        <f>IF(B370="","",VLOOKUP(B370,经纬!B:C,2,FALSE))</f>
        <v/>
      </c>
      <c r="D370" s="8" t="str">
        <f>IF(B370="","",VLOOKUP(B370,经纬!B:G,6,FALSE))</f>
        <v/>
      </c>
      <c r="E370" s="8" t="str">
        <f t="shared" si="20"/>
        <v/>
      </c>
      <c r="J370" s="105" t="str">
        <f t="shared" si="21"/>
        <v/>
      </c>
      <c r="K370" s="105" t="str">
        <f t="shared" si="22"/>
        <v/>
      </c>
      <c r="L370" s="104" t="str">
        <f>IF(B370="","",VLOOKUP(B370&amp;F370&amp;H370,经纬!A:M,13,FALSE)*N370)</f>
        <v/>
      </c>
      <c r="M370" s="104" t="str">
        <f>IF(B370="","",VLOOKUP(B370&amp;F370&amp;H370,经纬!A:N,14,FALSE)*N370)</f>
        <v/>
      </c>
      <c r="R370" s="250" t="str">
        <f t="shared" si="23"/>
        <v/>
      </c>
    </row>
    <row r="371" spans="1:18">
      <c r="A371" s="4">
        <v>380</v>
      </c>
      <c r="C371" s="8" t="str">
        <f>IF(B371="","",VLOOKUP(B371,经纬!B:C,2,FALSE))</f>
        <v/>
      </c>
      <c r="D371" s="8" t="str">
        <f>IF(B371="","",VLOOKUP(B371,经纬!B:G,6,FALSE))</f>
        <v/>
      </c>
      <c r="E371" s="8" t="str">
        <f t="shared" si="20"/>
        <v/>
      </c>
      <c r="J371" s="105" t="str">
        <f t="shared" si="21"/>
        <v/>
      </c>
      <c r="K371" s="105" t="str">
        <f t="shared" si="22"/>
        <v/>
      </c>
      <c r="L371" s="104" t="str">
        <f>IF(B371="","",VLOOKUP(B371&amp;F371&amp;H371,经纬!A:M,13,FALSE)*N371)</f>
        <v/>
      </c>
      <c r="M371" s="104" t="str">
        <f>IF(B371="","",VLOOKUP(B371&amp;F371&amp;H371,经纬!A:N,14,FALSE)*N371)</f>
        <v/>
      </c>
      <c r="R371" s="250" t="str">
        <f t="shared" si="23"/>
        <v/>
      </c>
    </row>
    <row r="372" spans="1:18">
      <c r="A372" s="4">
        <v>381</v>
      </c>
      <c r="C372" s="8" t="str">
        <f>IF(B372="","",VLOOKUP(B372,经纬!B:C,2,FALSE))</f>
        <v/>
      </c>
      <c r="D372" s="8" t="str">
        <f>IF(B372="","",VLOOKUP(B372,经纬!B:G,6,FALSE))</f>
        <v/>
      </c>
      <c r="E372" s="8" t="str">
        <f t="shared" si="20"/>
        <v/>
      </c>
      <c r="J372" s="105" t="str">
        <f t="shared" si="21"/>
        <v/>
      </c>
      <c r="K372" s="105" t="str">
        <f t="shared" si="22"/>
        <v/>
      </c>
      <c r="L372" s="104" t="str">
        <f>IF(B372="","",VLOOKUP(B372&amp;F372&amp;H372,经纬!A:M,13,FALSE)*N372)</f>
        <v/>
      </c>
      <c r="M372" s="104" t="str">
        <f>IF(B372="","",VLOOKUP(B372&amp;F372&amp;H372,经纬!A:N,14,FALSE)*N372)</f>
        <v/>
      </c>
      <c r="R372" s="250" t="str">
        <f t="shared" si="23"/>
        <v/>
      </c>
    </row>
    <row r="373" spans="1:18">
      <c r="A373" s="4">
        <v>382</v>
      </c>
      <c r="C373" s="8" t="str">
        <f>IF(B373="","",VLOOKUP(B373,经纬!B:C,2,FALSE))</f>
        <v/>
      </c>
      <c r="D373" s="8" t="str">
        <f>IF(B373="","",VLOOKUP(B373,经纬!B:G,6,FALSE))</f>
        <v/>
      </c>
      <c r="E373" s="8" t="str">
        <f t="shared" si="20"/>
        <v/>
      </c>
      <c r="J373" s="105" t="str">
        <f t="shared" si="21"/>
        <v/>
      </c>
      <c r="K373" s="105" t="str">
        <f t="shared" si="22"/>
        <v/>
      </c>
      <c r="L373" s="104" t="str">
        <f>IF(B373="","",VLOOKUP(B373&amp;F373&amp;H373,经纬!A:M,13,FALSE)*N373)</f>
        <v/>
      </c>
      <c r="M373" s="104" t="str">
        <f>IF(B373="","",VLOOKUP(B373&amp;F373&amp;H373,经纬!A:N,14,FALSE)*N373)</f>
        <v/>
      </c>
      <c r="R373" s="250" t="str">
        <f t="shared" si="23"/>
        <v/>
      </c>
    </row>
    <row r="374" spans="1:18">
      <c r="A374" s="4">
        <v>383</v>
      </c>
      <c r="C374" s="8" t="str">
        <f>IF(B374="","",VLOOKUP(B374,经纬!B:C,2,FALSE))</f>
        <v/>
      </c>
      <c r="D374" s="8" t="str">
        <f>IF(B374="","",VLOOKUP(B374,经纬!B:G,6,FALSE))</f>
        <v/>
      </c>
      <c r="E374" s="8" t="str">
        <f t="shared" si="20"/>
        <v/>
      </c>
      <c r="J374" s="105" t="str">
        <f t="shared" si="21"/>
        <v/>
      </c>
      <c r="K374" s="105" t="str">
        <f t="shared" si="22"/>
        <v/>
      </c>
      <c r="L374" s="104" t="str">
        <f>IF(B374="","",VLOOKUP(B374&amp;F374&amp;H374,经纬!A:M,13,FALSE)*N374)</f>
        <v/>
      </c>
      <c r="M374" s="104" t="str">
        <f>IF(B374="","",VLOOKUP(B374&amp;F374&amp;H374,经纬!A:N,14,FALSE)*N374)</f>
        <v/>
      </c>
      <c r="R374" s="250" t="str">
        <f t="shared" si="23"/>
        <v/>
      </c>
    </row>
    <row r="375" spans="1:18">
      <c r="A375" s="4">
        <v>384</v>
      </c>
      <c r="C375" s="8" t="str">
        <f>IF(B375="","",VLOOKUP(B375,经纬!B:C,2,FALSE))</f>
        <v/>
      </c>
      <c r="D375" s="8" t="str">
        <f>IF(B375="","",VLOOKUP(B375,经纬!B:G,6,FALSE))</f>
        <v/>
      </c>
      <c r="E375" s="8" t="str">
        <f t="shared" si="20"/>
        <v/>
      </c>
      <c r="J375" s="105" t="str">
        <f t="shared" si="21"/>
        <v/>
      </c>
      <c r="K375" s="105" t="str">
        <f t="shared" si="22"/>
        <v/>
      </c>
      <c r="L375" s="104" t="str">
        <f>IF(B375="","",VLOOKUP(B375&amp;F375&amp;H375,经纬!A:M,13,FALSE)*N375)</f>
        <v/>
      </c>
      <c r="M375" s="104" t="str">
        <f>IF(B375="","",VLOOKUP(B375&amp;F375&amp;H375,经纬!A:N,14,FALSE)*N375)</f>
        <v/>
      </c>
      <c r="R375" s="250" t="str">
        <f t="shared" si="23"/>
        <v/>
      </c>
    </row>
    <row r="376" spans="1:18">
      <c r="A376" s="4">
        <v>385</v>
      </c>
      <c r="C376" s="8" t="str">
        <f>IF(B376="","",VLOOKUP(B376,经纬!B:C,2,FALSE))</f>
        <v/>
      </c>
      <c r="D376" s="8" t="str">
        <f>IF(B376="","",VLOOKUP(B376,经纬!B:G,6,FALSE))</f>
        <v/>
      </c>
      <c r="E376" s="8" t="str">
        <f t="shared" si="20"/>
        <v/>
      </c>
      <c r="J376" s="105" t="str">
        <f t="shared" si="21"/>
        <v/>
      </c>
      <c r="K376" s="105" t="str">
        <f t="shared" si="22"/>
        <v/>
      </c>
      <c r="L376" s="104" t="str">
        <f>IF(B376="","",VLOOKUP(B376&amp;F376&amp;H376,经纬!A:M,13,FALSE)*N376)</f>
        <v/>
      </c>
      <c r="M376" s="104" t="str">
        <f>IF(B376="","",VLOOKUP(B376&amp;F376&amp;H376,经纬!A:N,14,FALSE)*N376)</f>
        <v/>
      </c>
      <c r="R376" s="250" t="str">
        <f t="shared" si="23"/>
        <v/>
      </c>
    </row>
    <row r="377" spans="1:18">
      <c r="A377" s="4">
        <v>386</v>
      </c>
      <c r="C377" s="8" t="str">
        <f>IF(B377="","",VLOOKUP(B377,经纬!B:C,2,FALSE))</f>
        <v/>
      </c>
      <c r="D377" s="8" t="str">
        <f>IF(B377="","",VLOOKUP(B377,经纬!B:G,6,FALSE))</f>
        <v/>
      </c>
      <c r="E377" s="8" t="str">
        <f t="shared" si="20"/>
        <v/>
      </c>
      <c r="J377" s="105" t="str">
        <f t="shared" si="21"/>
        <v/>
      </c>
      <c r="K377" s="105" t="str">
        <f t="shared" si="22"/>
        <v/>
      </c>
      <c r="L377" s="104" t="str">
        <f>IF(B377="","",VLOOKUP(B377&amp;F377&amp;H377,经纬!A:M,13,FALSE)*N377)</f>
        <v/>
      </c>
      <c r="M377" s="104" t="str">
        <f>IF(B377="","",VLOOKUP(B377&amp;F377&amp;H377,经纬!A:N,14,FALSE)*N377)</f>
        <v/>
      </c>
      <c r="R377" s="250" t="str">
        <f t="shared" si="23"/>
        <v/>
      </c>
    </row>
    <row r="378" spans="1:18">
      <c r="A378" s="4">
        <v>387</v>
      </c>
      <c r="C378" s="8" t="str">
        <f>IF(B378="","",VLOOKUP(B378,经纬!B:C,2,FALSE))</f>
        <v/>
      </c>
      <c r="D378" s="8" t="str">
        <f>IF(B378="","",VLOOKUP(B378,经纬!B:G,6,FALSE))</f>
        <v/>
      </c>
      <c r="E378" s="8" t="str">
        <f t="shared" ref="E378:E441" si="24">IF(B378="","",MID(B378,LEN(C378),LEN(B378)-LEN(C378)-LEN(D378)+1))</f>
        <v/>
      </c>
      <c r="J378" s="105" t="str">
        <f t="shared" ref="J378:J441" si="25">IF(B378="","",LEFT(C378,FIND("*",C378)-1))</f>
        <v/>
      </c>
      <c r="K378" s="105" t="str">
        <f t="shared" ref="K378:K441" si="26">IF(B378="","",RIGHT(C378,LEN(C378)-LEN(J378)-1))</f>
        <v/>
      </c>
      <c r="L378" s="104" t="str">
        <f>IF(B378="","",VLOOKUP(B378&amp;F378&amp;H378,经纬!A:M,13,FALSE)*N378)</f>
        <v/>
      </c>
      <c r="M378" s="104" t="str">
        <f>IF(B378="","",VLOOKUP(B378&amp;F378&amp;H378,经纬!A:N,14,FALSE)*N378)</f>
        <v/>
      </c>
      <c r="R378" s="250" t="str">
        <f t="shared" si="23"/>
        <v/>
      </c>
    </row>
    <row r="379" spans="1:18">
      <c r="A379" s="4">
        <v>388</v>
      </c>
      <c r="C379" s="8" t="str">
        <f>IF(B379="","",VLOOKUP(B379,经纬!B:C,2,FALSE))</f>
        <v/>
      </c>
      <c r="D379" s="8" t="str">
        <f>IF(B379="","",VLOOKUP(B379,经纬!B:G,6,FALSE))</f>
        <v/>
      </c>
      <c r="E379" s="8" t="str">
        <f t="shared" si="24"/>
        <v/>
      </c>
      <c r="J379" s="105" t="str">
        <f t="shared" si="25"/>
        <v/>
      </c>
      <c r="K379" s="105" t="str">
        <f t="shared" si="26"/>
        <v/>
      </c>
      <c r="L379" s="104" t="str">
        <f>IF(B379="","",VLOOKUP(B379&amp;F379&amp;H379,经纬!A:M,13,FALSE)*N379)</f>
        <v/>
      </c>
      <c r="M379" s="104" t="str">
        <f>IF(B379="","",VLOOKUP(B379&amp;F379&amp;H379,经纬!A:N,14,FALSE)*N379)</f>
        <v/>
      </c>
      <c r="R379" s="250" t="str">
        <f t="shared" si="23"/>
        <v/>
      </c>
    </row>
    <row r="380" spans="1:18">
      <c r="A380" s="4">
        <v>389</v>
      </c>
      <c r="C380" s="8" t="str">
        <f>IF(B380="","",VLOOKUP(B380,经纬!B:C,2,FALSE))</f>
        <v/>
      </c>
      <c r="D380" s="8" t="str">
        <f>IF(B380="","",VLOOKUP(B380,经纬!B:G,6,FALSE))</f>
        <v/>
      </c>
      <c r="E380" s="8" t="str">
        <f t="shared" si="24"/>
        <v/>
      </c>
      <c r="J380" s="105" t="str">
        <f t="shared" si="25"/>
        <v/>
      </c>
      <c r="K380" s="105" t="str">
        <f t="shared" si="26"/>
        <v/>
      </c>
      <c r="L380" s="104" t="str">
        <f>IF(B380="","",VLOOKUP(B380&amp;F380&amp;H380,经纬!A:M,13,FALSE)*N380)</f>
        <v/>
      </c>
      <c r="M380" s="104" t="str">
        <f>IF(B380="","",VLOOKUP(B380&amp;F380&amp;H380,经纬!A:N,14,FALSE)*N380)</f>
        <v/>
      </c>
      <c r="R380" s="250" t="str">
        <f t="shared" si="23"/>
        <v/>
      </c>
    </row>
    <row r="381" spans="1:18">
      <c r="A381" s="4">
        <v>390</v>
      </c>
      <c r="C381" s="8" t="str">
        <f>IF(B381="","",VLOOKUP(B381,经纬!B:C,2,FALSE))</f>
        <v/>
      </c>
      <c r="D381" s="8" t="str">
        <f>IF(B381="","",VLOOKUP(B381,经纬!B:G,6,FALSE))</f>
        <v/>
      </c>
      <c r="E381" s="8" t="str">
        <f t="shared" si="24"/>
        <v/>
      </c>
      <c r="J381" s="105" t="str">
        <f t="shared" si="25"/>
        <v/>
      </c>
      <c r="K381" s="105" t="str">
        <f t="shared" si="26"/>
        <v/>
      </c>
      <c r="L381" s="104" t="str">
        <f>IF(B381="","",VLOOKUP(B381&amp;F381&amp;H381,经纬!A:M,13,FALSE)*N381)</f>
        <v/>
      </c>
      <c r="M381" s="104" t="str">
        <f>IF(B381="","",VLOOKUP(B381&amp;F381&amp;H381,经纬!A:N,14,FALSE)*N381)</f>
        <v/>
      </c>
      <c r="R381" s="250" t="str">
        <f t="shared" si="23"/>
        <v/>
      </c>
    </row>
    <row r="382" spans="1:18">
      <c r="A382" s="4">
        <v>391</v>
      </c>
      <c r="C382" s="8" t="str">
        <f>IF(B382="","",VLOOKUP(B382,经纬!B:C,2,FALSE))</f>
        <v/>
      </c>
      <c r="D382" s="8" t="str">
        <f>IF(B382="","",VLOOKUP(B382,经纬!B:G,6,FALSE))</f>
        <v/>
      </c>
      <c r="E382" s="8" t="str">
        <f t="shared" si="24"/>
        <v/>
      </c>
      <c r="J382" s="105" t="str">
        <f t="shared" si="25"/>
        <v/>
      </c>
      <c r="K382" s="105" t="str">
        <f t="shared" si="26"/>
        <v/>
      </c>
      <c r="L382" s="104" t="str">
        <f>IF(B382="","",VLOOKUP(B382&amp;F382&amp;H382,经纬!A:M,13,FALSE)*N382)</f>
        <v/>
      </c>
      <c r="M382" s="104" t="str">
        <f>IF(B382="","",VLOOKUP(B382&amp;F382&amp;H382,经纬!A:N,14,FALSE)*N382)</f>
        <v/>
      </c>
      <c r="R382" s="250" t="str">
        <f t="shared" si="23"/>
        <v/>
      </c>
    </row>
    <row r="383" spans="1:18">
      <c r="A383" s="4">
        <v>392</v>
      </c>
      <c r="C383" s="8" t="str">
        <f>IF(B383="","",VLOOKUP(B383,经纬!B:C,2,FALSE))</f>
        <v/>
      </c>
      <c r="D383" s="8" t="str">
        <f>IF(B383="","",VLOOKUP(B383,经纬!B:G,6,FALSE))</f>
        <v/>
      </c>
      <c r="E383" s="8" t="str">
        <f t="shared" si="24"/>
        <v/>
      </c>
      <c r="J383" s="105" t="str">
        <f t="shared" si="25"/>
        <v/>
      </c>
      <c r="K383" s="105" t="str">
        <f t="shared" si="26"/>
        <v/>
      </c>
      <c r="L383" s="104" t="str">
        <f>IF(B383="","",VLOOKUP(B383&amp;F383&amp;H383,经纬!A:M,13,FALSE)*N383)</f>
        <v/>
      </c>
      <c r="M383" s="104" t="str">
        <f>IF(B383="","",VLOOKUP(B383&amp;F383&amp;H383,经纬!A:N,14,FALSE)*N383)</f>
        <v/>
      </c>
      <c r="R383" s="250" t="str">
        <f t="shared" si="23"/>
        <v/>
      </c>
    </row>
    <row r="384" spans="1:18">
      <c r="A384" s="4">
        <v>393</v>
      </c>
      <c r="C384" s="8" t="str">
        <f>IF(B384="","",VLOOKUP(B384,经纬!B:C,2,FALSE))</f>
        <v/>
      </c>
      <c r="D384" s="8" t="str">
        <f>IF(B384="","",VLOOKUP(B384,经纬!B:G,6,FALSE))</f>
        <v/>
      </c>
      <c r="E384" s="8" t="str">
        <f t="shared" si="24"/>
        <v/>
      </c>
      <c r="J384" s="105" t="str">
        <f t="shared" si="25"/>
        <v/>
      </c>
      <c r="K384" s="105" t="str">
        <f t="shared" si="26"/>
        <v/>
      </c>
      <c r="L384" s="104" t="str">
        <f>IF(B384="","",VLOOKUP(B384&amp;F384&amp;H384,经纬!A:M,13,FALSE)*N384)</f>
        <v/>
      </c>
      <c r="M384" s="104" t="str">
        <f>IF(B384="","",VLOOKUP(B384&amp;F384&amp;H384,经纬!A:N,14,FALSE)*N384)</f>
        <v/>
      </c>
      <c r="R384" s="250" t="str">
        <f t="shared" si="23"/>
        <v/>
      </c>
    </row>
    <row r="385" spans="1:18">
      <c r="A385" s="4">
        <v>394</v>
      </c>
      <c r="C385" s="8" t="str">
        <f>IF(B385="","",VLOOKUP(B385,经纬!B:C,2,FALSE))</f>
        <v/>
      </c>
      <c r="D385" s="8" t="str">
        <f>IF(B385="","",VLOOKUP(B385,经纬!B:G,6,FALSE))</f>
        <v/>
      </c>
      <c r="E385" s="8" t="str">
        <f t="shared" si="24"/>
        <v/>
      </c>
      <c r="J385" s="105" t="str">
        <f t="shared" si="25"/>
        <v/>
      </c>
      <c r="K385" s="105" t="str">
        <f t="shared" si="26"/>
        <v/>
      </c>
      <c r="L385" s="104" t="str">
        <f>IF(B385="","",VLOOKUP(B385&amp;F385&amp;H385,经纬!A:M,13,FALSE)*N385)</f>
        <v/>
      </c>
      <c r="M385" s="104" t="str">
        <f>IF(B385="","",VLOOKUP(B385&amp;F385&amp;H385,经纬!A:N,14,FALSE)*N385)</f>
        <v/>
      </c>
      <c r="R385" s="250" t="str">
        <f t="shared" si="23"/>
        <v/>
      </c>
    </row>
    <row r="386" spans="1:18">
      <c r="A386" s="4">
        <v>395</v>
      </c>
      <c r="C386" s="8" t="str">
        <f>IF(B386="","",VLOOKUP(B386,经纬!B:C,2,FALSE))</f>
        <v/>
      </c>
      <c r="D386" s="8" t="str">
        <f>IF(B386="","",VLOOKUP(B386,经纬!B:G,6,FALSE))</f>
        <v/>
      </c>
      <c r="E386" s="8" t="str">
        <f t="shared" si="24"/>
        <v/>
      </c>
      <c r="J386" s="105" t="str">
        <f t="shared" si="25"/>
        <v/>
      </c>
      <c r="K386" s="105" t="str">
        <f t="shared" si="26"/>
        <v/>
      </c>
      <c r="L386" s="104" t="str">
        <f>IF(B386="","",VLOOKUP(B386&amp;F386&amp;H386,经纬!A:M,13,FALSE)*N386)</f>
        <v/>
      </c>
      <c r="M386" s="104" t="str">
        <f>IF(B386="","",VLOOKUP(B386&amp;F386&amp;H386,经纬!A:N,14,FALSE)*N386)</f>
        <v/>
      </c>
      <c r="R386" s="250" t="str">
        <f t="shared" si="23"/>
        <v/>
      </c>
    </row>
    <row r="387" spans="1:18">
      <c r="A387" s="4">
        <v>396</v>
      </c>
      <c r="C387" s="8" t="str">
        <f>IF(B387="","",VLOOKUP(B387,经纬!B:C,2,FALSE))</f>
        <v/>
      </c>
      <c r="D387" s="8" t="str">
        <f>IF(B387="","",VLOOKUP(B387,经纬!B:G,6,FALSE))</f>
        <v/>
      </c>
      <c r="E387" s="8" t="str">
        <f t="shared" si="24"/>
        <v/>
      </c>
      <c r="J387" s="105" t="str">
        <f t="shared" si="25"/>
        <v/>
      </c>
      <c r="K387" s="105" t="str">
        <f t="shared" si="26"/>
        <v/>
      </c>
      <c r="L387" s="104" t="str">
        <f>IF(B387="","",VLOOKUP(B387&amp;F387&amp;H387,经纬!A:M,13,FALSE)*N387)</f>
        <v/>
      </c>
      <c r="M387" s="104" t="str">
        <f>IF(B387="","",VLOOKUP(B387&amp;F387&amp;H387,经纬!A:N,14,FALSE)*N387)</f>
        <v/>
      </c>
      <c r="R387" s="250" t="str">
        <f t="shared" ref="R387:R450" si="27">IF(B387="","",MONTH(I387))</f>
        <v/>
      </c>
    </row>
    <row r="388" spans="1:18">
      <c r="A388" s="4">
        <v>397</v>
      </c>
      <c r="C388" s="8" t="str">
        <f>IF(B388="","",VLOOKUP(B388,经纬!B:C,2,FALSE))</f>
        <v/>
      </c>
      <c r="D388" s="8" t="str">
        <f>IF(B388="","",VLOOKUP(B388,经纬!B:G,6,FALSE))</f>
        <v/>
      </c>
      <c r="E388" s="8" t="str">
        <f t="shared" si="24"/>
        <v/>
      </c>
      <c r="J388" s="105" t="str">
        <f t="shared" si="25"/>
        <v/>
      </c>
      <c r="K388" s="105" t="str">
        <f t="shared" si="26"/>
        <v/>
      </c>
      <c r="L388" s="104" t="str">
        <f>IF(B388="","",VLOOKUP(B388&amp;F388&amp;H388,经纬!A:M,13,FALSE)*N388)</f>
        <v/>
      </c>
      <c r="M388" s="104" t="str">
        <f>IF(B388="","",VLOOKUP(B388&amp;F388&amp;H388,经纬!A:N,14,FALSE)*N388)</f>
        <v/>
      </c>
      <c r="R388" s="250" t="str">
        <f t="shared" si="27"/>
        <v/>
      </c>
    </row>
    <row r="389" spans="1:18">
      <c r="A389" s="4">
        <v>398</v>
      </c>
      <c r="C389" s="8" t="str">
        <f>IF(B389="","",VLOOKUP(B389,经纬!B:C,2,FALSE))</f>
        <v/>
      </c>
      <c r="D389" s="8" t="str">
        <f>IF(B389="","",VLOOKUP(B389,经纬!B:G,6,FALSE))</f>
        <v/>
      </c>
      <c r="E389" s="8" t="str">
        <f t="shared" si="24"/>
        <v/>
      </c>
      <c r="J389" s="105" t="str">
        <f t="shared" si="25"/>
        <v/>
      </c>
      <c r="K389" s="105" t="str">
        <f t="shared" si="26"/>
        <v/>
      </c>
      <c r="L389" s="104" t="str">
        <f>IF(B389="","",VLOOKUP(B389&amp;F389&amp;H389,经纬!A:M,13,FALSE)*N389)</f>
        <v/>
      </c>
      <c r="M389" s="104" t="str">
        <f>IF(B389="","",VLOOKUP(B389&amp;F389&amp;H389,经纬!A:N,14,FALSE)*N389)</f>
        <v/>
      </c>
      <c r="R389" s="250" t="str">
        <f t="shared" si="27"/>
        <v/>
      </c>
    </row>
    <row r="390" spans="1:18">
      <c r="A390" s="4">
        <v>399</v>
      </c>
      <c r="C390" s="8" t="str">
        <f>IF(B390="","",VLOOKUP(B390,经纬!B:C,2,FALSE))</f>
        <v/>
      </c>
      <c r="D390" s="8" t="str">
        <f>IF(B390="","",VLOOKUP(B390,经纬!B:G,6,FALSE))</f>
        <v/>
      </c>
      <c r="E390" s="8" t="str">
        <f t="shared" si="24"/>
        <v/>
      </c>
      <c r="J390" s="105" t="str">
        <f t="shared" si="25"/>
        <v/>
      </c>
      <c r="K390" s="105" t="str">
        <f t="shared" si="26"/>
        <v/>
      </c>
      <c r="L390" s="104" t="str">
        <f>IF(B390="","",VLOOKUP(B390&amp;F390&amp;H390,经纬!A:M,13,FALSE)*N390)</f>
        <v/>
      </c>
      <c r="M390" s="104" t="str">
        <f>IF(B390="","",VLOOKUP(B390&amp;F390&amp;H390,经纬!A:N,14,FALSE)*N390)</f>
        <v/>
      </c>
      <c r="R390" s="250" t="str">
        <f t="shared" si="27"/>
        <v/>
      </c>
    </row>
    <row r="391" spans="1:18">
      <c r="A391" s="4">
        <v>400</v>
      </c>
      <c r="C391" s="8" t="str">
        <f>IF(B391="","",VLOOKUP(B391,经纬!B:C,2,FALSE))</f>
        <v/>
      </c>
      <c r="D391" s="8" t="str">
        <f>IF(B391="","",VLOOKUP(B391,经纬!B:G,6,FALSE))</f>
        <v/>
      </c>
      <c r="E391" s="8" t="str">
        <f t="shared" si="24"/>
        <v/>
      </c>
      <c r="J391" s="105" t="str">
        <f t="shared" si="25"/>
        <v/>
      </c>
      <c r="K391" s="105" t="str">
        <f t="shared" si="26"/>
        <v/>
      </c>
      <c r="L391" s="104" t="str">
        <f>IF(B391="","",VLOOKUP(B391&amp;F391&amp;H391,经纬!A:M,13,FALSE)*N391)</f>
        <v/>
      </c>
      <c r="M391" s="104" t="str">
        <f>IF(B391="","",VLOOKUP(B391&amp;F391&amp;H391,经纬!A:N,14,FALSE)*N391)</f>
        <v/>
      </c>
      <c r="R391" s="250" t="str">
        <f t="shared" si="27"/>
        <v/>
      </c>
    </row>
    <row r="392" spans="1:18">
      <c r="A392" s="4">
        <v>401</v>
      </c>
      <c r="C392" s="8" t="str">
        <f>IF(B392="","",VLOOKUP(B392,经纬!B:C,2,FALSE))</f>
        <v/>
      </c>
      <c r="D392" s="8" t="str">
        <f>IF(B392="","",VLOOKUP(B392,经纬!B:G,6,FALSE))</f>
        <v/>
      </c>
      <c r="E392" s="8" t="str">
        <f t="shared" si="24"/>
        <v/>
      </c>
      <c r="J392" s="105" t="str">
        <f t="shared" si="25"/>
        <v/>
      </c>
      <c r="K392" s="105" t="str">
        <f t="shared" si="26"/>
        <v/>
      </c>
      <c r="L392" s="104" t="str">
        <f>IF(B392="","",VLOOKUP(B392&amp;F392&amp;H392,经纬!A:M,13,FALSE)*N392)</f>
        <v/>
      </c>
      <c r="M392" s="104" t="str">
        <f>IF(B392="","",VLOOKUP(B392&amp;F392&amp;H392,经纬!A:N,14,FALSE)*N392)</f>
        <v/>
      </c>
      <c r="R392" s="250" t="str">
        <f t="shared" si="27"/>
        <v/>
      </c>
    </row>
    <row r="393" spans="1:18">
      <c r="A393" s="4">
        <v>402</v>
      </c>
      <c r="C393" s="8" t="str">
        <f>IF(B393="","",VLOOKUP(B393,经纬!B:C,2,FALSE))</f>
        <v/>
      </c>
      <c r="D393" s="8" t="str">
        <f>IF(B393="","",VLOOKUP(B393,经纬!B:G,6,FALSE))</f>
        <v/>
      </c>
      <c r="E393" s="8" t="str">
        <f t="shared" si="24"/>
        <v/>
      </c>
      <c r="J393" s="105" t="str">
        <f t="shared" si="25"/>
        <v/>
      </c>
      <c r="K393" s="105" t="str">
        <f t="shared" si="26"/>
        <v/>
      </c>
      <c r="L393" s="104" t="str">
        <f>IF(B393="","",VLOOKUP(B393&amp;F393&amp;H393,经纬!A:M,13,FALSE)*N393)</f>
        <v/>
      </c>
      <c r="M393" s="104" t="str">
        <f>IF(B393="","",VLOOKUP(B393&amp;F393&amp;H393,经纬!A:N,14,FALSE)*N393)</f>
        <v/>
      </c>
      <c r="R393" s="250" t="str">
        <f t="shared" si="27"/>
        <v/>
      </c>
    </row>
    <row r="394" spans="1:18">
      <c r="A394" s="4">
        <v>403</v>
      </c>
      <c r="C394" s="8" t="str">
        <f>IF(B394="","",VLOOKUP(B394,经纬!B:C,2,FALSE))</f>
        <v/>
      </c>
      <c r="D394" s="8" t="str">
        <f>IF(B394="","",VLOOKUP(B394,经纬!B:G,6,FALSE))</f>
        <v/>
      </c>
      <c r="E394" s="8" t="str">
        <f t="shared" si="24"/>
        <v/>
      </c>
      <c r="J394" s="105" t="str">
        <f t="shared" si="25"/>
        <v/>
      </c>
      <c r="K394" s="105" t="str">
        <f t="shared" si="26"/>
        <v/>
      </c>
      <c r="L394" s="104" t="str">
        <f>IF(B394="","",VLOOKUP(B394&amp;F394&amp;H394,经纬!A:M,13,FALSE)*N394)</f>
        <v/>
      </c>
      <c r="M394" s="104" t="str">
        <f>IF(B394="","",VLOOKUP(B394&amp;F394&amp;H394,经纬!A:N,14,FALSE)*N394)</f>
        <v/>
      </c>
      <c r="R394" s="250" t="str">
        <f t="shared" si="27"/>
        <v/>
      </c>
    </row>
    <row r="395" spans="1:18">
      <c r="A395" s="4">
        <v>404</v>
      </c>
      <c r="C395" s="8" t="str">
        <f>IF(B395="","",VLOOKUP(B395,经纬!B:C,2,FALSE))</f>
        <v/>
      </c>
      <c r="D395" s="8" t="str">
        <f>IF(B395="","",VLOOKUP(B395,经纬!B:G,6,FALSE))</f>
        <v/>
      </c>
      <c r="E395" s="8" t="str">
        <f t="shared" si="24"/>
        <v/>
      </c>
      <c r="J395" s="105" t="str">
        <f t="shared" si="25"/>
        <v/>
      </c>
      <c r="K395" s="105" t="str">
        <f t="shared" si="26"/>
        <v/>
      </c>
      <c r="L395" s="104" t="str">
        <f>IF(B395="","",VLOOKUP(B395&amp;F395&amp;H395,经纬!A:M,13,FALSE)*N395)</f>
        <v/>
      </c>
      <c r="M395" s="104" t="str">
        <f>IF(B395="","",VLOOKUP(B395&amp;F395&amp;H395,经纬!A:N,14,FALSE)*N395)</f>
        <v/>
      </c>
      <c r="R395" s="250" t="str">
        <f t="shared" si="27"/>
        <v/>
      </c>
    </row>
    <row r="396" spans="1:18">
      <c r="A396" s="4">
        <v>405</v>
      </c>
      <c r="C396" s="8" t="str">
        <f>IF(B396="","",VLOOKUP(B396,经纬!B:C,2,FALSE))</f>
        <v/>
      </c>
      <c r="D396" s="8" t="str">
        <f>IF(B396="","",VLOOKUP(B396,经纬!B:G,6,FALSE))</f>
        <v/>
      </c>
      <c r="E396" s="8" t="str">
        <f t="shared" si="24"/>
        <v/>
      </c>
      <c r="J396" s="105" t="str">
        <f t="shared" si="25"/>
        <v/>
      </c>
      <c r="K396" s="105" t="str">
        <f t="shared" si="26"/>
        <v/>
      </c>
      <c r="L396" s="104" t="str">
        <f>IF(B396="","",VLOOKUP(B396&amp;F396&amp;H396,经纬!A:M,13,FALSE)*N396)</f>
        <v/>
      </c>
      <c r="M396" s="104" t="str">
        <f>IF(B396="","",VLOOKUP(B396&amp;F396&amp;H396,经纬!A:N,14,FALSE)*N396)</f>
        <v/>
      </c>
      <c r="R396" s="250" t="str">
        <f t="shared" si="27"/>
        <v/>
      </c>
    </row>
    <row r="397" spans="1:18">
      <c r="A397" s="4">
        <v>406</v>
      </c>
      <c r="C397" s="8" t="str">
        <f>IF(B397="","",VLOOKUP(B397,经纬!B:C,2,FALSE))</f>
        <v/>
      </c>
      <c r="D397" s="8" t="str">
        <f>IF(B397="","",VLOOKUP(B397,经纬!B:G,6,FALSE))</f>
        <v/>
      </c>
      <c r="E397" s="8" t="str">
        <f t="shared" si="24"/>
        <v/>
      </c>
      <c r="J397" s="105" t="str">
        <f t="shared" si="25"/>
        <v/>
      </c>
      <c r="K397" s="105" t="str">
        <f t="shared" si="26"/>
        <v/>
      </c>
      <c r="L397" s="104" t="str">
        <f>IF(B397="","",VLOOKUP(B397&amp;F397&amp;H397,经纬!A:M,13,FALSE)*N397)</f>
        <v/>
      </c>
      <c r="M397" s="104" t="str">
        <f>IF(B397="","",VLOOKUP(B397&amp;F397&amp;H397,经纬!A:N,14,FALSE)*N397)</f>
        <v/>
      </c>
      <c r="R397" s="250" t="str">
        <f t="shared" si="27"/>
        <v/>
      </c>
    </row>
    <row r="398" spans="1:18">
      <c r="A398" s="4">
        <v>407</v>
      </c>
      <c r="C398" s="8" t="str">
        <f>IF(B398="","",VLOOKUP(B398,经纬!B:C,2,FALSE))</f>
        <v/>
      </c>
      <c r="D398" s="8" t="str">
        <f>IF(B398="","",VLOOKUP(B398,经纬!B:G,6,FALSE))</f>
        <v/>
      </c>
      <c r="E398" s="8" t="str">
        <f t="shared" si="24"/>
        <v/>
      </c>
      <c r="J398" s="105" t="str">
        <f t="shared" si="25"/>
        <v/>
      </c>
      <c r="K398" s="105" t="str">
        <f t="shared" si="26"/>
        <v/>
      </c>
      <c r="L398" s="104" t="str">
        <f>IF(B398="","",VLOOKUP(B398&amp;F398&amp;H398,经纬!A:M,13,FALSE)*N398)</f>
        <v/>
      </c>
      <c r="M398" s="104" t="str">
        <f>IF(B398="","",VLOOKUP(B398&amp;F398&amp;H398,经纬!A:N,14,FALSE)*N398)</f>
        <v/>
      </c>
      <c r="R398" s="250" t="str">
        <f t="shared" si="27"/>
        <v/>
      </c>
    </row>
    <row r="399" spans="1:18">
      <c r="A399" s="4">
        <v>408</v>
      </c>
      <c r="C399" s="8" t="str">
        <f>IF(B399="","",VLOOKUP(B399,经纬!B:C,2,FALSE))</f>
        <v/>
      </c>
      <c r="D399" s="8" t="str">
        <f>IF(B399="","",VLOOKUP(B399,经纬!B:G,6,FALSE))</f>
        <v/>
      </c>
      <c r="E399" s="8" t="str">
        <f t="shared" si="24"/>
        <v/>
      </c>
      <c r="J399" s="105" t="str">
        <f t="shared" si="25"/>
        <v/>
      </c>
      <c r="K399" s="105" t="str">
        <f t="shared" si="26"/>
        <v/>
      </c>
      <c r="L399" s="104" t="str">
        <f>IF(B399="","",VLOOKUP(B399&amp;F399&amp;H399,经纬!A:M,13,FALSE)*N399)</f>
        <v/>
      </c>
      <c r="M399" s="104" t="str">
        <f>IF(B399="","",VLOOKUP(B399&amp;F399&amp;H399,经纬!A:N,14,FALSE)*N399)</f>
        <v/>
      </c>
      <c r="R399" s="250" t="str">
        <f t="shared" si="27"/>
        <v/>
      </c>
    </row>
    <row r="400" spans="1:18">
      <c r="A400" s="4">
        <v>409</v>
      </c>
      <c r="C400" s="8" t="str">
        <f>IF(B400="","",VLOOKUP(B400,经纬!B:C,2,FALSE))</f>
        <v/>
      </c>
      <c r="D400" s="8" t="str">
        <f>IF(B400="","",VLOOKUP(B400,经纬!B:G,6,FALSE))</f>
        <v/>
      </c>
      <c r="E400" s="8" t="str">
        <f t="shared" si="24"/>
        <v/>
      </c>
      <c r="J400" s="105" t="str">
        <f t="shared" si="25"/>
        <v/>
      </c>
      <c r="K400" s="105" t="str">
        <f t="shared" si="26"/>
        <v/>
      </c>
      <c r="L400" s="104" t="str">
        <f>IF(B400="","",VLOOKUP(B400&amp;F400&amp;H400,经纬!A:M,13,FALSE)*N400)</f>
        <v/>
      </c>
      <c r="M400" s="104" t="str">
        <f>IF(B400="","",VLOOKUP(B400&amp;F400&amp;H400,经纬!A:N,14,FALSE)*N400)</f>
        <v/>
      </c>
      <c r="R400" s="250" t="str">
        <f t="shared" si="27"/>
        <v/>
      </c>
    </row>
    <row r="401" spans="1:18">
      <c r="A401" s="4">
        <v>410</v>
      </c>
      <c r="C401" s="8" t="str">
        <f>IF(B401="","",VLOOKUP(B401,经纬!B:C,2,FALSE))</f>
        <v/>
      </c>
      <c r="D401" s="8" t="str">
        <f>IF(B401="","",VLOOKUP(B401,经纬!B:G,6,FALSE))</f>
        <v/>
      </c>
      <c r="E401" s="8" t="str">
        <f t="shared" si="24"/>
        <v/>
      </c>
      <c r="J401" s="105" t="str">
        <f t="shared" si="25"/>
        <v/>
      </c>
      <c r="K401" s="105" t="str">
        <f t="shared" si="26"/>
        <v/>
      </c>
      <c r="L401" s="104" t="str">
        <f>IF(B401="","",VLOOKUP(B401&amp;F401&amp;H401,经纬!A:M,13,FALSE)*N401)</f>
        <v/>
      </c>
      <c r="M401" s="104" t="str">
        <f>IF(B401="","",VLOOKUP(B401&amp;F401&amp;H401,经纬!A:N,14,FALSE)*N401)</f>
        <v/>
      </c>
      <c r="R401" s="250" t="str">
        <f t="shared" si="27"/>
        <v/>
      </c>
    </row>
    <row r="402" spans="1:18">
      <c r="A402" s="4">
        <v>411</v>
      </c>
      <c r="C402" s="8" t="str">
        <f>IF(B402="","",VLOOKUP(B402,经纬!B:C,2,FALSE))</f>
        <v/>
      </c>
      <c r="D402" s="8" t="str">
        <f>IF(B402="","",VLOOKUP(B402,经纬!B:G,6,FALSE))</f>
        <v/>
      </c>
      <c r="E402" s="8" t="str">
        <f t="shared" si="24"/>
        <v/>
      </c>
      <c r="J402" s="105" t="str">
        <f t="shared" si="25"/>
        <v/>
      </c>
      <c r="K402" s="105" t="str">
        <f t="shared" si="26"/>
        <v/>
      </c>
      <c r="L402" s="104" t="str">
        <f>IF(B402="","",VLOOKUP(B402&amp;F402&amp;H402,经纬!A:M,13,FALSE)*N402)</f>
        <v/>
      </c>
      <c r="M402" s="104" t="str">
        <f>IF(B402="","",VLOOKUP(B402&amp;F402&amp;H402,经纬!A:N,14,FALSE)*N402)</f>
        <v/>
      </c>
      <c r="R402" s="250" t="str">
        <f t="shared" si="27"/>
        <v/>
      </c>
    </row>
    <row r="403" spans="1:18">
      <c r="A403" s="4">
        <v>412</v>
      </c>
      <c r="C403" s="8" t="str">
        <f>IF(B403="","",VLOOKUP(B403,经纬!B:C,2,FALSE))</f>
        <v/>
      </c>
      <c r="D403" s="8" t="str">
        <f>IF(B403="","",VLOOKUP(B403,经纬!B:G,6,FALSE))</f>
        <v/>
      </c>
      <c r="E403" s="8" t="str">
        <f t="shared" si="24"/>
        <v/>
      </c>
      <c r="J403" s="105" t="str">
        <f t="shared" si="25"/>
        <v/>
      </c>
      <c r="K403" s="105" t="str">
        <f t="shared" si="26"/>
        <v/>
      </c>
      <c r="L403" s="104" t="str">
        <f>IF(B403="","",VLOOKUP(B403&amp;F403&amp;H403,经纬!A:M,13,FALSE)*N403)</f>
        <v/>
      </c>
      <c r="M403" s="104" t="str">
        <f>IF(B403="","",VLOOKUP(B403&amp;F403&amp;H403,经纬!A:N,14,FALSE)*N403)</f>
        <v/>
      </c>
      <c r="R403" s="250" t="str">
        <f t="shared" si="27"/>
        <v/>
      </c>
    </row>
    <row r="404" spans="1:18">
      <c r="A404" s="4">
        <v>413</v>
      </c>
      <c r="C404" s="8" t="str">
        <f>IF(B404="","",VLOOKUP(B404,经纬!B:C,2,FALSE))</f>
        <v/>
      </c>
      <c r="D404" s="8" t="str">
        <f>IF(B404="","",VLOOKUP(B404,经纬!B:G,6,FALSE))</f>
        <v/>
      </c>
      <c r="E404" s="8" t="str">
        <f t="shared" si="24"/>
        <v/>
      </c>
      <c r="J404" s="105" t="str">
        <f t="shared" si="25"/>
        <v/>
      </c>
      <c r="K404" s="105" t="str">
        <f t="shared" si="26"/>
        <v/>
      </c>
      <c r="L404" s="104" t="str">
        <f>IF(B404="","",VLOOKUP(B404&amp;F404&amp;H404,经纬!A:M,13,FALSE)*N404)</f>
        <v/>
      </c>
      <c r="M404" s="104" t="str">
        <f>IF(B404="","",VLOOKUP(B404&amp;F404&amp;H404,经纬!A:N,14,FALSE)*N404)</f>
        <v/>
      </c>
      <c r="R404" s="250" t="str">
        <f t="shared" si="27"/>
        <v/>
      </c>
    </row>
    <row r="405" spans="1:18">
      <c r="A405" s="4">
        <v>414</v>
      </c>
      <c r="C405" s="8" t="str">
        <f>IF(B405="","",VLOOKUP(B405,经纬!B:C,2,FALSE))</f>
        <v/>
      </c>
      <c r="D405" s="8" t="str">
        <f>IF(B405="","",VLOOKUP(B405,经纬!B:G,6,FALSE))</f>
        <v/>
      </c>
      <c r="E405" s="8" t="str">
        <f t="shared" si="24"/>
        <v/>
      </c>
      <c r="J405" s="105" t="str">
        <f t="shared" si="25"/>
        <v/>
      </c>
      <c r="K405" s="105" t="str">
        <f t="shared" si="26"/>
        <v/>
      </c>
      <c r="L405" s="104" t="str">
        <f>IF(B405="","",VLOOKUP(B405&amp;F405&amp;H405,经纬!A:M,13,FALSE)*N405)</f>
        <v/>
      </c>
      <c r="M405" s="104" t="str">
        <f>IF(B405="","",VLOOKUP(B405&amp;F405&amp;H405,经纬!A:N,14,FALSE)*N405)</f>
        <v/>
      </c>
      <c r="R405" s="250" t="str">
        <f t="shared" si="27"/>
        <v/>
      </c>
    </row>
    <row r="406" spans="1:18">
      <c r="A406" s="4">
        <v>415</v>
      </c>
      <c r="C406" s="8" t="str">
        <f>IF(B406="","",VLOOKUP(B406,经纬!B:C,2,FALSE))</f>
        <v/>
      </c>
      <c r="D406" s="8" t="str">
        <f>IF(B406="","",VLOOKUP(B406,经纬!B:G,6,FALSE))</f>
        <v/>
      </c>
      <c r="E406" s="8" t="str">
        <f t="shared" si="24"/>
        <v/>
      </c>
      <c r="J406" s="105" t="str">
        <f t="shared" si="25"/>
        <v/>
      </c>
      <c r="K406" s="105" t="str">
        <f t="shared" si="26"/>
        <v/>
      </c>
      <c r="L406" s="104" t="str">
        <f>IF(B406="","",VLOOKUP(B406&amp;F406&amp;H406,经纬!A:M,13,FALSE)*N406)</f>
        <v/>
      </c>
      <c r="M406" s="104" t="str">
        <f>IF(B406="","",VLOOKUP(B406&amp;F406&amp;H406,经纬!A:N,14,FALSE)*N406)</f>
        <v/>
      </c>
      <c r="R406" s="250" t="str">
        <f t="shared" si="27"/>
        <v/>
      </c>
    </row>
    <row r="407" spans="1:18">
      <c r="A407" s="4">
        <v>416</v>
      </c>
      <c r="C407" s="8" t="str">
        <f>IF(B407="","",VLOOKUP(B407,经纬!B:C,2,FALSE))</f>
        <v/>
      </c>
      <c r="D407" s="8" t="str">
        <f>IF(B407="","",VLOOKUP(B407,经纬!B:G,6,FALSE))</f>
        <v/>
      </c>
      <c r="E407" s="8" t="str">
        <f t="shared" si="24"/>
        <v/>
      </c>
      <c r="J407" s="105" t="str">
        <f t="shared" si="25"/>
        <v/>
      </c>
      <c r="K407" s="105" t="str">
        <f t="shared" si="26"/>
        <v/>
      </c>
      <c r="L407" s="104" t="str">
        <f>IF(B407="","",VLOOKUP(B407&amp;F407&amp;H407,经纬!A:M,13,FALSE)*N407)</f>
        <v/>
      </c>
      <c r="M407" s="104" t="str">
        <f>IF(B407="","",VLOOKUP(B407&amp;F407&amp;H407,经纬!A:N,14,FALSE)*N407)</f>
        <v/>
      </c>
      <c r="R407" s="250" t="str">
        <f t="shared" si="27"/>
        <v/>
      </c>
    </row>
    <row r="408" spans="1:18">
      <c r="A408" s="4">
        <v>417</v>
      </c>
      <c r="C408" s="8" t="str">
        <f>IF(B408="","",VLOOKUP(B408,经纬!B:C,2,FALSE))</f>
        <v/>
      </c>
      <c r="D408" s="8" t="str">
        <f>IF(B408="","",VLOOKUP(B408,经纬!B:G,6,FALSE))</f>
        <v/>
      </c>
      <c r="E408" s="8" t="str">
        <f t="shared" si="24"/>
        <v/>
      </c>
      <c r="J408" s="105" t="str">
        <f t="shared" si="25"/>
        <v/>
      </c>
      <c r="K408" s="105" t="str">
        <f t="shared" si="26"/>
        <v/>
      </c>
      <c r="L408" s="104" t="str">
        <f>IF(B408="","",VLOOKUP(B408&amp;F408&amp;H408,经纬!A:M,13,FALSE)*N408)</f>
        <v/>
      </c>
      <c r="M408" s="104" t="str">
        <f>IF(B408="","",VLOOKUP(B408&amp;F408&amp;H408,经纬!A:N,14,FALSE)*N408)</f>
        <v/>
      </c>
      <c r="R408" s="250" t="str">
        <f t="shared" si="27"/>
        <v/>
      </c>
    </row>
    <row r="409" spans="1:18">
      <c r="A409" s="4">
        <v>418</v>
      </c>
      <c r="C409" s="8" t="str">
        <f>IF(B409="","",VLOOKUP(B409,经纬!B:C,2,FALSE))</f>
        <v/>
      </c>
      <c r="D409" s="8" t="str">
        <f>IF(B409="","",VLOOKUP(B409,经纬!B:G,6,FALSE))</f>
        <v/>
      </c>
      <c r="E409" s="8" t="str">
        <f t="shared" si="24"/>
        <v/>
      </c>
      <c r="J409" s="105" t="str">
        <f t="shared" si="25"/>
        <v/>
      </c>
      <c r="K409" s="105" t="str">
        <f t="shared" si="26"/>
        <v/>
      </c>
      <c r="L409" s="104" t="str">
        <f>IF(B409="","",VLOOKUP(B409&amp;F409&amp;H409,经纬!A:M,13,FALSE)*N409)</f>
        <v/>
      </c>
      <c r="M409" s="104" t="str">
        <f>IF(B409="","",VLOOKUP(B409&amp;F409&amp;H409,经纬!A:N,14,FALSE)*N409)</f>
        <v/>
      </c>
      <c r="R409" s="250" t="str">
        <f t="shared" si="27"/>
        <v/>
      </c>
    </row>
    <row r="410" spans="1:18">
      <c r="A410" s="4">
        <v>419</v>
      </c>
      <c r="C410" s="8" t="str">
        <f>IF(B410="","",VLOOKUP(B410,经纬!B:C,2,FALSE))</f>
        <v/>
      </c>
      <c r="D410" s="8" t="str">
        <f>IF(B410="","",VLOOKUP(B410,经纬!B:G,6,FALSE))</f>
        <v/>
      </c>
      <c r="E410" s="8" t="str">
        <f t="shared" si="24"/>
        <v/>
      </c>
      <c r="J410" s="105" t="str">
        <f t="shared" si="25"/>
        <v/>
      </c>
      <c r="K410" s="105" t="str">
        <f t="shared" si="26"/>
        <v/>
      </c>
      <c r="L410" s="104" t="str">
        <f>IF(B410="","",VLOOKUP(B410&amp;F410&amp;H410,经纬!A:M,13,FALSE)*N410)</f>
        <v/>
      </c>
      <c r="M410" s="104" t="str">
        <f>IF(B410="","",VLOOKUP(B410&amp;F410&amp;H410,经纬!A:N,14,FALSE)*N410)</f>
        <v/>
      </c>
      <c r="R410" s="250" t="str">
        <f t="shared" si="27"/>
        <v/>
      </c>
    </row>
    <row r="411" spans="1:18">
      <c r="A411" s="4">
        <v>420</v>
      </c>
      <c r="C411" s="8" t="str">
        <f>IF(B411="","",VLOOKUP(B411,经纬!B:C,2,FALSE))</f>
        <v/>
      </c>
      <c r="D411" s="8" t="str">
        <f>IF(B411="","",VLOOKUP(B411,经纬!B:G,6,FALSE))</f>
        <v/>
      </c>
      <c r="E411" s="8" t="str">
        <f t="shared" si="24"/>
        <v/>
      </c>
      <c r="J411" s="105" t="str">
        <f t="shared" si="25"/>
        <v/>
      </c>
      <c r="K411" s="105" t="str">
        <f t="shared" si="26"/>
        <v/>
      </c>
      <c r="L411" s="104" t="str">
        <f>IF(B411="","",VLOOKUP(B411&amp;F411&amp;H411,经纬!A:M,13,FALSE)*N411)</f>
        <v/>
      </c>
      <c r="M411" s="104" t="str">
        <f>IF(B411="","",VLOOKUP(B411&amp;F411&amp;H411,经纬!A:N,14,FALSE)*N411)</f>
        <v/>
      </c>
      <c r="R411" s="250" t="str">
        <f t="shared" si="27"/>
        <v/>
      </c>
    </row>
    <row r="412" spans="1:18">
      <c r="A412" s="4">
        <v>421</v>
      </c>
      <c r="C412" s="8" t="str">
        <f>IF(B412="","",VLOOKUP(B412,经纬!B:C,2,FALSE))</f>
        <v/>
      </c>
      <c r="D412" s="8" t="str">
        <f>IF(B412="","",VLOOKUP(B412,经纬!B:G,6,FALSE))</f>
        <v/>
      </c>
      <c r="E412" s="8" t="str">
        <f t="shared" si="24"/>
        <v/>
      </c>
      <c r="J412" s="105" t="str">
        <f t="shared" si="25"/>
        <v/>
      </c>
      <c r="K412" s="105" t="str">
        <f t="shared" si="26"/>
        <v/>
      </c>
      <c r="L412" s="104" t="str">
        <f>IF(B412="","",VLOOKUP(B412&amp;F412&amp;H412,经纬!A:M,13,FALSE)*N412)</f>
        <v/>
      </c>
      <c r="M412" s="104" t="str">
        <f>IF(B412="","",VLOOKUP(B412&amp;F412&amp;H412,经纬!A:N,14,FALSE)*N412)</f>
        <v/>
      </c>
      <c r="R412" s="250" t="str">
        <f t="shared" si="27"/>
        <v/>
      </c>
    </row>
    <row r="413" spans="1:18">
      <c r="A413" s="4">
        <v>422</v>
      </c>
      <c r="C413" s="8" t="str">
        <f>IF(B413="","",VLOOKUP(B413,经纬!B:C,2,FALSE))</f>
        <v/>
      </c>
      <c r="D413" s="8" t="str">
        <f>IF(B413="","",VLOOKUP(B413,经纬!B:G,6,FALSE))</f>
        <v/>
      </c>
      <c r="E413" s="8" t="str">
        <f t="shared" si="24"/>
        <v/>
      </c>
      <c r="J413" s="105" t="str">
        <f t="shared" si="25"/>
        <v/>
      </c>
      <c r="K413" s="105" t="str">
        <f t="shared" si="26"/>
        <v/>
      </c>
      <c r="L413" s="104" t="str">
        <f>IF(B413="","",VLOOKUP(B413&amp;F413&amp;H413,经纬!A:M,13,FALSE)*N413)</f>
        <v/>
      </c>
      <c r="M413" s="104" t="str">
        <f>IF(B413="","",VLOOKUP(B413&amp;F413&amp;H413,经纬!A:N,14,FALSE)*N413)</f>
        <v/>
      </c>
      <c r="R413" s="250" t="str">
        <f t="shared" si="27"/>
        <v/>
      </c>
    </row>
    <row r="414" spans="1:18">
      <c r="A414" s="4">
        <v>423</v>
      </c>
      <c r="C414" s="8" t="str">
        <f>IF(B414="","",VLOOKUP(B414,经纬!B:C,2,FALSE))</f>
        <v/>
      </c>
      <c r="D414" s="8" t="str">
        <f>IF(B414="","",VLOOKUP(B414,经纬!B:G,6,FALSE))</f>
        <v/>
      </c>
      <c r="E414" s="8" t="str">
        <f t="shared" si="24"/>
        <v/>
      </c>
      <c r="J414" s="105" t="str">
        <f t="shared" si="25"/>
        <v/>
      </c>
      <c r="K414" s="105" t="str">
        <f t="shared" si="26"/>
        <v/>
      </c>
      <c r="L414" s="104" t="str">
        <f>IF(B414="","",VLOOKUP(B414&amp;F414&amp;H414,经纬!A:M,13,FALSE)*N414)</f>
        <v/>
      </c>
      <c r="M414" s="104" t="str">
        <f>IF(B414="","",VLOOKUP(B414&amp;F414&amp;H414,经纬!A:N,14,FALSE)*N414)</f>
        <v/>
      </c>
      <c r="R414" s="250" t="str">
        <f t="shared" si="27"/>
        <v/>
      </c>
    </row>
    <row r="415" spans="1:18">
      <c r="A415" s="4">
        <v>424</v>
      </c>
      <c r="C415" s="8" t="str">
        <f>IF(B415="","",VLOOKUP(B415,经纬!B:C,2,FALSE))</f>
        <v/>
      </c>
      <c r="D415" s="8" t="str">
        <f>IF(B415="","",VLOOKUP(B415,经纬!B:G,6,FALSE))</f>
        <v/>
      </c>
      <c r="E415" s="8" t="str">
        <f t="shared" si="24"/>
        <v/>
      </c>
      <c r="J415" s="105" t="str">
        <f t="shared" si="25"/>
        <v/>
      </c>
      <c r="K415" s="105" t="str">
        <f t="shared" si="26"/>
        <v/>
      </c>
      <c r="L415" s="104" t="str">
        <f>IF(B415="","",VLOOKUP(B415&amp;F415&amp;H415,经纬!A:M,13,FALSE)*N415)</f>
        <v/>
      </c>
      <c r="M415" s="104" t="str">
        <f>IF(B415="","",VLOOKUP(B415&amp;F415&amp;H415,经纬!A:N,14,FALSE)*N415)</f>
        <v/>
      </c>
      <c r="R415" s="250" t="str">
        <f t="shared" si="27"/>
        <v/>
      </c>
    </row>
    <row r="416" spans="1:18">
      <c r="A416" s="4">
        <v>425</v>
      </c>
      <c r="C416" s="8" t="str">
        <f>IF(B416="","",VLOOKUP(B416,经纬!B:C,2,FALSE))</f>
        <v/>
      </c>
      <c r="D416" s="8" t="str">
        <f>IF(B416="","",VLOOKUP(B416,经纬!B:G,6,FALSE))</f>
        <v/>
      </c>
      <c r="E416" s="8" t="str">
        <f t="shared" si="24"/>
        <v/>
      </c>
      <c r="J416" s="105" t="str">
        <f t="shared" si="25"/>
        <v/>
      </c>
      <c r="K416" s="105" t="str">
        <f t="shared" si="26"/>
        <v/>
      </c>
      <c r="L416" s="104" t="str">
        <f>IF(B416="","",VLOOKUP(B416&amp;F416&amp;H416,经纬!A:M,13,FALSE)*N416)</f>
        <v/>
      </c>
      <c r="M416" s="104" t="str">
        <f>IF(B416="","",VLOOKUP(B416&amp;F416&amp;H416,经纬!A:N,14,FALSE)*N416)</f>
        <v/>
      </c>
      <c r="R416" s="250" t="str">
        <f t="shared" si="27"/>
        <v/>
      </c>
    </row>
    <row r="417" spans="1:18">
      <c r="A417" s="4">
        <v>426</v>
      </c>
      <c r="C417" s="8" t="str">
        <f>IF(B417="","",VLOOKUP(B417,经纬!B:C,2,FALSE))</f>
        <v/>
      </c>
      <c r="D417" s="8" t="str">
        <f>IF(B417="","",VLOOKUP(B417,经纬!B:G,6,FALSE))</f>
        <v/>
      </c>
      <c r="E417" s="8" t="str">
        <f t="shared" si="24"/>
        <v/>
      </c>
      <c r="J417" s="105" t="str">
        <f t="shared" si="25"/>
        <v/>
      </c>
      <c r="K417" s="105" t="str">
        <f t="shared" si="26"/>
        <v/>
      </c>
      <c r="L417" s="104" t="str">
        <f>IF(B417="","",VLOOKUP(B417&amp;F417&amp;H417,经纬!A:M,13,FALSE)*N417)</f>
        <v/>
      </c>
      <c r="M417" s="104" t="str">
        <f>IF(B417="","",VLOOKUP(B417&amp;F417&amp;H417,经纬!A:N,14,FALSE)*N417)</f>
        <v/>
      </c>
      <c r="R417" s="250" t="str">
        <f t="shared" si="27"/>
        <v/>
      </c>
    </row>
    <row r="418" spans="1:18">
      <c r="A418" s="4">
        <v>427</v>
      </c>
      <c r="C418" s="8" t="str">
        <f>IF(B418="","",VLOOKUP(B418,经纬!B:C,2,FALSE))</f>
        <v/>
      </c>
      <c r="D418" s="8" t="str">
        <f>IF(B418="","",VLOOKUP(B418,经纬!B:G,6,FALSE))</f>
        <v/>
      </c>
      <c r="E418" s="8" t="str">
        <f t="shared" si="24"/>
        <v/>
      </c>
      <c r="J418" s="105" t="str">
        <f t="shared" si="25"/>
        <v/>
      </c>
      <c r="K418" s="105" t="str">
        <f t="shared" si="26"/>
        <v/>
      </c>
      <c r="L418" s="104" t="str">
        <f>IF(B418="","",VLOOKUP(B418&amp;F418&amp;H418,经纬!A:M,13,FALSE)*N418)</f>
        <v/>
      </c>
      <c r="M418" s="104" t="str">
        <f>IF(B418="","",VLOOKUP(B418&amp;F418&amp;H418,经纬!A:N,14,FALSE)*N418)</f>
        <v/>
      </c>
      <c r="R418" s="250" t="str">
        <f t="shared" si="27"/>
        <v/>
      </c>
    </row>
    <row r="419" spans="1:18">
      <c r="A419" s="4">
        <v>428</v>
      </c>
      <c r="C419" s="8" t="str">
        <f>IF(B419="","",VLOOKUP(B419,经纬!B:C,2,FALSE))</f>
        <v/>
      </c>
      <c r="D419" s="8" t="str">
        <f>IF(B419="","",VLOOKUP(B419,经纬!B:G,6,FALSE))</f>
        <v/>
      </c>
      <c r="E419" s="8" t="str">
        <f t="shared" si="24"/>
        <v/>
      </c>
      <c r="J419" s="105" t="str">
        <f t="shared" si="25"/>
        <v/>
      </c>
      <c r="K419" s="105" t="str">
        <f t="shared" si="26"/>
        <v/>
      </c>
      <c r="L419" s="104" t="str">
        <f>IF(B419="","",VLOOKUP(B419&amp;F419&amp;H419,经纬!A:M,13,FALSE)*N419)</f>
        <v/>
      </c>
      <c r="M419" s="104" t="str">
        <f>IF(B419="","",VLOOKUP(B419&amp;F419&amp;H419,经纬!A:N,14,FALSE)*N419)</f>
        <v/>
      </c>
      <c r="R419" s="250" t="str">
        <f t="shared" si="27"/>
        <v/>
      </c>
    </row>
    <row r="420" spans="1:18">
      <c r="A420" s="4">
        <v>429</v>
      </c>
      <c r="C420" s="8" t="str">
        <f>IF(B420="","",VLOOKUP(B420,经纬!B:C,2,FALSE))</f>
        <v/>
      </c>
      <c r="D420" s="8" t="str">
        <f>IF(B420="","",VLOOKUP(B420,经纬!B:G,6,FALSE))</f>
        <v/>
      </c>
      <c r="E420" s="8" t="str">
        <f t="shared" si="24"/>
        <v/>
      </c>
      <c r="J420" s="105" t="str">
        <f t="shared" si="25"/>
        <v/>
      </c>
      <c r="K420" s="105" t="str">
        <f t="shared" si="26"/>
        <v/>
      </c>
      <c r="L420" s="104" t="str">
        <f>IF(B420="","",VLOOKUP(B420&amp;F420&amp;H420,经纬!A:M,13,FALSE)*N420)</f>
        <v/>
      </c>
      <c r="M420" s="104" t="str">
        <f>IF(B420="","",VLOOKUP(B420&amp;F420&amp;H420,经纬!A:N,14,FALSE)*N420)</f>
        <v/>
      </c>
      <c r="R420" s="250" t="str">
        <f t="shared" si="27"/>
        <v/>
      </c>
    </row>
    <row r="421" spans="1:18">
      <c r="A421" s="4">
        <v>430</v>
      </c>
      <c r="C421" s="8" t="str">
        <f>IF(B421="","",VLOOKUP(B421,经纬!B:C,2,FALSE))</f>
        <v/>
      </c>
      <c r="D421" s="8" t="str">
        <f>IF(B421="","",VLOOKUP(B421,经纬!B:G,6,FALSE))</f>
        <v/>
      </c>
      <c r="E421" s="8" t="str">
        <f t="shared" si="24"/>
        <v/>
      </c>
      <c r="J421" s="105" t="str">
        <f t="shared" si="25"/>
        <v/>
      </c>
      <c r="K421" s="105" t="str">
        <f t="shared" si="26"/>
        <v/>
      </c>
      <c r="L421" s="104" t="str">
        <f>IF(B421="","",VLOOKUP(B421&amp;F421&amp;H421,经纬!A:M,13,FALSE)*N421)</f>
        <v/>
      </c>
      <c r="M421" s="104" t="str">
        <f>IF(B421="","",VLOOKUP(B421&amp;F421&amp;H421,经纬!A:N,14,FALSE)*N421)</f>
        <v/>
      </c>
      <c r="R421" s="250" t="str">
        <f t="shared" si="27"/>
        <v/>
      </c>
    </row>
    <row r="422" spans="1:18">
      <c r="A422" s="4">
        <v>431</v>
      </c>
      <c r="C422" s="8" t="str">
        <f>IF(B422="","",VLOOKUP(B422,经纬!B:C,2,FALSE))</f>
        <v/>
      </c>
      <c r="D422" s="8" t="str">
        <f>IF(B422="","",VLOOKUP(B422,经纬!B:G,6,FALSE))</f>
        <v/>
      </c>
      <c r="E422" s="8" t="str">
        <f t="shared" si="24"/>
        <v/>
      </c>
      <c r="J422" s="105" t="str">
        <f t="shared" si="25"/>
        <v/>
      </c>
      <c r="K422" s="105" t="str">
        <f t="shared" si="26"/>
        <v/>
      </c>
      <c r="L422" s="104" t="str">
        <f>IF(B422="","",VLOOKUP(B422&amp;F422&amp;H422,经纬!A:M,13,FALSE)*N422)</f>
        <v/>
      </c>
      <c r="M422" s="104" t="str">
        <f>IF(B422="","",VLOOKUP(B422&amp;F422&amp;H422,经纬!A:N,14,FALSE)*N422)</f>
        <v/>
      </c>
      <c r="R422" s="250" t="str">
        <f t="shared" si="27"/>
        <v/>
      </c>
    </row>
    <row r="423" spans="1:18">
      <c r="A423" s="4">
        <v>432</v>
      </c>
      <c r="C423" s="8" t="str">
        <f>IF(B423="","",VLOOKUP(B423,经纬!B:C,2,FALSE))</f>
        <v/>
      </c>
      <c r="D423" s="8" t="str">
        <f>IF(B423="","",VLOOKUP(B423,经纬!B:G,6,FALSE))</f>
        <v/>
      </c>
      <c r="E423" s="8" t="str">
        <f t="shared" si="24"/>
        <v/>
      </c>
      <c r="J423" s="105" t="str">
        <f t="shared" si="25"/>
        <v/>
      </c>
      <c r="K423" s="105" t="str">
        <f t="shared" si="26"/>
        <v/>
      </c>
      <c r="L423" s="104" t="str">
        <f>IF(B423="","",VLOOKUP(B423&amp;F423&amp;H423,经纬!A:M,13,FALSE)*N423)</f>
        <v/>
      </c>
      <c r="M423" s="104" t="str">
        <f>IF(B423="","",VLOOKUP(B423&amp;F423&amp;H423,经纬!A:N,14,FALSE)*N423)</f>
        <v/>
      </c>
      <c r="R423" s="250" t="str">
        <f t="shared" si="27"/>
        <v/>
      </c>
    </row>
    <row r="424" spans="1:18">
      <c r="A424" s="4">
        <v>433</v>
      </c>
      <c r="C424" s="8" t="str">
        <f>IF(B424="","",VLOOKUP(B424,经纬!B:C,2,FALSE))</f>
        <v/>
      </c>
      <c r="D424" s="8" t="str">
        <f>IF(B424="","",VLOOKUP(B424,经纬!B:G,6,FALSE))</f>
        <v/>
      </c>
      <c r="E424" s="8" t="str">
        <f t="shared" si="24"/>
        <v/>
      </c>
      <c r="J424" s="105" t="str">
        <f t="shared" si="25"/>
        <v/>
      </c>
      <c r="K424" s="105" t="str">
        <f t="shared" si="26"/>
        <v/>
      </c>
      <c r="L424" s="104" t="str">
        <f>IF(B424="","",VLOOKUP(B424&amp;F424&amp;H424,经纬!A:M,13,FALSE)*N424)</f>
        <v/>
      </c>
      <c r="M424" s="104" t="str">
        <f>IF(B424="","",VLOOKUP(B424&amp;F424&amp;H424,经纬!A:N,14,FALSE)*N424)</f>
        <v/>
      </c>
      <c r="R424" s="250" t="str">
        <f t="shared" si="27"/>
        <v/>
      </c>
    </row>
    <row r="425" spans="1:18">
      <c r="A425" s="4">
        <v>434</v>
      </c>
      <c r="C425" s="8" t="str">
        <f>IF(B425="","",VLOOKUP(B425,经纬!B:C,2,FALSE))</f>
        <v/>
      </c>
      <c r="D425" s="8" t="str">
        <f>IF(B425="","",VLOOKUP(B425,经纬!B:G,6,FALSE))</f>
        <v/>
      </c>
      <c r="E425" s="8" t="str">
        <f t="shared" si="24"/>
        <v/>
      </c>
      <c r="J425" s="105" t="str">
        <f t="shared" si="25"/>
        <v/>
      </c>
      <c r="K425" s="105" t="str">
        <f t="shared" si="26"/>
        <v/>
      </c>
      <c r="L425" s="104" t="str">
        <f>IF(B425="","",VLOOKUP(B425&amp;F425&amp;H425,经纬!A:M,13,FALSE)*N425)</f>
        <v/>
      </c>
      <c r="M425" s="104" t="str">
        <f>IF(B425="","",VLOOKUP(B425&amp;F425&amp;H425,经纬!A:N,14,FALSE)*N425)</f>
        <v/>
      </c>
      <c r="R425" s="250" t="str">
        <f t="shared" si="27"/>
        <v/>
      </c>
    </row>
    <row r="426" spans="1:18">
      <c r="A426" s="4">
        <v>435</v>
      </c>
      <c r="C426" s="8" t="str">
        <f>IF(B426="","",VLOOKUP(B426,经纬!B:C,2,FALSE))</f>
        <v/>
      </c>
      <c r="D426" s="8" t="str">
        <f>IF(B426="","",VLOOKUP(B426,经纬!B:G,6,FALSE))</f>
        <v/>
      </c>
      <c r="E426" s="8" t="str">
        <f t="shared" si="24"/>
        <v/>
      </c>
      <c r="J426" s="105" t="str">
        <f t="shared" si="25"/>
        <v/>
      </c>
      <c r="K426" s="105" t="str">
        <f t="shared" si="26"/>
        <v/>
      </c>
      <c r="L426" s="104" t="str">
        <f>IF(B426="","",VLOOKUP(B426&amp;F426&amp;H426,经纬!A:M,13,FALSE)*N426)</f>
        <v/>
      </c>
      <c r="M426" s="104" t="str">
        <f>IF(B426="","",VLOOKUP(B426&amp;F426&amp;H426,经纬!A:N,14,FALSE)*N426)</f>
        <v/>
      </c>
      <c r="R426" s="250" t="str">
        <f t="shared" si="27"/>
        <v/>
      </c>
    </row>
    <row r="427" spans="1:18">
      <c r="A427" s="4">
        <v>436</v>
      </c>
      <c r="C427" s="8" t="str">
        <f>IF(B427="","",VLOOKUP(B427,经纬!B:C,2,FALSE))</f>
        <v/>
      </c>
      <c r="D427" s="8" t="str">
        <f>IF(B427="","",VLOOKUP(B427,经纬!B:G,6,FALSE))</f>
        <v/>
      </c>
      <c r="E427" s="8" t="str">
        <f t="shared" si="24"/>
        <v/>
      </c>
      <c r="J427" s="105" t="str">
        <f t="shared" si="25"/>
        <v/>
      </c>
      <c r="K427" s="105" t="str">
        <f t="shared" si="26"/>
        <v/>
      </c>
      <c r="L427" s="104" t="str">
        <f>IF(B427="","",VLOOKUP(B427&amp;F427&amp;H427,经纬!A:M,13,FALSE)*N427)</f>
        <v/>
      </c>
      <c r="M427" s="104" t="str">
        <f>IF(B427="","",VLOOKUP(B427&amp;F427&amp;H427,经纬!A:N,14,FALSE)*N427)</f>
        <v/>
      </c>
      <c r="R427" s="250" t="str">
        <f t="shared" si="27"/>
        <v/>
      </c>
    </row>
    <row r="428" spans="1:18">
      <c r="A428" s="4">
        <v>437</v>
      </c>
      <c r="C428" s="8" t="str">
        <f>IF(B428="","",VLOOKUP(B428,经纬!B:C,2,FALSE))</f>
        <v/>
      </c>
      <c r="D428" s="8" t="str">
        <f>IF(B428="","",VLOOKUP(B428,经纬!B:G,6,FALSE))</f>
        <v/>
      </c>
      <c r="E428" s="8" t="str">
        <f t="shared" si="24"/>
        <v/>
      </c>
      <c r="J428" s="105" t="str">
        <f t="shared" si="25"/>
        <v/>
      </c>
      <c r="K428" s="105" t="str">
        <f t="shared" si="26"/>
        <v/>
      </c>
      <c r="L428" s="104" t="str">
        <f>IF(B428="","",VLOOKUP(B428&amp;F428&amp;H428,经纬!A:M,13,FALSE)*N428)</f>
        <v/>
      </c>
      <c r="M428" s="104" t="str">
        <f>IF(B428="","",VLOOKUP(B428&amp;F428&amp;H428,经纬!A:N,14,FALSE)*N428)</f>
        <v/>
      </c>
      <c r="R428" s="250" t="str">
        <f t="shared" si="27"/>
        <v/>
      </c>
    </row>
    <row r="429" spans="1:18">
      <c r="A429" s="4">
        <v>438</v>
      </c>
      <c r="C429" s="8" t="str">
        <f>IF(B429="","",VLOOKUP(B429,经纬!B:C,2,FALSE))</f>
        <v/>
      </c>
      <c r="D429" s="8" t="str">
        <f>IF(B429="","",VLOOKUP(B429,经纬!B:G,6,FALSE))</f>
        <v/>
      </c>
      <c r="E429" s="8" t="str">
        <f t="shared" si="24"/>
        <v/>
      </c>
      <c r="J429" s="105" t="str">
        <f t="shared" si="25"/>
        <v/>
      </c>
      <c r="K429" s="105" t="str">
        <f t="shared" si="26"/>
        <v/>
      </c>
      <c r="L429" s="104" t="str">
        <f>IF(B429="","",VLOOKUP(B429&amp;F429&amp;H429,经纬!A:M,13,FALSE)*N429)</f>
        <v/>
      </c>
      <c r="M429" s="104" t="str">
        <f>IF(B429="","",VLOOKUP(B429&amp;F429&amp;H429,经纬!A:N,14,FALSE)*N429)</f>
        <v/>
      </c>
      <c r="R429" s="250" t="str">
        <f t="shared" si="27"/>
        <v/>
      </c>
    </row>
    <row r="430" spans="1:18">
      <c r="A430" s="4">
        <v>439</v>
      </c>
      <c r="C430" s="8" t="str">
        <f>IF(B430="","",VLOOKUP(B430,经纬!B:C,2,FALSE))</f>
        <v/>
      </c>
      <c r="D430" s="8" t="str">
        <f>IF(B430="","",VLOOKUP(B430,经纬!B:G,6,FALSE))</f>
        <v/>
      </c>
      <c r="E430" s="8" t="str">
        <f t="shared" si="24"/>
        <v/>
      </c>
      <c r="J430" s="105" t="str">
        <f t="shared" si="25"/>
        <v/>
      </c>
      <c r="K430" s="105" t="str">
        <f t="shared" si="26"/>
        <v/>
      </c>
      <c r="L430" s="104" t="str">
        <f>IF(B430="","",VLOOKUP(B430&amp;F430&amp;H430,经纬!A:M,13,FALSE)*N430)</f>
        <v/>
      </c>
      <c r="M430" s="104" t="str">
        <f>IF(B430="","",VLOOKUP(B430&amp;F430&amp;H430,经纬!A:N,14,FALSE)*N430)</f>
        <v/>
      </c>
      <c r="R430" s="250" t="str">
        <f t="shared" si="27"/>
        <v/>
      </c>
    </row>
    <row r="431" spans="1:18">
      <c r="A431" s="4">
        <v>440</v>
      </c>
      <c r="C431" s="8" t="str">
        <f>IF(B431="","",VLOOKUP(B431,经纬!B:C,2,FALSE))</f>
        <v/>
      </c>
      <c r="D431" s="8" t="str">
        <f>IF(B431="","",VLOOKUP(B431,经纬!B:G,6,FALSE))</f>
        <v/>
      </c>
      <c r="E431" s="8" t="str">
        <f t="shared" si="24"/>
        <v/>
      </c>
      <c r="J431" s="105" t="str">
        <f t="shared" si="25"/>
        <v/>
      </c>
      <c r="K431" s="105" t="str">
        <f t="shared" si="26"/>
        <v/>
      </c>
      <c r="L431" s="104" t="str">
        <f>IF(B431="","",VLOOKUP(B431&amp;F431&amp;H431,经纬!A:M,13,FALSE)*N431)</f>
        <v/>
      </c>
      <c r="M431" s="104" t="str">
        <f>IF(B431="","",VLOOKUP(B431&amp;F431&amp;H431,经纬!A:N,14,FALSE)*N431)</f>
        <v/>
      </c>
      <c r="R431" s="250" t="str">
        <f t="shared" si="27"/>
        <v/>
      </c>
    </row>
    <row r="432" spans="1:18">
      <c r="A432" s="4">
        <v>441</v>
      </c>
      <c r="C432" s="8" t="str">
        <f>IF(B432="","",VLOOKUP(B432,经纬!B:C,2,FALSE))</f>
        <v/>
      </c>
      <c r="D432" s="8" t="str">
        <f>IF(B432="","",VLOOKUP(B432,经纬!B:G,6,FALSE))</f>
        <v/>
      </c>
      <c r="E432" s="8" t="str">
        <f t="shared" si="24"/>
        <v/>
      </c>
      <c r="J432" s="105" t="str">
        <f t="shared" si="25"/>
        <v/>
      </c>
      <c r="K432" s="105" t="str">
        <f t="shared" si="26"/>
        <v/>
      </c>
      <c r="L432" s="104" t="str">
        <f>IF(B432="","",VLOOKUP(B432&amp;F432&amp;H432,经纬!A:M,13,FALSE)*N432)</f>
        <v/>
      </c>
      <c r="M432" s="104" t="str">
        <f>IF(B432="","",VLOOKUP(B432&amp;F432&amp;H432,经纬!A:N,14,FALSE)*N432)</f>
        <v/>
      </c>
      <c r="R432" s="250" t="str">
        <f t="shared" si="27"/>
        <v/>
      </c>
    </row>
    <row r="433" spans="1:18">
      <c r="A433" s="4">
        <v>442</v>
      </c>
      <c r="C433" s="8" t="str">
        <f>IF(B433="","",VLOOKUP(B433,经纬!B:C,2,FALSE))</f>
        <v/>
      </c>
      <c r="D433" s="8" t="str">
        <f>IF(B433="","",VLOOKUP(B433,经纬!B:G,6,FALSE))</f>
        <v/>
      </c>
      <c r="E433" s="8" t="str">
        <f t="shared" si="24"/>
        <v/>
      </c>
      <c r="J433" s="105" t="str">
        <f t="shared" si="25"/>
        <v/>
      </c>
      <c r="K433" s="105" t="str">
        <f t="shared" si="26"/>
        <v/>
      </c>
      <c r="L433" s="104" t="str">
        <f>IF(B433="","",VLOOKUP(B433&amp;F433&amp;H433,经纬!A:M,13,FALSE)*N433)</f>
        <v/>
      </c>
      <c r="M433" s="104" t="str">
        <f>IF(B433="","",VLOOKUP(B433&amp;F433&amp;H433,经纬!A:N,14,FALSE)*N433)</f>
        <v/>
      </c>
      <c r="R433" s="250" t="str">
        <f t="shared" si="27"/>
        <v/>
      </c>
    </row>
    <row r="434" spans="1:18">
      <c r="A434" s="4">
        <v>443</v>
      </c>
      <c r="C434" s="8" t="str">
        <f>IF(B434="","",VLOOKUP(B434,经纬!B:C,2,FALSE))</f>
        <v/>
      </c>
      <c r="D434" s="8" t="str">
        <f>IF(B434="","",VLOOKUP(B434,经纬!B:G,6,FALSE))</f>
        <v/>
      </c>
      <c r="E434" s="8" t="str">
        <f t="shared" si="24"/>
        <v/>
      </c>
      <c r="J434" s="105" t="str">
        <f t="shared" si="25"/>
        <v/>
      </c>
      <c r="K434" s="105" t="str">
        <f t="shared" si="26"/>
        <v/>
      </c>
      <c r="L434" s="104" t="str">
        <f>IF(B434="","",VLOOKUP(B434&amp;F434&amp;H434,经纬!A:M,13,FALSE)*N434)</f>
        <v/>
      </c>
      <c r="M434" s="104" t="str">
        <f>IF(B434="","",VLOOKUP(B434&amp;F434&amp;H434,经纬!A:N,14,FALSE)*N434)</f>
        <v/>
      </c>
      <c r="R434" s="250" t="str">
        <f t="shared" si="27"/>
        <v/>
      </c>
    </row>
    <row r="435" spans="1:18">
      <c r="A435" s="4">
        <v>444</v>
      </c>
      <c r="C435" s="8" t="str">
        <f>IF(B435="","",VLOOKUP(B435,经纬!B:C,2,FALSE))</f>
        <v/>
      </c>
      <c r="D435" s="8" t="str">
        <f>IF(B435="","",VLOOKUP(B435,经纬!B:G,6,FALSE))</f>
        <v/>
      </c>
      <c r="E435" s="8" t="str">
        <f t="shared" si="24"/>
        <v/>
      </c>
      <c r="J435" s="105" t="str">
        <f t="shared" si="25"/>
        <v/>
      </c>
      <c r="K435" s="105" t="str">
        <f t="shared" si="26"/>
        <v/>
      </c>
      <c r="L435" s="104" t="str">
        <f>IF(B435="","",VLOOKUP(B435&amp;F435&amp;H435,经纬!A:M,13,FALSE)*N435)</f>
        <v/>
      </c>
      <c r="M435" s="104" t="str">
        <f>IF(B435="","",VLOOKUP(B435&amp;F435&amp;H435,经纬!A:N,14,FALSE)*N435)</f>
        <v/>
      </c>
      <c r="R435" s="250" t="str">
        <f t="shared" si="27"/>
        <v/>
      </c>
    </row>
    <row r="436" spans="1:18">
      <c r="A436" s="4">
        <v>445</v>
      </c>
      <c r="C436" s="8" t="str">
        <f>IF(B436="","",VLOOKUP(B436,经纬!B:C,2,FALSE))</f>
        <v/>
      </c>
      <c r="D436" s="8" t="str">
        <f>IF(B436="","",VLOOKUP(B436,经纬!B:G,6,FALSE))</f>
        <v/>
      </c>
      <c r="E436" s="8" t="str">
        <f t="shared" si="24"/>
        <v/>
      </c>
      <c r="J436" s="105" t="str">
        <f t="shared" si="25"/>
        <v/>
      </c>
      <c r="K436" s="105" t="str">
        <f t="shared" si="26"/>
        <v/>
      </c>
      <c r="L436" s="104" t="str">
        <f>IF(B436="","",VLOOKUP(B436&amp;F436&amp;H436,经纬!A:M,13,FALSE)*N436)</f>
        <v/>
      </c>
      <c r="M436" s="104" t="str">
        <f>IF(B436="","",VLOOKUP(B436&amp;F436&amp;H436,经纬!A:N,14,FALSE)*N436)</f>
        <v/>
      </c>
      <c r="R436" s="250" t="str">
        <f t="shared" si="27"/>
        <v/>
      </c>
    </row>
    <row r="437" spans="1:18">
      <c r="A437" s="4">
        <v>446</v>
      </c>
      <c r="C437" s="8" t="str">
        <f>IF(B437="","",VLOOKUP(B437,经纬!B:C,2,FALSE))</f>
        <v/>
      </c>
      <c r="D437" s="8" t="str">
        <f>IF(B437="","",VLOOKUP(B437,经纬!B:G,6,FALSE))</f>
        <v/>
      </c>
      <c r="E437" s="8" t="str">
        <f t="shared" si="24"/>
        <v/>
      </c>
      <c r="J437" s="105" t="str">
        <f t="shared" si="25"/>
        <v/>
      </c>
      <c r="K437" s="105" t="str">
        <f t="shared" si="26"/>
        <v/>
      </c>
      <c r="L437" s="104" t="str">
        <f>IF(B437="","",VLOOKUP(B437&amp;F437&amp;H437,经纬!A:M,13,FALSE)*N437)</f>
        <v/>
      </c>
      <c r="M437" s="104" t="str">
        <f>IF(B437="","",VLOOKUP(B437&amp;F437&amp;H437,经纬!A:N,14,FALSE)*N437)</f>
        <v/>
      </c>
      <c r="R437" s="250" t="str">
        <f t="shared" si="27"/>
        <v/>
      </c>
    </row>
    <row r="438" spans="1:18">
      <c r="A438" s="4">
        <v>447</v>
      </c>
      <c r="C438" s="8" t="str">
        <f>IF(B438="","",VLOOKUP(B438,经纬!B:C,2,FALSE))</f>
        <v/>
      </c>
      <c r="D438" s="8" t="str">
        <f>IF(B438="","",VLOOKUP(B438,经纬!B:G,6,FALSE))</f>
        <v/>
      </c>
      <c r="E438" s="8" t="str">
        <f t="shared" si="24"/>
        <v/>
      </c>
      <c r="J438" s="105" t="str">
        <f t="shared" si="25"/>
        <v/>
      </c>
      <c r="K438" s="105" t="str">
        <f t="shared" si="26"/>
        <v/>
      </c>
      <c r="L438" s="104" t="str">
        <f>IF(B438="","",VLOOKUP(B438&amp;F438&amp;H438,经纬!A:M,13,FALSE)*N438)</f>
        <v/>
      </c>
      <c r="M438" s="104" t="str">
        <f>IF(B438="","",VLOOKUP(B438&amp;F438&amp;H438,经纬!A:N,14,FALSE)*N438)</f>
        <v/>
      </c>
      <c r="R438" s="250" t="str">
        <f t="shared" si="27"/>
        <v/>
      </c>
    </row>
    <row r="439" spans="1:18">
      <c r="A439" s="4">
        <v>448</v>
      </c>
      <c r="C439" s="8" t="str">
        <f>IF(B439="","",VLOOKUP(B439,经纬!B:C,2,FALSE))</f>
        <v/>
      </c>
      <c r="D439" s="8" t="str">
        <f>IF(B439="","",VLOOKUP(B439,经纬!B:G,6,FALSE))</f>
        <v/>
      </c>
      <c r="E439" s="8" t="str">
        <f t="shared" si="24"/>
        <v/>
      </c>
      <c r="J439" s="105" t="str">
        <f t="shared" si="25"/>
        <v/>
      </c>
      <c r="K439" s="105" t="str">
        <f t="shared" si="26"/>
        <v/>
      </c>
      <c r="L439" s="104" t="str">
        <f>IF(B439="","",VLOOKUP(B439&amp;F439&amp;H439,经纬!A:M,13,FALSE)*N439)</f>
        <v/>
      </c>
      <c r="M439" s="104" t="str">
        <f>IF(B439="","",VLOOKUP(B439&amp;F439&amp;H439,经纬!A:N,14,FALSE)*N439)</f>
        <v/>
      </c>
      <c r="R439" s="250" t="str">
        <f t="shared" si="27"/>
        <v/>
      </c>
    </row>
    <row r="440" spans="1:18">
      <c r="A440" s="4">
        <v>449</v>
      </c>
      <c r="C440" s="8" t="str">
        <f>IF(B440="","",VLOOKUP(B440,经纬!B:C,2,FALSE))</f>
        <v/>
      </c>
      <c r="D440" s="8" t="str">
        <f>IF(B440="","",VLOOKUP(B440,经纬!B:G,6,FALSE))</f>
        <v/>
      </c>
      <c r="E440" s="8" t="str">
        <f t="shared" si="24"/>
        <v/>
      </c>
      <c r="J440" s="105" t="str">
        <f t="shared" si="25"/>
        <v/>
      </c>
      <c r="K440" s="105" t="str">
        <f t="shared" si="26"/>
        <v/>
      </c>
      <c r="L440" s="104" t="str">
        <f>IF(B440="","",VLOOKUP(B440&amp;F440&amp;H440,经纬!A:M,13,FALSE)*N440)</f>
        <v/>
      </c>
      <c r="M440" s="104" t="str">
        <f>IF(B440="","",VLOOKUP(B440&amp;F440&amp;H440,经纬!A:N,14,FALSE)*N440)</f>
        <v/>
      </c>
      <c r="R440" s="250" t="str">
        <f t="shared" si="27"/>
        <v/>
      </c>
    </row>
    <row r="441" spans="1:18">
      <c r="A441" s="4">
        <v>450</v>
      </c>
      <c r="C441" s="8" t="str">
        <f>IF(B441="","",VLOOKUP(B441,经纬!B:C,2,FALSE))</f>
        <v/>
      </c>
      <c r="D441" s="8" t="str">
        <f>IF(B441="","",VLOOKUP(B441,经纬!B:G,6,FALSE))</f>
        <v/>
      </c>
      <c r="E441" s="8" t="str">
        <f t="shared" si="24"/>
        <v/>
      </c>
      <c r="J441" s="105" t="str">
        <f t="shared" si="25"/>
        <v/>
      </c>
      <c r="K441" s="105" t="str">
        <f t="shared" si="26"/>
        <v/>
      </c>
      <c r="L441" s="104" t="str">
        <f>IF(B441="","",VLOOKUP(B441&amp;F441&amp;H441,经纬!A:M,13,FALSE)*N441)</f>
        <v/>
      </c>
      <c r="M441" s="104" t="str">
        <f>IF(B441="","",VLOOKUP(B441&amp;F441&amp;H441,经纬!A:N,14,FALSE)*N441)</f>
        <v/>
      </c>
      <c r="R441" s="250" t="str">
        <f t="shared" si="27"/>
        <v/>
      </c>
    </row>
    <row r="442" spans="1:18">
      <c r="A442" s="4">
        <v>451</v>
      </c>
      <c r="C442" s="8" t="str">
        <f>IF(B442="","",VLOOKUP(B442,经纬!B:C,2,FALSE))</f>
        <v/>
      </c>
      <c r="D442" s="8" t="str">
        <f>IF(B442="","",VLOOKUP(B442,经纬!B:G,6,FALSE))</f>
        <v/>
      </c>
      <c r="E442" s="8" t="str">
        <f t="shared" ref="E442:E505" si="28">IF(B442="","",MID(B442,LEN(C442),LEN(B442)-LEN(C442)-LEN(D442)+1))</f>
        <v/>
      </c>
      <c r="J442" s="105" t="str">
        <f t="shared" ref="J442:J505" si="29">IF(B442="","",LEFT(C442,FIND("*",C442)-1))</f>
        <v/>
      </c>
      <c r="K442" s="105" t="str">
        <f t="shared" ref="K442:K505" si="30">IF(B442="","",RIGHT(C442,LEN(C442)-LEN(J442)-1))</f>
        <v/>
      </c>
      <c r="L442" s="104" t="str">
        <f>IF(B442="","",VLOOKUP(B442&amp;F442&amp;H442,经纬!A:M,13,FALSE)*N442)</f>
        <v/>
      </c>
      <c r="M442" s="104" t="str">
        <f>IF(B442="","",VLOOKUP(B442&amp;F442&amp;H442,经纬!A:N,14,FALSE)*N442)</f>
        <v/>
      </c>
      <c r="R442" s="250" t="str">
        <f t="shared" si="27"/>
        <v/>
      </c>
    </row>
    <row r="443" spans="1:18">
      <c r="A443" s="4">
        <v>452</v>
      </c>
      <c r="C443" s="8" t="str">
        <f>IF(B443="","",VLOOKUP(B443,经纬!B:C,2,FALSE))</f>
        <v/>
      </c>
      <c r="D443" s="8" t="str">
        <f>IF(B443="","",VLOOKUP(B443,经纬!B:G,6,FALSE))</f>
        <v/>
      </c>
      <c r="E443" s="8" t="str">
        <f t="shared" si="28"/>
        <v/>
      </c>
      <c r="J443" s="105" t="str">
        <f t="shared" si="29"/>
        <v/>
      </c>
      <c r="K443" s="105" t="str">
        <f t="shared" si="30"/>
        <v/>
      </c>
      <c r="L443" s="104" t="str">
        <f>IF(B443="","",VLOOKUP(B443&amp;F443&amp;H443,经纬!A:M,13,FALSE)*N443)</f>
        <v/>
      </c>
      <c r="M443" s="104" t="str">
        <f>IF(B443="","",VLOOKUP(B443&amp;F443&amp;H443,经纬!A:N,14,FALSE)*N443)</f>
        <v/>
      </c>
      <c r="R443" s="250" t="str">
        <f t="shared" si="27"/>
        <v/>
      </c>
    </row>
    <row r="444" spans="1:18">
      <c r="A444" s="4">
        <v>453</v>
      </c>
      <c r="C444" s="8" t="str">
        <f>IF(B444="","",VLOOKUP(B444,经纬!B:C,2,FALSE))</f>
        <v/>
      </c>
      <c r="D444" s="8" t="str">
        <f>IF(B444="","",VLOOKUP(B444,经纬!B:G,6,FALSE))</f>
        <v/>
      </c>
      <c r="E444" s="8" t="str">
        <f t="shared" si="28"/>
        <v/>
      </c>
      <c r="J444" s="105" t="str">
        <f t="shared" si="29"/>
        <v/>
      </c>
      <c r="K444" s="105" t="str">
        <f t="shared" si="30"/>
        <v/>
      </c>
      <c r="L444" s="104" t="str">
        <f>IF(B444="","",VLOOKUP(B444&amp;F444&amp;H444,经纬!A:M,13,FALSE)*N444)</f>
        <v/>
      </c>
      <c r="M444" s="104" t="str">
        <f>IF(B444="","",VLOOKUP(B444&amp;F444&amp;H444,经纬!A:N,14,FALSE)*N444)</f>
        <v/>
      </c>
      <c r="R444" s="250" t="str">
        <f t="shared" si="27"/>
        <v/>
      </c>
    </row>
    <row r="445" spans="1:18">
      <c r="A445" s="4">
        <v>454</v>
      </c>
      <c r="C445" s="8" t="str">
        <f>IF(B445="","",VLOOKUP(B445,经纬!B:C,2,FALSE))</f>
        <v/>
      </c>
      <c r="D445" s="8" t="str">
        <f>IF(B445="","",VLOOKUP(B445,经纬!B:G,6,FALSE))</f>
        <v/>
      </c>
      <c r="E445" s="8" t="str">
        <f t="shared" si="28"/>
        <v/>
      </c>
      <c r="J445" s="105" t="str">
        <f t="shared" si="29"/>
        <v/>
      </c>
      <c r="K445" s="105" t="str">
        <f t="shared" si="30"/>
        <v/>
      </c>
      <c r="L445" s="104" t="str">
        <f>IF(B445="","",VLOOKUP(B445&amp;F445&amp;H445,经纬!A:M,13,FALSE)*N445)</f>
        <v/>
      </c>
      <c r="M445" s="104" t="str">
        <f>IF(B445="","",VLOOKUP(B445&amp;F445&amp;H445,经纬!A:N,14,FALSE)*N445)</f>
        <v/>
      </c>
      <c r="R445" s="250" t="str">
        <f t="shared" si="27"/>
        <v/>
      </c>
    </row>
    <row r="446" spans="1:18">
      <c r="A446" s="4">
        <v>455</v>
      </c>
      <c r="C446" s="8" t="str">
        <f>IF(B446="","",VLOOKUP(B446,经纬!B:C,2,FALSE))</f>
        <v/>
      </c>
      <c r="D446" s="8" t="str">
        <f>IF(B446="","",VLOOKUP(B446,经纬!B:G,6,FALSE))</f>
        <v/>
      </c>
      <c r="E446" s="8" t="str">
        <f t="shared" si="28"/>
        <v/>
      </c>
      <c r="J446" s="105" t="str">
        <f t="shared" si="29"/>
        <v/>
      </c>
      <c r="K446" s="105" t="str">
        <f t="shared" si="30"/>
        <v/>
      </c>
      <c r="L446" s="104" t="str">
        <f>IF(B446="","",VLOOKUP(B446&amp;F446&amp;H446,经纬!A:M,13,FALSE)*N446)</f>
        <v/>
      </c>
      <c r="M446" s="104" t="str">
        <f>IF(B446="","",VLOOKUP(B446&amp;F446&amp;H446,经纬!A:N,14,FALSE)*N446)</f>
        <v/>
      </c>
      <c r="R446" s="250" t="str">
        <f t="shared" si="27"/>
        <v/>
      </c>
    </row>
    <row r="447" spans="1:18">
      <c r="A447" s="4">
        <v>456</v>
      </c>
      <c r="C447" s="8" t="str">
        <f>IF(B447="","",VLOOKUP(B447,经纬!B:C,2,FALSE))</f>
        <v/>
      </c>
      <c r="D447" s="8" t="str">
        <f>IF(B447="","",VLOOKUP(B447,经纬!B:G,6,FALSE))</f>
        <v/>
      </c>
      <c r="E447" s="8" t="str">
        <f t="shared" si="28"/>
        <v/>
      </c>
      <c r="J447" s="105" t="str">
        <f t="shared" si="29"/>
        <v/>
      </c>
      <c r="K447" s="105" t="str">
        <f t="shared" si="30"/>
        <v/>
      </c>
      <c r="L447" s="104" t="str">
        <f>IF(B447="","",VLOOKUP(B447&amp;F447&amp;H447,经纬!A:M,13,FALSE)*N447)</f>
        <v/>
      </c>
      <c r="M447" s="104" t="str">
        <f>IF(B447="","",VLOOKUP(B447&amp;F447&amp;H447,经纬!A:N,14,FALSE)*N447)</f>
        <v/>
      </c>
      <c r="R447" s="250" t="str">
        <f t="shared" si="27"/>
        <v/>
      </c>
    </row>
    <row r="448" spans="1:18">
      <c r="A448" s="4">
        <v>457</v>
      </c>
      <c r="C448" s="8" t="str">
        <f>IF(B448="","",VLOOKUP(B448,经纬!B:C,2,FALSE))</f>
        <v/>
      </c>
      <c r="D448" s="8" t="str">
        <f>IF(B448="","",VLOOKUP(B448,经纬!B:G,6,FALSE))</f>
        <v/>
      </c>
      <c r="E448" s="8" t="str">
        <f t="shared" si="28"/>
        <v/>
      </c>
      <c r="J448" s="105" t="str">
        <f t="shared" si="29"/>
        <v/>
      </c>
      <c r="K448" s="105" t="str">
        <f t="shared" si="30"/>
        <v/>
      </c>
      <c r="L448" s="104" t="str">
        <f>IF(B448="","",VLOOKUP(B448&amp;F448&amp;H448,经纬!A:M,13,FALSE)*N448)</f>
        <v/>
      </c>
      <c r="M448" s="104" t="str">
        <f>IF(B448="","",VLOOKUP(B448&amp;F448&amp;H448,经纬!A:N,14,FALSE)*N448)</f>
        <v/>
      </c>
      <c r="R448" s="250" t="str">
        <f t="shared" si="27"/>
        <v/>
      </c>
    </row>
    <row r="449" spans="1:18">
      <c r="A449" s="4">
        <v>458</v>
      </c>
      <c r="C449" s="8" t="str">
        <f>IF(B449="","",VLOOKUP(B449,经纬!B:C,2,FALSE))</f>
        <v/>
      </c>
      <c r="D449" s="8" t="str">
        <f>IF(B449="","",VLOOKUP(B449,经纬!B:G,6,FALSE))</f>
        <v/>
      </c>
      <c r="E449" s="8" t="str">
        <f t="shared" si="28"/>
        <v/>
      </c>
      <c r="J449" s="105" t="str">
        <f t="shared" si="29"/>
        <v/>
      </c>
      <c r="K449" s="105" t="str">
        <f t="shared" si="30"/>
        <v/>
      </c>
      <c r="L449" s="104" t="str">
        <f>IF(B449="","",VLOOKUP(B449&amp;F449&amp;H449,经纬!A:M,13,FALSE)*N449)</f>
        <v/>
      </c>
      <c r="M449" s="104" t="str">
        <f>IF(B449="","",VLOOKUP(B449&amp;F449&amp;H449,经纬!A:N,14,FALSE)*N449)</f>
        <v/>
      </c>
      <c r="R449" s="250" t="str">
        <f t="shared" si="27"/>
        <v/>
      </c>
    </row>
    <row r="450" spans="1:18">
      <c r="A450" s="4">
        <v>459</v>
      </c>
      <c r="C450" s="8" t="str">
        <f>IF(B450="","",VLOOKUP(B450,经纬!B:C,2,FALSE))</f>
        <v/>
      </c>
      <c r="D450" s="8" t="str">
        <f>IF(B450="","",VLOOKUP(B450,经纬!B:G,6,FALSE))</f>
        <v/>
      </c>
      <c r="E450" s="8" t="str">
        <f t="shared" si="28"/>
        <v/>
      </c>
      <c r="J450" s="105" t="str">
        <f t="shared" si="29"/>
        <v/>
      </c>
      <c r="K450" s="105" t="str">
        <f t="shared" si="30"/>
        <v/>
      </c>
      <c r="L450" s="104" t="str">
        <f>IF(B450="","",VLOOKUP(B450&amp;F450&amp;H450,经纬!A:M,13,FALSE)*N450)</f>
        <v/>
      </c>
      <c r="M450" s="104" t="str">
        <f>IF(B450="","",VLOOKUP(B450&amp;F450&amp;H450,经纬!A:N,14,FALSE)*N450)</f>
        <v/>
      </c>
      <c r="R450" s="250" t="str">
        <f t="shared" si="27"/>
        <v/>
      </c>
    </row>
    <row r="451" spans="1:18">
      <c r="A451" s="4">
        <v>460</v>
      </c>
      <c r="C451" s="8" t="str">
        <f>IF(B451="","",VLOOKUP(B451,经纬!B:C,2,FALSE))</f>
        <v/>
      </c>
      <c r="D451" s="8" t="str">
        <f>IF(B451="","",VLOOKUP(B451,经纬!B:G,6,FALSE))</f>
        <v/>
      </c>
      <c r="E451" s="8" t="str">
        <f t="shared" si="28"/>
        <v/>
      </c>
      <c r="J451" s="105" t="str">
        <f t="shared" si="29"/>
        <v/>
      </c>
      <c r="K451" s="105" t="str">
        <f t="shared" si="30"/>
        <v/>
      </c>
      <c r="L451" s="104" t="str">
        <f>IF(B451="","",VLOOKUP(B451&amp;F451&amp;H451,经纬!A:M,13,FALSE)*N451)</f>
        <v/>
      </c>
      <c r="M451" s="104" t="str">
        <f>IF(B451="","",VLOOKUP(B451&amp;F451&amp;H451,经纬!A:N,14,FALSE)*N451)</f>
        <v/>
      </c>
      <c r="R451" s="250" t="str">
        <f t="shared" ref="R451:R514" si="31">IF(B451="","",MONTH(I451))</f>
        <v/>
      </c>
    </row>
    <row r="452" spans="1:18">
      <c r="A452" s="4">
        <v>461</v>
      </c>
      <c r="C452" s="8" t="str">
        <f>IF(B452="","",VLOOKUP(B452,经纬!B:C,2,FALSE))</f>
        <v/>
      </c>
      <c r="D452" s="8" t="str">
        <f>IF(B452="","",VLOOKUP(B452,经纬!B:G,6,FALSE))</f>
        <v/>
      </c>
      <c r="E452" s="8" t="str">
        <f t="shared" si="28"/>
        <v/>
      </c>
      <c r="J452" s="105" t="str">
        <f t="shared" si="29"/>
        <v/>
      </c>
      <c r="K452" s="105" t="str">
        <f t="shared" si="30"/>
        <v/>
      </c>
      <c r="L452" s="104" t="str">
        <f>IF(B452="","",VLOOKUP(B452&amp;F452&amp;H452,经纬!A:M,13,FALSE)*N452)</f>
        <v/>
      </c>
      <c r="M452" s="104" t="str">
        <f>IF(B452="","",VLOOKUP(B452&amp;F452&amp;H452,经纬!A:N,14,FALSE)*N452)</f>
        <v/>
      </c>
      <c r="R452" s="250" t="str">
        <f t="shared" si="31"/>
        <v/>
      </c>
    </row>
    <row r="453" spans="1:18">
      <c r="A453" s="4">
        <v>462</v>
      </c>
      <c r="C453" s="8" t="str">
        <f>IF(B453="","",VLOOKUP(B453,经纬!B:C,2,FALSE))</f>
        <v/>
      </c>
      <c r="D453" s="8" t="str">
        <f>IF(B453="","",VLOOKUP(B453,经纬!B:G,6,FALSE))</f>
        <v/>
      </c>
      <c r="E453" s="8" t="str">
        <f t="shared" si="28"/>
        <v/>
      </c>
      <c r="J453" s="105" t="str">
        <f t="shared" si="29"/>
        <v/>
      </c>
      <c r="K453" s="105" t="str">
        <f t="shared" si="30"/>
        <v/>
      </c>
      <c r="L453" s="104" t="str">
        <f>IF(B453="","",VLOOKUP(B453&amp;F453&amp;H453,经纬!A:M,13,FALSE)*N453)</f>
        <v/>
      </c>
      <c r="M453" s="104" t="str">
        <f>IF(B453="","",VLOOKUP(B453&amp;F453&amp;H453,经纬!A:N,14,FALSE)*N453)</f>
        <v/>
      </c>
      <c r="R453" s="250" t="str">
        <f t="shared" si="31"/>
        <v/>
      </c>
    </row>
    <row r="454" spans="1:18">
      <c r="A454" s="4">
        <v>463</v>
      </c>
      <c r="C454" s="8" t="str">
        <f>IF(B454="","",VLOOKUP(B454,经纬!B:C,2,FALSE))</f>
        <v/>
      </c>
      <c r="D454" s="8" t="str">
        <f>IF(B454="","",VLOOKUP(B454,经纬!B:G,6,FALSE))</f>
        <v/>
      </c>
      <c r="E454" s="8" t="str">
        <f t="shared" si="28"/>
        <v/>
      </c>
      <c r="J454" s="105" t="str">
        <f t="shared" si="29"/>
        <v/>
      </c>
      <c r="K454" s="105" t="str">
        <f t="shared" si="30"/>
        <v/>
      </c>
      <c r="L454" s="104" t="str">
        <f>IF(B454="","",VLOOKUP(B454&amp;F454&amp;H454,经纬!A:M,13,FALSE)*N454)</f>
        <v/>
      </c>
      <c r="M454" s="104" t="str">
        <f>IF(B454="","",VLOOKUP(B454&amp;F454&amp;H454,经纬!A:N,14,FALSE)*N454)</f>
        <v/>
      </c>
      <c r="R454" s="250" t="str">
        <f t="shared" si="31"/>
        <v/>
      </c>
    </row>
    <row r="455" spans="1:18">
      <c r="A455" s="4">
        <v>464</v>
      </c>
      <c r="C455" s="8" t="str">
        <f>IF(B455="","",VLOOKUP(B455,经纬!B:C,2,FALSE))</f>
        <v/>
      </c>
      <c r="D455" s="8" t="str">
        <f>IF(B455="","",VLOOKUP(B455,经纬!B:G,6,FALSE))</f>
        <v/>
      </c>
      <c r="E455" s="8" t="str">
        <f t="shared" si="28"/>
        <v/>
      </c>
      <c r="J455" s="105" t="str">
        <f t="shared" si="29"/>
        <v/>
      </c>
      <c r="K455" s="105" t="str">
        <f t="shared" si="30"/>
        <v/>
      </c>
      <c r="L455" s="104" t="str">
        <f>IF(B455="","",VLOOKUP(B455&amp;F455&amp;H455,经纬!A:M,13,FALSE)*N455)</f>
        <v/>
      </c>
      <c r="M455" s="104" t="str">
        <f>IF(B455="","",VLOOKUP(B455&amp;F455&amp;H455,经纬!A:N,14,FALSE)*N455)</f>
        <v/>
      </c>
      <c r="R455" s="250" t="str">
        <f t="shared" si="31"/>
        <v/>
      </c>
    </row>
    <row r="456" spans="1:18">
      <c r="A456" s="4">
        <v>465</v>
      </c>
      <c r="C456" s="8" t="str">
        <f>IF(B456="","",VLOOKUP(B456,经纬!B:C,2,FALSE))</f>
        <v/>
      </c>
      <c r="D456" s="8" t="str">
        <f>IF(B456="","",VLOOKUP(B456,经纬!B:G,6,FALSE))</f>
        <v/>
      </c>
      <c r="E456" s="8" t="str">
        <f t="shared" si="28"/>
        <v/>
      </c>
      <c r="J456" s="105" t="str">
        <f t="shared" si="29"/>
        <v/>
      </c>
      <c r="K456" s="105" t="str">
        <f t="shared" si="30"/>
        <v/>
      </c>
      <c r="L456" s="104" t="str">
        <f>IF(B456="","",VLOOKUP(B456&amp;F456&amp;H456,经纬!A:M,13,FALSE)*N456)</f>
        <v/>
      </c>
      <c r="M456" s="104" t="str">
        <f>IF(B456="","",VLOOKUP(B456&amp;F456&amp;H456,经纬!A:N,14,FALSE)*N456)</f>
        <v/>
      </c>
      <c r="R456" s="250" t="str">
        <f t="shared" si="31"/>
        <v/>
      </c>
    </row>
    <row r="457" spans="1:18">
      <c r="A457" s="4">
        <v>466</v>
      </c>
      <c r="C457" s="8" t="str">
        <f>IF(B457="","",VLOOKUP(B457,经纬!B:C,2,FALSE))</f>
        <v/>
      </c>
      <c r="D457" s="8" t="str">
        <f>IF(B457="","",VLOOKUP(B457,经纬!B:G,6,FALSE))</f>
        <v/>
      </c>
      <c r="E457" s="8" t="str">
        <f t="shared" si="28"/>
        <v/>
      </c>
      <c r="J457" s="105" t="str">
        <f t="shared" si="29"/>
        <v/>
      </c>
      <c r="K457" s="105" t="str">
        <f t="shared" si="30"/>
        <v/>
      </c>
      <c r="L457" s="104" t="str">
        <f>IF(B457="","",VLOOKUP(B457&amp;F457&amp;H457,经纬!A:M,13,FALSE)*N457)</f>
        <v/>
      </c>
      <c r="M457" s="104" t="str">
        <f>IF(B457="","",VLOOKUP(B457&amp;F457&amp;H457,经纬!A:N,14,FALSE)*N457)</f>
        <v/>
      </c>
      <c r="R457" s="250" t="str">
        <f t="shared" si="31"/>
        <v/>
      </c>
    </row>
    <row r="458" spans="1:18">
      <c r="A458" s="4">
        <v>467</v>
      </c>
      <c r="C458" s="8" t="str">
        <f>IF(B458="","",VLOOKUP(B458,经纬!B:C,2,FALSE))</f>
        <v/>
      </c>
      <c r="D458" s="8" t="str">
        <f>IF(B458="","",VLOOKUP(B458,经纬!B:G,6,FALSE))</f>
        <v/>
      </c>
      <c r="E458" s="8" t="str">
        <f t="shared" si="28"/>
        <v/>
      </c>
      <c r="J458" s="105" t="str">
        <f t="shared" si="29"/>
        <v/>
      </c>
      <c r="K458" s="105" t="str">
        <f t="shared" si="30"/>
        <v/>
      </c>
      <c r="L458" s="104" t="str">
        <f>IF(B458="","",VLOOKUP(B458&amp;F458&amp;H458,经纬!A:M,13,FALSE)*N458)</f>
        <v/>
      </c>
      <c r="M458" s="104" t="str">
        <f>IF(B458="","",VLOOKUP(B458&amp;F458&amp;H458,经纬!A:N,14,FALSE)*N458)</f>
        <v/>
      </c>
      <c r="R458" s="250" t="str">
        <f t="shared" si="31"/>
        <v/>
      </c>
    </row>
    <row r="459" spans="1:18">
      <c r="A459" s="4">
        <v>468</v>
      </c>
      <c r="C459" s="8" t="str">
        <f>IF(B459="","",VLOOKUP(B459,经纬!B:C,2,FALSE))</f>
        <v/>
      </c>
      <c r="D459" s="8" t="str">
        <f>IF(B459="","",VLOOKUP(B459,经纬!B:G,6,FALSE))</f>
        <v/>
      </c>
      <c r="E459" s="8" t="str">
        <f t="shared" si="28"/>
        <v/>
      </c>
      <c r="J459" s="105" t="str">
        <f t="shared" si="29"/>
        <v/>
      </c>
      <c r="K459" s="105" t="str">
        <f t="shared" si="30"/>
        <v/>
      </c>
      <c r="L459" s="104" t="str">
        <f>IF(B459="","",VLOOKUP(B459&amp;F459&amp;H459,经纬!A:M,13,FALSE)*N459)</f>
        <v/>
      </c>
      <c r="M459" s="104" t="str">
        <f>IF(B459="","",VLOOKUP(B459&amp;F459&amp;H459,经纬!A:N,14,FALSE)*N459)</f>
        <v/>
      </c>
      <c r="R459" s="250" t="str">
        <f t="shared" si="31"/>
        <v/>
      </c>
    </row>
    <row r="460" spans="1:18">
      <c r="A460" s="4">
        <v>469</v>
      </c>
      <c r="C460" s="8" t="str">
        <f>IF(B460="","",VLOOKUP(B460,经纬!B:C,2,FALSE))</f>
        <v/>
      </c>
      <c r="D460" s="8" t="str">
        <f>IF(B460="","",VLOOKUP(B460,经纬!B:G,6,FALSE))</f>
        <v/>
      </c>
      <c r="E460" s="8" t="str">
        <f t="shared" si="28"/>
        <v/>
      </c>
      <c r="J460" s="105" t="str">
        <f t="shared" si="29"/>
        <v/>
      </c>
      <c r="K460" s="105" t="str">
        <f t="shared" si="30"/>
        <v/>
      </c>
      <c r="L460" s="104" t="str">
        <f>IF(B460="","",VLOOKUP(B460&amp;F460&amp;H460,经纬!A:M,13,FALSE)*N460)</f>
        <v/>
      </c>
      <c r="M460" s="104" t="str">
        <f>IF(B460="","",VLOOKUP(B460&amp;F460&amp;H460,经纬!A:N,14,FALSE)*N460)</f>
        <v/>
      </c>
      <c r="R460" s="250" t="str">
        <f t="shared" si="31"/>
        <v/>
      </c>
    </row>
    <row r="461" spans="1:18">
      <c r="A461" s="4">
        <v>470</v>
      </c>
      <c r="C461" s="8" t="str">
        <f>IF(B461="","",VLOOKUP(B461,经纬!B:C,2,FALSE))</f>
        <v/>
      </c>
      <c r="D461" s="8" t="str">
        <f>IF(B461="","",VLOOKUP(B461,经纬!B:G,6,FALSE))</f>
        <v/>
      </c>
      <c r="E461" s="8" t="str">
        <f t="shared" si="28"/>
        <v/>
      </c>
      <c r="J461" s="105" t="str">
        <f t="shared" si="29"/>
        <v/>
      </c>
      <c r="K461" s="105" t="str">
        <f t="shared" si="30"/>
        <v/>
      </c>
      <c r="L461" s="104" t="str">
        <f>IF(B461="","",VLOOKUP(B461&amp;F461&amp;H461,经纬!A:M,13,FALSE)*N461)</f>
        <v/>
      </c>
      <c r="M461" s="104" t="str">
        <f>IF(B461="","",VLOOKUP(B461&amp;F461&amp;H461,经纬!A:N,14,FALSE)*N461)</f>
        <v/>
      </c>
      <c r="R461" s="250" t="str">
        <f t="shared" si="31"/>
        <v/>
      </c>
    </row>
    <row r="462" spans="1:18">
      <c r="A462" s="4">
        <v>471</v>
      </c>
      <c r="C462" s="8" t="str">
        <f>IF(B462="","",VLOOKUP(B462,经纬!B:C,2,FALSE))</f>
        <v/>
      </c>
      <c r="D462" s="8" t="str">
        <f>IF(B462="","",VLOOKUP(B462,经纬!B:G,6,FALSE))</f>
        <v/>
      </c>
      <c r="E462" s="8" t="str">
        <f t="shared" si="28"/>
        <v/>
      </c>
      <c r="J462" s="105" t="str">
        <f t="shared" si="29"/>
        <v/>
      </c>
      <c r="K462" s="105" t="str">
        <f t="shared" si="30"/>
        <v/>
      </c>
      <c r="L462" s="104" t="str">
        <f>IF(B462="","",VLOOKUP(B462&amp;F462&amp;H462,经纬!A:M,13,FALSE)*N462)</f>
        <v/>
      </c>
      <c r="M462" s="104" t="str">
        <f>IF(B462="","",VLOOKUP(B462&amp;F462&amp;H462,经纬!A:N,14,FALSE)*N462)</f>
        <v/>
      </c>
      <c r="R462" s="250" t="str">
        <f t="shared" si="31"/>
        <v/>
      </c>
    </row>
    <row r="463" spans="1:18">
      <c r="A463" s="4">
        <v>472</v>
      </c>
      <c r="C463" s="8" t="str">
        <f>IF(B463="","",VLOOKUP(B463,经纬!B:C,2,FALSE))</f>
        <v/>
      </c>
      <c r="D463" s="8" t="str">
        <f>IF(B463="","",VLOOKUP(B463,经纬!B:G,6,FALSE))</f>
        <v/>
      </c>
      <c r="E463" s="8" t="str">
        <f t="shared" si="28"/>
        <v/>
      </c>
      <c r="J463" s="105" t="str">
        <f t="shared" si="29"/>
        <v/>
      </c>
      <c r="K463" s="105" t="str">
        <f t="shared" si="30"/>
        <v/>
      </c>
      <c r="L463" s="104" t="str">
        <f>IF(B463="","",VLOOKUP(B463&amp;F463&amp;H463,经纬!A:M,13,FALSE)*N463)</f>
        <v/>
      </c>
      <c r="M463" s="104" t="str">
        <f>IF(B463="","",VLOOKUP(B463&amp;F463&amp;H463,经纬!A:N,14,FALSE)*N463)</f>
        <v/>
      </c>
      <c r="R463" s="250" t="str">
        <f t="shared" si="31"/>
        <v/>
      </c>
    </row>
    <row r="464" spans="1:18">
      <c r="A464" s="4">
        <v>473</v>
      </c>
      <c r="C464" s="8" t="str">
        <f>IF(B464="","",VLOOKUP(B464,经纬!B:C,2,FALSE))</f>
        <v/>
      </c>
      <c r="D464" s="8" t="str">
        <f>IF(B464="","",VLOOKUP(B464,经纬!B:G,6,FALSE))</f>
        <v/>
      </c>
      <c r="E464" s="8" t="str">
        <f t="shared" si="28"/>
        <v/>
      </c>
      <c r="J464" s="105" t="str">
        <f t="shared" si="29"/>
        <v/>
      </c>
      <c r="K464" s="105" t="str">
        <f t="shared" si="30"/>
        <v/>
      </c>
      <c r="L464" s="104" t="str">
        <f>IF(B464="","",VLOOKUP(B464&amp;F464&amp;H464,经纬!A:M,13,FALSE)*N464)</f>
        <v/>
      </c>
      <c r="M464" s="104" t="str">
        <f>IF(B464="","",VLOOKUP(B464&amp;F464&amp;H464,经纬!A:N,14,FALSE)*N464)</f>
        <v/>
      </c>
      <c r="R464" s="250" t="str">
        <f t="shared" si="31"/>
        <v/>
      </c>
    </row>
    <row r="465" spans="1:18">
      <c r="A465" s="4">
        <v>474</v>
      </c>
      <c r="C465" s="8" t="str">
        <f>IF(B465="","",VLOOKUP(B465,经纬!B:C,2,FALSE))</f>
        <v/>
      </c>
      <c r="D465" s="8" t="str">
        <f>IF(B465="","",VLOOKUP(B465,经纬!B:G,6,FALSE))</f>
        <v/>
      </c>
      <c r="E465" s="8" t="str">
        <f t="shared" si="28"/>
        <v/>
      </c>
      <c r="J465" s="105" t="str">
        <f t="shared" si="29"/>
        <v/>
      </c>
      <c r="K465" s="105" t="str">
        <f t="shared" si="30"/>
        <v/>
      </c>
      <c r="L465" s="104" t="str">
        <f>IF(B465="","",VLOOKUP(B465&amp;F465&amp;H465,经纬!A:M,13,FALSE)*N465)</f>
        <v/>
      </c>
      <c r="M465" s="104" t="str">
        <f>IF(B465="","",VLOOKUP(B465&amp;F465&amp;H465,经纬!A:N,14,FALSE)*N465)</f>
        <v/>
      </c>
      <c r="R465" s="250" t="str">
        <f t="shared" si="31"/>
        <v/>
      </c>
    </row>
    <row r="466" spans="1:18">
      <c r="A466" s="4">
        <v>475</v>
      </c>
      <c r="C466" s="8" t="str">
        <f>IF(B466="","",VLOOKUP(B466,经纬!B:C,2,FALSE))</f>
        <v/>
      </c>
      <c r="D466" s="8" t="str">
        <f>IF(B466="","",VLOOKUP(B466,经纬!B:G,6,FALSE))</f>
        <v/>
      </c>
      <c r="E466" s="8" t="str">
        <f t="shared" si="28"/>
        <v/>
      </c>
      <c r="J466" s="105" t="str">
        <f t="shared" si="29"/>
        <v/>
      </c>
      <c r="K466" s="105" t="str">
        <f t="shared" si="30"/>
        <v/>
      </c>
      <c r="L466" s="104" t="str">
        <f>IF(B466="","",VLOOKUP(B466&amp;F466&amp;H466,经纬!A:M,13,FALSE)*N466)</f>
        <v/>
      </c>
      <c r="M466" s="104" t="str">
        <f>IF(B466="","",VLOOKUP(B466&amp;F466&amp;H466,经纬!A:N,14,FALSE)*N466)</f>
        <v/>
      </c>
      <c r="R466" s="250" t="str">
        <f t="shared" si="31"/>
        <v/>
      </c>
    </row>
    <row r="467" spans="1:18">
      <c r="A467" s="4">
        <v>476</v>
      </c>
      <c r="C467" s="8" t="str">
        <f>IF(B467="","",VLOOKUP(B467,经纬!B:C,2,FALSE))</f>
        <v/>
      </c>
      <c r="D467" s="8" t="str">
        <f>IF(B467="","",VLOOKUP(B467,经纬!B:G,6,FALSE))</f>
        <v/>
      </c>
      <c r="E467" s="8" t="str">
        <f t="shared" si="28"/>
        <v/>
      </c>
      <c r="J467" s="105" t="str">
        <f t="shared" si="29"/>
        <v/>
      </c>
      <c r="K467" s="105" t="str">
        <f t="shared" si="30"/>
        <v/>
      </c>
      <c r="L467" s="104" t="str">
        <f>IF(B467="","",VLOOKUP(B467&amp;F467&amp;H467,经纬!A:M,13,FALSE)*N467)</f>
        <v/>
      </c>
      <c r="M467" s="104" t="str">
        <f>IF(B467="","",VLOOKUP(B467&amp;F467&amp;H467,经纬!A:N,14,FALSE)*N467)</f>
        <v/>
      </c>
      <c r="R467" s="250" t="str">
        <f t="shared" si="31"/>
        <v/>
      </c>
    </row>
    <row r="468" spans="1:18">
      <c r="A468" s="4">
        <v>477</v>
      </c>
      <c r="C468" s="8" t="str">
        <f>IF(B468="","",VLOOKUP(B468,经纬!B:C,2,FALSE))</f>
        <v/>
      </c>
      <c r="D468" s="8" t="str">
        <f>IF(B468="","",VLOOKUP(B468,经纬!B:G,6,FALSE))</f>
        <v/>
      </c>
      <c r="E468" s="8" t="str">
        <f t="shared" si="28"/>
        <v/>
      </c>
      <c r="J468" s="105" t="str">
        <f t="shared" si="29"/>
        <v/>
      </c>
      <c r="K468" s="105" t="str">
        <f t="shared" si="30"/>
        <v/>
      </c>
      <c r="L468" s="104" t="str">
        <f>IF(B468="","",VLOOKUP(B468&amp;F468&amp;H468,经纬!A:M,13,FALSE)*N468)</f>
        <v/>
      </c>
      <c r="M468" s="104" t="str">
        <f>IF(B468="","",VLOOKUP(B468&amp;F468&amp;H468,经纬!A:N,14,FALSE)*N468)</f>
        <v/>
      </c>
      <c r="R468" s="250" t="str">
        <f t="shared" si="31"/>
        <v/>
      </c>
    </row>
    <row r="469" spans="1:18">
      <c r="A469" s="4">
        <v>478</v>
      </c>
      <c r="C469" s="8" t="str">
        <f>IF(B469="","",VLOOKUP(B469,经纬!B:C,2,FALSE))</f>
        <v/>
      </c>
      <c r="D469" s="8" t="str">
        <f>IF(B469="","",VLOOKUP(B469,经纬!B:G,6,FALSE))</f>
        <v/>
      </c>
      <c r="E469" s="8" t="str">
        <f t="shared" si="28"/>
        <v/>
      </c>
      <c r="J469" s="105" t="str">
        <f t="shared" si="29"/>
        <v/>
      </c>
      <c r="K469" s="105" t="str">
        <f t="shared" si="30"/>
        <v/>
      </c>
      <c r="L469" s="104" t="str">
        <f>IF(B469="","",VLOOKUP(B469&amp;F469&amp;H469,经纬!A:M,13,FALSE)*N469)</f>
        <v/>
      </c>
      <c r="M469" s="104" t="str">
        <f>IF(B469="","",VLOOKUP(B469&amp;F469&amp;H469,经纬!A:N,14,FALSE)*N469)</f>
        <v/>
      </c>
      <c r="R469" s="250" t="str">
        <f t="shared" si="31"/>
        <v/>
      </c>
    </row>
    <row r="470" spans="1:18">
      <c r="A470" s="4">
        <v>479</v>
      </c>
      <c r="C470" s="8" t="str">
        <f>IF(B470="","",VLOOKUP(B470,经纬!B:C,2,FALSE))</f>
        <v/>
      </c>
      <c r="D470" s="8" t="str">
        <f>IF(B470="","",VLOOKUP(B470,经纬!B:G,6,FALSE))</f>
        <v/>
      </c>
      <c r="E470" s="8" t="str">
        <f t="shared" si="28"/>
        <v/>
      </c>
      <c r="J470" s="105" t="str">
        <f t="shared" si="29"/>
        <v/>
      </c>
      <c r="K470" s="105" t="str">
        <f t="shared" si="30"/>
        <v/>
      </c>
      <c r="L470" s="104" t="str">
        <f>IF(B470="","",VLOOKUP(B470&amp;F470&amp;H470,经纬!A:M,13,FALSE)*N470)</f>
        <v/>
      </c>
      <c r="M470" s="104" t="str">
        <f>IF(B470="","",VLOOKUP(B470&amp;F470&amp;H470,经纬!A:N,14,FALSE)*N470)</f>
        <v/>
      </c>
      <c r="R470" s="250" t="str">
        <f t="shared" si="31"/>
        <v/>
      </c>
    </row>
    <row r="471" spans="1:18">
      <c r="A471" s="4">
        <v>480</v>
      </c>
      <c r="C471" s="8" t="str">
        <f>IF(B471="","",VLOOKUP(B471,经纬!B:C,2,FALSE))</f>
        <v/>
      </c>
      <c r="D471" s="8" t="str">
        <f>IF(B471="","",VLOOKUP(B471,经纬!B:G,6,FALSE))</f>
        <v/>
      </c>
      <c r="E471" s="8" t="str">
        <f t="shared" si="28"/>
        <v/>
      </c>
      <c r="J471" s="105" t="str">
        <f t="shared" si="29"/>
        <v/>
      </c>
      <c r="K471" s="105" t="str">
        <f t="shared" si="30"/>
        <v/>
      </c>
      <c r="L471" s="104" t="str">
        <f>IF(B471="","",VLOOKUP(B471&amp;F471&amp;H471,经纬!A:M,13,FALSE)*N471)</f>
        <v/>
      </c>
      <c r="M471" s="104" t="str">
        <f>IF(B471="","",VLOOKUP(B471&amp;F471&amp;H471,经纬!A:N,14,FALSE)*N471)</f>
        <v/>
      </c>
      <c r="R471" s="250" t="str">
        <f t="shared" si="31"/>
        <v/>
      </c>
    </row>
    <row r="472" spans="1:18">
      <c r="A472" s="4">
        <v>481</v>
      </c>
      <c r="C472" s="8" t="str">
        <f>IF(B472="","",VLOOKUP(B472,经纬!B:C,2,FALSE))</f>
        <v/>
      </c>
      <c r="D472" s="8" t="str">
        <f>IF(B472="","",VLOOKUP(B472,经纬!B:G,6,FALSE))</f>
        <v/>
      </c>
      <c r="E472" s="8" t="str">
        <f t="shared" si="28"/>
        <v/>
      </c>
      <c r="J472" s="105" t="str">
        <f t="shared" si="29"/>
        <v/>
      </c>
      <c r="K472" s="105" t="str">
        <f t="shared" si="30"/>
        <v/>
      </c>
      <c r="L472" s="104" t="str">
        <f>IF(B472="","",VLOOKUP(B472&amp;F472&amp;H472,经纬!A:M,13,FALSE)*N472)</f>
        <v/>
      </c>
      <c r="M472" s="104" t="str">
        <f>IF(B472="","",VLOOKUP(B472&amp;F472&amp;H472,经纬!A:N,14,FALSE)*N472)</f>
        <v/>
      </c>
      <c r="R472" s="250" t="str">
        <f t="shared" si="31"/>
        <v/>
      </c>
    </row>
    <row r="473" spans="1:18">
      <c r="A473" s="4">
        <v>482</v>
      </c>
      <c r="C473" s="8" t="str">
        <f>IF(B473="","",VLOOKUP(B473,经纬!B:C,2,FALSE))</f>
        <v/>
      </c>
      <c r="D473" s="8" t="str">
        <f>IF(B473="","",VLOOKUP(B473,经纬!B:G,6,FALSE))</f>
        <v/>
      </c>
      <c r="E473" s="8" t="str">
        <f t="shared" si="28"/>
        <v/>
      </c>
      <c r="J473" s="105" t="str">
        <f t="shared" si="29"/>
        <v/>
      </c>
      <c r="K473" s="105" t="str">
        <f t="shared" si="30"/>
        <v/>
      </c>
      <c r="L473" s="104" t="str">
        <f>IF(B473="","",VLOOKUP(B473&amp;F473&amp;H473,经纬!A:M,13,FALSE)*N473)</f>
        <v/>
      </c>
      <c r="M473" s="104" t="str">
        <f>IF(B473="","",VLOOKUP(B473&amp;F473&amp;H473,经纬!A:N,14,FALSE)*N473)</f>
        <v/>
      </c>
      <c r="R473" s="250" t="str">
        <f t="shared" si="31"/>
        <v/>
      </c>
    </row>
    <row r="474" spans="1:18">
      <c r="A474" s="4">
        <v>483</v>
      </c>
      <c r="C474" s="8" t="str">
        <f>IF(B474="","",VLOOKUP(B474,经纬!B:C,2,FALSE))</f>
        <v/>
      </c>
      <c r="D474" s="8" t="str">
        <f>IF(B474="","",VLOOKUP(B474,经纬!B:G,6,FALSE))</f>
        <v/>
      </c>
      <c r="E474" s="8" t="str">
        <f t="shared" si="28"/>
        <v/>
      </c>
      <c r="J474" s="105" t="str">
        <f t="shared" si="29"/>
        <v/>
      </c>
      <c r="K474" s="105" t="str">
        <f t="shared" si="30"/>
        <v/>
      </c>
      <c r="L474" s="104" t="str">
        <f>IF(B474="","",VLOOKUP(B474&amp;F474&amp;H474,经纬!A:M,13,FALSE)*N474)</f>
        <v/>
      </c>
      <c r="M474" s="104" t="str">
        <f>IF(B474="","",VLOOKUP(B474&amp;F474&amp;H474,经纬!A:N,14,FALSE)*N474)</f>
        <v/>
      </c>
      <c r="R474" s="250" t="str">
        <f t="shared" si="31"/>
        <v/>
      </c>
    </row>
    <row r="475" spans="1:18">
      <c r="A475" s="4">
        <v>484</v>
      </c>
      <c r="C475" s="8" t="str">
        <f>IF(B475="","",VLOOKUP(B475,经纬!B:C,2,FALSE))</f>
        <v/>
      </c>
      <c r="D475" s="8" t="str">
        <f>IF(B475="","",VLOOKUP(B475,经纬!B:G,6,FALSE))</f>
        <v/>
      </c>
      <c r="E475" s="8" t="str">
        <f t="shared" si="28"/>
        <v/>
      </c>
      <c r="J475" s="105" t="str">
        <f t="shared" si="29"/>
        <v/>
      </c>
      <c r="K475" s="105" t="str">
        <f t="shared" si="30"/>
        <v/>
      </c>
      <c r="L475" s="104" t="str">
        <f>IF(B475="","",VLOOKUP(B475&amp;F475&amp;H475,经纬!A:M,13,FALSE)*N475)</f>
        <v/>
      </c>
      <c r="M475" s="104" t="str">
        <f>IF(B475="","",VLOOKUP(B475&amp;F475&amp;H475,经纬!A:N,14,FALSE)*N475)</f>
        <v/>
      </c>
      <c r="R475" s="250" t="str">
        <f t="shared" si="31"/>
        <v/>
      </c>
    </row>
    <row r="476" spans="1:18">
      <c r="A476" s="4">
        <v>485</v>
      </c>
      <c r="C476" s="8" t="str">
        <f>IF(B476="","",VLOOKUP(B476,经纬!B:C,2,FALSE))</f>
        <v/>
      </c>
      <c r="D476" s="8" t="str">
        <f>IF(B476="","",VLOOKUP(B476,经纬!B:G,6,FALSE))</f>
        <v/>
      </c>
      <c r="E476" s="8" t="str">
        <f t="shared" si="28"/>
        <v/>
      </c>
      <c r="J476" s="105" t="str">
        <f t="shared" si="29"/>
        <v/>
      </c>
      <c r="K476" s="105" t="str">
        <f t="shared" si="30"/>
        <v/>
      </c>
      <c r="L476" s="104" t="str">
        <f>IF(B476="","",VLOOKUP(B476&amp;F476&amp;H476,经纬!A:M,13,FALSE)*N476)</f>
        <v/>
      </c>
      <c r="M476" s="104" t="str">
        <f>IF(B476="","",VLOOKUP(B476&amp;F476&amp;H476,经纬!A:N,14,FALSE)*N476)</f>
        <v/>
      </c>
      <c r="R476" s="250" t="str">
        <f t="shared" si="31"/>
        <v/>
      </c>
    </row>
    <row r="477" spans="1:18">
      <c r="A477" s="4">
        <v>486</v>
      </c>
      <c r="C477" s="8" t="str">
        <f>IF(B477="","",VLOOKUP(B477,经纬!B:C,2,FALSE))</f>
        <v/>
      </c>
      <c r="D477" s="8" t="str">
        <f>IF(B477="","",VLOOKUP(B477,经纬!B:G,6,FALSE))</f>
        <v/>
      </c>
      <c r="E477" s="8" t="str">
        <f t="shared" si="28"/>
        <v/>
      </c>
      <c r="J477" s="105" t="str">
        <f t="shared" si="29"/>
        <v/>
      </c>
      <c r="K477" s="105" t="str">
        <f t="shared" si="30"/>
        <v/>
      </c>
      <c r="L477" s="104" t="str">
        <f>IF(B477="","",VLOOKUP(B477&amp;F477&amp;H477,经纬!A:M,13,FALSE)*N477)</f>
        <v/>
      </c>
      <c r="M477" s="104" t="str">
        <f>IF(B477="","",VLOOKUP(B477&amp;F477&amp;H477,经纬!A:N,14,FALSE)*N477)</f>
        <v/>
      </c>
      <c r="R477" s="250" t="str">
        <f t="shared" si="31"/>
        <v/>
      </c>
    </row>
    <row r="478" spans="1:18">
      <c r="A478" s="4">
        <v>487</v>
      </c>
      <c r="C478" s="8" t="str">
        <f>IF(B478="","",VLOOKUP(B478,经纬!B:C,2,FALSE))</f>
        <v/>
      </c>
      <c r="D478" s="8" t="str">
        <f>IF(B478="","",VLOOKUP(B478,经纬!B:G,6,FALSE))</f>
        <v/>
      </c>
      <c r="E478" s="8" t="str">
        <f t="shared" si="28"/>
        <v/>
      </c>
      <c r="J478" s="105" t="str">
        <f t="shared" si="29"/>
        <v/>
      </c>
      <c r="K478" s="105" t="str">
        <f t="shared" si="30"/>
        <v/>
      </c>
      <c r="L478" s="104" t="str">
        <f>IF(B478="","",VLOOKUP(B478&amp;F478&amp;H478,经纬!A:M,13,FALSE)*N478)</f>
        <v/>
      </c>
      <c r="M478" s="104" t="str">
        <f>IF(B478="","",VLOOKUP(B478&amp;F478&amp;H478,经纬!A:N,14,FALSE)*N478)</f>
        <v/>
      </c>
      <c r="R478" s="250" t="str">
        <f t="shared" si="31"/>
        <v/>
      </c>
    </row>
    <row r="479" spans="1:18">
      <c r="A479" s="4">
        <v>488</v>
      </c>
      <c r="C479" s="8" t="str">
        <f>IF(B479="","",VLOOKUP(B479,经纬!B:C,2,FALSE))</f>
        <v/>
      </c>
      <c r="D479" s="8" t="str">
        <f>IF(B479="","",VLOOKUP(B479,经纬!B:G,6,FALSE))</f>
        <v/>
      </c>
      <c r="E479" s="8" t="str">
        <f t="shared" si="28"/>
        <v/>
      </c>
      <c r="J479" s="105" t="str">
        <f t="shared" si="29"/>
        <v/>
      </c>
      <c r="K479" s="105" t="str">
        <f t="shared" si="30"/>
        <v/>
      </c>
      <c r="L479" s="104" t="str">
        <f>IF(B479="","",VLOOKUP(B479&amp;F479&amp;H479,经纬!A:M,13,FALSE)*N479)</f>
        <v/>
      </c>
      <c r="M479" s="104" t="str">
        <f>IF(B479="","",VLOOKUP(B479&amp;F479&amp;H479,经纬!A:N,14,FALSE)*N479)</f>
        <v/>
      </c>
      <c r="R479" s="250" t="str">
        <f t="shared" si="31"/>
        <v/>
      </c>
    </row>
    <row r="480" spans="1:18">
      <c r="A480" s="4">
        <v>489</v>
      </c>
      <c r="C480" s="8" t="str">
        <f>IF(B480="","",VLOOKUP(B480,经纬!B:C,2,FALSE))</f>
        <v/>
      </c>
      <c r="D480" s="8" t="str">
        <f>IF(B480="","",VLOOKUP(B480,经纬!B:G,6,FALSE))</f>
        <v/>
      </c>
      <c r="E480" s="8" t="str">
        <f t="shared" si="28"/>
        <v/>
      </c>
      <c r="J480" s="105" t="str">
        <f t="shared" si="29"/>
        <v/>
      </c>
      <c r="K480" s="105" t="str">
        <f t="shared" si="30"/>
        <v/>
      </c>
      <c r="L480" s="104" t="str">
        <f>IF(B480="","",VLOOKUP(B480&amp;F480&amp;H480,经纬!A:M,13,FALSE)*N480)</f>
        <v/>
      </c>
      <c r="M480" s="104" t="str">
        <f>IF(B480="","",VLOOKUP(B480&amp;F480&amp;H480,经纬!A:N,14,FALSE)*N480)</f>
        <v/>
      </c>
      <c r="R480" s="250" t="str">
        <f t="shared" si="31"/>
        <v/>
      </c>
    </row>
    <row r="481" spans="1:18">
      <c r="A481" s="4">
        <v>490</v>
      </c>
      <c r="C481" s="8" t="str">
        <f>IF(B481="","",VLOOKUP(B481,经纬!B:C,2,FALSE))</f>
        <v/>
      </c>
      <c r="D481" s="8" t="str">
        <f>IF(B481="","",VLOOKUP(B481,经纬!B:G,6,FALSE))</f>
        <v/>
      </c>
      <c r="E481" s="8" t="str">
        <f t="shared" si="28"/>
        <v/>
      </c>
      <c r="J481" s="105" t="str">
        <f t="shared" si="29"/>
        <v/>
      </c>
      <c r="K481" s="105" t="str">
        <f t="shared" si="30"/>
        <v/>
      </c>
      <c r="L481" s="104" t="str">
        <f>IF(B481="","",VLOOKUP(B481&amp;F481&amp;H481,经纬!A:M,13,FALSE)*N481)</f>
        <v/>
      </c>
      <c r="M481" s="104" t="str">
        <f>IF(B481="","",VLOOKUP(B481&amp;F481&amp;H481,经纬!A:N,14,FALSE)*N481)</f>
        <v/>
      </c>
      <c r="R481" s="250" t="str">
        <f t="shared" si="31"/>
        <v/>
      </c>
    </row>
    <row r="482" spans="1:18">
      <c r="A482" s="4">
        <v>491</v>
      </c>
      <c r="C482" s="8" t="str">
        <f>IF(B482="","",VLOOKUP(B482,经纬!B:C,2,FALSE))</f>
        <v/>
      </c>
      <c r="D482" s="8" t="str">
        <f>IF(B482="","",VLOOKUP(B482,经纬!B:G,6,FALSE))</f>
        <v/>
      </c>
      <c r="E482" s="8" t="str">
        <f t="shared" si="28"/>
        <v/>
      </c>
      <c r="J482" s="105" t="str">
        <f t="shared" si="29"/>
        <v/>
      </c>
      <c r="K482" s="105" t="str">
        <f t="shared" si="30"/>
        <v/>
      </c>
      <c r="L482" s="104" t="str">
        <f>IF(B482="","",VLOOKUP(B482&amp;F482&amp;H482,经纬!A:M,13,FALSE)*N482)</f>
        <v/>
      </c>
      <c r="M482" s="104" t="str">
        <f>IF(B482="","",VLOOKUP(B482&amp;F482&amp;H482,经纬!A:N,14,FALSE)*N482)</f>
        <v/>
      </c>
      <c r="R482" s="250" t="str">
        <f t="shared" si="31"/>
        <v/>
      </c>
    </row>
    <row r="483" spans="1:18">
      <c r="A483" s="4">
        <v>492</v>
      </c>
      <c r="C483" s="8" t="str">
        <f>IF(B483="","",VLOOKUP(B483,经纬!B:C,2,FALSE))</f>
        <v/>
      </c>
      <c r="D483" s="8" t="str">
        <f>IF(B483="","",VLOOKUP(B483,经纬!B:G,6,FALSE))</f>
        <v/>
      </c>
      <c r="E483" s="8" t="str">
        <f t="shared" si="28"/>
        <v/>
      </c>
      <c r="J483" s="105" t="str">
        <f t="shared" si="29"/>
        <v/>
      </c>
      <c r="K483" s="105" t="str">
        <f t="shared" si="30"/>
        <v/>
      </c>
      <c r="L483" s="104" t="str">
        <f>IF(B483="","",VLOOKUP(B483&amp;F483&amp;H483,经纬!A:M,13,FALSE)*N483)</f>
        <v/>
      </c>
      <c r="M483" s="104" t="str">
        <f>IF(B483="","",VLOOKUP(B483&amp;F483&amp;H483,经纬!A:N,14,FALSE)*N483)</f>
        <v/>
      </c>
      <c r="R483" s="250" t="str">
        <f t="shared" si="31"/>
        <v/>
      </c>
    </row>
    <row r="484" spans="1:18">
      <c r="A484" s="4">
        <v>493</v>
      </c>
      <c r="C484" s="8" t="str">
        <f>IF(B484="","",VLOOKUP(B484,经纬!B:C,2,FALSE))</f>
        <v/>
      </c>
      <c r="D484" s="8" t="str">
        <f>IF(B484="","",VLOOKUP(B484,经纬!B:G,6,FALSE))</f>
        <v/>
      </c>
      <c r="E484" s="8" t="str">
        <f t="shared" si="28"/>
        <v/>
      </c>
      <c r="J484" s="105" t="str">
        <f t="shared" si="29"/>
        <v/>
      </c>
      <c r="K484" s="105" t="str">
        <f t="shared" si="30"/>
        <v/>
      </c>
      <c r="L484" s="104" t="str">
        <f>IF(B484="","",VLOOKUP(B484&amp;F484&amp;H484,经纬!A:M,13,FALSE)*N484)</f>
        <v/>
      </c>
      <c r="M484" s="104" t="str">
        <f>IF(B484="","",VLOOKUP(B484&amp;F484&amp;H484,经纬!A:N,14,FALSE)*N484)</f>
        <v/>
      </c>
      <c r="R484" s="250" t="str">
        <f t="shared" si="31"/>
        <v/>
      </c>
    </row>
    <row r="485" spans="1:18">
      <c r="A485" s="4">
        <v>494</v>
      </c>
      <c r="C485" s="8" t="str">
        <f>IF(B485="","",VLOOKUP(B485,经纬!B:C,2,FALSE))</f>
        <v/>
      </c>
      <c r="D485" s="8" t="str">
        <f>IF(B485="","",VLOOKUP(B485,经纬!B:G,6,FALSE))</f>
        <v/>
      </c>
      <c r="E485" s="8" t="str">
        <f t="shared" si="28"/>
        <v/>
      </c>
      <c r="J485" s="105" t="str">
        <f t="shared" si="29"/>
        <v/>
      </c>
      <c r="K485" s="105" t="str">
        <f t="shared" si="30"/>
        <v/>
      </c>
      <c r="L485" s="104" t="str">
        <f>IF(B485="","",VLOOKUP(B485&amp;F485&amp;H485,经纬!A:M,13,FALSE)*N485)</f>
        <v/>
      </c>
      <c r="M485" s="104" t="str">
        <f>IF(B485="","",VLOOKUP(B485&amp;F485&amp;H485,经纬!A:N,14,FALSE)*N485)</f>
        <v/>
      </c>
      <c r="R485" s="250" t="str">
        <f t="shared" si="31"/>
        <v/>
      </c>
    </row>
    <row r="486" spans="1:18">
      <c r="A486" s="4">
        <v>495</v>
      </c>
      <c r="C486" s="8" t="str">
        <f>IF(B486="","",VLOOKUP(B486,经纬!B:C,2,FALSE))</f>
        <v/>
      </c>
      <c r="D486" s="8" t="str">
        <f>IF(B486="","",VLOOKUP(B486,经纬!B:G,6,FALSE))</f>
        <v/>
      </c>
      <c r="E486" s="8" t="str">
        <f t="shared" si="28"/>
        <v/>
      </c>
      <c r="J486" s="105" t="str">
        <f t="shared" si="29"/>
        <v/>
      </c>
      <c r="K486" s="105" t="str">
        <f t="shared" si="30"/>
        <v/>
      </c>
      <c r="L486" s="104" t="str">
        <f>IF(B486="","",VLOOKUP(B486&amp;F486&amp;H486,经纬!A:M,13,FALSE)*N486)</f>
        <v/>
      </c>
      <c r="M486" s="104" t="str">
        <f>IF(B486="","",VLOOKUP(B486&amp;F486&amp;H486,经纬!A:N,14,FALSE)*N486)</f>
        <v/>
      </c>
      <c r="R486" s="250" t="str">
        <f t="shared" si="31"/>
        <v/>
      </c>
    </row>
    <row r="487" spans="1:18">
      <c r="A487" s="4">
        <v>496</v>
      </c>
      <c r="C487" s="8" t="str">
        <f>IF(B487="","",VLOOKUP(B487,经纬!B:C,2,FALSE))</f>
        <v/>
      </c>
      <c r="D487" s="8" t="str">
        <f>IF(B487="","",VLOOKUP(B487,经纬!B:G,6,FALSE))</f>
        <v/>
      </c>
      <c r="E487" s="8" t="str">
        <f t="shared" si="28"/>
        <v/>
      </c>
      <c r="J487" s="105" t="str">
        <f t="shared" si="29"/>
        <v/>
      </c>
      <c r="K487" s="105" t="str">
        <f t="shared" si="30"/>
        <v/>
      </c>
      <c r="L487" s="104" t="str">
        <f>IF(B487="","",VLOOKUP(B487&amp;F487&amp;H487,经纬!A:M,13,FALSE)*N487)</f>
        <v/>
      </c>
      <c r="M487" s="104" t="str">
        <f>IF(B487="","",VLOOKUP(B487&amp;F487&amp;H487,经纬!A:N,14,FALSE)*N487)</f>
        <v/>
      </c>
      <c r="R487" s="250" t="str">
        <f t="shared" si="31"/>
        <v/>
      </c>
    </row>
    <row r="488" spans="1:18">
      <c r="A488" s="4">
        <v>497</v>
      </c>
      <c r="C488" s="8" t="str">
        <f>IF(B488="","",VLOOKUP(B488,经纬!B:C,2,FALSE))</f>
        <v/>
      </c>
      <c r="D488" s="8" t="str">
        <f>IF(B488="","",VLOOKUP(B488,经纬!B:G,6,FALSE))</f>
        <v/>
      </c>
      <c r="E488" s="8" t="str">
        <f t="shared" si="28"/>
        <v/>
      </c>
      <c r="J488" s="105" t="str">
        <f t="shared" si="29"/>
        <v/>
      </c>
      <c r="K488" s="105" t="str">
        <f t="shared" si="30"/>
        <v/>
      </c>
      <c r="L488" s="104" t="str">
        <f>IF(B488="","",VLOOKUP(B488&amp;F488&amp;H488,经纬!A:M,13,FALSE)*N488)</f>
        <v/>
      </c>
      <c r="M488" s="104" t="str">
        <f>IF(B488="","",VLOOKUP(B488&amp;F488&amp;H488,经纬!A:N,14,FALSE)*N488)</f>
        <v/>
      </c>
      <c r="R488" s="250" t="str">
        <f t="shared" si="31"/>
        <v/>
      </c>
    </row>
    <row r="489" spans="1:18">
      <c r="A489" s="4">
        <v>498</v>
      </c>
      <c r="C489" s="8" t="str">
        <f>IF(B489="","",VLOOKUP(B489,经纬!B:C,2,FALSE))</f>
        <v/>
      </c>
      <c r="D489" s="8" t="str">
        <f>IF(B489="","",VLOOKUP(B489,经纬!B:G,6,FALSE))</f>
        <v/>
      </c>
      <c r="E489" s="8" t="str">
        <f t="shared" si="28"/>
        <v/>
      </c>
      <c r="J489" s="105" t="str">
        <f t="shared" si="29"/>
        <v/>
      </c>
      <c r="K489" s="105" t="str">
        <f t="shared" si="30"/>
        <v/>
      </c>
      <c r="L489" s="104" t="str">
        <f>IF(B489="","",VLOOKUP(B489&amp;F489&amp;H489,经纬!A:M,13,FALSE)*N489)</f>
        <v/>
      </c>
      <c r="M489" s="104" t="str">
        <f>IF(B489="","",VLOOKUP(B489&amp;F489&amp;H489,经纬!A:N,14,FALSE)*N489)</f>
        <v/>
      </c>
      <c r="R489" s="250" t="str">
        <f t="shared" si="31"/>
        <v/>
      </c>
    </row>
    <row r="490" spans="1:18">
      <c r="A490" s="4">
        <v>499</v>
      </c>
      <c r="C490" s="8" t="str">
        <f>IF(B490="","",VLOOKUP(B490,经纬!B:C,2,FALSE))</f>
        <v/>
      </c>
      <c r="D490" s="8" t="str">
        <f>IF(B490="","",VLOOKUP(B490,经纬!B:G,6,FALSE))</f>
        <v/>
      </c>
      <c r="E490" s="8" t="str">
        <f t="shared" si="28"/>
        <v/>
      </c>
      <c r="J490" s="105" t="str">
        <f t="shared" si="29"/>
        <v/>
      </c>
      <c r="K490" s="105" t="str">
        <f t="shared" si="30"/>
        <v/>
      </c>
      <c r="L490" s="104" t="str">
        <f>IF(B490="","",VLOOKUP(B490&amp;F490&amp;H490,经纬!A:M,13,FALSE)*N490)</f>
        <v/>
      </c>
      <c r="M490" s="104" t="str">
        <f>IF(B490="","",VLOOKUP(B490&amp;F490&amp;H490,经纬!A:N,14,FALSE)*N490)</f>
        <v/>
      </c>
      <c r="R490" s="250" t="str">
        <f t="shared" si="31"/>
        <v/>
      </c>
    </row>
    <row r="491" spans="1:18">
      <c r="A491" s="4">
        <v>500</v>
      </c>
      <c r="C491" s="8" t="str">
        <f>IF(B491="","",VLOOKUP(B491,经纬!B:C,2,FALSE))</f>
        <v/>
      </c>
      <c r="D491" s="8" t="str">
        <f>IF(B491="","",VLOOKUP(B491,经纬!B:G,6,FALSE))</f>
        <v/>
      </c>
      <c r="E491" s="8" t="str">
        <f t="shared" si="28"/>
        <v/>
      </c>
      <c r="J491" s="105" t="str">
        <f t="shared" si="29"/>
        <v/>
      </c>
      <c r="K491" s="105" t="str">
        <f t="shared" si="30"/>
        <v/>
      </c>
      <c r="L491" s="104" t="str">
        <f>IF(B491="","",VLOOKUP(B491&amp;F491&amp;H491,经纬!A:M,13,FALSE)*N491)</f>
        <v/>
      </c>
      <c r="M491" s="104" t="str">
        <f>IF(B491="","",VLOOKUP(B491&amp;F491&amp;H491,经纬!A:N,14,FALSE)*N491)</f>
        <v/>
      </c>
      <c r="R491" s="250" t="str">
        <f t="shared" si="31"/>
        <v/>
      </c>
    </row>
    <row r="492" spans="1:18">
      <c r="A492" s="4">
        <v>501</v>
      </c>
      <c r="C492" s="8" t="str">
        <f>IF(B492="","",VLOOKUP(B492,经纬!B:C,2,FALSE))</f>
        <v/>
      </c>
      <c r="D492" s="8" t="str">
        <f>IF(B492="","",VLOOKUP(B492,经纬!B:G,6,FALSE))</f>
        <v/>
      </c>
      <c r="E492" s="8" t="str">
        <f t="shared" si="28"/>
        <v/>
      </c>
      <c r="J492" s="105" t="str">
        <f t="shared" si="29"/>
        <v/>
      </c>
      <c r="K492" s="105" t="str">
        <f t="shared" si="30"/>
        <v/>
      </c>
      <c r="L492" s="104" t="str">
        <f>IF(B492="","",VLOOKUP(B492&amp;F492&amp;H492,经纬!A:M,13,FALSE)*N492)</f>
        <v/>
      </c>
      <c r="M492" s="104" t="str">
        <f>IF(B492="","",VLOOKUP(B492&amp;F492&amp;H492,经纬!A:N,14,FALSE)*N492)</f>
        <v/>
      </c>
      <c r="R492" s="250" t="str">
        <f t="shared" si="31"/>
        <v/>
      </c>
    </row>
    <row r="493" spans="1:18">
      <c r="A493" s="4">
        <v>502</v>
      </c>
      <c r="C493" s="8" t="str">
        <f>IF(B493="","",VLOOKUP(B493,经纬!B:C,2,FALSE))</f>
        <v/>
      </c>
      <c r="D493" s="8" t="str">
        <f>IF(B493="","",VLOOKUP(B493,经纬!B:G,6,FALSE))</f>
        <v/>
      </c>
      <c r="E493" s="8" t="str">
        <f t="shared" si="28"/>
        <v/>
      </c>
      <c r="J493" s="105" t="str">
        <f t="shared" si="29"/>
        <v/>
      </c>
      <c r="K493" s="105" t="str">
        <f t="shared" si="30"/>
        <v/>
      </c>
      <c r="L493" s="104" t="str">
        <f>IF(B493="","",VLOOKUP(B493&amp;F493&amp;H493,经纬!A:M,13,FALSE)*N493)</f>
        <v/>
      </c>
      <c r="M493" s="104" t="str">
        <f>IF(B493="","",VLOOKUP(B493&amp;F493&amp;H493,经纬!A:N,14,FALSE)*N493)</f>
        <v/>
      </c>
      <c r="R493" s="250" t="str">
        <f t="shared" si="31"/>
        <v/>
      </c>
    </row>
    <row r="494" spans="1:18">
      <c r="A494" s="4">
        <v>503</v>
      </c>
      <c r="C494" s="8" t="str">
        <f>IF(B494="","",VLOOKUP(B494,经纬!B:C,2,FALSE))</f>
        <v/>
      </c>
      <c r="D494" s="8" t="str">
        <f>IF(B494="","",VLOOKUP(B494,经纬!B:G,6,FALSE))</f>
        <v/>
      </c>
      <c r="E494" s="8" t="str">
        <f t="shared" si="28"/>
        <v/>
      </c>
      <c r="J494" s="105" t="str">
        <f t="shared" si="29"/>
        <v/>
      </c>
      <c r="K494" s="105" t="str">
        <f t="shared" si="30"/>
        <v/>
      </c>
      <c r="L494" s="104" t="str">
        <f>IF(B494="","",VLOOKUP(B494&amp;F494&amp;H494,经纬!A:M,13,FALSE)*N494)</f>
        <v/>
      </c>
      <c r="M494" s="104" t="str">
        <f>IF(B494="","",VLOOKUP(B494&amp;F494&amp;H494,经纬!A:N,14,FALSE)*N494)</f>
        <v/>
      </c>
      <c r="R494" s="250" t="str">
        <f t="shared" si="31"/>
        <v/>
      </c>
    </row>
    <row r="495" spans="1:18">
      <c r="A495" s="4">
        <v>504</v>
      </c>
      <c r="C495" s="8" t="str">
        <f>IF(B495="","",VLOOKUP(B495,经纬!B:C,2,FALSE))</f>
        <v/>
      </c>
      <c r="D495" s="8" t="str">
        <f>IF(B495="","",VLOOKUP(B495,经纬!B:G,6,FALSE))</f>
        <v/>
      </c>
      <c r="E495" s="8" t="str">
        <f t="shared" si="28"/>
        <v/>
      </c>
      <c r="J495" s="105" t="str">
        <f t="shared" si="29"/>
        <v/>
      </c>
      <c r="K495" s="105" t="str">
        <f t="shared" si="30"/>
        <v/>
      </c>
      <c r="L495" s="104" t="str">
        <f>IF(B495="","",VLOOKUP(B495&amp;F495&amp;H495,经纬!A:M,13,FALSE)*N495)</f>
        <v/>
      </c>
      <c r="M495" s="104" t="str">
        <f>IF(B495="","",VLOOKUP(B495&amp;F495&amp;H495,经纬!A:N,14,FALSE)*N495)</f>
        <v/>
      </c>
      <c r="R495" s="250" t="str">
        <f t="shared" si="31"/>
        <v/>
      </c>
    </row>
    <row r="496" spans="1:18">
      <c r="A496" s="4">
        <v>505</v>
      </c>
      <c r="C496" s="8" t="str">
        <f>IF(B496="","",VLOOKUP(B496,经纬!B:C,2,FALSE))</f>
        <v/>
      </c>
      <c r="D496" s="8" t="str">
        <f>IF(B496="","",VLOOKUP(B496,经纬!B:G,6,FALSE))</f>
        <v/>
      </c>
      <c r="E496" s="8" t="str">
        <f t="shared" si="28"/>
        <v/>
      </c>
      <c r="J496" s="105" t="str">
        <f t="shared" si="29"/>
        <v/>
      </c>
      <c r="K496" s="105" t="str">
        <f t="shared" si="30"/>
        <v/>
      </c>
      <c r="L496" s="104" t="str">
        <f>IF(B496="","",VLOOKUP(B496&amp;F496&amp;H496,经纬!A:M,13,FALSE)*N496)</f>
        <v/>
      </c>
      <c r="M496" s="104" t="str">
        <f>IF(B496="","",VLOOKUP(B496&amp;F496&amp;H496,经纬!A:N,14,FALSE)*N496)</f>
        <v/>
      </c>
      <c r="R496" s="250" t="str">
        <f t="shared" si="31"/>
        <v/>
      </c>
    </row>
    <row r="497" spans="1:18">
      <c r="A497" s="4">
        <v>506</v>
      </c>
      <c r="C497" s="8" t="str">
        <f>IF(B497="","",VLOOKUP(B497,经纬!B:C,2,FALSE))</f>
        <v/>
      </c>
      <c r="D497" s="8" t="str">
        <f>IF(B497="","",VLOOKUP(B497,经纬!B:G,6,FALSE))</f>
        <v/>
      </c>
      <c r="E497" s="8" t="str">
        <f t="shared" si="28"/>
        <v/>
      </c>
      <c r="J497" s="105" t="str">
        <f t="shared" si="29"/>
        <v/>
      </c>
      <c r="K497" s="105" t="str">
        <f t="shared" si="30"/>
        <v/>
      </c>
      <c r="L497" s="104" t="str">
        <f>IF(B497="","",VLOOKUP(B497&amp;F497&amp;H497,经纬!A:M,13,FALSE)*N497)</f>
        <v/>
      </c>
      <c r="M497" s="104" t="str">
        <f>IF(B497="","",VLOOKUP(B497&amp;F497&amp;H497,经纬!A:N,14,FALSE)*N497)</f>
        <v/>
      </c>
      <c r="R497" s="250" t="str">
        <f t="shared" si="31"/>
        <v/>
      </c>
    </row>
    <row r="498" spans="1:18">
      <c r="A498" s="4">
        <v>507</v>
      </c>
      <c r="C498" s="8" t="str">
        <f>IF(B498="","",VLOOKUP(B498,经纬!B:C,2,FALSE))</f>
        <v/>
      </c>
      <c r="D498" s="8" t="str">
        <f>IF(B498="","",VLOOKUP(B498,经纬!B:G,6,FALSE))</f>
        <v/>
      </c>
      <c r="E498" s="8" t="str">
        <f t="shared" si="28"/>
        <v/>
      </c>
      <c r="J498" s="105" t="str">
        <f t="shared" si="29"/>
        <v/>
      </c>
      <c r="K498" s="105" t="str">
        <f t="shared" si="30"/>
        <v/>
      </c>
      <c r="L498" s="104" t="str">
        <f>IF(B498="","",VLOOKUP(B498&amp;F498&amp;H498,经纬!A:M,13,FALSE)*N498)</f>
        <v/>
      </c>
      <c r="M498" s="104" t="str">
        <f>IF(B498="","",VLOOKUP(B498&amp;F498&amp;H498,经纬!A:N,14,FALSE)*N498)</f>
        <v/>
      </c>
      <c r="R498" s="250" t="str">
        <f t="shared" si="31"/>
        <v/>
      </c>
    </row>
    <row r="499" spans="1:18">
      <c r="A499" s="4">
        <v>508</v>
      </c>
      <c r="C499" s="8" t="str">
        <f>IF(B499="","",VLOOKUP(B499,经纬!B:C,2,FALSE))</f>
        <v/>
      </c>
      <c r="D499" s="8" t="str">
        <f>IF(B499="","",VLOOKUP(B499,经纬!B:G,6,FALSE))</f>
        <v/>
      </c>
      <c r="E499" s="8" t="str">
        <f t="shared" si="28"/>
        <v/>
      </c>
      <c r="J499" s="105" t="str">
        <f t="shared" si="29"/>
        <v/>
      </c>
      <c r="K499" s="105" t="str">
        <f t="shared" si="30"/>
        <v/>
      </c>
      <c r="L499" s="104" t="str">
        <f>IF(B499="","",VLOOKUP(B499&amp;F499&amp;H499,经纬!A:M,13,FALSE)*N499)</f>
        <v/>
      </c>
      <c r="M499" s="104" t="str">
        <f>IF(B499="","",VLOOKUP(B499&amp;F499&amp;H499,经纬!A:N,14,FALSE)*N499)</f>
        <v/>
      </c>
      <c r="R499" s="250" t="str">
        <f t="shared" si="31"/>
        <v/>
      </c>
    </row>
    <row r="500" spans="1:18">
      <c r="A500" s="4">
        <v>509</v>
      </c>
      <c r="C500" s="8" t="str">
        <f>IF(B500="","",VLOOKUP(B500,经纬!B:C,2,FALSE))</f>
        <v/>
      </c>
      <c r="D500" s="8" t="str">
        <f>IF(B500="","",VLOOKUP(B500,经纬!B:G,6,FALSE))</f>
        <v/>
      </c>
      <c r="E500" s="8" t="str">
        <f t="shared" si="28"/>
        <v/>
      </c>
      <c r="J500" s="105" t="str">
        <f t="shared" si="29"/>
        <v/>
      </c>
      <c r="K500" s="105" t="str">
        <f t="shared" si="30"/>
        <v/>
      </c>
      <c r="L500" s="104" t="str">
        <f>IF(B500="","",VLOOKUP(B500&amp;F500&amp;H500,经纬!A:M,13,FALSE)*N500)</f>
        <v/>
      </c>
      <c r="M500" s="104" t="str">
        <f>IF(B500="","",VLOOKUP(B500&amp;F500&amp;H500,经纬!A:N,14,FALSE)*N500)</f>
        <v/>
      </c>
      <c r="R500" s="250" t="str">
        <f t="shared" si="31"/>
        <v/>
      </c>
    </row>
    <row r="501" spans="1:18">
      <c r="A501" s="4">
        <v>510</v>
      </c>
      <c r="C501" s="8" t="str">
        <f>IF(B501="","",VLOOKUP(B501,经纬!B:C,2,FALSE))</f>
        <v/>
      </c>
      <c r="D501" s="8" t="str">
        <f>IF(B501="","",VLOOKUP(B501,经纬!B:G,6,FALSE))</f>
        <v/>
      </c>
      <c r="E501" s="8" t="str">
        <f t="shared" si="28"/>
        <v/>
      </c>
      <c r="J501" s="105" t="str">
        <f t="shared" si="29"/>
        <v/>
      </c>
      <c r="K501" s="105" t="str">
        <f t="shared" si="30"/>
        <v/>
      </c>
      <c r="L501" s="104" t="str">
        <f>IF(B501="","",VLOOKUP(B501&amp;F501&amp;H501,经纬!A:M,13,FALSE)*N501)</f>
        <v/>
      </c>
      <c r="M501" s="104" t="str">
        <f>IF(B501="","",VLOOKUP(B501&amp;F501&amp;H501,经纬!A:N,14,FALSE)*N501)</f>
        <v/>
      </c>
      <c r="R501" s="250" t="str">
        <f t="shared" si="31"/>
        <v/>
      </c>
    </row>
    <row r="502" spans="1:18">
      <c r="A502" s="4">
        <v>511</v>
      </c>
      <c r="C502" s="8" t="str">
        <f>IF(B502="","",VLOOKUP(B502,经纬!B:C,2,FALSE))</f>
        <v/>
      </c>
      <c r="D502" s="8" t="str">
        <f>IF(B502="","",VLOOKUP(B502,经纬!B:G,6,FALSE))</f>
        <v/>
      </c>
      <c r="E502" s="8" t="str">
        <f t="shared" si="28"/>
        <v/>
      </c>
      <c r="J502" s="105" t="str">
        <f t="shared" si="29"/>
        <v/>
      </c>
      <c r="K502" s="105" t="str">
        <f t="shared" si="30"/>
        <v/>
      </c>
      <c r="L502" s="104" t="str">
        <f>IF(B502="","",VLOOKUP(B502&amp;F502&amp;H502,经纬!A:M,13,FALSE)*N502)</f>
        <v/>
      </c>
      <c r="M502" s="104" t="str">
        <f>IF(B502="","",VLOOKUP(B502&amp;F502&amp;H502,经纬!A:N,14,FALSE)*N502)</f>
        <v/>
      </c>
      <c r="R502" s="250" t="str">
        <f t="shared" si="31"/>
        <v/>
      </c>
    </row>
    <row r="503" spans="1:18">
      <c r="A503" s="4">
        <v>512</v>
      </c>
      <c r="C503" s="8" t="str">
        <f>IF(B503="","",VLOOKUP(B503,经纬!B:C,2,FALSE))</f>
        <v/>
      </c>
      <c r="D503" s="8" t="str">
        <f>IF(B503="","",VLOOKUP(B503,经纬!B:G,6,FALSE))</f>
        <v/>
      </c>
      <c r="E503" s="8" t="str">
        <f t="shared" si="28"/>
        <v/>
      </c>
      <c r="J503" s="105" t="str">
        <f t="shared" si="29"/>
        <v/>
      </c>
      <c r="K503" s="105" t="str">
        <f t="shared" si="30"/>
        <v/>
      </c>
      <c r="L503" s="104" t="str">
        <f>IF(B503="","",VLOOKUP(B503&amp;F503&amp;H503,经纬!A:M,13,FALSE)*N503)</f>
        <v/>
      </c>
      <c r="M503" s="104" t="str">
        <f>IF(B503="","",VLOOKUP(B503&amp;F503&amp;H503,经纬!A:N,14,FALSE)*N503)</f>
        <v/>
      </c>
      <c r="R503" s="250" t="str">
        <f t="shared" si="31"/>
        <v/>
      </c>
    </row>
    <row r="504" spans="1:18">
      <c r="A504" s="4">
        <v>513</v>
      </c>
      <c r="C504" s="8" t="str">
        <f>IF(B504="","",VLOOKUP(B504,经纬!B:C,2,FALSE))</f>
        <v/>
      </c>
      <c r="D504" s="8" t="str">
        <f>IF(B504="","",VLOOKUP(B504,经纬!B:G,6,FALSE))</f>
        <v/>
      </c>
      <c r="E504" s="8" t="str">
        <f t="shared" si="28"/>
        <v/>
      </c>
      <c r="J504" s="105" t="str">
        <f t="shared" si="29"/>
        <v/>
      </c>
      <c r="K504" s="105" t="str">
        <f t="shared" si="30"/>
        <v/>
      </c>
      <c r="L504" s="104" t="str">
        <f>IF(B504="","",VLOOKUP(B504&amp;F504&amp;H504,经纬!A:M,13,FALSE)*N504)</f>
        <v/>
      </c>
      <c r="M504" s="104" t="str">
        <f>IF(B504="","",VLOOKUP(B504&amp;F504&amp;H504,经纬!A:N,14,FALSE)*N504)</f>
        <v/>
      </c>
      <c r="R504" s="250" t="str">
        <f t="shared" si="31"/>
        <v/>
      </c>
    </row>
    <row r="505" spans="1:18">
      <c r="A505" s="4">
        <v>514</v>
      </c>
      <c r="C505" s="8" t="str">
        <f>IF(B505="","",VLOOKUP(B505,经纬!B:C,2,FALSE))</f>
        <v/>
      </c>
      <c r="D505" s="8" t="str">
        <f>IF(B505="","",VLOOKUP(B505,经纬!B:G,6,FALSE))</f>
        <v/>
      </c>
      <c r="E505" s="8" t="str">
        <f t="shared" si="28"/>
        <v/>
      </c>
      <c r="J505" s="105" t="str">
        <f t="shared" si="29"/>
        <v/>
      </c>
      <c r="K505" s="105" t="str">
        <f t="shared" si="30"/>
        <v/>
      </c>
      <c r="L505" s="104" t="str">
        <f>IF(B505="","",VLOOKUP(B505&amp;F505&amp;H505,经纬!A:M,13,FALSE)*N505)</f>
        <v/>
      </c>
      <c r="M505" s="104" t="str">
        <f>IF(B505="","",VLOOKUP(B505&amp;F505&amp;H505,经纬!A:N,14,FALSE)*N505)</f>
        <v/>
      </c>
      <c r="R505" s="250" t="str">
        <f t="shared" si="31"/>
        <v/>
      </c>
    </row>
    <row r="506" spans="1:18">
      <c r="A506" s="4">
        <v>515</v>
      </c>
      <c r="C506" s="8" t="str">
        <f>IF(B506="","",VLOOKUP(B506,经纬!B:C,2,FALSE))</f>
        <v/>
      </c>
      <c r="D506" s="8" t="str">
        <f>IF(B506="","",VLOOKUP(B506,经纬!B:G,6,FALSE))</f>
        <v/>
      </c>
      <c r="E506" s="8" t="str">
        <f t="shared" ref="E506:E538" si="32">IF(B506="","",MID(B506,LEN(C506),LEN(B506)-LEN(C506)-LEN(D506)+1))</f>
        <v/>
      </c>
      <c r="J506" s="105" t="str">
        <f t="shared" ref="J506:J569" si="33">IF(B506="","",LEFT(C506,FIND("*",C506)-1))</f>
        <v/>
      </c>
      <c r="K506" s="105" t="str">
        <f t="shared" ref="K506:K569" si="34">IF(B506="","",RIGHT(C506,LEN(C506)-LEN(J506)-1))</f>
        <v/>
      </c>
      <c r="L506" s="104" t="str">
        <f>IF(B506="","",VLOOKUP(B506&amp;F506&amp;H506,经纬!A:M,13,FALSE)*N506)</f>
        <v/>
      </c>
      <c r="M506" s="104" t="str">
        <f>IF(B506="","",VLOOKUP(B506&amp;F506&amp;H506,经纬!A:N,14,FALSE)*N506)</f>
        <v/>
      </c>
      <c r="R506" s="250" t="str">
        <f t="shared" si="31"/>
        <v/>
      </c>
    </row>
    <row r="507" spans="1:18">
      <c r="A507" s="4">
        <v>516</v>
      </c>
      <c r="C507" s="8" t="str">
        <f>IF(B507="","",VLOOKUP(B507,经纬!B:C,2,FALSE))</f>
        <v/>
      </c>
      <c r="D507" s="8" t="str">
        <f>IF(B507="","",VLOOKUP(B507,经纬!B:G,6,FALSE))</f>
        <v/>
      </c>
      <c r="E507" s="8" t="str">
        <f t="shared" si="32"/>
        <v/>
      </c>
      <c r="J507" s="105" t="str">
        <f t="shared" si="33"/>
        <v/>
      </c>
      <c r="K507" s="105" t="str">
        <f t="shared" si="34"/>
        <v/>
      </c>
      <c r="L507" s="104" t="str">
        <f>IF(B507="","",VLOOKUP(B507&amp;F507&amp;H507,经纬!A:M,13,FALSE)*N507)</f>
        <v/>
      </c>
      <c r="M507" s="104" t="str">
        <f>IF(B507="","",VLOOKUP(B507&amp;F507&amp;H507,经纬!A:N,14,FALSE)*N507)</f>
        <v/>
      </c>
      <c r="R507" s="250" t="str">
        <f t="shared" si="31"/>
        <v/>
      </c>
    </row>
    <row r="508" spans="1:18">
      <c r="A508" s="4">
        <v>517</v>
      </c>
      <c r="C508" s="8" t="str">
        <f>IF(B508="","",VLOOKUP(B508,经纬!B:C,2,FALSE))</f>
        <v/>
      </c>
      <c r="D508" s="8" t="str">
        <f>IF(B508="","",VLOOKUP(B508,经纬!B:G,6,FALSE))</f>
        <v/>
      </c>
      <c r="E508" s="8" t="str">
        <f t="shared" si="32"/>
        <v/>
      </c>
      <c r="J508" s="105" t="str">
        <f t="shared" si="33"/>
        <v/>
      </c>
      <c r="K508" s="105" t="str">
        <f t="shared" si="34"/>
        <v/>
      </c>
      <c r="L508" s="104" t="str">
        <f>IF(B508="","",VLOOKUP(B508&amp;F508&amp;H508,经纬!A:M,13,FALSE)*N508)</f>
        <v/>
      </c>
      <c r="M508" s="104" t="str">
        <f>IF(B508="","",VLOOKUP(B508&amp;F508&amp;H508,经纬!A:N,14,FALSE)*N508)</f>
        <v/>
      </c>
      <c r="R508" s="250" t="str">
        <f t="shared" si="31"/>
        <v/>
      </c>
    </row>
    <row r="509" spans="1:18">
      <c r="A509" s="4">
        <v>518</v>
      </c>
      <c r="C509" s="8" t="str">
        <f>IF(B509="","",VLOOKUP(B509,经纬!B:C,2,FALSE))</f>
        <v/>
      </c>
      <c r="D509" s="8" t="str">
        <f>IF(B509="","",VLOOKUP(B509,经纬!B:G,6,FALSE))</f>
        <v/>
      </c>
      <c r="E509" s="8" t="str">
        <f t="shared" si="32"/>
        <v/>
      </c>
      <c r="J509" s="105" t="str">
        <f t="shared" si="33"/>
        <v/>
      </c>
      <c r="K509" s="105" t="str">
        <f t="shared" si="34"/>
        <v/>
      </c>
      <c r="L509" s="104" t="str">
        <f>IF(B509="","",VLOOKUP(B509&amp;F509&amp;H509,经纬!A:M,13,FALSE)*N509)</f>
        <v/>
      </c>
      <c r="M509" s="104" t="str">
        <f>IF(B509="","",VLOOKUP(B509&amp;F509&amp;H509,经纬!A:N,14,FALSE)*N509)</f>
        <v/>
      </c>
      <c r="R509" s="250" t="str">
        <f t="shared" si="31"/>
        <v/>
      </c>
    </row>
    <row r="510" spans="1:18">
      <c r="A510" s="4">
        <v>519</v>
      </c>
      <c r="C510" s="8" t="str">
        <f>IF(B510="","",VLOOKUP(B510,经纬!B:C,2,FALSE))</f>
        <v/>
      </c>
      <c r="D510" s="8" t="str">
        <f>IF(B510="","",VLOOKUP(B510,经纬!B:G,6,FALSE))</f>
        <v/>
      </c>
      <c r="E510" s="8" t="str">
        <f t="shared" si="32"/>
        <v/>
      </c>
      <c r="J510" s="105" t="str">
        <f t="shared" si="33"/>
        <v/>
      </c>
      <c r="K510" s="105" t="str">
        <f t="shared" si="34"/>
        <v/>
      </c>
      <c r="L510" s="104" t="str">
        <f>IF(B510="","",VLOOKUP(B510&amp;F510&amp;H510,经纬!A:M,13,FALSE)*N510)</f>
        <v/>
      </c>
      <c r="M510" s="104" t="str">
        <f>IF(B510="","",VLOOKUP(B510&amp;F510&amp;H510,经纬!A:N,14,FALSE)*N510)</f>
        <v/>
      </c>
      <c r="R510" s="250" t="str">
        <f t="shared" si="31"/>
        <v/>
      </c>
    </row>
    <row r="511" spans="1:18">
      <c r="A511" s="4">
        <v>520</v>
      </c>
      <c r="C511" s="8" t="str">
        <f>IF(B511="","",VLOOKUP(B511,经纬!B:C,2,FALSE))</f>
        <v/>
      </c>
      <c r="D511" s="8" t="str">
        <f>IF(B511="","",VLOOKUP(B511,经纬!B:G,6,FALSE))</f>
        <v/>
      </c>
      <c r="E511" s="8" t="str">
        <f t="shared" si="32"/>
        <v/>
      </c>
      <c r="J511" s="105" t="str">
        <f t="shared" si="33"/>
        <v/>
      </c>
      <c r="K511" s="105" t="str">
        <f t="shared" si="34"/>
        <v/>
      </c>
      <c r="L511" s="104" t="str">
        <f>IF(B511="","",VLOOKUP(B511&amp;F511&amp;H511,经纬!A:M,13,FALSE)*N511)</f>
        <v/>
      </c>
      <c r="M511" s="104" t="str">
        <f>IF(B511="","",VLOOKUP(B511&amp;F511&amp;H511,经纬!A:N,14,FALSE)*N511)</f>
        <v/>
      </c>
      <c r="R511" s="250" t="str">
        <f t="shared" si="31"/>
        <v/>
      </c>
    </row>
    <row r="512" spans="1:18">
      <c r="A512" s="4">
        <v>521</v>
      </c>
      <c r="C512" s="8" t="str">
        <f>IF(B512="","",VLOOKUP(B512,经纬!B:C,2,FALSE))</f>
        <v/>
      </c>
      <c r="D512" s="8" t="str">
        <f>IF(B512="","",VLOOKUP(B512,经纬!B:G,6,FALSE))</f>
        <v/>
      </c>
      <c r="E512" s="8" t="str">
        <f t="shared" si="32"/>
        <v/>
      </c>
      <c r="J512" s="105" t="str">
        <f t="shared" si="33"/>
        <v/>
      </c>
      <c r="K512" s="105" t="str">
        <f t="shared" si="34"/>
        <v/>
      </c>
      <c r="L512" s="104" t="str">
        <f>IF(B512="","",VLOOKUP(B512&amp;F512&amp;H512,经纬!A:M,13,FALSE)*N512)</f>
        <v/>
      </c>
      <c r="M512" s="104" t="str">
        <f>IF(B512="","",VLOOKUP(B512&amp;F512&amp;H512,经纬!A:N,14,FALSE)*N512)</f>
        <v/>
      </c>
      <c r="R512" s="250" t="str">
        <f t="shared" si="31"/>
        <v/>
      </c>
    </row>
    <row r="513" spans="1:18">
      <c r="A513" s="4">
        <v>522</v>
      </c>
      <c r="C513" s="8" t="str">
        <f>IF(B513="","",VLOOKUP(B513,经纬!B:C,2,FALSE))</f>
        <v/>
      </c>
      <c r="D513" s="8" t="str">
        <f>IF(B513="","",VLOOKUP(B513,经纬!B:G,6,FALSE))</f>
        <v/>
      </c>
      <c r="E513" s="8" t="str">
        <f t="shared" si="32"/>
        <v/>
      </c>
      <c r="J513" s="105" t="str">
        <f t="shared" si="33"/>
        <v/>
      </c>
      <c r="K513" s="105" t="str">
        <f t="shared" si="34"/>
        <v/>
      </c>
      <c r="L513" s="104" t="str">
        <f>IF(B513="","",VLOOKUP(B513&amp;F513&amp;H513,经纬!A:M,13,FALSE)*N513)</f>
        <v/>
      </c>
      <c r="M513" s="104" t="str">
        <f>IF(B513="","",VLOOKUP(B513&amp;F513&amp;H513,经纬!A:N,14,FALSE)*N513)</f>
        <v/>
      </c>
      <c r="R513" s="250" t="str">
        <f t="shared" si="31"/>
        <v/>
      </c>
    </row>
    <row r="514" spans="1:18">
      <c r="A514" s="4">
        <v>523</v>
      </c>
      <c r="C514" s="8" t="str">
        <f>IF(B514="","",VLOOKUP(B514,经纬!B:C,2,FALSE))</f>
        <v/>
      </c>
      <c r="D514" s="8" t="str">
        <f>IF(B514="","",VLOOKUP(B514,经纬!B:G,6,FALSE))</f>
        <v/>
      </c>
      <c r="E514" s="8" t="str">
        <f t="shared" si="32"/>
        <v/>
      </c>
      <c r="J514" s="105" t="str">
        <f t="shared" si="33"/>
        <v/>
      </c>
      <c r="K514" s="105" t="str">
        <f t="shared" si="34"/>
        <v/>
      </c>
      <c r="L514" s="104" t="str">
        <f>IF(B514="","",VLOOKUP(B514&amp;F514&amp;H514,经纬!A:M,13,FALSE)*N514)</f>
        <v/>
      </c>
      <c r="M514" s="104" t="str">
        <f>IF(B514="","",VLOOKUP(B514&amp;F514&amp;H514,经纬!A:N,14,FALSE)*N514)</f>
        <v/>
      </c>
      <c r="R514" s="250" t="str">
        <f t="shared" si="31"/>
        <v/>
      </c>
    </row>
    <row r="515" spans="1:18">
      <c r="A515" s="4">
        <v>524</v>
      </c>
      <c r="C515" s="8" t="str">
        <f>IF(B515="","",VLOOKUP(B515,经纬!B:C,2,FALSE))</f>
        <v/>
      </c>
      <c r="D515" s="8" t="str">
        <f>IF(B515="","",VLOOKUP(B515,经纬!B:G,6,FALSE))</f>
        <v/>
      </c>
      <c r="E515" s="8" t="str">
        <f t="shared" si="32"/>
        <v/>
      </c>
      <c r="J515" s="105" t="str">
        <f t="shared" si="33"/>
        <v/>
      </c>
      <c r="K515" s="105" t="str">
        <f t="shared" si="34"/>
        <v/>
      </c>
      <c r="L515" s="104" t="str">
        <f>IF(B515="","",VLOOKUP(B515&amp;F515&amp;H515,经纬!A:M,13,FALSE)*N515)</f>
        <v/>
      </c>
      <c r="M515" s="104" t="str">
        <f>IF(B515="","",VLOOKUP(B515&amp;F515&amp;H515,经纬!A:N,14,FALSE)*N515)</f>
        <v/>
      </c>
      <c r="R515" s="250" t="str">
        <f t="shared" ref="R515:R578" si="35">IF(B515="","",MONTH(I515))</f>
        <v/>
      </c>
    </row>
    <row r="516" spans="1:18">
      <c r="A516" s="4">
        <v>525</v>
      </c>
      <c r="C516" s="8" t="str">
        <f>IF(B516="","",VLOOKUP(B516,经纬!B:C,2,FALSE))</f>
        <v/>
      </c>
      <c r="D516" s="8" t="str">
        <f>IF(B516="","",VLOOKUP(B516,经纬!B:G,6,FALSE))</f>
        <v/>
      </c>
      <c r="E516" s="8" t="str">
        <f t="shared" si="32"/>
        <v/>
      </c>
      <c r="J516" s="105" t="str">
        <f t="shared" si="33"/>
        <v/>
      </c>
      <c r="K516" s="105" t="str">
        <f t="shared" si="34"/>
        <v/>
      </c>
      <c r="L516" s="104" t="str">
        <f>IF(B516="","",VLOOKUP(B516&amp;F516&amp;H516,经纬!A:M,13,FALSE)*N516)</f>
        <v/>
      </c>
      <c r="M516" s="104" t="str">
        <f>IF(B516="","",VLOOKUP(B516&amp;F516&amp;H516,经纬!A:N,14,FALSE)*N516)</f>
        <v/>
      </c>
      <c r="R516" s="250" t="str">
        <f t="shared" si="35"/>
        <v/>
      </c>
    </row>
    <row r="517" spans="1:18">
      <c r="A517" s="4">
        <v>526</v>
      </c>
      <c r="C517" s="8" t="str">
        <f>IF(B517="","",VLOOKUP(B517,经纬!B:C,2,FALSE))</f>
        <v/>
      </c>
      <c r="D517" s="8" t="str">
        <f>IF(B517="","",VLOOKUP(B517,经纬!B:G,6,FALSE))</f>
        <v/>
      </c>
      <c r="E517" s="8" t="str">
        <f t="shared" si="32"/>
        <v/>
      </c>
      <c r="J517" s="105" t="str">
        <f t="shared" si="33"/>
        <v/>
      </c>
      <c r="K517" s="105" t="str">
        <f t="shared" si="34"/>
        <v/>
      </c>
      <c r="L517" s="104" t="str">
        <f>IF(B517="","",VLOOKUP(B517&amp;F517&amp;H517,经纬!A:M,13,FALSE)*N517)</f>
        <v/>
      </c>
      <c r="M517" s="104" t="str">
        <f>IF(B517="","",VLOOKUP(B517&amp;F517&amp;H517,经纬!A:N,14,FALSE)*N517)</f>
        <v/>
      </c>
      <c r="R517" s="250" t="str">
        <f t="shared" si="35"/>
        <v/>
      </c>
    </row>
    <row r="518" spans="1:18">
      <c r="A518" s="4">
        <v>527</v>
      </c>
      <c r="C518" s="8" t="str">
        <f>IF(B518="","",VLOOKUP(B518,经纬!B:C,2,FALSE))</f>
        <v/>
      </c>
      <c r="D518" s="8" t="str">
        <f>IF(B518="","",VLOOKUP(B518,经纬!B:G,6,FALSE))</f>
        <v/>
      </c>
      <c r="E518" s="8" t="str">
        <f t="shared" si="32"/>
        <v/>
      </c>
      <c r="J518" s="105" t="str">
        <f t="shared" si="33"/>
        <v/>
      </c>
      <c r="K518" s="105" t="str">
        <f t="shared" si="34"/>
        <v/>
      </c>
      <c r="L518" s="104" t="str">
        <f>IF(B518="","",VLOOKUP(B518&amp;F518&amp;H518,经纬!A:M,13,FALSE)*N518)</f>
        <v/>
      </c>
      <c r="M518" s="104" t="str">
        <f>IF(B518="","",VLOOKUP(B518&amp;F518&amp;H518,经纬!A:N,14,FALSE)*N518)</f>
        <v/>
      </c>
      <c r="R518" s="250" t="str">
        <f t="shared" si="35"/>
        <v/>
      </c>
    </row>
    <row r="519" spans="1:18">
      <c r="A519" s="4">
        <v>528</v>
      </c>
      <c r="C519" s="8" t="str">
        <f>IF(B519="","",VLOOKUP(B519,经纬!B:C,2,FALSE))</f>
        <v/>
      </c>
      <c r="D519" s="8" t="str">
        <f>IF(B519="","",VLOOKUP(B519,经纬!B:G,6,FALSE))</f>
        <v/>
      </c>
      <c r="E519" s="8" t="str">
        <f t="shared" si="32"/>
        <v/>
      </c>
      <c r="F519" s="8" t="str">
        <f>IF(B519="","",VLOOKUP(B519,小圆机汇总表!A:AP,5,FALSE))</f>
        <v/>
      </c>
      <c r="G519" s="8" t="str">
        <f>IF(B519="","",VLOOKUP(B519,小圆机汇总表!A:AP,8,FALSE))</f>
        <v/>
      </c>
      <c r="J519" s="105" t="str">
        <f t="shared" si="33"/>
        <v/>
      </c>
      <c r="K519" s="105" t="str">
        <f t="shared" si="34"/>
        <v/>
      </c>
      <c r="L519" s="104" t="str">
        <f>IF(B519="","",VLOOKUP(B519&amp;F519&amp;H519,经纬!A:M,13,FALSE)*N519)</f>
        <v/>
      </c>
      <c r="M519" s="104" t="str">
        <f>IF(B519="","",VLOOKUP(B519&amp;F519&amp;H519,经纬!A:N,14,FALSE)*N519)</f>
        <v/>
      </c>
      <c r="P519" s="8" t="str">
        <f t="shared" ref="P519:P536" si="36">IF(B519="","",MONTH(I519))</f>
        <v/>
      </c>
      <c r="R519" s="250" t="str">
        <f t="shared" si="35"/>
        <v/>
      </c>
    </row>
    <row r="520" spans="1:18">
      <c r="A520" s="4">
        <v>529</v>
      </c>
      <c r="C520" s="8" t="str">
        <f>IF(B520="","",VLOOKUP(B520,经纬!B:C,2,FALSE))</f>
        <v/>
      </c>
      <c r="D520" s="8" t="str">
        <f>IF(B520="","",VLOOKUP(B520,经纬!B:G,6,FALSE))</f>
        <v/>
      </c>
      <c r="E520" s="8" t="str">
        <f t="shared" si="32"/>
        <v/>
      </c>
      <c r="F520" s="8" t="str">
        <f>IF(B520="","",VLOOKUP(B520,小圆机汇总表!A:AP,5,FALSE))</f>
        <v/>
      </c>
      <c r="G520" s="8" t="str">
        <f>IF(B520="","",VLOOKUP(B520,小圆机汇总表!A:AP,8,FALSE))</f>
        <v/>
      </c>
      <c r="J520" s="105" t="str">
        <f t="shared" si="33"/>
        <v/>
      </c>
      <c r="K520" s="105" t="str">
        <f t="shared" si="34"/>
        <v/>
      </c>
      <c r="L520" s="104" t="str">
        <f>IF(B520="","",VLOOKUP(B520&amp;F520&amp;H520,经纬!A:M,13,FALSE)*N520)</f>
        <v/>
      </c>
      <c r="M520" s="104" t="str">
        <f>IF(B520="","",VLOOKUP(B520&amp;F520&amp;H520,经纬!A:N,14,FALSE)*N520)</f>
        <v/>
      </c>
      <c r="P520" s="8" t="str">
        <f t="shared" si="36"/>
        <v/>
      </c>
      <c r="R520" s="250" t="str">
        <f t="shared" si="35"/>
        <v/>
      </c>
    </row>
    <row r="521" spans="1:18">
      <c r="A521" s="4">
        <v>530</v>
      </c>
      <c r="C521" s="8" t="str">
        <f>IF(B521="","",VLOOKUP(B521,经纬!B:C,2,FALSE))</f>
        <v/>
      </c>
      <c r="D521" s="8" t="str">
        <f>IF(B521="","",VLOOKUP(B521,经纬!B:G,6,FALSE))</f>
        <v/>
      </c>
      <c r="E521" s="8" t="str">
        <f t="shared" si="32"/>
        <v/>
      </c>
      <c r="F521" s="8" t="str">
        <f>IF(B521="","",VLOOKUP(B521,小圆机汇总表!A:AP,5,FALSE))</f>
        <v/>
      </c>
      <c r="G521" s="8" t="str">
        <f>IF(B521="","",VLOOKUP(B521,小圆机汇总表!A:AP,8,FALSE))</f>
        <v/>
      </c>
      <c r="J521" s="105" t="str">
        <f t="shared" si="33"/>
        <v/>
      </c>
      <c r="K521" s="105" t="str">
        <f t="shared" si="34"/>
        <v/>
      </c>
      <c r="L521" s="104" t="str">
        <f>IF(B521="","",VLOOKUP(B521&amp;F521&amp;H521,经纬!A:M,13,FALSE)*N521)</f>
        <v/>
      </c>
      <c r="M521" s="104" t="str">
        <f>IF(B521="","",VLOOKUP(B521&amp;F521&amp;H521,经纬!A:N,14,FALSE)*N521)</f>
        <v/>
      </c>
      <c r="P521" s="8" t="str">
        <f t="shared" si="36"/>
        <v/>
      </c>
      <c r="R521" s="250" t="str">
        <f t="shared" si="35"/>
        <v/>
      </c>
    </row>
    <row r="522" spans="1:18">
      <c r="A522" s="4">
        <v>531</v>
      </c>
      <c r="C522" s="8" t="str">
        <f>IF(B522="","",VLOOKUP(B522,经纬!B:C,2,FALSE))</f>
        <v/>
      </c>
      <c r="D522" s="8" t="str">
        <f>IF(B522="","",VLOOKUP(B522,经纬!B:G,6,FALSE))</f>
        <v/>
      </c>
      <c r="E522" s="8" t="str">
        <f t="shared" si="32"/>
        <v/>
      </c>
      <c r="F522" s="8" t="str">
        <f>IF(B522="","",VLOOKUP(B522,小圆机汇总表!A:AP,5,FALSE))</f>
        <v/>
      </c>
      <c r="G522" s="8" t="str">
        <f>IF(B522="","",VLOOKUP(B522,小圆机汇总表!A:AP,8,FALSE))</f>
        <v/>
      </c>
      <c r="J522" s="105" t="str">
        <f t="shared" si="33"/>
        <v/>
      </c>
      <c r="K522" s="105" t="str">
        <f t="shared" si="34"/>
        <v/>
      </c>
      <c r="L522" s="104" t="str">
        <f>IF(B522="","",VLOOKUP(B522&amp;F522&amp;H522,经纬!A:M,13,FALSE)*N522)</f>
        <v/>
      </c>
      <c r="M522" s="104" t="str">
        <f>IF(B522="","",VLOOKUP(B522&amp;F522&amp;H522,经纬!A:N,14,FALSE)*N522)</f>
        <v/>
      </c>
      <c r="P522" s="8" t="str">
        <f t="shared" si="36"/>
        <v/>
      </c>
      <c r="R522" s="250" t="str">
        <f t="shared" si="35"/>
        <v/>
      </c>
    </row>
    <row r="523" spans="1:18">
      <c r="A523" s="4">
        <v>532</v>
      </c>
      <c r="C523" s="8" t="str">
        <f>IF(B523="","",VLOOKUP(B523,经纬!B:C,2,FALSE))</f>
        <v/>
      </c>
      <c r="D523" s="8" t="str">
        <f>IF(B523="","",VLOOKUP(B523,经纬!B:G,6,FALSE))</f>
        <v/>
      </c>
      <c r="E523" s="8" t="str">
        <f t="shared" si="32"/>
        <v/>
      </c>
      <c r="F523" s="8" t="str">
        <f>IF(B523="","",VLOOKUP(B523,小圆机汇总表!A:AP,5,FALSE))</f>
        <v/>
      </c>
      <c r="G523" s="8" t="str">
        <f>IF(B523="","",VLOOKUP(B523,小圆机汇总表!A:AP,8,FALSE))</f>
        <v/>
      </c>
      <c r="J523" s="105" t="str">
        <f t="shared" si="33"/>
        <v/>
      </c>
      <c r="K523" s="105" t="str">
        <f t="shared" si="34"/>
        <v/>
      </c>
      <c r="L523" s="104" t="str">
        <f>IF(B523="","",VLOOKUP(B523&amp;F523&amp;H523,经纬!A:M,13,FALSE)*N523)</f>
        <v/>
      </c>
      <c r="M523" s="104" t="str">
        <f>IF(B523="","",VLOOKUP(B523&amp;F523&amp;H523,经纬!A:N,14,FALSE)*N523)</f>
        <v/>
      </c>
      <c r="P523" s="8" t="str">
        <f t="shared" si="36"/>
        <v/>
      </c>
      <c r="R523" s="250" t="str">
        <f t="shared" si="35"/>
        <v/>
      </c>
    </row>
    <row r="524" spans="1:18">
      <c r="A524" s="4">
        <v>533</v>
      </c>
      <c r="C524" s="8" t="str">
        <f>IF(B524="","",VLOOKUP(B524,经纬!B:C,2,FALSE))</f>
        <v/>
      </c>
      <c r="D524" s="8" t="str">
        <f>IF(B524="","",VLOOKUP(B524,经纬!B:G,6,FALSE))</f>
        <v/>
      </c>
      <c r="E524" s="8" t="str">
        <f t="shared" si="32"/>
        <v/>
      </c>
      <c r="F524" s="8" t="str">
        <f>IF(B524="","",VLOOKUP(B524,小圆机汇总表!A:AP,5,FALSE))</f>
        <v/>
      </c>
      <c r="G524" s="8" t="str">
        <f>IF(B524="","",VLOOKUP(B524,小圆机汇总表!A:AP,8,FALSE))</f>
        <v/>
      </c>
      <c r="J524" s="105" t="str">
        <f t="shared" si="33"/>
        <v/>
      </c>
      <c r="K524" s="105" t="str">
        <f t="shared" si="34"/>
        <v/>
      </c>
      <c r="L524" s="104" t="str">
        <f>IF(B524="","",VLOOKUP(B524&amp;F524&amp;H524,经纬!A:M,13,FALSE)*N524)</f>
        <v/>
      </c>
      <c r="M524" s="104" t="str">
        <f>IF(B524="","",VLOOKUP(B524&amp;F524&amp;H524,经纬!A:N,14,FALSE)*N524)</f>
        <v/>
      </c>
      <c r="P524" s="8" t="str">
        <f t="shared" si="36"/>
        <v/>
      </c>
      <c r="R524" s="250" t="str">
        <f t="shared" si="35"/>
        <v/>
      </c>
    </row>
    <row r="525" spans="1:18">
      <c r="A525" s="4">
        <v>534</v>
      </c>
      <c r="C525" s="8" t="str">
        <f>IF(B525="","",VLOOKUP(B525,经纬!B:C,2,FALSE))</f>
        <v/>
      </c>
      <c r="D525" s="8" t="str">
        <f>IF(B525="","",VLOOKUP(B525,经纬!B:G,6,FALSE))</f>
        <v/>
      </c>
      <c r="E525" s="8" t="str">
        <f t="shared" si="32"/>
        <v/>
      </c>
      <c r="F525" s="8" t="str">
        <f>IF(B525="","",VLOOKUP(B525,小圆机汇总表!A:AP,5,FALSE))</f>
        <v/>
      </c>
      <c r="G525" s="8" t="str">
        <f>IF(B525="","",VLOOKUP(B525,小圆机汇总表!A:AP,8,FALSE))</f>
        <v/>
      </c>
      <c r="J525" s="105" t="str">
        <f t="shared" si="33"/>
        <v/>
      </c>
      <c r="K525" s="105" t="str">
        <f t="shared" si="34"/>
        <v/>
      </c>
      <c r="L525" s="104" t="str">
        <f>IF(B525="","",VLOOKUP(B525&amp;F525&amp;H525,经纬!A:M,13,FALSE)*N525)</f>
        <v/>
      </c>
      <c r="M525" s="104" t="str">
        <f>IF(B525="","",VLOOKUP(B525&amp;F525&amp;H525,经纬!A:N,14,FALSE)*N525)</f>
        <v/>
      </c>
      <c r="P525" s="8" t="str">
        <f t="shared" si="36"/>
        <v/>
      </c>
      <c r="R525" s="250" t="str">
        <f t="shared" si="35"/>
        <v/>
      </c>
    </row>
    <row r="526" spans="1:18">
      <c r="A526" s="4">
        <v>535</v>
      </c>
      <c r="C526" s="8" t="str">
        <f>IF(B526="","",VLOOKUP(B526,经纬!B:C,2,FALSE))</f>
        <v/>
      </c>
      <c r="D526" s="8" t="str">
        <f>IF(B526="","",VLOOKUP(B526,经纬!B:G,6,FALSE))</f>
        <v/>
      </c>
      <c r="E526" s="8" t="str">
        <f t="shared" si="32"/>
        <v/>
      </c>
      <c r="F526" s="8" t="str">
        <f>IF(B526="","",VLOOKUP(B526,小圆机汇总表!A:AP,5,FALSE))</f>
        <v/>
      </c>
      <c r="G526" s="8" t="str">
        <f>IF(B526="","",VLOOKUP(B526,小圆机汇总表!A:AP,8,FALSE))</f>
        <v/>
      </c>
      <c r="J526" s="105" t="str">
        <f t="shared" si="33"/>
        <v/>
      </c>
      <c r="K526" s="105" t="str">
        <f t="shared" si="34"/>
        <v/>
      </c>
      <c r="L526" s="104" t="str">
        <f>IF(B526="","",VLOOKUP(B526&amp;F526&amp;H526,经纬!A:M,13,FALSE)*N526)</f>
        <v/>
      </c>
      <c r="M526" s="104" t="str">
        <f>IF(B526="","",VLOOKUP(B526&amp;F526&amp;H526,经纬!A:N,14,FALSE)*N526)</f>
        <v/>
      </c>
      <c r="P526" s="8" t="str">
        <f t="shared" si="36"/>
        <v/>
      </c>
      <c r="R526" s="250" t="str">
        <f t="shared" si="35"/>
        <v/>
      </c>
    </row>
    <row r="527" spans="1:18">
      <c r="A527" s="4">
        <v>536</v>
      </c>
      <c r="C527" s="8" t="str">
        <f>IF(B527="","",VLOOKUP(B527,经纬!B:C,2,FALSE))</f>
        <v/>
      </c>
      <c r="D527" s="8" t="str">
        <f>IF(B527="","",VLOOKUP(B527,经纬!B:G,6,FALSE))</f>
        <v/>
      </c>
      <c r="E527" s="8" t="str">
        <f t="shared" si="32"/>
        <v/>
      </c>
      <c r="F527" s="8" t="str">
        <f>IF(B527="","",VLOOKUP(B527,小圆机汇总表!A:AP,5,FALSE))</f>
        <v/>
      </c>
      <c r="G527" s="8" t="str">
        <f>IF(B527="","",VLOOKUP(B527,小圆机汇总表!A:AP,8,FALSE))</f>
        <v/>
      </c>
      <c r="J527" s="105" t="str">
        <f t="shared" si="33"/>
        <v/>
      </c>
      <c r="K527" s="105" t="str">
        <f t="shared" si="34"/>
        <v/>
      </c>
      <c r="L527" s="104" t="str">
        <f>IF(B527="","",VLOOKUP(B527&amp;F527&amp;H527,经纬!A:M,13,FALSE)*N527)</f>
        <v/>
      </c>
      <c r="M527" s="104" t="str">
        <f>IF(B527="","",VLOOKUP(B527&amp;F527&amp;H527,经纬!A:N,14,FALSE)*N527)</f>
        <v/>
      </c>
      <c r="P527" s="8" t="str">
        <f t="shared" si="36"/>
        <v/>
      </c>
      <c r="R527" s="250" t="str">
        <f t="shared" si="35"/>
        <v/>
      </c>
    </row>
    <row r="528" spans="1:18">
      <c r="A528" s="4">
        <v>537</v>
      </c>
      <c r="C528" s="8" t="str">
        <f>IF(B528="","",VLOOKUP(B528,经纬!B:C,2,FALSE))</f>
        <v/>
      </c>
      <c r="D528" s="8" t="str">
        <f>IF(B528="","",VLOOKUP(B528,经纬!B:G,6,FALSE))</f>
        <v/>
      </c>
      <c r="E528" s="8" t="str">
        <f t="shared" si="32"/>
        <v/>
      </c>
      <c r="F528" s="8" t="str">
        <f>IF(B528="","",VLOOKUP(B528,小圆机汇总表!A:AP,5,FALSE))</f>
        <v/>
      </c>
      <c r="G528" s="8" t="str">
        <f>IF(B528="","",VLOOKUP(B528,小圆机汇总表!A:AP,8,FALSE))</f>
        <v/>
      </c>
      <c r="J528" s="105" t="str">
        <f t="shared" si="33"/>
        <v/>
      </c>
      <c r="K528" s="105" t="str">
        <f t="shared" si="34"/>
        <v/>
      </c>
      <c r="L528" s="104" t="str">
        <f>IF(B528="","",VLOOKUP(B528&amp;F528&amp;H528,经纬!A:M,13,FALSE)*N528)</f>
        <v/>
      </c>
      <c r="M528" s="104" t="str">
        <f>IF(B528="","",VLOOKUP(B528&amp;F528&amp;H528,经纬!A:N,14,FALSE)*N528)</f>
        <v/>
      </c>
      <c r="P528" s="8" t="str">
        <f t="shared" si="36"/>
        <v/>
      </c>
      <c r="R528" s="250" t="str">
        <f t="shared" si="35"/>
        <v/>
      </c>
    </row>
    <row r="529" spans="1:18">
      <c r="A529" s="4">
        <v>538</v>
      </c>
      <c r="C529" s="8" t="str">
        <f>IF(B529="","",VLOOKUP(B529,经纬!B:C,2,FALSE))</f>
        <v/>
      </c>
      <c r="D529" s="8" t="str">
        <f>IF(B529="","",VLOOKUP(B529,经纬!B:G,6,FALSE))</f>
        <v/>
      </c>
      <c r="E529" s="8" t="str">
        <f t="shared" si="32"/>
        <v/>
      </c>
      <c r="F529" s="8" t="str">
        <f>IF(B529="","",VLOOKUP(B529,小圆机汇总表!A:AP,5,FALSE))</f>
        <v/>
      </c>
      <c r="G529" s="8" t="str">
        <f>IF(B529="","",VLOOKUP(B529,小圆机汇总表!A:AP,8,FALSE))</f>
        <v/>
      </c>
      <c r="J529" s="105" t="str">
        <f t="shared" si="33"/>
        <v/>
      </c>
      <c r="K529" s="105" t="str">
        <f t="shared" si="34"/>
        <v/>
      </c>
      <c r="L529" s="104" t="str">
        <f>IF(B529="","",VLOOKUP(B529&amp;F529&amp;H529,经纬!A:M,13,FALSE)*N529)</f>
        <v/>
      </c>
      <c r="M529" s="104" t="str">
        <f>IF(B529="","",VLOOKUP(B529&amp;F529&amp;H529,经纬!A:N,14,FALSE)*N529)</f>
        <v/>
      </c>
      <c r="P529" s="8" t="str">
        <f t="shared" si="36"/>
        <v/>
      </c>
      <c r="R529" s="250" t="str">
        <f t="shared" si="35"/>
        <v/>
      </c>
    </row>
    <row r="530" spans="1:18">
      <c r="A530" s="4">
        <v>539</v>
      </c>
      <c r="C530" s="8" t="str">
        <f>IF(B530="","",VLOOKUP(B530,经纬!B:C,2,FALSE))</f>
        <v/>
      </c>
      <c r="D530" s="8" t="str">
        <f>IF(B530="","",VLOOKUP(B530,经纬!B:G,6,FALSE))</f>
        <v/>
      </c>
      <c r="E530" s="8" t="str">
        <f t="shared" si="32"/>
        <v/>
      </c>
      <c r="F530" s="8" t="str">
        <f>IF(B530="","",VLOOKUP(B530,小圆机汇总表!A:AP,5,FALSE))</f>
        <v/>
      </c>
      <c r="G530" s="8" t="str">
        <f>IF(B530="","",VLOOKUP(B530,小圆机汇总表!A:AP,8,FALSE))</f>
        <v/>
      </c>
      <c r="J530" s="105" t="str">
        <f t="shared" si="33"/>
        <v/>
      </c>
      <c r="K530" s="105" t="str">
        <f t="shared" si="34"/>
        <v/>
      </c>
      <c r="L530" s="104" t="str">
        <f>IF(B530="","",VLOOKUP(B530&amp;F530&amp;H530,经纬!A:M,13,FALSE)*N530)</f>
        <v/>
      </c>
      <c r="M530" s="104" t="str">
        <f>IF(B530="","",VLOOKUP(B530&amp;F530&amp;H530,经纬!A:N,14,FALSE)*N530)</f>
        <v/>
      </c>
      <c r="P530" s="8" t="str">
        <f t="shared" si="36"/>
        <v/>
      </c>
      <c r="R530" s="250" t="str">
        <f t="shared" si="35"/>
        <v/>
      </c>
    </row>
    <row r="531" spans="1:18">
      <c r="A531" s="4">
        <v>540</v>
      </c>
      <c r="C531" s="8" t="str">
        <f>IF(B531="","",VLOOKUP(B531,经纬!B:C,2,FALSE))</f>
        <v/>
      </c>
      <c r="D531" s="8" t="str">
        <f>IF(B531="","",VLOOKUP(B531,经纬!B:G,6,FALSE))</f>
        <v/>
      </c>
      <c r="E531" s="8" t="str">
        <f t="shared" si="32"/>
        <v/>
      </c>
      <c r="F531" s="8" t="str">
        <f>IF(B531="","",VLOOKUP(B531,小圆机汇总表!A:AP,5,FALSE))</f>
        <v/>
      </c>
      <c r="G531" s="8" t="str">
        <f>IF(B531="","",VLOOKUP(B531,小圆机汇总表!A:AP,8,FALSE))</f>
        <v/>
      </c>
      <c r="J531" s="105" t="str">
        <f t="shared" si="33"/>
        <v/>
      </c>
      <c r="K531" s="105" t="str">
        <f t="shared" si="34"/>
        <v/>
      </c>
      <c r="L531" s="104" t="str">
        <f>IF(B531="","",VLOOKUP(B531&amp;F531&amp;H531,经纬!A:M,13,FALSE)*N531)</f>
        <v/>
      </c>
      <c r="M531" s="104" t="str">
        <f>IF(B531="","",VLOOKUP(B531&amp;F531&amp;H531,经纬!A:N,14,FALSE)*N531)</f>
        <v/>
      </c>
      <c r="P531" s="8" t="str">
        <f t="shared" si="36"/>
        <v/>
      </c>
      <c r="R531" s="250" t="str">
        <f t="shared" si="35"/>
        <v/>
      </c>
    </row>
    <row r="532" spans="1:18">
      <c r="A532" s="4">
        <v>541</v>
      </c>
      <c r="C532" s="8" t="str">
        <f>IF(B532="","",VLOOKUP(B532,经纬!B:C,2,FALSE))</f>
        <v/>
      </c>
      <c r="D532" s="8" t="str">
        <f>IF(B532="","",VLOOKUP(B532,经纬!B:G,6,FALSE))</f>
        <v/>
      </c>
      <c r="E532" s="8" t="str">
        <f t="shared" si="32"/>
        <v/>
      </c>
      <c r="F532" s="8" t="str">
        <f>IF(B532="","",VLOOKUP(B532,小圆机汇总表!A:AP,5,FALSE))</f>
        <v/>
      </c>
      <c r="G532" s="8" t="str">
        <f>IF(B532="","",VLOOKUP(B532,小圆机汇总表!A:AP,8,FALSE))</f>
        <v/>
      </c>
      <c r="J532" s="105" t="str">
        <f t="shared" si="33"/>
        <v/>
      </c>
      <c r="K532" s="105" t="str">
        <f t="shared" si="34"/>
        <v/>
      </c>
      <c r="L532" s="104" t="str">
        <f>IF(B532="","",VLOOKUP(B532&amp;F532&amp;H532,经纬!A:M,13,FALSE)*N532)</f>
        <v/>
      </c>
      <c r="M532" s="104" t="str">
        <f>IF(B532="","",VLOOKUP(B532&amp;F532&amp;H532,经纬!A:N,14,FALSE)*N532)</f>
        <v/>
      </c>
      <c r="P532" s="8" t="str">
        <f t="shared" si="36"/>
        <v/>
      </c>
      <c r="R532" s="250" t="str">
        <f t="shared" si="35"/>
        <v/>
      </c>
    </row>
    <row r="533" spans="1:18">
      <c r="A533" s="4">
        <v>542</v>
      </c>
      <c r="C533" s="8" t="str">
        <f>IF(B533="","",VLOOKUP(B533,经纬!B:C,2,FALSE))</f>
        <v/>
      </c>
      <c r="D533" s="8" t="str">
        <f>IF(B533="","",VLOOKUP(B533,经纬!B:G,6,FALSE))</f>
        <v/>
      </c>
      <c r="E533" s="8" t="str">
        <f t="shared" si="32"/>
        <v/>
      </c>
      <c r="F533" s="8" t="str">
        <f>IF(B533="","",VLOOKUP(B533,小圆机汇总表!A:AP,5,FALSE))</f>
        <v/>
      </c>
      <c r="G533" s="8" t="str">
        <f>IF(B533="","",VLOOKUP(B533,小圆机汇总表!A:AP,8,FALSE))</f>
        <v/>
      </c>
      <c r="J533" s="105" t="str">
        <f t="shared" si="33"/>
        <v/>
      </c>
      <c r="K533" s="105" t="str">
        <f t="shared" si="34"/>
        <v/>
      </c>
      <c r="L533" s="104" t="str">
        <f>IF(B533="","",VLOOKUP(B533&amp;F533&amp;H533,经纬!A:M,13,FALSE)*N533)</f>
        <v/>
      </c>
      <c r="M533" s="104" t="str">
        <f>IF(B533="","",VLOOKUP(B533&amp;F533&amp;H533,经纬!A:N,14,FALSE)*N533)</f>
        <v/>
      </c>
      <c r="P533" s="8" t="str">
        <f t="shared" si="36"/>
        <v/>
      </c>
      <c r="R533" s="250" t="str">
        <f t="shared" si="35"/>
        <v/>
      </c>
    </row>
    <row r="534" spans="1:18">
      <c r="A534" s="4">
        <v>543</v>
      </c>
      <c r="C534" s="8" t="str">
        <f>IF(B534="","",VLOOKUP(B534,经纬!B:C,2,FALSE))</f>
        <v/>
      </c>
      <c r="D534" s="8" t="str">
        <f>IF(B534="","",VLOOKUP(B534,经纬!B:G,6,FALSE))</f>
        <v/>
      </c>
      <c r="E534" s="8" t="str">
        <f t="shared" si="32"/>
        <v/>
      </c>
      <c r="F534" s="8" t="str">
        <f>IF(B534="","",VLOOKUP(B534,小圆机汇总表!A:AP,5,FALSE))</f>
        <v/>
      </c>
      <c r="G534" s="8" t="str">
        <f>IF(B534="","",VLOOKUP(B534,小圆机汇总表!A:AP,8,FALSE))</f>
        <v/>
      </c>
      <c r="J534" s="105" t="str">
        <f t="shared" si="33"/>
        <v/>
      </c>
      <c r="K534" s="105" t="str">
        <f t="shared" si="34"/>
        <v/>
      </c>
      <c r="L534" s="104" t="str">
        <f>IF(B534="","",VLOOKUP(B534&amp;F534&amp;H534,经纬!A:M,13,FALSE)*N534)</f>
        <v/>
      </c>
      <c r="M534" s="104" t="str">
        <f>IF(B534="","",VLOOKUP(B534&amp;F534&amp;H534,经纬!A:N,14,FALSE)*N534)</f>
        <v/>
      </c>
      <c r="P534" s="8" t="str">
        <f t="shared" si="36"/>
        <v/>
      </c>
      <c r="R534" s="250" t="str">
        <f t="shared" si="35"/>
        <v/>
      </c>
    </row>
    <row r="535" spans="1:18">
      <c r="A535" s="4">
        <v>544</v>
      </c>
      <c r="C535" s="8" t="str">
        <f>IF(B535="","",VLOOKUP(B535,经纬!B:C,2,FALSE))</f>
        <v/>
      </c>
      <c r="D535" s="8" t="str">
        <f>IF(B535="","",VLOOKUP(B535,经纬!B:G,6,FALSE))</f>
        <v/>
      </c>
      <c r="E535" s="8" t="str">
        <f t="shared" si="32"/>
        <v/>
      </c>
      <c r="F535" s="8" t="str">
        <f>IF(B535="","",VLOOKUP(B535,小圆机汇总表!A:AP,5,FALSE))</f>
        <v/>
      </c>
      <c r="G535" s="8" t="str">
        <f>IF(B535="","",VLOOKUP(B535,小圆机汇总表!A:AP,8,FALSE))</f>
        <v/>
      </c>
      <c r="J535" s="105" t="str">
        <f t="shared" si="33"/>
        <v/>
      </c>
      <c r="K535" s="105" t="str">
        <f t="shared" si="34"/>
        <v/>
      </c>
      <c r="L535" s="104" t="str">
        <f>IF(B535="","",VLOOKUP(B535&amp;F535&amp;H535,经纬!A:M,13,FALSE)*N535)</f>
        <v/>
      </c>
      <c r="M535" s="104" t="str">
        <f>IF(B535="","",VLOOKUP(B535&amp;F535&amp;H535,经纬!A:N,14,FALSE)*N535)</f>
        <v/>
      </c>
      <c r="P535" s="8" t="str">
        <f t="shared" si="36"/>
        <v/>
      </c>
      <c r="R535" s="250" t="str">
        <f t="shared" si="35"/>
        <v/>
      </c>
    </row>
    <row r="536" spans="1:18">
      <c r="A536" s="4">
        <v>545</v>
      </c>
      <c r="C536" s="8" t="str">
        <f>IF(B536="","",VLOOKUP(B536,经纬!B:C,2,FALSE))</f>
        <v/>
      </c>
      <c r="D536" s="8" t="str">
        <f>IF(B536="","",VLOOKUP(B536,经纬!B:G,6,FALSE))</f>
        <v/>
      </c>
      <c r="E536" s="8" t="str">
        <f t="shared" si="32"/>
        <v/>
      </c>
      <c r="F536" s="8" t="str">
        <f>IF(B536="","",VLOOKUP(B536,小圆机汇总表!A:AP,5,FALSE))</f>
        <v/>
      </c>
      <c r="G536" s="8" t="str">
        <f>IF(B536="","",VLOOKUP(B536,小圆机汇总表!A:AP,8,FALSE))</f>
        <v/>
      </c>
      <c r="J536" s="105" t="str">
        <f t="shared" si="33"/>
        <v/>
      </c>
      <c r="K536" s="105" t="str">
        <f t="shared" si="34"/>
        <v/>
      </c>
      <c r="L536" s="104" t="str">
        <f>IF(B536="","",VLOOKUP(B536&amp;F536&amp;H536,经纬!A:M,13,FALSE)*N536)</f>
        <v/>
      </c>
      <c r="M536" s="104" t="str">
        <f>IF(B536="","",VLOOKUP(B536&amp;F536&amp;H536,经纬!A:N,14,FALSE)*N536)</f>
        <v/>
      </c>
      <c r="P536" s="8" t="str">
        <f t="shared" si="36"/>
        <v/>
      </c>
      <c r="R536" s="250" t="str">
        <f t="shared" si="35"/>
        <v/>
      </c>
    </row>
    <row r="537" spans="1:18">
      <c r="A537" s="4">
        <v>546</v>
      </c>
      <c r="C537" s="8" t="str">
        <f>IF(B537="","",VLOOKUP(B537,经纬!B:C,2,FALSE))</f>
        <v/>
      </c>
      <c r="D537" s="8" t="str">
        <f>IF(B537="","",VLOOKUP(B537,经纬!B:G,6,FALSE))</f>
        <v/>
      </c>
      <c r="E537" s="8" t="str">
        <f t="shared" si="32"/>
        <v/>
      </c>
      <c r="F537" s="8" t="str">
        <f>IF(B537="","",VLOOKUP(B537,小圆机汇总表!A:AP,5,FALSE))</f>
        <v/>
      </c>
      <c r="G537" s="8" t="str">
        <f>IF(B537="","",VLOOKUP(B537,小圆机汇总表!A:AP,8,FALSE))</f>
        <v/>
      </c>
      <c r="J537" s="105" t="str">
        <f t="shared" si="33"/>
        <v/>
      </c>
      <c r="K537" s="105" t="str">
        <f t="shared" si="34"/>
        <v/>
      </c>
      <c r="L537" s="104" t="str">
        <f>IF(B537="","",VLOOKUP(B537&amp;F537&amp;H537,经纬!A:M,13,FALSE)*N537)</f>
        <v/>
      </c>
      <c r="M537" s="104" t="str">
        <f>IF(B537="","",VLOOKUP(B537&amp;F537&amp;H537,经纬!A:N,14,FALSE)*N537)</f>
        <v/>
      </c>
      <c r="R537" s="250" t="str">
        <f t="shared" si="35"/>
        <v/>
      </c>
    </row>
    <row r="538" spans="1:18">
      <c r="A538" s="4">
        <v>547</v>
      </c>
      <c r="C538" s="8" t="str">
        <f>IF(B538="","",VLOOKUP(B538,经纬!B:C,2,FALSE))</f>
        <v/>
      </c>
      <c r="D538" s="8" t="str">
        <f>IF(B538="","",VLOOKUP(B538,经纬!B:G,6,FALSE))</f>
        <v/>
      </c>
      <c r="E538" s="8" t="str">
        <f t="shared" si="32"/>
        <v/>
      </c>
      <c r="F538" s="8" t="str">
        <f>IF(B538="","",VLOOKUP(B538,小圆机汇总表!A:AP,5,FALSE))</f>
        <v/>
      </c>
      <c r="G538" s="8" t="str">
        <f>IF(B538="","",VLOOKUP(B538,小圆机汇总表!A:AP,8,FALSE))</f>
        <v/>
      </c>
      <c r="J538" s="105" t="str">
        <f t="shared" si="33"/>
        <v/>
      </c>
      <c r="K538" s="105" t="str">
        <f t="shared" si="34"/>
        <v/>
      </c>
      <c r="L538" s="104" t="str">
        <f>IF(B538="","",VLOOKUP(B538&amp;F538&amp;H538,经纬!A:M,13,FALSE)*N538)</f>
        <v/>
      </c>
      <c r="M538" s="104" t="str">
        <f>IF(B538="","",VLOOKUP(B538&amp;F538&amp;H538,经纬!A:N,14,FALSE)*N538)</f>
        <v/>
      </c>
      <c r="P538" s="8" t="str">
        <f t="shared" ref="P538:P601" si="37">IF(B538="","",MONTH(I538))</f>
        <v/>
      </c>
      <c r="R538" s="250" t="str">
        <f t="shared" si="35"/>
        <v/>
      </c>
    </row>
    <row r="539" spans="1:18">
      <c r="A539" s="4">
        <v>548</v>
      </c>
      <c r="C539" s="8" t="str">
        <f>IF(B539="","",VLOOKUP(B539,经纬!B:C,2,FALSE))</f>
        <v/>
      </c>
      <c r="D539" s="8" t="str">
        <f>IF(B539="","",VLOOKUP(B539,经纬!B:G,6,FALSE))</f>
        <v/>
      </c>
      <c r="F539" s="8" t="str">
        <f>IF(B539="","",VLOOKUP(B539,小圆机汇总表!A:AP,5,FALSE))</f>
        <v/>
      </c>
      <c r="G539" s="8" t="str">
        <f>IF(B539="","",VLOOKUP(B539,小圆机汇总表!A:AP,8,FALSE))</f>
        <v/>
      </c>
      <c r="J539" s="105" t="str">
        <f t="shared" si="33"/>
        <v/>
      </c>
      <c r="K539" s="105" t="str">
        <f t="shared" si="34"/>
        <v/>
      </c>
      <c r="L539" s="104" t="str">
        <f>IF(B539="","",VLOOKUP(B539&amp;F539&amp;H539,经纬!A:M,13,FALSE)*N539)</f>
        <v/>
      </c>
      <c r="M539" s="104" t="str">
        <f>IF(B539="","",VLOOKUP(B539&amp;F539&amp;H539,经纬!A:N,14,FALSE)*N539)</f>
        <v/>
      </c>
      <c r="P539" s="8" t="str">
        <f t="shared" si="37"/>
        <v/>
      </c>
      <c r="R539" s="250" t="str">
        <f t="shared" si="35"/>
        <v/>
      </c>
    </row>
    <row r="540" spans="1:18">
      <c r="A540" s="4">
        <v>549</v>
      </c>
      <c r="C540" s="8" t="str">
        <f>IF(B540="","",VLOOKUP(B540,经纬!B:C,2,FALSE))</f>
        <v/>
      </c>
      <c r="D540" s="8" t="str">
        <f>IF(B540="","",VLOOKUP(B540,经纬!B:G,6,FALSE))</f>
        <v/>
      </c>
      <c r="F540" s="8" t="str">
        <f>IF(B540="","",VLOOKUP(B540,小圆机汇总表!A:AP,5,FALSE))</f>
        <v/>
      </c>
      <c r="G540" s="8" t="str">
        <f>IF(B540="","",VLOOKUP(B540,小圆机汇总表!A:AP,8,FALSE))</f>
        <v/>
      </c>
      <c r="J540" s="105" t="str">
        <f t="shared" si="33"/>
        <v/>
      </c>
      <c r="K540" s="105" t="str">
        <f t="shared" si="34"/>
        <v/>
      </c>
      <c r="L540" s="104" t="str">
        <f>IF(B540="","",VLOOKUP(B540&amp;F540&amp;H540,经纬!A:M,13,FALSE)*N540)</f>
        <v/>
      </c>
      <c r="M540" s="104" t="str">
        <f>IF(B540="","",VLOOKUP(B540&amp;F540&amp;H540,经纬!A:N,14,FALSE)*N540)</f>
        <v/>
      </c>
      <c r="P540" s="8" t="str">
        <f t="shared" si="37"/>
        <v/>
      </c>
      <c r="R540" s="250" t="str">
        <f t="shared" si="35"/>
        <v/>
      </c>
    </row>
    <row r="541" spans="1:18">
      <c r="A541" s="4">
        <v>550</v>
      </c>
      <c r="C541" s="8" t="str">
        <f>IF(B541="","",VLOOKUP(B541,经纬!B:C,2,FALSE))</f>
        <v/>
      </c>
      <c r="D541" s="8" t="str">
        <f>IF(B541="","",VLOOKUP(B541,经纬!B:G,6,FALSE))</f>
        <v/>
      </c>
      <c r="F541" s="8" t="str">
        <f>IF(B541="","",VLOOKUP(B541,小圆机汇总表!A:AP,5,FALSE))</f>
        <v/>
      </c>
      <c r="G541" s="8" t="str">
        <f>IF(B541="","",VLOOKUP(B541,小圆机汇总表!A:AP,8,FALSE))</f>
        <v/>
      </c>
      <c r="J541" s="105" t="str">
        <f t="shared" si="33"/>
        <v/>
      </c>
      <c r="K541" s="105" t="str">
        <f t="shared" si="34"/>
        <v/>
      </c>
      <c r="L541" s="104" t="str">
        <f>IF(B541="","",VLOOKUP(B541&amp;F541&amp;H541,经纬!A:M,13,FALSE)*N541)</f>
        <v/>
      </c>
      <c r="M541" s="104" t="str">
        <f>IF(B541="","",VLOOKUP(B541&amp;F541&amp;H541,经纬!A:N,14,FALSE)*N541)</f>
        <v/>
      </c>
      <c r="P541" s="8" t="str">
        <f t="shared" si="37"/>
        <v/>
      </c>
      <c r="R541" s="250" t="str">
        <f t="shared" si="35"/>
        <v/>
      </c>
    </row>
    <row r="542" spans="1:18">
      <c r="A542" s="4">
        <v>551</v>
      </c>
      <c r="C542" s="8" t="str">
        <f>IF(B542="","",VLOOKUP(B542,经纬!B:C,2,FALSE))</f>
        <v/>
      </c>
      <c r="D542" s="8" t="str">
        <f>IF(B542="","",VLOOKUP(B542,经纬!B:G,6,FALSE))</f>
        <v/>
      </c>
      <c r="F542" s="8" t="str">
        <f>IF(B542="","",VLOOKUP(B542,小圆机汇总表!A:AP,5,FALSE))</f>
        <v/>
      </c>
      <c r="G542" s="8" t="str">
        <f>IF(B542="","",VLOOKUP(B542,小圆机汇总表!A:AP,8,FALSE))</f>
        <v/>
      </c>
      <c r="J542" s="105" t="str">
        <f t="shared" si="33"/>
        <v/>
      </c>
      <c r="K542" s="105" t="str">
        <f t="shared" si="34"/>
        <v/>
      </c>
      <c r="L542" s="104" t="str">
        <f>IF(B542="","",VLOOKUP(B542&amp;F542&amp;H542,经纬!A:M,13,FALSE)*N542)</f>
        <v/>
      </c>
      <c r="M542" s="104" t="str">
        <f>IF(B542="","",VLOOKUP(B542&amp;F542&amp;H542,经纬!A:N,14,FALSE)*N542)</f>
        <v/>
      </c>
      <c r="P542" s="8" t="str">
        <f t="shared" si="37"/>
        <v/>
      </c>
      <c r="R542" s="250" t="str">
        <f t="shared" si="35"/>
        <v/>
      </c>
    </row>
    <row r="543" spans="1:18">
      <c r="A543" s="4">
        <v>552</v>
      </c>
      <c r="C543" s="8" t="str">
        <f>IF(B543="","",VLOOKUP(B543,经纬!B:C,2,FALSE))</f>
        <v/>
      </c>
      <c r="D543" s="8" t="str">
        <f>IF(B543="","",VLOOKUP(B543,经纬!B:G,6,FALSE))</f>
        <v/>
      </c>
      <c r="F543" s="8" t="str">
        <f>IF(B543="","",VLOOKUP(B543,小圆机汇总表!A:AP,5,FALSE))</f>
        <v/>
      </c>
      <c r="G543" s="8" t="str">
        <f>IF(B543="","",VLOOKUP(B543,小圆机汇总表!A:AP,8,FALSE))</f>
        <v/>
      </c>
      <c r="J543" s="105" t="str">
        <f t="shared" si="33"/>
        <v/>
      </c>
      <c r="K543" s="105" t="str">
        <f t="shared" si="34"/>
        <v/>
      </c>
      <c r="L543" s="104" t="str">
        <f>IF(B543="","",VLOOKUP(B543&amp;F543&amp;H543,经纬!A:M,13,FALSE)*N543)</f>
        <v/>
      </c>
      <c r="M543" s="104" t="str">
        <f>IF(B543="","",VLOOKUP(B543&amp;F543&amp;H543,经纬!A:N,14,FALSE)*N543)</f>
        <v/>
      </c>
      <c r="P543" s="8" t="str">
        <f t="shared" si="37"/>
        <v/>
      </c>
      <c r="R543" s="250" t="str">
        <f t="shared" si="35"/>
        <v/>
      </c>
    </row>
    <row r="544" spans="1:18">
      <c r="A544" s="4">
        <v>553</v>
      </c>
      <c r="C544" s="8" t="str">
        <f>IF(B544="","",VLOOKUP(B544,经纬!B:C,2,FALSE))</f>
        <v/>
      </c>
      <c r="D544" s="8" t="str">
        <f>IF(B544="","",VLOOKUP(B544,经纬!B:G,6,FALSE))</f>
        <v/>
      </c>
      <c r="F544" s="8" t="str">
        <f>IF(B544="","",VLOOKUP(B544,小圆机汇总表!A:AP,5,FALSE))</f>
        <v/>
      </c>
      <c r="G544" s="8" t="str">
        <f>IF(B544="","",VLOOKUP(B544,小圆机汇总表!A:AP,8,FALSE))</f>
        <v/>
      </c>
      <c r="J544" s="105" t="str">
        <f t="shared" si="33"/>
        <v/>
      </c>
      <c r="K544" s="105" t="str">
        <f t="shared" si="34"/>
        <v/>
      </c>
      <c r="L544" s="104" t="str">
        <f>IF(B544="","",VLOOKUP(B544&amp;F544&amp;H544,经纬!A:M,13,FALSE)*N544)</f>
        <v/>
      </c>
      <c r="M544" s="104" t="str">
        <f>IF(B544="","",VLOOKUP(B544&amp;F544&amp;H544,经纬!A:N,14,FALSE)*N544)</f>
        <v/>
      </c>
      <c r="P544" s="8" t="str">
        <f t="shared" si="37"/>
        <v/>
      </c>
      <c r="R544" s="250" t="str">
        <f t="shared" si="35"/>
        <v/>
      </c>
    </row>
    <row r="545" spans="1:18">
      <c r="A545" s="4">
        <v>554</v>
      </c>
      <c r="C545" s="8" t="str">
        <f>IF(B545="","",VLOOKUP(B545,经纬!B:C,2,FALSE))</f>
        <v/>
      </c>
      <c r="D545" s="8" t="str">
        <f>IF(B545="","",VLOOKUP(B545,经纬!B:G,6,FALSE))</f>
        <v/>
      </c>
      <c r="F545" s="8" t="str">
        <f>IF(B545="","",VLOOKUP(B545,小圆机汇总表!A:AP,5,FALSE))</f>
        <v/>
      </c>
      <c r="G545" s="8" t="str">
        <f>IF(B545="","",VLOOKUP(B545,小圆机汇总表!A:AP,8,FALSE))</f>
        <v/>
      </c>
      <c r="J545" s="105" t="str">
        <f t="shared" si="33"/>
        <v/>
      </c>
      <c r="K545" s="105" t="str">
        <f t="shared" si="34"/>
        <v/>
      </c>
      <c r="L545" s="104" t="str">
        <f>IF(B545="","",VLOOKUP(B545&amp;F545&amp;H545,经纬!A:M,13,FALSE)*N545)</f>
        <v/>
      </c>
      <c r="M545" s="104" t="str">
        <f>IF(B545="","",VLOOKUP(B545&amp;F545&amp;H545,经纬!A:N,14,FALSE)*N545)</f>
        <v/>
      </c>
      <c r="P545" s="8" t="str">
        <f t="shared" si="37"/>
        <v/>
      </c>
      <c r="R545" s="250" t="str">
        <f t="shared" si="35"/>
        <v/>
      </c>
    </row>
    <row r="546" spans="1:18">
      <c r="A546" s="4">
        <v>555</v>
      </c>
      <c r="C546" s="8" t="str">
        <f>IF(B546="","",VLOOKUP(B546,经纬!B:C,2,FALSE))</f>
        <v/>
      </c>
      <c r="D546" s="8" t="str">
        <f>IF(B546="","",VLOOKUP(B546,经纬!B:G,6,FALSE))</f>
        <v/>
      </c>
      <c r="F546" s="8" t="str">
        <f>IF(B546="","",VLOOKUP(B546,小圆机汇总表!A:AP,5,FALSE))</f>
        <v/>
      </c>
      <c r="G546" s="8" t="str">
        <f>IF(B546="","",VLOOKUP(B546,小圆机汇总表!A:AP,8,FALSE))</f>
        <v/>
      </c>
      <c r="J546" s="105" t="str">
        <f t="shared" si="33"/>
        <v/>
      </c>
      <c r="K546" s="105" t="str">
        <f t="shared" si="34"/>
        <v/>
      </c>
      <c r="L546" s="104" t="str">
        <f>IF(B546="","",VLOOKUP(B546&amp;F546&amp;H546,经纬!A:M,13,FALSE)*N546)</f>
        <v/>
      </c>
      <c r="M546" s="104" t="str">
        <f>IF(B546="","",VLOOKUP(B546&amp;F546&amp;H546,经纬!A:N,14,FALSE)*N546)</f>
        <v/>
      </c>
      <c r="P546" s="8" t="str">
        <f t="shared" si="37"/>
        <v/>
      </c>
      <c r="R546" s="250" t="str">
        <f t="shared" si="35"/>
        <v/>
      </c>
    </row>
    <row r="547" spans="1:18">
      <c r="A547" s="4">
        <v>556</v>
      </c>
      <c r="C547" s="8" t="str">
        <f>IF(B547="","",VLOOKUP(B547,经纬!B:C,2,FALSE))</f>
        <v/>
      </c>
      <c r="D547" s="8" t="str">
        <f>IF(B547="","",VLOOKUP(B547,经纬!B:G,6,FALSE))</f>
        <v/>
      </c>
      <c r="F547" s="8" t="str">
        <f>IF(B547="","",VLOOKUP(B547,小圆机汇总表!A:AP,5,FALSE))</f>
        <v/>
      </c>
      <c r="G547" s="8" t="str">
        <f>IF(B547="","",VLOOKUP(B547,小圆机汇总表!A:AP,8,FALSE))</f>
        <v/>
      </c>
      <c r="J547" s="105" t="str">
        <f t="shared" si="33"/>
        <v/>
      </c>
      <c r="K547" s="105" t="str">
        <f t="shared" si="34"/>
        <v/>
      </c>
      <c r="L547" s="104" t="str">
        <f>IF(B547="","",VLOOKUP(B547&amp;F547&amp;H547,经纬!A:M,13,FALSE)*N547)</f>
        <v/>
      </c>
      <c r="M547" s="104" t="str">
        <f>IF(B547="","",VLOOKUP(B547&amp;F547&amp;H547,经纬!A:N,14,FALSE)*N547)</f>
        <v/>
      </c>
      <c r="P547" s="8" t="str">
        <f t="shared" si="37"/>
        <v/>
      </c>
      <c r="R547" s="250" t="str">
        <f t="shared" si="35"/>
        <v/>
      </c>
    </row>
    <row r="548" spans="1:18">
      <c r="A548" s="4">
        <v>557</v>
      </c>
      <c r="C548" s="8" t="str">
        <f>IF(B548="","",VLOOKUP(B548,经纬!B:C,2,FALSE))</f>
        <v/>
      </c>
      <c r="D548" s="8" t="str">
        <f>IF(B548="","",VLOOKUP(B548,经纬!B:G,6,FALSE))</f>
        <v/>
      </c>
      <c r="F548" s="8" t="str">
        <f>IF(B548="","",VLOOKUP(B548,小圆机汇总表!A:AP,5,FALSE))</f>
        <v/>
      </c>
      <c r="G548" s="8" t="str">
        <f>IF(B548="","",VLOOKUP(B548,小圆机汇总表!A:AP,8,FALSE))</f>
        <v/>
      </c>
      <c r="J548" s="105" t="str">
        <f t="shared" si="33"/>
        <v/>
      </c>
      <c r="K548" s="105" t="str">
        <f t="shared" si="34"/>
        <v/>
      </c>
      <c r="L548" s="104" t="str">
        <f>IF(B548="","",VLOOKUP(B548&amp;F548&amp;H548,经纬!A:M,13,FALSE)*N548)</f>
        <v/>
      </c>
      <c r="M548" s="104" t="str">
        <f>IF(B548="","",VLOOKUP(B548&amp;F548&amp;H548,经纬!A:N,14,FALSE)*N548)</f>
        <v/>
      </c>
      <c r="P548" s="8" t="str">
        <f t="shared" si="37"/>
        <v/>
      </c>
      <c r="R548" s="250" t="str">
        <f t="shared" si="35"/>
        <v/>
      </c>
    </row>
    <row r="549" spans="1:18">
      <c r="A549" s="4">
        <v>558</v>
      </c>
      <c r="C549" s="8" t="str">
        <f>IF(B549="","",VLOOKUP(B549,经纬!B:C,2,FALSE))</f>
        <v/>
      </c>
      <c r="D549" s="8" t="str">
        <f>IF(B549="","",VLOOKUP(B549,经纬!B:G,6,FALSE))</f>
        <v/>
      </c>
      <c r="F549" s="8" t="str">
        <f>IF(B549="","",VLOOKUP(B549,小圆机汇总表!A:AP,5,FALSE))</f>
        <v/>
      </c>
      <c r="G549" s="8" t="str">
        <f>IF(B549="","",VLOOKUP(B549,小圆机汇总表!A:AP,8,FALSE))</f>
        <v/>
      </c>
      <c r="J549" s="105" t="str">
        <f t="shared" si="33"/>
        <v/>
      </c>
      <c r="K549" s="105" t="str">
        <f t="shared" si="34"/>
        <v/>
      </c>
      <c r="L549" s="104" t="str">
        <f>IF(B549="","",VLOOKUP(B549&amp;F549&amp;H549,经纬!A:M,13,FALSE)*N549)</f>
        <v/>
      </c>
      <c r="M549" s="104" t="str">
        <f>IF(B549="","",VLOOKUP(B549&amp;F549&amp;H549,经纬!A:N,14,FALSE)*N549)</f>
        <v/>
      </c>
      <c r="P549" s="8" t="str">
        <f t="shared" si="37"/>
        <v/>
      </c>
      <c r="R549" s="250" t="str">
        <f t="shared" si="35"/>
        <v/>
      </c>
    </row>
    <row r="550" spans="1:18">
      <c r="A550" s="4">
        <v>559</v>
      </c>
      <c r="C550" s="8" t="str">
        <f>IF(B550="","",VLOOKUP(B550,经纬!B:C,2,FALSE))</f>
        <v/>
      </c>
      <c r="D550" s="8" t="str">
        <f>IF(B550="","",VLOOKUP(B550,经纬!B:G,6,FALSE))</f>
        <v/>
      </c>
      <c r="F550" s="8" t="str">
        <f>IF(B550="","",VLOOKUP(B550,小圆机汇总表!A:AP,5,FALSE))</f>
        <v/>
      </c>
      <c r="G550" s="8" t="str">
        <f>IF(B550="","",VLOOKUP(B550,小圆机汇总表!A:AP,8,FALSE))</f>
        <v/>
      </c>
      <c r="J550" s="105" t="str">
        <f t="shared" si="33"/>
        <v/>
      </c>
      <c r="K550" s="105" t="str">
        <f t="shared" si="34"/>
        <v/>
      </c>
      <c r="L550" s="104" t="str">
        <f>IF(B550="","",VLOOKUP(B550&amp;F550&amp;H550,经纬!A:M,13,FALSE)*N550)</f>
        <v/>
      </c>
      <c r="M550" s="104" t="str">
        <f>IF(B550="","",VLOOKUP(B550&amp;F550&amp;H550,经纬!A:N,14,FALSE)*N550)</f>
        <v/>
      </c>
      <c r="P550" s="8" t="str">
        <f t="shared" si="37"/>
        <v/>
      </c>
      <c r="R550" s="250" t="str">
        <f t="shared" si="35"/>
        <v/>
      </c>
    </row>
    <row r="551" spans="1:18">
      <c r="A551" s="4">
        <v>560</v>
      </c>
      <c r="C551" s="8" t="str">
        <f>IF(B551="","",VLOOKUP(B551,经纬!B:C,2,FALSE))</f>
        <v/>
      </c>
      <c r="D551" s="8" t="str">
        <f>IF(B551="","",VLOOKUP(B551,经纬!B:G,6,FALSE))</f>
        <v/>
      </c>
      <c r="F551" s="8" t="str">
        <f>IF(B551="","",VLOOKUP(B551,小圆机汇总表!A:AP,5,FALSE))</f>
        <v/>
      </c>
      <c r="G551" s="8" t="str">
        <f>IF(B551="","",VLOOKUP(B551,小圆机汇总表!A:AP,8,FALSE))</f>
        <v/>
      </c>
      <c r="J551" s="105" t="str">
        <f t="shared" si="33"/>
        <v/>
      </c>
      <c r="K551" s="105" t="str">
        <f t="shared" si="34"/>
        <v/>
      </c>
      <c r="L551" s="104" t="str">
        <f>IF(B551="","",VLOOKUP(B551&amp;F551&amp;H551,经纬!A:M,13,FALSE)*N551)</f>
        <v/>
      </c>
      <c r="M551" s="104" t="str">
        <f>IF(B551="","",VLOOKUP(B551&amp;F551&amp;H551,经纬!A:N,14,FALSE)*N551)</f>
        <v/>
      </c>
      <c r="P551" s="8" t="str">
        <f t="shared" si="37"/>
        <v/>
      </c>
      <c r="R551" s="250" t="str">
        <f t="shared" si="35"/>
        <v/>
      </c>
    </row>
    <row r="552" spans="1:18">
      <c r="A552" s="4">
        <v>561</v>
      </c>
      <c r="C552" s="8" t="str">
        <f>IF(B552="","",VLOOKUP(B552,经纬!B:C,2,FALSE))</f>
        <v/>
      </c>
      <c r="D552" s="8" t="str">
        <f>IF(B552="","",VLOOKUP(B552,经纬!B:G,6,FALSE))</f>
        <v/>
      </c>
      <c r="F552" s="8" t="str">
        <f>IF(B552="","",VLOOKUP(B552,小圆机汇总表!A:AP,5,FALSE))</f>
        <v/>
      </c>
      <c r="G552" s="8" t="str">
        <f>IF(B552="","",VLOOKUP(B552,小圆机汇总表!A:AP,8,FALSE))</f>
        <v/>
      </c>
      <c r="J552" s="105" t="str">
        <f t="shared" si="33"/>
        <v/>
      </c>
      <c r="K552" s="105" t="str">
        <f t="shared" si="34"/>
        <v/>
      </c>
      <c r="L552" s="104" t="str">
        <f>IF(B552="","",VLOOKUP(B552&amp;F552&amp;H552,经纬!A:M,13,FALSE)*N552)</f>
        <v/>
      </c>
      <c r="M552" s="104" t="str">
        <f>IF(B552="","",VLOOKUP(B552&amp;F552&amp;H552,经纬!A:N,14,FALSE)*N552)</f>
        <v/>
      </c>
      <c r="P552" s="8" t="str">
        <f t="shared" si="37"/>
        <v/>
      </c>
      <c r="R552" s="250" t="str">
        <f t="shared" si="35"/>
        <v/>
      </c>
    </row>
    <row r="553" spans="1:18">
      <c r="A553" s="4">
        <v>562</v>
      </c>
      <c r="C553" s="8" t="str">
        <f>IF(B553="","",VLOOKUP(B553,经纬!B:C,2,FALSE))</f>
        <v/>
      </c>
      <c r="D553" s="8" t="str">
        <f>IF(B553="","",VLOOKUP(B553,经纬!B:G,6,FALSE))</f>
        <v/>
      </c>
      <c r="F553" s="8" t="str">
        <f>IF(B553="","",VLOOKUP(B553,小圆机汇总表!A:AP,5,FALSE))</f>
        <v/>
      </c>
      <c r="G553" s="8" t="str">
        <f>IF(B553="","",VLOOKUP(B553,小圆机汇总表!A:AP,8,FALSE))</f>
        <v/>
      </c>
      <c r="J553" s="105" t="str">
        <f t="shared" si="33"/>
        <v/>
      </c>
      <c r="K553" s="105" t="str">
        <f t="shared" si="34"/>
        <v/>
      </c>
      <c r="L553" s="104" t="str">
        <f>IF(B553="","",VLOOKUP(B553&amp;F553&amp;H553,经纬!A:M,13,FALSE)*N553)</f>
        <v/>
      </c>
      <c r="M553" s="104" t="str">
        <f>IF(B553="","",VLOOKUP(B553&amp;F553&amp;H553,经纬!A:N,14,FALSE)*N553)</f>
        <v/>
      </c>
      <c r="P553" s="8" t="str">
        <f t="shared" si="37"/>
        <v/>
      </c>
      <c r="R553" s="250" t="str">
        <f t="shared" si="35"/>
        <v/>
      </c>
    </row>
    <row r="554" spans="1:18">
      <c r="A554" s="4">
        <v>563</v>
      </c>
      <c r="C554" s="8" t="str">
        <f>IF(B554="","",VLOOKUP(B554,经纬!B:C,2,FALSE))</f>
        <v/>
      </c>
      <c r="D554" s="8" t="str">
        <f>IF(B554="","",VLOOKUP(B554,经纬!B:G,6,FALSE))</f>
        <v/>
      </c>
      <c r="F554" s="8" t="str">
        <f>IF(B554="","",VLOOKUP(B554,小圆机汇总表!A:AP,5,FALSE))</f>
        <v/>
      </c>
      <c r="G554" s="8" t="str">
        <f>IF(B554="","",VLOOKUP(B554,小圆机汇总表!A:AP,8,FALSE))</f>
        <v/>
      </c>
      <c r="J554" s="105" t="str">
        <f t="shared" si="33"/>
        <v/>
      </c>
      <c r="K554" s="105" t="str">
        <f t="shared" si="34"/>
        <v/>
      </c>
      <c r="L554" s="104" t="str">
        <f>IF(B554="","",VLOOKUP(B554&amp;F554&amp;H554,经纬!A:M,13,FALSE)*N554)</f>
        <v/>
      </c>
      <c r="M554" s="104" t="str">
        <f>IF(B554="","",VLOOKUP(B554&amp;F554&amp;H554,经纬!A:N,14,FALSE)*N554)</f>
        <v/>
      </c>
      <c r="P554" s="8" t="str">
        <f t="shared" si="37"/>
        <v/>
      </c>
      <c r="R554" s="250" t="str">
        <f t="shared" si="35"/>
        <v/>
      </c>
    </row>
    <row r="555" spans="1:18">
      <c r="A555" s="4">
        <v>564</v>
      </c>
      <c r="C555" s="8" t="str">
        <f>IF(B555="","",VLOOKUP(B555,经纬!B:C,2,FALSE))</f>
        <v/>
      </c>
      <c r="D555" s="8" t="str">
        <f>IF(B555="","",VLOOKUP(B555,经纬!B:G,6,FALSE))</f>
        <v/>
      </c>
      <c r="F555" s="8" t="str">
        <f>IF(B555="","",VLOOKUP(B555,小圆机汇总表!A:AP,5,FALSE))</f>
        <v/>
      </c>
      <c r="G555" s="8" t="str">
        <f>IF(B555="","",VLOOKUP(B555,小圆机汇总表!A:AP,8,FALSE))</f>
        <v/>
      </c>
      <c r="J555" s="105" t="str">
        <f t="shared" si="33"/>
        <v/>
      </c>
      <c r="K555" s="105" t="str">
        <f t="shared" si="34"/>
        <v/>
      </c>
      <c r="L555" s="104" t="str">
        <f>IF(B555="","",VLOOKUP(B555&amp;F555&amp;H555,经纬!A:M,13,FALSE)*N555)</f>
        <v/>
      </c>
      <c r="M555" s="104" t="str">
        <f>IF(B555="","",VLOOKUP(B555&amp;F555&amp;H555,经纬!A:N,14,FALSE)*N555)</f>
        <v/>
      </c>
      <c r="P555" s="8" t="str">
        <f t="shared" si="37"/>
        <v/>
      </c>
      <c r="R555" s="250" t="str">
        <f t="shared" si="35"/>
        <v/>
      </c>
    </row>
    <row r="556" spans="1:18">
      <c r="A556" s="4">
        <v>565</v>
      </c>
      <c r="C556" s="8" t="str">
        <f>IF(B556="","",VLOOKUP(B556,经纬!B:C,2,FALSE))</f>
        <v/>
      </c>
      <c r="D556" s="8" t="str">
        <f>IF(B556="","",VLOOKUP(B556,经纬!B:G,6,FALSE))</f>
        <v/>
      </c>
      <c r="F556" s="8" t="str">
        <f>IF(B556="","",VLOOKUP(B556,小圆机汇总表!A:AP,5,FALSE))</f>
        <v/>
      </c>
      <c r="G556" s="8" t="str">
        <f>IF(B556="","",VLOOKUP(B556,小圆机汇总表!A:AP,8,FALSE))</f>
        <v/>
      </c>
      <c r="J556" s="105" t="str">
        <f t="shared" si="33"/>
        <v/>
      </c>
      <c r="K556" s="105" t="str">
        <f t="shared" si="34"/>
        <v/>
      </c>
      <c r="L556" s="104" t="str">
        <f>IF(B556="","",VLOOKUP(B556&amp;F556&amp;H556,经纬!A:M,13,FALSE)*N556)</f>
        <v/>
      </c>
      <c r="M556" s="104" t="str">
        <f>IF(B556="","",VLOOKUP(B556&amp;F556&amp;H556,经纬!A:N,14,FALSE)*N556)</f>
        <v/>
      </c>
      <c r="P556" s="8" t="str">
        <f t="shared" si="37"/>
        <v/>
      </c>
      <c r="R556" s="250" t="str">
        <f t="shared" si="35"/>
        <v/>
      </c>
    </row>
    <row r="557" spans="1:18">
      <c r="A557" s="4">
        <v>566</v>
      </c>
      <c r="C557" s="8" t="str">
        <f>IF(B557="","",VLOOKUP(B557,经纬!B:C,2,FALSE))</f>
        <v/>
      </c>
      <c r="D557" s="8" t="str">
        <f>IF(B557="","",VLOOKUP(B557,经纬!B:G,6,FALSE))</f>
        <v/>
      </c>
      <c r="F557" s="8" t="str">
        <f>IF(B557="","",VLOOKUP(B557,小圆机汇总表!A:AP,5,FALSE))</f>
        <v/>
      </c>
      <c r="G557" s="8" t="str">
        <f>IF(B557="","",VLOOKUP(B557,小圆机汇总表!A:AP,8,FALSE))</f>
        <v/>
      </c>
      <c r="J557" s="105" t="str">
        <f t="shared" si="33"/>
        <v/>
      </c>
      <c r="K557" s="105" t="str">
        <f t="shared" si="34"/>
        <v/>
      </c>
      <c r="L557" s="104" t="str">
        <f>IF(B557="","",VLOOKUP(B557&amp;F557&amp;H557,经纬!A:M,13,FALSE)*N557)</f>
        <v/>
      </c>
      <c r="M557" s="104" t="str">
        <f>IF(B557="","",VLOOKUP(B557&amp;F557&amp;H557,经纬!A:N,14,FALSE)*N557)</f>
        <v/>
      </c>
      <c r="P557" s="8" t="str">
        <f t="shared" si="37"/>
        <v/>
      </c>
      <c r="R557" s="250" t="str">
        <f t="shared" si="35"/>
        <v/>
      </c>
    </row>
    <row r="558" spans="1:18">
      <c r="A558" s="4">
        <v>567</v>
      </c>
      <c r="C558" s="8" t="str">
        <f>IF(B558="","",VLOOKUP(B558,经纬!B:C,2,FALSE))</f>
        <v/>
      </c>
      <c r="D558" s="8" t="str">
        <f>IF(B558="","",VLOOKUP(B558,经纬!B:G,6,FALSE))</f>
        <v/>
      </c>
      <c r="F558" s="8" t="str">
        <f>IF(B558="","",VLOOKUP(B558,小圆机汇总表!A:AP,5,FALSE))</f>
        <v/>
      </c>
      <c r="G558" s="8" t="str">
        <f>IF(B558="","",VLOOKUP(B558,小圆机汇总表!A:AP,8,FALSE))</f>
        <v/>
      </c>
      <c r="J558" s="105" t="str">
        <f t="shared" si="33"/>
        <v/>
      </c>
      <c r="K558" s="105" t="str">
        <f t="shared" si="34"/>
        <v/>
      </c>
      <c r="L558" s="104" t="str">
        <f>IF(B558="","",VLOOKUP(B558&amp;F558&amp;H558,经纬!A:M,13,FALSE)*N558)</f>
        <v/>
      </c>
      <c r="M558" s="104" t="str">
        <f>IF(B558="","",VLOOKUP(B558&amp;F558&amp;H558,经纬!A:N,14,FALSE)*N558)</f>
        <v/>
      </c>
      <c r="P558" s="8" t="str">
        <f t="shared" si="37"/>
        <v/>
      </c>
      <c r="R558" s="250" t="str">
        <f t="shared" si="35"/>
        <v/>
      </c>
    </row>
    <row r="559" spans="1:18">
      <c r="A559" s="4">
        <v>568</v>
      </c>
      <c r="C559" s="8" t="str">
        <f>IF(B559="","",VLOOKUP(B559,经纬!B:C,2,FALSE))</f>
        <v/>
      </c>
      <c r="D559" s="8" t="str">
        <f>IF(B559="","",VLOOKUP(B559,经纬!B:G,6,FALSE))</f>
        <v/>
      </c>
      <c r="F559" s="8" t="str">
        <f>IF(B559="","",VLOOKUP(B559,小圆机汇总表!A:AP,5,FALSE))</f>
        <v/>
      </c>
      <c r="G559" s="8" t="str">
        <f>IF(B559="","",VLOOKUP(B559,小圆机汇总表!A:AP,8,FALSE))</f>
        <v/>
      </c>
      <c r="J559" s="105" t="str">
        <f t="shared" si="33"/>
        <v/>
      </c>
      <c r="K559" s="105" t="str">
        <f t="shared" si="34"/>
        <v/>
      </c>
      <c r="L559" s="104" t="str">
        <f>IF(B559="","",VLOOKUP(B559&amp;F559&amp;H559,经纬!A:M,13,FALSE)*N559)</f>
        <v/>
      </c>
      <c r="M559" s="104" t="str">
        <f>IF(B559="","",VLOOKUP(B559&amp;F559&amp;H559,经纬!A:N,14,FALSE)*N559)</f>
        <v/>
      </c>
      <c r="P559" s="8" t="str">
        <f t="shared" si="37"/>
        <v/>
      </c>
      <c r="R559" s="250" t="str">
        <f t="shared" si="35"/>
        <v/>
      </c>
    </row>
    <row r="560" spans="1:18">
      <c r="A560" s="4">
        <v>569</v>
      </c>
      <c r="C560" s="8" t="str">
        <f>IF(B560="","",VLOOKUP(B560,经纬!B:C,2,FALSE))</f>
        <v/>
      </c>
      <c r="D560" s="8" t="str">
        <f>IF(B560="","",VLOOKUP(B560,经纬!B:G,6,FALSE))</f>
        <v/>
      </c>
      <c r="F560" s="8" t="str">
        <f>IF(B560="","",VLOOKUP(B560,小圆机汇总表!A:AP,5,FALSE))</f>
        <v/>
      </c>
      <c r="G560" s="8" t="str">
        <f>IF(B560="","",VLOOKUP(B560,小圆机汇总表!A:AP,8,FALSE))</f>
        <v/>
      </c>
      <c r="J560" s="105" t="str">
        <f t="shared" si="33"/>
        <v/>
      </c>
      <c r="K560" s="105" t="str">
        <f t="shared" si="34"/>
        <v/>
      </c>
      <c r="L560" s="104" t="str">
        <f>IF(B560="","",VLOOKUP(B560&amp;F560&amp;H560,经纬!A:M,13,FALSE)*N560)</f>
        <v/>
      </c>
      <c r="M560" s="104" t="str">
        <f>IF(B560="","",VLOOKUP(B560&amp;F560&amp;H560,经纬!A:N,14,FALSE)*N560)</f>
        <v/>
      </c>
      <c r="P560" s="8" t="str">
        <f t="shared" si="37"/>
        <v/>
      </c>
      <c r="R560" s="250" t="str">
        <f t="shared" si="35"/>
        <v/>
      </c>
    </row>
    <row r="561" spans="1:18">
      <c r="A561" s="4">
        <v>570</v>
      </c>
      <c r="C561" s="8" t="str">
        <f>IF(B561="","",VLOOKUP(B561,经纬!B:C,2,FALSE))</f>
        <v/>
      </c>
      <c r="D561" s="8" t="str">
        <f>IF(B561="","",VLOOKUP(B561,经纬!B:G,6,FALSE))</f>
        <v/>
      </c>
      <c r="F561" s="8" t="str">
        <f>IF(B561="","",VLOOKUP(B561,小圆机汇总表!A:AP,5,FALSE))</f>
        <v/>
      </c>
      <c r="G561" s="8" t="str">
        <f>IF(B561="","",VLOOKUP(B561,小圆机汇总表!A:AP,8,FALSE))</f>
        <v/>
      </c>
      <c r="J561" s="105" t="str">
        <f t="shared" si="33"/>
        <v/>
      </c>
      <c r="K561" s="105" t="str">
        <f t="shared" si="34"/>
        <v/>
      </c>
      <c r="L561" s="104" t="str">
        <f>IF(B561="","",VLOOKUP(B561&amp;F561&amp;H561,经纬!A:M,13,FALSE)*N561)</f>
        <v/>
      </c>
      <c r="M561" s="104" t="str">
        <f>IF(B561="","",VLOOKUP(B561&amp;F561&amp;H561,经纬!A:N,14,FALSE)*N561)</f>
        <v/>
      </c>
      <c r="P561" s="8" t="str">
        <f t="shared" si="37"/>
        <v/>
      </c>
      <c r="R561" s="250" t="str">
        <f t="shared" si="35"/>
        <v/>
      </c>
    </row>
    <row r="562" spans="1:18">
      <c r="A562" s="4">
        <v>571</v>
      </c>
      <c r="C562" s="8" t="str">
        <f>IF(B562="","",VLOOKUP(B562,经纬!B:C,2,FALSE))</f>
        <v/>
      </c>
      <c r="D562" s="8" t="str">
        <f>IF(B562="","",VLOOKUP(B562,经纬!B:G,6,FALSE))</f>
        <v/>
      </c>
      <c r="F562" s="8" t="str">
        <f>IF(B562="","",VLOOKUP(B562,小圆机汇总表!A:AP,5,FALSE))</f>
        <v/>
      </c>
      <c r="G562" s="8" t="str">
        <f>IF(B562="","",VLOOKUP(B562,小圆机汇总表!A:AP,8,FALSE))</f>
        <v/>
      </c>
      <c r="J562" s="105" t="str">
        <f t="shared" si="33"/>
        <v/>
      </c>
      <c r="K562" s="105" t="str">
        <f t="shared" si="34"/>
        <v/>
      </c>
      <c r="L562" s="104" t="str">
        <f>IF(B562="","",VLOOKUP(B562&amp;F562&amp;H562,经纬!A:M,13,FALSE)*N562)</f>
        <v/>
      </c>
      <c r="M562" s="104" t="str">
        <f>IF(B562="","",VLOOKUP(B562&amp;F562&amp;H562,经纬!A:N,14,FALSE)*N562)</f>
        <v/>
      </c>
      <c r="P562" s="8" t="str">
        <f t="shared" si="37"/>
        <v/>
      </c>
      <c r="R562" s="250" t="str">
        <f t="shared" si="35"/>
        <v/>
      </c>
    </row>
    <row r="563" spans="1:18">
      <c r="A563" s="4">
        <v>572</v>
      </c>
      <c r="C563" s="8" t="str">
        <f>IF(B563="","",VLOOKUP(B563,经纬!B:C,2,FALSE))</f>
        <v/>
      </c>
      <c r="D563" s="8" t="str">
        <f>IF(B563="","",VLOOKUP(B563,经纬!B:G,6,FALSE))</f>
        <v/>
      </c>
      <c r="F563" s="8" t="str">
        <f>IF(B563="","",VLOOKUP(B563,小圆机汇总表!A:AP,5,FALSE))</f>
        <v/>
      </c>
      <c r="G563" s="8" t="str">
        <f>IF(B563="","",VLOOKUP(B563,小圆机汇总表!A:AP,8,FALSE))</f>
        <v/>
      </c>
      <c r="J563" s="105" t="str">
        <f t="shared" si="33"/>
        <v/>
      </c>
      <c r="K563" s="105" t="str">
        <f t="shared" si="34"/>
        <v/>
      </c>
      <c r="L563" s="104" t="str">
        <f>IF(B563="","",VLOOKUP(B563&amp;F563&amp;H563,经纬!A:M,13,FALSE)*N563)</f>
        <v/>
      </c>
      <c r="M563" s="104" t="str">
        <f>IF(B563="","",VLOOKUP(B563&amp;F563&amp;H563,经纬!A:N,14,FALSE)*N563)</f>
        <v/>
      </c>
      <c r="P563" s="8" t="str">
        <f t="shared" si="37"/>
        <v/>
      </c>
      <c r="R563" s="250" t="str">
        <f t="shared" si="35"/>
        <v/>
      </c>
    </row>
    <row r="564" spans="1:18">
      <c r="A564" s="4">
        <v>573</v>
      </c>
      <c r="C564" s="8" t="str">
        <f>IF(B564="","",VLOOKUP(B564,经纬!B:C,2,FALSE))</f>
        <v/>
      </c>
      <c r="D564" s="8" t="str">
        <f>IF(B564="","",VLOOKUP(B564,经纬!B:G,6,FALSE))</f>
        <v/>
      </c>
      <c r="F564" s="8" t="str">
        <f>IF(B564="","",VLOOKUP(B564,小圆机汇总表!A:AP,5,FALSE))</f>
        <v/>
      </c>
      <c r="G564" s="8" t="str">
        <f>IF(B564="","",VLOOKUP(B564,小圆机汇总表!A:AP,8,FALSE))</f>
        <v/>
      </c>
      <c r="J564" s="105" t="str">
        <f t="shared" si="33"/>
        <v/>
      </c>
      <c r="K564" s="105" t="str">
        <f t="shared" si="34"/>
        <v/>
      </c>
      <c r="L564" s="104" t="str">
        <f>IF(B564="","",VLOOKUP(B564&amp;F564&amp;H564,经纬!A:M,13,FALSE)*N564)</f>
        <v/>
      </c>
      <c r="M564" s="104" t="str">
        <f>IF(B564="","",VLOOKUP(B564&amp;F564&amp;H564,经纬!A:N,14,FALSE)*N564)</f>
        <v/>
      </c>
      <c r="P564" s="8" t="str">
        <f t="shared" si="37"/>
        <v/>
      </c>
      <c r="R564" s="250" t="str">
        <f t="shared" si="35"/>
        <v/>
      </c>
    </row>
    <row r="565" spans="1:18">
      <c r="A565" s="4">
        <v>574</v>
      </c>
      <c r="C565" s="8" t="str">
        <f>IF(B565="","",VLOOKUP(B565,经纬!B:C,2,FALSE))</f>
        <v/>
      </c>
      <c r="D565" s="8" t="str">
        <f>IF(B565="","",VLOOKUP(B565,经纬!B:G,6,FALSE))</f>
        <v/>
      </c>
      <c r="F565" s="8" t="str">
        <f>IF(B565="","",VLOOKUP(B565,小圆机汇总表!A:AP,5,FALSE))</f>
        <v/>
      </c>
      <c r="G565" s="8" t="str">
        <f>IF(B565="","",VLOOKUP(B565,小圆机汇总表!A:AP,8,FALSE))</f>
        <v/>
      </c>
      <c r="J565" s="105" t="str">
        <f t="shared" si="33"/>
        <v/>
      </c>
      <c r="K565" s="105" t="str">
        <f t="shared" si="34"/>
        <v/>
      </c>
      <c r="L565" s="104" t="str">
        <f>IF(B565="","",VLOOKUP(B565&amp;F565&amp;H565,经纬!A:M,13,FALSE)*N565)</f>
        <v/>
      </c>
      <c r="M565" s="104" t="str">
        <f>IF(B565="","",VLOOKUP(B565&amp;F565&amp;H565,经纬!A:N,14,FALSE)*N565)</f>
        <v/>
      </c>
      <c r="P565" s="8" t="str">
        <f t="shared" si="37"/>
        <v/>
      </c>
      <c r="R565" s="250" t="str">
        <f t="shared" si="35"/>
        <v/>
      </c>
    </row>
    <row r="566" spans="1:18">
      <c r="A566" s="4">
        <v>575</v>
      </c>
      <c r="C566" s="8" t="str">
        <f>IF(B566="","",VLOOKUP(B566,经纬!B:C,2,FALSE))</f>
        <v/>
      </c>
      <c r="D566" s="8" t="str">
        <f>IF(B566="","",VLOOKUP(B566,经纬!B:G,6,FALSE))</f>
        <v/>
      </c>
      <c r="F566" s="8" t="str">
        <f>IF(B566="","",VLOOKUP(B566,小圆机汇总表!A:AP,5,FALSE))</f>
        <v/>
      </c>
      <c r="G566" s="8" t="str">
        <f>IF(B566="","",VLOOKUP(B566,小圆机汇总表!A:AP,8,FALSE))</f>
        <v/>
      </c>
      <c r="J566" s="105" t="str">
        <f t="shared" si="33"/>
        <v/>
      </c>
      <c r="K566" s="105" t="str">
        <f t="shared" si="34"/>
        <v/>
      </c>
      <c r="L566" s="104" t="str">
        <f>IF(B566="","",VLOOKUP(B566&amp;F566&amp;H566,经纬!A:M,13,FALSE)*N566)</f>
        <v/>
      </c>
      <c r="M566" s="104" t="str">
        <f>IF(B566="","",VLOOKUP(B566&amp;F566&amp;H566,经纬!A:N,14,FALSE)*N566)</f>
        <v/>
      </c>
      <c r="P566" s="8" t="str">
        <f t="shared" si="37"/>
        <v/>
      </c>
      <c r="R566" s="250" t="str">
        <f t="shared" si="35"/>
        <v/>
      </c>
    </row>
    <row r="567" spans="1:18">
      <c r="A567" s="4">
        <v>576</v>
      </c>
      <c r="C567" s="8" t="str">
        <f>IF(B567="","",VLOOKUP(B567,经纬!B:C,2,FALSE))</f>
        <v/>
      </c>
      <c r="D567" s="8" t="str">
        <f>IF(B567="","",VLOOKUP(B567,经纬!B:G,6,FALSE))</f>
        <v/>
      </c>
      <c r="F567" s="8" t="str">
        <f>IF(B567="","",VLOOKUP(B567,小圆机汇总表!A:AP,5,FALSE))</f>
        <v/>
      </c>
      <c r="G567" s="8" t="str">
        <f>IF(B567="","",VLOOKUP(B567,小圆机汇总表!A:AP,8,FALSE))</f>
        <v/>
      </c>
      <c r="J567" s="105" t="str">
        <f t="shared" si="33"/>
        <v/>
      </c>
      <c r="K567" s="105" t="str">
        <f t="shared" si="34"/>
        <v/>
      </c>
      <c r="L567" s="104" t="str">
        <f>IF(B567="","",VLOOKUP(B567&amp;F567&amp;H567,经纬!A:M,13,FALSE)*N567)</f>
        <v/>
      </c>
      <c r="M567" s="104" t="str">
        <f>IF(B567="","",VLOOKUP(B567&amp;F567&amp;H567,经纬!A:N,14,FALSE)*N567)</f>
        <v/>
      </c>
      <c r="P567" s="8" t="str">
        <f t="shared" si="37"/>
        <v/>
      </c>
      <c r="R567" s="250" t="str">
        <f t="shared" si="35"/>
        <v/>
      </c>
    </row>
    <row r="568" spans="1:18">
      <c r="A568" s="4">
        <v>577</v>
      </c>
      <c r="C568" s="8" t="str">
        <f>IF(B568="","",VLOOKUP(B568,经纬!B:C,2,FALSE))</f>
        <v/>
      </c>
      <c r="D568" s="8" t="str">
        <f>IF(B568="","",VLOOKUP(B568,经纬!B:G,6,FALSE))</f>
        <v/>
      </c>
      <c r="F568" s="8" t="str">
        <f>IF(B568="","",VLOOKUP(B568,小圆机汇总表!A:AP,5,FALSE))</f>
        <v/>
      </c>
      <c r="G568" s="8" t="str">
        <f>IF(B568="","",VLOOKUP(B568,小圆机汇总表!A:AP,8,FALSE))</f>
        <v/>
      </c>
      <c r="J568" s="105" t="str">
        <f t="shared" si="33"/>
        <v/>
      </c>
      <c r="K568" s="105" t="str">
        <f t="shared" si="34"/>
        <v/>
      </c>
      <c r="L568" s="104" t="str">
        <f>IF(B568="","",VLOOKUP(B568&amp;F568&amp;H568,经纬!A:M,13,FALSE)*N568)</f>
        <v/>
      </c>
      <c r="M568" s="104" t="str">
        <f>IF(B568="","",VLOOKUP(B568&amp;F568&amp;H568,经纬!A:N,14,FALSE)*N568)</f>
        <v/>
      </c>
      <c r="P568" s="8" t="str">
        <f t="shared" si="37"/>
        <v/>
      </c>
      <c r="R568" s="250" t="str">
        <f t="shared" si="35"/>
        <v/>
      </c>
    </row>
    <row r="569" spans="1:18">
      <c r="A569" s="4">
        <v>578</v>
      </c>
      <c r="C569" s="8" t="str">
        <f>IF(B569="","",VLOOKUP(B569,经纬!B:C,2,FALSE))</f>
        <v/>
      </c>
      <c r="D569" s="8" t="str">
        <f>IF(B569="","",VLOOKUP(B569,经纬!B:G,6,FALSE))</f>
        <v/>
      </c>
      <c r="F569" s="8" t="str">
        <f>IF(B569="","",VLOOKUP(B569,小圆机汇总表!A:AP,5,FALSE))</f>
        <v/>
      </c>
      <c r="G569" s="8" t="str">
        <f>IF(B569="","",VLOOKUP(B569,小圆机汇总表!A:AP,8,FALSE))</f>
        <v/>
      </c>
      <c r="J569" s="105" t="str">
        <f t="shared" si="33"/>
        <v/>
      </c>
      <c r="K569" s="105" t="str">
        <f t="shared" si="34"/>
        <v/>
      </c>
      <c r="L569" s="104" t="str">
        <f>IF(B569="","",VLOOKUP(B569&amp;F569&amp;H569,经纬!A:M,13,FALSE)*N569)</f>
        <v/>
      </c>
      <c r="M569" s="104" t="str">
        <f>IF(B569="","",VLOOKUP(B569&amp;F569&amp;H569,经纬!A:N,14,FALSE)*N569)</f>
        <v/>
      </c>
      <c r="P569" s="8" t="str">
        <f t="shared" si="37"/>
        <v/>
      </c>
      <c r="R569" s="250" t="str">
        <f t="shared" si="35"/>
        <v/>
      </c>
    </row>
    <row r="570" spans="1:18">
      <c r="A570" s="4">
        <v>579</v>
      </c>
      <c r="C570" s="8" t="str">
        <f>IF(B570="","",VLOOKUP(B570,经纬!B:C,2,FALSE))</f>
        <v/>
      </c>
      <c r="D570" s="8" t="str">
        <f>IF(B570="","",VLOOKUP(B570,经纬!B:G,6,FALSE))</f>
        <v/>
      </c>
      <c r="F570" s="8" t="str">
        <f>IF(B570="","",VLOOKUP(B570,小圆机汇总表!A:AP,5,FALSE))</f>
        <v/>
      </c>
      <c r="G570" s="8" t="str">
        <f>IF(B570="","",VLOOKUP(B570,小圆机汇总表!A:AP,8,FALSE))</f>
        <v/>
      </c>
      <c r="J570" s="105" t="str">
        <f t="shared" ref="J570:J633" si="38">IF(B570="","",LEFT(C570,FIND("*",C570)-1))</f>
        <v/>
      </c>
      <c r="K570" s="105" t="str">
        <f t="shared" ref="K570:K633" si="39">IF(B570="","",RIGHT(C570,LEN(C570)-LEN(J570)-1))</f>
        <v/>
      </c>
      <c r="L570" s="104" t="str">
        <f>IF(B570="","",VLOOKUP(B570&amp;F570&amp;H570,经纬!A:M,13,FALSE)*N570)</f>
        <v/>
      </c>
      <c r="M570" s="104" t="str">
        <f>IF(B570="","",VLOOKUP(B570&amp;F570&amp;H570,经纬!A:N,14,FALSE)*N570)</f>
        <v/>
      </c>
      <c r="P570" s="8" t="str">
        <f t="shared" si="37"/>
        <v/>
      </c>
      <c r="R570" s="250" t="str">
        <f t="shared" si="35"/>
        <v/>
      </c>
    </row>
    <row r="571" spans="1:18">
      <c r="A571" s="4">
        <v>580</v>
      </c>
      <c r="C571" s="8" t="str">
        <f>IF(B571="","",VLOOKUP(B571,经纬!B:C,2,FALSE))</f>
        <v/>
      </c>
      <c r="D571" s="8" t="str">
        <f>IF(B571="","",VLOOKUP(B571,经纬!B:G,6,FALSE))</f>
        <v/>
      </c>
      <c r="F571" s="8" t="str">
        <f>IF(B571="","",VLOOKUP(B571,小圆机汇总表!A:AP,5,FALSE))</f>
        <v/>
      </c>
      <c r="G571" s="8" t="str">
        <f>IF(B571="","",VLOOKUP(B571,小圆机汇总表!A:AP,8,FALSE))</f>
        <v/>
      </c>
      <c r="J571" s="105" t="str">
        <f t="shared" si="38"/>
        <v/>
      </c>
      <c r="K571" s="105" t="str">
        <f t="shared" si="39"/>
        <v/>
      </c>
      <c r="L571" s="104" t="str">
        <f>IF(B571="","",VLOOKUP(B571&amp;F571&amp;H571,经纬!A:M,13,FALSE)*N571)</f>
        <v/>
      </c>
      <c r="M571" s="104" t="str">
        <f>IF(B571="","",VLOOKUP(B571&amp;F571&amp;H571,经纬!A:N,14,FALSE)*N571)</f>
        <v/>
      </c>
      <c r="P571" s="8" t="str">
        <f t="shared" si="37"/>
        <v/>
      </c>
      <c r="R571" s="250" t="str">
        <f t="shared" si="35"/>
        <v/>
      </c>
    </row>
    <row r="572" spans="1:18">
      <c r="A572" s="4">
        <v>581</v>
      </c>
      <c r="C572" s="8" t="str">
        <f>IF(B572="","",VLOOKUP(B572,经纬!B:C,2,FALSE))</f>
        <v/>
      </c>
      <c r="D572" s="8" t="str">
        <f>IF(B572="","",VLOOKUP(B572,经纬!B:G,6,FALSE))</f>
        <v/>
      </c>
      <c r="F572" s="8" t="str">
        <f>IF(B572="","",VLOOKUP(B572,小圆机汇总表!A:AP,5,FALSE))</f>
        <v/>
      </c>
      <c r="G572" s="8" t="str">
        <f>IF(B572="","",VLOOKUP(B572,小圆机汇总表!A:AP,8,FALSE))</f>
        <v/>
      </c>
      <c r="J572" s="105" t="str">
        <f t="shared" si="38"/>
        <v/>
      </c>
      <c r="K572" s="105" t="str">
        <f t="shared" si="39"/>
        <v/>
      </c>
      <c r="L572" s="104" t="str">
        <f>IF(B572="","",VLOOKUP(B572&amp;F572&amp;H572,经纬!A:M,13,FALSE)*N572)</f>
        <v/>
      </c>
      <c r="M572" s="104" t="str">
        <f>IF(B572="","",VLOOKUP(B572&amp;F572&amp;H572,经纬!A:N,14,FALSE)*N572)</f>
        <v/>
      </c>
      <c r="P572" s="8" t="str">
        <f t="shared" si="37"/>
        <v/>
      </c>
      <c r="R572" s="250" t="str">
        <f t="shared" si="35"/>
        <v/>
      </c>
    </row>
    <row r="573" spans="1:18">
      <c r="A573" s="4">
        <v>582</v>
      </c>
      <c r="C573" s="8" t="str">
        <f>IF(B573="","",VLOOKUP(B573,经纬!B:C,2,FALSE))</f>
        <v/>
      </c>
      <c r="D573" s="8" t="str">
        <f>IF(B573="","",VLOOKUP(B573,经纬!B:G,6,FALSE))</f>
        <v/>
      </c>
      <c r="F573" s="8" t="str">
        <f>IF(B573="","",VLOOKUP(B573,小圆机汇总表!A:AP,5,FALSE))</f>
        <v/>
      </c>
      <c r="G573" s="8" t="str">
        <f>IF(B573="","",VLOOKUP(B573,小圆机汇总表!A:AP,8,FALSE))</f>
        <v/>
      </c>
      <c r="J573" s="105" t="str">
        <f t="shared" si="38"/>
        <v/>
      </c>
      <c r="K573" s="105" t="str">
        <f t="shared" si="39"/>
        <v/>
      </c>
      <c r="L573" s="104" t="str">
        <f>IF(B573="","",VLOOKUP(B573&amp;F573&amp;H573,经纬!A:M,13,FALSE)*N573)</f>
        <v/>
      </c>
      <c r="M573" s="104" t="str">
        <f>IF(B573="","",VLOOKUP(B573&amp;F573&amp;H573,经纬!A:N,14,FALSE)*N573)</f>
        <v/>
      </c>
      <c r="P573" s="8" t="str">
        <f t="shared" si="37"/>
        <v/>
      </c>
      <c r="R573" s="250" t="str">
        <f t="shared" si="35"/>
        <v/>
      </c>
    </row>
    <row r="574" spans="1:18">
      <c r="A574" s="4">
        <v>583</v>
      </c>
      <c r="C574" s="8" t="str">
        <f>IF(B574="","",VLOOKUP(B574,经纬!B:C,2,FALSE))</f>
        <v/>
      </c>
      <c r="D574" s="8" t="str">
        <f>IF(B574="","",VLOOKUP(B574,经纬!B:G,6,FALSE))</f>
        <v/>
      </c>
      <c r="F574" s="8" t="str">
        <f>IF(B574="","",VLOOKUP(B574,小圆机汇总表!A:AP,5,FALSE))</f>
        <v/>
      </c>
      <c r="G574" s="8" t="str">
        <f>IF(B574="","",VLOOKUP(B574,小圆机汇总表!A:AP,8,FALSE))</f>
        <v/>
      </c>
      <c r="J574" s="105" t="str">
        <f t="shared" si="38"/>
        <v/>
      </c>
      <c r="K574" s="105" t="str">
        <f t="shared" si="39"/>
        <v/>
      </c>
      <c r="L574" s="104" t="str">
        <f>IF(B574="","",VLOOKUP(B574&amp;F574&amp;H574,经纬!A:M,13,FALSE)*N574)</f>
        <v/>
      </c>
      <c r="M574" s="104" t="str">
        <f>IF(B574="","",VLOOKUP(B574&amp;F574&amp;H574,经纬!A:N,14,FALSE)*N574)</f>
        <v/>
      </c>
      <c r="P574" s="8" t="str">
        <f t="shared" si="37"/>
        <v/>
      </c>
      <c r="R574" s="250" t="str">
        <f t="shared" si="35"/>
        <v/>
      </c>
    </row>
    <row r="575" spans="1:18">
      <c r="A575" s="4">
        <v>584</v>
      </c>
      <c r="C575" s="8" t="str">
        <f>IF(B575="","",VLOOKUP(B575,经纬!B:C,2,FALSE))</f>
        <v/>
      </c>
      <c r="D575" s="8" t="str">
        <f>IF(B575="","",VLOOKUP(B575,经纬!B:G,6,FALSE))</f>
        <v/>
      </c>
      <c r="F575" s="8" t="str">
        <f>IF(B575="","",VLOOKUP(B575,小圆机汇总表!A:AP,5,FALSE))</f>
        <v/>
      </c>
      <c r="G575" s="8" t="str">
        <f>IF(B575="","",VLOOKUP(B575,小圆机汇总表!A:AP,8,FALSE))</f>
        <v/>
      </c>
      <c r="J575" s="105" t="str">
        <f t="shared" si="38"/>
        <v/>
      </c>
      <c r="K575" s="105" t="str">
        <f t="shared" si="39"/>
        <v/>
      </c>
      <c r="L575" s="104" t="str">
        <f>IF(B575="","",VLOOKUP(B575&amp;F575&amp;H575,经纬!A:M,13,FALSE)*N575)</f>
        <v/>
      </c>
      <c r="M575" s="104" t="str">
        <f>IF(B575="","",VLOOKUP(B575&amp;F575&amp;H575,经纬!A:N,14,FALSE)*N575)</f>
        <v/>
      </c>
      <c r="P575" s="8" t="str">
        <f t="shared" si="37"/>
        <v/>
      </c>
      <c r="R575" s="250" t="str">
        <f t="shared" si="35"/>
        <v/>
      </c>
    </row>
    <row r="576" spans="1:18">
      <c r="A576" s="4">
        <v>585</v>
      </c>
      <c r="C576" s="8" t="str">
        <f>IF(B576="","",VLOOKUP(B576,经纬!B:C,2,FALSE))</f>
        <v/>
      </c>
      <c r="D576" s="8" t="str">
        <f>IF(B576="","",VLOOKUP(B576,经纬!B:G,6,FALSE))</f>
        <v/>
      </c>
      <c r="F576" s="8" t="str">
        <f>IF(B576="","",VLOOKUP(B576,小圆机汇总表!A:AP,5,FALSE))</f>
        <v/>
      </c>
      <c r="G576" s="8" t="str">
        <f>IF(B576="","",VLOOKUP(B576,小圆机汇总表!A:AP,8,FALSE))</f>
        <v/>
      </c>
      <c r="J576" s="105" t="str">
        <f t="shared" si="38"/>
        <v/>
      </c>
      <c r="K576" s="105" t="str">
        <f t="shared" si="39"/>
        <v/>
      </c>
      <c r="L576" s="104" t="str">
        <f>IF(B576="","",VLOOKUP(B576&amp;F576&amp;H576,经纬!A:M,13,FALSE)*N576)</f>
        <v/>
      </c>
      <c r="M576" s="104" t="str">
        <f>IF(B576="","",VLOOKUP(B576&amp;F576&amp;H576,经纬!A:N,14,FALSE)*N576)</f>
        <v/>
      </c>
      <c r="P576" s="8" t="str">
        <f t="shared" si="37"/>
        <v/>
      </c>
      <c r="R576" s="250" t="str">
        <f t="shared" si="35"/>
        <v/>
      </c>
    </row>
    <row r="577" spans="1:18">
      <c r="A577" s="4">
        <v>586</v>
      </c>
      <c r="C577" s="8" t="str">
        <f>IF(B577="","",VLOOKUP(B577,经纬!B:C,2,FALSE))</f>
        <v/>
      </c>
      <c r="D577" s="8" t="str">
        <f>IF(B577="","",VLOOKUP(B577,经纬!B:G,6,FALSE))</f>
        <v/>
      </c>
      <c r="F577" s="8" t="str">
        <f>IF(B577="","",VLOOKUP(B577,小圆机汇总表!A:AP,5,FALSE))</f>
        <v/>
      </c>
      <c r="G577" s="8" t="str">
        <f>IF(B577="","",VLOOKUP(B577,小圆机汇总表!A:AP,8,FALSE))</f>
        <v/>
      </c>
      <c r="J577" s="105" t="str">
        <f t="shared" si="38"/>
        <v/>
      </c>
      <c r="K577" s="105" t="str">
        <f t="shared" si="39"/>
        <v/>
      </c>
      <c r="L577" s="104" t="str">
        <f>IF(B577="","",VLOOKUP(B577&amp;F577&amp;H577,经纬!A:M,13,FALSE)*N577)</f>
        <v/>
      </c>
      <c r="M577" s="104" t="str">
        <f>IF(B577="","",VLOOKUP(B577&amp;F577&amp;H577,经纬!A:N,14,FALSE)*N577)</f>
        <v/>
      </c>
      <c r="P577" s="8" t="str">
        <f t="shared" si="37"/>
        <v/>
      </c>
      <c r="R577" s="250" t="str">
        <f t="shared" si="35"/>
        <v/>
      </c>
    </row>
    <row r="578" spans="1:18">
      <c r="A578" s="4">
        <v>587</v>
      </c>
      <c r="C578" s="8" t="str">
        <f>IF(B578="","",VLOOKUP(B578,经纬!B:C,2,FALSE))</f>
        <v/>
      </c>
      <c r="D578" s="8" t="str">
        <f>IF(B578="","",VLOOKUP(B578,经纬!B:G,6,FALSE))</f>
        <v/>
      </c>
      <c r="F578" s="8" t="str">
        <f>IF(B578="","",VLOOKUP(B578,小圆机汇总表!A:AP,5,FALSE))</f>
        <v/>
      </c>
      <c r="G578" s="8" t="str">
        <f>IF(B578="","",VLOOKUP(B578,小圆机汇总表!A:AP,8,FALSE))</f>
        <v/>
      </c>
      <c r="J578" s="105" t="str">
        <f t="shared" si="38"/>
        <v/>
      </c>
      <c r="K578" s="105" t="str">
        <f t="shared" si="39"/>
        <v/>
      </c>
      <c r="L578" s="104" t="str">
        <f>IF(B578="","",VLOOKUP(B578&amp;F578&amp;H578,经纬!A:M,13,FALSE)*N578)</f>
        <v/>
      </c>
      <c r="M578" s="104" t="str">
        <f>IF(B578="","",VLOOKUP(B578&amp;F578&amp;H578,经纬!A:N,14,FALSE)*N578)</f>
        <v/>
      </c>
      <c r="P578" s="8" t="str">
        <f t="shared" si="37"/>
        <v/>
      </c>
      <c r="R578" s="250" t="str">
        <f t="shared" si="35"/>
        <v/>
      </c>
    </row>
    <row r="579" spans="1:18">
      <c r="A579" s="4">
        <v>588</v>
      </c>
      <c r="C579" s="8" t="str">
        <f>IF(B579="","",VLOOKUP(B579,经纬!B:C,2,FALSE))</f>
        <v/>
      </c>
      <c r="D579" s="8" t="str">
        <f>IF(B579="","",VLOOKUP(B579,经纬!B:G,6,FALSE))</f>
        <v/>
      </c>
      <c r="F579" s="8" t="str">
        <f>IF(B579="","",VLOOKUP(B579,小圆机汇总表!A:AP,5,FALSE))</f>
        <v/>
      </c>
      <c r="G579" s="8" t="str">
        <f>IF(B579="","",VLOOKUP(B579,小圆机汇总表!A:AP,8,FALSE))</f>
        <v/>
      </c>
      <c r="J579" s="105" t="str">
        <f t="shared" si="38"/>
        <v/>
      </c>
      <c r="K579" s="105" t="str">
        <f t="shared" si="39"/>
        <v/>
      </c>
      <c r="L579" s="104" t="str">
        <f>IF(B579="","",VLOOKUP(B579&amp;F579&amp;H579,经纬!A:M,13,FALSE)*N579)</f>
        <v/>
      </c>
      <c r="M579" s="104" t="str">
        <f>IF(B579="","",VLOOKUP(B579&amp;F579&amp;H579,经纬!A:N,14,FALSE)*N579)</f>
        <v/>
      </c>
      <c r="P579" s="8" t="str">
        <f t="shared" si="37"/>
        <v/>
      </c>
      <c r="R579" s="250" t="str">
        <f t="shared" ref="R579:R642" si="40">IF(B579="","",MONTH(I579))</f>
        <v/>
      </c>
    </row>
    <row r="580" spans="1:18">
      <c r="A580" s="4">
        <v>589</v>
      </c>
      <c r="C580" s="8" t="str">
        <f>IF(B580="","",VLOOKUP(B580,经纬!B:C,2,FALSE))</f>
        <v/>
      </c>
      <c r="D580" s="8" t="str">
        <f>IF(B580="","",VLOOKUP(B580,经纬!B:G,6,FALSE))</f>
        <v/>
      </c>
      <c r="F580" s="8" t="str">
        <f>IF(B580="","",VLOOKUP(B580,小圆机汇总表!A:AP,5,FALSE))</f>
        <v/>
      </c>
      <c r="G580" s="8" t="str">
        <f>IF(B580="","",VLOOKUP(B580,小圆机汇总表!A:AP,8,FALSE))</f>
        <v/>
      </c>
      <c r="J580" s="105" t="str">
        <f t="shared" si="38"/>
        <v/>
      </c>
      <c r="K580" s="105" t="str">
        <f t="shared" si="39"/>
        <v/>
      </c>
      <c r="L580" s="104" t="str">
        <f>IF(B580="","",VLOOKUP(B580&amp;F580&amp;H580,经纬!A:M,13,FALSE)*N580)</f>
        <v/>
      </c>
      <c r="M580" s="104" t="str">
        <f>IF(B580="","",VLOOKUP(B580&amp;F580&amp;H580,经纬!A:N,14,FALSE)*N580)</f>
        <v/>
      </c>
      <c r="P580" s="8" t="str">
        <f t="shared" si="37"/>
        <v/>
      </c>
      <c r="R580" s="250" t="str">
        <f t="shared" si="40"/>
        <v/>
      </c>
    </row>
    <row r="581" spans="1:18">
      <c r="A581" s="4">
        <v>590</v>
      </c>
      <c r="C581" s="8" t="str">
        <f>IF(B581="","",VLOOKUP(B581,经纬!B:C,2,FALSE))</f>
        <v/>
      </c>
      <c r="D581" s="8" t="str">
        <f>IF(B581="","",VLOOKUP(B581,经纬!B:G,6,FALSE))</f>
        <v/>
      </c>
      <c r="F581" s="8" t="str">
        <f>IF(B581="","",VLOOKUP(B581,小圆机汇总表!A:AP,5,FALSE))</f>
        <v/>
      </c>
      <c r="G581" s="8" t="str">
        <f>IF(B581="","",VLOOKUP(B581,小圆机汇总表!A:AP,8,FALSE))</f>
        <v/>
      </c>
      <c r="J581" s="105" t="str">
        <f t="shared" si="38"/>
        <v/>
      </c>
      <c r="K581" s="105" t="str">
        <f t="shared" si="39"/>
        <v/>
      </c>
      <c r="L581" s="104" t="str">
        <f>IF(B581="","",VLOOKUP(B581&amp;F581&amp;H581,经纬!A:M,13,FALSE)*N581)</f>
        <v/>
      </c>
      <c r="M581" s="104" t="str">
        <f>IF(B581="","",VLOOKUP(B581&amp;F581&amp;H581,经纬!A:N,14,FALSE)*N581)</f>
        <v/>
      </c>
      <c r="P581" s="8" t="str">
        <f t="shared" si="37"/>
        <v/>
      </c>
      <c r="R581" s="250" t="str">
        <f t="shared" si="40"/>
        <v/>
      </c>
    </row>
    <row r="582" spans="1:18">
      <c r="A582" s="4">
        <v>591</v>
      </c>
      <c r="C582" s="8" t="str">
        <f>IF(B582="","",VLOOKUP(B582,经纬!B:C,2,FALSE))</f>
        <v/>
      </c>
      <c r="D582" s="8" t="str">
        <f>IF(B582="","",VLOOKUP(B582,经纬!B:G,6,FALSE))</f>
        <v/>
      </c>
      <c r="F582" s="8" t="str">
        <f>IF(B582="","",VLOOKUP(B582,小圆机汇总表!A:AP,5,FALSE))</f>
        <v/>
      </c>
      <c r="G582" s="8" t="str">
        <f>IF(B582="","",VLOOKUP(B582,小圆机汇总表!A:AP,8,FALSE))</f>
        <v/>
      </c>
      <c r="J582" s="105" t="str">
        <f t="shared" si="38"/>
        <v/>
      </c>
      <c r="K582" s="105" t="str">
        <f t="shared" si="39"/>
        <v/>
      </c>
      <c r="L582" s="104" t="str">
        <f>IF(B582="","",VLOOKUP(B582&amp;F582&amp;H582,经纬!A:M,13,FALSE)*N582)</f>
        <v/>
      </c>
      <c r="M582" s="104" t="str">
        <f>IF(B582="","",VLOOKUP(B582&amp;F582&amp;H582,经纬!A:N,14,FALSE)*N582)</f>
        <v/>
      </c>
      <c r="P582" s="8" t="str">
        <f t="shared" si="37"/>
        <v/>
      </c>
      <c r="R582" s="250" t="str">
        <f t="shared" si="40"/>
        <v/>
      </c>
    </row>
    <row r="583" spans="1:18">
      <c r="A583" s="4">
        <v>592</v>
      </c>
      <c r="C583" s="8" t="str">
        <f>IF(B583="","",VLOOKUP(B583,经纬!B:C,2,FALSE))</f>
        <v/>
      </c>
      <c r="D583" s="8" t="str">
        <f>IF(B583="","",VLOOKUP(B583,经纬!B:G,6,FALSE))</f>
        <v/>
      </c>
      <c r="F583" s="8" t="str">
        <f>IF(B583="","",VLOOKUP(B583,小圆机汇总表!A:AP,5,FALSE))</f>
        <v/>
      </c>
      <c r="G583" s="8" t="str">
        <f>IF(B583="","",VLOOKUP(B583,小圆机汇总表!A:AP,8,FALSE))</f>
        <v/>
      </c>
      <c r="J583" s="105" t="str">
        <f t="shared" si="38"/>
        <v/>
      </c>
      <c r="K583" s="105" t="str">
        <f t="shared" si="39"/>
        <v/>
      </c>
      <c r="L583" s="104" t="str">
        <f>IF(B583="","",VLOOKUP(B583&amp;F583&amp;H583,经纬!A:M,13,FALSE)*N583)</f>
        <v/>
      </c>
      <c r="M583" s="104" t="str">
        <f>IF(B583="","",VLOOKUP(B583&amp;F583&amp;H583,经纬!A:N,14,FALSE)*N583)</f>
        <v/>
      </c>
      <c r="P583" s="8" t="str">
        <f t="shared" si="37"/>
        <v/>
      </c>
      <c r="R583" s="250" t="str">
        <f t="shared" si="40"/>
        <v/>
      </c>
    </row>
    <row r="584" spans="1:18">
      <c r="A584" s="4">
        <v>593</v>
      </c>
      <c r="C584" s="8" t="str">
        <f>IF(B584="","",VLOOKUP(B584,经纬!B:C,2,FALSE))</f>
        <v/>
      </c>
      <c r="D584" s="8" t="str">
        <f>IF(B584="","",VLOOKUP(B584,经纬!B:G,6,FALSE))</f>
        <v/>
      </c>
      <c r="F584" s="8" t="str">
        <f>IF(B584="","",VLOOKUP(B584,小圆机汇总表!A:AP,5,FALSE))</f>
        <v/>
      </c>
      <c r="G584" s="8" t="str">
        <f>IF(B584="","",VLOOKUP(B584,小圆机汇总表!A:AP,8,FALSE))</f>
        <v/>
      </c>
      <c r="J584" s="105" t="str">
        <f t="shared" si="38"/>
        <v/>
      </c>
      <c r="K584" s="105" t="str">
        <f t="shared" si="39"/>
        <v/>
      </c>
      <c r="L584" s="104" t="str">
        <f>IF(B584="","",VLOOKUP(B584&amp;F584&amp;H584,经纬!A:M,13,FALSE)*N584)</f>
        <v/>
      </c>
      <c r="M584" s="104" t="str">
        <f>IF(B584="","",VLOOKUP(B584&amp;F584&amp;H584,经纬!A:N,14,FALSE)*N584)</f>
        <v/>
      </c>
      <c r="P584" s="8" t="str">
        <f t="shared" si="37"/>
        <v/>
      </c>
      <c r="R584" s="250" t="str">
        <f t="shared" si="40"/>
        <v/>
      </c>
    </row>
    <row r="585" spans="1:18">
      <c r="A585" s="4">
        <v>594</v>
      </c>
      <c r="C585" s="8" t="str">
        <f>IF(B585="","",VLOOKUP(B585,经纬!B:C,2,FALSE))</f>
        <v/>
      </c>
      <c r="D585" s="8" t="str">
        <f>IF(B585="","",VLOOKUP(B585,经纬!B:G,6,FALSE))</f>
        <v/>
      </c>
      <c r="F585" s="8" t="str">
        <f>IF(B585="","",VLOOKUP(B585,小圆机汇总表!A:AP,5,FALSE))</f>
        <v/>
      </c>
      <c r="G585" s="8" t="str">
        <f>IF(B585="","",VLOOKUP(B585,小圆机汇总表!A:AP,8,FALSE))</f>
        <v/>
      </c>
      <c r="J585" s="105" t="str">
        <f t="shared" si="38"/>
        <v/>
      </c>
      <c r="K585" s="105" t="str">
        <f t="shared" si="39"/>
        <v/>
      </c>
      <c r="L585" s="104" t="str">
        <f>IF(B585="","",VLOOKUP(B585&amp;F585&amp;H585,经纬!A:M,13,FALSE)*N585)</f>
        <v/>
      </c>
      <c r="M585" s="104" t="str">
        <f>IF(B585="","",VLOOKUP(B585&amp;F585&amp;H585,经纬!A:N,14,FALSE)*N585)</f>
        <v/>
      </c>
      <c r="P585" s="8" t="str">
        <f t="shared" si="37"/>
        <v/>
      </c>
      <c r="R585" s="250" t="str">
        <f t="shared" si="40"/>
        <v/>
      </c>
    </row>
    <row r="586" spans="1:18">
      <c r="A586" s="4">
        <v>595</v>
      </c>
      <c r="C586" s="8" t="str">
        <f>IF(B586="","",VLOOKUP(B586,经纬!B:C,2,FALSE))</f>
        <v/>
      </c>
      <c r="D586" s="8" t="str">
        <f>IF(B586="","",VLOOKUP(B586,经纬!B:G,6,FALSE))</f>
        <v/>
      </c>
      <c r="F586" s="8" t="str">
        <f>IF(B586="","",VLOOKUP(B586,小圆机汇总表!A:AP,5,FALSE))</f>
        <v/>
      </c>
      <c r="G586" s="8" t="str">
        <f>IF(B586="","",VLOOKUP(B586,小圆机汇总表!A:AP,8,FALSE))</f>
        <v/>
      </c>
      <c r="J586" s="105" t="str">
        <f t="shared" si="38"/>
        <v/>
      </c>
      <c r="K586" s="105" t="str">
        <f t="shared" si="39"/>
        <v/>
      </c>
      <c r="L586" s="104" t="str">
        <f>IF(B586="","",VLOOKUP(B586&amp;F586&amp;H586,经纬!A:M,13,FALSE)*N586)</f>
        <v/>
      </c>
      <c r="M586" s="104" t="str">
        <f>IF(B586="","",VLOOKUP(B586&amp;F586&amp;H586,经纬!A:N,14,FALSE)*N586)</f>
        <v/>
      </c>
      <c r="P586" s="8" t="str">
        <f t="shared" si="37"/>
        <v/>
      </c>
      <c r="R586" s="250" t="str">
        <f t="shared" si="40"/>
        <v/>
      </c>
    </row>
    <row r="587" spans="1:18">
      <c r="A587" s="4">
        <v>596</v>
      </c>
      <c r="C587" s="8" t="str">
        <f>IF(B587="","",VLOOKUP(B587,经纬!B:C,2,FALSE))</f>
        <v/>
      </c>
      <c r="D587" s="8" t="str">
        <f>IF(B587="","",VLOOKUP(B587,经纬!B:G,6,FALSE))</f>
        <v/>
      </c>
      <c r="F587" s="8" t="str">
        <f>IF(B587="","",VLOOKUP(B587,小圆机汇总表!A:AP,5,FALSE))</f>
        <v/>
      </c>
      <c r="G587" s="8" t="str">
        <f>IF(B587="","",VLOOKUP(B587,小圆机汇总表!A:AP,8,FALSE))</f>
        <v/>
      </c>
      <c r="J587" s="105" t="str">
        <f t="shared" si="38"/>
        <v/>
      </c>
      <c r="K587" s="105" t="str">
        <f t="shared" si="39"/>
        <v/>
      </c>
      <c r="L587" s="104" t="str">
        <f>IF(B587="","",VLOOKUP(B587&amp;F587&amp;H587,经纬!A:M,13,FALSE)*N587)</f>
        <v/>
      </c>
      <c r="M587" s="104" t="str">
        <f>IF(B587="","",VLOOKUP(B587&amp;F587&amp;H587,经纬!A:N,14,FALSE)*N587)</f>
        <v/>
      </c>
      <c r="P587" s="8" t="str">
        <f t="shared" si="37"/>
        <v/>
      </c>
      <c r="R587" s="250" t="str">
        <f t="shared" si="40"/>
        <v/>
      </c>
    </row>
    <row r="588" spans="1:18">
      <c r="A588" s="4">
        <v>597</v>
      </c>
      <c r="C588" s="8" t="str">
        <f>IF(B588="","",VLOOKUP(B588,经纬!B:C,2,FALSE))</f>
        <v/>
      </c>
      <c r="D588" s="8" t="str">
        <f>IF(B588="","",VLOOKUP(B588,经纬!B:G,6,FALSE))</f>
        <v/>
      </c>
      <c r="F588" s="8" t="str">
        <f>IF(B588="","",VLOOKUP(B588,小圆机汇总表!A:AP,5,FALSE))</f>
        <v/>
      </c>
      <c r="G588" s="8" t="str">
        <f>IF(B588="","",VLOOKUP(B588,小圆机汇总表!A:AP,8,FALSE))</f>
        <v/>
      </c>
      <c r="J588" s="105" t="str">
        <f t="shared" si="38"/>
        <v/>
      </c>
      <c r="K588" s="105" t="str">
        <f t="shared" si="39"/>
        <v/>
      </c>
      <c r="L588" s="104" t="str">
        <f>IF(B588="","",VLOOKUP(B588&amp;F588&amp;H588,经纬!A:M,13,FALSE)*N588)</f>
        <v/>
      </c>
      <c r="M588" s="104" t="str">
        <f>IF(B588="","",VLOOKUP(B588&amp;F588&amp;H588,经纬!A:N,14,FALSE)*N588)</f>
        <v/>
      </c>
      <c r="P588" s="8" t="str">
        <f t="shared" si="37"/>
        <v/>
      </c>
      <c r="R588" s="250" t="str">
        <f t="shared" si="40"/>
        <v/>
      </c>
    </row>
    <row r="589" spans="1:18">
      <c r="A589" s="4">
        <v>598</v>
      </c>
      <c r="C589" s="8" t="str">
        <f>IF(B589="","",VLOOKUP(B589,经纬!B:C,2,FALSE))</f>
        <v/>
      </c>
      <c r="D589" s="8" t="str">
        <f>IF(B589="","",VLOOKUP(B589,经纬!B:G,6,FALSE))</f>
        <v/>
      </c>
      <c r="F589" s="8" t="str">
        <f>IF(B589="","",VLOOKUP(B589,小圆机汇总表!A:AP,5,FALSE))</f>
        <v/>
      </c>
      <c r="G589" s="8" t="str">
        <f>IF(B589="","",VLOOKUP(B589,小圆机汇总表!A:AP,8,FALSE))</f>
        <v/>
      </c>
      <c r="J589" s="105" t="str">
        <f t="shared" si="38"/>
        <v/>
      </c>
      <c r="K589" s="105" t="str">
        <f t="shared" si="39"/>
        <v/>
      </c>
      <c r="L589" s="104" t="str">
        <f>IF(B589="","",VLOOKUP(B589&amp;F589&amp;H589,经纬!A:M,13,FALSE)*N589)</f>
        <v/>
      </c>
      <c r="M589" s="104" t="str">
        <f>IF(B589="","",VLOOKUP(B589&amp;F589&amp;H589,经纬!A:N,14,FALSE)*N589)</f>
        <v/>
      </c>
      <c r="P589" s="8" t="str">
        <f t="shared" si="37"/>
        <v/>
      </c>
      <c r="R589" s="250" t="str">
        <f t="shared" si="40"/>
        <v/>
      </c>
    </row>
    <row r="590" spans="1:18">
      <c r="A590" s="4">
        <v>599</v>
      </c>
      <c r="C590" s="8" t="str">
        <f>IF(B590="","",VLOOKUP(B590,经纬!B:C,2,FALSE))</f>
        <v/>
      </c>
      <c r="D590" s="8" t="str">
        <f>IF(B590="","",VLOOKUP(B590,经纬!B:G,6,FALSE))</f>
        <v/>
      </c>
      <c r="F590" s="8" t="str">
        <f>IF(B590="","",VLOOKUP(B590,小圆机汇总表!A:AP,5,FALSE))</f>
        <v/>
      </c>
      <c r="G590" s="8" t="str">
        <f>IF(B590="","",VLOOKUP(B590,小圆机汇总表!A:AP,8,FALSE))</f>
        <v/>
      </c>
      <c r="J590" s="105" t="str">
        <f t="shared" si="38"/>
        <v/>
      </c>
      <c r="K590" s="105" t="str">
        <f t="shared" si="39"/>
        <v/>
      </c>
      <c r="L590" s="104" t="str">
        <f>IF(B590="","",VLOOKUP(B590&amp;F590&amp;H590,经纬!A:M,13,FALSE)*N590)</f>
        <v/>
      </c>
      <c r="M590" s="104" t="str">
        <f>IF(B590="","",VLOOKUP(B590&amp;F590&amp;H590,经纬!A:N,14,FALSE)*N590)</f>
        <v/>
      </c>
      <c r="P590" s="8" t="str">
        <f t="shared" si="37"/>
        <v/>
      </c>
      <c r="R590" s="250" t="str">
        <f t="shared" si="40"/>
        <v/>
      </c>
    </row>
    <row r="591" spans="1:18">
      <c r="A591" s="4">
        <v>600</v>
      </c>
      <c r="C591" s="8" t="str">
        <f>IF(B591="","",VLOOKUP(B591,经纬!B:C,2,FALSE))</f>
        <v/>
      </c>
      <c r="D591" s="8" t="str">
        <f>IF(B591="","",VLOOKUP(B591,经纬!B:G,6,FALSE))</f>
        <v/>
      </c>
      <c r="F591" s="8" t="str">
        <f>IF(B591="","",VLOOKUP(B591,小圆机汇总表!A:AP,5,FALSE))</f>
        <v/>
      </c>
      <c r="G591" s="8" t="str">
        <f>IF(B591="","",VLOOKUP(B591,小圆机汇总表!A:AP,8,FALSE))</f>
        <v/>
      </c>
      <c r="J591" s="105" t="str">
        <f t="shared" si="38"/>
        <v/>
      </c>
      <c r="K591" s="105" t="str">
        <f t="shared" si="39"/>
        <v/>
      </c>
      <c r="L591" s="104" t="str">
        <f>IF(B591="","",VLOOKUP(B591&amp;F591&amp;H591,经纬!A:M,13,FALSE)*N591)</f>
        <v/>
      </c>
      <c r="M591" s="104" t="str">
        <f>IF(B591="","",VLOOKUP(B591&amp;F591&amp;H591,经纬!A:N,14,FALSE)*N591)</f>
        <v/>
      </c>
      <c r="P591" s="8" t="str">
        <f t="shared" si="37"/>
        <v/>
      </c>
      <c r="R591" s="250" t="str">
        <f t="shared" si="40"/>
        <v/>
      </c>
    </row>
    <row r="592" spans="1:18">
      <c r="A592" s="4">
        <v>601</v>
      </c>
      <c r="C592" s="8" t="str">
        <f>IF(B592="","",VLOOKUP(B592,经纬!B:C,2,FALSE))</f>
        <v/>
      </c>
      <c r="D592" s="8" t="str">
        <f>IF(B592="","",VLOOKUP(B592,经纬!B:G,6,FALSE))</f>
        <v/>
      </c>
      <c r="F592" s="8" t="str">
        <f>IF(B592="","",VLOOKUP(B592,小圆机汇总表!A:AP,5,FALSE))</f>
        <v/>
      </c>
      <c r="G592" s="8" t="str">
        <f>IF(B592="","",VLOOKUP(B592,小圆机汇总表!A:AP,8,FALSE))</f>
        <v/>
      </c>
      <c r="J592" s="105" t="str">
        <f t="shared" si="38"/>
        <v/>
      </c>
      <c r="K592" s="105" t="str">
        <f t="shared" si="39"/>
        <v/>
      </c>
      <c r="L592" s="104" t="str">
        <f>IF(B592="","",VLOOKUP(B592&amp;F592&amp;H592,经纬!A:M,13,FALSE)*N592)</f>
        <v/>
      </c>
      <c r="M592" s="104" t="str">
        <f>IF(B592="","",VLOOKUP(B592&amp;F592&amp;H592,经纬!A:N,14,FALSE)*N592)</f>
        <v/>
      </c>
      <c r="P592" s="8" t="str">
        <f t="shared" si="37"/>
        <v/>
      </c>
      <c r="R592" s="250" t="str">
        <f t="shared" si="40"/>
        <v/>
      </c>
    </row>
    <row r="593" spans="1:18">
      <c r="A593" s="4">
        <v>602</v>
      </c>
      <c r="C593" s="8" t="str">
        <f>IF(B593="","",VLOOKUP(B593,经纬!B:C,2,FALSE))</f>
        <v/>
      </c>
      <c r="D593" s="8" t="str">
        <f>IF(B593="","",VLOOKUP(B593,经纬!B:G,6,FALSE))</f>
        <v/>
      </c>
      <c r="F593" s="8" t="str">
        <f>IF(B593="","",VLOOKUP(B593,小圆机汇总表!A:AP,5,FALSE))</f>
        <v/>
      </c>
      <c r="G593" s="8" t="str">
        <f>IF(B593="","",VLOOKUP(B593,小圆机汇总表!A:AP,8,FALSE))</f>
        <v/>
      </c>
      <c r="J593" s="105" t="str">
        <f t="shared" si="38"/>
        <v/>
      </c>
      <c r="K593" s="105" t="str">
        <f t="shared" si="39"/>
        <v/>
      </c>
      <c r="L593" s="104" t="str">
        <f>IF(B593="","",VLOOKUP(B593&amp;F593&amp;H593,经纬!A:M,13,FALSE)*N593)</f>
        <v/>
      </c>
      <c r="M593" s="104" t="str">
        <f>IF(B593="","",VLOOKUP(B593&amp;F593&amp;H593,经纬!A:N,14,FALSE)*N593)</f>
        <v/>
      </c>
      <c r="P593" s="8" t="str">
        <f t="shared" si="37"/>
        <v/>
      </c>
      <c r="R593" s="250" t="str">
        <f t="shared" si="40"/>
        <v/>
      </c>
    </row>
    <row r="594" spans="1:18">
      <c r="A594" s="4">
        <v>603</v>
      </c>
      <c r="C594" s="8" t="str">
        <f>IF(B594="","",VLOOKUP(B594,经纬!B:C,2,FALSE))</f>
        <v/>
      </c>
      <c r="D594" s="8" t="str">
        <f>IF(B594="","",VLOOKUP(B594,经纬!B:G,6,FALSE))</f>
        <v/>
      </c>
      <c r="F594" s="8" t="str">
        <f>IF(B594="","",VLOOKUP(B594,小圆机汇总表!A:AP,5,FALSE))</f>
        <v/>
      </c>
      <c r="G594" s="8" t="str">
        <f>IF(B594="","",VLOOKUP(B594,小圆机汇总表!A:AP,8,FALSE))</f>
        <v/>
      </c>
      <c r="J594" s="105" t="str">
        <f t="shared" si="38"/>
        <v/>
      </c>
      <c r="K594" s="105" t="str">
        <f t="shared" si="39"/>
        <v/>
      </c>
      <c r="L594" s="104" t="str">
        <f>IF(B594="","",VLOOKUP(B594&amp;F594&amp;H594,经纬!A:M,13,FALSE)*N594)</f>
        <v/>
      </c>
      <c r="M594" s="104" t="str">
        <f>IF(B594="","",VLOOKUP(B594&amp;F594&amp;H594,经纬!A:N,14,FALSE)*N594)</f>
        <v/>
      </c>
      <c r="P594" s="8" t="str">
        <f t="shared" si="37"/>
        <v/>
      </c>
      <c r="R594" s="250" t="str">
        <f t="shared" si="40"/>
        <v/>
      </c>
    </row>
    <row r="595" spans="1:18">
      <c r="A595" s="4">
        <v>604</v>
      </c>
      <c r="C595" s="8" t="str">
        <f>IF(B595="","",VLOOKUP(B595,经纬!B:C,2,FALSE))</f>
        <v/>
      </c>
      <c r="D595" s="8" t="str">
        <f>IF(B595="","",VLOOKUP(B595,经纬!B:G,6,FALSE))</f>
        <v/>
      </c>
      <c r="F595" s="8" t="str">
        <f>IF(B595="","",VLOOKUP(B595,小圆机汇总表!A:AP,5,FALSE))</f>
        <v/>
      </c>
      <c r="G595" s="8" t="str">
        <f>IF(B595="","",VLOOKUP(B595,小圆机汇总表!A:AP,8,FALSE))</f>
        <v/>
      </c>
      <c r="J595" s="105" t="str">
        <f t="shared" si="38"/>
        <v/>
      </c>
      <c r="K595" s="105" t="str">
        <f t="shared" si="39"/>
        <v/>
      </c>
      <c r="L595" s="104" t="str">
        <f>IF(B595="","",VLOOKUP(B595&amp;F595&amp;H595,经纬!A:M,13,FALSE)*N595)</f>
        <v/>
      </c>
      <c r="M595" s="104" t="str">
        <f>IF(B595="","",VLOOKUP(B595&amp;F595&amp;H595,经纬!A:N,14,FALSE)*N595)</f>
        <v/>
      </c>
      <c r="P595" s="8" t="str">
        <f t="shared" si="37"/>
        <v/>
      </c>
      <c r="R595" s="250" t="str">
        <f t="shared" si="40"/>
        <v/>
      </c>
    </row>
    <row r="596" spans="1:18">
      <c r="A596" s="4">
        <v>605</v>
      </c>
      <c r="C596" s="8" t="str">
        <f>IF(B596="","",VLOOKUP(B596,经纬!B:C,2,FALSE))</f>
        <v/>
      </c>
      <c r="D596" s="8" t="str">
        <f>IF(B596="","",VLOOKUP(B596,经纬!B:G,6,FALSE))</f>
        <v/>
      </c>
      <c r="F596" s="8" t="str">
        <f>IF(B596="","",VLOOKUP(B596,小圆机汇总表!A:AP,5,FALSE))</f>
        <v/>
      </c>
      <c r="G596" s="8" t="str">
        <f>IF(B596="","",VLOOKUP(B596,小圆机汇总表!A:AP,8,FALSE))</f>
        <v/>
      </c>
      <c r="J596" s="105" t="str">
        <f t="shared" si="38"/>
        <v/>
      </c>
      <c r="K596" s="105" t="str">
        <f t="shared" si="39"/>
        <v/>
      </c>
      <c r="L596" s="104" t="str">
        <f>IF(B596="","",VLOOKUP(B596&amp;F596&amp;H596,经纬!A:M,13,FALSE)*N596)</f>
        <v/>
      </c>
      <c r="M596" s="104" t="str">
        <f>IF(B596="","",VLOOKUP(B596&amp;F596&amp;H596,经纬!A:N,14,FALSE)*N596)</f>
        <v/>
      </c>
      <c r="P596" s="8" t="str">
        <f t="shared" si="37"/>
        <v/>
      </c>
      <c r="R596" s="250" t="str">
        <f t="shared" si="40"/>
        <v/>
      </c>
    </row>
    <row r="597" spans="1:18">
      <c r="A597" s="4">
        <v>606</v>
      </c>
      <c r="C597" s="8" t="str">
        <f>IF(B597="","",VLOOKUP(B597,经纬!B:C,2,FALSE))</f>
        <v/>
      </c>
      <c r="D597" s="8" t="str">
        <f>IF(B597="","",VLOOKUP(B597,经纬!B:G,6,FALSE))</f>
        <v/>
      </c>
      <c r="F597" s="8" t="str">
        <f>IF(B597="","",VLOOKUP(B597,小圆机汇总表!A:AP,5,FALSE))</f>
        <v/>
      </c>
      <c r="G597" s="8" t="str">
        <f>IF(B597="","",VLOOKUP(B597,小圆机汇总表!A:AP,8,FALSE))</f>
        <v/>
      </c>
      <c r="J597" s="105" t="str">
        <f t="shared" si="38"/>
        <v/>
      </c>
      <c r="K597" s="105" t="str">
        <f t="shared" si="39"/>
        <v/>
      </c>
      <c r="L597" s="104" t="str">
        <f>IF(B597="","",VLOOKUP(B597&amp;F597&amp;H597,经纬!A:M,13,FALSE)*N597)</f>
        <v/>
      </c>
      <c r="M597" s="104" t="str">
        <f>IF(B597="","",VLOOKUP(B597&amp;F597&amp;H597,经纬!A:N,14,FALSE)*N597)</f>
        <v/>
      </c>
      <c r="P597" s="8" t="str">
        <f t="shared" si="37"/>
        <v/>
      </c>
      <c r="R597" s="250" t="str">
        <f t="shared" si="40"/>
        <v/>
      </c>
    </row>
    <row r="598" spans="1:18">
      <c r="A598" s="4">
        <v>607</v>
      </c>
      <c r="C598" s="8" t="str">
        <f>IF(B598="","",VLOOKUP(B598,经纬!B:C,2,FALSE))</f>
        <v/>
      </c>
      <c r="D598" s="8" t="str">
        <f>IF(B598="","",VLOOKUP(B598,经纬!B:G,6,FALSE))</f>
        <v/>
      </c>
      <c r="F598" s="8" t="str">
        <f>IF(B598="","",VLOOKUP(B598,小圆机汇总表!A:AP,5,FALSE))</f>
        <v/>
      </c>
      <c r="G598" s="8" t="str">
        <f>IF(B598="","",VLOOKUP(B598,小圆机汇总表!A:AP,8,FALSE))</f>
        <v/>
      </c>
      <c r="J598" s="105" t="str">
        <f t="shared" si="38"/>
        <v/>
      </c>
      <c r="K598" s="105" t="str">
        <f t="shared" si="39"/>
        <v/>
      </c>
      <c r="L598" s="104" t="str">
        <f>IF(B598="","",VLOOKUP(B598&amp;F598&amp;H598,经纬!A:M,13,FALSE)*N598)</f>
        <v/>
      </c>
      <c r="M598" s="104" t="str">
        <f>IF(B598="","",VLOOKUP(B598&amp;F598&amp;H598,经纬!A:N,14,FALSE)*N598)</f>
        <v/>
      </c>
      <c r="P598" s="8" t="str">
        <f t="shared" si="37"/>
        <v/>
      </c>
      <c r="R598" s="250" t="str">
        <f t="shared" si="40"/>
        <v/>
      </c>
    </row>
    <row r="599" spans="1:18">
      <c r="A599" s="4">
        <v>608</v>
      </c>
      <c r="C599" s="8" t="str">
        <f>IF(B599="","",VLOOKUP(B599,经纬!B:C,2,FALSE))</f>
        <v/>
      </c>
      <c r="D599" s="8" t="str">
        <f>IF(B599="","",VLOOKUP(B599,经纬!B:G,6,FALSE))</f>
        <v/>
      </c>
      <c r="F599" s="8" t="str">
        <f>IF(B599="","",VLOOKUP(B599,小圆机汇总表!A:AP,5,FALSE))</f>
        <v/>
      </c>
      <c r="G599" s="8" t="str">
        <f>IF(B599="","",VLOOKUP(B599,小圆机汇总表!A:AP,8,FALSE))</f>
        <v/>
      </c>
      <c r="J599" s="105" t="str">
        <f t="shared" si="38"/>
        <v/>
      </c>
      <c r="K599" s="105" t="str">
        <f t="shared" si="39"/>
        <v/>
      </c>
      <c r="L599" s="104" t="str">
        <f>IF(B599="","",VLOOKUP(B599&amp;F599&amp;H599,经纬!A:M,13,FALSE)*N599)</f>
        <v/>
      </c>
      <c r="M599" s="104" t="str">
        <f>IF(B599="","",VLOOKUP(B599&amp;F599&amp;H599,经纬!A:N,14,FALSE)*N599)</f>
        <v/>
      </c>
      <c r="P599" s="8" t="str">
        <f t="shared" si="37"/>
        <v/>
      </c>
      <c r="R599" s="250" t="str">
        <f t="shared" si="40"/>
        <v/>
      </c>
    </row>
    <row r="600" spans="1:18">
      <c r="A600" s="4">
        <v>609</v>
      </c>
      <c r="C600" s="8" t="str">
        <f>IF(B600="","",VLOOKUP(B600,经纬!B:C,2,FALSE))</f>
        <v/>
      </c>
      <c r="D600" s="8" t="str">
        <f>IF(B600="","",VLOOKUP(B600,经纬!B:G,6,FALSE))</f>
        <v/>
      </c>
      <c r="F600" s="8" t="str">
        <f>IF(B600="","",VLOOKUP(B600,小圆机汇总表!A:AP,5,FALSE))</f>
        <v/>
      </c>
      <c r="G600" s="8" t="str">
        <f>IF(B600="","",VLOOKUP(B600,小圆机汇总表!A:AP,8,FALSE))</f>
        <v/>
      </c>
      <c r="J600" s="105" t="str">
        <f t="shared" si="38"/>
        <v/>
      </c>
      <c r="K600" s="105" t="str">
        <f t="shared" si="39"/>
        <v/>
      </c>
      <c r="L600" s="104" t="str">
        <f>IF(B600="","",VLOOKUP(B600&amp;F600&amp;H600,经纬!A:M,13,FALSE)*N600)</f>
        <v/>
      </c>
      <c r="M600" s="104" t="str">
        <f>IF(B600="","",VLOOKUP(B600&amp;F600&amp;H600,经纬!A:N,14,FALSE)*N600)</f>
        <v/>
      </c>
      <c r="P600" s="8" t="str">
        <f t="shared" si="37"/>
        <v/>
      </c>
      <c r="R600" s="250" t="str">
        <f t="shared" si="40"/>
        <v/>
      </c>
    </row>
    <row r="601" spans="1:18">
      <c r="A601" s="4">
        <v>610</v>
      </c>
      <c r="C601" s="8" t="str">
        <f>IF(B601="","",VLOOKUP(B601,经纬!B:C,2,FALSE))</f>
        <v/>
      </c>
      <c r="D601" s="8" t="str">
        <f>IF(B601="","",VLOOKUP(B601,经纬!B:G,6,FALSE))</f>
        <v/>
      </c>
      <c r="F601" s="8" t="str">
        <f>IF(B601="","",VLOOKUP(B601,小圆机汇总表!A:AP,5,FALSE))</f>
        <v/>
      </c>
      <c r="G601" s="8" t="str">
        <f>IF(B601="","",VLOOKUP(B601,小圆机汇总表!A:AP,8,FALSE))</f>
        <v/>
      </c>
      <c r="J601" s="105" t="str">
        <f t="shared" si="38"/>
        <v/>
      </c>
      <c r="K601" s="105" t="str">
        <f t="shared" si="39"/>
        <v/>
      </c>
      <c r="L601" s="104" t="str">
        <f>IF(B601="","",VLOOKUP(B601&amp;F601&amp;H601,经纬!A:M,13,FALSE)*N601)</f>
        <v/>
      </c>
      <c r="M601" s="104" t="str">
        <f>IF(B601="","",VLOOKUP(B601&amp;F601&amp;H601,经纬!A:N,14,FALSE)*N601)</f>
        <v/>
      </c>
      <c r="P601" s="8" t="str">
        <f t="shared" si="37"/>
        <v/>
      </c>
      <c r="R601" s="250" t="str">
        <f t="shared" si="40"/>
        <v/>
      </c>
    </row>
    <row r="602" spans="1:18">
      <c r="A602" s="4">
        <v>611</v>
      </c>
      <c r="C602" s="8" t="str">
        <f>IF(B602="","",VLOOKUP(B602,经纬!B:C,2,FALSE))</f>
        <v/>
      </c>
      <c r="D602" s="8" t="str">
        <f>IF(B602="","",VLOOKUP(B602,经纬!B:G,6,FALSE))</f>
        <v/>
      </c>
      <c r="F602" s="8" t="str">
        <f>IF(B602="","",VLOOKUP(B602,小圆机汇总表!A:AP,5,FALSE))</f>
        <v/>
      </c>
      <c r="G602" s="8" t="str">
        <f>IF(B602="","",VLOOKUP(B602,小圆机汇总表!A:AP,8,FALSE))</f>
        <v/>
      </c>
      <c r="J602" s="105" t="str">
        <f t="shared" si="38"/>
        <v/>
      </c>
      <c r="K602" s="105" t="str">
        <f t="shared" si="39"/>
        <v/>
      </c>
      <c r="L602" s="104" t="str">
        <f>IF(B602="","",VLOOKUP(B602&amp;F602&amp;H602,经纬!A:M,13,FALSE)*N602)</f>
        <v/>
      </c>
      <c r="M602" s="104" t="str">
        <f>IF(B602="","",VLOOKUP(B602&amp;F602&amp;H602,经纬!A:N,14,FALSE)*N602)</f>
        <v/>
      </c>
      <c r="P602" s="8" t="str">
        <f t="shared" ref="P602:P665" si="41">IF(B602="","",MONTH(I602))</f>
        <v/>
      </c>
      <c r="R602" s="250" t="str">
        <f t="shared" si="40"/>
        <v/>
      </c>
    </row>
    <row r="603" spans="1:18">
      <c r="A603" s="4">
        <v>612</v>
      </c>
      <c r="C603" s="8" t="str">
        <f>IF(B603="","",VLOOKUP(B603,经纬!B:C,2,FALSE))</f>
        <v/>
      </c>
      <c r="D603" s="8" t="str">
        <f>IF(B603="","",VLOOKUP(B603,经纬!B:G,6,FALSE))</f>
        <v/>
      </c>
      <c r="F603" s="8" t="str">
        <f>IF(B603="","",VLOOKUP(B603,小圆机汇总表!A:AP,5,FALSE))</f>
        <v/>
      </c>
      <c r="G603" s="8" t="str">
        <f>IF(B603="","",VLOOKUP(B603,小圆机汇总表!A:AP,8,FALSE))</f>
        <v/>
      </c>
      <c r="J603" s="105" t="str">
        <f t="shared" si="38"/>
        <v/>
      </c>
      <c r="K603" s="105" t="str">
        <f t="shared" si="39"/>
        <v/>
      </c>
      <c r="L603" s="104" t="str">
        <f>IF(B603="","",VLOOKUP(B603&amp;F603&amp;H603,经纬!A:M,13,FALSE)*N603)</f>
        <v/>
      </c>
      <c r="M603" s="104" t="str">
        <f>IF(B603="","",VLOOKUP(B603&amp;F603&amp;H603,经纬!A:N,14,FALSE)*N603)</f>
        <v/>
      </c>
      <c r="P603" s="8" t="str">
        <f t="shared" si="41"/>
        <v/>
      </c>
      <c r="R603" s="250" t="str">
        <f t="shared" si="40"/>
        <v/>
      </c>
    </row>
    <row r="604" spans="1:18">
      <c r="A604" s="4">
        <v>613</v>
      </c>
      <c r="C604" s="8" t="str">
        <f>IF(B604="","",VLOOKUP(B604,经纬!B:C,2,FALSE))</f>
        <v/>
      </c>
      <c r="D604" s="8" t="str">
        <f>IF(B604="","",VLOOKUP(B604,经纬!B:G,6,FALSE))</f>
        <v/>
      </c>
      <c r="F604" s="8" t="str">
        <f>IF(B604="","",VLOOKUP(B604,小圆机汇总表!A:AP,5,FALSE))</f>
        <v/>
      </c>
      <c r="G604" s="8" t="str">
        <f>IF(B604="","",VLOOKUP(B604,小圆机汇总表!A:AP,8,FALSE))</f>
        <v/>
      </c>
      <c r="J604" s="105" t="str">
        <f t="shared" si="38"/>
        <v/>
      </c>
      <c r="K604" s="105" t="str">
        <f t="shared" si="39"/>
        <v/>
      </c>
      <c r="L604" s="104" t="str">
        <f>IF(B604="","",VLOOKUP(B604&amp;F604&amp;H604,经纬!A:M,13,FALSE)*N604)</f>
        <v/>
      </c>
      <c r="M604" s="104" t="str">
        <f>IF(B604="","",VLOOKUP(B604&amp;F604&amp;H604,经纬!A:N,14,FALSE)*N604)</f>
        <v/>
      </c>
      <c r="P604" s="8" t="str">
        <f t="shared" si="41"/>
        <v/>
      </c>
      <c r="R604" s="250" t="str">
        <f t="shared" si="40"/>
        <v/>
      </c>
    </row>
    <row r="605" spans="1:18">
      <c r="A605" s="4">
        <v>614</v>
      </c>
      <c r="C605" s="8" t="str">
        <f>IF(B605="","",VLOOKUP(B605,经纬!B:C,2,FALSE))</f>
        <v/>
      </c>
      <c r="D605" s="8" t="str">
        <f>IF(B605="","",VLOOKUP(B605,经纬!B:G,6,FALSE))</f>
        <v/>
      </c>
      <c r="F605" s="8" t="str">
        <f>IF(B605="","",VLOOKUP(B605,小圆机汇总表!A:AP,5,FALSE))</f>
        <v/>
      </c>
      <c r="G605" s="8" t="str">
        <f>IF(B605="","",VLOOKUP(B605,小圆机汇总表!A:AP,8,FALSE))</f>
        <v/>
      </c>
      <c r="J605" s="105" t="str">
        <f t="shared" si="38"/>
        <v/>
      </c>
      <c r="K605" s="105" t="str">
        <f t="shared" si="39"/>
        <v/>
      </c>
      <c r="L605" s="104" t="str">
        <f>IF(B605="","",VLOOKUP(B605&amp;F605&amp;H605,经纬!A:M,13,FALSE)*N605)</f>
        <v/>
      </c>
      <c r="M605" s="104" t="str">
        <f>IF(B605="","",VLOOKUP(B605&amp;F605&amp;H605,经纬!A:N,14,FALSE)*N605)</f>
        <v/>
      </c>
      <c r="P605" s="8" t="str">
        <f t="shared" si="41"/>
        <v/>
      </c>
      <c r="R605" s="250" t="str">
        <f t="shared" si="40"/>
        <v/>
      </c>
    </row>
    <row r="606" spans="1:18">
      <c r="A606" s="4">
        <v>615</v>
      </c>
      <c r="C606" s="8" t="str">
        <f>IF(B606="","",VLOOKUP(B606,经纬!B:C,2,FALSE))</f>
        <v/>
      </c>
      <c r="D606" s="8" t="str">
        <f>IF(B606="","",VLOOKUP(B606,经纬!B:G,6,FALSE))</f>
        <v/>
      </c>
      <c r="F606" s="8" t="str">
        <f>IF(B606="","",VLOOKUP(B606,小圆机汇总表!A:AP,5,FALSE))</f>
        <v/>
      </c>
      <c r="G606" s="8" t="str">
        <f>IF(B606="","",VLOOKUP(B606,小圆机汇总表!A:AP,8,FALSE))</f>
        <v/>
      </c>
      <c r="J606" s="105" t="str">
        <f t="shared" si="38"/>
        <v/>
      </c>
      <c r="K606" s="105" t="str">
        <f t="shared" si="39"/>
        <v/>
      </c>
      <c r="L606" s="104" t="str">
        <f>IF(B606="","",VLOOKUP(B606&amp;F606&amp;H606,经纬!A:M,13,FALSE)*N606)</f>
        <v/>
      </c>
      <c r="M606" s="104" t="str">
        <f>IF(B606="","",VLOOKUP(B606&amp;F606&amp;H606,经纬!A:N,14,FALSE)*N606)</f>
        <v/>
      </c>
      <c r="P606" s="8" t="str">
        <f t="shared" si="41"/>
        <v/>
      </c>
      <c r="R606" s="250" t="str">
        <f t="shared" si="40"/>
        <v/>
      </c>
    </row>
    <row r="607" spans="1:18">
      <c r="A607" s="4">
        <v>616</v>
      </c>
      <c r="C607" s="8" t="str">
        <f>IF(B607="","",VLOOKUP(B607,经纬!B:C,2,FALSE))</f>
        <v/>
      </c>
      <c r="D607" s="8" t="str">
        <f>IF(B607="","",VLOOKUP(B607,经纬!B:G,6,FALSE))</f>
        <v/>
      </c>
      <c r="F607" s="8" t="str">
        <f>IF(B607="","",VLOOKUP(B607,小圆机汇总表!A:AP,5,FALSE))</f>
        <v/>
      </c>
      <c r="G607" s="8" t="str">
        <f>IF(B607="","",VLOOKUP(B607,小圆机汇总表!A:AP,8,FALSE))</f>
        <v/>
      </c>
      <c r="J607" s="105" t="str">
        <f t="shared" si="38"/>
        <v/>
      </c>
      <c r="K607" s="105" t="str">
        <f t="shared" si="39"/>
        <v/>
      </c>
      <c r="L607" s="104" t="str">
        <f>IF(B607="","",VLOOKUP(B607&amp;F607&amp;H607,经纬!A:M,13,FALSE)*N607)</f>
        <v/>
      </c>
      <c r="M607" s="104" t="str">
        <f>IF(B607="","",VLOOKUP(B607&amp;F607&amp;H607,经纬!A:N,14,FALSE)*N607)</f>
        <v/>
      </c>
      <c r="P607" s="8" t="str">
        <f t="shared" si="41"/>
        <v/>
      </c>
      <c r="R607" s="250" t="str">
        <f t="shared" si="40"/>
        <v/>
      </c>
    </row>
    <row r="608" spans="1:18">
      <c r="A608" s="4">
        <v>617</v>
      </c>
      <c r="C608" s="8" t="str">
        <f>IF(B608="","",VLOOKUP(B608,经纬!B:C,2,FALSE))</f>
        <v/>
      </c>
      <c r="D608" s="8" t="str">
        <f>IF(B608="","",VLOOKUP(B608,经纬!B:G,6,FALSE))</f>
        <v/>
      </c>
      <c r="F608" s="8" t="str">
        <f>IF(B608="","",VLOOKUP(B608,小圆机汇总表!A:AP,5,FALSE))</f>
        <v/>
      </c>
      <c r="G608" s="8" t="str">
        <f>IF(B608="","",VLOOKUP(B608,小圆机汇总表!A:AP,8,FALSE))</f>
        <v/>
      </c>
      <c r="J608" s="105" t="str">
        <f t="shared" si="38"/>
        <v/>
      </c>
      <c r="K608" s="105" t="str">
        <f t="shared" si="39"/>
        <v/>
      </c>
      <c r="L608" s="104" t="str">
        <f>IF(B608="","",VLOOKUP(B608&amp;F608&amp;H608,经纬!A:M,13,FALSE)*N608)</f>
        <v/>
      </c>
      <c r="M608" s="104" t="str">
        <f>IF(B608="","",VLOOKUP(B608&amp;F608&amp;H608,经纬!A:N,14,FALSE)*N608)</f>
        <v/>
      </c>
      <c r="P608" s="8" t="str">
        <f t="shared" si="41"/>
        <v/>
      </c>
      <c r="R608" s="250" t="str">
        <f t="shared" si="40"/>
        <v/>
      </c>
    </row>
    <row r="609" spans="1:18">
      <c r="A609" s="4">
        <v>618</v>
      </c>
      <c r="C609" s="8" t="str">
        <f>IF(B609="","",VLOOKUP(B609,经纬!B:C,2,FALSE))</f>
        <v/>
      </c>
      <c r="D609" s="8" t="str">
        <f>IF(B609="","",VLOOKUP(B609,经纬!B:G,6,FALSE))</f>
        <v/>
      </c>
      <c r="F609" s="8" t="str">
        <f>IF(B609="","",VLOOKUP(B609,小圆机汇总表!A:AP,5,FALSE))</f>
        <v/>
      </c>
      <c r="G609" s="8" t="str">
        <f>IF(B609="","",VLOOKUP(B609,小圆机汇总表!A:AP,8,FALSE))</f>
        <v/>
      </c>
      <c r="J609" s="105" t="str">
        <f t="shared" si="38"/>
        <v/>
      </c>
      <c r="K609" s="105" t="str">
        <f t="shared" si="39"/>
        <v/>
      </c>
      <c r="L609" s="104" t="str">
        <f>IF(B609="","",VLOOKUP(B609&amp;F609&amp;H609,经纬!A:M,13,FALSE)*N609)</f>
        <v/>
      </c>
      <c r="M609" s="104" t="str">
        <f>IF(B609="","",VLOOKUP(B609&amp;F609&amp;H609,经纬!A:N,14,FALSE)*N609)</f>
        <v/>
      </c>
      <c r="P609" s="8" t="str">
        <f t="shared" si="41"/>
        <v/>
      </c>
      <c r="R609" s="250" t="str">
        <f t="shared" si="40"/>
        <v/>
      </c>
    </row>
    <row r="610" spans="1:18">
      <c r="A610" s="4">
        <v>619</v>
      </c>
      <c r="C610" s="8" t="str">
        <f>IF(B610="","",VLOOKUP(B610,经纬!B:C,2,FALSE))</f>
        <v/>
      </c>
      <c r="D610" s="8" t="str">
        <f>IF(B610="","",VLOOKUP(B610,经纬!B:G,6,FALSE))</f>
        <v/>
      </c>
      <c r="F610" s="8" t="str">
        <f>IF(B610="","",VLOOKUP(B610,小圆机汇总表!A:AP,5,FALSE))</f>
        <v/>
      </c>
      <c r="G610" s="8" t="str">
        <f>IF(B610="","",VLOOKUP(B610,小圆机汇总表!A:AP,8,FALSE))</f>
        <v/>
      </c>
      <c r="J610" s="105" t="str">
        <f t="shared" si="38"/>
        <v/>
      </c>
      <c r="K610" s="105" t="str">
        <f t="shared" si="39"/>
        <v/>
      </c>
      <c r="L610" s="104" t="str">
        <f>IF(B610="","",VLOOKUP(B610&amp;F610&amp;H610,经纬!A:M,13,FALSE)*N610)</f>
        <v/>
      </c>
      <c r="M610" s="104" t="str">
        <f>IF(B610="","",VLOOKUP(B610&amp;F610&amp;H610,经纬!A:N,14,FALSE)*N610)</f>
        <v/>
      </c>
      <c r="P610" s="8" t="str">
        <f t="shared" si="41"/>
        <v/>
      </c>
      <c r="R610" s="250" t="str">
        <f t="shared" si="40"/>
        <v/>
      </c>
    </row>
    <row r="611" spans="1:18">
      <c r="A611" s="4">
        <v>620</v>
      </c>
      <c r="C611" s="8" t="str">
        <f>IF(B611="","",VLOOKUP(B611,经纬!B:C,2,FALSE))</f>
        <v/>
      </c>
      <c r="D611" s="8" t="str">
        <f>IF(B611="","",VLOOKUP(B611,经纬!B:G,6,FALSE))</f>
        <v/>
      </c>
      <c r="F611" s="8" t="str">
        <f>IF(B611="","",VLOOKUP(B611,小圆机汇总表!A:AP,5,FALSE))</f>
        <v/>
      </c>
      <c r="G611" s="8" t="str">
        <f>IF(B611="","",VLOOKUP(B611,小圆机汇总表!A:AP,8,FALSE))</f>
        <v/>
      </c>
      <c r="J611" s="105" t="str">
        <f t="shared" si="38"/>
        <v/>
      </c>
      <c r="K611" s="105" t="str">
        <f t="shared" si="39"/>
        <v/>
      </c>
      <c r="L611" s="104" t="str">
        <f>IF(B611="","",VLOOKUP(B611&amp;F611&amp;H611,经纬!A:M,13,FALSE)*N611)</f>
        <v/>
      </c>
      <c r="M611" s="104" t="str">
        <f>IF(B611="","",VLOOKUP(B611&amp;F611&amp;H611,经纬!A:N,14,FALSE)*N611)</f>
        <v/>
      </c>
      <c r="P611" s="8" t="str">
        <f t="shared" si="41"/>
        <v/>
      </c>
      <c r="R611" s="250" t="str">
        <f t="shared" si="40"/>
        <v/>
      </c>
    </row>
    <row r="612" spans="1:18">
      <c r="A612" s="4">
        <v>621</v>
      </c>
      <c r="C612" s="8" t="str">
        <f>IF(B612="","",VLOOKUP(B612,经纬!B:C,2,FALSE))</f>
        <v/>
      </c>
      <c r="D612" s="8" t="str">
        <f>IF(B612="","",VLOOKUP(B612,经纬!B:G,6,FALSE))</f>
        <v/>
      </c>
      <c r="F612" s="8" t="str">
        <f>IF(B612="","",VLOOKUP(B612,小圆机汇总表!A:AP,5,FALSE))</f>
        <v/>
      </c>
      <c r="G612" s="8" t="str">
        <f>IF(B612="","",VLOOKUP(B612,小圆机汇总表!A:AP,8,FALSE))</f>
        <v/>
      </c>
      <c r="J612" s="105" t="str">
        <f t="shared" si="38"/>
        <v/>
      </c>
      <c r="K612" s="105" t="str">
        <f t="shared" si="39"/>
        <v/>
      </c>
      <c r="L612" s="104" t="str">
        <f>IF(B612="","",VLOOKUP(B612&amp;F612&amp;H612,经纬!A:M,13,FALSE)*N612)</f>
        <v/>
      </c>
      <c r="M612" s="104" t="str">
        <f>IF(B612="","",VLOOKUP(B612&amp;F612&amp;H612,经纬!A:N,14,FALSE)*N612)</f>
        <v/>
      </c>
      <c r="P612" s="8" t="str">
        <f t="shared" si="41"/>
        <v/>
      </c>
      <c r="R612" s="250" t="str">
        <f t="shared" si="40"/>
        <v/>
      </c>
    </row>
    <row r="613" spans="1:18">
      <c r="A613" s="4">
        <v>622</v>
      </c>
      <c r="C613" s="8" t="str">
        <f>IF(B613="","",VLOOKUP(B613,经纬!B:C,2,FALSE))</f>
        <v/>
      </c>
      <c r="D613" s="8" t="str">
        <f>IF(B613="","",VLOOKUP(B613,经纬!B:G,6,FALSE))</f>
        <v/>
      </c>
      <c r="F613" s="8" t="str">
        <f>IF(B613="","",VLOOKUP(B613,小圆机汇总表!A:AP,5,FALSE))</f>
        <v/>
      </c>
      <c r="G613" s="8" t="str">
        <f>IF(B613="","",VLOOKUP(B613,小圆机汇总表!A:AP,8,FALSE))</f>
        <v/>
      </c>
      <c r="J613" s="105" t="str">
        <f t="shared" si="38"/>
        <v/>
      </c>
      <c r="K613" s="105" t="str">
        <f t="shared" si="39"/>
        <v/>
      </c>
      <c r="L613" s="104" t="str">
        <f>IF(B613="","",VLOOKUP(B613&amp;F613&amp;H613,经纬!A:M,13,FALSE)*N613)</f>
        <v/>
      </c>
      <c r="M613" s="104" t="str">
        <f>IF(B613="","",VLOOKUP(B613&amp;F613&amp;H613,经纬!A:N,14,FALSE)*N613)</f>
        <v/>
      </c>
      <c r="P613" s="8" t="str">
        <f t="shared" si="41"/>
        <v/>
      </c>
      <c r="R613" s="250" t="str">
        <f t="shared" si="40"/>
        <v/>
      </c>
    </row>
    <row r="614" spans="1:18">
      <c r="A614" s="4">
        <v>623</v>
      </c>
      <c r="C614" s="8" t="str">
        <f>IF(B614="","",VLOOKUP(B614,经纬!B:C,2,FALSE))</f>
        <v/>
      </c>
      <c r="D614" s="8" t="str">
        <f>IF(B614="","",VLOOKUP(B614,经纬!B:G,6,FALSE))</f>
        <v/>
      </c>
      <c r="F614" s="8" t="str">
        <f>IF(B614="","",VLOOKUP(B614,小圆机汇总表!A:AP,5,FALSE))</f>
        <v/>
      </c>
      <c r="G614" s="8" t="str">
        <f>IF(B614="","",VLOOKUP(B614,小圆机汇总表!A:AP,8,FALSE))</f>
        <v/>
      </c>
      <c r="J614" s="105" t="str">
        <f t="shared" si="38"/>
        <v/>
      </c>
      <c r="K614" s="105" t="str">
        <f t="shared" si="39"/>
        <v/>
      </c>
      <c r="L614" s="104" t="str">
        <f>IF(B614="","",VLOOKUP(B614&amp;F614&amp;H614,经纬!A:M,13,FALSE)*N614)</f>
        <v/>
      </c>
      <c r="M614" s="104" t="str">
        <f>IF(B614="","",VLOOKUP(B614&amp;F614&amp;H614,经纬!A:N,14,FALSE)*N614)</f>
        <v/>
      </c>
      <c r="P614" s="8" t="str">
        <f t="shared" si="41"/>
        <v/>
      </c>
      <c r="R614" s="250" t="str">
        <f t="shared" si="40"/>
        <v/>
      </c>
    </row>
    <row r="615" spans="1:18">
      <c r="A615" s="4">
        <v>624</v>
      </c>
      <c r="C615" s="8" t="str">
        <f>IF(B615="","",VLOOKUP(B615,经纬!B:C,2,FALSE))</f>
        <v/>
      </c>
      <c r="D615" s="8" t="str">
        <f>IF(B615="","",VLOOKUP(B615,经纬!B:G,6,FALSE))</f>
        <v/>
      </c>
      <c r="F615" s="8" t="str">
        <f>IF(B615="","",VLOOKUP(B615,小圆机汇总表!A:AP,5,FALSE))</f>
        <v/>
      </c>
      <c r="G615" s="8" t="str">
        <f>IF(B615="","",VLOOKUP(B615,小圆机汇总表!A:AP,8,FALSE))</f>
        <v/>
      </c>
      <c r="J615" s="105" t="str">
        <f t="shared" si="38"/>
        <v/>
      </c>
      <c r="K615" s="105" t="str">
        <f t="shared" si="39"/>
        <v/>
      </c>
      <c r="L615" s="104" t="str">
        <f>IF(B615="","",VLOOKUP(B615&amp;F615&amp;H615,经纬!A:M,13,FALSE)*N615)</f>
        <v/>
      </c>
      <c r="M615" s="104" t="str">
        <f>IF(B615="","",VLOOKUP(B615&amp;F615&amp;H615,经纬!A:N,14,FALSE)*N615)</f>
        <v/>
      </c>
      <c r="P615" s="8" t="str">
        <f t="shared" si="41"/>
        <v/>
      </c>
      <c r="R615" s="250" t="str">
        <f t="shared" si="40"/>
        <v/>
      </c>
    </row>
    <row r="616" spans="1:18">
      <c r="A616" s="4">
        <v>625</v>
      </c>
      <c r="C616" s="8" t="str">
        <f>IF(B616="","",VLOOKUP(B616,经纬!B:C,2,FALSE))</f>
        <v/>
      </c>
      <c r="D616" s="8" t="str">
        <f>IF(B616="","",VLOOKUP(B616,经纬!B:G,6,FALSE))</f>
        <v/>
      </c>
      <c r="F616" s="8" t="str">
        <f>IF(B616="","",VLOOKUP(B616,小圆机汇总表!A:AP,5,FALSE))</f>
        <v/>
      </c>
      <c r="G616" s="8" t="str">
        <f>IF(B616="","",VLOOKUP(B616,小圆机汇总表!A:AP,8,FALSE))</f>
        <v/>
      </c>
      <c r="J616" s="105" t="str">
        <f t="shared" si="38"/>
        <v/>
      </c>
      <c r="K616" s="105" t="str">
        <f t="shared" si="39"/>
        <v/>
      </c>
      <c r="L616" s="104" t="str">
        <f>IF(B616="","",VLOOKUP(B616&amp;F616&amp;H616,经纬!A:M,13,FALSE)*N616)</f>
        <v/>
      </c>
      <c r="M616" s="104" t="str">
        <f>IF(B616="","",VLOOKUP(B616&amp;F616&amp;H616,经纬!A:N,14,FALSE)*N616)</f>
        <v/>
      </c>
      <c r="P616" s="8" t="str">
        <f t="shared" si="41"/>
        <v/>
      </c>
      <c r="R616" s="250" t="str">
        <f t="shared" si="40"/>
        <v/>
      </c>
    </row>
    <row r="617" spans="1:18">
      <c r="A617" s="4">
        <v>626</v>
      </c>
      <c r="C617" s="8" t="str">
        <f>IF(B617="","",VLOOKUP(B617,经纬!B:C,2,FALSE))</f>
        <v/>
      </c>
      <c r="D617" s="8" t="str">
        <f>IF(B617="","",VLOOKUP(B617,经纬!B:G,6,FALSE))</f>
        <v/>
      </c>
      <c r="F617" s="8" t="str">
        <f>IF(B617="","",VLOOKUP(B617,小圆机汇总表!A:AP,5,FALSE))</f>
        <v/>
      </c>
      <c r="G617" s="8" t="str">
        <f>IF(B617="","",VLOOKUP(B617,小圆机汇总表!A:AP,8,FALSE))</f>
        <v/>
      </c>
      <c r="J617" s="105" t="str">
        <f t="shared" si="38"/>
        <v/>
      </c>
      <c r="K617" s="105" t="str">
        <f t="shared" si="39"/>
        <v/>
      </c>
      <c r="L617" s="104" t="str">
        <f>IF(B617="","",VLOOKUP(B617&amp;F617&amp;H617,经纬!A:M,13,FALSE)*N617)</f>
        <v/>
      </c>
      <c r="M617" s="104" t="str">
        <f>IF(B617="","",VLOOKUP(B617&amp;F617&amp;H617,经纬!A:N,14,FALSE)*N617)</f>
        <v/>
      </c>
      <c r="P617" s="8" t="str">
        <f t="shared" si="41"/>
        <v/>
      </c>
      <c r="R617" s="250" t="str">
        <f t="shared" si="40"/>
        <v/>
      </c>
    </row>
    <row r="618" spans="1:18">
      <c r="A618" s="4">
        <v>627</v>
      </c>
      <c r="C618" s="8" t="str">
        <f>IF(B618="","",VLOOKUP(B618,经纬!B:C,2,FALSE))</f>
        <v/>
      </c>
      <c r="D618" s="8" t="str">
        <f>IF(B618="","",VLOOKUP(B618,经纬!B:G,6,FALSE))</f>
        <v/>
      </c>
      <c r="F618" s="8" t="str">
        <f>IF(B618="","",VLOOKUP(B618,小圆机汇总表!A:AP,5,FALSE))</f>
        <v/>
      </c>
      <c r="G618" s="8" t="str">
        <f>IF(B618="","",VLOOKUP(B618,小圆机汇总表!A:AP,8,FALSE))</f>
        <v/>
      </c>
      <c r="J618" s="105" t="str">
        <f t="shared" si="38"/>
        <v/>
      </c>
      <c r="K618" s="105" t="str">
        <f t="shared" si="39"/>
        <v/>
      </c>
      <c r="L618" s="104" t="str">
        <f>IF(B618="","",VLOOKUP(B618&amp;F618&amp;H618,经纬!A:M,13,FALSE)*N618)</f>
        <v/>
      </c>
      <c r="M618" s="104" t="str">
        <f>IF(B618="","",VLOOKUP(B618&amp;F618&amp;H618,经纬!A:N,14,FALSE)*N618)</f>
        <v/>
      </c>
      <c r="P618" s="8" t="str">
        <f t="shared" si="41"/>
        <v/>
      </c>
      <c r="R618" s="250" t="str">
        <f t="shared" si="40"/>
        <v/>
      </c>
    </row>
    <row r="619" spans="1:18">
      <c r="A619" s="4">
        <v>628</v>
      </c>
      <c r="C619" s="8" t="str">
        <f>IF(B619="","",VLOOKUP(B619,经纬!B:C,2,FALSE))</f>
        <v/>
      </c>
      <c r="D619" s="8" t="str">
        <f>IF(B619="","",VLOOKUP(B619,经纬!B:G,6,FALSE))</f>
        <v/>
      </c>
      <c r="F619" s="8" t="str">
        <f>IF(B619="","",VLOOKUP(B619,小圆机汇总表!A:AP,5,FALSE))</f>
        <v/>
      </c>
      <c r="G619" s="8" t="str">
        <f>IF(B619="","",VLOOKUP(B619,小圆机汇总表!A:AP,8,FALSE))</f>
        <v/>
      </c>
      <c r="J619" s="105" t="str">
        <f t="shared" si="38"/>
        <v/>
      </c>
      <c r="K619" s="105" t="str">
        <f t="shared" si="39"/>
        <v/>
      </c>
      <c r="L619" s="104" t="str">
        <f>IF(B619="","",VLOOKUP(B619&amp;F619&amp;H619,经纬!A:M,13,FALSE)*N619)</f>
        <v/>
      </c>
      <c r="M619" s="104" t="str">
        <f>IF(B619="","",VLOOKUP(B619&amp;F619&amp;H619,经纬!A:N,14,FALSE)*N619)</f>
        <v/>
      </c>
      <c r="P619" s="8" t="str">
        <f t="shared" si="41"/>
        <v/>
      </c>
      <c r="R619" s="250" t="str">
        <f t="shared" si="40"/>
        <v/>
      </c>
    </row>
    <row r="620" spans="1:18">
      <c r="A620" s="4">
        <v>629</v>
      </c>
      <c r="C620" s="8" t="str">
        <f>IF(B620="","",VLOOKUP(B620,经纬!B:C,2,FALSE))</f>
        <v/>
      </c>
      <c r="D620" s="8" t="str">
        <f>IF(B620="","",VLOOKUP(B620,经纬!B:G,6,FALSE))</f>
        <v/>
      </c>
      <c r="F620" s="8" t="str">
        <f>IF(B620="","",VLOOKUP(B620,小圆机汇总表!A:AP,5,FALSE))</f>
        <v/>
      </c>
      <c r="G620" s="8" t="str">
        <f>IF(B620="","",VLOOKUP(B620,小圆机汇总表!A:AP,8,FALSE))</f>
        <v/>
      </c>
      <c r="J620" s="105" t="str">
        <f t="shared" si="38"/>
        <v/>
      </c>
      <c r="K620" s="105" t="str">
        <f t="shared" si="39"/>
        <v/>
      </c>
      <c r="L620" s="104" t="str">
        <f>IF(B620="","",VLOOKUP(B620&amp;F620&amp;H620,经纬!A:M,13,FALSE)*N620)</f>
        <v/>
      </c>
      <c r="M620" s="104" t="str">
        <f>IF(B620="","",VLOOKUP(B620&amp;F620&amp;H620,经纬!A:N,14,FALSE)*N620)</f>
        <v/>
      </c>
      <c r="P620" s="8" t="str">
        <f t="shared" si="41"/>
        <v/>
      </c>
      <c r="R620" s="250" t="str">
        <f t="shared" si="40"/>
        <v/>
      </c>
    </row>
    <row r="621" spans="1:18">
      <c r="A621" s="4">
        <v>630</v>
      </c>
      <c r="C621" s="8" t="str">
        <f>IF(B621="","",VLOOKUP(B621,经纬!B:C,2,FALSE))</f>
        <v/>
      </c>
      <c r="D621" s="8" t="str">
        <f>IF(B621="","",VLOOKUP(B621,经纬!B:G,6,FALSE))</f>
        <v/>
      </c>
      <c r="F621" s="8" t="str">
        <f>IF(B621="","",VLOOKUP(B621,小圆机汇总表!A:AP,5,FALSE))</f>
        <v/>
      </c>
      <c r="G621" s="8" t="str">
        <f>IF(B621="","",VLOOKUP(B621,小圆机汇总表!A:AP,8,FALSE))</f>
        <v/>
      </c>
      <c r="J621" s="105" t="str">
        <f t="shared" si="38"/>
        <v/>
      </c>
      <c r="K621" s="105" t="str">
        <f t="shared" si="39"/>
        <v/>
      </c>
      <c r="L621" s="104" t="str">
        <f>IF(B621="","",VLOOKUP(B621&amp;F621&amp;H621,经纬!A:M,13,FALSE)*N621)</f>
        <v/>
      </c>
      <c r="M621" s="104" t="str">
        <f>IF(B621="","",VLOOKUP(B621&amp;F621&amp;H621,经纬!A:N,14,FALSE)*N621)</f>
        <v/>
      </c>
      <c r="P621" s="8" t="str">
        <f t="shared" si="41"/>
        <v/>
      </c>
      <c r="R621" s="250" t="str">
        <f t="shared" si="40"/>
        <v/>
      </c>
    </row>
    <row r="622" spans="1:18">
      <c r="A622" s="4">
        <v>631</v>
      </c>
      <c r="C622" s="8" t="str">
        <f>IF(B622="","",VLOOKUP(B622,经纬!B:C,2,FALSE))</f>
        <v/>
      </c>
      <c r="D622" s="8" t="str">
        <f>IF(B622="","",VLOOKUP(B622,经纬!B:G,6,FALSE))</f>
        <v/>
      </c>
      <c r="F622" s="8" t="str">
        <f>IF(B622="","",VLOOKUP(B622,小圆机汇总表!A:AP,5,FALSE))</f>
        <v/>
      </c>
      <c r="G622" s="8" t="str">
        <f>IF(B622="","",VLOOKUP(B622,小圆机汇总表!A:AP,8,FALSE))</f>
        <v/>
      </c>
      <c r="J622" s="105" t="str">
        <f t="shared" si="38"/>
        <v/>
      </c>
      <c r="K622" s="105" t="str">
        <f t="shared" si="39"/>
        <v/>
      </c>
      <c r="L622" s="104" t="str">
        <f>IF(B622="","",VLOOKUP(B622&amp;F622&amp;H622,经纬!A:M,13,FALSE)*N622)</f>
        <v/>
      </c>
      <c r="M622" s="104" t="str">
        <f>IF(B622="","",VLOOKUP(B622&amp;F622&amp;H622,经纬!A:N,14,FALSE)*N622)</f>
        <v/>
      </c>
      <c r="P622" s="8" t="str">
        <f t="shared" si="41"/>
        <v/>
      </c>
      <c r="R622" s="250" t="str">
        <f t="shared" si="40"/>
        <v/>
      </c>
    </row>
    <row r="623" spans="1:18">
      <c r="A623" s="4">
        <v>632</v>
      </c>
      <c r="C623" s="8" t="str">
        <f>IF(B623="","",VLOOKUP(B623,经纬!B:C,2,FALSE))</f>
        <v/>
      </c>
      <c r="D623" s="8" t="str">
        <f>IF(B623="","",VLOOKUP(B623,经纬!B:G,6,FALSE))</f>
        <v/>
      </c>
      <c r="F623" s="8" t="str">
        <f>IF(B623="","",VLOOKUP(B623,小圆机汇总表!A:AP,5,FALSE))</f>
        <v/>
      </c>
      <c r="G623" s="8" t="str">
        <f>IF(B623="","",VLOOKUP(B623,小圆机汇总表!A:AP,8,FALSE))</f>
        <v/>
      </c>
      <c r="J623" s="105" t="str">
        <f t="shared" si="38"/>
        <v/>
      </c>
      <c r="K623" s="105" t="str">
        <f t="shared" si="39"/>
        <v/>
      </c>
      <c r="L623" s="104" t="str">
        <f>IF(B623="","",VLOOKUP(B623&amp;F623&amp;H623,经纬!A:M,13,FALSE)*N623)</f>
        <v/>
      </c>
      <c r="M623" s="104" t="str">
        <f>IF(B623="","",VLOOKUP(B623&amp;F623&amp;H623,经纬!A:N,14,FALSE)*N623)</f>
        <v/>
      </c>
      <c r="P623" s="8" t="str">
        <f t="shared" si="41"/>
        <v/>
      </c>
      <c r="R623" s="250" t="str">
        <f t="shared" si="40"/>
        <v/>
      </c>
    </row>
    <row r="624" spans="1:18">
      <c r="A624" s="4">
        <v>633</v>
      </c>
      <c r="C624" s="8" t="str">
        <f>IF(B624="","",VLOOKUP(B624,经纬!B:C,2,FALSE))</f>
        <v/>
      </c>
      <c r="D624" s="8" t="str">
        <f>IF(B624="","",VLOOKUP(B624,经纬!B:G,6,FALSE))</f>
        <v/>
      </c>
      <c r="F624" s="8" t="str">
        <f>IF(B624="","",VLOOKUP(B624,小圆机汇总表!A:AP,5,FALSE))</f>
        <v/>
      </c>
      <c r="G624" s="8" t="str">
        <f>IF(B624="","",VLOOKUP(B624,小圆机汇总表!A:AP,8,FALSE))</f>
        <v/>
      </c>
      <c r="J624" s="105" t="str">
        <f t="shared" si="38"/>
        <v/>
      </c>
      <c r="K624" s="105" t="str">
        <f t="shared" si="39"/>
        <v/>
      </c>
      <c r="L624" s="104" t="str">
        <f>IF(B624="","",VLOOKUP(B624&amp;F624&amp;H624,经纬!A:M,13,FALSE)*N624)</f>
        <v/>
      </c>
      <c r="M624" s="104" t="str">
        <f>IF(B624="","",VLOOKUP(B624&amp;F624&amp;H624,经纬!A:N,14,FALSE)*N624)</f>
        <v/>
      </c>
      <c r="P624" s="8" t="str">
        <f t="shared" si="41"/>
        <v/>
      </c>
      <c r="R624" s="250" t="str">
        <f t="shared" si="40"/>
        <v/>
      </c>
    </row>
    <row r="625" spans="1:18">
      <c r="A625" s="4">
        <v>634</v>
      </c>
      <c r="C625" s="8" t="str">
        <f>IF(B625="","",VLOOKUP(B625,经纬!B:C,2,FALSE))</f>
        <v/>
      </c>
      <c r="D625" s="8" t="str">
        <f>IF(B625="","",VLOOKUP(B625,经纬!B:G,6,FALSE))</f>
        <v/>
      </c>
      <c r="F625" s="8" t="str">
        <f>IF(B625="","",VLOOKUP(B625,小圆机汇总表!A:AP,5,FALSE))</f>
        <v/>
      </c>
      <c r="G625" s="8" t="str">
        <f>IF(B625="","",VLOOKUP(B625,小圆机汇总表!A:AP,8,FALSE))</f>
        <v/>
      </c>
      <c r="J625" s="105" t="str">
        <f t="shared" si="38"/>
        <v/>
      </c>
      <c r="K625" s="105" t="str">
        <f t="shared" si="39"/>
        <v/>
      </c>
      <c r="L625" s="104" t="str">
        <f>IF(B625="","",VLOOKUP(B625&amp;F625&amp;H625,经纬!A:M,13,FALSE)*N625)</f>
        <v/>
      </c>
      <c r="M625" s="104" t="str">
        <f>IF(B625="","",VLOOKUP(B625&amp;F625&amp;H625,经纬!A:N,14,FALSE)*N625)</f>
        <v/>
      </c>
      <c r="P625" s="8" t="str">
        <f t="shared" si="41"/>
        <v/>
      </c>
      <c r="R625" s="250" t="str">
        <f t="shared" si="40"/>
        <v/>
      </c>
    </row>
    <row r="626" spans="1:18">
      <c r="A626" s="4">
        <v>635</v>
      </c>
      <c r="C626" s="8" t="str">
        <f>IF(B626="","",VLOOKUP(B626,经纬!B:C,2,FALSE))</f>
        <v/>
      </c>
      <c r="D626" s="8" t="str">
        <f>IF(B626="","",VLOOKUP(B626,经纬!B:G,6,FALSE))</f>
        <v/>
      </c>
      <c r="F626" s="8" t="str">
        <f>IF(B626="","",VLOOKUP(B626,小圆机汇总表!A:AP,5,FALSE))</f>
        <v/>
      </c>
      <c r="G626" s="8" t="str">
        <f>IF(B626="","",VLOOKUP(B626,小圆机汇总表!A:AP,8,FALSE))</f>
        <v/>
      </c>
      <c r="J626" s="105" t="str">
        <f t="shared" si="38"/>
        <v/>
      </c>
      <c r="K626" s="105" t="str">
        <f t="shared" si="39"/>
        <v/>
      </c>
      <c r="L626" s="104" t="str">
        <f>IF(B626="","",VLOOKUP(B626&amp;F626&amp;H626,经纬!A:M,13,FALSE)*N626)</f>
        <v/>
      </c>
      <c r="M626" s="104" t="str">
        <f>IF(B626="","",VLOOKUP(B626&amp;F626&amp;H626,经纬!A:N,14,FALSE)*N626)</f>
        <v/>
      </c>
      <c r="P626" s="8" t="str">
        <f t="shared" si="41"/>
        <v/>
      </c>
      <c r="R626" s="250" t="str">
        <f t="shared" si="40"/>
        <v/>
      </c>
    </row>
    <row r="627" spans="1:18">
      <c r="A627" s="4">
        <v>636</v>
      </c>
      <c r="C627" s="8" t="str">
        <f>IF(B627="","",VLOOKUP(B627,经纬!B:C,2,FALSE))</f>
        <v/>
      </c>
      <c r="D627" s="8" t="str">
        <f>IF(B627="","",VLOOKUP(B627,经纬!B:G,6,FALSE))</f>
        <v/>
      </c>
      <c r="F627" s="8" t="str">
        <f>IF(B627="","",VLOOKUP(B627,小圆机汇总表!A:AP,5,FALSE))</f>
        <v/>
      </c>
      <c r="G627" s="8" t="str">
        <f>IF(B627="","",VLOOKUP(B627,小圆机汇总表!A:AP,8,FALSE))</f>
        <v/>
      </c>
      <c r="J627" s="105" t="str">
        <f t="shared" si="38"/>
        <v/>
      </c>
      <c r="K627" s="105" t="str">
        <f t="shared" si="39"/>
        <v/>
      </c>
      <c r="L627" s="104" t="str">
        <f>IF(B627="","",VLOOKUP(B627&amp;F627&amp;H627,经纬!A:M,13,FALSE)*N627)</f>
        <v/>
      </c>
      <c r="M627" s="104" t="str">
        <f>IF(B627="","",VLOOKUP(B627&amp;F627&amp;H627,经纬!A:N,14,FALSE)*N627)</f>
        <v/>
      </c>
      <c r="P627" s="8" t="str">
        <f t="shared" si="41"/>
        <v/>
      </c>
      <c r="R627" s="250" t="str">
        <f t="shared" si="40"/>
        <v/>
      </c>
    </row>
    <row r="628" spans="1:18">
      <c r="A628" s="4">
        <v>637</v>
      </c>
      <c r="C628" s="8" t="str">
        <f>IF(B628="","",VLOOKUP(B628,经纬!B:C,2,FALSE))</f>
        <v/>
      </c>
      <c r="D628" s="8" t="str">
        <f>IF(B628="","",VLOOKUP(B628,经纬!B:G,6,FALSE))</f>
        <v/>
      </c>
      <c r="F628" s="8" t="str">
        <f>IF(B628="","",VLOOKUP(B628,小圆机汇总表!A:AP,5,FALSE))</f>
        <v/>
      </c>
      <c r="G628" s="8" t="str">
        <f>IF(B628="","",VLOOKUP(B628,小圆机汇总表!A:AP,8,FALSE))</f>
        <v/>
      </c>
      <c r="J628" s="105" t="str">
        <f t="shared" si="38"/>
        <v/>
      </c>
      <c r="K628" s="105" t="str">
        <f t="shared" si="39"/>
        <v/>
      </c>
      <c r="L628" s="104" t="str">
        <f>IF(B628="","",VLOOKUP(B628&amp;F628&amp;H628,经纬!A:M,13,FALSE)*N628)</f>
        <v/>
      </c>
      <c r="M628" s="104" t="str">
        <f>IF(B628="","",VLOOKUP(B628&amp;F628&amp;H628,经纬!A:N,14,FALSE)*N628)</f>
        <v/>
      </c>
      <c r="P628" s="8" t="str">
        <f t="shared" si="41"/>
        <v/>
      </c>
      <c r="R628" s="250" t="str">
        <f t="shared" si="40"/>
        <v/>
      </c>
    </row>
    <row r="629" spans="1:18">
      <c r="A629" s="4">
        <v>638</v>
      </c>
      <c r="C629" s="8" t="str">
        <f>IF(B629="","",VLOOKUP(B629,经纬!B:C,2,FALSE))</f>
        <v/>
      </c>
      <c r="D629" s="8" t="str">
        <f>IF(B629="","",VLOOKUP(B629,经纬!B:G,6,FALSE))</f>
        <v/>
      </c>
      <c r="F629" s="8" t="str">
        <f>IF(B629="","",VLOOKUP(B629,小圆机汇总表!A:AP,5,FALSE))</f>
        <v/>
      </c>
      <c r="G629" s="8" t="str">
        <f>IF(B629="","",VLOOKUP(B629,小圆机汇总表!A:AP,8,FALSE))</f>
        <v/>
      </c>
      <c r="J629" s="105" t="str">
        <f t="shared" si="38"/>
        <v/>
      </c>
      <c r="K629" s="105" t="str">
        <f t="shared" si="39"/>
        <v/>
      </c>
      <c r="L629" s="104" t="str">
        <f>IF(B629="","",VLOOKUP(B629&amp;F629&amp;H629,经纬!A:M,13,FALSE)*N629)</f>
        <v/>
      </c>
      <c r="M629" s="104" t="str">
        <f>IF(B629="","",VLOOKUP(B629&amp;F629&amp;H629,经纬!A:N,14,FALSE)*N629)</f>
        <v/>
      </c>
      <c r="P629" s="8" t="str">
        <f t="shared" si="41"/>
        <v/>
      </c>
      <c r="R629" s="250" t="str">
        <f t="shared" si="40"/>
        <v/>
      </c>
    </row>
    <row r="630" spans="1:18">
      <c r="A630" s="4">
        <v>639</v>
      </c>
      <c r="C630" s="8" t="str">
        <f>IF(B630="","",VLOOKUP(B630,经纬!B:C,2,FALSE))</f>
        <v/>
      </c>
      <c r="D630" s="8" t="str">
        <f>IF(B630="","",VLOOKUP(B630,经纬!B:G,6,FALSE))</f>
        <v/>
      </c>
      <c r="F630" s="8" t="str">
        <f>IF(B630="","",VLOOKUP(B630,小圆机汇总表!A:AP,5,FALSE))</f>
        <v/>
      </c>
      <c r="G630" s="8" t="str">
        <f>IF(B630="","",VLOOKUP(B630,小圆机汇总表!A:AP,8,FALSE))</f>
        <v/>
      </c>
      <c r="J630" s="105" t="str">
        <f t="shared" si="38"/>
        <v/>
      </c>
      <c r="K630" s="105" t="str">
        <f t="shared" si="39"/>
        <v/>
      </c>
      <c r="L630" s="104" t="str">
        <f>IF(B630="","",VLOOKUP(B630&amp;F630&amp;H630,经纬!A:M,13,FALSE)*N630)</f>
        <v/>
      </c>
      <c r="M630" s="104" t="str">
        <f>IF(B630="","",VLOOKUP(B630&amp;F630&amp;H630,经纬!A:N,14,FALSE)*N630)</f>
        <v/>
      </c>
      <c r="P630" s="8" t="str">
        <f t="shared" si="41"/>
        <v/>
      </c>
      <c r="R630" s="250" t="str">
        <f t="shared" si="40"/>
        <v/>
      </c>
    </row>
    <row r="631" spans="1:18">
      <c r="A631" s="4">
        <v>640</v>
      </c>
      <c r="C631" s="8" t="str">
        <f>IF(B631="","",VLOOKUP(B631,经纬!B:C,2,FALSE))</f>
        <v/>
      </c>
      <c r="D631" s="8" t="str">
        <f>IF(B631="","",VLOOKUP(B631,经纬!B:G,6,FALSE))</f>
        <v/>
      </c>
      <c r="F631" s="8" t="str">
        <f>IF(B631="","",VLOOKUP(B631,小圆机汇总表!A:AP,5,FALSE))</f>
        <v/>
      </c>
      <c r="G631" s="8" t="str">
        <f>IF(B631="","",VLOOKUP(B631,小圆机汇总表!A:AP,8,FALSE))</f>
        <v/>
      </c>
      <c r="J631" s="105" t="str">
        <f t="shared" si="38"/>
        <v/>
      </c>
      <c r="K631" s="105" t="str">
        <f t="shared" si="39"/>
        <v/>
      </c>
      <c r="L631" s="104" t="str">
        <f>IF(B631="","",VLOOKUP(B631&amp;F631&amp;H631,经纬!A:M,13,FALSE)*N631)</f>
        <v/>
      </c>
      <c r="M631" s="104" t="str">
        <f>IF(B631="","",VLOOKUP(B631&amp;F631&amp;H631,经纬!A:N,14,FALSE)*N631)</f>
        <v/>
      </c>
      <c r="P631" s="8" t="str">
        <f t="shared" si="41"/>
        <v/>
      </c>
      <c r="R631" s="250" t="str">
        <f t="shared" si="40"/>
        <v/>
      </c>
    </row>
    <row r="632" spans="1:18">
      <c r="A632" s="4">
        <v>641</v>
      </c>
      <c r="C632" s="8" t="str">
        <f>IF(B632="","",VLOOKUP(B632,经纬!B:C,2,FALSE))</f>
        <v/>
      </c>
      <c r="D632" s="8" t="str">
        <f>IF(B632="","",VLOOKUP(B632,经纬!B:G,6,FALSE))</f>
        <v/>
      </c>
      <c r="F632" s="8" t="str">
        <f>IF(B632="","",VLOOKUP(B632,小圆机汇总表!A:AP,5,FALSE))</f>
        <v/>
      </c>
      <c r="G632" s="8" t="str">
        <f>IF(B632="","",VLOOKUP(B632,小圆机汇总表!A:AP,8,FALSE))</f>
        <v/>
      </c>
      <c r="J632" s="105" t="str">
        <f t="shared" si="38"/>
        <v/>
      </c>
      <c r="K632" s="105" t="str">
        <f t="shared" si="39"/>
        <v/>
      </c>
      <c r="L632" s="104" t="str">
        <f>IF(B632="","",VLOOKUP(B632&amp;F632&amp;H632,经纬!A:M,13,FALSE)*N632)</f>
        <v/>
      </c>
      <c r="M632" s="104" t="str">
        <f>IF(B632="","",VLOOKUP(B632&amp;F632&amp;H632,经纬!A:N,14,FALSE)*N632)</f>
        <v/>
      </c>
      <c r="P632" s="8" t="str">
        <f t="shared" si="41"/>
        <v/>
      </c>
      <c r="R632" s="250" t="str">
        <f t="shared" si="40"/>
        <v/>
      </c>
    </row>
    <row r="633" spans="1:18">
      <c r="A633" s="4">
        <v>642</v>
      </c>
      <c r="C633" s="8" t="str">
        <f>IF(B633="","",VLOOKUP(B633,经纬!B:C,2,FALSE))</f>
        <v/>
      </c>
      <c r="D633" s="8" t="str">
        <f>IF(B633="","",VLOOKUP(B633,经纬!B:G,6,FALSE))</f>
        <v/>
      </c>
      <c r="F633" s="8" t="str">
        <f>IF(B633="","",VLOOKUP(B633,小圆机汇总表!A:AP,5,FALSE))</f>
        <v/>
      </c>
      <c r="G633" s="8" t="str">
        <f>IF(B633="","",VLOOKUP(B633,小圆机汇总表!A:AP,8,FALSE))</f>
        <v/>
      </c>
      <c r="J633" s="105" t="str">
        <f t="shared" si="38"/>
        <v/>
      </c>
      <c r="K633" s="105" t="str">
        <f t="shared" si="39"/>
        <v/>
      </c>
      <c r="L633" s="104" t="str">
        <f>IF(B633="","",VLOOKUP(B633&amp;F633&amp;H633,经纬!A:M,13,FALSE)*N633)</f>
        <v/>
      </c>
      <c r="M633" s="104" t="str">
        <f>IF(B633="","",VLOOKUP(B633&amp;F633&amp;H633,经纬!A:N,14,FALSE)*N633)</f>
        <v/>
      </c>
      <c r="P633" s="8" t="str">
        <f t="shared" si="41"/>
        <v/>
      </c>
      <c r="R633" s="250" t="str">
        <f t="shared" si="40"/>
        <v/>
      </c>
    </row>
    <row r="634" spans="1:18">
      <c r="A634" s="4">
        <v>643</v>
      </c>
      <c r="C634" s="8" t="str">
        <f>IF(B634="","",VLOOKUP(B634,经纬!B:C,2,FALSE))</f>
        <v/>
      </c>
      <c r="D634" s="8" t="str">
        <f>IF(B634="","",VLOOKUP(B634,经纬!B:G,6,FALSE))</f>
        <v/>
      </c>
      <c r="F634" s="8" t="str">
        <f>IF(B634="","",VLOOKUP(B634,小圆机汇总表!A:AP,5,FALSE))</f>
        <v/>
      </c>
      <c r="G634" s="8" t="str">
        <f>IF(B634="","",VLOOKUP(B634,小圆机汇总表!A:AP,8,FALSE))</f>
        <v/>
      </c>
      <c r="J634" s="105" t="str">
        <f t="shared" ref="J634:J697" si="42">IF(B634="","",LEFT(C634,FIND("*",C634)-1))</f>
        <v/>
      </c>
      <c r="K634" s="105" t="str">
        <f t="shared" ref="K634:K697" si="43">IF(B634="","",RIGHT(C634,LEN(C634)-LEN(J634)-1))</f>
        <v/>
      </c>
      <c r="L634" s="104" t="str">
        <f>IF(B634="","",VLOOKUP(B634&amp;F634&amp;H634,经纬!A:M,13,FALSE)*N634)</f>
        <v/>
      </c>
      <c r="M634" s="104" t="str">
        <f>IF(B634="","",VLOOKUP(B634&amp;F634&amp;H634,经纬!A:N,14,FALSE)*N634)</f>
        <v/>
      </c>
      <c r="P634" s="8" t="str">
        <f t="shared" si="41"/>
        <v/>
      </c>
      <c r="R634" s="250" t="str">
        <f t="shared" si="40"/>
        <v/>
      </c>
    </row>
    <row r="635" spans="1:18">
      <c r="A635" s="4">
        <v>644</v>
      </c>
      <c r="C635" s="8" t="str">
        <f>IF(B635="","",VLOOKUP(B635,经纬!B:C,2,FALSE))</f>
        <v/>
      </c>
      <c r="D635" s="8" t="str">
        <f>IF(B635="","",VLOOKUP(B635,经纬!B:G,6,FALSE))</f>
        <v/>
      </c>
      <c r="F635" s="8" t="str">
        <f>IF(B635="","",VLOOKUP(B635,小圆机汇总表!A:AP,5,FALSE))</f>
        <v/>
      </c>
      <c r="G635" s="8" t="str">
        <f>IF(B635="","",VLOOKUP(B635,小圆机汇总表!A:AP,8,FALSE))</f>
        <v/>
      </c>
      <c r="J635" s="105" t="str">
        <f t="shared" si="42"/>
        <v/>
      </c>
      <c r="K635" s="105" t="str">
        <f t="shared" si="43"/>
        <v/>
      </c>
      <c r="L635" s="104" t="str">
        <f>IF(B635="","",VLOOKUP(B635&amp;F635&amp;H635,经纬!A:M,13,FALSE)*N635)</f>
        <v/>
      </c>
      <c r="M635" s="104" t="str">
        <f>IF(B635="","",VLOOKUP(B635&amp;F635&amp;H635,经纬!A:N,14,FALSE)*N635)</f>
        <v/>
      </c>
      <c r="P635" s="8" t="str">
        <f t="shared" si="41"/>
        <v/>
      </c>
      <c r="R635" s="250" t="str">
        <f t="shared" si="40"/>
        <v/>
      </c>
    </row>
    <row r="636" spans="1:18">
      <c r="A636" s="4">
        <v>645</v>
      </c>
      <c r="C636" s="8" t="str">
        <f>IF(B636="","",VLOOKUP(B636,经纬!B:C,2,FALSE))</f>
        <v/>
      </c>
      <c r="D636" s="8" t="str">
        <f>IF(B636="","",VLOOKUP(B636,经纬!B:G,6,FALSE))</f>
        <v/>
      </c>
      <c r="F636" s="8" t="str">
        <f>IF(B636="","",VLOOKUP(B636,小圆机汇总表!A:AP,5,FALSE))</f>
        <v/>
      </c>
      <c r="G636" s="8" t="str">
        <f>IF(B636="","",VLOOKUP(B636,小圆机汇总表!A:AP,8,FALSE))</f>
        <v/>
      </c>
      <c r="J636" s="105" t="str">
        <f t="shared" si="42"/>
        <v/>
      </c>
      <c r="K636" s="105" t="str">
        <f t="shared" si="43"/>
        <v/>
      </c>
      <c r="L636" s="104" t="str">
        <f>IF(B636="","",VLOOKUP(B636&amp;F636&amp;H636,经纬!A:M,13,FALSE)*N636)</f>
        <v/>
      </c>
      <c r="M636" s="104" t="str">
        <f>IF(B636="","",VLOOKUP(B636&amp;F636&amp;H636,经纬!A:N,14,FALSE)*N636)</f>
        <v/>
      </c>
      <c r="P636" s="8" t="str">
        <f t="shared" si="41"/>
        <v/>
      </c>
      <c r="R636" s="250" t="str">
        <f t="shared" si="40"/>
        <v/>
      </c>
    </row>
    <row r="637" spans="1:18">
      <c r="A637" s="4">
        <v>646</v>
      </c>
      <c r="C637" s="8" t="str">
        <f>IF(B637="","",VLOOKUP(B637,经纬!B:C,2,FALSE))</f>
        <v/>
      </c>
      <c r="D637" s="8" t="str">
        <f>IF(B637="","",VLOOKUP(B637,经纬!B:G,6,FALSE))</f>
        <v/>
      </c>
      <c r="F637" s="8" t="str">
        <f>IF(B637="","",VLOOKUP(B637,小圆机汇总表!A:AP,5,FALSE))</f>
        <v/>
      </c>
      <c r="G637" s="8" t="str">
        <f>IF(B637="","",VLOOKUP(B637,小圆机汇总表!A:AP,8,FALSE))</f>
        <v/>
      </c>
      <c r="J637" s="105" t="str">
        <f t="shared" si="42"/>
        <v/>
      </c>
      <c r="K637" s="105" t="str">
        <f t="shared" si="43"/>
        <v/>
      </c>
      <c r="L637" s="104" t="str">
        <f>IF(B637="","",VLOOKUP(B637&amp;F637&amp;H637,经纬!A:M,13,FALSE)*N637)</f>
        <v/>
      </c>
      <c r="M637" s="104" t="str">
        <f>IF(B637="","",VLOOKUP(B637&amp;F637&amp;H637,经纬!A:N,14,FALSE)*N637)</f>
        <v/>
      </c>
      <c r="P637" s="8" t="str">
        <f t="shared" si="41"/>
        <v/>
      </c>
      <c r="R637" s="250" t="str">
        <f t="shared" si="40"/>
        <v/>
      </c>
    </row>
    <row r="638" spans="1:18">
      <c r="A638" s="4">
        <v>647</v>
      </c>
      <c r="C638" s="8" t="str">
        <f>IF(B638="","",VLOOKUP(B638,经纬!B:C,2,FALSE))</f>
        <v/>
      </c>
      <c r="D638" s="8" t="str">
        <f>IF(B638="","",VLOOKUP(B638,经纬!B:G,6,FALSE))</f>
        <v/>
      </c>
      <c r="F638" s="8" t="str">
        <f>IF(B638="","",VLOOKUP(B638,小圆机汇总表!A:AP,5,FALSE))</f>
        <v/>
      </c>
      <c r="G638" s="8" t="str">
        <f>IF(B638="","",VLOOKUP(B638,小圆机汇总表!A:AP,8,FALSE))</f>
        <v/>
      </c>
      <c r="J638" s="105" t="str">
        <f t="shared" si="42"/>
        <v/>
      </c>
      <c r="K638" s="105" t="str">
        <f t="shared" si="43"/>
        <v/>
      </c>
      <c r="L638" s="104" t="str">
        <f>IF(B638="","",VLOOKUP(B638&amp;F638&amp;H638,经纬!A:M,13,FALSE)*N638)</f>
        <v/>
      </c>
      <c r="M638" s="104" t="str">
        <f>IF(B638="","",VLOOKUP(B638&amp;F638&amp;H638,经纬!A:N,14,FALSE)*N638)</f>
        <v/>
      </c>
      <c r="P638" s="8" t="str">
        <f t="shared" si="41"/>
        <v/>
      </c>
      <c r="R638" s="250" t="str">
        <f t="shared" si="40"/>
        <v/>
      </c>
    </row>
    <row r="639" spans="1:18">
      <c r="A639" s="4">
        <v>648</v>
      </c>
      <c r="C639" s="8" t="str">
        <f>IF(B639="","",VLOOKUP(B639,经纬!B:C,2,FALSE))</f>
        <v/>
      </c>
      <c r="D639" s="8" t="str">
        <f>IF(B639="","",VLOOKUP(B639,经纬!B:G,6,FALSE))</f>
        <v/>
      </c>
      <c r="F639" s="8" t="str">
        <f>IF(B639="","",VLOOKUP(B639,小圆机汇总表!A:AP,5,FALSE))</f>
        <v/>
      </c>
      <c r="G639" s="8" t="str">
        <f>IF(B639="","",VLOOKUP(B639,小圆机汇总表!A:AP,8,FALSE))</f>
        <v/>
      </c>
      <c r="J639" s="105" t="str">
        <f t="shared" si="42"/>
        <v/>
      </c>
      <c r="K639" s="105" t="str">
        <f t="shared" si="43"/>
        <v/>
      </c>
      <c r="L639" s="104" t="str">
        <f>IF(B639="","",VLOOKUP(B639&amp;F639&amp;H639,经纬!A:M,13,FALSE)*N639)</f>
        <v/>
      </c>
      <c r="M639" s="104" t="str">
        <f>IF(B639="","",VLOOKUP(B639&amp;F639&amp;H639,经纬!A:N,14,FALSE)*N639)</f>
        <v/>
      </c>
      <c r="P639" s="8" t="str">
        <f t="shared" si="41"/>
        <v/>
      </c>
      <c r="R639" s="250" t="str">
        <f t="shared" si="40"/>
        <v/>
      </c>
    </row>
    <row r="640" spans="1:18">
      <c r="A640" s="4">
        <v>649</v>
      </c>
      <c r="C640" s="8" t="str">
        <f>IF(B640="","",VLOOKUP(B640,经纬!B:C,2,FALSE))</f>
        <v/>
      </c>
      <c r="D640" s="8" t="str">
        <f>IF(B640="","",VLOOKUP(B640,经纬!B:G,6,FALSE))</f>
        <v/>
      </c>
      <c r="F640" s="8" t="str">
        <f>IF(B640="","",VLOOKUP(B640,小圆机汇总表!A:AP,5,FALSE))</f>
        <v/>
      </c>
      <c r="G640" s="8" t="str">
        <f>IF(B640="","",VLOOKUP(B640,小圆机汇总表!A:AP,8,FALSE))</f>
        <v/>
      </c>
      <c r="J640" s="105" t="str">
        <f t="shared" si="42"/>
        <v/>
      </c>
      <c r="K640" s="105" t="str">
        <f t="shared" si="43"/>
        <v/>
      </c>
      <c r="L640" s="104" t="str">
        <f>IF(B640="","",VLOOKUP(B640&amp;F640&amp;H640,经纬!A:M,13,FALSE)*N640)</f>
        <v/>
      </c>
      <c r="M640" s="104" t="str">
        <f>IF(B640="","",VLOOKUP(B640&amp;F640&amp;H640,经纬!A:N,14,FALSE)*N640)</f>
        <v/>
      </c>
      <c r="P640" s="8" t="str">
        <f t="shared" si="41"/>
        <v/>
      </c>
      <c r="R640" s="250" t="str">
        <f t="shared" si="40"/>
        <v/>
      </c>
    </row>
    <row r="641" spans="1:18">
      <c r="A641" s="4">
        <v>650</v>
      </c>
      <c r="C641" s="8" t="str">
        <f>IF(B641="","",VLOOKUP(B641,经纬!B:C,2,FALSE))</f>
        <v/>
      </c>
      <c r="D641" s="8" t="str">
        <f>IF(B641="","",VLOOKUP(B641,经纬!B:G,6,FALSE))</f>
        <v/>
      </c>
      <c r="F641" s="8" t="str">
        <f>IF(B641="","",VLOOKUP(B641,小圆机汇总表!A:AP,5,FALSE))</f>
        <v/>
      </c>
      <c r="G641" s="8" t="str">
        <f>IF(B641="","",VLOOKUP(B641,小圆机汇总表!A:AP,8,FALSE))</f>
        <v/>
      </c>
      <c r="J641" s="105" t="str">
        <f t="shared" si="42"/>
        <v/>
      </c>
      <c r="K641" s="105" t="str">
        <f t="shared" si="43"/>
        <v/>
      </c>
      <c r="L641" s="104" t="str">
        <f>IF(B641="","",VLOOKUP(B641&amp;F641&amp;H641,经纬!A:M,13,FALSE)*N641)</f>
        <v/>
      </c>
      <c r="M641" s="104" t="str">
        <f>IF(B641="","",VLOOKUP(B641&amp;F641&amp;H641,经纬!A:N,14,FALSE)*N641)</f>
        <v/>
      </c>
      <c r="P641" s="8" t="str">
        <f t="shared" si="41"/>
        <v/>
      </c>
      <c r="R641" s="250" t="str">
        <f t="shared" si="40"/>
        <v/>
      </c>
    </row>
    <row r="642" spans="1:18">
      <c r="A642" s="4">
        <v>651</v>
      </c>
      <c r="C642" s="8" t="str">
        <f>IF(B642="","",VLOOKUP(B642,经纬!B:C,2,FALSE))</f>
        <v/>
      </c>
      <c r="D642" s="8" t="str">
        <f>IF(B642="","",VLOOKUP(B642,经纬!B:G,6,FALSE))</f>
        <v/>
      </c>
      <c r="F642" s="8" t="str">
        <f>IF(B642="","",VLOOKUP(B642,小圆机汇总表!A:AP,5,FALSE))</f>
        <v/>
      </c>
      <c r="G642" s="8" t="str">
        <f>IF(B642="","",VLOOKUP(B642,小圆机汇总表!A:AP,8,FALSE))</f>
        <v/>
      </c>
      <c r="J642" s="105" t="str">
        <f t="shared" si="42"/>
        <v/>
      </c>
      <c r="K642" s="105" t="str">
        <f t="shared" si="43"/>
        <v/>
      </c>
      <c r="L642" s="104" t="str">
        <f>IF(B642="","",VLOOKUP(B642&amp;F642&amp;H642,经纬!A:M,13,FALSE)*N642)</f>
        <v/>
      </c>
      <c r="M642" s="104" t="str">
        <f>IF(B642="","",VLOOKUP(B642&amp;F642&amp;H642,经纬!A:N,14,FALSE)*N642)</f>
        <v/>
      </c>
      <c r="P642" s="8" t="str">
        <f t="shared" si="41"/>
        <v/>
      </c>
      <c r="R642" s="250" t="str">
        <f t="shared" si="40"/>
        <v/>
      </c>
    </row>
    <row r="643" spans="1:18">
      <c r="A643" s="4">
        <v>652</v>
      </c>
      <c r="C643" s="8" t="str">
        <f>IF(B643="","",VLOOKUP(B643,经纬!B:C,2,FALSE))</f>
        <v/>
      </c>
      <c r="D643" s="8" t="str">
        <f>IF(B643="","",VLOOKUP(B643,经纬!B:G,6,FALSE))</f>
        <v/>
      </c>
      <c r="F643" s="8" t="str">
        <f>IF(B643="","",VLOOKUP(B643,小圆机汇总表!A:AP,5,FALSE))</f>
        <v/>
      </c>
      <c r="G643" s="8" t="str">
        <f>IF(B643="","",VLOOKUP(B643,小圆机汇总表!A:AP,8,FALSE))</f>
        <v/>
      </c>
      <c r="J643" s="105" t="str">
        <f t="shared" si="42"/>
        <v/>
      </c>
      <c r="K643" s="105" t="str">
        <f t="shared" si="43"/>
        <v/>
      </c>
      <c r="L643" s="104" t="str">
        <f>IF(B643="","",VLOOKUP(B643&amp;F643&amp;H643,经纬!A:M,13,FALSE)*N643)</f>
        <v/>
      </c>
      <c r="M643" s="104" t="str">
        <f>IF(B643="","",VLOOKUP(B643&amp;F643&amp;H643,经纬!A:N,14,FALSE)*N643)</f>
        <v/>
      </c>
      <c r="P643" s="8" t="str">
        <f t="shared" si="41"/>
        <v/>
      </c>
      <c r="R643" s="250" t="str">
        <f t="shared" ref="R643:R706" si="44">IF(B643="","",MONTH(I643))</f>
        <v/>
      </c>
    </row>
    <row r="644" spans="1:18">
      <c r="A644" s="4">
        <v>653</v>
      </c>
      <c r="C644" s="8" t="str">
        <f>IF(B644="","",VLOOKUP(B644,经纬!B:C,2,FALSE))</f>
        <v/>
      </c>
      <c r="D644" s="8" t="str">
        <f>IF(B644="","",VLOOKUP(B644,经纬!B:G,6,FALSE))</f>
        <v/>
      </c>
      <c r="F644" s="8" t="str">
        <f>IF(B644="","",VLOOKUP(B644,小圆机汇总表!A:AP,5,FALSE))</f>
        <v/>
      </c>
      <c r="G644" s="8" t="str">
        <f>IF(B644="","",VLOOKUP(B644,小圆机汇总表!A:AP,8,FALSE))</f>
        <v/>
      </c>
      <c r="J644" s="105" t="str">
        <f t="shared" si="42"/>
        <v/>
      </c>
      <c r="K644" s="105" t="str">
        <f t="shared" si="43"/>
        <v/>
      </c>
      <c r="L644" s="104" t="str">
        <f>IF(B644="","",VLOOKUP(B644&amp;F644&amp;H644,经纬!A:M,13,FALSE)*N644)</f>
        <v/>
      </c>
      <c r="M644" s="104" t="str">
        <f>IF(B644="","",VLOOKUP(B644&amp;F644&amp;H644,经纬!A:N,14,FALSE)*N644)</f>
        <v/>
      </c>
      <c r="P644" s="8" t="str">
        <f t="shared" si="41"/>
        <v/>
      </c>
      <c r="R644" s="250" t="str">
        <f t="shared" si="44"/>
        <v/>
      </c>
    </row>
    <row r="645" spans="1:18">
      <c r="A645" s="4">
        <v>654</v>
      </c>
      <c r="C645" s="8" t="str">
        <f>IF(B645="","",VLOOKUP(B645,经纬!B:C,2,FALSE))</f>
        <v/>
      </c>
      <c r="D645" s="8" t="str">
        <f>IF(B645="","",VLOOKUP(B645,经纬!B:G,6,FALSE))</f>
        <v/>
      </c>
      <c r="F645" s="8" t="str">
        <f>IF(B645="","",VLOOKUP(B645,小圆机汇总表!A:AP,5,FALSE))</f>
        <v/>
      </c>
      <c r="G645" s="8" t="str">
        <f>IF(B645="","",VLOOKUP(B645,小圆机汇总表!A:AP,8,FALSE))</f>
        <v/>
      </c>
      <c r="J645" s="105" t="str">
        <f t="shared" si="42"/>
        <v/>
      </c>
      <c r="K645" s="105" t="str">
        <f t="shared" si="43"/>
        <v/>
      </c>
      <c r="L645" s="104" t="str">
        <f>IF(B645="","",VLOOKUP(B645&amp;F645&amp;H645,经纬!A:M,13,FALSE)*N645)</f>
        <v/>
      </c>
      <c r="M645" s="104" t="str">
        <f>IF(B645="","",VLOOKUP(B645&amp;F645&amp;H645,经纬!A:N,14,FALSE)*N645)</f>
        <v/>
      </c>
      <c r="P645" s="8" t="str">
        <f t="shared" si="41"/>
        <v/>
      </c>
      <c r="R645" s="250" t="str">
        <f t="shared" si="44"/>
        <v/>
      </c>
    </row>
    <row r="646" spans="1:18">
      <c r="A646" s="4">
        <v>655</v>
      </c>
      <c r="C646" s="8" t="str">
        <f>IF(B646="","",VLOOKUP(B646,经纬!B:C,2,FALSE))</f>
        <v/>
      </c>
      <c r="D646" s="8" t="str">
        <f>IF(B646="","",VLOOKUP(B646,经纬!B:G,6,FALSE))</f>
        <v/>
      </c>
      <c r="F646" s="8" t="str">
        <f>IF(B646="","",VLOOKUP(B646,小圆机汇总表!A:AP,5,FALSE))</f>
        <v/>
      </c>
      <c r="G646" s="8" t="str">
        <f>IF(B646="","",VLOOKUP(B646,小圆机汇总表!A:AP,8,FALSE))</f>
        <v/>
      </c>
      <c r="J646" s="105" t="str">
        <f t="shared" si="42"/>
        <v/>
      </c>
      <c r="K646" s="105" t="str">
        <f t="shared" si="43"/>
        <v/>
      </c>
      <c r="L646" s="104" t="str">
        <f>IF(B646="","",VLOOKUP(B646&amp;F646&amp;H646,经纬!A:M,13,FALSE)*N646)</f>
        <v/>
      </c>
      <c r="M646" s="104" t="str">
        <f>IF(B646="","",VLOOKUP(B646&amp;F646&amp;H646,经纬!A:N,14,FALSE)*N646)</f>
        <v/>
      </c>
      <c r="P646" s="8" t="str">
        <f t="shared" si="41"/>
        <v/>
      </c>
      <c r="R646" s="250" t="str">
        <f t="shared" si="44"/>
        <v/>
      </c>
    </row>
    <row r="647" spans="1:18">
      <c r="A647" s="4">
        <v>656</v>
      </c>
      <c r="C647" s="8" t="str">
        <f>IF(B647="","",VLOOKUP(B647,经纬!B:C,2,FALSE))</f>
        <v/>
      </c>
      <c r="D647" s="8" t="str">
        <f>IF(B647="","",VLOOKUP(B647,经纬!B:G,6,FALSE))</f>
        <v/>
      </c>
      <c r="F647" s="8" t="str">
        <f>IF(B647="","",VLOOKUP(B647,小圆机汇总表!A:AP,5,FALSE))</f>
        <v/>
      </c>
      <c r="G647" s="8" t="str">
        <f>IF(B647="","",VLOOKUP(B647,小圆机汇总表!A:AP,8,FALSE))</f>
        <v/>
      </c>
      <c r="J647" s="105" t="str">
        <f t="shared" si="42"/>
        <v/>
      </c>
      <c r="K647" s="105" t="str">
        <f t="shared" si="43"/>
        <v/>
      </c>
      <c r="L647" s="104" t="str">
        <f>IF(B647="","",VLOOKUP(B647&amp;F647&amp;H647,经纬!A:M,13,FALSE)*N647)</f>
        <v/>
      </c>
      <c r="M647" s="104" t="str">
        <f>IF(B647="","",VLOOKUP(B647&amp;F647&amp;H647,经纬!A:N,14,FALSE)*N647)</f>
        <v/>
      </c>
      <c r="P647" s="8" t="str">
        <f t="shared" si="41"/>
        <v/>
      </c>
      <c r="R647" s="250" t="str">
        <f t="shared" si="44"/>
        <v/>
      </c>
    </row>
    <row r="648" spans="1:18">
      <c r="A648" s="4">
        <v>657</v>
      </c>
      <c r="C648" s="8" t="str">
        <f>IF(B648="","",VLOOKUP(B648,经纬!B:C,2,FALSE))</f>
        <v/>
      </c>
      <c r="D648" s="8" t="str">
        <f>IF(B648="","",VLOOKUP(B648,经纬!B:G,6,FALSE))</f>
        <v/>
      </c>
      <c r="F648" s="8" t="str">
        <f>IF(B648="","",VLOOKUP(B648,小圆机汇总表!A:AP,5,FALSE))</f>
        <v/>
      </c>
      <c r="G648" s="8" t="str">
        <f>IF(B648="","",VLOOKUP(B648,小圆机汇总表!A:AP,8,FALSE))</f>
        <v/>
      </c>
      <c r="J648" s="105" t="str">
        <f t="shared" si="42"/>
        <v/>
      </c>
      <c r="K648" s="105" t="str">
        <f t="shared" si="43"/>
        <v/>
      </c>
      <c r="L648" s="104" t="str">
        <f>IF(B648="","",VLOOKUP(B648&amp;F648&amp;H648,经纬!A:M,13,FALSE)*N648)</f>
        <v/>
      </c>
      <c r="M648" s="104" t="str">
        <f>IF(B648="","",VLOOKUP(B648&amp;F648&amp;H648,经纬!A:N,14,FALSE)*N648)</f>
        <v/>
      </c>
      <c r="P648" s="8" t="str">
        <f t="shared" si="41"/>
        <v/>
      </c>
      <c r="R648" s="250" t="str">
        <f t="shared" si="44"/>
        <v/>
      </c>
    </row>
    <row r="649" spans="1:18">
      <c r="A649" s="4">
        <v>658</v>
      </c>
      <c r="C649" s="8" t="str">
        <f>IF(B649="","",VLOOKUP(B649,经纬!B:C,2,FALSE))</f>
        <v/>
      </c>
      <c r="D649" s="8" t="str">
        <f>IF(B649="","",VLOOKUP(B649,经纬!B:G,6,FALSE))</f>
        <v/>
      </c>
      <c r="F649" s="8" t="str">
        <f>IF(B649="","",VLOOKUP(B649,小圆机汇总表!A:AP,5,FALSE))</f>
        <v/>
      </c>
      <c r="G649" s="8" t="str">
        <f>IF(B649="","",VLOOKUP(B649,小圆机汇总表!A:AP,8,FALSE))</f>
        <v/>
      </c>
      <c r="J649" s="105" t="str">
        <f t="shared" si="42"/>
        <v/>
      </c>
      <c r="K649" s="105" t="str">
        <f t="shared" si="43"/>
        <v/>
      </c>
      <c r="L649" s="104" t="str">
        <f>IF(B649="","",VLOOKUP(B649&amp;F649&amp;H649,经纬!A:M,13,FALSE)*N649)</f>
        <v/>
      </c>
      <c r="M649" s="104" t="str">
        <f>IF(B649="","",VLOOKUP(B649&amp;F649&amp;H649,经纬!A:N,14,FALSE)*N649)</f>
        <v/>
      </c>
      <c r="P649" s="8" t="str">
        <f t="shared" si="41"/>
        <v/>
      </c>
      <c r="R649" s="250" t="str">
        <f t="shared" si="44"/>
        <v/>
      </c>
    </row>
    <row r="650" spans="1:18">
      <c r="A650" s="4">
        <v>659</v>
      </c>
      <c r="C650" s="8" t="str">
        <f>IF(B650="","",VLOOKUP(B650,经纬!B:C,2,FALSE))</f>
        <v/>
      </c>
      <c r="D650" s="8" t="str">
        <f>IF(B650="","",VLOOKUP(B650,经纬!B:G,6,FALSE))</f>
        <v/>
      </c>
      <c r="F650" s="8" t="str">
        <f>IF(B650="","",VLOOKUP(B650,小圆机汇总表!A:AP,5,FALSE))</f>
        <v/>
      </c>
      <c r="G650" s="8" t="str">
        <f>IF(B650="","",VLOOKUP(B650,小圆机汇总表!A:AP,8,FALSE))</f>
        <v/>
      </c>
      <c r="J650" s="105" t="str">
        <f t="shared" si="42"/>
        <v/>
      </c>
      <c r="K650" s="105" t="str">
        <f t="shared" si="43"/>
        <v/>
      </c>
      <c r="L650" s="104" t="str">
        <f>IF(B650="","",VLOOKUP(B650&amp;F650&amp;H650,经纬!A:M,13,FALSE)*N650)</f>
        <v/>
      </c>
      <c r="M650" s="104" t="str">
        <f>IF(B650="","",VLOOKUP(B650&amp;F650&amp;H650,经纬!A:N,14,FALSE)*N650)</f>
        <v/>
      </c>
      <c r="P650" s="8" t="str">
        <f t="shared" si="41"/>
        <v/>
      </c>
      <c r="R650" s="250" t="str">
        <f t="shared" si="44"/>
        <v/>
      </c>
    </row>
    <row r="651" spans="1:18">
      <c r="A651" s="4">
        <v>660</v>
      </c>
      <c r="C651" s="8" t="str">
        <f>IF(B651="","",VLOOKUP(B651,经纬!B:C,2,FALSE))</f>
        <v/>
      </c>
      <c r="D651" s="8" t="str">
        <f>IF(B651="","",VLOOKUP(B651,经纬!B:G,6,FALSE))</f>
        <v/>
      </c>
      <c r="F651" s="8" t="str">
        <f>IF(B651="","",VLOOKUP(B651,小圆机汇总表!A:AP,5,FALSE))</f>
        <v/>
      </c>
      <c r="G651" s="8" t="str">
        <f>IF(B651="","",VLOOKUP(B651,小圆机汇总表!A:AP,8,FALSE))</f>
        <v/>
      </c>
      <c r="J651" s="105" t="str">
        <f t="shared" si="42"/>
        <v/>
      </c>
      <c r="K651" s="105" t="str">
        <f t="shared" si="43"/>
        <v/>
      </c>
      <c r="L651" s="104" t="str">
        <f>IF(B651="","",VLOOKUP(B651&amp;F651&amp;H651,经纬!A:M,13,FALSE)*N651)</f>
        <v/>
      </c>
      <c r="M651" s="104" t="str">
        <f>IF(B651="","",VLOOKUP(B651&amp;F651&amp;H651,经纬!A:N,14,FALSE)*N651)</f>
        <v/>
      </c>
      <c r="P651" s="8" t="str">
        <f t="shared" si="41"/>
        <v/>
      </c>
      <c r="R651" s="250" t="str">
        <f t="shared" si="44"/>
        <v/>
      </c>
    </row>
    <row r="652" spans="1:18">
      <c r="A652" s="4">
        <v>661</v>
      </c>
      <c r="C652" s="8" t="str">
        <f>IF(B652="","",VLOOKUP(B652,经纬!B:C,2,FALSE))</f>
        <v/>
      </c>
      <c r="D652" s="8" t="str">
        <f>IF(B652="","",VLOOKUP(B652,经纬!B:G,6,FALSE))</f>
        <v/>
      </c>
      <c r="F652" s="8" t="str">
        <f>IF(B652="","",VLOOKUP(B652,小圆机汇总表!A:AP,5,FALSE))</f>
        <v/>
      </c>
      <c r="G652" s="8" t="str">
        <f>IF(B652="","",VLOOKUP(B652,小圆机汇总表!A:AP,8,FALSE))</f>
        <v/>
      </c>
      <c r="J652" s="105" t="str">
        <f t="shared" si="42"/>
        <v/>
      </c>
      <c r="K652" s="105" t="str">
        <f t="shared" si="43"/>
        <v/>
      </c>
      <c r="L652" s="104" t="str">
        <f>IF(B652="","",VLOOKUP(B652&amp;F652&amp;H652,经纬!A:M,13,FALSE)*N652)</f>
        <v/>
      </c>
      <c r="M652" s="104" t="str">
        <f>IF(B652="","",VLOOKUP(B652&amp;F652&amp;H652,经纬!A:N,14,FALSE)*N652)</f>
        <v/>
      </c>
      <c r="P652" s="8" t="str">
        <f t="shared" si="41"/>
        <v/>
      </c>
      <c r="R652" s="250" t="str">
        <f t="shared" si="44"/>
        <v/>
      </c>
    </row>
    <row r="653" spans="1:18">
      <c r="A653" s="4">
        <v>662</v>
      </c>
      <c r="C653" s="8" t="str">
        <f>IF(B653="","",VLOOKUP(B653,经纬!B:C,2,FALSE))</f>
        <v/>
      </c>
      <c r="D653" s="8" t="str">
        <f>IF(B653="","",VLOOKUP(B653,经纬!B:G,6,FALSE))</f>
        <v/>
      </c>
      <c r="F653" s="8" t="str">
        <f>IF(B653="","",VLOOKUP(B653,小圆机汇总表!A:AP,5,FALSE))</f>
        <v/>
      </c>
      <c r="G653" s="8" t="str">
        <f>IF(B653="","",VLOOKUP(B653,小圆机汇总表!A:AP,8,FALSE))</f>
        <v/>
      </c>
      <c r="J653" s="105" t="str">
        <f t="shared" si="42"/>
        <v/>
      </c>
      <c r="K653" s="105" t="str">
        <f t="shared" si="43"/>
        <v/>
      </c>
      <c r="L653" s="104" t="str">
        <f>IF(B653="","",VLOOKUP(B653&amp;F653&amp;H653,经纬!A:M,13,FALSE)*N653)</f>
        <v/>
      </c>
      <c r="M653" s="104" t="str">
        <f>IF(B653="","",VLOOKUP(B653&amp;F653&amp;H653,经纬!A:N,14,FALSE)*N653)</f>
        <v/>
      </c>
      <c r="P653" s="8" t="str">
        <f t="shared" si="41"/>
        <v/>
      </c>
      <c r="R653" s="250" t="str">
        <f t="shared" si="44"/>
        <v/>
      </c>
    </row>
    <row r="654" spans="1:18">
      <c r="A654" s="4">
        <v>663</v>
      </c>
      <c r="C654" s="8" t="str">
        <f>IF(B654="","",VLOOKUP(B654,经纬!B:C,2,FALSE))</f>
        <v/>
      </c>
      <c r="D654" s="8" t="str">
        <f>IF(B654="","",VLOOKUP(B654,经纬!B:G,6,FALSE))</f>
        <v/>
      </c>
      <c r="F654" s="8" t="str">
        <f>IF(B654="","",VLOOKUP(B654,小圆机汇总表!A:AP,5,FALSE))</f>
        <v/>
      </c>
      <c r="G654" s="8" t="str">
        <f>IF(B654="","",VLOOKUP(B654,小圆机汇总表!A:AP,8,FALSE))</f>
        <v/>
      </c>
      <c r="J654" s="105" t="str">
        <f t="shared" si="42"/>
        <v/>
      </c>
      <c r="K654" s="105" t="str">
        <f t="shared" si="43"/>
        <v/>
      </c>
      <c r="L654" s="104" t="str">
        <f>IF(B654="","",VLOOKUP(B654&amp;F654&amp;H654,经纬!A:M,13,FALSE)*N654)</f>
        <v/>
      </c>
      <c r="M654" s="104" t="str">
        <f>IF(B654="","",VLOOKUP(B654&amp;F654&amp;H654,经纬!A:N,14,FALSE)*N654)</f>
        <v/>
      </c>
      <c r="P654" s="8" t="str">
        <f t="shared" si="41"/>
        <v/>
      </c>
      <c r="R654" s="250" t="str">
        <f t="shared" si="44"/>
        <v/>
      </c>
    </row>
    <row r="655" spans="1:18">
      <c r="A655" s="4">
        <v>664</v>
      </c>
      <c r="C655" s="8" t="str">
        <f>IF(B655="","",VLOOKUP(B655,经纬!B:C,2,FALSE))</f>
        <v/>
      </c>
      <c r="D655" s="8" t="str">
        <f>IF(B655="","",VLOOKUP(B655,经纬!B:G,6,FALSE))</f>
        <v/>
      </c>
      <c r="F655" s="8" t="str">
        <f>IF(B655="","",VLOOKUP(B655,小圆机汇总表!A:AP,5,FALSE))</f>
        <v/>
      </c>
      <c r="G655" s="8" t="str">
        <f>IF(B655="","",VLOOKUP(B655,小圆机汇总表!A:AP,8,FALSE))</f>
        <v/>
      </c>
      <c r="J655" s="105" t="str">
        <f t="shared" si="42"/>
        <v/>
      </c>
      <c r="K655" s="105" t="str">
        <f t="shared" si="43"/>
        <v/>
      </c>
      <c r="L655" s="104" t="str">
        <f>IF(B655="","",VLOOKUP(B655&amp;F655&amp;H655,经纬!A:M,13,FALSE)*N655)</f>
        <v/>
      </c>
      <c r="M655" s="104" t="str">
        <f>IF(B655="","",VLOOKUP(B655&amp;F655&amp;H655,经纬!A:N,14,FALSE)*N655)</f>
        <v/>
      </c>
      <c r="P655" s="8" t="str">
        <f t="shared" si="41"/>
        <v/>
      </c>
      <c r="R655" s="250" t="str">
        <f t="shared" si="44"/>
        <v/>
      </c>
    </row>
    <row r="656" spans="1:18">
      <c r="A656" s="4">
        <v>665</v>
      </c>
      <c r="C656" s="8" t="str">
        <f>IF(B656="","",VLOOKUP(B656,经纬!B:C,2,FALSE))</f>
        <v/>
      </c>
      <c r="D656" s="8" t="str">
        <f>IF(B656="","",VLOOKUP(B656,经纬!B:G,6,FALSE))</f>
        <v/>
      </c>
      <c r="F656" s="8" t="str">
        <f>IF(B656="","",VLOOKUP(B656,小圆机汇总表!A:AP,5,FALSE))</f>
        <v/>
      </c>
      <c r="G656" s="8" t="str">
        <f>IF(B656="","",VLOOKUP(B656,小圆机汇总表!A:AP,8,FALSE))</f>
        <v/>
      </c>
      <c r="J656" s="105" t="str">
        <f t="shared" si="42"/>
        <v/>
      </c>
      <c r="K656" s="105" t="str">
        <f t="shared" si="43"/>
        <v/>
      </c>
      <c r="L656" s="104" t="str">
        <f>IF(B656="","",VLOOKUP(B656&amp;F656&amp;H656,经纬!A:M,13,FALSE)*N656)</f>
        <v/>
      </c>
      <c r="M656" s="104" t="str">
        <f>IF(B656="","",VLOOKUP(B656&amp;F656&amp;H656,经纬!A:N,14,FALSE)*N656)</f>
        <v/>
      </c>
      <c r="P656" s="8" t="str">
        <f t="shared" si="41"/>
        <v/>
      </c>
      <c r="R656" s="250" t="str">
        <f t="shared" si="44"/>
        <v/>
      </c>
    </row>
    <row r="657" spans="1:18">
      <c r="A657" s="4">
        <v>666</v>
      </c>
      <c r="C657" s="8" t="str">
        <f>IF(B657="","",VLOOKUP(B657,经纬!B:C,2,FALSE))</f>
        <v/>
      </c>
      <c r="D657" s="8" t="str">
        <f>IF(B657="","",VLOOKUP(B657,经纬!B:G,6,FALSE))</f>
        <v/>
      </c>
      <c r="F657" s="8" t="str">
        <f>IF(B657="","",VLOOKUP(B657,小圆机汇总表!A:AP,5,FALSE))</f>
        <v/>
      </c>
      <c r="G657" s="8" t="str">
        <f>IF(B657="","",VLOOKUP(B657,小圆机汇总表!A:AP,8,FALSE))</f>
        <v/>
      </c>
      <c r="J657" s="105" t="str">
        <f t="shared" si="42"/>
        <v/>
      </c>
      <c r="K657" s="105" t="str">
        <f t="shared" si="43"/>
        <v/>
      </c>
      <c r="L657" s="104" t="str">
        <f>IF(B657="","",VLOOKUP(B657&amp;F657&amp;H657,经纬!A:M,13,FALSE)*N657)</f>
        <v/>
      </c>
      <c r="M657" s="104" t="str">
        <f>IF(B657="","",VLOOKUP(B657&amp;F657&amp;H657,经纬!A:N,14,FALSE)*N657)</f>
        <v/>
      </c>
      <c r="P657" s="8" t="str">
        <f t="shared" si="41"/>
        <v/>
      </c>
      <c r="R657" s="250" t="str">
        <f t="shared" si="44"/>
        <v/>
      </c>
    </row>
    <row r="658" spans="1:18">
      <c r="A658" s="4">
        <v>667</v>
      </c>
      <c r="C658" s="8" t="str">
        <f>IF(B658="","",VLOOKUP(B658,经纬!B:C,2,FALSE))</f>
        <v/>
      </c>
      <c r="D658" s="8" t="str">
        <f>IF(B658="","",VLOOKUP(B658,经纬!B:G,6,FALSE))</f>
        <v/>
      </c>
      <c r="F658" s="8" t="str">
        <f>IF(B658="","",VLOOKUP(B658,小圆机汇总表!A:AP,5,FALSE))</f>
        <v/>
      </c>
      <c r="G658" s="8" t="str">
        <f>IF(B658="","",VLOOKUP(B658,小圆机汇总表!A:AP,8,FALSE))</f>
        <v/>
      </c>
      <c r="J658" s="105" t="str">
        <f t="shared" si="42"/>
        <v/>
      </c>
      <c r="K658" s="105" t="str">
        <f t="shared" si="43"/>
        <v/>
      </c>
      <c r="L658" s="104" t="str">
        <f>IF(B658="","",VLOOKUP(B658&amp;F658&amp;H658,经纬!A:M,13,FALSE)*N658)</f>
        <v/>
      </c>
      <c r="M658" s="104" t="str">
        <f>IF(B658="","",VLOOKUP(B658&amp;F658&amp;H658,经纬!A:N,14,FALSE)*N658)</f>
        <v/>
      </c>
      <c r="P658" s="8" t="str">
        <f t="shared" si="41"/>
        <v/>
      </c>
      <c r="R658" s="250" t="str">
        <f t="shared" si="44"/>
        <v/>
      </c>
    </row>
    <row r="659" spans="1:18">
      <c r="A659" s="4">
        <v>668</v>
      </c>
      <c r="C659" s="8" t="str">
        <f>IF(B659="","",VLOOKUP(B659,经纬!B:C,2,FALSE))</f>
        <v/>
      </c>
      <c r="D659" s="8" t="str">
        <f>IF(B659="","",VLOOKUP(B659,经纬!B:G,6,FALSE))</f>
        <v/>
      </c>
      <c r="F659" s="8" t="str">
        <f>IF(B659="","",VLOOKUP(B659,小圆机汇总表!A:AP,5,FALSE))</f>
        <v/>
      </c>
      <c r="G659" s="8" t="str">
        <f>IF(B659="","",VLOOKUP(B659,小圆机汇总表!A:AP,8,FALSE))</f>
        <v/>
      </c>
      <c r="J659" s="105" t="str">
        <f t="shared" si="42"/>
        <v/>
      </c>
      <c r="K659" s="105" t="str">
        <f t="shared" si="43"/>
        <v/>
      </c>
      <c r="L659" s="104" t="str">
        <f>IF(B659="","",VLOOKUP(B659&amp;F659&amp;H659,经纬!A:M,13,FALSE)*N659)</f>
        <v/>
      </c>
      <c r="M659" s="104" t="str">
        <f>IF(B659="","",VLOOKUP(B659&amp;F659&amp;H659,经纬!A:N,14,FALSE)*N659)</f>
        <v/>
      </c>
      <c r="P659" s="8" t="str">
        <f t="shared" si="41"/>
        <v/>
      </c>
      <c r="R659" s="250" t="str">
        <f t="shared" si="44"/>
        <v/>
      </c>
    </row>
    <row r="660" spans="1:18">
      <c r="A660" s="4">
        <v>669</v>
      </c>
      <c r="B660" s="93"/>
      <c r="C660" s="8" t="str">
        <f>IF(B660="","",VLOOKUP(B660,经纬!B:C,2,FALSE))</f>
        <v/>
      </c>
      <c r="D660" s="8" t="str">
        <f>IF(B660="","",VLOOKUP(B660,经纬!B:G,6,FALSE))</f>
        <v/>
      </c>
      <c r="E660" s="8"/>
      <c r="F660" s="8" t="str">
        <f>IF(B660="","",VLOOKUP(B660,小圆机汇总表!A:AP,5,FALSE))</f>
        <v/>
      </c>
      <c r="G660" s="8" t="str">
        <f>IF(B660="","",VLOOKUP(B660,小圆机汇总表!A:AP,8,FALSE))</f>
        <v/>
      </c>
      <c r="H660" s="89"/>
      <c r="I660" s="26"/>
      <c r="J660" s="105" t="str">
        <f t="shared" si="42"/>
        <v/>
      </c>
      <c r="K660" s="105" t="str">
        <f t="shared" si="43"/>
        <v/>
      </c>
      <c r="L660" s="104" t="str">
        <f>IF(B660="","",VLOOKUP(B660&amp;F660&amp;H660,经纬!A:M,13,FALSE)*N660)</f>
        <v/>
      </c>
      <c r="M660" s="104" t="str">
        <f>IF(B660="","",VLOOKUP(B660&amp;F660&amp;H660,经纬!A:N,14,FALSE)*N660)</f>
        <v/>
      </c>
      <c r="N660" s="25"/>
      <c r="O660" s="25"/>
      <c r="P660" s="25" t="str">
        <f t="shared" si="41"/>
        <v/>
      </c>
      <c r="Q660" s="25"/>
      <c r="R660" s="250" t="str">
        <f t="shared" si="44"/>
        <v/>
      </c>
    </row>
    <row r="661" spans="1:18">
      <c r="A661" s="4">
        <v>670</v>
      </c>
      <c r="C661" s="8" t="str">
        <f>IF(B661="","",VLOOKUP(B661,经纬!B:C,2,FALSE))</f>
        <v/>
      </c>
      <c r="D661" s="8" t="str">
        <f>IF(B661="","",VLOOKUP(B661,经纬!B:G,6,FALSE))</f>
        <v/>
      </c>
      <c r="F661" s="8" t="str">
        <f>IF(B661="","",VLOOKUP(B661,小圆机汇总表!A:AP,5,FALSE))</f>
        <v/>
      </c>
      <c r="G661" s="8" t="str">
        <f>IF(B661="","",VLOOKUP(B661,小圆机汇总表!A:AP,8,FALSE))</f>
        <v/>
      </c>
      <c r="J661" s="105" t="str">
        <f t="shared" si="42"/>
        <v/>
      </c>
      <c r="K661" s="105" t="str">
        <f t="shared" si="43"/>
        <v/>
      </c>
      <c r="L661" s="104" t="str">
        <f>IF(B661="","",VLOOKUP(B661&amp;F661&amp;H661,经纬!A:M,13,FALSE)*N661)</f>
        <v/>
      </c>
      <c r="M661" s="104" t="str">
        <f>IF(B661="","",VLOOKUP(B661&amp;F661&amp;H661,经纬!A:N,14,FALSE)*N661)</f>
        <v/>
      </c>
      <c r="P661" s="8" t="str">
        <f t="shared" si="41"/>
        <v/>
      </c>
      <c r="R661" s="250" t="str">
        <f t="shared" si="44"/>
        <v/>
      </c>
    </row>
    <row r="662" spans="1:18">
      <c r="A662" s="4">
        <v>671</v>
      </c>
      <c r="C662" s="8" t="str">
        <f>IF(B662="","",VLOOKUP(B662,经纬!B:C,2,FALSE))</f>
        <v/>
      </c>
      <c r="D662" s="8" t="str">
        <f>IF(B662="","",VLOOKUP(B662,经纬!B:G,6,FALSE))</f>
        <v/>
      </c>
      <c r="F662" s="8" t="str">
        <f>IF(B662="","",VLOOKUP(B662,小圆机汇总表!A:AP,5,FALSE))</f>
        <v/>
      </c>
      <c r="G662" s="8" t="str">
        <f>IF(B662="","",VLOOKUP(B662,小圆机汇总表!A:AP,8,FALSE))</f>
        <v/>
      </c>
      <c r="J662" s="105" t="str">
        <f t="shared" si="42"/>
        <v/>
      </c>
      <c r="K662" s="105" t="str">
        <f t="shared" si="43"/>
        <v/>
      </c>
      <c r="L662" s="104" t="str">
        <f>IF(B662="","",VLOOKUP(B662&amp;F662&amp;H662,经纬!A:M,13,FALSE)*N662)</f>
        <v/>
      </c>
      <c r="M662" s="104" t="str">
        <f>IF(B662="","",VLOOKUP(B662&amp;F662&amp;H662,经纬!A:N,14,FALSE)*N662)</f>
        <v/>
      </c>
      <c r="P662" s="8" t="str">
        <f t="shared" si="41"/>
        <v/>
      </c>
      <c r="R662" s="250" t="str">
        <f t="shared" si="44"/>
        <v/>
      </c>
    </row>
    <row r="663" spans="1:18">
      <c r="A663" s="4">
        <v>672</v>
      </c>
      <c r="C663" s="8" t="str">
        <f>IF(B663="","",VLOOKUP(B663,经纬!B:C,2,FALSE))</f>
        <v/>
      </c>
      <c r="D663" s="8" t="str">
        <f>IF(B663="","",VLOOKUP(B663,经纬!B:G,6,FALSE))</f>
        <v/>
      </c>
      <c r="F663" s="8" t="str">
        <f>IF(B663="","",VLOOKUP(B663,小圆机汇总表!A:AP,5,FALSE))</f>
        <v/>
      </c>
      <c r="G663" s="8" t="str">
        <f>IF(B663="","",VLOOKUP(B663,小圆机汇总表!A:AP,8,FALSE))</f>
        <v/>
      </c>
      <c r="J663" s="105" t="str">
        <f t="shared" si="42"/>
        <v/>
      </c>
      <c r="K663" s="105" t="str">
        <f t="shared" si="43"/>
        <v/>
      </c>
      <c r="L663" s="104" t="str">
        <f>IF(B663="","",VLOOKUP(B663&amp;F663&amp;H663,经纬!A:M,13,FALSE)*N663)</f>
        <v/>
      </c>
      <c r="M663" s="104" t="str">
        <f>IF(B663="","",VLOOKUP(B663&amp;F663&amp;H663,经纬!A:N,14,FALSE)*N663)</f>
        <v/>
      </c>
      <c r="P663" s="8" t="str">
        <f t="shared" si="41"/>
        <v/>
      </c>
      <c r="R663" s="250" t="str">
        <f t="shared" si="44"/>
        <v/>
      </c>
    </row>
    <row r="664" spans="1:18">
      <c r="A664" s="4">
        <v>673</v>
      </c>
      <c r="C664" s="8" t="str">
        <f>IF(B664="","",VLOOKUP(B664,经纬!B:C,2,FALSE))</f>
        <v/>
      </c>
      <c r="D664" s="8" t="str">
        <f>IF(B664="","",VLOOKUP(B664,经纬!B:G,6,FALSE))</f>
        <v/>
      </c>
      <c r="F664" s="8" t="str">
        <f>IF(B664="","",VLOOKUP(B664,小圆机汇总表!A:AP,5,FALSE))</f>
        <v/>
      </c>
      <c r="G664" s="8" t="str">
        <f>IF(B664="","",VLOOKUP(B664,小圆机汇总表!A:AP,8,FALSE))</f>
        <v/>
      </c>
      <c r="J664" s="105" t="str">
        <f t="shared" si="42"/>
        <v/>
      </c>
      <c r="K664" s="105" t="str">
        <f t="shared" si="43"/>
        <v/>
      </c>
      <c r="L664" s="104" t="str">
        <f>IF(B664="","",VLOOKUP(B664&amp;F664&amp;H664,经纬!A:M,13,FALSE)*N664)</f>
        <v/>
      </c>
      <c r="M664" s="104" t="str">
        <f>IF(B664="","",VLOOKUP(B664&amp;F664&amp;H664,经纬!A:N,14,FALSE)*N664)</f>
        <v/>
      </c>
      <c r="P664" s="8" t="str">
        <f t="shared" si="41"/>
        <v/>
      </c>
      <c r="R664" s="250" t="str">
        <f t="shared" si="44"/>
        <v/>
      </c>
    </row>
    <row r="665" spans="1:18">
      <c r="A665" s="4">
        <v>674</v>
      </c>
      <c r="C665" s="8" t="str">
        <f>IF(B665="","",VLOOKUP(B665,经纬!B:C,2,FALSE))</f>
        <v/>
      </c>
      <c r="D665" s="8" t="str">
        <f>IF(B665="","",VLOOKUP(B665,经纬!B:G,6,FALSE))</f>
        <v/>
      </c>
      <c r="F665" s="8" t="str">
        <f>IF(B665="","",VLOOKUP(B665,小圆机汇总表!A:AP,5,FALSE))</f>
        <v/>
      </c>
      <c r="G665" s="8" t="str">
        <f>IF(B665="","",VLOOKUP(B665,小圆机汇总表!A:AP,8,FALSE))</f>
        <v/>
      </c>
      <c r="J665" s="105" t="str">
        <f t="shared" si="42"/>
        <v/>
      </c>
      <c r="K665" s="105" t="str">
        <f t="shared" si="43"/>
        <v/>
      </c>
      <c r="L665" s="104" t="str">
        <f>IF(B665="","",VLOOKUP(B665&amp;F665&amp;H665,经纬!A:M,13,FALSE)*N665)</f>
        <v/>
      </c>
      <c r="M665" s="104" t="str">
        <f>IF(B665="","",VLOOKUP(B665&amp;F665&amp;H665,经纬!A:N,14,FALSE)*N665)</f>
        <v/>
      </c>
      <c r="P665" s="8" t="str">
        <f t="shared" si="41"/>
        <v/>
      </c>
      <c r="R665" s="250" t="str">
        <f t="shared" si="44"/>
        <v/>
      </c>
    </row>
    <row r="666" spans="1:18">
      <c r="A666" s="4">
        <v>675</v>
      </c>
      <c r="C666" s="8" t="str">
        <f>IF(B666="","",VLOOKUP(B666,经纬!B:C,2,FALSE))</f>
        <v/>
      </c>
      <c r="D666" s="8" t="str">
        <f>IF(B666="","",VLOOKUP(B666,经纬!B:G,6,FALSE))</f>
        <v/>
      </c>
      <c r="F666" s="8" t="str">
        <f>IF(B666="","",VLOOKUP(B666,小圆机汇总表!A:AP,5,FALSE))</f>
        <v/>
      </c>
      <c r="G666" s="8" t="str">
        <f>IF(B666="","",VLOOKUP(B666,小圆机汇总表!A:AP,8,FALSE))</f>
        <v/>
      </c>
      <c r="J666" s="105" t="str">
        <f t="shared" si="42"/>
        <v/>
      </c>
      <c r="K666" s="105" t="str">
        <f t="shared" si="43"/>
        <v/>
      </c>
      <c r="L666" s="104" t="str">
        <f>IF(B666="","",VLOOKUP(B666&amp;F666&amp;H666,经纬!A:M,13,FALSE)*N666)</f>
        <v/>
      </c>
      <c r="M666" s="104" t="str">
        <f>IF(B666="","",VLOOKUP(B666&amp;F666&amp;H666,经纬!A:N,14,FALSE)*N666)</f>
        <v/>
      </c>
      <c r="P666" s="8" t="str">
        <f t="shared" ref="P666:P729" si="45">IF(B666="","",MONTH(I666))</f>
        <v/>
      </c>
      <c r="R666" s="250" t="str">
        <f t="shared" si="44"/>
        <v/>
      </c>
    </row>
    <row r="667" spans="1:18">
      <c r="A667" s="4">
        <v>676</v>
      </c>
      <c r="C667" s="8" t="str">
        <f>IF(B667="","",VLOOKUP(B667,经纬!B:C,2,FALSE))</f>
        <v/>
      </c>
      <c r="D667" s="8" t="str">
        <f>IF(B667="","",VLOOKUP(B667,经纬!B:G,6,FALSE))</f>
        <v/>
      </c>
      <c r="F667" s="8" t="str">
        <f>IF(B667="","",VLOOKUP(B667,小圆机汇总表!A:AP,5,FALSE))</f>
        <v/>
      </c>
      <c r="G667" s="8" t="str">
        <f>IF(B667="","",VLOOKUP(B667,小圆机汇总表!A:AP,8,FALSE))</f>
        <v/>
      </c>
      <c r="J667" s="105" t="str">
        <f t="shared" si="42"/>
        <v/>
      </c>
      <c r="K667" s="105" t="str">
        <f t="shared" si="43"/>
        <v/>
      </c>
      <c r="L667" s="104" t="str">
        <f>IF(B667="","",VLOOKUP(B667&amp;F667&amp;H667,经纬!A:M,13,FALSE)*N667)</f>
        <v/>
      </c>
      <c r="M667" s="104" t="str">
        <f>IF(B667="","",VLOOKUP(B667&amp;F667&amp;H667,经纬!A:N,14,FALSE)*N667)</f>
        <v/>
      </c>
      <c r="P667" s="8" t="str">
        <f t="shared" si="45"/>
        <v/>
      </c>
      <c r="R667" s="250" t="str">
        <f t="shared" si="44"/>
        <v/>
      </c>
    </row>
    <row r="668" spans="1:18">
      <c r="A668" s="4">
        <v>677</v>
      </c>
      <c r="C668" s="8" t="str">
        <f>IF(B668="","",VLOOKUP(B668,经纬!B:C,2,FALSE))</f>
        <v/>
      </c>
      <c r="D668" s="8" t="str">
        <f>IF(B668="","",VLOOKUP(B668,经纬!B:G,6,FALSE))</f>
        <v/>
      </c>
      <c r="F668" s="8" t="str">
        <f>IF(B668="","",VLOOKUP(B668,小圆机汇总表!A:AP,5,FALSE))</f>
        <v/>
      </c>
      <c r="G668" s="8" t="str">
        <f>IF(B668="","",VLOOKUP(B668,小圆机汇总表!A:AP,8,FALSE))</f>
        <v/>
      </c>
      <c r="J668" s="105" t="str">
        <f t="shared" si="42"/>
        <v/>
      </c>
      <c r="K668" s="105" t="str">
        <f t="shared" si="43"/>
        <v/>
      </c>
      <c r="L668" s="104" t="str">
        <f>IF(B668="","",VLOOKUP(B668&amp;F668&amp;H668,经纬!A:M,13,FALSE)*N668)</f>
        <v/>
      </c>
      <c r="M668" s="104" t="str">
        <f>IF(B668="","",VLOOKUP(B668&amp;F668&amp;H668,经纬!A:N,14,FALSE)*N668)</f>
        <v/>
      </c>
      <c r="P668" s="8" t="str">
        <f t="shared" si="45"/>
        <v/>
      </c>
      <c r="R668" s="250" t="str">
        <f t="shared" si="44"/>
        <v/>
      </c>
    </row>
    <row r="669" spans="1:18">
      <c r="A669" s="4">
        <v>678</v>
      </c>
      <c r="C669" s="8" t="str">
        <f>IF(B669="","",VLOOKUP(B669,经纬!B:C,2,FALSE))</f>
        <v/>
      </c>
      <c r="D669" s="8" t="str">
        <f>IF(B669="","",VLOOKUP(B669,经纬!B:G,6,FALSE))</f>
        <v/>
      </c>
      <c r="F669" s="8" t="str">
        <f>IF(B669="","",VLOOKUP(B669,小圆机汇总表!A:AP,5,FALSE))</f>
        <v/>
      </c>
      <c r="G669" s="8" t="str">
        <f>IF(B669="","",VLOOKUP(B669,小圆机汇总表!A:AP,8,FALSE))</f>
        <v/>
      </c>
      <c r="J669" s="105" t="str">
        <f t="shared" si="42"/>
        <v/>
      </c>
      <c r="K669" s="105" t="str">
        <f t="shared" si="43"/>
        <v/>
      </c>
      <c r="L669" s="104" t="str">
        <f>IF(B669="","",VLOOKUP(B669&amp;F669&amp;H669,经纬!A:M,13,FALSE)*N669)</f>
        <v/>
      </c>
      <c r="M669" s="104" t="str">
        <f>IF(B669="","",VLOOKUP(B669&amp;F669&amp;H669,经纬!A:N,14,FALSE)*N669)</f>
        <v/>
      </c>
      <c r="P669" s="8" t="str">
        <f t="shared" si="45"/>
        <v/>
      </c>
      <c r="R669" s="250" t="str">
        <f t="shared" si="44"/>
        <v/>
      </c>
    </row>
    <row r="670" spans="1:18">
      <c r="A670" s="4">
        <v>679</v>
      </c>
      <c r="C670" s="8" t="str">
        <f>IF(B670="","",VLOOKUP(B670,经纬!B:C,2,FALSE))</f>
        <v/>
      </c>
      <c r="D670" s="8" t="str">
        <f>IF(B670="","",VLOOKUP(B670,经纬!B:G,6,FALSE))</f>
        <v/>
      </c>
      <c r="F670" s="8" t="str">
        <f>IF(B670="","",VLOOKUP(B670,小圆机汇总表!A:AP,5,FALSE))</f>
        <v/>
      </c>
      <c r="G670" s="8" t="str">
        <f>IF(B670="","",VLOOKUP(B670,小圆机汇总表!A:AP,8,FALSE))</f>
        <v/>
      </c>
      <c r="J670" s="105" t="str">
        <f t="shared" si="42"/>
        <v/>
      </c>
      <c r="K670" s="105" t="str">
        <f t="shared" si="43"/>
        <v/>
      </c>
      <c r="L670" s="104" t="str">
        <f>IF(B670="","",VLOOKUP(B670&amp;F670&amp;H670,经纬!A:M,13,FALSE)*N670)</f>
        <v/>
      </c>
      <c r="M670" s="104" t="str">
        <f>IF(B670="","",VLOOKUP(B670&amp;F670&amp;H670,经纬!A:N,14,FALSE)*N670)</f>
        <v/>
      </c>
      <c r="P670" s="8" t="str">
        <f t="shared" si="45"/>
        <v/>
      </c>
      <c r="R670" s="250" t="str">
        <f t="shared" si="44"/>
        <v/>
      </c>
    </row>
    <row r="671" spans="1:18">
      <c r="A671" s="4">
        <v>680</v>
      </c>
      <c r="C671" s="8" t="str">
        <f>IF(B671="","",VLOOKUP(B671,经纬!B:C,2,FALSE))</f>
        <v/>
      </c>
      <c r="D671" s="8" t="str">
        <f>IF(B671="","",VLOOKUP(B671,经纬!B:G,6,FALSE))</f>
        <v/>
      </c>
      <c r="F671" s="8" t="str">
        <f>IF(B671="","",VLOOKUP(B671,小圆机汇总表!A:AP,5,FALSE))</f>
        <v/>
      </c>
      <c r="G671" s="8" t="str">
        <f>IF(B671="","",VLOOKUP(B671,小圆机汇总表!A:AP,8,FALSE))</f>
        <v/>
      </c>
      <c r="J671" s="105" t="str">
        <f t="shared" si="42"/>
        <v/>
      </c>
      <c r="K671" s="105" t="str">
        <f t="shared" si="43"/>
        <v/>
      </c>
      <c r="L671" s="104" t="str">
        <f>IF(B671="","",VLOOKUP(B671&amp;F671&amp;H671,经纬!A:M,13,FALSE)*N671)</f>
        <v/>
      </c>
      <c r="M671" s="104" t="str">
        <f>IF(B671="","",VLOOKUP(B671&amp;F671&amp;H671,经纬!A:N,14,FALSE)*N671)</f>
        <v/>
      </c>
      <c r="P671" s="8" t="str">
        <f t="shared" si="45"/>
        <v/>
      </c>
      <c r="R671" s="250" t="str">
        <f t="shared" si="44"/>
        <v/>
      </c>
    </row>
    <row r="672" spans="1:18">
      <c r="A672" s="4">
        <v>681</v>
      </c>
      <c r="C672" s="8" t="str">
        <f>IF(B672="","",VLOOKUP(B672,经纬!B:C,2,FALSE))</f>
        <v/>
      </c>
      <c r="D672" s="8" t="str">
        <f>IF(B672="","",VLOOKUP(B672,经纬!B:G,6,FALSE))</f>
        <v/>
      </c>
      <c r="F672" s="8" t="str">
        <f>IF(B672="","",VLOOKUP(B672,小圆机汇总表!A:AP,5,FALSE))</f>
        <v/>
      </c>
      <c r="G672" s="8" t="str">
        <f>IF(B672="","",VLOOKUP(B672,小圆机汇总表!A:AP,8,FALSE))</f>
        <v/>
      </c>
      <c r="J672" s="105" t="str">
        <f t="shared" si="42"/>
        <v/>
      </c>
      <c r="K672" s="105" t="str">
        <f t="shared" si="43"/>
        <v/>
      </c>
      <c r="L672" s="104" t="str">
        <f>IF(B672="","",VLOOKUP(B672&amp;F672&amp;H672,经纬!A:M,13,FALSE)*N672)</f>
        <v/>
      </c>
      <c r="M672" s="104" t="str">
        <f>IF(B672="","",VLOOKUP(B672&amp;F672&amp;H672,经纬!A:N,14,FALSE)*N672)</f>
        <v/>
      </c>
      <c r="P672" s="8" t="str">
        <f t="shared" si="45"/>
        <v/>
      </c>
      <c r="R672" s="250" t="str">
        <f t="shared" si="44"/>
        <v/>
      </c>
    </row>
    <row r="673" spans="1:18">
      <c r="A673" s="4">
        <v>682</v>
      </c>
      <c r="C673" s="8" t="str">
        <f>IF(B673="","",VLOOKUP(B673,经纬!B:C,2,FALSE))</f>
        <v/>
      </c>
      <c r="D673" s="8" t="str">
        <f>IF(B673="","",VLOOKUP(B673,经纬!B:G,6,FALSE))</f>
        <v/>
      </c>
      <c r="F673" s="8" t="str">
        <f>IF(B673="","",VLOOKUP(B673,小圆机汇总表!A:AP,5,FALSE))</f>
        <v/>
      </c>
      <c r="G673" s="8" t="str">
        <f>IF(B673="","",VLOOKUP(B673,小圆机汇总表!A:AP,8,FALSE))</f>
        <v/>
      </c>
      <c r="J673" s="105" t="str">
        <f t="shared" si="42"/>
        <v/>
      </c>
      <c r="K673" s="105" t="str">
        <f t="shared" si="43"/>
        <v/>
      </c>
      <c r="L673" s="104" t="str">
        <f>IF(B673="","",VLOOKUP(B673&amp;F673&amp;H673,经纬!A:M,13,FALSE)*N673)</f>
        <v/>
      </c>
      <c r="M673" s="104" t="str">
        <f>IF(B673="","",VLOOKUP(B673&amp;F673&amp;H673,经纬!A:N,14,FALSE)*N673)</f>
        <v/>
      </c>
      <c r="P673" s="8" t="str">
        <f t="shared" si="45"/>
        <v/>
      </c>
      <c r="R673" s="250" t="str">
        <f t="shared" si="44"/>
        <v/>
      </c>
    </row>
    <row r="674" spans="1:18">
      <c r="A674" s="4">
        <v>683</v>
      </c>
      <c r="C674" s="8" t="str">
        <f>IF(B674="","",VLOOKUP(B674,经纬!B:C,2,FALSE))</f>
        <v/>
      </c>
      <c r="D674" s="8" t="str">
        <f>IF(B674="","",VLOOKUP(B674,经纬!B:G,6,FALSE))</f>
        <v/>
      </c>
      <c r="F674" s="8" t="str">
        <f>IF(B674="","",VLOOKUP(B674,小圆机汇总表!A:AP,5,FALSE))</f>
        <v/>
      </c>
      <c r="G674" s="8" t="str">
        <f>IF(B674="","",VLOOKUP(B674,小圆机汇总表!A:AP,8,FALSE))</f>
        <v/>
      </c>
      <c r="J674" s="105" t="str">
        <f t="shared" si="42"/>
        <v/>
      </c>
      <c r="K674" s="105" t="str">
        <f t="shared" si="43"/>
        <v/>
      </c>
      <c r="L674" s="104" t="str">
        <f>IF(B674="","",VLOOKUP(B674&amp;F674&amp;H674,经纬!A:M,13,FALSE)*N674)</f>
        <v/>
      </c>
      <c r="M674" s="104" t="str">
        <f>IF(B674="","",VLOOKUP(B674&amp;F674&amp;H674,经纬!A:N,14,FALSE)*N674)</f>
        <v/>
      </c>
      <c r="P674" s="8" t="str">
        <f t="shared" si="45"/>
        <v/>
      </c>
      <c r="R674" s="250" t="str">
        <f t="shared" si="44"/>
        <v/>
      </c>
    </row>
    <row r="675" spans="1:18">
      <c r="A675" s="4">
        <v>684</v>
      </c>
      <c r="C675" s="8" t="str">
        <f>IF(B675="","",VLOOKUP(B675,经纬!B:C,2,FALSE))</f>
        <v/>
      </c>
      <c r="D675" s="8" t="str">
        <f>IF(B675="","",VLOOKUP(B675,经纬!B:G,6,FALSE))</f>
        <v/>
      </c>
      <c r="F675" s="8" t="str">
        <f>IF(B675="","",VLOOKUP(B675,小圆机汇总表!A:AP,5,FALSE))</f>
        <v/>
      </c>
      <c r="G675" s="8" t="str">
        <f>IF(B675="","",VLOOKUP(B675,小圆机汇总表!A:AP,8,FALSE))</f>
        <v/>
      </c>
      <c r="J675" s="105" t="str">
        <f t="shared" si="42"/>
        <v/>
      </c>
      <c r="K675" s="105" t="str">
        <f t="shared" si="43"/>
        <v/>
      </c>
      <c r="L675" s="104" t="str">
        <f>IF(B675="","",VLOOKUP(B675&amp;F675&amp;H675,经纬!A:M,13,FALSE)*N675)</f>
        <v/>
      </c>
      <c r="M675" s="104" t="str">
        <f>IF(B675="","",VLOOKUP(B675&amp;F675&amp;H675,经纬!A:N,14,FALSE)*N675)</f>
        <v/>
      </c>
      <c r="P675" s="8" t="str">
        <f t="shared" si="45"/>
        <v/>
      </c>
      <c r="R675" s="250" t="str">
        <f t="shared" si="44"/>
        <v/>
      </c>
    </row>
    <row r="676" spans="1:18">
      <c r="A676" s="4">
        <v>685</v>
      </c>
      <c r="C676" s="8" t="str">
        <f>IF(B676="","",VLOOKUP(B676,经纬!B:C,2,FALSE))</f>
        <v/>
      </c>
      <c r="D676" s="8" t="str">
        <f>IF(B676="","",VLOOKUP(B676,经纬!B:G,6,FALSE))</f>
        <v/>
      </c>
      <c r="F676" s="8" t="str">
        <f>IF(B676="","",VLOOKUP(B676,小圆机汇总表!A:AP,5,FALSE))</f>
        <v/>
      </c>
      <c r="G676" s="8" t="str">
        <f>IF(B676="","",VLOOKUP(B676,小圆机汇总表!A:AP,8,FALSE))</f>
        <v/>
      </c>
      <c r="J676" s="105" t="str">
        <f t="shared" si="42"/>
        <v/>
      </c>
      <c r="K676" s="105" t="str">
        <f t="shared" si="43"/>
        <v/>
      </c>
      <c r="L676" s="104" t="str">
        <f>IF(B676="","",VLOOKUP(B676&amp;F676&amp;H676,经纬!A:M,13,FALSE)*N676)</f>
        <v/>
      </c>
      <c r="M676" s="104" t="str">
        <f>IF(B676="","",VLOOKUP(B676&amp;F676&amp;H676,经纬!A:N,14,FALSE)*N676)</f>
        <v/>
      </c>
      <c r="P676" s="8" t="str">
        <f t="shared" si="45"/>
        <v/>
      </c>
      <c r="R676" s="250" t="str">
        <f t="shared" si="44"/>
        <v/>
      </c>
    </row>
    <row r="677" spans="1:18">
      <c r="A677" s="4">
        <v>686</v>
      </c>
      <c r="C677" s="8" t="str">
        <f>IF(B677="","",VLOOKUP(B677,经纬!B:C,2,FALSE))</f>
        <v/>
      </c>
      <c r="D677" s="8" t="str">
        <f>IF(B677="","",VLOOKUP(B677,经纬!B:G,6,FALSE))</f>
        <v/>
      </c>
      <c r="F677" s="8" t="str">
        <f>IF(B677="","",VLOOKUP(B677,小圆机汇总表!A:AP,5,FALSE))</f>
        <v/>
      </c>
      <c r="G677" s="8" t="str">
        <f>IF(B677="","",VLOOKUP(B677,小圆机汇总表!A:AP,8,FALSE))</f>
        <v/>
      </c>
      <c r="J677" s="105" t="str">
        <f t="shared" si="42"/>
        <v/>
      </c>
      <c r="K677" s="105" t="str">
        <f t="shared" si="43"/>
        <v/>
      </c>
      <c r="L677" s="104" t="str">
        <f>IF(B677="","",VLOOKUP(B677&amp;F677&amp;H677,经纬!A:M,13,FALSE)*N677)</f>
        <v/>
      </c>
      <c r="M677" s="104" t="str">
        <f>IF(B677="","",VLOOKUP(B677&amp;F677&amp;H677,经纬!A:N,14,FALSE)*N677)</f>
        <v/>
      </c>
      <c r="P677" s="8" t="str">
        <f t="shared" si="45"/>
        <v/>
      </c>
      <c r="R677" s="250" t="str">
        <f t="shared" si="44"/>
        <v/>
      </c>
    </row>
    <row r="678" spans="1:18">
      <c r="A678" s="4">
        <v>687</v>
      </c>
      <c r="C678" s="8" t="str">
        <f>IF(B678="","",VLOOKUP(B678,经纬!B:C,2,FALSE))</f>
        <v/>
      </c>
      <c r="D678" s="8" t="str">
        <f>IF(B678="","",VLOOKUP(B678,经纬!B:G,6,FALSE))</f>
        <v/>
      </c>
      <c r="F678" s="8" t="str">
        <f>IF(B678="","",VLOOKUP(B678,小圆机汇总表!A:AP,5,FALSE))</f>
        <v/>
      </c>
      <c r="G678" s="8" t="str">
        <f>IF(B678="","",VLOOKUP(B678,小圆机汇总表!A:AP,8,FALSE))</f>
        <v/>
      </c>
      <c r="J678" s="105" t="str">
        <f t="shared" si="42"/>
        <v/>
      </c>
      <c r="K678" s="105" t="str">
        <f t="shared" si="43"/>
        <v/>
      </c>
      <c r="L678" s="104" t="str">
        <f>IF(B678="","",VLOOKUP(B678&amp;F678&amp;H678,经纬!A:M,13,FALSE)*N678)</f>
        <v/>
      </c>
      <c r="M678" s="104" t="str">
        <f>IF(B678="","",VLOOKUP(B678&amp;F678&amp;H678,经纬!A:N,14,FALSE)*N678)</f>
        <v/>
      </c>
      <c r="P678" s="8" t="str">
        <f t="shared" si="45"/>
        <v/>
      </c>
      <c r="R678" s="250" t="str">
        <f t="shared" si="44"/>
        <v/>
      </c>
    </row>
    <row r="679" spans="1:18">
      <c r="A679" s="4">
        <v>688</v>
      </c>
      <c r="C679" s="8" t="str">
        <f>IF(B679="","",VLOOKUP(B679,经纬!B:C,2,FALSE))</f>
        <v/>
      </c>
      <c r="D679" s="8" t="str">
        <f>IF(B679="","",VLOOKUP(B679,经纬!B:G,6,FALSE))</f>
        <v/>
      </c>
      <c r="F679" s="8" t="str">
        <f>IF(B679="","",VLOOKUP(B679,小圆机汇总表!A:AP,5,FALSE))</f>
        <v/>
      </c>
      <c r="G679" s="8" t="str">
        <f>IF(B679="","",VLOOKUP(B679,小圆机汇总表!A:AP,8,FALSE))</f>
        <v/>
      </c>
      <c r="J679" s="105" t="str">
        <f t="shared" si="42"/>
        <v/>
      </c>
      <c r="K679" s="105" t="str">
        <f t="shared" si="43"/>
        <v/>
      </c>
      <c r="L679" s="104" t="str">
        <f>IF(B679="","",VLOOKUP(B679&amp;F679&amp;H679,经纬!A:M,13,FALSE)*N679)</f>
        <v/>
      </c>
      <c r="M679" s="104" t="str">
        <f>IF(B679="","",VLOOKUP(B679&amp;F679&amp;H679,经纬!A:N,14,FALSE)*N679)</f>
        <v/>
      </c>
      <c r="P679" s="8" t="str">
        <f t="shared" si="45"/>
        <v/>
      </c>
      <c r="R679" s="250" t="str">
        <f t="shared" si="44"/>
        <v/>
      </c>
    </row>
    <row r="680" spans="1:18">
      <c r="A680" s="4">
        <v>689</v>
      </c>
      <c r="C680" s="8" t="str">
        <f>IF(B680="","",VLOOKUP(B680,经纬!B:C,2,FALSE))</f>
        <v/>
      </c>
      <c r="D680" s="8" t="str">
        <f>IF(B680="","",VLOOKUP(B680,经纬!B:G,6,FALSE))</f>
        <v/>
      </c>
      <c r="F680" s="8" t="str">
        <f>IF(B680="","",VLOOKUP(B680,小圆机汇总表!A:AP,5,FALSE))</f>
        <v/>
      </c>
      <c r="G680" s="8" t="str">
        <f>IF(B680="","",VLOOKUP(B680,小圆机汇总表!A:AP,8,FALSE))</f>
        <v/>
      </c>
      <c r="J680" s="105" t="str">
        <f t="shared" si="42"/>
        <v/>
      </c>
      <c r="K680" s="105" t="str">
        <f t="shared" si="43"/>
        <v/>
      </c>
      <c r="L680" s="104" t="str">
        <f>IF(B680="","",VLOOKUP(B680&amp;F680&amp;H680,经纬!A:M,13,FALSE)*N680)</f>
        <v/>
      </c>
      <c r="M680" s="104" t="str">
        <f>IF(B680="","",VLOOKUP(B680&amp;F680&amp;H680,经纬!A:N,14,FALSE)*N680)</f>
        <v/>
      </c>
      <c r="P680" s="8" t="str">
        <f t="shared" si="45"/>
        <v/>
      </c>
      <c r="R680" s="250" t="str">
        <f t="shared" si="44"/>
        <v/>
      </c>
    </row>
    <row r="681" spans="1:18">
      <c r="A681" s="4">
        <v>690</v>
      </c>
      <c r="C681" s="8" t="str">
        <f>IF(B681="","",VLOOKUP(B681,经纬!B:C,2,FALSE))</f>
        <v/>
      </c>
      <c r="D681" s="8" t="str">
        <f>IF(B681="","",VLOOKUP(B681,经纬!B:G,6,FALSE))</f>
        <v/>
      </c>
      <c r="F681" s="8" t="str">
        <f>IF(B681="","",VLOOKUP(B681,小圆机汇总表!A:AP,5,FALSE))</f>
        <v/>
      </c>
      <c r="G681" s="8" t="str">
        <f>IF(B681="","",VLOOKUP(B681,小圆机汇总表!A:AP,8,FALSE))</f>
        <v/>
      </c>
      <c r="J681" s="105" t="str">
        <f t="shared" si="42"/>
        <v/>
      </c>
      <c r="K681" s="105" t="str">
        <f t="shared" si="43"/>
        <v/>
      </c>
      <c r="L681" s="104" t="str">
        <f>IF(B681="","",VLOOKUP(B681&amp;F681&amp;H681,经纬!A:M,13,FALSE)*N681)</f>
        <v/>
      </c>
      <c r="M681" s="104" t="str">
        <f>IF(B681="","",VLOOKUP(B681&amp;F681&amp;H681,经纬!A:N,14,FALSE)*N681)</f>
        <v/>
      </c>
      <c r="P681" s="8" t="str">
        <f t="shared" si="45"/>
        <v/>
      </c>
      <c r="R681" s="250" t="str">
        <f t="shared" si="44"/>
        <v/>
      </c>
    </row>
    <row r="682" spans="1:18">
      <c r="A682" s="4">
        <v>691</v>
      </c>
      <c r="C682" s="8" t="str">
        <f>IF(B682="","",VLOOKUP(B682,经纬!B:C,2,FALSE))</f>
        <v/>
      </c>
      <c r="D682" s="8" t="str">
        <f>IF(B682="","",VLOOKUP(B682,经纬!B:G,6,FALSE))</f>
        <v/>
      </c>
      <c r="F682" s="8" t="str">
        <f>IF(B682="","",VLOOKUP(B682,小圆机汇总表!A:AP,5,FALSE))</f>
        <v/>
      </c>
      <c r="G682" s="8" t="str">
        <f>IF(B682="","",VLOOKUP(B682,小圆机汇总表!A:AP,8,FALSE))</f>
        <v/>
      </c>
      <c r="J682" s="105" t="str">
        <f t="shared" si="42"/>
        <v/>
      </c>
      <c r="K682" s="105" t="str">
        <f t="shared" si="43"/>
        <v/>
      </c>
      <c r="L682" s="104" t="str">
        <f>IF(B682="","",VLOOKUP(B682&amp;F682&amp;H682,经纬!A:M,13,FALSE)*N682)</f>
        <v/>
      </c>
      <c r="M682" s="104" t="str">
        <f>IF(B682="","",VLOOKUP(B682&amp;F682&amp;H682,经纬!A:N,14,FALSE)*N682)</f>
        <v/>
      </c>
      <c r="P682" s="8" t="str">
        <f t="shared" si="45"/>
        <v/>
      </c>
      <c r="R682" s="250" t="str">
        <f t="shared" si="44"/>
        <v/>
      </c>
    </row>
    <row r="683" spans="1:18">
      <c r="A683" s="4">
        <v>692</v>
      </c>
      <c r="C683" s="8" t="str">
        <f>IF(B683="","",VLOOKUP(B683,经纬!B:C,2,FALSE))</f>
        <v/>
      </c>
      <c r="D683" s="8" t="str">
        <f>IF(B683="","",VLOOKUP(B683,经纬!B:G,6,FALSE))</f>
        <v/>
      </c>
      <c r="F683" s="8" t="str">
        <f>IF(B683="","",VLOOKUP(B683,小圆机汇总表!A:AP,5,FALSE))</f>
        <v/>
      </c>
      <c r="G683" s="8" t="str">
        <f>IF(B683="","",VLOOKUP(B683,小圆机汇总表!A:AP,8,FALSE))</f>
        <v/>
      </c>
      <c r="J683" s="105" t="str">
        <f t="shared" si="42"/>
        <v/>
      </c>
      <c r="K683" s="105" t="str">
        <f t="shared" si="43"/>
        <v/>
      </c>
      <c r="L683" s="104" t="str">
        <f>IF(B683="","",VLOOKUP(B683&amp;F683&amp;H683,经纬!A:M,13,FALSE)*N683)</f>
        <v/>
      </c>
      <c r="M683" s="104" t="str">
        <f>IF(B683="","",VLOOKUP(B683&amp;F683&amp;H683,经纬!A:N,14,FALSE)*N683)</f>
        <v/>
      </c>
      <c r="P683" s="8" t="str">
        <f t="shared" si="45"/>
        <v/>
      </c>
      <c r="R683" s="250" t="str">
        <f t="shared" si="44"/>
        <v/>
      </c>
    </row>
    <row r="684" spans="1:18">
      <c r="A684" s="4">
        <v>693</v>
      </c>
      <c r="C684" s="8" t="str">
        <f>IF(B684="","",VLOOKUP(B684,经纬!B:C,2,FALSE))</f>
        <v/>
      </c>
      <c r="D684" s="8" t="str">
        <f>IF(B684="","",VLOOKUP(B684,经纬!B:G,6,FALSE))</f>
        <v/>
      </c>
      <c r="F684" s="8" t="str">
        <f>IF(B684="","",VLOOKUP(B684,小圆机汇总表!A:AP,5,FALSE))</f>
        <v/>
      </c>
      <c r="G684" s="8" t="str">
        <f>IF(B684="","",VLOOKUP(B684,小圆机汇总表!A:AP,8,FALSE))</f>
        <v/>
      </c>
      <c r="J684" s="105" t="str">
        <f t="shared" si="42"/>
        <v/>
      </c>
      <c r="K684" s="105" t="str">
        <f t="shared" si="43"/>
        <v/>
      </c>
      <c r="L684" s="104" t="str">
        <f>IF(B684="","",VLOOKUP(B684&amp;F684&amp;H684,经纬!A:M,13,FALSE)*N684)</f>
        <v/>
      </c>
      <c r="M684" s="104" t="str">
        <f>IF(B684="","",VLOOKUP(B684&amp;F684&amp;H684,经纬!A:N,14,FALSE)*N684)</f>
        <v/>
      </c>
      <c r="P684" s="8" t="str">
        <f t="shared" si="45"/>
        <v/>
      </c>
      <c r="R684" s="250" t="str">
        <f t="shared" si="44"/>
        <v/>
      </c>
    </row>
    <row r="685" spans="1:18">
      <c r="A685" s="4">
        <v>694</v>
      </c>
      <c r="C685" s="8" t="str">
        <f>IF(B685="","",VLOOKUP(B685,经纬!B:C,2,FALSE))</f>
        <v/>
      </c>
      <c r="D685" s="8" t="str">
        <f>IF(B685="","",VLOOKUP(B685,经纬!B:G,6,FALSE))</f>
        <v/>
      </c>
      <c r="F685" s="8" t="str">
        <f>IF(B685="","",VLOOKUP(B685,小圆机汇总表!A:AP,5,FALSE))</f>
        <v/>
      </c>
      <c r="G685" s="8" t="str">
        <f>IF(B685="","",VLOOKUP(B685,小圆机汇总表!A:AP,8,FALSE))</f>
        <v/>
      </c>
      <c r="J685" s="105" t="str">
        <f t="shared" si="42"/>
        <v/>
      </c>
      <c r="K685" s="105" t="str">
        <f t="shared" si="43"/>
        <v/>
      </c>
      <c r="L685" s="104" t="str">
        <f>IF(B685="","",VLOOKUP(B685&amp;F685&amp;H685,经纬!A:M,13,FALSE)*N685)</f>
        <v/>
      </c>
      <c r="M685" s="104" t="str">
        <f>IF(B685="","",VLOOKUP(B685&amp;F685&amp;H685,经纬!A:N,14,FALSE)*N685)</f>
        <v/>
      </c>
      <c r="P685" s="8" t="str">
        <f t="shared" si="45"/>
        <v/>
      </c>
      <c r="R685" s="250" t="str">
        <f t="shared" si="44"/>
        <v/>
      </c>
    </row>
    <row r="686" spans="1:18">
      <c r="A686" s="4">
        <v>695</v>
      </c>
      <c r="C686" s="8" t="str">
        <f>IF(B686="","",VLOOKUP(B686,经纬!B:C,2,FALSE))</f>
        <v/>
      </c>
      <c r="D686" s="8" t="str">
        <f>IF(B686="","",VLOOKUP(B686,经纬!B:G,6,FALSE))</f>
        <v/>
      </c>
      <c r="F686" s="8" t="str">
        <f>IF(B686="","",VLOOKUP(B686,小圆机汇总表!A:AP,5,FALSE))</f>
        <v/>
      </c>
      <c r="G686" s="8" t="str">
        <f>IF(B686="","",VLOOKUP(B686,小圆机汇总表!A:AP,8,FALSE))</f>
        <v/>
      </c>
      <c r="J686" s="105" t="str">
        <f t="shared" si="42"/>
        <v/>
      </c>
      <c r="K686" s="105" t="str">
        <f t="shared" si="43"/>
        <v/>
      </c>
      <c r="L686" s="104" t="str">
        <f>IF(B686="","",VLOOKUP(B686&amp;F686&amp;H686,经纬!A:M,13,FALSE)*N686)</f>
        <v/>
      </c>
      <c r="M686" s="104" t="str">
        <f>IF(B686="","",VLOOKUP(B686&amp;F686&amp;H686,经纬!A:N,14,FALSE)*N686)</f>
        <v/>
      </c>
      <c r="P686" s="8" t="str">
        <f t="shared" si="45"/>
        <v/>
      </c>
      <c r="R686" s="250" t="str">
        <f t="shared" si="44"/>
        <v/>
      </c>
    </row>
    <row r="687" spans="1:18">
      <c r="A687" s="4">
        <v>696</v>
      </c>
      <c r="C687" s="8" t="str">
        <f>IF(B687="","",VLOOKUP(B687,经纬!B:C,2,FALSE))</f>
        <v/>
      </c>
      <c r="D687" s="8" t="str">
        <f>IF(B687="","",VLOOKUP(B687,经纬!B:G,6,FALSE))</f>
        <v/>
      </c>
      <c r="F687" s="8" t="str">
        <f>IF(B687="","",VLOOKUP(B687,小圆机汇总表!A:AP,5,FALSE))</f>
        <v/>
      </c>
      <c r="G687" s="8" t="str">
        <f>IF(B687="","",VLOOKUP(B687,小圆机汇总表!A:AP,8,FALSE))</f>
        <v/>
      </c>
      <c r="J687" s="105" t="str">
        <f t="shared" si="42"/>
        <v/>
      </c>
      <c r="K687" s="105" t="str">
        <f t="shared" si="43"/>
        <v/>
      </c>
      <c r="L687" s="104" t="str">
        <f>IF(B687="","",VLOOKUP(B687&amp;F687&amp;H687,经纬!A:M,13,FALSE)*N687)</f>
        <v/>
      </c>
      <c r="M687" s="104" t="str">
        <f>IF(B687="","",VLOOKUP(B687&amp;F687&amp;H687,经纬!A:N,14,FALSE)*N687)</f>
        <v/>
      </c>
      <c r="P687" s="8" t="str">
        <f t="shared" si="45"/>
        <v/>
      </c>
      <c r="R687" s="250" t="str">
        <f t="shared" si="44"/>
        <v/>
      </c>
    </row>
    <row r="688" spans="1:18">
      <c r="A688" s="4">
        <v>697</v>
      </c>
      <c r="C688" s="8" t="str">
        <f>IF(B688="","",VLOOKUP(B688,经纬!B:C,2,FALSE))</f>
        <v/>
      </c>
      <c r="D688" s="8" t="str">
        <f>IF(B688="","",VLOOKUP(B688,经纬!B:G,6,FALSE))</f>
        <v/>
      </c>
      <c r="F688" s="8" t="str">
        <f>IF(B688="","",VLOOKUP(B688,小圆机汇总表!A:AP,5,FALSE))</f>
        <v/>
      </c>
      <c r="G688" s="8" t="str">
        <f>IF(B688="","",VLOOKUP(B688,小圆机汇总表!A:AP,8,FALSE))</f>
        <v/>
      </c>
      <c r="J688" s="105" t="str">
        <f t="shared" si="42"/>
        <v/>
      </c>
      <c r="K688" s="105" t="str">
        <f t="shared" si="43"/>
        <v/>
      </c>
      <c r="L688" s="104" t="str">
        <f>IF(B688="","",VLOOKUP(B688&amp;F688&amp;H688,经纬!A:M,13,FALSE)*N688)</f>
        <v/>
      </c>
      <c r="M688" s="104" t="str">
        <f>IF(B688="","",VLOOKUP(B688&amp;F688&amp;H688,经纬!A:N,14,FALSE)*N688)</f>
        <v/>
      </c>
      <c r="P688" s="8" t="str">
        <f t="shared" si="45"/>
        <v/>
      </c>
      <c r="R688" s="250" t="str">
        <f t="shared" si="44"/>
        <v/>
      </c>
    </row>
    <row r="689" spans="1:18">
      <c r="A689" s="4">
        <v>698</v>
      </c>
      <c r="C689" s="8" t="str">
        <f>IF(B689="","",VLOOKUP(B689,经纬!B:C,2,FALSE))</f>
        <v/>
      </c>
      <c r="D689" s="8" t="str">
        <f>IF(B689="","",VLOOKUP(B689,经纬!B:G,6,FALSE))</f>
        <v/>
      </c>
      <c r="F689" s="8" t="str">
        <f>IF(B689="","",VLOOKUP(B689,小圆机汇总表!A:AP,5,FALSE))</f>
        <v/>
      </c>
      <c r="G689" s="8" t="str">
        <f>IF(B689="","",VLOOKUP(B689,小圆机汇总表!A:AP,8,FALSE))</f>
        <v/>
      </c>
      <c r="J689" s="105" t="str">
        <f t="shared" si="42"/>
        <v/>
      </c>
      <c r="K689" s="105" t="str">
        <f t="shared" si="43"/>
        <v/>
      </c>
      <c r="L689" s="104" t="str">
        <f>IF(B689="","",VLOOKUP(B689&amp;F689&amp;H689,经纬!A:M,13,FALSE)*N689)</f>
        <v/>
      </c>
      <c r="M689" s="104" t="str">
        <f>IF(B689="","",VLOOKUP(B689&amp;F689&amp;H689,经纬!A:N,14,FALSE)*N689)</f>
        <v/>
      </c>
      <c r="P689" s="8" t="str">
        <f t="shared" si="45"/>
        <v/>
      </c>
      <c r="R689" s="250" t="str">
        <f t="shared" si="44"/>
        <v/>
      </c>
    </row>
    <row r="690" spans="1:18">
      <c r="A690" s="4">
        <v>699</v>
      </c>
      <c r="C690" s="8" t="str">
        <f>IF(B690="","",VLOOKUP(B690,经纬!B:C,2,FALSE))</f>
        <v/>
      </c>
      <c r="D690" s="8" t="str">
        <f>IF(B690="","",VLOOKUP(B690,经纬!B:G,6,FALSE))</f>
        <v/>
      </c>
      <c r="F690" s="8" t="str">
        <f>IF(B690="","",VLOOKUP(B690,小圆机汇总表!A:AP,5,FALSE))</f>
        <v/>
      </c>
      <c r="G690" s="8" t="str">
        <f>IF(B690="","",VLOOKUP(B690,小圆机汇总表!A:AP,8,FALSE))</f>
        <v/>
      </c>
      <c r="J690" s="105" t="str">
        <f t="shared" si="42"/>
        <v/>
      </c>
      <c r="K690" s="105" t="str">
        <f t="shared" si="43"/>
        <v/>
      </c>
      <c r="L690" s="104" t="str">
        <f>IF(B690="","",VLOOKUP(B690&amp;F690&amp;H690,经纬!A:M,13,FALSE)*N690)</f>
        <v/>
      </c>
      <c r="M690" s="104" t="str">
        <f>IF(B690="","",VLOOKUP(B690&amp;F690&amp;H690,经纬!A:N,14,FALSE)*N690)</f>
        <v/>
      </c>
      <c r="P690" s="8" t="str">
        <f t="shared" si="45"/>
        <v/>
      </c>
      <c r="R690" s="250" t="str">
        <f t="shared" si="44"/>
        <v/>
      </c>
    </row>
    <row r="691" spans="1:18">
      <c r="A691" s="4">
        <v>700</v>
      </c>
      <c r="C691" s="8" t="str">
        <f>IF(B691="","",VLOOKUP(B691,经纬!B:C,2,FALSE))</f>
        <v/>
      </c>
      <c r="D691" s="8" t="str">
        <f>IF(B691="","",VLOOKUP(B691,经纬!B:G,6,FALSE))</f>
        <v/>
      </c>
      <c r="F691" s="8" t="str">
        <f>IF(B691="","",VLOOKUP(B691,小圆机汇总表!A:AP,5,FALSE))</f>
        <v/>
      </c>
      <c r="G691" s="8" t="str">
        <f>IF(B691="","",VLOOKUP(B691,小圆机汇总表!A:AP,8,FALSE))</f>
        <v/>
      </c>
      <c r="J691" s="105" t="str">
        <f t="shared" si="42"/>
        <v/>
      </c>
      <c r="K691" s="105" t="str">
        <f t="shared" si="43"/>
        <v/>
      </c>
      <c r="L691" s="104" t="str">
        <f>IF(B691="","",VLOOKUP(B691&amp;F691&amp;H691,经纬!A:M,13,FALSE)*N691)</f>
        <v/>
      </c>
      <c r="M691" s="104" t="str">
        <f>IF(B691="","",VLOOKUP(B691&amp;F691&amp;H691,经纬!A:N,14,FALSE)*N691)</f>
        <v/>
      </c>
      <c r="P691" s="8" t="str">
        <f t="shared" si="45"/>
        <v/>
      </c>
      <c r="R691" s="250" t="str">
        <f t="shared" si="44"/>
        <v/>
      </c>
    </row>
    <row r="692" spans="1:18">
      <c r="A692" s="4">
        <v>701</v>
      </c>
      <c r="C692" s="8" t="str">
        <f>IF(B692="","",VLOOKUP(B692,经纬!B:C,2,FALSE))</f>
        <v/>
      </c>
      <c r="D692" s="8" t="str">
        <f>IF(B692="","",VLOOKUP(B692,经纬!B:G,6,FALSE))</f>
        <v/>
      </c>
      <c r="F692" s="8" t="str">
        <f>IF(B692="","",VLOOKUP(B692,小圆机汇总表!A:AP,5,FALSE))</f>
        <v/>
      </c>
      <c r="G692" s="8" t="str">
        <f>IF(B692="","",VLOOKUP(B692,小圆机汇总表!A:AP,8,FALSE))</f>
        <v/>
      </c>
      <c r="J692" s="105" t="str">
        <f t="shared" si="42"/>
        <v/>
      </c>
      <c r="K692" s="105" t="str">
        <f t="shared" si="43"/>
        <v/>
      </c>
      <c r="L692" s="104" t="str">
        <f>IF(B692="","",VLOOKUP(B692&amp;F692&amp;H692,经纬!A:M,13,FALSE)*N692)</f>
        <v/>
      </c>
      <c r="M692" s="104" t="str">
        <f>IF(B692="","",VLOOKUP(B692&amp;F692&amp;H692,经纬!A:N,14,FALSE)*N692)</f>
        <v/>
      </c>
      <c r="P692" s="8" t="str">
        <f t="shared" si="45"/>
        <v/>
      </c>
      <c r="R692" s="250" t="str">
        <f t="shared" si="44"/>
        <v/>
      </c>
    </row>
    <row r="693" spans="1:18">
      <c r="A693" s="4">
        <v>702</v>
      </c>
      <c r="C693" s="8" t="str">
        <f>IF(B693="","",VLOOKUP(B693,经纬!B:C,2,FALSE))</f>
        <v/>
      </c>
      <c r="D693" s="8" t="str">
        <f>IF(B693="","",VLOOKUP(B693,经纬!B:G,6,FALSE))</f>
        <v/>
      </c>
      <c r="F693" s="8" t="str">
        <f>IF(B693="","",VLOOKUP(B693,小圆机汇总表!A:AP,5,FALSE))</f>
        <v/>
      </c>
      <c r="G693" s="8" t="str">
        <f>IF(B693="","",VLOOKUP(B693,小圆机汇总表!A:AP,8,FALSE))</f>
        <v/>
      </c>
      <c r="J693" s="105" t="str">
        <f t="shared" si="42"/>
        <v/>
      </c>
      <c r="K693" s="105" t="str">
        <f t="shared" si="43"/>
        <v/>
      </c>
      <c r="L693" s="104" t="str">
        <f>IF(B693="","",VLOOKUP(B693&amp;F693&amp;H693,经纬!A:M,13,FALSE)*N693)</f>
        <v/>
      </c>
      <c r="M693" s="104" t="str">
        <f>IF(B693="","",VLOOKUP(B693&amp;F693&amp;H693,经纬!A:N,14,FALSE)*N693)</f>
        <v/>
      </c>
      <c r="P693" s="8" t="str">
        <f t="shared" si="45"/>
        <v/>
      </c>
      <c r="R693" s="250" t="str">
        <f t="shared" si="44"/>
        <v/>
      </c>
    </row>
    <row r="694" spans="1:18">
      <c r="A694" s="4">
        <v>703</v>
      </c>
      <c r="C694" s="8" t="str">
        <f>IF(B694="","",VLOOKUP(B694,经纬!B:C,2,FALSE))</f>
        <v/>
      </c>
      <c r="D694" s="8" t="str">
        <f>IF(B694="","",VLOOKUP(B694,经纬!B:G,6,FALSE))</f>
        <v/>
      </c>
      <c r="F694" s="8" t="str">
        <f>IF(B694="","",VLOOKUP(B694,小圆机汇总表!A:AP,5,FALSE))</f>
        <v/>
      </c>
      <c r="G694" s="8" t="str">
        <f>IF(B694="","",VLOOKUP(B694,小圆机汇总表!A:AP,8,FALSE))</f>
        <v/>
      </c>
      <c r="J694" s="105" t="str">
        <f t="shared" si="42"/>
        <v/>
      </c>
      <c r="K694" s="105" t="str">
        <f t="shared" si="43"/>
        <v/>
      </c>
      <c r="L694" s="104" t="str">
        <f>IF(B694="","",VLOOKUP(B694&amp;F694&amp;H694,经纬!A:M,13,FALSE)*N694)</f>
        <v/>
      </c>
      <c r="M694" s="104" t="str">
        <f>IF(B694="","",VLOOKUP(B694&amp;F694&amp;H694,经纬!A:N,14,FALSE)*N694)</f>
        <v/>
      </c>
      <c r="P694" s="8" t="str">
        <f t="shared" si="45"/>
        <v/>
      </c>
      <c r="R694" s="250" t="str">
        <f t="shared" si="44"/>
        <v/>
      </c>
    </row>
    <row r="695" spans="1:18">
      <c r="A695" s="4">
        <v>704</v>
      </c>
      <c r="C695" s="8" t="str">
        <f>IF(B695="","",VLOOKUP(B695,经纬!B:C,2,FALSE))</f>
        <v/>
      </c>
      <c r="D695" s="8" t="str">
        <f>IF(B695="","",VLOOKUP(B695,经纬!B:G,6,FALSE))</f>
        <v/>
      </c>
      <c r="F695" s="8" t="str">
        <f>IF(B695="","",VLOOKUP(B695,小圆机汇总表!A:AP,5,FALSE))</f>
        <v/>
      </c>
      <c r="G695" s="8" t="str">
        <f>IF(B695="","",VLOOKUP(B695,小圆机汇总表!A:AP,8,FALSE))</f>
        <v/>
      </c>
      <c r="J695" s="105" t="str">
        <f t="shared" si="42"/>
        <v/>
      </c>
      <c r="K695" s="105" t="str">
        <f t="shared" si="43"/>
        <v/>
      </c>
      <c r="L695" s="104" t="str">
        <f>IF(B695="","",VLOOKUP(B695&amp;F695&amp;H695,经纬!A:M,13,FALSE)*N695)</f>
        <v/>
      </c>
      <c r="M695" s="104" t="str">
        <f>IF(B695="","",VLOOKUP(B695&amp;F695&amp;H695,经纬!A:N,14,FALSE)*N695)</f>
        <v/>
      </c>
      <c r="P695" s="8" t="str">
        <f t="shared" si="45"/>
        <v/>
      </c>
      <c r="R695" s="250" t="str">
        <f t="shared" si="44"/>
        <v/>
      </c>
    </row>
    <row r="696" spans="1:18">
      <c r="A696" s="4">
        <v>705</v>
      </c>
      <c r="C696" s="8" t="str">
        <f>IF(B696="","",VLOOKUP(B696,经纬!B:C,2,FALSE))</f>
        <v/>
      </c>
      <c r="D696" s="8" t="str">
        <f>IF(B696="","",VLOOKUP(B696,经纬!B:G,6,FALSE))</f>
        <v/>
      </c>
      <c r="F696" s="8" t="str">
        <f>IF(B696="","",VLOOKUP(B696,小圆机汇总表!A:AP,5,FALSE))</f>
        <v/>
      </c>
      <c r="G696" s="8" t="str">
        <f>IF(B696="","",VLOOKUP(B696,小圆机汇总表!A:AP,8,FALSE))</f>
        <v/>
      </c>
      <c r="J696" s="105" t="str">
        <f t="shared" si="42"/>
        <v/>
      </c>
      <c r="K696" s="105" t="str">
        <f t="shared" si="43"/>
        <v/>
      </c>
      <c r="L696" s="104" t="str">
        <f>IF(B696="","",VLOOKUP(B696&amp;F696&amp;H696,经纬!A:M,13,FALSE)*N696)</f>
        <v/>
      </c>
      <c r="M696" s="104" t="str">
        <f>IF(B696="","",VLOOKUP(B696&amp;F696&amp;H696,经纬!A:N,14,FALSE)*N696)</f>
        <v/>
      </c>
      <c r="P696" s="8" t="str">
        <f t="shared" si="45"/>
        <v/>
      </c>
      <c r="R696" s="250" t="str">
        <f t="shared" si="44"/>
        <v/>
      </c>
    </row>
    <row r="697" spans="1:18">
      <c r="A697" s="4">
        <v>706</v>
      </c>
      <c r="C697" s="8" t="str">
        <f>IF(B697="","",VLOOKUP(B697,经纬!B:C,2,FALSE))</f>
        <v/>
      </c>
      <c r="D697" s="8" t="str">
        <f>IF(B697="","",VLOOKUP(B697,经纬!B:G,6,FALSE))</f>
        <v/>
      </c>
      <c r="F697" s="8" t="str">
        <f>IF(B697="","",VLOOKUP(B697,小圆机汇总表!A:AP,5,FALSE))</f>
        <v/>
      </c>
      <c r="G697" s="8" t="str">
        <f>IF(B697="","",VLOOKUP(B697,小圆机汇总表!A:AP,8,FALSE))</f>
        <v/>
      </c>
      <c r="J697" s="105" t="str">
        <f t="shared" si="42"/>
        <v/>
      </c>
      <c r="K697" s="105" t="str">
        <f t="shared" si="43"/>
        <v/>
      </c>
      <c r="L697" s="104" t="str">
        <f>IF(B697="","",VLOOKUP(B697&amp;F697&amp;H697,经纬!A:M,13,FALSE)*N697)</f>
        <v/>
      </c>
      <c r="M697" s="104" t="str">
        <f>IF(B697="","",VLOOKUP(B697&amp;F697&amp;H697,经纬!A:N,14,FALSE)*N697)</f>
        <v/>
      </c>
      <c r="P697" s="8" t="str">
        <f t="shared" si="45"/>
        <v/>
      </c>
      <c r="R697" s="250" t="str">
        <f t="shared" si="44"/>
        <v/>
      </c>
    </row>
    <row r="698" spans="1:18">
      <c r="A698" s="4">
        <v>707</v>
      </c>
      <c r="C698" s="8" t="str">
        <f>IF(B698="","",VLOOKUP(B698,经纬!B:C,2,FALSE))</f>
        <v/>
      </c>
      <c r="D698" s="8" t="str">
        <f>IF(B698="","",VLOOKUP(B698,经纬!B:G,6,FALSE))</f>
        <v/>
      </c>
      <c r="F698" s="8" t="str">
        <f>IF(B698="","",VLOOKUP(B698,小圆机汇总表!A:AP,5,FALSE))</f>
        <v/>
      </c>
      <c r="G698" s="8" t="str">
        <f>IF(B698="","",VLOOKUP(B698,小圆机汇总表!A:AP,8,FALSE))</f>
        <v/>
      </c>
      <c r="J698" s="105" t="str">
        <f t="shared" ref="J698:J761" si="46">IF(B698="","",LEFT(C698,FIND("*",C698)-1))</f>
        <v/>
      </c>
      <c r="K698" s="105" t="str">
        <f t="shared" ref="K698:K761" si="47">IF(B698="","",RIGHT(C698,LEN(C698)-LEN(J698)-1))</f>
        <v/>
      </c>
      <c r="L698" s="104" t="str">
        <f>IF(B698="","",VLOOKUP(B698&amp;F698&amp;H698,经纬!A:M,13,FALSE)*N698)</f>
        <v/>
      </c>
      <c r="M698" s="104" t="str">
        <f>IF(B698="","",VLOOKUP(B698&amp;F698&amp;H698,经纬!A:N,14,FALSE)*N698)</f>
        <v/>
      </c>
      <c r="P698" s="8" t="str">
        <f t="shared" si="45"/>
        <v/>
      </c>
      <c r="R698" s="250" t="str">
        <f t="shared" si="44"/>
        <v/>
      </c>
    </row>
    <row r="699" spans="1:18">
      <c r="A699" s="4">
        <v>708</v>
      </c>
      <c r="C699" s="8" t="str">
        <f>IF(B699="","",VLOOKUP(B699,经纬!B:C,2,FALSE))</f>
        <v/>
      </c>
      <c r="D699" s="8" t="str">
        <f>IF(B699="","",VLOOKUP(B699,经纬!B:G,6,FALSE))</f>
        <v/>
      </c>
      <c r="F699" s="8" t="str">
        <f>IF(B699="","",VLOOKUP(B699,小圆机汇总表!A:AP,5,FALSE))</f>
        <v/>
      </c>
      <c r="G699" s="8" t="str">
        <f>IF(B699="","",VLOOKUP(B699,小圆机汇总表!A:AP,8,FALSE))</f>
        <v/>
      </c>
      <c r="J699" s="105" t="str">
        <f t="shared" si="46"/>
        <v/>
      </c>
      <c r="K699" s="105" t="str">
        <f t="shared" si="47"/>
        <v/>
      </c>
      <c r="L699" s="104" t="str">
        <f>IF(B699="","",VLOOKUP(B699&amp;F699&amp;H699,经纬!A:M,13,FALSE)*N699)</f>
        <v/>
      </c>
      <c r="M699" s="104" t="str">
        <f>IF(B699="","",VLOOKUP(B699&amp;F699&amp;H699,经纬!A:N,14,FALSE)*N699)</f>
        <v/>
      </c>
      <c r="P699" s="8" t="str">
        <f t="shared" si="45"/>
        <v/>
      </c>
      <c r="R699" s="250" t="str">
        <f t="shared" si="44"/>
        <v/>
      </c>
    </row>
    <row r="700" spans="1:18">
      <c r="A700" s="4">
        <v>709</v>
      </c>
      <c r="C700" s="8" t="str">
        <f>IF(B700="","",VLOOKUP(B700,经纬!B:C,2,FALSE))</f>
        <v/>
      </c>
      <c r="D700" s="8" t="str">
        <f>IF(B700="","",VLOOKUP(B700,经纬!B:G,6,FALSE))</f>
        <v/>
      </c>
      <c r="F700" s="8" t="str">
        <f>IF(B700="","",VLOOKUP(B700,小圆机汇总表!A:AP,5,FALSE))</f>
        <v/>
      </c>
      <c r="G700" s="8" t="str">
        <f>IF(B700="","",VLOOKUP(B700,小圆机汇总表!A:AP,8,FALSE))</f>
        <v/>
      </c>
      <c r="J700" s="105" t="str">
        <f t="shared" si="46"/>
        <v/>
      </c>
      <c r="K700" s="105" t="str">
        <f t="shared" si="47"/>
        <v/>
      </c>
      <c r="L700" s="104" t="str">
        <f>IF(B700="","",VLOOKUP(B700&amp;F700&amp;H700,经纬!A:M,13,FALSE)*N700)</f>
        <v/>
      </c>
      <c r="M700" s="104" t="str">
        <f>IF(B700="","",VLOOKUP(B700&amp;F700&amp;H700,经纬!A:N,14,FALSE)*N700)</f>
        <v/>
      </c>
      <c r="P700" s="8" t="str">
        <f t="shared" si="45"/>
        <v/>
      </c>
      <c r="R700" s="250" t="str">
        <f t="shared" si="44"/>
        <v/>
      </c>
    </row>
    <row r="701" spans="1:18">
      <c r="A701" s="4">
        <v>710</v>
      </c>
      <c r="C701" s="8" t="str">
        <f>IF(B701="","",VLOOKUP(B701,经纬!B:C,2,FALSE))</f>
        <v/>
      </c>
      <c r="D701" s="8" t="str">
        <f>IF(B701="","",VLOOKUP(B701,经纬!B:G,6,FALSE))</f>
        <v/>
      </c>
      <c r="F701" s="8" t="str">
        <f>IF(B701="","",VLOOKUP(B701,小圆机汇总表!A:AP,5,FALSE))</f>
        <v/>
      </c>
      <c r="G701" s="8" t="str">
        <f>IF(B701="","",VLOOKUP(B701,小圆机汇总表!A:AP,8,FALSE))</f>
        <v/>
      </c>
      <c r="J701" s="105" t="str">
        <f t="shared" si="46"/>
        <v/>
      </c>
      <c r="K701" s="105" t="str">
        <f t="shared" si="47"/>
        <v/>
      </c>
      <c r="L701" s="104" t="str">
        <f>IF(B701="","",VLOOKUP(B701&amp;F701&amp;H701,经纬!A:M,13,FALSE)*N701)</f>
        <v/>
      </c>
      <c r="M701" s="104" t="str">
        <f>IF(B701="","",VLOOKUP(B701&amp;F701&amp;H701,经纬!A:N,14,FALSE)*N701)</f>
        <v/>
      </c>
      <c r="P701" s="8" t="str">
        <f t="shared" si="45"/>
        <v/>
      </c>
      <c r="R701" s="250" t="str">
        <f t="shared" si="44"/>
        <v/>
      </c>
    </row>
    <row r="702" spans="1:18">
      <c r="A702" s="4">
        <v>711</v>
      </c>
      <c r="C702" s="8" t="str">
        <f>IF(B702="","",VLOOKUP(B702,经纬!B:C,2,FALSE))</f>
        <v/>
      </c>
      <c r="D702" s="8" t="str">
        <f>IF(B702="","",VLOOKUP(B702,经纬!B:G,6,FALSE))</f>
        <v/>
      </c>
      <c r="F702" s="8" t="str">
        <f>IF(B702="","",VLOOKUP(B702,小圆机汇总表!A:AP,5,FALSE))</f>
        <v/>
      </c>
      <c r="G702" s="8" t="str">
        <f>IF(B702="","",VLOOKUP(B702,小圆机汇总表!A:AP,8,FALSE))</f>
        <v/>
      </c>
      <c r="J702" s="105" t="str">
        <f t="shared" si="46"/>
        <v/>
      </c>
      <c r="K702" s="105" t="str">
        <f t="shared" si="47"/>
        <v/>
      </c>
      <c r="L702" s="104" t="str">
        <f>IF(B702="","",VLOOKUP(B702&amp;F702&amp;H702,经纬!A:M,13,FALSE)*N702)</f>
        <v/>
      </c>
      <c r="M702" s="104" t="str">
        <f>IF(B702="","",VLOOKUP(B702&amp;F702&amp;H702,经纬!A:N,14,FALSE)*N702)</f>
        <v/>
      </c>
      <c r="P702" s="8" t="str">
        <f t="shared" si="45"/>
        <v/>
      </c>
      <c r="R702" s="250" t="str">
        <f t="shared" si="44"/>
        <v/>
      </c>
    </row>
    <row r="703" spans="1:18">
      <c r="A703" s="4">
        <v>712</v>
      </c>
      <c r="C703" s="8" t="str">
        <f>IF(B703="","",VLOOKUP(B703,经纬!B:C,2,FALSE))</f>
        <v/>
      </c>
      <c r="D703" s="8" t="str">
        <f>IF(B703="","",VLOOKUP(B703,经纬!B:G,6,FALSE))</f>
        <v/>
      </c>
      <c r="F703" s="8" t="str">
        <f>IF(B703="","",VLOOKUP(B703,小圆机汇总表!A:AP,5,FALSE))</f>
        <v/>
      </c>
      <c r="G703" s="8" t="str">
        <f>IF(B703="","",VLOOKUP(B703,小圆机汇总表!A:AP,8,FALSE))</f>
        <v/>
      </c>
      <c r="J703" s="105" t="str">
        <f t="shared" si="46"/>
        <v/>
      </c>
      <c r="K703" s="105" t="str">
        <f t="shared" si="47"/>
        <v/>
      </c>
      <c r="L703" s="104" t="str">
        <f>IF(B703="","",VLOOKUP(B703&amp;F703&amp;H703,经纬!A:M,13,FALSE)*N703)</f>
        <v/>
      </c>
      <c r="M703" s="104" t="str">
        <f>IF(B703="","",VLOOKUP(B703&amp;F703&amp;H703,经纬!A:N,14,FALSE)*N703)</f>
        <v/>
      </c>
      <c r="P703" s="8" t="str">
        <f t="shared" si="45"/>
        <v/>
      </c>
      <c r="R703" s="250" t="str">
        <f t="shared" si="44"/>
        <v/>
      </c>
    </row>
    <row r="704" spans="1:18">
      <c r="A704" s="4">
        <v>713</v>
      </c>
      <c r="C704" s="8" t="str">
        <f>IF(B704="","",VLOOKUP(B704,经纬!B:C,2,FALSE))</f>
        <v/>
      </c>
      <c r="D704" s="8" t="str">
        <f>IF(B704="","",VLOOKUP(B704,经纬!B:G,6,FALSE))</f>
        <v/>
      </c>
      <c r="F704" s="8" t="str">
        <f>IF(B704="","",VLOOKUP(B704,小圆机汇总表!A:AP,5,FALSE))</f>
        <v/>
      </c>
      <c r="G704" s="8" t="str">
        <f>IF(B704="","",VLOOKUP(B704,小圆机汇总表!A:AP,8,FALSE))</f>
        <v/>
      </c>
      <c r="J704" s="105" t="str">
        <f t="shared" si="46"/>
        <v/>
      </c>
      <c r="K704" s="105" t="str">
        <f t="shared" si="47"/>
        <v/>
      </c>
      <c r="L704" s="104" t="str">
        <f>IF(B704="","",VLOOKUP(B704&amp;F704&amp;H704,经纬!A:M,13,FALSE)*N704)</f>
        <v/>
      </c>
      <c r="M704" s="104" t="str">
        <f>IF(B704="","",VLOOKUP(B704&amp;F704&amp;H704,经纬!A:N,14,FALSE)*N704)</f>
        <v/>
      </c>
      <c r="P704" s="8" t="str">
        <f t="shared" si="45"/>
        <v/>
      </c>
      <c r="R704" s="250" t="str">
        <f t="shared" si="44"/>
        <v/>
      </c>
    </row>
    <row r="705" spans="1:18">
      <c r="A705" s="4">
        <v>714</v>
      </c>
      <c r="C705" s="8" t="str">
        <f>IF(B705="","",VLOOKUP(B705,经纬!B:C,2,FALSE))</f>
        <v/>
      </c>
      <c r="D705" s="8" t="str">
        <f>IF(B705="","",VLOOKUP(B705,经纬!B:G,6,FALSE))</f>
        <v/>
      </c>
      <c r="F705" s="8" t="str">
        <f>IF(B705="","",VLOOKUP(B705,小圆机汇总表!A:AP,5,FALSE))</f>
        <v/>
      </c>
      <c r="G705" s="8" t="str">
        <f>IF(B705="","",VLOOKUP(B705,小圆机汇总表!A:AP,8,FALSE))</f>
        <v/>
      </c>
      <c r="J705" s="105" t="str">
        <f t="shared" si="46"/>
        <v/>
      </c>
      <c r="K705" s="105" t="str">
        <f t="shared" si="47"/>
        <v/>
      </c>
      <c r="L705" s="104" t="str">
        <f>IF(B705="","",VLOOKUP(B705&amp;F705&amp;H705,经纬!A:M,13,FALSE)*N705)</f>
        <v/>
      </c>
      <c r="M705" s="104" t="str">
        <f>IF(B705="","",VLOOKUP(B705&amp;F705&amp;H705,经纬!A:N,14,FALSE)*N705)</f>
        <v/>
      </c>
      <c r="P705" s="8" t="str">
        <f t="shared" si="45"/>
        <v/>
      </c>
      <c r="R705" s="250" t="str">
        <f t="shared" si="44"/>
        <v/>
      </c>
    </row>
    <row r="706" spans="1:18">
      <c r="A706" s="4">
        <v>715</v>
      </c>
      <c r="C706" s="8" t="str">
        <f>IF(B706="","",VLOOKUP(B706,经纬!B:C,2,FALSE))</f>
        <v/>
      </c>
      <c r="D706" s="8" t="str">
        <f>IF(B706="","",VLOOKUP(B706,经纬!B:G,6,FALSE))</f>
        <v/>
      </c>
      <c r="F706" s="8" t="str">
        <f>IF(B706="","",VLOOKUP(B706,小圆机汇总表!A:AP,5,FALSE))</f>
        <v/>
      </c>
      <c r="G706" s="8" t="str">
        <f>IF(B706="","",VLOOKUP(B706,小圆机汇总表!A:AP,8,FALSE))</f>
        <v/>
      </c>
      <c r="J706" s="105" t="str">
        <f t="shared" si="46"/>
        <v/>
      </c>
      <c r="K706" s="105" t="str">
        <f t="shared" si="47"/>
        <v/>
      </c>
      <c r="L706" s="104" t="str">
        <f>IF(B706="","",VLOOKUP(B706&amp;F706&amp;H706,经纬!A:M,13,FALSE)*N706)</f>
        <v/>
      </c>
      <c r="M706" s="104" t="str">
        <f>IF(B706="","",VLOOKUP(B706&amp;F706&amp;H706,经纬!A:N,14,FALSE)*N706)</f>
        <v/>
      </c>
      <c r="P706" s="8" t="str">
        <f t="shared" si="45"/>
        <v/>
      </c>
      <c r="R706" s="250" t="str">
        <f t="shared" si="44"/>
        <v/>
      </c>
    </row>
    <row r="707" spans="1:18">
      <c r="A707" s="4">
        <v>716</v>
      </c>
      <c r="C707" s="8" t="str">
        <f>IF(B707="","",VLOOKUP(B707,经纬!B:C,2,FALSE))</f>
        <v/>
      </c>
      <c r="D707" s="8" t="str">
        <f>IF(B707="","",VLOOKUP(B707,经纬!B:G,6,FALSE))</f>
        <v/>
      </c>
      <c r="F707" s="8" t="str">
        <f>IF(B707="","",VLOOKUP(B707,小圆机汇总表!A:AP,5,FALSE))</f>
        <v/>
      </c>
      <c r="G707" s="8" t="str">
        <f>IF(B707="","",VLOOKUP(B707,小圆机汇总表!A:AP,8,FALSE))</f>
        <v/>
      </c>
      <c r="J707" s="105" t="str">
        <f t="shared" si="46"/>
        <v/>
      </c>
      <c r="K707" s="105" t="str">
        <f t="shared" si="47"/>
        <v/>
      </c>
      <c r="L707" s="104" t="str">
        <f>IF(B707="","",VLOOKUP(B707&amp;F707&amp;H707,经纬!A:M,13,FALSE)*N707)</f>
        <v/>
      </c>
      <c r="M707" s="104" t="str">
        <f>IF(B707="","",VLOOKUP(B707&amp;F707&amp;H707,经纬!A:N,14,FALSE)*N707)</f>
        <v/>
      </c>
      <c r="P707" s="8" t="str">
        <f t="shared" si="45"/>
        <v/>
      </c>
      <c r="R707" s="250" t="str">
        <f t="shared" ref="R707:R770" si="48">IF(B707="","",MONTH(I707))</f>
        <v/>
      </c>
    </row>
    <row r="708" spans="1:18">
      <c r="A708" s="4">
        <v>717</v>
      </c>
      <c r="C708" s="8" t="str">
        <f>IF(B708="","",VLOOKUP(B708,经纬!B:C,2,FALSE))</f>
        <v/>
      </c>
      <c r="D708" s="8" t="str">
        <f>IF(B708="","",VLOOKUP(B708,经纬!B:G,6,FALSE))</f>
        <v/>
      </c>
      <c r="F708" s="8" t="str">
        <f>IF(B708="","",VLOOKUP(B708,小圆机汇总表!A:AP,5,FALSE))</f>
        <v/>
      </c>
      <c r="G708" s="8" t="str">
        <f>IF(B708="","",VLOOKUP(B708,小圆机汇总表!A:AP,8,FALSE))</f>
        <v/>
      </c>
      <c r="J708" s="105" t="str">
        <f t="shared" si="46"/>
        <v/>
      </c>
      <c r="K708" s="105" t="str">
        <f t="shared" si="47"/>
        <v/>
      </c>
      <c r="L708" s="104" t="str">
        <f>IF(B708="","",VLOOKUP(B708&amp;F708&amp;H708,经纬!A:M,13,FALSE)*N708)</f>
        <v/>
      </c>
      <c r="M708" s="104" t="str">
        <f>IF(B708="","",VLOOKUP(B708&amp;F708&amp;H708,经纬!A:N,14,FALSE)*N708)</f>
        <v/>
      </c>
      <c r="P708" s="8" t="str">
        <f t="shared" si="45"/>
        <v/>
      </c>
      <c r="R708" s="250" t="str">
        <f t="shared" si="48"/>
        <v/>
      </c>
    </row>
    <row r="709" spans="1:18">
      <c r="A709" s="4">
        <v>718</v>
      </c>
      <c r="C709" s="8" t="str">
        <f>IF(B709="","",VLOOKUP(B709,经纬!B:C,2,FALSE))</f>
        <v/>
      </c>
      <c r="D709" s="8" t="str">
        <f>IF(B709="","",VLOOKUP(B709,经纬!B:G,6,FALSE))</f>
        <v/>
      </c>
      <c r="F709" s="8" t="str">
        <f>IF(B709="","",VLOOKUP(B709,小圆机汇总表!A:AP,5,FALSE))</f>
        <v/>
      </c>
      <c r="G709" s="8" t="str">
        <f>IF(B709="","",VLOOKUP(B709,小圆机汇总表!A:AP,8,FALSE))</f>
        <v/>
      </c>
      <c r="J709" s="105" t="str">
        <f t="shared" si="46"/>
        <v/>
      </c>
      <c r="K709" s="105" t="str">
        <f t="shared" si="47"/>
        <v/>
      </c>
      <c r="L709" s="104" t="str">
        <f>IF(B709="","",VLOOKUP(B709&amp;F709&amp;H709,经纬!A:M,13,FALSE)*N709)</f>
        <v/>
      </c>
      <c r="M709" s="104" t="str">
        <f>IF(B709="","",VLOOKUP(B709&amp;F709&amp;H709,经纬!A:N,14,FALSE)*N709)</f>
        <v/>
      </c>
      <c r="P709" s="8" t="str">
        <f t="shared" si="45"/>
        <v/>
      </c>
      <c r="R709" s="250" t="str">
        <f t="shared" si="48"/>
        <v/>
      </c>
    </row>
    <row r="710" spans="1:18">
      <c r="A710" s="4">
        <v>719</v>
      </c>
      <c r="C710" s="8" t="str">
        <f>IF(B710="","",VLOOKUP(B710,经纬!B:C,2,FALSE))</f>
        <v/>
      </c>
      <c r="D710" s="8" t="str">
        <f>IF(B710="","",VLOOKUP(B710,经纬!B:G,6,FALSE))</f>
        <v/>
      </c>
      <c r="F710" s="8" t="str">
        <f>IF(B710="","",VLOOKUP(B710,小圆机汇总表!A:AP,5,FALSE))</f>
        <v/>
      </c>
      <c r="G710" s="8" t="str">
        <f>IF(B710="","",VLOOKUP(B710,小圆机汇总表!A:AP,8,FALSE))</f>
        <v/>
      </c>
      <c r="J710" s="105" t="str">
        <f t="shared" si="46"/>
        <v/>
      </c>
      <c r="K710" s="105" t="str">
        <f t="shared" si="47"/>
        <v/>
      </c>
      <c r="L710" s="104" t="str">
        <f>IF(B710="","",VLOOKUP(B710&amp;F710&amp;H710,经纬!A:M,13,FALSE)*N710)</f>
        <v/>
      </c>
      <c r="M710" s="104" t="str">
        <f>IF(B710="","",VLOOKUP(B710&amp;F710&amp;H710,经纬!A:N,14,FALSE)*N710)</f>
        <v/>
      </c>
      <c r="P710" s="8" t="str">
        <f t="shared" si="45"/>
        <v/>
      </c>
      <c r="R710" s="250" t="str">
        <f t="shared" si="48"/>
        <v/>
      </c>
    </row>
    <row r="711" spans="1:18">
      <c r="A711" s="4">
        <v>720</v>
      </c>
      <c r="C711" s="8" t="str">
        <f>IF(B711="","",VLOOKUP(B711,经纬!B:C,2,FALSE))</f>
        <v/>
      </c>
      <c r="D711" s="8" t="str">
        <f>IF(B711="","",VLOOKUP(B711,经纬!B:G,6,FALSE))</f>
        <v/>
      </c>
      <c r="F711" s="8" t="str">
        <f>IF(B711="","",VLOOKUP(B711,小圆机汇总表!A:AP,5,FALSE))</f>
        <v/>
      </c>
      <c r="G711" s="8" t="str">
        <f>IF(B711="","",VLOOKUP(B711,小圆机汇总表!A:AP,8,FALSE))</f>
        <v/>
      </c>
      <c r="J711" s="105" t="str">
        <f t="shared" si="46"/>
        <v/>
      </c>
      <c r="K711" s="105" t="str">
        <f t="shared" si="47"/>
        <v/>
      </c>
      <c r="L711" s="104" t="str">
        <f>IF(B711="","",VLOOKUP(B711&amp;F711&amp;H711,经纬!A:M,13,FALSE)*N711)</f>
        <v/>
      </c>
      <c r="M711" s="104" t="str">
        <f>IF(B711="","",VLOOKUP(B711&amp;F711&amp;H711,经纬!A:N,14,FALSE)*N711)</f>
        <v/>
      </c>
      <c r="P711" s="8" t="str">
        <f t="shared" si="45"/>
        <v/>
      </c>
      <c r="R711" s="250" t="str">
        <f t="shared" si="48"/>
        <v/>
      </c>
    </row>
    <row r="712" spans="1:18">
      <c r="A712" s="4">
        <v>721</v>
      </c>
      <c r="C712" s="8" t="str">
        <f>IF(B712="","",VLOOKUP(B712,经纬!B:C,2,FALSE))</f>
        <v/>
      </c>
      <c r="D712" s="8" t="str">
        <f>IF(B712="","",VLOOKUP(B712,经纬!B:G,6,FALSE))</f>
        <v/>
      </c>
      <c r="F712" s="8" t="str">
        <f>IF(B712="","",VLOOKUP(B712,小圆机汇总表!A:AP,5,FALSE))</f>
        <v/>
      </c>
      <c r="G712" s="8" t="str">
        <f>IF(B712="","",VLOOKUP(B712,小圆机汇总表!A:AP,8,FALSE))</f>
        <v/>
      </c>
      <c r="J712" s="105" t="str">
        <f t="shared" si="46"/>
        <v/>
      </c>
      <c r="K712" s="105" t="str">
        <f t="shared" si="47"/>
        <v/>
      </c>
      <c r="L712" s="104" t="str">
        <f>IF(B712="","",VLOOKUP(B712&amp;F712&amp;H712,经纬!A:M,13,FALSE)*N712)</f>
        <v/>
      </c>
      <c r="M712" s="104" t="str">
        <f>IF(B712="","",VLOOKUP(B712&amp;F712&amp;H712,经纬!A:N,14,FALSE)*N712)</f>
        <v/>
      </c>
      <c r="P712" s="8" t="str">
        <f t="shared" si="45"/>
        <v/>
      </c>
      <c r="R712" s="250" t="str">
        <f t="shared" si="48"/>
        <v/>
      </c>
    </row>
    <row r="713" spans="1:18">
      <c r="A713" s="4">
        <v>722</v>
      </c>
      <c r="C713" s="8" t="str">
        <f>IF(B713="","",VLOOKUP(B713,经纬!B:C,2,FALSE))</f>
        <v/>
      </c>
      <c r="D713" s="8" t="str">
        <f>IF(B713="","",VLOOKUP(B713,经纬!B:G,6,FALSE))</f>
        <v/>
      </c>
      <c r="F713" s="8" t="str">
        <f>IF(B713="","",VLOOKUP(B713,小圆机汇总表!A:AP,5,FALSE))</f>
        <v/>
      </c>
      <c r="G713" s="8" t="str">
        <f>IF(B713="","",VLOOKUP(B713,小圆机汇总表!A:AP,8,FALSE))</f>
        <v/>
      </c>
      <c r="J713" s="105" t="str">
        <f t="shared" si="46"/>
        <v/>
      </c>
      <c r="K713" s="105" t="str">
        <f t="shared" si="47"/>
        <v/>
      </c>
      <c r="L713" s="104" t="str">
        <f>IF(B713="","",VLOOKUP(B713&amp;F713&amp;H713,经纬!A:M,13,FALSE)*N713)</f>
        <v/>
      </c>
      <c r="M713" s="104" t="str">
        <f>IF(B713="","",VLOOKUP(B713&amp;F713&amp;H713,经纬!A:N,14,FALSE)*N713)</f>
        <v/>
      </c>
      <c r="P713" s="8" t="str">
        <f t="shared" si="45"/>
        <v/>
      </c>
      <c r="R713" s="250" t="str">
        <f t="shared" si="48"/>
        <v/>
      </c>
    </row>
    <row r="714" spans="1:18">
      <c r="A714" s="4">
        <v>723</v>
      </c>
      <c r="C714" s="8" t="str">
        <f>IF(B714="","",VLOOKUP(B714,经纬!B:C,2,FALSE))</f>
        <v/>
      </c>
      <c r="D714" s="8" t="str">
        <f>IF(B714="","",VLOOKUP(B714,经纬!B:G,6,FALSE))</f>
        <v/>
      </c>
      <c r="F714" s="8" t="str">
        <f>IF(B714="","",VLOOKUP(B714,小圆机汇总表!A:AP,5,FALSE))</f>
        <v/>
      </c>
      <c r="G714" s="8" t="str">
        <f>IF(B714="","",VLOOKUP(B714,小圆机汇总表!A:AP,8,FALSE))</f>
        <v/>
      </c>
      <c r="J714" s="105" t="str">
        <f t="shared" si="46"/>
        <v/>
      </c>
      <c r="K714" s="105" t="str">
        <f t="shared" si="47"/>
        <v/>
      </c>
      <c r="L714" s="104" t="str">
        <f>IF(B714="","",VLOOKUP(B714&amp;F714&amp;H714,经纬!A:M,13,FALSE)*N714)</f>
        <v/>
      </c>
      <c r="M714" s="104" t="str">
        <f>IF(B714="","",VLOOKUP(B714&amp;F714&amp;H714,经纬!A:N,14,FALSE)*N714)</f>
        <v/>
      </c>
      <c r="P714" s="8" t="str">
        <f t="shared" si="45"/>
        <v/>
      </c>
      <c r="R714" s="250" t="str">
        <f t="shared" si="48"/>
        <v/>
      </c>
    </row>
    <row r="715" spans="1:18">
      <c r="A715" s="4">
        <v>724</v>
      </c>
      <c r="C715" s="8" t="str">
        <f>IF(B715="","",VLOOKUP(B715,经纬!B:C,2,FALSE))</f>
        <v/>
      </c>
      <c r="D715" s="8" t="str">
        <f>IF(B715="","",VLOOKUP(B715,经纬!B:G,6,FALSE))</f>
        <v/>
      </c>
      <c r="F715" s="8" t="str">
        <f>IF(B715="","",VLOOKUP(B715,小圆机汇总表!A:AP,5,FALSE))</f>
        <v/>
      </c>
      <c r="G715" s="8" t="str">
        <f>IF(B715="","",VLOOKUP(B715,小圆机汇总表!A:AP,8,FALSE))</f>
        <v/>
      </c>
      <c r="J715" s="105" t="str">
        <f t="shared" si="46"/>
        <v/>
      </c>
      <c r="K715" s="105" t="str">
        <f t="shared" si="47"/>
        <v/>
      </c>
      <c r="L715" s="104" t="str">
        <f>IF(B715="","",VLOOKUP(B715&amp;F715&amp;H715,经纬!A:M,13,FALSE)*N715)</f>
        <v/>
      </c>
      <c r="M715" s="104" t="str">
        <f>IF(B715="","",VLOOKUP(B715&amp;F715&amp;H715,经纬!A:N,14,FALSE)*N715)</f>
        <v/>
      </c>
      <c r="P715" s="8" t="str">
        <f t="shared" si="45"/>
        <v/>
      </c>
      <c r="R715" s="250" t="str">
        <f t="shared" si="48"/>
        <v/>
      </c>
    </row>
    <row r="716" spans="1:18">
      <c r="A716" s="4">
        <v>725</v>
      </c>
      <c r="C716" s="8" t="str">
        <f>IF(B716="","",VLOOKUP(B716,经纬!B:C,2,FALSE))</f>
        <v/>
      </c>
      <c r="D716" s="8" t="str">
        <f>IF(B716="","",VLOOKUP(B716,经纬!B:G,6,FALSE))</f>
        <v/>
      </c>
      <c r="F716" s="8" t="str">
        <f>IF(B716="","",VLOOKUP(B716,小圆机汇总表!A:AP,5,FALSE))</f>
        <v/>
      </c>
      <c r="G716" s="8" t="str">
        <f>IF(B716="","",VLOOKUP(B716,小圆机汇总表!A:AP,8,FALSE))</f>
        <v/>
      </c>
      <c r="J716" s="105" t="str">
        <f t="shared" si="46"/>
        <v/>
      </c>
      <c r="K716" s="105" t="str">
        <f t="shared" si="47"/>
        <v/>
      </c>
      <c r="L716" s="104" t="str">
        <f>IF(B716="","",VLOOKUP(B716&amp;F716&amp;H716,经纬!A:M,13,FALSE)*N716)</f>
        <v/>
      </c>
      <c r="M716" s="104" t="str">
        <f>IF(B716="","",VLOOKUP(B716&amp;F716&amp;H716,经纬!A:N,14,FALSE)*N716)</f>
        <v/>
      </c>
      <c r="P716" s="8" t="str">
        <f t="shared" si="45"/>
        <v/>
      </c>
      <c r="R716" s="250" t="str">
        <f t="shared" si="48"/>
        <v/>
      </c>
    </row>
    <row r="717" spans="1:18">
      <c r="A717" s="4">
        <v>726</v>
      </c>
      <c r="C717" s="8" t="str">
        <f>IF(B717="","",VLOOKUP(B717,经纬!B:C,2,FALSE))</f>
        <v/>
      </c>
      <c r="D717" s="8" t="str">
        <f>IF(B717="","",VLOOKUP(B717,经纬!B:G,6,FALSE))</f>
        <v/>
      </c>
      <c r="F717" s="8" t="str">
        <f>IF(B717="","",VLOOKUP(B717,小圆机汇总表!A:AP,5,FALSE))</f>
        <v/>
      </c>
      <c r="G717" s="8" t="str">
        <f>IF(B717="","",VLOOKUP(B717,小圆机汇总表!A:AP,8,FALSE))</f>
        <v/>
      </c>
      <c r="J717" s="105" t="str">
        <f t="shared" si="46"/>
        <v/>
      </c>
      <c r="K717" s="105" t="str">
        <f t="shared" si="47"/>
        <v/>
      </c>
      <c r="L717" s="104" t="str">
        <f>IF(B717="","",VLOOKUP(B717&amp;F717&amp;H717,经纬!A:M,13,FALSE)*N717)</f>
        <v/>
      </c>
      <c r="M717" s="104" t="str">
        <f>IF(B717="","",VLOOKUP(B717&amp;F717&amp;H717,经纬!A:N,14,FALSE)*N717)</f>
        <v/>
      </c>
      <c r="P717" s="8" t="str">
        <f t="shared" si="45"/>
        <v/>
      </c>
      <c r="R717" s="250" t="str">
        <f t="shared" si="48"/>
        <v/>
      </c>
    </row>
    <row r="718" spans="1:18">
      <c r="A718" s="4">
        <v>727</v>
      </c>
      <c r="C718" s="8" t="str">
        <f>IF(B718="","",VLOOKUP(B718,经纬!B:C,2,FALSE))</f>
        <v/>
      </c>
      <c r="D718" s="8" t="str">
        <f>IF(B718="","",VLOOKUP(B718,经纬!B:G,6,FALSE))</f>
        <v/>
      </c>
      <c r="F718" s="8" t="str">
        <f>IF(B718="","",VLOOKUP(B718,小圆机汇总表!A:AP,5,FALSE))</f>
        <v/>
      </c>
      <c r="G718" s="8" t="str">
        <f>IF(B718="","",VLOOKUP(B718,小圆机汇总表!A:AP,8,FALSE))</f>
        <v/>
      </c>
      <c r="J718" s="105" t="str">
        <f t="shared" si="46"/>
        <v/>
      </c>
      <c r="K718" s="105" t="str">
        <f t="shared" si="47"/>
        <v/>
      </c>
      <c r="L718" s="104" t="str">
        <f>IF(B718="","",VLOOKUP(B718&amp;F718&amp;H718,经纬!A:M,13,FALSE)*N718)</f>
        <v/>
      </c>
      <c r="M718" s="104" t="str">
        <f>IF(B718="","",VLOOKUP(B718&amp;F718&amp;H718,经纬!A:N,14,FALSE)*N718)</f>
        <v/>
      </c>
      <c r="P718" s="8" t="str">
        <f t="shared" si="45"/>
        <v/>
      </c>
      <c r="R718" s="250" t="str">
        <f t="shared" si="48"/>
        <v/>
      </c>
    </row>
    <row r="719" spans="1:18">
      <c r="A719" s="4">
        <v>728</v>
      </c>
      <c r="C719" s="8" t="str">
        <f>IF(B719="","",VLOOKUP(B719,经纬!B:C,2,FALSE))</f>
        <v/>
      </c>
      <c r="D719" s="8" t="str">
        <f>IF(B719="","",VLOOKUP(B719,经纬!B:G,6,FALSE))</f>
        <v/>
      </c>
      <c r="F719" s="8" t="str">
        <f>IF(B719="","",VLOOKUP(B719,小圆机汇总表!A:AP,5,FALSE))</f>
        <v/>
      </c>
      <c r="G719" s="8" t="str">
        <f>IF(B719="","",VLOOKUP(B719,小圆机汇总表!A:AP,8,FALSE))</f>
        <v/>
      </c>
      <c r="J719" s="105" t="str">
        <f t="shared" si="46"/>
        <v/>
      </c>
      <c r="K719" s="105" t="str">
        <f t="shared" si="47"/>
        <v/>
      </c>
      <c r="L719" s="104" t="str">
        <f>IF(B719="","",VLOOKUP(B719&amp;F719&amp;H719,经纬!A:M,13,FALSE)*N719)</f>
        <v/>
      </c>
      <c r="M719" s="104" t="str">
        <f>IF(B719="","",VLOOKUP(B719&amp;F719&amp;H719,经纬!A:N,14,FALSE)*N719)</f>
        <v/>
      </c>
      <c r="P719" s="8" t="str">
        <f t="shared" si="45"/>
        <v/>
      </c>
      <c r="R719" s="250" t="str">
        <f t="shared" si="48"/>
        <v/>
      </c>
    </row>
    <row r="720" spans="1:18">
      <c r="A720" s="4">
        <v>729</v>
      </c>
      <c r="C720" s="8" t="str">
        <f>IF(B720="","",VLOOKUP(B720,经纬!B:C,2,FALSE))</f>
        <v/>
      </c>
      <c r="D720" s="8" t="str">
        <f>IF(B720="","",VLOOKUP(B720,经纬!B:G,6,FALSE))</f>
        <v/>
      </c>
      <c r="F720" s="8" t="str">
        <f>IF(B720="","",VLOOKUP(B720,小圆机汇总表!A:AP,5,FALSE))</f>
        <v/>
      </c>
      <c r="G720" s="8" t="str">
        <f>IF(B720="","",VLOOKUP(B720,小圆机汇总表!A:AP,8,FALSE))</f>
        <v/>
      </c>
      <c r="J720" s="105" t="str">
        <f t="shared" si="46"/>
        <v/>
      </c>
      <c r="K720" s="105" t="str">
        <f t="shared" si="47"/>
        <v/>
      </c>
      <c r="L720" s="104" t="str">
        <f>IF(B720="","",VLOOKUP(B720&amp;F720&amp;H720,经纬!A:M,13,FALSE)*N720)</f>
        <v/>
      </c>
      <c r="M720" s="104" t="str">
        <f>IF(B720="","",VLOOKUP(B720&amp;F720&amp;H720,经纬!A:N,14,FALSE)*N720)</f>
        <v/>
      </c>
      <c r="P720" s="8" t="str">
        <f t="shared" si="45"/>
        <v/>
      </c>
      <c r="R720" s="250" t="str">
        <f t="shared" si="48"/>
        <v/>
      </c>
    </row>
    <row r="721" spans="1:18">
      <c r="A721" s="4">
        <v>730</v>
      </c>
      <c r="C721" s="8" t="str">
        <f>IF(B721="","",VLOOKUP(B721,经纬!B:C,2,FALSE))</f>
        <v/>
      </c>
      <c r="D721" s="8" t="str">
        <f>IF(B721="","",VLOOKUP(B721,经纬!B:G,6,FALSE))</f>
        <v/>
      </c>
      <c r="F721" s="8" t="str">
        <f>IF(B721="","",VLOOKUP(B721,小圆机汇总表!A:AP,5,FALSE))</f>
        <v/>
      </c>
      <c r="G721" s="8" t="str">
        <f>IF(B721="","",VLOOKUP(B721,小圆机汇总表!A:AP,8,FALSE))</f>
        <v/>
      </c>
      <c r="J721" s="105" t="str">
        <f t="shared" si="46"/>
        <v/>
      </c>
      <c r="K721" s="105" t="str">
        <f t="shared" si="47"/>
        <v/>
      </c>
      <c r="L721" s="104" t="str">
        <f>IF(B721="","",VLOOKUP(B721&amp;F721&amp;H721,经纬!A:M,13,FALSE)*N721)</f>
        <v/>
      </c>
      <c r="M721" s="104" t="str">
        <f>IF(B721="","",VLOOKUP(B721&amp;F721&amp;H721,经纬!A:N,14,FALSE)*N721)</f>
        <v/>
      </c>
      <c r="P721" s="8" t="str">
        <f t="shared" si="45"/>
        <v/>
      </c>
      <c r="R721" s="250" t="str">
        <f t="shared" si="48"/>
        <v/>
      </c>
    </row>
    <row r="722" spans="1:18">
      <c r="A722" s="4">
        <v>731</v>
      </c>
      <c r="C722" s="8" t="str">
        <f>IF(B722="","",VLOOKUP(B722,经纬!B:C,2,FALSE))</f>
        <v/>
      </c>
      <c r="D722" s="8" t="str">
        <f>IF(B722="","",VLOOKUP(B722,经纬!B:G,6,FALSE))</f>
        <v/>
      </c>
      <c r="F722" s="8" t="str">
        <f>IF(B722="","",VLOOKUP(B722,小圆机汇总表!A:AP,5,FALSE))</f>
        <v/>
      </c>
      <c r="G722" s="8" t="str">
        <f>IF(B722="","",VLOOKUP(B722,小圆机汇总表!A:AP,8,FALSE))</f>
        <v/>
      </c>
      <c r="J722" s="105" t="str">
        <f t="shared" si="46"/>
        <v/>
      </c>
      <c r="K722" s="105" t="str">
        <f t="shared" si="47"/>
        <v/>
      </c>
      <c r="L722" s="104" t="str">
        <f>IF(B722="","",VLOOKUP(B722&amp;F722&amp;H722,经纬!A:M,13,FALSE)*N722)</f>
        <v/>
      </c>
      <c r="M722" s="104" t="str">
        <f>IF(B722="","",VLOOKUP(B722&amp;F722&amp;H722,经纬!A:N,14,FALSE)*N722)</f>
        <v/>
      </c>
      <c r="P722" s="8" t="str">
        <f t="shared" si="45"/>
        <v/>
      </c>
      <c r="R722" s="250" t="str">
        <f t="shared" si="48"/>
        <v/>
      </c>
    </row>
    <row r="723" spans="1:18">
      <c r="A723" s="4">
        <v>732</v>
      </c>
      <c r="C723" s="8" t="str">
        <f>IF(B723="","",VLOOKUP(B723,经纬!B:C,2,FALSE))</f>
        <v/>
      </c>
      <c r="D723" s="8" t="str">
        <f>IF(B723="","",VLOOKUP(B723,经纬!B:G,6,FALSE))</f>
        <v/>
      </c>
      <c r="F723" s="8" t="str">
        <f>IF(B723="","",VLOOKUP(B723,小圆机汇总表!A:AP,5,FALSE))</f>
        <v/>
      </c>
      <c r="G723" s="8" t="str">
        <f>IF(B723="","",VLOOKUP(B723,小圆机汇总表!A:AP,8,FALSE))</f>
        <v/>
      </c>
      <c r="J723" s="105" t="str">
        <f t="shared" si="46"/>
        <v/>
      </c>
      <c r="K723" s="105" t="str">
        <f t="shared" si="47"/>
        <v/>
      </c>
      <c r="L723" s="104" t="str">
        <f>IF(B723="","",VLOOKUP(B723&amp;F723&amp;H723,经纬!A:M,13,FALSE)*N723)</f>
        <v/>
      </c>
      <c r="M723" s="104" t="str">
        <f>IF(B723="","",VLOOKUP(B723&amp;F723&amp;H723,经纬!A:N,14,FALSE)*N723)</f>
        <v/>
      </c>
      <c r="P723" s="8" t="str">
        <f t="shared" si="45"/>
        <v/>
      </c>
      <c r="R723" s="250" t="str">
        <f t="shared" si="48"/>
        <v/>
      </c>
    </row>
    <row r="724" spans="1:18">
      <c r="A724" s="4">
        <v>733</v>
      </c>
      <c r="C724" s="8" t="str">
        <f>IF(B724="","",VLOOKUP(B724,经纬!B:C,2,FALSE))</f>
        <v/>
      </c>
      <c r="D724" s="8" t="str">
        <f>IF(B724="","",VLOOKUP(B724,经纬!B:G,6,FALSE))</f>
        <v/>
      </c>
      <c r="F724" s="8" t="str">
        <f>IF(B724="","",VLOOKUP(B724,小圆机汇总表!A:AP,5,FALSE))</f>
        <v/>
      </c>
      <c r="G724" s="8" t="str">
        <f>IF(B724="","",VLOOKUP(B724,小圆机汇总表!A:AP,8,FALSE))</f>
        <v/>
      </c>
      <c r="J724" s="105" t="str">
        <f t="shared" si="46"/>
        <v/>
      </c>
      <c r="K724" s="105" t="str">
        <f t="shared" si="47"/>
        <v/>
      </c>
      <c r="L724" s="104" t="str">
        <f>IF(B724="","",VLOOKUP(B724&amp;F724&amp;H724,经纬!A:M,13,FALSE)*N724)</f>
        <v/>
      </c>
      <c r="M724" s="104" t="str">
        <f>IF(B724="","",VLOOKUP(B724&amp;F724&amp;H724,经纬!A:N,14,FALSE)*N724)</f>
        <v/>
      </c>
      <c r="P724" s="8" t="str">
        <f t="shared" si="45"/>
        <v/>
      </c>
      <c r="R724" s="250" t="str">
        <f t="shared" si="48"/>
        <v/>
      </c>
    </row>
    <row r="725" spans="1:18">
      <c r="A725" s="4">
        <v>734</v>
      </c>
      <c r="C725" s="8" t="str">
        <f>IF(B725="","",VLOOKUP(B725,经纬!B:C,2,FALSE))</f>
        <v/>
      </c>
      <c r="D725" s="8" t="str">
        <f>IF(B725="","",VLOOKUP(B725,经纬!B:G,6,FALSE))</f>
        <v/>
      </c>
      <c r="F725" s="8" t="str">
        <f>IF(B725="","",VLOOKUP(B725,小圆机汇总表!A:AP,5,FALSE))</f>
        <v/>
      </c>
      <c r="G725" s="8" t="str">
        <f>IF(B725="","",VLOOKUP(B725,小圆机汇总表!A:AP,8,FALSE))</f>
        <v/>
      </c>
      <c r="J725" s="105" t="str">
        <f t="shared" si="46"/>
        <v/>
      </c>
      <c r="K725" s="105" t="str">
        <f t="shared" si="47"/>
        <v/>
      </c>
      <c r="L725" s="104" t="str">
        <f>IF(B725="","",VLOOKUP(B725&amp;F725&amp;H725,经纬!A:M,13,FALSE)*N725)</f>
        <v/>
      </c>
      <c r="M725" s="104" t="str">
        <f>IF(B725="","",VLOOKUP(B725&amp;F725&amp;H725,经纬!A:N,14,FALSE)*N725)</f>
        <v/>
      </c>
      <c r="P725" s="8" t="str">
        <f t="shared" si="45"/>
        <v/>
      </c>
      <c r="R725" s="250" t="str">
        <f t="shared" si="48"/>
        <v/>
      </c>
    </row>
    <row r="726" spans="1:18">
      <c r="A726" s="4">
        <v>735</v>
      </c>
      <c r="C726" s="8" t="str">
        <f>IF(B726="","",VLOOKUP(B726,经纬!B:C,2,FALSE))</f>
        <v/>
      </c>
      <c r="D726" s="8" t="str">
        <f>IF(B726="","",VLOOKUP(B726,经纬!B:G,6,FALSE))</f>
        <v/>
      </c>
      <c r="F726" s="8" t="str">
        <f>IF(B726="","",VLOOKUP(B726,小圆机汇总表!A:AP,5,FALSE))</f>
        <v/>
      </c>
      <c r="G726" s="8" t="str">
        <f>IF(B726="","",VLOOKUP(B726,小圆机汇总表!A:AP,8,FALSE))</f>
        <v/>
      </c>
      <c r="J726" s="105" t="str">
        <f t="shared" si="46"/>
        <v/>
      </c>
      <c r="K726" s="105" t="str">
        <f t="shared" si="47"/>
        <v/>
      </c>
      <c r="L726" s="104" t="str">
        <f>IF(B726="","",VLOOKUP(B726&amp;F726&amp;H726,经纬!A:M,13,FALSE)*N726)</f>
        <v/>
      </c>
      <c r="M726" s="104" t="str">
        <f>IF(B726="","",VLOOKUP(B726&amp;F726&amp;H726,经纬!A:N,14,FALSE)*N726)</f>
        <v/>
      </c>
      <c r="P726" s="8" t="str">
        <f t="shared" si="45"/>
        <v/>
      </c>
      <c r="R726" s="250" t="str">
        <f t="shared" si="48"/>
        <v/>
      </c>
    </row>
    <row r="727" spans="1:18">
      <c r="A727" s="4">
        <v>736</v>
      </c>
      <c r="C727" s="8" t="str">
        <f>IF(B727="","",VLOOKUP(B727,经纬!B:C,2,FALSE))</f>
        <v/>
      </c>
      <c r="D727" s="8" t="str">
        <f>IF(B727="","",VLOOKUP(B727,经纬!B:G,6,FALSE))</f>
        <v/>
      </c>
      <c r="F727" s="8" t="str">
        <f>IF(B727="","",VLOOKUP(B727,小圆机汇总表!A:AP,5,FALSE))</f>
        <v/>
      </c>
      <c r="G727" s="8" t="str">
        <f>IF(B727="","",VLOOKUP(B727,小圆机汇总表!A:AP,8,FALSE))</f>
        <v/>
      </c>
      <c r="J727" s="105" t="str">
        <f t="shared" si="46"/>
        <v/>
      </c>
      <c r="K727" s="105" t="str">
        <f t="shared" si="47"/>
        <v/>
      </c>
      <c r="L727" s="104" t="str">
        <f>IF(B727="","",VLOOKUP(B727&amp;F727&amp;H727,经纬!A:M,13,FALSE)*N727)</f>
        <v/>
      </c>
      <c r="M727" s="104" t="str">
        <f>IF(B727="","",VLOOKUP(B727&amp;F727&amp;H727,经纬!A:N,14,FALSE)*N727)</f>
        <v/>
      </c>
      <c r="P727" s="8" t="str">
        <f t="shared" si="45"/>
        <v/>
      </c>
      <c r="R727" s="250" t="str">
        <f t="shared" si="48"/>
        <v/>
      </c>
    </row>
    <row r="728" spans="1:18">
      <c r="A728" s="4">
        <v>737</v>
      </c>
      <c r="C728" s="8" t="str">
        <f>IF(B728="","",VLOOKUP(B728,经纬!B:C,2,FALSE))</f>
        <v/>
      </c>
      <c r="D728" s="8" t="str">
        <f>IF(B728="","",VLOOKUP(B728,经纬!B:G,6,FALSE))</f>
        <v/>
      </c>
      <c r="F728" s="8" t="str">
        <f>IF(B728="","",VLOOKUP(B728,小圆机汇总表!A:AP,5,FALSE))</f>
        <v/>
      </c>
      <c r="G728" s="8" t="str">
        <f>IF(B728="","",VLOOKUP(B728,小圆机汇总表!A:AP,8,FALSE))</f>
        <v/>
      </c>
      <c r="J728" s="105" t="str">
        <f t="shared" si="46"/>
        <v/>
      </c>
      <c r="K728" s="105" t="str">
        <f t="shared" si="47"/>
        <v/>
      </c>
      <c r="L728" s="104" t="str">
        <f>IF(B728="","",VLOOKUP(B728&amp;F728&amp;H728,经纬!A:M,13,FALSE)*N728)</f>
        <v/>
      </c>
      <c r="M728" s="104" t="str">
        <f>IF(B728="","",VLOOKUP(B728&amp;F728&amp;H728,经纬!A:N,14,FALSE)*N728)</f>
        <v/>
      </c>
      <c r="P728" s="8" t="str">
        <f t="shared" si="45"/>
        <v/>
      </c>
      <c r="R728" s="250" t="str">
        <f t="shared" si="48"/>
        <v/>
      </c>
    </row>
    <row r="729" spans="1:18">
      <c r="A729" s="4">
        <v>738</v>
      </c>
      <c r="C729" s="8" t="str">
        <f>IF(B729="","",VLOOKUP(B729,经纬!B:C,2,FALSE))</f>
        <v/>
      </c>
      <c r="D729" s="8" t="str">
        <f>IF(B729="","",VLOOKUP(B729,经纬!B:G,6,FALSE))</f>
        <v/>
      </c>
      <c r="F729" s="8" t="str">
        <f>IF(B729="","",VLOOKUP(B729,小圆机汇总表!A:AP,5,FALSE))</f>
        <v/>
      </c>
      <c r="G729" s="8" t="str">
        <f>IF(B729="","",VLOOKUP(B729,小圆机汇总表!A:AP,8,FALSE))</f>
        <v/>
      </c>
      <c r="J729" s="105" t="str">
        <f t="shared" si="46"/>
        <v/>
      </c>
      <c r="K729" s="105" t="str">
        <f t="shared" si="47"/>
        <v/>
      </c>
      <c r="L729" s="104" t="str">
        <f>IF(B729="","",VLOOKUP(B729&amp;F729&amp;H729,经纬!A:M,13,FALSE)*N729)</f>
        <v/>
      </c>
      <c r="M729" s="104" t="str">
        <f>IF(B729="","",VLOOKUP(B729&amp;F729&amp;H729,经纬!A:N,14,FALSE)*N729)</f>
        <v/>
      </c>
      <c r="P729" s="8" t="str">
        <f t="shared" si="45"/>
        <v/>
      </c>
      <c r="R729" s="250" t="str">
        <f t="shared" si="48"/>
        <v/>
      </c>
    </row>
    <row r="730" spans="1:18">
      <c r="A730" s="4">
        <v>739</v>
      </c>
      <c r="C730" s="8" t="str">
        <f>IF(B730="","",VLOOKUP(B730,经纬!B:C,2,FALSE))</f>
        <v/>
      </c>
      <c r="D730" s="8" t="str">
        <f>IF(B730="","",VLOOKUP(B730,经纬!B:G,6,FALSE))</f>
        <v/>
      </c>
      <c r="F730" s="8" t="str">
        <f>IF(B730="","",VLOOKUP(B730,小圆机汇总表!A:AP,5,FALSE))</f>
        <v/>
      </c>
      <c r="G730" s="8" t="str">
        <f>IF(B730="","",VLOOKUP(B730,小圆机汇总表!A:AP,8,FALSE))</f>
        <v/>
      </c>
      <c r="J730" s="105" t="str">
        <f t="shared" si="46"/>
        <v/>
      </c>
      <c r="K730" s="105" t="str">
        <f t="shared" si="47"/>
        <v/>
      </c>
      <c r="L730" s="104" t="str">
        <f>IF(B730="","",VLOOKUP(B730&amp;F730&amp;H730,经纬!A:M,13,FALSE)*N730)</f>
        <v/>
      </c>
      <c r="M730" s="104" t="str">
        <f>IF(B730="","",VLOOKUP(B730&amp;F730&amp;H730,经纬!A:N,14,FALSE)*N730)</f>
        <v/>
      </c>
      <c r="P730" s="8" t="str">
        <f t="shared" ref="P730:P793" si="49">IF(B730="","",MONTH(I730))</f>
        <v/>
      </c>
      <c r="R730" s="250" t="str">
        <f t="shared" si="48"/>
        <v/>
      </c>
    </row>
    <row r="731" spans="1:18">
      <c r="A731" s="4">
        <v>740</v>
      </c>
      <c r="C731" s="8" t="str">
        <f>IF(B731="","",VLOOKUP(B731,经纬!B:C,2,FALSE))</f>
        <v/>
      </c>
      <c r="D731" s="8" t="str">
        <f>IF(B731="","",VLOOKUP(B731,经纬!B:G,6,FALSE))</f>
        <v/>
      </c>
      <c r="F731" s="8" t="str">
        <f>IF(B731="","",VLOOKUP(B731,小圆机汇总表!A:AP,5,FALSE))</f>
        <v/>
      </c>
      <c r="G731" s="8" t="str">
        <f>IF(B731="","",VLOOKUP(B731,小圆机汇总表!A:AP,8,FALSE))</f>
        <v/>
      </c>
      <c r="J731" s="105" t="str">
        <f t="shared" si="46"/>
        <v/>
      </c>
      <c r="K731" s="105" t="str">
        <f t="shared" si="47"/>
        <v/>
      </c>
      <c r="L731" s="104" t="str">
        <f>IF(B731="","",VLOOKUP(B731&amp;F731&amp;H731,经纬!A:M,13,FALSE)*N731)</f>
        <v/>
      </c>
      <c r="M731" s="104" t="str">
        <f>IF(B731="","",VLOOKUP(B731&amp;F731&amp;H731,经纬!A:N,14,FALSE)*N731)</f>
        <v/>
      </c>
      <c r="P731" s="8" t="str">
        <f t="shared" si="49"/>
        <v/>
      </c>
      <c r="R731" s="250" t="str">
        <f t="shared" si="48"/>
        <v/>
      </c>
    </row>
    <row r="732" spans="1:18">
      <c r="A732" s="4">
        <v>741</v>
      </c>
      <c r="C732" s="8" t="str">
        <f>IF(B732="","",VLOOKUP(B732,经纬!B:C,2,FALSE))</f>
        <v/>
      </c>
      <c r="D732" s="8" t="str">
        <f>IF(B732="","",VLOOKUP(B732,经纬!B:G,6,FALSE))</f>
        <v/>
      </c>
      <c r="F732" s="8" t="str">
        <f>IF(B732="","",VLOOKUP(B732,小圆机汇总表!A:AP,5,FALSE))</f>
        <v/>
      </c>
      <c r="G732" s="8" t="str">
        <f>IF(B732="","",VLOOKUP(B732,小圆机汇总表!A:AP,8,FALSE))</f>
        <v/>
      </c>
      <c r="J732" s="105" t="str">
        <f t="shared" si="46"/>
        <v/>
      </c>
      <c r="K732" s="105" t="str">
        <f t="shared" si="47"/>
        <v/>
      </c>
      <c r="L732" s="104" t="str">
        <f>IF(B732="","",VLOOKUP(B732&amp;F732&amp;H732,经纬!A:M,13,FALSE)*N732)</f>
        <v/>
      </c>
      <c r="M732" s="104" t="str">
        <f>IF(B732="","",VLOOKUP(B732&amp;F732&amp;H732,经纬!A:N,14,FALSE)*N732)</f>
        <v/>
      </c>
      <c r="P732" s="8" t="str">
        <f t="shared" si="49"/>
        <v/>
      </c>
      <c r="R732" s="250" t="str">
        <f t="shared" si="48"/>
        <v/>
      </c>
    </row>
    <row r="733" spans="1:18">
      <c r="A733" s="4">
        <v>742</v>
      </c>
      <c r="C733" s="8" t="str">
        <f>IF(B733="","",VLOOKUP(B733,经纬!B:C,2,FALSE))</f>
        <v/>
      </c>
      <c r="D733" s="8" t="str">
        <f>IF(B733="","",VLOOKUP(B733,经纬!B:G,6,FALSE))</f>
        <v/>
      </c>
      <c r="F733" s="8" t="str">
        <f>IF(B733="","",VLOOKUP(B733,小圆机汇总表!A:AP,5,FALSE))</f>
        <v/>
      </c>
      <c r="G733" s="8" t="str">
        <f>IF(B733="","",VLOOKUP(B733,小圆机汇总表!A:AP,8,FALSE))</f>
        <v/>
      </c>
      <c r="J733" s="105" t="str">
        <f t="shared" si="46"/>
        <v/>
      </c>
      <c r="K733" s="105" t="str">
        <f t="shared" si="47"/>
        <v/>
      </c>
      <c r="L733" s="104" t="str">
        <f>IF(B733="","",VLOOKUP(B733&amp;F733&amp;H733,经纬!A:M,13,FALSE)*N733)</f>
        <v/>
      </c>
      <c r="M733" s="104" t="str">
        <f>IF(B733="","",VLOOKUP(B733&amp;F733&amp;H733,经纬!A:N,14,FALSE)*N733)</f>
        <v/>
      </c>
      <c r="P733" s="8" t="str">
        <f t="shared" si="49"/>
        <v/>
      </c>
      <c r="R733" s="250" t="str">
        <f t="shared" si="48"/>
        <v/>
      </c>
    </row>
    <row r="734" spans="1:18">
      <c r="A734" s="4">
        <v>743</v>
      </c>
      <c r="C734" s="8" t="str">
        <f>IF(B734="","",VLOOKUP(B734,经纬!B:C,2,FALSE))</f>
        <v/>
      </c>
      <c r="D734" s="8" t="str">
        <f>IF(B734="","",VLOOKUP(B734,经纬!B:G,6,FALSE))</f>
        <v/>
      </c>
      <c r="F734" s="8" t="str">
        <f>IF(B734="","",VLOOKUP(B734,小圆机汇总表!A:AP,5,FALSE))</f>
        <v/>
      </c>
      <c r="G734" s="8" t="str">
        <f>IF(B734="","",VLOOKUP(B734,小圆机汇总表!A:AP,8,FALSE))</f>
        <v/>
      </c>
      <c r="J734" s="105" t="str">
        <f t="shared" si="46"/>
        <v/>
      </c>
      <c r="K734" s="105" t="str">
        <f t="shared" si="47"/>
        <v/>
      </c>
      <c r="L734" s="104" t="str">
        <f>IF(B734="","",VLOOKUP(B734&amp;F734&amp;H734,经纬!A:M,13,FALSE)*N734)</f>
        <v/>
      </c>
      <c r="M734" s="104" t="str">
        <f>IF(B734="","",VLOOKUP(B734&amp;F734&amp;H734,经纬!A:N,14,FALSE)*N734)</f>
        <v/>
      </c>
      <c r="P734" s="8" t="str">
        <f t="shared" si="49"/>
        <v/>
      </c>
      <c r="R734" s="250" t="str">
        <f t="shared" si="48"/>
        <v/>
      </c>
    </row>
    <row r="735" spans="1:18">
      <c r="A735" s="4">
        <v>744</v>
      </c>
      <c r="C735" s="8" t="str">
        <f>IF(B735="","",VLOOKUP(B735,经纬!B:C,2,FALSE))</f>
        <v/>
      </c>
      <c r="D735" s="8" t="str">
        <f>IF(B735="","",VLOOKUP(B735,经纬!B:G,6,FALSE))</f>
        <v/>
      </c>
      <c r="F735" s="8" t="str">
        <f>IF(B735="","",VLOOKUP(B735,小圆机汇总表!A:AP,5,FALSE))</f>
        <v/>
      </c>
      <c r="G735" s="8" t="str">
        <f>IF(B735="","",VLOOKUP(B735,小圆机汇总表!A:AP,8,FALSE))</f>
        <v/>
      </c>
      <c r="J735" s="105" t="str">
        <f t="shared" si="46"/>
        <v/>
      </c>
      <c r="K735" s="105" t="str">
        <f t="shared" si="47"/>
        <v/>
      </c>
      <c r="L735" s="104" t="str">
        <f>IF(B735="","",VLOOKUP(B735&amp;F735&amp;H735,经纬!A:M,13,FALSE)*N735)</f>
        <v/>
      </c>
      <c r="M735" s="104" t="str">
        <f>IF(B735="","",VLOOKUP(B735&amp;F735&amp;H735,经纬!A:N,14,FALSE)*N735)</f>
        <v/>
      </c>
      <c r="P735" s="8" t="str">
        <f t="shared" si="49"/>
        <v/>
      </c>
      <c r="R735" s="250" t="str">
        <f t="shared" si="48"/>
        <v/>
      </c>
    </row>
    <row r="736" spans="1:18">
      <c r="A736" s="4">
        <v>745</v>
      </c>
      <c r="C736" s="8" t="str">
        <f>IF(B736="","",VLOOKUP(B736,经纬!B:C,2,FALSE))</f>
        <v/>
      </c>
      <c r="D736" s="8" t="str">
        <f>IF(B736="","",VLOOKUP(B736,经纬!B:G,6,FALSE))</f>
        <v/>
      </c>
      <c r="F736" s="8" t="str">
        <f>IF(B736="","",VLOOKUP(B736,小圆机汇总表!A:AP,5,FALSE))</f>
        <v/>
      </c>
      <c r="G736" s="8" t="str">
        <f>IF(B736="","",VLOOKUP(B736,小圆机汇总表!A:AP,8,FALSE))</f>
        <v/>
      </c>
      <c r="J736" s="105" t="str">
        <f t="shared" si="46"/>
        <v/>
      </c>
      <c r="K736" s="105" t="str">
        <f t="shared" si="47"/>
        <v/>
      </c>
      <c r="L736" s="104" t="str">
        <f>IF(B736="","",VLOOKUP(B736&amp;F736&amp;H736,经纬!A:M,13,FALSE)*N736)</f>
        <v/>
      </c>
      <c r="M736" s="104" t="str">
        <f>IF(B736="","",VLOOKUP(B736&amp;F736&amp;H736,经纬!A:N,14,FALSE)*N736)</f>
        <v/>
      </c>
      <c r="P736" s="8" t="str">
        <f t="shared" si="49"/>
        <v/>
      </c>
      <c r="R736" s="250" t="str">
        <f t="shared" si="48"/>
        <v/>
      </c>
    </row>
    <row r="737" spans="1:18">
      <c r="A737" s="4">
        <v>746</v>
      </c>
      <c r="C737" s="8" t="str">
        <f>IF(B737="","",VLOOKUP(B737,经纬!B:C,2,FALSE))</f>
        <v/>
      </c>
      <c r="D737" s="8" t="str">
        <f>IF(B737="","",VLOOKUP(B737,经纬!B:G,6,FALSE))</f>
        <v/>
      </c>
      <c r="F737" s="8" t="str">
        <f>IF(B737="","",VLOOKUP(B737,小圆机汇总表!A:AP,5,FALSE))</f>
        <v/>
      </c>
      <c r="G737" s="8" t="str">
        <f>IF(B737="","",VLOOKUP(B737,小圆机汇总表!A:AP,8,FALSE))</f>
        <v/>
      </c>
      <c r="J737" s="105" t="str">
        <f t="shared" si="46"/>
        <v/>
      </c>
      <c r="K737" s="105" t="str">
        <f t="shared" si="47"/>
        <v/>
      </c>
      <c r="L737" s="104" t="str">
        <f>IF(B737="","",VLOOKUP(B737&amp;F737&amp;H737,经纬!A:M,13,FALSE)*N737)</f>
        <v/>
      </c>
      <c r="M737" s="104" t="str">
        <f>IF(B737="","",VLOOKUP(B737&amp;F737&amp;H737,经纬!A:N,14,FALSE)*N737)</f>
        <v/>
      </c>
      <c r="P737" s="8" t="str">
        <f t="shared" si="49"/>
        <v/>
      </c>
      <c r="R737" s="250" t="str">
        <f t="shared" si="48"/>
        <v/>
      </c>
    </row>
    <row r="738" spans="1:18">
      <c r="A738" s="4">
        <v>747</v>
      </c>
      <c r="C738" s="8" t="str">
        <f>IF(B738="","",VLOOKUP(B738,经纬!B:C,2,FALSE))</f>
        <v/>
      </c>
      <c r="D738" s="8" t="str">
        <f>IF(B738="","",VLOOKUP(B738,经纬!B:G,6,FALSE))</f>
        <v/>
      </c>
      <c r="F738" s="8" t="str">
        <f>IF(B738="","",VLOOKUP(B738,小圆机汇总表!A:AP,5,FALSE))</f>
        <v/>
      </c>
      <c r="G738" s="8" t="str">
        <f>IF(B738="","",VLOOKUP(B738,小圆机汇总表!A:AP,8,FALSE))</f>
        <v/>
      </c>
      <c r="J738" s="105" t="str">
        <f t="shared" si="46"/>
        <v/>
      </c>
      <c r="K738" s="105" t="str">
        <f t="shared" si="47"/>
        <v/>
      </c>
      <c r="L738" s="104" t="str">
        <f>IF(B738="","",VLOOKUP(B738&amp;F738&amp;H738,经纬!A:M,13,FALSE)*N738)</f>
        <v/>
      </c>
      <c r="M738" s="104" t="str">
        <f>IF(B738="","",VLOOKUP(B738&amp;F738&amp;H738,经纬!A:N,14,FALSE)*N738)</f>
        <v/>
      </c>
      <c r="P738" s="8" t="str">
        <f t="shared" si="49"/>
        <v/>
      </c>
      <c r="R738" s="250" t="str">
        <f t="shared" si="48"/>
        <v/>
      </c>
    </row>
    <row r="739" spans="1:18">
      <c r="A739" s="4">
        <v>748</v>
      </c>
      <c r="C739" s="8" t="str">
        <f>IF(B739="","",VLOOKUP(B739,经纬!B:C,2,FALSE))</f>
        <v/>
      </c>
      <c r="D739" s="8" t="str">
        <f>IF(B739="","",VLOOKUP(B739,经纬!B:G,6,FALSE))</f>
        <v/>
      </c>
      <c r="F739" s="8" t="str">
        <f>IF(B739="","",VLOOKUP(B739,小圆机汇总表!A:AP,5,FALSE))</f>
        <v/>
      </c>
      <c r="G739" s="8" t="str">
        <f>IF(B739="","",VLOOKUP(B739,小圆机汇总表!A:AP,8,FALSE))</f>
        <v/>
      </c>
      <c r="J739" s="105" t="str">
        <f t="shared" si="46"/>
        <v/>
      </c>
      <c r="K739" s="105" t="str">
        <f t="shared" si="47"/>
        <v/>
      </c>
      <c r="L739" s="104" t="str">
        <f>IF(B739="","",VLOOKUP(B739&amp;F739&amp;H739,经纬!A:M,13,FALSE)*N739)</f>
        <v/>
      </c>
      <c r="M739" s="104" t="str">
        <f>IF(B739="","",VLOOKUP(B739&amp;F739&amp;H739,经纬!A:N,14,FALSE)*N739)</f>
        <v/>
      </c>
      <c r="P739" s="8" t="str">
        <f t="shared" si="49"/>
        <v/>
      </c>
      <c r="R739" s="250" t="str">
        <f t="shared" si="48"/>
        <v/>
      </c>
    </row>
    <row r="740" spans="1:18">
      <c r="A740" s="4">
        <v>749</v>
      </c>
      <c r="C740" s="8" t="str">
        <f>IF(B740="","",VLOOKUP(B740,经纬!B:C,2,FALSE))</f>
        <v/>
      </c>
      <c r="D740" s="8" t="str">
        <f>IF(B740="","",VLOOKUP(B740,经纬!B:G,6,FALSE))</f>
        <v/>
      </c>
      <c r="F740" s="8" t="str">
        <f>IF(B740="","",VLOOKUP(B740,小圆机汇总表!A:AP,5,FALSE))</f>
        <v/>
      </c>
      <c r="G740" s="8" t="str">
        <f>IF(B740="","",VLOOKUP(B740,小圆机汇总表!A:AP,8,FALSE))</f>
        <v/>
      </c>
      <c r="J740" s="105" t="str">
        <f t="shared" si="46"/>
        <v/>
      </c>
      <c r="K740" s="105" t="str">
        <f t="shared" si="47"/>
        <v/>
      </c>
      <c r="L740" s="104" t="str">
        <f>IF(B740="","",VLOOKUP(B740&amp;F740&amp;H740,经纬!A:M,13,FALSE)*N740)</f>
        <v/>
      </c>
      <c r="M740" s="104" t="str">
        <f>IF(B740="","",VLOOKUP(B740&amp;F740&amp;H740,经纬!A:N,14,FALSE)*N740)</f>
        <v/>
      </c>
      <c r="P740" s="8" t="str">
        <f t="shared" si="49"/>
        <v/>
      </c>
      <c r="R740" s="250" t="str">
        <f t="shared" si="48"/>
        <v/>
      </c>
    </row>
    <row r="741" spans="1:18">
      <c r="A741" s="4">
        <v>750</v>
      </c>
      <c r="C741" s="8" t="str">
        <f>IF(B741="","",VLOOKUP(B741,经纬!B:C,2,FALSE))</f>
        <v/>
      </c>
      <c r="D741" s="8" t="str">
        <f>IF(B741="","",VLOOKUP(B741,经纬!B:G,6,FALSE))</f>
        <v/>
      </c>
      <c r="F741" s="8" t="str">
        <f>IF(B741="","",VLOOKUP(B741,小圆机汇总表!A:AP,5,FALSE))</f>
        <v/>
      </c>
      <c r="G741" s="8" t="str">
        <f>IF(B741="","",VLOOKUP(B741,小圆机汇总表!A:AP,8,FALSE))</f>
        <v/>
      </c>
      <c r="J741" s="105" t="str">
        <f t="shared" si="46"/>
        <v/>
      </c>
      <c r="K741" s="105" t="str">
        <f t="shared" si="47"/>
        <v/>
      </c>
      <c r="L741" s="104" t="str">
        <f>IF(B741="","",VLOOKUP(B741&amp;F741&amp;H741,经纬!A:M,13,FALSE)*N741)</f>
        <v/>
      </c>
      <c r="M741" s="104" t="str">
        <f>IF(B741="","",VLOOKUP(B741&amp;F741&amp;H741,经纬!A:N,14,FALSE)*N741)</f>
        <v/>
      </c>
      <c r="P741" s="8" t="str">
        <f t="shared" si="49"/>
        <v/>
      </c>
      <c r="R741" s="250" t="str">
        <f t="shared" si="48"/>
        <v/>
      </c>
    </row>
    <row r="742" spans="1:18">
      <c r="A742" s="4">
        <v>751</v>
      </c>
      <c r="C742" s="8" t="str">
        <f>IF(B742="","",VLOOKUP(B742,经纬!B:C,2,FALSE))</f>
        <v/>
      </c>
      <c r="D742" s="8" t="str">
        <f>IF(B742="","",VLOOKUP(B742,经纬!B:G,6,FALSE))</f>
        <v/>
      </c>
      <c r="F742" s="8" t="str">
        <f>IF(B742="","",VLOOKUP(B742,小圆机汇总表!A:AP,5,FALSE))</f>
        <v/>
      </c>
      <c r="G742" s="8" t="str">
        <f>IF(B742="","",VLOOKUP(B742,小圆机汇总表!A:AP,8,FALSE))</f>
        <v/>
      </c>
      <c r="J742" s="105" t="str">
        <f t="shared" si="46"/>
        <v/>
      </c>
      <c r="K742" s="105" t="str">
        <f t="shared" si="47"/>
        <v/>
      </c>
      <c r="L742" s="104" t="str">
        <f>IF(B742="","",VLOOKUP(B742&amp;F742&amp;H742,经纬!A:M,13,FALSE)*N742)</f>
        <v/>
      </c>
      <c r="M742" s="104" t="str">
        <f>IF(B742="","",VLOOKUP(B742&amp;F742&amp;H742,经纬!A:N,14,FALSE)*N742)</f>
        <v/>
      </c>
      <c r="P742" s="8" t="str">
        <f t="shared" si="49"/>
        <v/>
      </c>
      <c r="R742" s="250" t="str">
        <f t="shared" si="48"/>
        <v/>
      </c>
    </row>
    <row r="743" spans="1:18">
      <c r="A743" s="4">
        <v>752</v>
      </c>
      <c r="C743" s="8" t="str">
        <f>IF(B743="","",VLOOKUP(B743,经纬!B:C,2,FALSE))</f>
        <v/>
      </c>
      <c r="D743" s="8" t="str">
        <f>IF(B743="","",VLOOKUP(B743,经纬!B:G,6,FALSE))</f>
        <v/>
      </c>
      <c r="F743" s="8" t="str">
        <f>IF(B743="","",VLOOKUP(B743,小圆机汇总表!A:AP,5,FALSE))</f>
        <v/>
      </c>
      <c r="G743" s="8" t="str">
        <f>IF(B743="","",VLOOKUP(B743,小圆机汇总表!A:AP,8,FALSE))</f>
        <v/>
      </c>
      <c r="J743" s="105" t="str">
        <f t="shared" si="46"/>
        <v/>
      </c>
      <c r="K743" s="105" t="str">
        <f t="shared" si="47"/>
        <v/>
      </c>
      <c r="L743" s="104" t="str">
        <f>IF(B743="","",VLOOKUP(B743&amp;F743&amp;H743,经纬!A:M,13,FALSE)*N743)</f>
        <v/>
      </c>
      <c r="M743" s="104" t="str">
        <f>IF(B743="","",VLOOKUP(B743&amp;F743&amp;H743,经纬!A:N,14,FALSE)*N743)</f>
        <v/>
      </c>
      <c r="P743" s="8" t="str">
        <f t="shared" si="49"/>
        <v/>
      </c>
      <c r="R743" s="250" t="str">
        <f t="shared" si="48"/>
        <v/>
      </c>
    </row>
    <row r="744" spans="1:18">
      <c r="A744" s="4">
        <v>753</v>
      </c>
      <c r="C744" s="8" t="str">
        <f>IF(B744="","",VLOOKUP(B744,经纬!B:C,2,FALSE))</f>
        <v/>
      </c>
      <c r="D744" s="8" t="str">
        <f>IF(B744="","",VLOOKUP(B744,经纬!B:G,6,FALSE))</f>
        <v/>
      </c>
      <c r="F744" s="8" t="str">
        <f>IF(B744="","",VLOOKUP(B744,小圆机汇总表!A:AP,5,FALSE))</f>
        <v/>
      </c>
      <c r="G744" s="8" t="str">
        <f>IF(B744="","",VLOOKUP(B744,小圆机汇总表!A:AP,8,FALSE))</f>
        <v/>
      </c>
      <c r="J744" s="105" t="str">
        <f t="shared" si="46"/>
        <v/>
      </c>
      <c r="K744" s="105" t="str">
        <f t="shared" si="47"/>
        <v/>
      </c>
      <c r="L744" s="104" t="str">
        <f>IF(B744="","",VLOOKUP(B744&amp;F744&amp;H744,经纬!A:M,13,FALSE)*N744)</f>
        <v/>
      </c>
      <c r="M744" s="104" t="str">
        <f>IF(B744="","",VLOOKUP(B744&amp;F744&amp;H744,经纬!A:N,14,FALSE)*N744)</f>
        <v/>
      </c>
      <c r="P744" s="8" t="str">
        <f t="shared" si="49"/>
        <v/>
      </c>
      <c r="R744" s="250" t="str">
        <f t="shared" si="48"/>
        <v/>
      </c>
    </row>
    <row r="745" spans="1:18">
      <c r="A745" s="4">
        <v>754</v>
      </c>
      <c r="C745" s="8" t="str">
        <f>IF(B745="","",VLOOKUP(B745,经纬!B:C,2,FALSE))</f>
        <v/>
      </c>
      <c r="D745" s="8" t="str">
        <f>IF(B745="","",VLOOKUP(B745,经纬!B:G,6,FALSE))</f>
        <v/>
      </c>
      <c r="F745" s="8" t="str">
        <f>IF(B745="","",VLOOKUP(B745,小圆机汇总表!A:AP,5,FALSE))</f>
        <v/>
      </c>
      <c r="G745" s="8" t="str">
        <f>IF(B745="","",VLOOKUP(B745,小圆机汇总表!A:AP,8,FALSE))</f>
        <v/>
      </c>
      <c r="J745" s="105" t="str">
        <f t="shared" si="46"/>
        <v/>
      </c>
      <c r="K745" s="105" t="str">
        <f t="shared" si="47"/>
        <v/>
      </c>
      <c r="L745" s="104" t="str">
        <f>IF(B745="","",VLOOKUP(B745&amp;F745&amp;H745,经纬!A:M,13,FALSE)*N745)</f>
        <v/>
      </c>
      <c r="M745" s="104" t="str">
        <f>IF(B745="","",VLOOKUP(B745&amp;F745&amp;H745,经纬!A:N,14,FALSE)*N745)</f>
        <v/>
      </c>
      <c r="P745" s="8" t="str">
        <f t="shared" si="49"/>
        <v/>
      </c>
      <c r="R745" s="250" t="str">
        <f t="shared" si="48"/>
        <v/>
      </c>
    </row>
    <row r="746" spans="1:18">
      <c r="A746" s="4">
        <v>755</v>
      </c>
      <c r="C746" s="8" t="str">
        <f>IF(B746="","",VLOOKUP(B746,经纬!B:C,2,FALSE))</f>
        <v/>
      </c>
      <c r="D746" s="8" t="str">
        <f>IF(B746="","",VLOOKUP(B746,经纬!B:G,6,FALSE))</f>
        <v/>
      </c>
      <c r="F746" s="8" t="str">
        <f>IF(B746="","",VLOOKUP(B746,小圆机汇总表!A:AP,5,FALSE))</f>
        <v/>
      </c>
      <c r="G746" s="8" t="str">
        <f>IF(B746="","",VLOOKUP(B746,小圆机汇总表!A:AP,8,FALSE))</f>
        <v/>
      </c>
      <c r="J746" s="105" t="str">
        <f t="shared" si="46"/>
        <v/>
      </c>
      <c r="K746" s="105" t="str">
        <f t="shared" si="47"/>
        <v/>
      </c>
      <c r="L746" s="104" t="str">
        <f>IF(B746="","",VLOOKUP(B746&amp;F746&amp;H746,经纬!A:M,13,FALSE)*N746)</f>
        <v/>
      </c>
      <c r="M746" s="104" t="str">
        <f>IF(B746="","",VLOOKUP(B746&amp;F746&amp;H746,经纬!A:N,14,FALSE)*N746)</f>
        <v/>
      </c>
      <c r="P746" s="8" t="str">
        <f t="shared" si="49"/>
        <v/>
      </c>
      <c r="R746" s="250" t="str">
        <f t="shared" si="48"/>
        <v/>
      </c>
    </row>
    <row r="747" spans="1:18">
      <c r="A747" s="4">
        <v>756</v>
      </c>
      <c r="C747" s="8" t="str">
        <f>IF(B747="","",VLOOKUP(B747,经纬!B:C,2,FALSE))</f>
        <v/>
      </c>
      <c r="D747" s="8" t="str">
        <f>IF(B747="","",VLOOKUP(B747,经纬!B:G,6,FALSE))</f>
        <v/>
      </c>
      <c r="F747" s="8" t="str">
        <f>IF(B747="","",VLOOKUP(B747,小圆机汇总表!A:AP,5,FALSE))</f>
        <v/>
      </c>
      <c r="G747" s="8" t="str">
        <f>IF(B747="","",VLOOKUP(B747,小圆机汇总表!A:AP,8,FALSE))</f>
        <v/>
      </c>
      <c r="J747" s="105" t="str">
        <f t="shared" si="46"/>
        <v/>
      </c>
      <c r="K747" s="105" t="str">
        <f t="shared" si="47"/>
        <v/>
      </c>
      <c r="L747" s="104" t="str">
        <f>IF(B747="","",VLOOKUP(B747&amp;F747&amp;H747,经纬!A:M,13,FALSE)*N747)</f>
        <v/>
      </c>
      <c r="M747" s="104" t="str">
        <f>IF(B747="","",VLOOKUP(B747&amp;F747&amp;H747,经纬!A:N,14,FALSE)*N747)</f>
        <v/>
      </c>
      <c r="P747" s="8" t="str">
        <f t="shared" si="49"/>
        <v/>
      </c>
      <c r="R747" s="250" t="str">
        <f t="shared" si="48"/>
        <v/>
      </c>
    </row>
    <row r="748" spans="1:18">
      <c r="A748" s="4">
        <v>757</v>
      </c>
      <c r="C748" s="8" t="str">
        <f>IF(B748="","",VLOOKUP(B748,经纬!B:C,2,FALSE))</f>
        <v/>
      </c>
      <c r="D748" s="8" t="str">
        <f>IF(B748="","",VLOOKUP(B748,经纬!B:G,6,FALSE))</f>
        <v/>
      </c>
      <c r="F748" s="8" t="str">
        <f>IF(B748="","",VLOOKUP(B748,小圆机汇总表!A:AP,5,FALSE))</f>
        <v/>
      </c>
      <c r="G748" s="8" t="str">
        <f>IF(B748="","",VLOOKUP(B748,小圆机汇总表!A:AP,8,FALSE))</f>
        <v/>
      </c>
      <c r="J748" s="105" t="str">
        <f t="shared" si="46"/>
        <v/>
      </c>
      <c r="K748" s="105" t="str">
        <f t="shared" si="47"/>
        <v/>
      </c>
      <c r="L748" s="104" t="str">
        <f>IF(B748="","",VLOOKUP(B748&amp;F748&amp;H748,经纬!A:M,13,FALSE)*N748)</f>
        <v/>
      </c>
      <c r="M748" s="104" t="str">
        <f>IF(B748="","",VLOOKUP(B748&amp;F748&amp;H748,经纬!A:N,14,FALSE)*N748)</f>
        <v/>
      </c>
      <c r="P748" s="8" t="str">
        <f t="shared" si="49"/>
        <v/>
      </c>
      <c r="R748" s="250" t="str">
        <f t="shared" si="48"/>
        <v/>
      </c>
    </row>
    <row r="749" spans="1:18">
      <c r="A749" s="4">
        <v>758</v>
      </c>
      <c r="C749" s="8" t="str">
        <f>IF(B749="","",VLOOKUP(B749,经纬!B:C,2,FALSE))</f>
        <v/>
      </c>
      <c r="D749" s="8" t="str">
        <f>IF(B749="","",VLOOKUP(B749,经纬!B:G,6,FALSE))</f>
        <v/>
      </c>
      <c r="F749" s="8" t="str">
        <f>IF(B749="","",VLOOKUP(B749,小圆机汇总表!A:AP,5,FALSE))</f>
        <v/>
      </c>
      <c r="G749" s="8" t="str">
        <f>IF(B749="","",VLOOKUP(B749,小圆机汇总表!A:AP,8,FALSE))</f>
        <v/>
      </c>
      <c r="J749" s="105" t="str">
        <f t="shared" si="46"/>
        <v/>
      </c>
      <c r="K749" s="105" t="str">
        <f t="shared" si="47"/>
        <v/>
      </c>
      <c r="L749" s="104" t="str">
        <f>IF(B749="","",VLOOKUP(B749&amp;F749&amp;H749,经纬!A:M,13,FALSE)*N749)</f>
        <v/>
      </c>
      <c r="M749" s="104" t="str">
        <f>IF(B749="","",VLOOKUP(B749&amp;F749&amp;H749,经纬!A:N,14,FALSE)*N749)</f>
        <v/>
      </c>
      <c r="P749" s="8" t="str">
        <f t="shared" si="49"/>
        <v/>
      </c>
      <c r="R749" s="250" t="str">
        <f t="shared" si="48"/>
        <v/>
      </c>
    </row>
    <row r="750" spans="1:18">
      <c r="A750" s="4">
        <v>759</v>
      </c>
      <c r="C750" s="8" t="str">
        <f>IF(B750="","",VLOOKUP(B750,经纬!B:C,2,FALSE))</f>
        <v/>
      </c>
      <c r="D750" s="8" t="str">
        <f>IF(B750="","",VLOOKUP(B750,经纬!B:G,6,FALSE))</f>
        <v/>
      </c>
      <c r="F750" s="8" t="str">
        <f>IF(B750="","",VLOOKUP(B750,小圆机汇总表!A:AP,5,FALSE))</f>
        <v/>
      </c>
      <c r="G750" s="8" t="str">
        <f>IF(B750="","",VLOOKUP(B750,小圆机汇总表!A:AP,8,FALSE))</f>
        <v/>
      </c>
      <c r="J750" s="105" t="str">
        <f t="shared" si="46"/>
        <v/>
      </c>
      <c r="K750" s="105" t="str">
        <f t="shared" si="47"/>
        <v/>
      </c>
      <c r="L750" s="104" t="str">
        <f>IF(B750="","",VLOOKUP(B750&amp;F750&amp;H750,经纬!A:M,13,FALSE)*N750)</f>
        <v/>
      </c>
      <c r="M750" s="104" t="str">
        <f>IF(B750="","",VLOOKUP(B750&amp;F750&amp;H750,经纬!A:N,14,FALSE)*N750)</f>
        <v/>
      </c>
      <c r="P750" s="8" t="str">
        <f t="shared" si="49"/>
        <v/>
      </c>
      <c r="R750" s="250" t="str">
        <f t="shared" si="48"/>
        <v/>
      </c>
    </row>
    <row r="751" spans="1:18">
      <c r="A751" s="4">
        <v>760</v>
      </c>
      <c r="C751" s="8" t="str">
        <f>IF(B751="","",VLOOKUP(B751,经纬!B:C,2,FALSE))</f>
        <v/>
      </c>
      <c r="D751" s="8" t="str">
        <f>IF(B751="","",VLOOKUP(B751,经纬!B:G,6,FALSE))</f>
        <v/>
      </c>
      <c r="F751" s="8" t="str">
        <f>IF(B751="","",VLOOKUP(B751,小圆机汇总表!A:AP,5,FALSE))</f>
        <v/>
      </c>
      <c r="G751" s="8" t="str">
        <f>IF(B751="","",VLOOKUP(B751,小圆机汇总表!A:AP,8,FALSE))</f>
        <v/>
      </c>
      <c r="J751" s="105" t="str">
        <f t="shared" si="46"/>
        <v/>
      </c>
      <c r="K751" s="105" t="str">
        <f t="shared" si="47"/>
        <v/>
      </c>
      <c r="L751" s="104" t="str">
        <f>IF(B751="","",VLOOKUP(B751&amp;F751&amp;H751,经纬!A:M,13,FALSE)*N751)</f>
        <v/>
      </c>
      <c r="M751" s="104" t="str">
        <f>IF(B751="","",VLOOKUP(B751&amp;F751&amp;H751,经纬!A:N,14,FALSE)*N751)</f>
        <v/>
      </c>
      <c r="P751" s="8" t="str">
        <f t="shared" si="49"/>
        <v/>
      </c>
      <c r="R751" s="250" t="str">
        <f t="shared" si="48"/>
        <v/>
      </c>
    </row>
    <row r="752" spans="1:18">
      <c r="A752" s="4">
        <v>761</v>
      </c>
      <c r="C752" s="8" t="str">
        <f>IF(B752="","",VLOOKUP(B752,经纬!B:C,2,FALSE))</f>
        <v/>
      </c>
      <c r="D752" s="8" t="str">
        <f>IF(B752="","",VLOOKUP(B752,经纬!B:G,6,FALSE))</f>
        <v/>
      </c>
      <c r="F752" s="8" t="str">
        <f>IF(B752="","",VLOOKUP(B752,小圆机汇总表!A:AP,5,FALSE))</f>
        <v/>
      </c>
      <c r="G752" s="8" t="str">
        <f>IF(B752="","",VLOOKUP(B752,小圆机汇总表!A:AP,8,FALSE))</f>
        <v/>
      </c>
      <c r="J752" s="105" t="str">
        <f t="shared" si="46"/>
        <v/>
      </c>
      <c r="K752" s="105" t="str">
        <f t="shared" si="47"/>
        <v/>
      </c>
      <c r="L752" s="104" t="str">
        <f>IF(B752="","",VLOOKUP(B752&amp;F752&amp;H752,经纬!A:M,13,FALSE)*N752)</f>
        <v/>
      </c>
      <c r="M752" s="104" t="str">
        <f>IF(B752="","",VLOOKUP(B752&amp;F752&amp;H752,经纬!A:N,14,FALSE)*N752)</f>
        <v/>
      </c>
      <c r="P752" s="8" t="str">
        <f t="shared" si="49"/>
        <v/>
      </c>
      <c r="R752" s="250" t="str">
        <f t="shared" si="48"/>
        <v/>
      </c>
    </row>
    <row r="753" spans="1:18">
      <c r="A753" s="4">
        <v>762</v>
      </c>
      <c r="C753" s="8" t="str">
        <f>IF(B753="","",VLOOKUP(B753,经纬!B:C,2,FALSE))</f>
        <v/>
      </c>
      <c r="D753" s="8" t="str">
        <f>IF(B753="","",VLOOKUP(B753,经纬!B:G,6,FALSE))</f>
        <v/>
      </c>
      <c r="F753" s="8" t="str">
        <f>IF(B753="","",VLOOKUP(B753,小圆机汇总表!A:AP,5,FALSE))</f>
        <v/>
      </c>
      <c r="G753" s="8" t="str">
        <f>IF(B753="","",VLOOKUP(B753,小圆机汇总表!A:AP,8,FALSE))</f>
        <v/>
      </c>
      <c r="J753" s="105" t="str">
        <f t="shared" si="46"/>
        <v/>
      </c>
      <c r="K753" s="105" t="str">
        <f t="shared" si="47"/>
        <v/>
      </c>
      <c r="L753" s="104" t="str">
        <f>IF(B753="","",VLOOKUP(B753&amp;F753&amp;H753,经纬!A:M,13,FALSE)*N753)</f>
        <v/>
      </c>
      <c r="M753" s="104" t="str">
        <f>IF(B753="","",VLOOKUP(B753&amp;F753&amp;H753,经纬!A:N,14,FALSE)*N753)</f>
        <v/>
      </c>
      <c r="P753" s="8" t="str">
        <f t="shared" si="49"/>
        <v/>
      </c>
      <c r="R753" s="250" t="str">
        <f t="shared" si="48"/>
        <v/>
      </c>
    </row>
    <row r="754" spans="1:18">
      <c r="A754" s="4">
        <v>763</v>
      </c>
      <c r="C754" s="8" t="str">
        <f>IF(B754="","",VLOOKUP(B754,经纬!B:C,2,FALSE))</f>
        <v/>
      </c>
      <c r="D754" s="8" t="str">
        <f>IF(B754="","",VLOOKUP(B754,经纬!B:G,6,FALSE))</f>
        <v/>
      </c>
      <c r="F754" s="8" t="str">
        <f>IF(B754="","",VLOOKUP(B754,小圆机汇总表!A:AP,5,FALSE))</f>
        <v/>
      </c>
      <c r="G754" s="8" t="str">
        <f>IF(B754="","",VLOOKUP(B754,小圆机汇总表!A:AP,8,FALSE))</f>
        <v/>
      </c>
      <c r="J754" s="105" t="str">
        <f t="shared" si="46"/>
        <v/>
      </c>
      <c r="K754" s="105" t="str">
        <f t="shared" si="47"/>
        <v/>
      </c>
      <c r="L754" s="104" t="str">
        <f>IF(B754="","",VLOOKUP(B754&amp;F754&amp;H754,经纬!A:M,13,FALSE)*N754)</f>
        <v/>
      </c>
      <c r="M754" s="104" t="str">
        <f>IF(B754="","",VLOOKUP(B754&amp;F754&amp;H754,经纬!A:N,14,FALSE)*N754)</f>
        <v/>
      </c>
      <c r="P754" s="8" t="str">
        <f t="shared" si="49"/>
        <v/>
      </c>
      <c r="R754" s="250" t="str">
        <f t="shared" si="48"/>
        <v/>
      </c>
    </row>
    <row r="755" spans="1:18">
      <c r="A755" s="4">
        <v>764</v>
      </c>
      <c r="C755" s="8" t="str">
        <f>IF(B755="","",VLOOKUP(B755,经纬!B:C,2,FALSE))</f>
        <v/>
      </c>
      <c r="D755" s="8" t="str">
        <f>IF(B755="","",VLOOKUP(B755,经纬!B:G,6,FALSE))</f>
        <v/>
      </c>
      <c r="F755" s="8" t="str">
        <f>IF(B755="","",VLOOKUP(B755,小圆机汇总表!A:AP,5,FALSE))</f>
        <v/>
      </c>
      <c r="G755" s="8" t="str">
        <f>IF(B755="","",VLOOKUP(B755,小圆机汇总表!A:AP,8,FALSE))</f>
        <v/>
      </c>
      <c r="J755" s="105" t="str">
        <f t="shared" si="46"/>
        <v/>
      </c>
      <c r="K755" s="105" t="str">
        <f t="shared" si="47"/>
        <v/>
      </c>
      <c r="L755" s="104" t="str">
        <f>IF(B755="","",VLOOKUP(B755&amp;F755&amp;H755,经纬!A:M,13,FALSE)*N755)</f>
        <v/>
      </c>
      <c r="M755" s="104" t="str">
        <f>IF(B755="","",VLOOKUP(B755&amp;F755&amp;H755,经纬!A:N,14,FALSE)*N755)</f>
        <v/>
      </c>
      <c r="P755" s="8" t="str">
        <f t="shared" si="49"/>
        <v/>
      </c>
      <c r="R755" s="250" t="str">
        <f t="shared" si="48"/>
        <v/>
      </c>
    </row>
    <row r="756" spans="1:18">
      <c r="A756" s="4">
        <v>765</v>
      </c>
      <c r="C756" s="8" t="str">
        <f>IF(B756="","",VLOOKUP(B756,经纬!B:C,2,FALSE))</f>
        <v/>
      </c>
      <c r="D756" s="8" t="str">
        <f>IF(B756="","",VLOOKUP(B756,经纬!B:G,6,FALSE))</f>
        <v/>
      </c>
      <c r="F756" s="8" t="str">
        <f>IF(B756="","",VLOOKUP(B756,小圆机汇总表!A:AP,5,FALSE))</f>
        <v/>
      </c>
      <c r="G756" s="8" t="str">
        <f>IF(B756="","",VLOOKUP(B756,小圆机汇总表!A:AP,8,FALSE))</f>
        <v/>
      </c>
      <c r="J756" s="105" t="str">
        <f t="shared" si="46"/>
        <v/>
      </c>
      <c r="K756" s="105" t="str">
        <f t="shared" si="47"/>
        <v/>
      </c>
      <c r="L756" s="104" t="str">
        <f>IF(B756="","",VLOOKUP(B756&amp;F756&amp;H756,经纬!A:M,13,FALSE)*N756)</f>
        <v/>
      </c>
      <c r="M756" s="104" t="str">
        <f>IF(B756="","",VLOOKUP(B756&amp;F756&amp;H756,经纬!A:N,14,FALSE)*N756)</f>
        <v/>
      </c>
      <c r="P756" s="8" t="str">
        <f t="shared" si="49"/>
        <v/>
      </c>
      <c r="R756" s="250" t="str">
        <f t="shared" si="48"/>
        <v/>
      </c>
    </row>
    <row r="757" spans="1:18">
      <c r="A757" s="4">
        <v>766</v>
      </c>
      <c r="C757" s="8" t="str">
        <f>IF(B757="","",VLOOKUP(B757,经纬!B:C,2,FALSE))</f>
        <v/>
      </c>
      <c r="D757" s="8" t="str">
        <f>IF(B757="","",VLOOKUP(B757,经纬!B:G,6,FALSE))</f>
        <v/>
      </c>
      <c r="F757" s="8" t="str">
        <f>IF(B757="","",VLOOKUP(B757,小圆机汇总表!A:AP,5,FALSE))</f>
        <v/>
      </c>
      <c r="G757" s="8" t="str">
        <f>IF(B757="","",VLOOKUP(B757,小圆机汇总表!A:AP,8,FALSE))</f>
        <v/>
      </c>
      <c r="J757" s="105" t="str">
        <f t="shared" si="46"/>
        <v/>
      </c>
      <c r="K757" s="105" t="str">
        <f t="shared" si="47"/>
        <v/>
      </c>
      <c r="L757" s="104" t="str">
        <f>IF(B757="","",VLOOKUP(B757&amp;F757&amp;H757,经纬!A:M,13,FALSE)*N757)</f>
        <v/>
      </c>
      <c r="M757" s="104" t="str">
        <f>IF(B757="","",VLOOKUP(B757&amp;F757&amp;H757,经纬!A:N,14,FALSE)*N757)</f>
        <v/>
      </c>
      <c r="P757" s="8" t="str">
        <f t="shared" si="49"/>
        <v/>
      </c>
      <c r="R757" s="250" t="str">
        <f t="shared" si="48"/>
        <v/>
      </c>
    </row>
    <row r="758" spans="1:18">
      <c r="A758" s="4">
        <v>767</v>
      </c>
      <c r="C758" s="8" t="str">
        <f>IF(B758="","",VLOOKUP(B758,经纬!B:C,2,FALSE))</f>
        <v/>
      </c>
      <c r="D758" s="8" t="str">
        <f>IF(B758="","",VLOOKUP(B758,经纬!B:G,6,FALSE))</f>
        <v/>
      </c>
      <c r="F758" s="8" t="str">
        <f>IF(B758="","",VLOOKUP(B758,小圆机汇总表!A:AP,5,FALSE))</f>
        <v/>
      </c>
      <c r="G758" s="8" t="str">
        <f>IF(B758="","",VLOOKUP(B758,小圆机汇总表!A:AP,8,FALSE))</f>
        <v/>
      </c>
      <c r="J758" s="105" t="str">
        <f t="shared" si="46"/>
        <v/>
      </c>
      <c r="K758" s="105" t="str">
        <f t="shared" si="47"/>
        <v/>
      </c>
      <c r="L758" s="104" t="str">
        <f>IF(B758="","",VLOOKUP(B758&amp;F758&amp;H758,经纬!A:M,13,FALSE)*N758)</f>
        <v/>
      </c>
      <c r="M758" s="104" t="str">
        <f>IF(B758="","",VLOOKUP(B758&amp;F758&amp;H758,经纬!A:N,14,FALSE)*N758)</f>
        <v/>
      </c>
      <c r="P758" s="8" t="str">
        <f t="shared" si="49"/>
        <v/>
      </c>
      <c r="R758" s="250" t="str">
        <f t="shared" si="48"/>
        <v/>
      </c>
    </row>
    <row r="759" spans="1:18">
      <c r="A759" s="4">
        <v>768</v>
      </c>
      <c r="C759" s="8" t="str">
        <f>IF(B759="","",VLOOKUP(B759,经纬!B:C,2,FALSE))</f>
        <v/>
      </c>
      <c r="D759" s="8" t="str">
        <f>IF(B759="","",VLOOKUP(B759,经纬!B:G,6,FALSE))</f>
        <v/>
      </c>
      <c r="F759" s="8" t="str">
        <f>IF(B759="","",VLOOKUP(B759,小圆机汇总表!A:AP,5,FALSE))</f>
        <v/>
      </c>
      <c r="G759" s="8" t="str">
        <f>IF(B759="","",VLOOKUP(B759,小圆机汇总表!A:AP,8,FALSE))</f>
        <v/>
      </c>
      <c r="J759" s="105" t="str">
        <f t="shared" si="46"/>
        <v/>
      </c>
      <c r="K759" s="105" t="str">
        <f t="shared" si="47"/>
        <v/>
      </c>
      <c r="L759" s="104" t="str">
        <f>IF(B759="","",VLOOKUP(B759&amp;F759&amp;H759,经纬!A:M,13,FALSE)*N759)</f>
        <v/>
      </c>
      <c r="M759" s="104" t="str">
        <f>IF(B759="","",VLOOKUP(B759&amp;F759&amp;H759,经纬!A:N,14,FALSE)*N759)</f>
        <v/>
      </c>
      <c r="P759" s="8" t="str">
        <f t="shared" si="49"/>
        <v/>
      </c>
      <c r="R759" s="250" t="str">
        <f t="shared" si="48"/>
        <v/>
      </c>
    </row>
    <row r="760" spans="1:18">
      <c r="A760" s="4">
        <v>769</v>
      </c>
      <c r="C760" s="8" t="str">
        <f>IF(B760="","",VLOOKUP(B760,经纬!B:C,2,FALSE))</f>
        <v/>
      </c>
      <c r="D760" s="8" t="str">
        <f>IF(B760="","",VLOOKUP(B760,经纬!B:G,6,FALSE))</f>
        <v/>
      </c>
      <c r="F760" s="8" t="str">
        <f>IF(B760="","",VLOOKUP(B760,小圆机汇总表!A:AP,5,FALSE))</f>
        <v/>
      </c>
      <c r="G760" s="8" t="str">
        <f>IF(B760="","",VLOOKUP(B760,小圆机汇总表!A:AP,8,FALSE))</f>
        <v/>
      </c>
      <c r="J760" s="105" t="str">
        <f t="shared" si="46"/>
        <v/>
      </c>
      <c r="K760" s="105" t="str">
        <f t="shared" si="47"/>
        <v/>
      </c>
      <c r="L760" s="104" t="str">
        <f>IF(B760="","",VLOOKUP(B760&amp;F760&amp;H760,经纬!A:M,13,FALSE)*N760)</f>
        <v/>
      </c>
      <c r="M760" s="104" t="str">
        <f>IF(B760="","",VLOOKUP(B760&amp;F760&amp;H760,经纬!A:N,14,FALSE)*N760)</f>
        <v/>
      </c>
      <c r="P760" s="8" t="str">
        <f t="shared" si="49"/>
        <v/>
      </c>
      <c r="R760" s="250" t="str">
        <f t="shared" si="48"/>
        <v/>
      </c>
    </row>
    <row r="761" spans="1:18">
      <c r="A761" s="4">
        <v>770</v>
      </c>
      <c r="C761" s="8" t="str">
        <f>IF(B761="","",VLOOKUP(B761,经纬!B:C,2,FALSE))</f>
        <v/>
      </c>
      <c r="D761" s="8" t="str">
        <f>IF(B761="","",VLOOKUP(B761,经纬!B:G,6,FALSE))</f>
        <v/>
      </c>
      <c r="F761" s="8" t="str">
        <f>IF(B761="","",VLOOKUP(B761,小圆机汇总表!A:AP,5,FALSE))</f>
        <v/>
      </c>
      <c r="G761" s="8" t="str">
        <f>IF(B761="","",VLOOKUP(B761,小圆机汇总表!A:AP,8,FALSE))</f>
        <v/>
      </c>
      <c r="J761" s="105" t="str">
        <f t="shared" si="46"/>
        <v/>
      </c>
      <c r="K761" s="105" t="str">
        <f t="shared" si="47"/>
        <v/>
      </c>
      <c r="L761" s="104" t="str">
        <f>IF(B761="","",VLOOKUP(B761&amp;F761&amp;H761,经纬!A:M,13,FALSE)*N761)</f>
        <v/>
      </c>
      <c r="M761" s="104" t="str">
        <f>IF(B761="","",VLOOKUP(B761&amp;F761&amp;H761,经纬!A:N,14,FALSE)*N761)</f>
        <v/>
      </c>
      <c r="P761" s="8" t="str">
        <f t="shared" si="49"/>
        <v/>
      </c>
      <c r="R761" s="250" t="str">
        <f t="shared" si="48"/>
        <v/>
      </c>
    </row>
    <row r="762" spans="1:18">
      <c r="A762" s="4">
        <v>771</v>
      </c>
      <c r="C762" s="8" t="str">
        <f>IF(B762="","",VLOOKUP(B762,经纬!B:C,2,FALSE))</f>
        <v/>
      </c>
      <c r="D762" s="8" t="str">
        <f>IF(B762="","",VLOOKUP(B762,经纬!B:G,6,FALSE))</f>
        <v/>
      </c>
      <c r="F762" s="8" t="str">
        <f>IF(B762="","",VLOOKUP(B762,小圆机汇总表!A:AP,5,FALSE))</f>
        <v/>
      </c>
      <c r="G762" s="8" t="str">
        <f>IF(B762="","",VLOOKUP(B762,小圆机汇总表!A:AP,8,FALSE))</f>
        <v/>
      </c>
      <c r="J762" s="105" t="str">
        <f t="shared" ref="J762:J825" si="50">IF(B762="","",LEFT(C762,FIND("*",C762)-1))</f>
        <v/>
      </c>
      <c r="K762" s="105" t="str">
        <f t="shared" ref="K762:K825" si="51">IF(B762="","",RIGHT(C762,LEN(C762)-LEN(J762)-1))</f>
        <v/>
      </c>
      <c r="L762" s="104" t="str">
        <f>IF(B762="","",VLOOKUP(B762&amp;F762&amp;H762,经纬!A:M,13,FALSE)*N762)</f>
        <v/>
      </c>
      <c r="M762" s="104" t="str">
        <f>IF(B762="","",VLOOKUP(B762&amp;F762&amp;H762,经纬!A:N,14,FALSE)*N762)</f>
        <v/>
      </c>
      <c r="P762" s="8" t="str">
        <f t="shared" si="49"/>
        <v/>
      </c>
      <c r="R762" s="250" t="str">
        <f t="shared" si="48"/>
        <v/>
      </c>
    </row>
    <row r="763" spans="1:18">
      <c r="A763" s="4">
        <v>772</v>
      </c>
      <c r="C763" s="8" t="str">
        <f>IF(B763="","",VLOOKUP(B763,经纬!B:C,2,FALSE))</f>
        <v/>
      </c>
      <c r="D763" s="8" t="str">
        <f>IF(B763="","",VLOOKUP(B763,经纬!B:G,6,FALSE))</f>
        <v/>
      </c>
      <c r="F763" s="8" t="str">
        <f>IF(B763="","",VLOOKUP(B763,小圆机汇总表!A:AP,5,FALSE))</f>
        <v/>
      </c>
      <c r="G763" s="8" t="str">
        <f>IF(B763="","",VLOOKUP(B763,小圆机汇总表!A:AP,8,FALSE))</f>
        <v/>
      </c>
      <c r="J763" s="105" t="str">
        <f t="shared" si="50"/>
        <v/>
      </c>
      <c r="K763" s="105" t="str">
        <f t="shared" si="51"/>
        <v/>
      </c>
      <c r="L763" s="104" t="str">
        <f>IF(B763="","",VLOOKUP(B763&amp;F763&amp;H763,经纬!A:M,13,FALSE)*N763)</f>
        <v/>
      </c>
      <c r="M763" s="104" t="str">
        <f>IF(B763="","",VLOOKUP(B763&amp;F763&amp;H763,经纬!A:N,14,FALSE)*N763)</f>
        <v/>
      </c>
      <c r="P763" s="8" t="str">
        <f t="shared" si="49"/>
        <v/>
      </c>
      <c r="R763" s="250" t="str">
        <f t="shared" si="48"/>
        <v/>
      </c>
    </row>
    <row r="764" spans="1:18">
      <c r="A764" s="4">
        <v>773</v>
      </c>
      <c r="C764" s="8" t="str">
        <f>IF(B764="","",VLOOKUP(B764,经纬!B:C,2,FALSE))</f>
        <v/>
      </c>
      <c r="D764" s="8" t="str">
        <f>IF(B764="","",VLOOKUP(B764,经纬!B:G,6,FALSE))</f>
        <v/>
      </c>
      <c r="F764" s="8" t="str">
        <f>IF(B764="","",VLOOKUP(B764,小圆机汇总表!A:AP,5,FALSE))</f>
        <v/>
      </c>
      <c r="G764" s="8" t="str">
        <f>IF(B764="","",VLOOKUP(B764,小圆机汇总表!A:AP,8,FALSE))</f>
        <v/>
      </c>
      <c r="J764" s="105" t="str">
        <f t="shared" si="50"/>
        <v/>
      </c>
      <c r="K764" s="105" t="str">
        <f t="shared" si="51"/>
        <v/>
      </c>
      <c r="L764" s="104" t="str">
        <f>IF(B764="","",VLOOKUP(B764&amp;F764&amp;H764,经纬!A:M,13,FALSE)*N764)</f>
        <v/>
      </c>
      <c r="M764" s="104" t="str">
        <f>IF(B764="","",VLOOKUP(B764&amp;F764&amp;H764,经纬!A:N,14,FALSE)*N764)</f>
        <v/>
      </c>
      <c r="P764" s="8" t="str">
        <f t="shared" si="49"/>
        <v/>
      </c>
      <c r="R764" s="250" t="str">
        <f t="shared" si="48"/>
        <v/>
      </c>
    </row>
    <row r="765" spans="1:18">
      <c r="A765" s="4">
        <v>774</v>
      </c>
      <c r="C765" s="8" t="str">
        <f>IF(B765="","",VLOOKUP(B765,经纬!B:C,2,FALSE))</f>
        <v/>
      </c>
      <c r="D765" s="8" t="str">
        <f>IF(B765="","",VLOOKUP(B765,经纬!B:G,6,FALSE))</f>
        <v/>
      </c>
      <c r="F765" s="8" t="str">
        <f>IF(B765="","",VLOOKUP(B765,小圆机汇总表!A:AP,5,FALSE))</f>
        <v/>
      </c>
      <c r="G765" s="8" t="str">
        <f>IF(B765="","",VLOOKUP(B765,小圆机汇总表!A:AP,8,FALSE))</f>
        <v/>
      </c>
      <c r="J765" s="105" t="str">
        <f t="shared" si="50"/>
        <v/>
      </c>
      <c r="K765" s="105" t="str">
        <f t="shared" si="51"/>
        <v/>
      </c>
      <c r="L765" s="104" t="str">
        <f>IF(B765="","",VLOOKUP(B765&amp;F765&amp;H765,经纬!A:M,13,FALSE)*N765)</f>
        <v/>
      </c>
      <c r="M765" s="104" t="str">
        <f>IF(B765="","",VLOOKUP(B765&amp;F765&amp;H765,经纬!A:N,14,FALSE)*N765)</f>
        <v/>
      </c>
      <c r="P765" s="8" t="str">
        <f t="shared" si="49"/>
        <v/>
      </c>
      <c r="R765" s="250" t="str">
        <f t="shared" si="48"/>
        <v/>
      </c>
    </row>
    <row r="766" spans="1:18">
      <c r="A766" s="4">
        <v>775</v>
      </c>
      <c r="C766" s="8" t="str">
        <f>IF(B766="","",VLOOKUP(B766,经纬!B:C,2,FALSE))</f>
        <v/>
      </c>
      <c r="D766" s="8" t="str">
        <f>IF(B766="","",VLOOKUP(B766,经纬!B:G,6,FALSE))</f>
        <v/>
      </c>
      <c r="F766" s="8" t="str">
        <f>IF(B766="","",VLOOKUP(B766,小圆机汇总表!A:AP,5,FALSE))</f>
        <v/>
      </c>
      <c r="G766" s="8" t="str">
        <f>IF(B766="","",VLOOKUP(B766,小圆机汇总表!A:AP,8,FALSE))</f>
        <v/>
      </c>
      <c r="J766" s="105" t="str">
        <f t="shared" si="50"/>
        <v/>
      </c>
      <c r="K766" s="105" t="str">
        <f t="shared" si="51"/>
        <v/>
      </c>
      <c r="L766" s="104" t="str">
        <f>IF(B766="","",VLOOKUP(B766&amp;F766&amp;H766,经纬!A:M,13,FALSE)*N766)</f>
        <v/>
      </c>
      <c r="M766" s="104" t="str">
        <f>IF(B766="","",VLOOKUP(B766&amp;F766&amp;H766,经纬!A:N,14,FALSE)*N766)</f>
        <v/>
      </c>
      <c r="P766" s="8" t="str">
        <f t="shared" si="49"/>
        <v/>
      </c>
      <c r="R766" s="250" t="str">
        <f t="shared" si="48"/>
        <v/>
      </c>
    </row>
    <row r="767" spans="1:18">
      <c r="A767" s="4">
        <v>776</v>
      </c>
      <c r="C767" s="8" t="str">
        <f>IF(B767="","",VLOOKUP(B767,经纬!B:C,2,FALSE))</f>
        <v/>
      </c>
      <c r="D767" s="8" t="str">
        <f>IF(B767="","",VLOOKUP(B767,经纬!B:G,6,FALSE))</f>
        <v/>
      </c>
      <c r="F767" s="8" t="str">
        <f>IF(B767="","",VLOOKUP(B767,小圆机汇总表!A:AP,5,FALSE))</f>
        <v/>
      </c>
      <c r="G767" s="8" t="str">
        <f>IF(B767="","",VLOOKUP(B767,小圆机汇总表!A:AP,8,FALSE))</f>
        <v/>
      </c>
      <c r="J767" s="105" t="str">
        <f t="shared" si="50"/>
        <v/>
      </c>
      <c r="K767" s="105" t="str">
        <f t="shared" si="51"/>
        <v/>
      </c>
      <c r="L767" s="104" t="str">
        <f>IF(B767="","",VLOOKUP(B767&amp;F767&amp;H767,经纬!A:M,13,FALSE)*N767)</f>
        <v/>
      </c>
      <c r="M767" s="104" t="str">
        <f>IF(B767="","",VLOOKUP(B767&amp;F767&amp;H767,经纬!A:N,14,FALSE)*N767)</f>
        <v/>
      </c>
      <c r="P767" s="8" t="str">
        <f t="shared" si="49"/>
        <v/>
      </c>
      <c r="R767" s="250" t="str">
        <f t="shared" si="48"/>
        <v/>
      </c>
    </row>
    <row r="768" spans="1:18">
      <c r="A768" s="4">
        <v>777</v>
      </c>
      <c r="C768" s="8" t="str">
        <f>IF(B768="","",VLOOKUP(B768,经纬!B:C,2,FALSE))</f>
        <v/>
      </c>
      <c r="D768" s="8" t="str">
        <f>IF(B768="","",VLOOKUP(B768,经纬!B:G,6,FALSE))</f>
        <v/>
      </c>
      <c r="F768" s="8" t="str">
        <f>IF(B768="","",VLOOKUP(B768,小圆机汇总表!A:AP,5,FALSE))</f>
        <v/>
      </c>
      <c r="G768" s="8" t="str">
        <f>IF(B768="","",VLOOKUP(B768,小圆机汇总表!A:AP,8,FALSE))</f>
        <v/>
      </c>
      <c r="J768" s="105" t="str">
        <f t="shared" si="50"/>
        <v/>
      </c>
      <c r="K768" s="105" t="str">
        <f t="shared" si="51"/>
        <v/>
      </c>
      <c r="L768" s="104" t="str">
        <f>IF(B768="","",VLOOKUP(B768&amp;F768&amp;H768,经纬!A:M,13,FALSE)*N768)</f>
        <v/>
      </c>
      <c r="M768" s="104" t="str">
        <f>IF(B768="","",VLOOKUP(B768&amp;F768&amp;H768,经纬!A:N,14,FALSE)*N768)</f>
        <v/>
      </c>
      <c r="P768" s="8" t="str">
        <f t="shared" si="49"/>
        <v/>
      </c>
      <c r="R768" s="250" t="str">
        <f t="shared" si="48"/>
        <v/>
      </c>
    </row>
    <row r="769" spans="1:18">
      <c r="A769" s="4">
        <v>778</v>
      </c>
      <c r="C769" s="8" t="str">
        <f>IF(B769="","",VLOOKUP(B769,经纬!B:C,2,FALSE))</f>
        <v/>
      </c>
      <c r="D769" s="8" t="str">
        <f>IF(B769="","",VLOOKUP(B769,经纬!B:G,6,FALSE))</f>
        <v/>
      </c>
      <c r="F769" s="8" t="str">
        <f>IF(B769="","",VLOOKUP(B769,小圆机汇总表!A:AP,5,FALSE))</f>
        <v/>
      </c>
      <c r="G769" s="8" t="str">
        <f>IF(B769="","",VLOOKUP(B769,小圆机汇总表!A:AP,8,FALSE))</f>
        <v/>
      </c>
      <c r="J769" s="105" t="str">
        <f t="shared" si="50"/>
        <v/>
      </c>
      <c r="K769" s="105" t="str">
        <f t="shared" si="51"/>
        <v/>
      </c>
      <c r="L769" s="104" t="str">
        <f>IF(B769="","",VLOOKUP(B769&amp;F769&amp;H769,经纬!A:M,13,FALSE)*N769)</f>
        <v/>
      </c>
      <c r="M769" s="104" t="str">
        <f>IF(B769="","",VLOOKUP(B769&amp;F769&amp;H769,经纬!A:N,14,FALSE)*N769)</f>
        <v/>
      </c>
      <c r="P769" s="8" t="str">
        <f t="shared" si="49"/>
        <v/>
      </c>
      <c r="R769" s="250" t="str">
        <f t="shared" si="48"/>
        <v/>
      </c>
    </row>
    <row r="770" spans="1:18">
      <c r="A770" s="4">
        <v>779</v>
      </c>
      <c r="C770" s="8" t="str">
        <f>IF(B770="","",VLOOKUP(B770,经纬!B:C,2,FALSE))</f>
        <v/>
      </c>
      <c r="D770" s="8" t="str">
        <f>IF(B770="","",VLOOKUP(B770,经纬!B:G,6,FALSE))</f>
        <v/>
      </c>
      <c r="F770" s="8" t="str">
        <f>IF(B770="","",VLOOKUP(B770,小圆机汇总表!A:AP,5,FALSE))</f>
        <v/>
      </c>
      <c r="G770" s="8" t="str">
        <f>IF(B770="","",VLOOKUP(B770,小圆机汇总表!A:AP,8,FALSE))</f>
        <v/>
      </c>
      <c r="J770" s="105" t="str">
        <f t="shared" si="50"/>
        <v/>
      </c>
      <c r="K770" s="105" t="str">
        <f t="shared" si="51"/>
        <v/>
      </c>
      <c r="L770" s="104" t="str">
        <f>IF(B770="","",VLOOKUP(B770&amp;F770&amp;H770,经纬!A:M,13,FALSE)*N770)</f>
        <v/>
      </c>
      <c r="M770" s="104" t="str">
        <f>IF(B770="","",VLOOKUP(B770&amp;F770&amp;H770,经纬!A:N,14,FALSE)*N770)</f>
        <v/>
      </c>
      <c r="P770" s="8" t="str">
        <f t="shared" si="49"/>
        <v/>
      </c>
      <c r="R770" s="250" t="str">
        <f t="shared" si="48"/>
        <v/>
      </c>
    </row>
    <row r="771" spans="1:18">
      <c r="A771" s="4">
        <v>780</v>
      </c>
      <c r="C771" s="8" t="str">
        <f>IF(B771="","",VLOOKUP(B771,经纬!B:C,2,FALSE))</f>
        <v/>
      </c>
      <c r="D771" s="8" t="str">
        <f>IF(B771="","",VLOOKUP(B771,经纬!B:G,6,FALSE))</f>
        <v/>
      </c>
      <c r="F771" s="8" t="str">
        <f>IF(B771="","",VLOOKUP(B771,小圆机汇总表!A:AP,5,FALSE))</f>
        <v/>
      </c>
      <c r="G771" s="8" t="str">
        <f>IF(B771="","",VLOOKUP(B771,小圆机汇总表!A:AP,8,FALSE))</f>
        <v/>
      </c>
      <c r="J771" s="105" t="str">
        <f t="shared" si="50"/>
        <v/>
      </c>
      <c r="K771" s="105" t="str">
        <f t="shared" si="51"/>
        <v/>
      </c>
      <c r="L771" s="104" t="str">
        <f>IF(B771="","",VLOOKUP(B771&amp;F771&amp;H771,经纬!A:M,13,FALSE)*N771)</f>
        <v/>
      </c>
      <c r="M771" s="104" t="str">
        <f>IF(B771="","",VLOOKUP(B771&amp;F771&amp;H771,经纬!A:N,14,FALSE)*N771)</f>
        <v/>
      </c>
      <c r="P771" s="8" t="str">
        <f t="shared" si="49"/>
        <v/>
      </c>
      <c r="R771" s="250" t="str">
        <f t="shared" ref="R771:R834" si="52">IF(B771="","",MONTH(I771))</f>
        <v/>
      </c>
    </row>
    <row r="772" spans="1:18">
      <c r="A772" s="4">
        <v>781</v>
      </c>
      <c r="C772" s="8" t="str">
        <f>IF(B772="","",VLOOKUP(B772,经纬!B:C,2,FALSE))</f>
        <v/>
      </c>
      <c r="D772" s="8" t="str">
        <f>IF(B772="","",VLOOKUP(B772,经纬!B:G,6,FALSE))</f>
        <v/>
      </c>
      <c r="F772" s="8" t="str">
        <f>IF(B772="","",VLOOKUP(B772,小圆机汇总表!A:AP,5,FALSE))</f>
        <v/>
      </c>
      <c r="G772" s="8" t="str">
        <f>IF(B772="","",VLOOKUP(B772,小圆机汇总表!A:AP,8,FALSE))</f>
        <v/>
      </c>
      <c r="J772" s="105" t="str">
        <f t="shared" si="50"/>
        <v/>
      </c>
      <c r="K772" s="105" t="str">
        <f t="shared" si="51"/>
        <v/>
      </c>
      <c r="L772" s="104" t="str">
        <f>IF(B772="","",VLOOKUP(B772&amp;F772&amp;H772,经纬!A:M,13,FALSE)*N772)</f>
        <v/>
      </c>
      <c r="M772" s="104" t="str">
        <f>IF(B772="","",VLOOKUP(B772&amp;F772&amp;H772,经纬!A:N,14,FALSE)*N772)</f>
        <v/>
      </c>
      <c r="P772" s="8" t="str">
        <f t="shared" si="49"/>
        <v/>
      </c>
      <c r="R772" s="250" t="str">
        <f t="shared" si="52"/>
        <v/>
      </c>
    </row>
    <row r="773" spans="1:18">
      <c r="A773" s="4">
        <v>782</v>
      </c>
      <c r="C773" s="8" t="str">
        <f>IF(B773="","",VLOOKUP(B773,经纬!B:C,2,FALSE))</f>
        <v/>
      </c>
      <c r="D773" s="8" t="str">
        <f>IF(B773="","",VLOOKUP(B773,经纬!B:G,6,FALSE))</f>
        <v/>
      </c>
      <c r="F773" s="8" t="str">
        <f>IF(B773="","",VLOOKUP(B773,小圆机汇总表!A:AP,5,FALSE))</f>
        <v/>
      </c>
      <c r="G773" s="8" t="str">
        <f>IF(B773="","",VLOOKUP(B773,小圆机汇总表!A:AP,8,FALSE))</f>
        <v/>
      </c>
      <c r="J773" s="105" t="str">
        <f t="shared" si="50"/>
        <v/>
      </c>
      <c r="K773" s="105" t="str">
        <f t="shared" si="51"/>
        <v/>
      </c>
      <c r="L773" s="104" t="str">
        <f>IF(B773="","",VLOOKUP(B773&amp;F773&amp;H773,经纬!A:M,13,FALSE)*N773)</f>
        <v/>
      </c>
      <c r="M773" s="104" t="str">
        <f>IF(B773="","",VLOOKUP(B773&amp;F773&amp;H773,经纬!A:N,14,FALSE)*N773)</f>
        <v/>
      </c>
      <c r="P773" s="8" t="str">
        <f t="shared" si="49"/>
        <v/>
      </c>
      <c r="R773" s="250" t="str">
        <f t="shared" si="52"/>
        <v/>
      </c>
    </row>
    <row r="774" spans="1:18">
      <c r="A774" s="4">
        <v>783</v>
      </c>
      <c r="C774" s="8" t="str">
        <f>IF(B774="","",VLOOKUP(B774,经纬!B:C,2,FALSE))</f>
        <v/>
      </c>
      <c r="D774" s="8" t="str">
        <f>IF(B774="","",VLOOKUP(B774,经纬!B:G,6,FALSE))</f>
        <v/>
      </c>
      <c r="F774" s="8" t="str">
        <f>IF(B774="","",VLOOKUP(B774,小圆机汇总表!A:AP,5,FALSE))</f>
        <v/>
      </c>
      <c r="G774" s="8" t="str">
        <f>IF(B774="","",VLOOKUP(B774,小圆机汇总表!A:AP,8,FALSE))</f>
        <v/>
      </c>
      <c r="J774" s="105" t="str">
        <f t="shared" si="50"/>
        <v/>
      </c>
      <c r="K774" s="105" t="str">
        <f t="shared" si="51"/>
        <v/>
      </c>
      <c r="L774" s="104" t="str">
        <f>IF(B774="","",VLOOKUP(B774&amp;F774&amp;H774,经纬!A:M,13,FALSE)*N774)</f>
        <v/>
      </c>
      <c r="M774" s="104" t="str">
        <f>IF(B774="","",VLOOKUP(B774&amp;F774&amp;H774,经纬!A:N,14,FALSE)*N774)</f>
        <v/>
      </c>
      <c r="P774" s="8" t="str">
        <f t="shared" si="49"/>
        <v/>
      </c>
      <c r="R774" s="250" t="str">
        <f t="shared" si="52"/>
        <v/>
      </c>
    </row>
    <row r="775" spans="1:18">
      <c r="A775" s="4">
        <v>784</v>
      </c>
      <c r="C775" s="8" t="str">
        <f>IF(B775="","",VLOOKUP(B775,经纬!B:C,2,FALSE))</f>
        <v/>
      </c>
      <c r="D775" s="8" t="str">
        <f>IF(B775="","",VLOOKUP(B775,经纬!B:G,6,FALSE))</f>
        <v/>
      </c>
      <c r="F775" s="8" t="str">
        <f>IF(B775="","",VLOOKUP(B775,小圆机汇总表!A:AP,5,FALSE))</f>
        <v/>
      </c>
      <c r="G775" s="8" t="str">
        <f>IF(B775="","",VLOOKUP(B775,小圆机汇总表!A:AP,8,FALSE))</f>
        <v/>
      </c>
      <c r="J775" s="105" t="str">
        <f t="shared" si="50"/>
        <v/>
      </c>
      <c r="K775" s="105" t="str">
        <f t="shared" si="51"/>
        <v/>
      </c>
      <c r="L775" s="104" t="str">
        <f>IF(B775="","",VLOOKUP(B775&amp;F775&amp;H775,经纬!A:M,13,FALSE)*N775)</f>
        <v/>
      </c>
      <c r="M775" s="104" t="str">
        <f>IF(B775="","",VLOOKUP(B775&amp;F775&amp;H775,经纬!A:N,14,FALSE)*N775)</f>
        <v/>
      </c>
      <c r="P775" s="8" t="str">
        <f t="shared" si="49"/>
        <v/>
      </c>
      <c r="R775" s="250" t="str">
        <f t="shared" si="52"/>
        <v/>
      </c>
    </row>
    <row r="776" spans="1:18">
      <c r="A776" s="4">
        <v>785</v>
      </c>
      <c r="C776" s="8" t="str">
        <f>IF(B776="","",VLOOKUP(B776,经纬!B:C,2,FALSE))</f>
        <v/>
      </c>
      <c r="D776" s="8" t="str">
        <f>IF(B776="","",VLOOKUP(B776,经纬!B:G,6,FALSE))</f>
        <v/>
      </c>
      <c r="F776" s="8" t="str">
        <f>IF(B776="","",VLOOKUP(B776,小圆机汇总表!A:AP,5,FALSE))</f>
        <v/>
      </c>
      <c r="G776" s="8" t="str">
        <f>IF(B776="","",VLOOKUP(B776,小圆机汇总表!A:AP,8,FALSE))</f>
        <v/>
      </c>
      <c r="J776" s="105" t="str">
        <f t="shared" si="50"/>
        <v/>
      </c>
      <c r="K776" s="105" t="str">
        <f t="shared" si="51"/>
        <v/>
      </c>
      <c r="L776" s="104" t="str">
        <f>IF(B776="","",VLOOKUP(B776&amp;F776&amp;H776,经纬!A:M,13,FALSE)*N776)</f>
        <v/>
      </c>
      <c r="M776" s="104" t="str">
        <f>IF(B776="","",VLOOKUP(B776&amp;F776&amp;H776,经纬!A:N,14,FALSE)*N776)</f>
        <v/>
      </c>
      <c r="P776" s="8" t="str">
        <f t="shared" si="49"/>
        <v/>
      </c>
      <c r="R776" s="250" t="str">
        <f t="shared" si="52"/>
        <v/>
      </c>
    </row>
    <row r="777" spans="1:18">
      <c r="A777" s="4">
        <v>786</v>
      </c>
      <c r="C777" s="8" t="str">
        <f>IF(B777="","",VLOOKUP(B777,经纬!B:C,2,FALSE))</f>
        <v/>
      </c>
      <c r="D777" s="8" t="str">
        <f>IF(B777="","",VLOOKUP(B777,经纬!B:G,6,FALSE))</f>
        <v/>
      </c>
      <c r="F777" s="8" t="str">
        <f>IF(B777="","",VLOOKUP(B777,小圆机汇总表!A:AP,5,FALSE))</f>
        <v/>
      </c>
      <c r="G777" s="8" t="str">
        <f>IF(B777="","",VLOOKUP(B777,小圆机汇总表!A:AP,8,FALSE))</f>
        <v/>
      </c>
      <c r="J777" s="105" t="str">
        <f t="shared" si="50"/>
        <v/>
      </c>
      <c r="K777" s="105" t="str">
        <f t="shared" si="51"/>
        <v/>
      </c>
      <c r="L777" s="104" t="str">
        <f>IF(B777="","",VLOOKUP(B777&amp;F777&amp;H777,经纬!A:M,13,FALSE)*N777)</f>
        <v/>
      </c>
      <c r="M777" s="104" t="str">
        <f>IF(B777="","",VLOOKUP(B777&amp;F777&amp;H777,经纬!A:N,14,FALSE)*N777)</f>
        <v/>
      </c>
      <c r="P777" s="8" t="str">
        <f t="shared" si="49"/>
        <v/>
      </c>
      <c r="R777" s="250" t="str">
        <f t="shared" si="52"/>
        <v/>
      </c>
    </row>
    <row r="778" spans="1:18">
      <c r="A778" s="4">
        <v>787</v>
      </c>
      <c r="C778" s="8" t="str">
        <f>IF(B778="","",VLOOKUP(B778,经纬!B:C,2,FALSE))</f>
        <v/>
      </c>
      <c r="D778" s="8" t="str">
        <f>IF(B778="","",VLOOKUP(B778,经纬!B:G,6,FALSE))</f>
        <v/>
      </c>
      <c r="F778" s="8" t="str">
        <f>IF(B778="","",VLOOKUP(B778,小圆机汇总表!A:AP,5,FALSE))</f>
        <v/>
      </c>
      <c r="G778" s="8" t="str">
        <f>IF(B778="","",VLOOKUP(B778,小圆机汇总表!A:AP,8,FALSE))</f>
        <v/>
      </c>
      <c r="J778" s="105" t="str">
        <f t="shared" si="50"/>
        <v/>
      </c>
      <c r="K778" s="105" t="str">
        <f t="shared" si="51"/>
        <v/>
      </c>
      <c r="L778" s="104" t="str">
        <f>IF(B778="","",VLOOKUP(B778&amp;F778&amp;H778,经纬!A:M,13,FALSE)*N778)</f>
        <v/>
      </c>
      <c r="M778" s="104" t="str">
        <f>IF(B778="","",VLOOKUP(B778&amp;F778&amp;H778,经纬!A:N,14,FALSE)*N778)</f>
        <v/>
      </c>
      <c r="P778" s="8" t="str">
        <f t="shared" si="49"/>
        <v/>
      </c>
      <c r="R778" s="250" t="str">
        <f t="shared" si="52"/>
        <v/>
      </c>
    </row>
    <row r="779" spans="1:18">
      <c r="A779" s="4">
        <v>788</v>
      </c>
      <c r="C779" s="8" t="str">
        <f>IF(B779="","",VLOOKUP(B779,经纬!B:C,2,FALSE))</f>
        <v/>
      </c>
      <c r="D779" s="8" t="str">
        <f>IF(B779="","",VLOOKUP(B779,经纬!B:G,6,FALSE))</f>
        <v/>
      </c>
      <c r="F779" s="8" t="str">
        <f>IF(B779="","",VLOOKUP(B779,小圆机汇总表!A:AP,5,FALSE))</f>
        <v/>
      </c>
      <c r="G779" s="8" t="str">
        <f>IF(B779="","",VLOOKUP(B779,小圆机汇总表!A:AP,8,FALSE))</f>
        <v/>
      </c>
      <c r="J779" s="105" t="str">
        <f t="shared" si="50"/>
        <v/>
      </c>
      <c r="K779" s="105" t="str">
        <f t="shared" si="51"/>
        <v/>
      </c>
      <c r="L779" s="104" t="str">
        <f>IF(B779="","",VLOOKUP(B779&amp;F779&amp;H779,经纬!A:M,13,FALSE)*N779)</f>
        <v/>
      </c>
      <c r="M779" s="104" t="str">
        <f>IF(B779="","",VLOOKUP(B779&amp;F779&amp;H779,经纬!A:N,14,FALSE)*N779)</f>
        <v/>
      </c>
      <c r="P779" s="8" t="str">
        <f t="shared" si="49"/>
        <v/>
      </c>
      <c r="R779" s="250" t="str">
        <f t="shared" si="52"/>
        <v/>
      </c>
    </row>
    <row r="780" spans="1:18">
      <c r="A780" s="4">
        <v>789</v>
      </c>
      <c r="C780" s="8" t="str">
        <f>IF(B780="","",VLOOKUP(B780,经纬!B:C,2,FALSE))</f>
        <v/>
      </c>
      <c r="D780" s="8" t="str">
        <f>IF(B780="","",VLOOKUP(B780,经纬!B:G,6,FALSE))</f>
        <v/>
      </c>
      <c r="F780" s="8" t="str">
        <f>IF(B780="","",VLOOKUP(B780,小圆机汇总表!A:AP,5,FALSE))</f>
        <v/>
      </c>
      <c r="G780" s="8" t="str">
        <f>IF(B780="","",VLOOKUP(B780,小圆机汇总表!A:AP,8,FALSE))</f>
        <v/>
      </c>
      <c r="J780" s="105" t="str">
        <f t="shared" si="50"/>
        <v/>
      </c>
      <c r="K780" s="105" t="str">
        <f t="shared" si="51"/>
        <v/>
      </c>
      <c r="L780" s="104" t="str">
        <f>IF(B780="","",VLOOKUP(B780&amp;F780&amp;H780,经纬!A:M,13,FALSE)*N780)</f>
        <v/>
      </c>
      <c r="M780" s="104" t="str">
        <f>IF(B780="","",VLOOKUP(B780&amp;F780&amp;H780,经纬!A:N,14,FALSE)*N780)</f>
        <v/>
      </c>
      <c r="P780" s="8" t="str">
        <f t="shared" si="49"/>
        <v/>
      </c>
      <c r="R780" s="250" t="str">
        <f t="shared" si="52"/>
        <v/>
      </c>
    </row>
    <row r="781" spans="1:18">
      <c r="A781" s="4">
        <v>790</v>
      </c>
      <c r="C781" s="8" t="str">
        <f>IF(B781="","",VLOOKUP(B781,经纬!B:C,2,FALSE))</f>
        <v/>
      </c>
      <c r="D781" s="8" t="str">
        <f>IF(B781="","",VLOOKUP(B781,经纬!B:G,6,FALSE))</f>
        <v/>
      </c>
      <c r="F781" s="8" t="str">
        <f>IF(B781="","",VLOOKUP(B781,小圆机汇总表!A:AP,5,FALSE))</f>
        <v/>
      </c>
      <c r="G781" s="8" t="str">
        <f>IF(B781="","",VLOOKUP(B781,小圆机汇总表!A:AP,8,FALSE))</f>
        <v/>
      </c>
      <c r="J781" s="105" t="str">
        <f t="shared" si="50"/>
        <v/>
      </c>
      <c r="K781" s="105" t="str">
        <f t="shared" si="51"/>
        <v/>
      </c>
      <c r="L781" s="104" t="str">
        <f>IF(B781="","",VLOOKUP(B781&amp;F781&amp;H781,经纬!A:M,13,FALSE)*N781)</f>
        <v/>
      </c>
      <c r="M781" s="104" t="str">
        <f>IF(B781="","",VLOOKUP(B781&amp;F781&amp;H781,经纬!A:N,14,FALSE)*N781)</f>
        <v/>
      </c>
      <c r="P781" s="8" t="str">
        <f t="shared" si="49"/>
        <v/>
      </c>
      <c r="R781" s="250" t="str">
        <f t="shared" si="52"/>
        <v/>
      </c>
    </row>
    <row r="782" spans="1:18">
      <c r="A782" s="4">
        <v>791</v>
      </c>
      <c r="C782" s="8" t="str">
        <f>IF(B782="","",VLOOKUP(B782,经纬!B:C,2,FALSE))</f>
        <v/>
      </c>
      <c r="D782" s="8" t="str">
        <f>IF(B782="","",VLOOKUP(B782,经纬!B:G,6,FALSE))</f>
        <v/>
      </c>
      <c r="F782" s="8" t="str">
        <f>IF(B782="","",VLOOKUP(B782,小圆机汇总表!A:AP,5,FALSE))</f>
        <v/>
      </c>
      <c r="G782" s="8" t="str">
        <f>IF(B782="","",VLOOKUP(B782,小圆机汇总表!A:AP,8,FALSE))</f>
        <v/>
      </c>
      <c r="J782" s="105" t="str">
        <f t="shared" si="50"/>
        <v/>
      </c>
      <c r="K782" s="105" t="str">
        <f t="shared" si="51"/>
        <v/>
      </c>
      <c r="L782" s="104" t="str">
        <f>IF(B782="","",VLOOKUP(B782&amp;F782&amp;H782,经纬!A:M,13,FALSE)*N782)</f>
        <v/>
      </c>
      <c r="M782" s="104" t="str">
        <f>IF(B782="","",VLOOKUP(B782&amp;F782&amp;H782,经纬!A:N,14,FALSE)*N782)</f>
        <v/>
      </c>
      <c r="P782" s="8" t="str">
        <f t="shared" si="49"/>
        <v/>
      </c>
      <c r="R782" s="250" t="str">
        <f t="shared" si="52"/>
        <v/>
      </c>
    </row>
    <row r="783" spans="1:18">
      <c r="A783" s="4">
        <v>792</v>
      </c>
      <c r="C783" s="8" t="str">
        <f>IF(B783="","",VLOOKUP(B783,经纬!B:C,2,FALSE))</f>
        <v/>
      </c>
      <c r="D783" s="8" t="str">
        <f>IF(B783="","",VLOOKUP(B783,经纬!B:G,6,FALSE))</f>
        <v/>
      </c>
      <c r="F783" s="8" t="str">
        <f>IF(B783="","",VLOOKUP(B783,小圆机汇总表!A:AP,5,FALSE))</f>
        <v/>
      </c>
      <c r="G783" s="8" t="str">
        <f>IF(B783="","",VLOOKUP(B783,小圆机汇总表!A:AP,8,FALSE))</f>
        <v/>
      </c>
      <c r="J783" s="105" t="str">
        <f t="shared" si="50"/>
        <v/>
      </c>
      <c r="K783" s="105" t="str">
        <f t="shared" si="51"/>
        <v/>
      </c>
      <c r="L783" s="104" t="str">
        <f>IF(B783="","",VLOOKUP(B783&amp;F783&amp;H783,经纬!A:M,13,FALSE)*N783)</f>
        <v/>
      </c>
      <c r="M783" s="104" t="str">
        <f>IF(B783="","",VLOOKUP(B783&amp;F783&amp;H783,经纬!A:N,14,FALSE)*N783)</f>
        <v/>
      </c>
      <c r="P783" s="8" t="str">
        <f t="shared" si="49"/>
        <v/>
      </c>
      <c r="R783" s="250" t="str">
        <f t="shared" si="52"/>
        <v/>
      </c>
    </row>
    <row r="784" spans="1:18">
      <c r="A784" s="4">
        <v>793</v>
      </c>
      <c r="C784" s="8" t="str">
        <f>IF(B784="","",VLOOKUP(B784,经纬!B:C,2,FALSE))</f>
        <v/>
      </c>
      <c r="D784" s="8" t="str">
        <f>IF(B784="","",VLOOKUP(B784,经纬!B:G,6,FALSE))</f>
        <v/>
      </c>
      <c r="F784" s="8" t="str">
        <f>IF(B784="","",VLOOKUP(B784,小圆机汇总表!A:AP,5,FALSE))</f>
        <v/>
      </c>
      <c r="G784" s="8" t="str">
        <f>IF(B784="","",VLOOKUP(B784,小圆机汇总表!A:AP,8,FALSE))</f>
        <v/>
      </c>
      <c r="J784" s="105" t="str">
        <f t="shared" si="50"/>
        <v/>
      </c>
      <c r="K784" s="105" t="str">
        <f t="shared" si="51"/>
        <v/>
      </c>
      <c r="L784" s="104" t="str">
        <f>IF(B784="","",VLOOKUP(B784&amp;F784&amp;H784,经纬!A:M,13,FALSE)*N784)</f>
        <v/>
      </c>
      <c r="M784" s="104" t="str">
        <f>IF(B784="","",VLOOKUP(B784&amp;F784&amp;H784,经纬!A:N,14,FALSE)*N784)</f>
        <v/>
      </c>
      <c r="P784" s="8" t="str">
        <f t="shared" si="49"/>
        <v/>
      </c>
      <c r="R784" s="250" t="str">
        <f t="shared" si="52"/>
        <v/>
      </c>
    </row>
    <row r="785" spans="1:18">
      <c r="A785" s="4">
        <v>794</v>
      </c>
      <c r="C785" s="8" t="str">
        <f>IF(B785="","",VLOOKUP(B785,经纬!B:C,2,FALSE))</f>
        <v/>
      </c>
      <c r="D785" s="8" t="str">
        <f>IF(B785="","",VLOOKUP(B785,经纬!B:G,6,FALSE))</f>
        <v/>
      </c>
      <c r="F785" s="8" t="str">
        <f>IF(B785="","",VLOOKUP(B785,小圆机汇总表!A:AP,5,FALSE))</f>
        <v/>
      </c>
      <c r="G785" s="8" t="str">
        <f>IF(B785="","",VLOOKUP(B785,小圆机汇总表!A:AP,8,FALSE))</f>
        <v/>
      </c>
      <c r="J785" s="105" t="str">
        <f t="shared" si="50"/>
        <v/>
      </c>
      <c r="K785" s="105" t="str">
        <f t="shared" si="51"/>
        <v/>
      </c>
      <c r="L785" s="104" t="str">
        <f>IF(B785="","",VLOOKUP(B785&amp;F785&amp;H785,经纬!A:M,13,FALSE)*N785)</f>
        <v/>
      </c>
      <c r="M785" s="104" t="str">
        <f>IF(B785="","",VLOOKUP(B785&amp;F785&amp;H785,经纬!A:N,14,FALSE)*N785)</f>
        <v/>
      </c>
      <c r="P785" s="8" t="str">
        <f t="shared" si="49"/>
        <v/>
      </c>
      <c r="R785" s="250" t="str">
        <f t="shared" si="52"/>
        <v/>
      </c>
    </row>
    <row r="786" spans="1:18">
      <c r="A786" s="4">
        <v>795</v>
      </c>
      <c r="C786" s="8" t="str">
        <f>IF(B786="","",VLOOKUP(B786,经纬!B:C,2,FALSE))</f>
        <v/>
      </c>
      <c r="D786" s="8" t="str">
        <f>IF(B786="","",VLOOKUP(B786,经纬!B:G,6,FALSE))</f>
        <v/>
      </c>
      <c r="F786" s="8" t="str">
        <f>IF(B786="","",VLOOKUP(B786,小圆机汇总表!A:AP,5,FALSE))</f>
        <v/>
      </c>
      <c r="G786" s="8" t="str">
        <f>IF(B786="","",VLOOKUP(B786,小圆机汇总表!A:AP,8,FALSE))</f>
        <v/>
      </c>
      <c r="J786" s="105" t="str">
        <f t="shared" si="50"/>
        <v/>
      </c>
      <c r="K786" s="105" t="str">
        <f t="shared" si="51"/>
        <v/>
      </c>
      <c r="L786" s="104" t="str">
        <f>IF(B786="","",VLOOKUP(B786&amp;F786&amp;H786,经纬!A:M,13,FALSE)*N786)</f>
        <v/>
      </c>
      <c r="M786" s="104" t="str">
        <f>IF(B786="","",VLOOKUP(B786&amp;F786&amp;H786,经纬!A:N,14,FALSE)*N786)</f>
        <v/>
      </c>
      <c r="P786" s="8" t="str">
        <f t="shared" si="49"/>
        <v/>
      </c>
      <c r="R786" s="250" t="str">
        <f t="shared" si="52"/>
        <v/>
      </c>
    </row>
    <row r="787" spans="1:18">
      <c r="A787" s="4">
        <v>796</v>
      </c>
      <c r="C787" s="8" t="str">
        <f>IF(B787="","",VLOOKUP(B787,经纬!B:C,2,FALSE))</f>
        <v/>
      </c>
      <c r="D787" s="8" t="str">
        <f>IF(B787="","",VLOOKUP(B787,经纬!B:G,6,FALSE))</f>
        <v/>
      </c>
      <c r="F787" s="8" t="str">
        <f>IF(B787="","",VLOOKUP(B787,小圆机汇总表!A:AP,5,FALSE))</f>
        <v/>
      </c>
      <c r="G787" s="8" t="str">
        <f>IF(B787="","",VLOOKUP(B787,小圆机汇总表!A:AP,8,FALSE))</f>
        <v/>
      </c>
      <c r="J787" s="105" t="str">
        <f t="shared" si="50"/>
        <v/>
      </c>
      <c r="K787" s="105" t="str">
        <f t="shared" si="51"/>
        <v/>
      </c>
      <c r="L787" s="104" t="str">
        <f>IF(B787="","",VLOOKUP(B787&amp;F787&amp;H787,经纬!A:M,13,FALSE)*N787)</f>
        <v/>
      </c>
      <c r="M787" s="104" t="str">
        <f>IF(B787="","",VLOOKUP(B787&amp;F787&amp;H787,经纬!A:N,14,FALSE)*N787)</f>
        <v/>
      </c>
      <c r="P787" s="8" t="str">
        <f t="shared" si="49"/>
        <v/>
      </c>
      <c r="R787" s="250" t="str">
        <f t="shared" si="52"/>
        <v/>
      </c>
    </row>
    <row r="788" spans="1:18">
      <c r="A788" s="4">
        <v>797</v>
      </c>
      <c r="C788" s="8" t="str">
        <f>IF(B788="","",VLOOKUP(B788,经纬!B:C,2,FALSE))</f>
        <v/>
      </c>
      <c r="D788" s="8" t="str">
        <f>IF(B788="","",VLOOKUP(B788,经纬!B:G,6,FALSE))</f>
        <v/>
      </c>
      <c r="F788" s="8" t="str">
        <f>IF(B788="","",VLOOKUP(B788,小圆机汇总表!A:AP,5,FALSE))</f>
        <v/>
      </c>
      <c r="G788" s="8" t="str">
        <f>IF(B788="","",VLOOKUP(B788,小圆机汇总表!A:AP,8,FALSE))</f>
        <v/>
      </c>
      <c r="J788" s="105" t="str">
        <f t="shared" si="50"/>
        <v/>
      </c>
      <c r="K788" s="105" t="str">
        <f t="shared" si="51"/>
        <v/>
      </c>
      <c r="L788" s="104" t="str">
        <f>IF(B788="","",VLOOKUP(B788&amp;F788&amp;H788,经纬!A:M,13,FALSE)*N788)</f>
        <v/>
      </c>
      <c r="M788" s="104" t="str">
        <f>IF(B788="","",VLOOKUP(B788&amp;F788&amp;H788,经纬!A:N,14,FALSE)*N788)</f>
        <v/>
      </c>
      <c r="P788" s="8" t="str">
        <f t="shared" si="49"/>
        <v/>
      </c>
      <c r="R788" s="250" t="str">
        <f t="shared" si="52"/>
        <v/>
      </c>
    </row>
    <row r="789" spans="1:18">
      <c r="A789" s="4">
        <v>798</v>
      </c>
      <c r="C789" s="8" t="str">
        <f>IF(B789="","",VLOOKUP(B789,经纬!B:C,2,FALSE))</f>
        <v/>
      </c>
      <c r="D789" s="8" t="str">
        <f>IF(B789="","",VLOOKUP(B789,经纬!B:G,6,FALSE))</f>
        <v/>
      </c>
      <c r="F789" s="8" t="str">
        <f>IF(B789="","",VLOOKUP(B789,小圆机汇总表!A:AP,5,FALSE))</f>
        <v/>
      </c>
      <c r="G789" s="8" t="str">
        <f>IF(B789="","",VLOOKUP(B789,小圆机汇总表!A:AP,8,FALSE))</f>
        <v/>
      </c>
      <c r="J789" s="105" t="str">
        <f t="shared" si="50"/>
        <v/>
      </c>
      <c r="K789" s="105" t="str">
        <f t="shared" si="51"/>
        <v/>
      </c>
      <c r="L789" s="104" t="str">
        <f>IF(B789="","",VLOOKUP(B789&amp;F789&amp;H789,经纬!A:M,13,FALSE)*N789)</f>
        <v/>
      </c>
      <c r="M789" s="104" t="str">
        <f>IF(B789="","",VLOOKUP(B789&amp;F789&amp;H789,经纬!A:N,14,FALSE)*N789)</f>
        <v/>
      </c>
      <c r="P789" s="8" t="str">
        <f t="shared" si="49"/>
        <v/>
      </c>
      <c r="R789" s="250" t="str">
        <f t="shared" si="52"/>
        <v/>
      </c>
    </row>
    <row r="790" spans="1:18">
      <c r="A790" s="4">
        <v>799</v>
      </c>
      <c r="C790" s="8" t="str">
        <f>IF(B790="","",VLOOKUP(B790,经纬!B:C,2,FALSE))</f>
        <v/>
      </c>
      <c r="D790" s="8" t="str">
        <f>IF(B790="","",VLOOKUP(B790,经纬!B:G,6,FALSE))</f>
        <v/>
      </c>
      <c r="F790" s="8" t="str">
        <f>IF(B790="","",VLOOKUP(B790,小圆机汇总表!A:AP,5,FALSE))</f>
        <v/>
      </c>
      <c r="G790" s="8" t="str">
        <f>IF(B790="","",VLOOKUP(B790,小圆机汇总表!A:AP,8,FALSE))</f>
        <v/>
      </c>
      <c r="J790" s="105" t="str">
        <f t="shared" si="50"/>
        <v/>
      </c>
      <c r="K790" s="105" t="str">
        <f t="shared" si="51"/>
        <v/>
      </c>
      <c r="L790" s="104" t="str">
        <f>IF(B790="","",VLOOKUP(B790&amp;F790&amp;H790,经纬!A:M,13,FALSE)*N790)</f>
        <v/>
      </c>
      <c r="M790" s="104" t="str">
        <f>IF(B790="","",VLOOKUP(B790&amp;F790&amp;H790,经纬!A:N,14,FALSE)*N790)</f>
        <v/>
      </c>
      <c r="P790" s="8" t="str">
        <f t="shared" si="49"/>
        <v/>
      </c>
      <c r="R790" s="250" t="str">
        <f t="shared" si="52"/>
        <v/>
      </c>
    </row>
    <row r="791" spans="1:18">
      <c r="A791" s="4">
        <v>800</v>
      </c>
      <c r="C791" s="8" t="str">
        <f>IF(B791="","",VLOOKUP(B791,经纬!B:C,2,FALSE))</f>
        <v/>
      </c>
      <c r="D791" s="8" t="str">
        <f>IF(B791="","",VLOOKUP(B791,经纬!B:G,6,FALSE))</f>
        <v/>
      </c>
      <c r="F791" s="8" t="str">
        <f>IF(B791="","",VLOOKUP(B791,小圆机汇总表!A:AP,5,FALSE))</f>
        <v/>
      </c>
      <c r="G791" s="8" t="str">
        <f>IF(B791="","",VLOOKUP(B791,小圆机汇总表!A:AP,8,FALSE))</f>
        <v/>
      </c>
      <c r="J791" s="105" t="str">
        <f t="shared" si="50"/>
        <v/>
      </c>
      <c r="K791" s="105" t="str">
        <f t="shared" si="51"/>
        <v/>
      </c>
      <c r="L791" s="104" t="str">
        <f>IF(B791="","",VLOOKUP(B791&amp;F791&amp;H791,经纬!A:M,13,FALSE)*N791)</f>
        <v/>
      </c>
      <c r="M791" s="104" t="str">
        <f>IF(B791="","",VLOOKUP(B791&amp;F791&amp;H791,经纬!A:N,14,FALSE)*N791)</f>
        <v/>
      </c>
      <c r="P791" s="8" t="str">
        <f t="shared" si="49"/>
        <v/>
      </c>
      <c r="R791" s="250" t="str">
        <f t="shared" si="52"/>
        <v/>
      </c>
    </row>
    <row r="792" spans="1:18">
      <c r="A792" s="4">
        <v>801</v>
      </c>
      <c r="C792" s="8" t="str">
        <f>IF(B792="","",VLOOKUP(B792,经纬!B:C,2,FALSE))</f>
        <v/>
      </c>
      <c r="D792" s="8" t="str">
        <f>IF(B792="","",VLOOKUP(B792,经纬!B:G,6,FALSE))</f>
        <v/>
      </c>
      <c r="F792" s="8" t="str">
        <f>IF(B792="","",VLOOKUP(B792,小圆机汇总表!A:AP,5,FALSE))</f>
        <v/>
      </c>
      <c r="G792" s="8" t="str">
        <f>IF(B792="","",VLOOKUP(B792,小圆机汇总表!A:AP,8,FALSE))</f>
        <v/>
      </c>
      <c r="J792" s="105" t="str">
        <f t="shared" si="50"/>
        <v/>
      </c>
      <c r="K792" s="105" t="str">
        <f t="shared" si="51"/>
        <v/>
      </c>
      <c r="L792" s="104" t="str">
        <f>IF(B792="","",VLOOKUP(B792&amp;F792&amp;H792,经纬!A:M,13,FALSE)*N792)</f>
        <v/>
      </c>
      <c r="M792" s="104" t="str">
        <f>IF(B792="","",VLOOKUP(B792&amp;F792&amp;H792,经纬!A:N,14,FALSE)*N792)</f>
        <v/>
      </c>
      <c r="P792" s="8" t="str">
        <f t="shared" si="49"/>
        <v/>
      </c>
      <c r="R792" s="250" t="str">
        <f t="shared" si="52"/>
        <v/>
      </c>
    </row>
    <row r="793" spans="1:18">
      <c r="A793" s="4">
        <v>802</v>
      </c>
      <c r="C793" s="8" t="str">
        <f>IF(B793="","",VLOOKUP(B793,经纬!B:C,2,FALSE))</f>
        <v/>
      </c>
      <c r="D793" s="8" t="str">
        <f>IF(B793="","",VLOOKUP(B793,经纬!B:G,6,FALSE))</f>
        <v/>
      </c>
      <c r="F793" s="8" t="str">
        <f>IF(B793="","",VLOOKUP(B793,小圆机汇总表!A:AP,5,FALSE))</f>
        <v/>
      </c>
      <c r="G793" s="8" t="str">
        <f>IF(B793="","",VLOOKUP(B793,小圆机汇总表!A:AP,8,FALSE))</f>
        <v/>
      </c>
      <c r="J793" s="105" t="str">
        <f t="shared" si="50"/>
        <v/>
      </c>
      <c r="K793" s="105" t="str">
        <f t="shared" si="51"/>
        <v/>
      </c>
      <c r="L793" s="104" t="str">
        <f>IF(B793="","",VLOOKUP(B793&amp;F793&amp;H793,经纬!A:M,13,FALSE)*N793)</f>
        <v/>
      </c>
      <c r="M793" s="104" t="str">
        <f>IF(B793="","",VLOOKUP(B793&amp;F793&amp;H793,经纬!A:N,14,FALSE)*N793)</f>
        <v/>
      </c>
      <c r="P793" s="8" t="str">
        <f t="shared" si="49"/>
        <v/>
      </c>
      <c r="R793" s="250" t="str">
        <f t="shared" si="52"/>
        <v/>
      </c>
    </row>
    <row r="794" spans="1:18">
      <c r="A794" s="4">
        <v>803</v>
      </c>
      <c r="C794" s="8" t="str">
        <f>IF(B794="","",VLOOKUP(B794,经纬!B:C,2,FALSE))</f>
        <v/>
      </c>
      <c r="D794" s="8" t="str">
        <f>IF(B794="","",VLOOKUP(B794,经纬!B:G,6,FALSE))</f>
        <v/>
      </c>
      <c r="F794" s="8" t="str">
        <f>IF(B794="","",VLOOKUP(B794,小圆机汇总表!A:AP,5,FALSE))</f>
        <v/>
      </c>
      <c r="G794" s="8" t="str">
        <f>IF(B794="","",VLOOKUP(B794,小圆机汇总表!A:AP,8,FALSE))</f>
        <v/>
      </c>
      <c r="J794" s="105" t="str">
        <f t="shared" si="50"/>
        <v/>
      </c>
      <c r="K794" s="105" t="str">
        <f t="shared" si="51"/>
        <v/>
      </c>
      <c r="L794" s="104" t="str">
        <f>IF(B794="","",VLOOKUP(B794&amp;F794&amp;H794,经纬!A:M,13,FALSE)*N794)</f>
        <v/>
      </c>
      <c r="M794" s="104" t="str">
        <f>IF(B794="","",VLOOKUP(B794&amp;F794&amp;H794,经纬!A:N,14,FALSE)*N794)</f>
        <v/>
      </c>
      <c r="P794" s="8" t="str">
        <f t="shared" ref="P794:P857" si="53">IF(B794="","",MONTH(I794))</f>
        <v/>
      </c>
      <c r="R794" s="250" t="str">
        <f t="shared" si="52"/>
        <v/>
      </c>
    </row>
    <row r="795" spans="1:18">
      <c r="A795" s="4">
        <v>804</v>
      </c>
      <c r="C795" s="8" t="str">
        <f>IF(B795="","",VLOOKUP(B795,经纬!B:C,2,FALSE))</f>
        <v/>
      </c>
      <c r="D795" s="8" t="str">
        <f>IF(B795="","",VLOOKUP(B795,经纬!B:G,6,FALSE))</f>
        <v/>
      </c>
      <c r="F795" s="8" t="str">
        <f>IF(B795="","",VLOOKUP(B795,小圆机汇总表!A:AP,5,FALSE))</f>
        <v/>
      </c>
      <c r="G795" s="8" t="str">
        <f>IF(B795="","",VLOOKUP(B795,小圆机汇总表!A:AP,8,FALSE))</f>
        <v/>
      </c>
      <c r="J795" s="105" t="str">
        <f t="shared" si="50"/>
        <v/>
      </c>
      <c r="K795" s="105" t="str">
        <f t="shared" si="51"/>
        <v/>
      </c>
      <c r="L795" s="104" t="str">
        <f>IF(B795="","",VLOOKUP(B795&amp;F795&amp;H795,经纬!A:M,13,FALSE)*N795)</f>
        <v/>
      </c>
      <c r="M795" s="104" t="str">
        <f>IF(B795="","",VLOOKUP(B795&amp;F795&amp;H795,经纬!A:N,14,FALSE)*N795)</f>
        <v/>
      </c>
      <c r="P795" s="8" t="str">
        <f t="shared" si="53"/>
        <v/>
      </c>
      <c r="R795" s="250" t="str">
        <f t="shared" si="52"/>
        <v/>
      </c>
    </row>
    <row r="796" spans="1:18">
      <c r="A796" s="4">
        <v>805</v>
      </c>
      <c r="C796" s="8" t="str">
        <f>IF(B796="","",VLOOKUP(B796,经纬!B:C,2,FALSE))</f>
        <v/>
      </c>
      <c r="D796" s="8" t="str">
        <f>IF(B796="","",VLOOKUP(B796,经纬!B:G,6,FALSE))</f>
        <v/>
      </c>
      <c r="F796" s="8" t="str">
        <f>IF(B796="","",VLOOKUP(B796,小圆机汇总表!A:AP,5,FALSE))</f>
        <v/>
      </c>
      <c r="G796" s="8" t="str">
        <f>IF(B796="","",VLOOKUP(B796,小圆机汇总表!A:AP,8,FALSE))</f>
        <v/>
      </c>
      <c r="J796" s="105" t="str">
        <f t="shared" si="50"/>
        <v/>
      </c>
      <c r="K796" s="105" t="str">
        <f t="shared" si="51"/>
        <v/>
      </c>
      <c r="L796" s="104" t="str">
        <f>IF(B796="","",VLOOKUP(B796&amp;F796&amp;H796,经纬!A:M,13,FALSE)*N796)</f>
        <v/>
      </c>
      <c r="M796" s="104" t="str">
        <f>IF(B796="","",VLOOKUP(B796&amp;F796&amp;H796,经纬!A:N,14,FALSE)*N796)</f>
        <v/>
      </c>
      <c r="P796" s="8" t="str">
        <f t="shared" si="53"/>
        <v/>
      </c>
      <c r="R796" s="250" t="str">
        <f t="shared" si="52"/>
        <v/>
      </c>
    </row>
    <row r="797" spans="1:18">
      <c r="A797" s="4">
        <v>806</v>
      </c>
      <c r="C797" s="8" t="str">
        <f>IF(B797="","",VLOOKUP(B797,经纬!B:C,2,FALSE))</f>
        <v/>
      </c>
      <c r="D797" s="8" t="str">
        <f>IF(B797="","",VLOOKUP(B797,经纬!B:G,6,FALSE))</f>
        <v/>
      </c>
      <c r="F797" s="8" t="str">
        <f>IF(B797="","",VLOOKUP(B797,小圆机汇总表!A:AP,5,FALSE))</f>
        <v/>
      </c>
      <c r="G797" s="8" t="str">
        <f>IF(B797="","",VLOOKUP(B797,小圆机汇总表!A:AP,8,FALSE))</f>
        <v/>
      </c>
      <c r="J797" s="105" t="str">
        <f t="shared" si="50"/>
        <v/>
      </c>
      <c r="K797" s="105" t="str">
        <f t="shared" si="51"/>
        <v/>
      </c>
      <c r="L797" s="104" t="str">
        <f>IF(B797="","",VLOOKUP(B797&amp;F797&amp;H797,经纬!A:M,13,FALSE)*N797)</f>
        <v/>
      </c>
      <c r="M797" s="104" t="str">
        <f>IF(B797="","",VLOOKUP(B797&amp;F797&amp;H797,经纬!A:N,14,FALSE)*N797)</f>
        <v/>
      </c>
      <c r="P797" s="8" t="str">
        <f t="shared" si="53"/>
        <v/>
      </c>
      <c r="R797" s="250" t="str">
        <f t="shared" si="52"/>
        <v/>
      </c>
    </row>
    <row r="798" spans="1:18">
      <c r="A798" s="4">
        <v>807</v>
      </c>
      <c r="C798" s="8" t="str">
        <f>IF(B798="","",VLOOKUP(B798,经纬!B:C,2,FALSE))</f>
        <v/>
      </c>
      <c r="D798" s="8" t="str">
        <f>IF(B798="","",VLOOKUP(B798,经纬!B:G,6,FALSE))</f>
        <v/>
      </c>
      <c r="F798" s="8" t="str">
        <f>IF(B798="","",VLOOKUP(B798,小圆机汇总表!A:AP,5,FALSE))</f>
        <v/>
      </c>
      <c r="G798" s="8" t="str">
        <f>IF(B798="","",VLOOKUP(B798,小圆机汇总表!A:AP,8,FALSE))</f>
        <v/>
      </c>
      <c r="J798" s="105" t="str">
        <f t="shared" si="50"/>
        <v/>
      </c>
      <c r="K798" s="105" t="str">
        <f t="shared" si="51"/>
        <v/>
      </c>
      <c r="L798" s="104" t="str">
        <f>IF(B798="","",VLOOKUP(B798&amp;F798&amp;H798,经纬!A:M,13,FALSE)*N798)</f>
        <v/>
      </c>
      <c r="M798" s="104" t="str">
        <f>IF(B798="","",VLOOKUP(B798&amp;F798&amp;H798,经纬!A:N,14,FALSE)*N798)</f>
        <v/>
      </c>
      <c r="P798" s="8" t="str">
        <f t="shared" si="53"/>
        <v/>
      </c>
      <c r="R798" s="250" t="str">
        <f t="shared" si="52"/>
        <v/>
      </c>
    </row>
    <row r="799" spans="1:18">
      <c r="A799" s="4">
        <v>808</v>
      </c>
      <c r="C799" s="8" t="str">
        <f>IF(B799="","",VLOOKUP(B799,经纬!B:C,2,FALSE))</f>
        <v/>
      </c>
      <c r="D799" s="8" t="str">
        <f>IF(B799="","",VLOOKUP(B799,经纬!B:G,6,FALSE))</f>
        <v/>
      </c>
      <c r="F799" s="8" t="str">
        <f>IF(B799="","",VLOOKUP(B799,小圆机汇总表!A:AP,5,FALSE))</f>
        <v/>
      </c>
      <c r="G799" s="8" t="str">
        <f>IF(B799="","",VLOOKUP(B799,小圆机汇总表!A:AP,8,FALSE))</f>
        <v/>
      </c>
      <c r="J799" s="105" t="str">
        <f t="shared" si="50"/>
        <v/>
      </c>
      <c r="K799" s="105" t="str">
        <f t="shared" si="51"/>
        <v/>
      </c>
      <c r="L799" s="104" t="str">
        <f>IF(B799="","",VLOOKUP(B799&amp;F799&amp;H799,经纬!A:M,13,FALSE)*N799)</f>
        <v/>
      </c>
      <c r="M799" s="104" t="str">
        <f>IF(B799="","",VLOOKUP(B799&amp;F799&amp;H799,经纬!A:N,14,FALSE)*N799)</f>
        <v/>
      </c>
      <c r="P799" s="8" t="str">
        <f t="shared" si="53"/>
        <v/>
      </c>
      <c r="R799" s="250" t="str">
        <f t="shared" si="52"/>
        <v/>
      </c>
    </row>
    <row r="800" spans="1:18">
      <c r="A800" s="4">
        <v>809</v>
      </c>
      <c r="C800" s="8" t="str">
        <f>IF(B800="","",VLOOKUP(B800,经纬!B:C,2,FALSE))</f>
        <v/>
      </c>
      <c r="D800" s="8" t="str">
        <f>IF(B800="","",VLOOKUP(B800,经纬!B:G,6,FALSE))</f>
        <v/>
      </c>
      <c r="F800" s="8" t="str">
        <f>IF(B800="","",VLOOKUP(B800,小圆机汇总表!A:AP,5,FALSE))</f>
        <v/>
      </c>
      <c r="G800" s="8" t="str">
        <f>IF(B800="","",VLOOKUP(B800,小圆机汇总表!A:AP,8,FALSE))</f>
        <v/>
      </c>
      <c r="J800" s="105" t="str">
        <f t="shared" si="50"/>
        <v/>
      </c>
      <c r="K800" s="105" t="str">
        <f t="shared" si="51"/>
        <v/>
      </c>
      <c r="L800" s="104" t="str">
        <f>IF(B800="","",VLOOKUP(B800&amp;F800&amp;H800,经纬!A:M,13,FALSE)*N800)</f>
        <v/>
      </c>
      <c r="M800" s="104" t="str">
        <f>IF(B800="","",VLOOKUP(B800&amp;F800&amp;H800,经纬!A:N,14,FALSE)*N800)</f>
        <v/>
      </c>
      <c r="P800" s="8" t="str">
        <f t="shared" si="53"/>
        <v/>
      </c>
      <c r="R800" s="250" t="str">
        <f t="shared" si="52"/>
        <v/>
      </c>
    </row>
    <row r="801" spans="1:18">
      <c r="A801" s="4">
        <v>810</v>
      </c>
      <c r="C801" s="8" t="str">
        <f>IF(B801="","",VLOOKUP(B801,经纬!B:C,2,FALSE))</f>
        <v/>
      </c>
      <c r="D801" s="8" t="str">
        <f>IF(B801="","",VLOOKUP(B801,经纬!B:G,6,FALSE))</f>
        <v/>
      </c>
      <c r="F801" s="8" t="str">
        <f>IF(B801="","",VLOOKUP(B801,小圆机汇总表!A:AP,5,FALSE))</f>
        <v/>
      </c>
      <c r="G801" s="8" t="str">
        <f>IF(B801="","",VLOOKUP(B801,小圆机汇总表!A:AP,8,FALSE))</f>
        <v/>
      </c>
      <c r="J801" s="105" t="str">
        <f t="shared" si="50"/>
        <v/>
      </c>
      <c r="K801" s="105" t="str">
        <f t="shared" si="51"/>
        <v/>
      </c>
      <c r="L801" s="104" t="str">
        <f>IF(B801="","",VLOOKUP(B801&amp;F801&amp;H801,经纬!A:M,13,FALSE)*N801)</f>
        <v/>
      </c>
      <c r="M801" s="104" t="str">
        <f>IF(B801="","",VLOOKUP(B801&amp;F801&amp;H801,经纬!A:N,14,FALSE)*N801)</f>
        <v/>
      </c>
      <c r="P801" s="8" t="str">
        <f t="shared" si="53"/>
        <v/>
      </c>
      <c r="R801" s="250" t="str">
        <f t="shared" si="52"/>
        <v/>
      </c>
    </row>
    <row r="802" spans="1:18">
      <c r="A802" s="4">
        <v>811</v>
      </c>
      <c r="C802" s="8" t="str">
        <f>IF(B802="","",VLOOKUP(B802,经纬!B:C,2,FALSE))</f>
        <v/>
      </c>
      <c r="D802" s="8" t="str">
        <f>IF(B802="","",VLOOKUP(B802,经纬!B:G,6,FALSE))</f>
        <v/>
      </c>
      <c r="F802" s="8" t="str">
        <f>IF(B802="","",VLOOKUP(B802,小圆机汇总表!A:AP,5,FALSE))</f>
        <v/>
      </c>
      <c r="G802" s="8" t="str">
        <f>IF(B802="","",VLOOKUP(B802,小圆机汇总表!A:AP,8,FALSE))</f>
        <v/>
      </c>
      <c r="J802" s="105" t="str">
        <f t="shared" si="50"/>
        <v/>
      </c>
      <c r="K802" s="105" t="str">
        <f t="shared" si="51"/>
        <v/>
      </c>
      <c r="L802" s="104" t="str">
        <f>IF(B802="","",VLOOKUP(B802&amp;F802&amp;H802,经纬!A:M,13,FALSE)*N802)</f>
        <v/>
      </c>
      <c r="M802" s="104" t="str">
        <f>IF(B802="","",VLOOKUP(B802&amp;F802&amp;H802,经纬!A:N,14,FALSE)*N802)</f>
        <v/>
      </c>
      <c r="P802" s="8" t="str">
        <f t="shared" si="53"/>
        <v/>
      </c>
      <c r="R802" s="250" t="str">
        <f t="shared" si="52"/>
        <v/>
      </c>
    </row>
    <row r="803" spans="1:18">
      <c r="A803" s="4">
        <v>812</v>
      </c>
      <c r="C803" s="8" t="str">
        <f>IF(B803="","",VLOOKUP(B803,经纬!B:C,2,FALSE))</f>
        <v/>
      </c>
      <c r="D803" s="8" t="str">
        <f>IF(B803="","",VLOOKUP(B803,经纬!B:G,6,FALSE))</f>
        <v/>
      </c>
      <c r="F803" s="8" t="str">
        <f>IF(B803="","",VLOOKUP(B803,小圆机汇总表!A:AP,5,FALSE))</f>
        <v/>
      </c>
      <c r="G803" s="8" t="str">
        <f>IF(B803="","",VLOOKUP(B803,小圆机汇总表!A:AP,8,FALSE))</f>
        <v/>
      </c>
      <c r="J803" s="105" t="str">
        <f t="shared" si="50"/>
        <v/>
      </c>
      <c r="K803" s="105" t="str">
        <f t="shared" si="51"/>
        <v/>
      </c>
      <c r="L803" s="104" t="str">
        <f>IF(B803="","",VLOOKUP(B803&amp;F803&amp;H803,经纬!A:M,13,FALSE)*N803)</f>
        <v/>
      </c>
      <c r="M803" s="104" t="str">
        <f>IF(B803="","",VLOOKUP(B803&amp;F803&amp;H803,经纬!A:N,14,FALSE)*N803)</f>
        <v/>
      </c>
      <c r="P803" s="8" t="str">
        <f t="shared" si="53"/>
        <v/>
      </c>
      <c r="R803" s="250" t="str">
        <f t="shared" si="52"/>
        <v/>
      </c>
    </row>
    <row r="804" spans="1:18">
      <c r="A804" s="4">
        <v>813</v>
      </c>
      <c r="C804" s="8" t="str">
        <f>IF(B804="","",VLOOKUP(B804,经纬!B:C,2,FALSE))</f>
        <v/>
      </c>
      <c r="D804" s="8" t="str">
        <f>IF(B804="","",VLOOKUP(B804,经纬!B:G,6,FALSE))</f>
        <v/>
      </c>
      <c r="F804" s="8" t="str">
        <f>IF(B804="","",VLOOKUP(B804,小圆机汇总表!A:AP,5,FALSE))</f>
        <v/>
      </c>
      <c r="G804" s="8" t="str">
        <f>IF(B804="","",VLOOKUP(B804,小圆机汇总表!A:AP,8,FALSE))</f>
        <v/>
      </c>
      <c r="J804" s="105" t="str">
        <f t="shared" si="50"/>
        <v/>
      </c>
      <c r="K804" s="105" t="str">
        <f t="shared" si="51"/>
        <v/>
      </c>
      <c r="L804" s="104" t="str">
        <f>IF(B804="","",VLOOKUP(B804&amp;F804&amp;H804,经纬!A:M,13,FALSE)*N804)</f>
        <v/>
      </c>
      <c r="M804" s="104" t="str">
        <f>IF(B804="","",VLOOKUP(B804&amp;F804&amp;H804,经纬!A:N,14,FALSE)*N804)</f>
        <v/>
      </c>
      <c r="P804" s="8" t="str">
        <f t="shared" si="53"/>
        <v/>
      </c>
      <c r="R804" s="250" t="str">
        <f t="shared" si="52"/>
        <v/>
      </c>
    </row>
    <row r="805" spans="1:18">
      <c r="A805" s="4">
        <v>814</v>
      </c>
      <c r="C805" s="8" t="str">
        <f>IF(B805="","",VLOOKUP(B805,经纬!B:C,2,FALSE))</f>
        <v/>
      </c>
      <c r="D805" s="8" t="str">
        <f>IF(B805="","",VLOOKUP(B805,经纬!B:G,6,FALSE))</f>
        <v/>
      </c>
      <c r="F805" s="8" t="str">
        <f>IF(B805="","",VLOOKUP(B805,小圆机汇总表!A:AP,5,FALSE))</f>
        <v/>
      </c>
      <c r="G805" s="8" t="str">
        <f>IF(B805="","",VLOOKUP(B805,小圆机汇总表!A:AP,8,FALSE))</f>
        <v/>
      </c>
      <c r="J805" s="105" t="str">
        <f t="shared" si="50"/>
        <v/>
      </c>
      <c r="K805" s="105" t="str">
        <f t="shared" si="51"/>
        <v/>
      </c>
      <c r="L805" s="104" t="str">
        <f>IF(B805="","",VLOOKUP(B805&amp;F805&amp;H805,经纬!A:M,13,FALSE)*N805)</f>
        <v/>
      </c>
      <c r="M805" s="104" t="str">
        <f>IF(B805="","",VLOOKUP(B805&amp;F805&amp;H805,经纬!A:N,14,FALSE)*N805)</f>
        <v/>
      </c>
      <c r="P805" s="8" t="str">
        <f t="shared" si="53"/>
        <v/>
      </c>
      <c r="R805" s="250" t="str">
        <f t="shared" si="52"/>
        <v/>
      </c>
    </row>
    <row r="806" spans="1:18">
      <c r="A806" s="4">
        <v>815</v>
      </c>
      <c r="C806" s="8" t="str">
        <f>IF(B806="","",VLOOKUP(B806,经纬!B:C,2,FALSE))</f>
        <v/>
      </c>
      <c r="D806" s="8" t="str">
        <f>IF(B806="","",VLOOKUP(B806,经纬!B:G,6,FALSE))</f>
        <v/>
      </c>
      <c r="F806" s="8" t="str">
        <f>IF(B806="","",VLOOKUP(B806,小圆机汇总表!A:AP,5,FALSE))</f>
        <v/>
      </c>
      <c r="G806" s="8" t="str">
        <f>IF(B806="","",VLOOKUP(B806,小圆机汇总表!A:AP,8,FALSE))</f>
        <v/>
      </c>
      <c r="J806" s="105" t="str">
        <f t="shared" si="50"/>
        <v/>
      </c>
      <c r="K806" s="105" t="str">
        <f t="shared" si="51"/>
        <v/>
      </c>
      <c r="L806" s="104" t="str">
        <f>IF(B806="","",VLOOKUP(B806&amp;F806&amp;H806,经纬!A:M,13,FALSE)*N806)</f>
        <v/>
      </c>
      <c r="M806" s="104" t="str">
        <f>IF(B806="","",VLOOKUP(B806&amp;F806&amp;H806,经纬!A:N,14,FALSE)*N806)</f>
        <v/>
      </c>
      <c r="P806" s="8" t="str">
        <f t="shared" si="53"/>
        <v/>
      </c>
      <c r="R806" s="250" t="str">
        <f t="shared" si="52"/>
        <v/>
      </c>
    </row>
    <row r="807" spans="1:18">
      <c r="A807" s="4">
        <v>816</v>
      </c>
      <c r="C807" s="8" t="str">
        <f>IF(B807="","",VLOOKUP(B807,经纬!B:C,2,FALSE))</f>
        <v/>
      </c>
      <c r="D807" s="8" t="str">
        <f>IF(B807="","",VLOOKUP(B807,经纬!B:G,6,FALSE))</f>
        <v/>
      </c>
      <c r="F807" s="8" t="str">
        <f>IF(B807="","",VLOOKUP(B807,小圆机汇总表!A:AP,5,FALSE))</f>
        <v/>
      </c>
      <c r="G807" s="8" t="str">
        <f>IF(B807="","",VLOOKUP(B807,小圆机汇总表!A:AP,8,FALSE))</f>
        <v/>
      </c>
      <c r="J807" s="105" t="str">
        <f t="shared" si="50"/>
        <v/>
      </c>
      <c r="K807" s="105" t="str">
        <f t="shared" si="51"/>
        <v/>
      </c>
      <c r="L807" s="104" t="str">
        <f>IF(B807="","",VLOOKUP(B807&amp;F807&amp;H807,经纬!A:M,13,FALSE)*N807)</f>
        <v/>
      </c>
      <c r="M807" s="104" t="str">
        <f>IF(B807="","",VLOOKUP(B807&amp;F807&amp;H807,经纬!A:N,14,FALSE)*N807)</f>
        <v/>
      </c>
      <c r="P807" s="8" t="str">
        <f t="shared" si="53"/>
        <v/>
      </c>
      <c r="R807" s="250" t="str">
        <f t="shared" si="52"/>
        <v/>
      </c>
    </row>
    <row r="808" spans="1:18">
      <c r="A808" s="4">
        <v>817</v>
      </c>
      <c r="C808" s="8" t="str">
        <f>IF(B808="","",VLOOKUP(B808,经纬!B:C,2,FALSE))</f>
        <v/>
      </c>
      <c r="D808" s="8" t="str">
        <f>IF(B808="","",VLOOKUP(B808,经纬!B:G,6,FALSE))</f>
        <v/>
      </c>
      <c r="F808" s="8" t="str">
        <f>IF(B808="","",VLOOKUP(B808,小圆机汇总表!A:AP,5,FALSE))</f>
        <v/>
      </c>
      <c r="G808" s="8" t="str">
        <f>IF(B808="","",VLOOKUP(B808,小圆机汇总表!A:AP,8,FALSE))</f>
        <v/>
      </c>
      <c r="J808" s="105" t="str">
        <f t="shared" si="50"/>
        <v/>
      </c>
      <c r="K808" s="105" t="str">
        <f t="shared" si="51"/>
        <v/>
      </c>
      <c r="L808" s="104" t="str">
        <f>IF(B808="","",VLOOKUP(B808&amp;F808&amp;H808,经纬!A:M,13,FALSE)*N808)</f>
        <v/>
      </c>
      <c r="M808" s="104" t="str">
        <f>IF(B808="","",VLOOKUP(B808&amp;F808&amp;H808,经纬!A:N,14,FALSE)*N808)</f>
        <v/>
      </c>
      <c r="P808" s="8" t="str">
        <f t="shared" si="53"/>
        <v/>
      </c>
      <c r="R808" s="250" t="str">
        <f t="shared" si="52"/>
        <v/>
      </c>
    </row>
    <row r="809" spans="1:18">
      <c r="A809" s="4">
        <v>818</v>
      </c>
      <c r="C809" s="8" t="str">
        <f>IF(B809="","",VLOOKUP(B809,经纬!B:C,2,FALSE))</f>
        <v/>
      </c>
      <c r="D809" s="8" t="str">
        <f>IF(B809="","",VLOOKUP(B809,经纬!B:G,6,FALSE))</f>
        <v/>
      </c>
      <c r="F809" s="8" t="str">
        <f>IF(B809="","",VLOOKUP(B809,小圆机汇总表!A:AP,5,FALSE))</f>
        <v/>
      </c>
      <c r="G809" s="8" t="str">
        <f>IF(B809="","",VLOOKUP(B809,小圆机汇总表!A:AP,8,FALSE))</f>
        <v/>
      </c>
      <c r="J809" s="105" t="str">
        <f t="shared" si="50"/>
        <v/>
      </c>
      <c r="K809" s="105" t="str">
        <f t="shared" si="51"/>
        <v/>
      </c>
      <c r="L809" s="104" t="str">
        <f>IF(B809="","",VLOOKUP(B809&amp;F809&amp;H809,经纬!A:M,13,FALSE)*N809)</f>
        <v/>
      </c>
      <c r="M809" s="104" t="str">
        <f>IF(B809="","",VLOOKUP(B809&amp;F809&amp;H809,经纬!A:N,14,FALSE)*N809)</f>
        <v/>
      </c>
      <c r="P809" s="8" t="str">
        <f t="shared" si="53"/>
        <v/>
      </c>
      <c r="R809" s="250" t="str">
        <f t="shared" si="52"/>
        <v/>
      </c>
    </row>
    <row r="810" spans="1:18">
      <c r="A810" s="4">
        <v>819</v>
      </c>
      <c r="C810" s="8" t="str">
        <f>IF(B810="","",VLOOKUP(B810,经纬!B:C,2,FALSE))</f>
        <v/>
      </c>
      <c r="D810" s="8" t="str">
        <f>IF(B810="","",VLOOKUP(B810,经纬!B:G,6,FALSE))</f>
        <v/>
      </c>
      <c r="F810" s="8" t="str">
        <f>IF(B810="","",VLOOKUP(B810,小圆机汇总表!A:AP,5,FALSE))</f>
        <v/>
      </c>
      <c r="G810" s="8" t="str">
        <f>IF(B810="","",VLOOKUP(B810,小圆机汇总表!A:AP,8,FALSE))</f>
        <v/>
      </c>
      <c r="J810" s="105" t="str">
        <f t="shared" si="50"/>
        <v/>
      </c>
      <c r="K810" s="105" t="str">
        <f t="shared" si="51"/>
        <v/>
      </c>
      <c r="L810" s="104" t="str">
        <f>IF(B810="","",VLOOKUP(B810&amp;F810&amp;H810,经纬!A:M,13,FALSE)*N810)</f>
        <v/>
      </c>
      <c r="M810" s="104" t="str">
        <f>IF(B810="","",VLOOKUP(B810&amp;F810&amp;H810,经纬!A:N,14,FALSE)*N810)</f>
        <v/>
      </c>
      <c r="P810" s="8" t="str">
        <f t="shared" si="53"/>
        <v/>
      </c>
      <c r="R810" s="250" t="str">
        <f t="shared" si="52"/>
        <v/>
      </c>
    </row>
    <row r="811" spans="1:18">
      <c r="A811" s="4">
        <v>820</v>
      </c>
      <c r="C811" s="8" t="str">
        <f>IF(B811="","",VLOOKUP(B811,经纬!B:C,2,FALSE))</f>
        <v/>
      </c>
      <c r="D811" s="8" t="str">
        <f>IF(B811="","",VLOOKUP(B811,经纬!B:G,6,FALSE))</f>
        <v/>
      </c>
      <c r="F811" s="8" t="str">
        <f>IF(B811="","",VLOOKUP(B811,小圆机汇总表!A:AP,5,FALSE))</f>
        <v/>
      </c>
      <c r="G811" s="8" t="str">
        <f>IF(B811="","",VLOOKUP(B811,小圆机汇总表!A:AP,8,FALSE))</f>
        <v/>
      </c>
      <c r="J811" s="105" t="str">
        <f t="shared" si="50"/>
        <v/>
      </c>
      <c r="K811" s="105" t="str">
        <f t="shared" si="51"/>
        <v/>
      </c>
      <c r="L811" s="104" t="str">
        <f>IF(B811="","",VLOOKUP(B811&amp;F811&amp;H811,经纬!A:M,13,FALSE)*N811)</f>
        <v/>
      </c>
      <c r="M811" s="104" t="str">
        <f>IF(B811="","",VLOOKUP(B811&amp;F811&amp;H811,经纬!A:N,14,FALSE)*N811)</f>
        <v/>
      </c>
      <c r="P811" s="8" t="str">
        <f t="shared" si="53"/>
        <v/>
      </c>
      <c r="R811" s="250" t="str">
        <f t="shared" si="52"/>
        <v/>
      </c>
    </row>
    <row r="812" spans="1:18">
      <c r="A812" s="4">
        <v>821</v>
      </c>
      <c r="C812" s="8" t="str">
        <f>IF(B812="","",VLOOKUP(B812,经纬!B:C,2,FALSE))</f>
        <v/>
      </c>
      <c r="D812" s="8" t="str">
        <f>IF(B812="","",VLOOKUP(B812,经纬!B:G,6,FALSE))</f>
        <v/>
      </c>
      <c r="F812" s="8" t="str">
        <f>IF(B812="","",VLOOKUP(B812,小圆机汇总表!A:AP,5,FALSE))</f>
        <v/>
      </c>
      <c r="G812" s="8" t="str">
        <f>IF(B812="","",VLOOKUP(B812,小圆机汇总表!A:AP,8,FALSE))</f>
        <v/>
      </c>
      <c r="J812" s="105" t="str">
        <f t="shared" si="50"/>
        <v/>
      </c>
      <c r="K812" s="105" t="str">
        <f t="shared" si="51"/>
        <v/>
      </c>
      <c r="L812" s="104" t="str">
        <f>IF(B812="","",VLOOKUP(B812&amp;F812&amp;H812,经纬!A:M,13,FALSE)*N812)</f>
        <v/>
      </c>
      <c r="M812" s="104" t="str">
        <f>IF(B812="","",VLOOKUP(B812&amp;F812&amp;H812,经纬!A:N,14,FALSE)*N812)</f>
        <v/>
      </c>
      <c r="P812" s="8" t="str">
        <f t="shared" si="53"/>
        <v/>
      </c>
      <c r="R812" s="250" t="str">
        <f t="shared" si="52"/>
        <v/>
      </c>
    </row>
    <row r="813" spans="1:18">
      <c r="A813" s="4">
        <v>822</v>
      </c>
      <c r="C813" s="8" t="str">
        <f>IF(B813="","",VLOOKUP(B813,经纬!B:C,2,FALSE))</f>
        <v/>
      </c>
      <c r="D813" s="8" t="str">
        <f>IF(B813="","",VLOOKUP(B813,经纬!B:G,6,FALSE))</f>
        <v/>
      </c>
      <c r="F813" s="8" t="str">
        <f>IF(B813="","",VLOOKUP(B813,小圆机汇总表!A:AP,5,FALSE))</f>
        <v/>
      </c>
      <c r="G813" s="8" t="str">
        <f>IF(B813="","",VLOOKUP(B813,小圆机汇总表!A:AP,8,FALSE))</f>
        <v/>
      </c>
      <c r="J813" s="105" t="str">
        <f t="shared" si="50"/>
        <v/>
      </c>
      <c r="K813" s="105" t="str">
        <f t="shared" si="51"/>
        <v/>
      </c>
      <c r="L813" s="104" t="str">
        <f>IF(B813="","",VLOOKUP(B813&amp;F813&amp;H813,经纬!A:M,13,FALSE)*N813)</f>
        <v/>
      </c>
      <c r="M813" s="104" t="str">
        <f>IF(B813="","",VLOOKUP(B813&amp;F813&amp;H813,经纬!A:N,14,FALSE)*N813)</f>
        <v/>
      </c>
      <c r="P813" s="8" t="str">
        <f t="shared" si="53"/>
        <v/>
      </c>
      <c r="R813" s="250" t="str">
        <f t="shared" si="52"/>
        <v/>
      </c>
    </row>
    <row r="814" spans="1:18">
      <c r="A814" s="4">
        <v>823</v>
      </c>
      <c r="C814" s="8" t="str">
        <f>IF(B814="","",VLOOKUP(B814,经纬!B:C,2,FALSE))</f>
        <v/>
      </c>
      <c r="D814" s="8" t="str">
        <f>IF(B814="","",VLOOKUP(B814,经纬!B:G,6,FALSE))</f>
        <v/>
      </c>
      <c r="F814" s="8" t="str">
        <f>IF(B814="","",VLOOKUP(B814,小圆机汇总表!A:AP,5,FALSE))</f>
        <v/>
      </c>
      <c r="G814" s="8" t="str">
        <f>IF(B814="","",VLOOKUP(B814,小圆机汇总表!A:AP,8,FALSE))</f>
        <v/>
      </c>
      <c r="J814" s="105" t="str">
        <f t="shared" si="50"/>
        <v/>
      </c>
      <c r="K814" s="105" t="str">
        <f t="shared" si="51"/>
        <v/>
      </c>
      <c r="L814" s="104" t="str">
        <f>IF(B814="","",VLOOKUP(B814&amp;F814&amp;H814,经纬!A:M,13,FALSE)*N814)</f>
        <v/>
      </c>
      <c r="M814" s="104" t="str">
        <f>IF(B814="","",VLOOKUP(B814&amp;F814&amp;H814,经纬!A:N,14,FALSE)*N814)</f>
        <v/>
      </c>
      <c r="P814" s="8" t="str">
        <f t="shared" si="53"/>
        <v/>
      </c>
      <c r="R814" s="250" t="str">
        <f t="shared" si="52"/>
        <v/>
      </c>
    </row>
    <row r="815" spans="1:18">
      <c r="A815" s="4">
        <v>824</v>
      </c>
      <c r="C815" s="8" t="str">
        <f>IF(B815="","",VLOOKUP(B815,经纬!B:C,2,FALSE))</f>
        <v/>
      </c>
      <c r="D815" s="8" t="str">
        <f>IF(B815="","",VLOOKUP(B815,经纬!B:G,6,FALSE))</f>
        <v/>
      </c>
      <c r="F815" s="8" t="str">
        <f>IF(B815="","",VLOOKUP(B815,小圆机汇总表!A:AP,5,FALSE))</f>
        <v/>
      </c>
      <c r="G815" s="8" t="str">
        <f>IF(B815="","",VLOOKUP(B815,小圆机汇总表!A:AP,8,FALSE))</f>
        <v/>
      </c>
      <c r="J815" s="105" t="str">
        <f t="shared" si="50"/>
        <v/>
      </c>
      <c r="K815" s="105" t="str">
        <f t="shared" si="51"/>
        <v/>
      </c>
      <c r="L815" s="104" t="str">
        <f>IF(B815="","",VLOOKUP(B815&amp;F815&amp;H815,经纬!A:M,13,FALSE)*N815)</f>
        <v/>
      </c>
      <c r="M815" s="104" t="str">
        <f>IF(B815="","",VLOOKUP(B815&amp;F815&amp;H815,经纬!A:N,14,FALSE)*N815)</f>
        <v/>
      </c>
      <c r="P815" s="8" t="str">
        <f t="shared" si="53"/>
        <v/>
      </c>
      <c r="R815" s="250" t="str">
        <f t="shared" si="52"/>
        <v/>
      </c>
    </row>
    <row r="816" spans="1:18">
      <c r="A816" s="4">
        <v>825</v>
      </c>
      <c r="C816" s="8" t="str">
        <f>IF(B816="","",VLOOKUP(B816,经纬!B:C,2,FALSE))</f>
        <v/>
      </c>
      <c r="D816" s="8" t="str">
        <f>IF(B816="","",VLOOKUP(B816,经纬!B:G,6,FALSE))</f>
        <v/>
      </c>
      <c r="F816" s="8" t="str">
        <f>IF(B816="","",VLOOKUP(B816,小圆机汇总表!A:AP,5,FALSE))</f>
        <v/>
      </c>
      <c r="G816" s="8" t="str">
        <f>IF(B816="","",VLOOKUP(B816,小圆机汇总表!A:AP,8,FALSE))</f>
        <v/>
      </c>
      <c r="J816" s="105" t="str">
        <f t="shared" si="50"/>
        <v/>
      </c>
      <c r="K816" s="105" t="str">
        <f t="shared" si="51"/>
        <v/>
      </c>
      <c r="L816" s="104" t="str">
        <f>IF(B816="","",VLOOKUP(B816&amp;F816&amp;H816,经纬!A:M,13,FALSE)*N816)</f>
        <v/>
      </c>
      <c r="M816" s="104" t="str">
        <f>IF(B816="","",VLOOKUP(B816&amp;F816&amp;H816,经纬!A:N,14,FALSE)*N816)</f>
        <v/>
      </c>
      <c r="P816" s="8" t="str">
        <f t="shared" si="53"/>
        <v/>
      </c>
      <c r="R816" s="250" t="str">
        <f t="shared" si="52"/>
        <v/>
      </c>
    </row>
    <row r="817" spans="1:18">
      <c r="A817" s="4">
        <v>826</v>
      </c>
      <c r="C817" s="8" t="str">
        <f>IF(B817="","",VLOOKUP(B817,经纬!B:C,2,FALSE))</f>
        <v/>
      </c>
      <c r="D817" s="8" t="str">
        <f>IF(B817="","",VLOOKUP(B817,经纬!B:G,6,FALSE))</f>
        <v/>
      </c>
      <c r="F817" s="8" t="str">
        <f>IF(B817="","",VLOOKUP(B817,小圆机汇总表!A:AP,5,FALSE))</f>
        <v/>
      </c>
      <c r="G817" s="8" t="str">
        <f>IF(B817="","",VLOOKUP(B817,小圆机汇总表!A:AP,8,FALSE))</f>
        <v/>
      </c>
      <c r="J817" s="105" t="str">
        <f t="shared" si="50"/>
        <v/>
      </c>
      <c r="K817" s="105" t="str">
        <f t="shared" si="51"/>
        <v/>
      </c>
      <c r="L817" s="104" t="str">
        <f>IF(B817="","",VLOOKUP(B817&amp;F817&amp;H817,经纬!A:M,13,FALSE)*N817)</f>
        <v/>
      </c>
      <c r="M817" s="104" t="str">
        <f>IF(B817="","",VLOOKUP(B817&amp;F817&amp;H817,经纬!A:N,14,FALSE)*N817)</f>
        <v/>
      </c>
      <c r="P817" s="8" t="str">
        <f t="shared" si="53"/>
        <v/>
      </c>
      <c r="R817" s="250" t="str">
        <f t="shared" si="52"/>
        <v/>
      </c>
    </row>
    <row r="818" spans="1:18">
      <c r="A818" s="4">
        <v>827</v>
      </c>
      <c r="C818" s="8" t="str">
        <f>IF(B818="","",VLOOKUP(B818,经纬!B:C,2,FALSE))</f>
        <v/>
      </c>
      <c r="D818" s="8" t="str">
        <f>IF(B818="","",VLOOKUP(B818,经纬!B:G,6,FALSE))</f>
        <v/>
      </c>
      <c r="F818" s="8" t="str">
        <f>IF(B818="","",VLOOKUP(B818,小圆机汇总表!A:AP,5,FALSE))</f>
        <v/>
      </c>
      <c r="G818" s="8" t="str">
        <f>IF(B818="","",VLOOKUP(B818,小圆机汇总表!A:AP,8,FALSE))</f>
        <v/>
      </c>
      <c r="J818" s="105" t="str">
        <f t="shared" si="50"/>
        <v/>
      </c>
      <c r="K818" s="105" t="str">
        <f t="shared" si="51"/>
        <v/>
      </c>
      <c r="L818" s="104" t="str">
        <f>IF(B818="","",VLOOKUP(B818&amp;F818&amp;H818,经纬!A:M,13,FALSE)*N818)</f>
        <v/>
      </c>
      <c r="M818" s="104" t="str">
        <f>IF(B818="","",VLOOKUP(B818&amp;F818&amp;H818,经纬!A:N,14,FALSE)*N818)</f>
        <v/>
      </c>
      <c r="P818" s="8" t="str">
        <f t="shared" si="53"/>
        <v/>
      </c>
      <c r="R818" s="250" t="str">
        <f t="shared" si="52"/>
        <v/>
      </c>
    </row>
    <row r="819" spans="1:18">
      <c r="A819" s="4">
        <v>828</v>
      </c>
      <c r="C819" s="8" t="str">
        <f>IF(B819="","",VLOOKUP(B819,经纬!B:C,2,FALSE))</f>
        <v/>
      </c>
      <c r="D819" s="8" t="str">
        <f>IF(B819="","",VLOOKUP(B819,经纬!B:G,6,FALSE))</f>
        <v/>
      </c>
      <c r="F819" s="8" t="str">
        <f>IF(B819="","",VLOOKUP(B819,小圆机汇总表!A:AP,5,FALSE))</f>
        <v/>
      </c>
      <c r="G819" s="8" t="str">
        <f>IF(B819="","",VLOOKUP(B819,小圆机汇总表!A:AP,8,FALSE))</f>
        <v/>
      </c>
      <c r="J819" s="105" t="str">
        <f t="shared" si="50"/>
        <v/>
      </c>
      <c r="K819" s="105" t="str">
        <f t="shared" si="51"/>
        <v/>
      </c>
      <c r="L819" s="104" t="str">
        <f>IF(B819="","",VLOOKUP(B819&amp;F819&amp;H819,经纬!A:M,13,FALSE)*N819)</f>
        <v/>
      </c>
      <c r="M819" s="104" t="str">
        <f>IF(B819="","",VLOOKUP(B819&amp;F819&amp;H819,经纬!A:N,14,FALSE)*N819)</f>
        <v/>
      </c>
      <c r="P819" s="8" t="str">
        <f t="shared" si="53"/>
        <v/>
      </c>
      <c r="R819" s="250" t="str">
        <f t="shared" si="52"/>
        <v/>
      </c>
    </row>
    <row r="820" spans="1:18">
      <c r="A820" s="4">
        <v>829</v>
      </c>
      <c r="C820" s="8" t="str">
        <f>IF(B820="","",VLOOKUP(B820,经纬!B:C,2,FALSE))</f>
        <v/>
      </c>
      <c r="D820" s="8" t="str">
        <f>IF(B820="","",VLOOKUP(B820,经纬!B:G,6,FALSE))</f>
        <v/>
      </c>
      <c r="F820" s="8" t="str">
        <f>IF(B820="","",VLOOKUP(B820,小圆机汇总表!A:AP,5,FALSE))</f>
        <v/>
      </c>
      <c r="G820" s="8" t="str">
        <f>IF(B820="","",VLOOKUP(B820,小圆机汇总表!A:AP,8,FALSE))</f>
        <v/>
      </c>
      <c r="J820" s="105" t="str">
        <f t="shared" si="50"/>
        <v/>
      </c>
      <c r="K820" s="105" t="str">
        <f t="shared" si="51"/>
        <v/>
      </c>
      <c r="L820" s="104" t="str">
        <f>IF(B820="","",VLOOKUP(B820&amp;F820&amp;H820,经纬!A:M,13,FALSE)*N820)</f>
        <v/>
      </c>
      <c r="M820" s="104" t="str">
        <f>IF(B820="","",VLOOKUP(B820&amp;F820&amp;H820,经纬!A:N,14,FALSE)*N820)</f>
        <v/>
      </c>
      <c r="P820" s="8" t="str">
        <f t="shared" si="53"/>
        <v/>
      </c>
      <c r="R820" s="250" t="str">
        <f t="shared" si="52"/>
        <v/>
      </c>
    </row>
    <row r="821" spans="1:18">
      <c r="A821" s="4">
        <v>830</v>
      </c>
      <c r="C821" s="8" t="str">
        <f>IF(B821="","",VLOOKUP(B821,经纬!B:C,2,FALSE))</f>
        <v/>
      </c>
      <c r="D821" s="8" t="str">
        <f>IF(B821="","",VLOOKUP(B821,经纬!B:G,6,FALSE))</f>
        <v/>
      </c>
      <c r="F821" s="8" t="str">
        <f>IF(B821="","",VLOOKUP(B821,小圆机汇总表!A:AP,5,FALSE))</f>
        <v/>
      </c>
      <c r="G821" s="8" t="str">
        <f>IF(B821="","",VLOOKUP(B821,小圆机汇总表!A:AP,8,FALSE))</f>
        <v/>
      </c>
      <c r="J821" s="105" t="str">
        <f t="shared" si="50"/>
        <v/>
      </c>
      <c r="K821" s="105" t="str">
        <f t="shared" si="51"/>
        <v/>
      </c>
      <c r="L821" s="104" t="str">
        <f>IF(B821="","",VLOOKUP(B821&amp;F821&amp;H821,经纬!A:M,13,FALSE)*N821)</f>
        <v/>
      </c>
      <c r="M821" s="104" t="str">
        <f>IF(B821="","",VLOOKUP(B821&amp;F821&amp;H821,经纬!A:N,14,FALSE)*N821)</f>
        <v/>
      </c>
      <c r="P821" s="8" t="str">
        <f t="shared" si="53"/>
        <v/>
      </c>
      <c r="R821" s="250" t="str">
        <f t="shared" si="52"/>
        <v/>
      </c>
    </row>
    <row r="822" spans="1:18">
      <c r="A822" s="4">
        <v>831</v>
      </c>
      <c r="C822" s="8" t="str">
        <f>IF(B822="","",VLOOKUP(B822,经纬!B:C,2,FALSE))</f>
        <v/>
      </c>
      <c r="D822" s="8" t="str">
        <f>IF(B822="","",VLOOKUP(B822,经纬!B:G,6,FALSE))</f>
        <v/>
      </c>
      <c r="F822" s="8" t="str">
        <f>IF(B822="","",VLOOKUP(B822,小圆机汇总表!A:AP,5,FALSE))</f>
        <v/>
      </c>
      <c r="G822" s="8" t="str">
        <f>IF(B822="","",VLOOKUP(B822,小圆机汇总表!A:AP,8,FALSE))</f>
        <v/>
      </c>
      <c r="J822" s="105" t="str">
        <f t="shared" si="50"/>
        <v/>
      </c>
      <c r="K822" s="105" t="str">
        <f t="shared" si="51"/>
        <v/>
      </c>
      <c r="L822" s="104" t="str">
        <f>IF(B822="","",VLOOKUP(B822&amp;F822&amp;H822,经纬!A:M,13,FALSE)*N822)</f>
        <v/>
      </c>
      <c r="M822" s="104" t="str">
        <f>IF(B822="","",VLOOKUP(B822&amp;F822&amp;H822,经纬!A:N,14,FALSE)*N822)</f>
        <v/>
      </c>
      <c r="P822" s="8" t="str">
        <f t="shared" si="53"/>
        <v/>
      </c>
      <c r="R822" s="250" t="str">
        <f t="shared" si="52"/>
        <v/>
      </c>
    </row>
    <row r="823" spans="1:18">
      <c r="A823" s="4">
        <v>832</v>
      </c>
      <c r="C823" s="8" t="str">
        <f>IF(B823="","",VLOOKUP(B823,经纬!B:C,2,FALSE))</f>
        <v/>
      </c>
      <c r="D823" s="8" t="str">
        <f>IF(B823="","",VLOOKUP(B823,经纬!B:G,6,FALSE))</f>
        <v/>
      </c>
      <c r="F823" s="8" t="str">
        <f>IF(B823="","",VLOOKUP(B823,小圆机汇总表!A:AP,5,FALSE))</f>
        <v/>
      </c>
      <c r="G823" s="8" t="str">
        <f>IF(B823="","",VLOOKUP(B823,小圆机汇总表!A:AP,8,FALSE))</f>
        <v/>
      </c>
      <c r="J823" s="105" t="str">
        <f t="shared" si="50"/>
        <v/>
      </c>
      <c r="K823" s="105" t="str">
        <f t="shared" si="51"/>
        <v/>
      </c>
      <c r="L823" s="104" t="str">
        <f>IF(B823="","",VLOOKUP(B823&amp;F823&amp;H823,经纬!A:M,13,FALSE)*N823)</f>
        <v/>
      </c>
      <c r="M823" s="104" t="str">
        <f>IF(B823="","",VLOOKUP(B823&amp;F823&amp;H823,经纬!A:N,14,FALSE)*N823)</f>
        <v/>
      </c>
      <c r="P823" s="8" t="str">
        <f t="shared" si="53"/>
        <v/>
      </c>
      <c r="R823" s="250" t="str">
        <f t="shared" si="52"/>
        <v/>
      </c>
    </row>
    <row r="824" spans="1:18">
      <c r="A824" s="4">
        <v>833</v>
      </c>
      <c r="C824" s="8" t="str">
        <f>IF(B824="","",VLOOKUP(B824,经纬!B:C,2,FALSE))</f>
        <v/>
      </c>
      <c r="D824" s="8" t="str">
        <f>IF(B824="","",VLOOKUP(B824,经纬!B:G,6,FALSE))</f>
        <v/>
      </c>
      <c r="F824" s="8" t="str">
        <f>IF(B824="","",VLOOKUP(B824,小圆机汇总表!A:AP,5,FALSE))</f>
        <v/>
      </c>
      <c r="G824" s="8" t="str">
        <f>IF(B824="","",VLOOKUP(B824,小圆机汇总表!A:AP,8,FALSE))</f>
        <v/>
      </c>
      <c r="J824" s="105" t="str">
        <f t="shared" si="50"/>
        <v/>
      </c>
      <c r="K824" s="105" t="str">
        <f t="shared" si="51"/>
        <v/>
      </c>
      <c r="L824" s="104" t="str">
        <f>IF(B824="","",VLOOKUP(B824&amp;F824&amp;H824,经纬!A:M,13,FALSE)*N824)</f>
        <v/>
      </c>
      <c r="M824" s="104" t="str">
        <f>IF(B824="","",VLOOKUP(B824&amp;F824&amp;H824,经纬!A:N,14,FALSE)*N824)</f>
        <v/>
      </c>
      <c r="P824" s="8" t="str">
        <f t="shared" si="53"/>
        <v/>
      </c>
      <c r="R824" s="250" t="str">
        <f t="shared" si="52"/>
        <v/>
      </c>
    </row>
    <row r="825" spans="1:18">
      <c r="A825" s="4">
        <v>834</v>
      </c>
      <c r="C825" s="8" t="str">
        <f>IF(B825="","",VLOOKUP(B825,经纬!B:C,2,FALSE))</f>
        <v/>
      </c>
      <c r="D825" s="8" t="str">
        <f>IF(B825="","",VLOOKUP(B825,经纬!B:G,6,FALSE))</f>
        <v/>
      </c>
      <c r="F825" s="8" t="str">
        <f>IF(B825="","",VLOOKUP(B825,小圆机汇总表!A:AP,5,FALSE))</f>
        <v/>
      </c>
      <c r="G825" s="8" t="str">
        <f>IF(B825="","",VLOOKUP(B825,小圆机汇总表!A:AP,8,FALSE))</f>
        <v/>
      </c>
      <c r="J825" s="105" t="str">
        <f t="shared" si="50"/>
        <v/>
      </c>
      <c r="K825" s="105" t="str">
        <f t="shared" si="51"/>
        <v/>
      </c>
      <c r="L825" s="104" t="str">
        <f>IF(B825="","",VLOOKUP(B825&amp;F825&amp;H825,经纬!A:M,13,FALSE)*N825)</f>
        <v/>
      </c>
      <c r="M825" s="104" t="str">
        <f>IF(B825="","",VLOOKUP(B825&amp;F825&amp;H825,经纬!A:N,14,FALSE)*N825)</f>
        <v/>
      </c>
      <c r="P825" s="8" t="str">
        <f t="shared" si="53"/>
        <v/>
      </c>
      <c r="R825" s="250" t="str">
        <f t="shared" si="52"/>
        <v/>
      </c>
    </row>
    <row r="826" spans="1:18">
      <c r="A826" s="4">
        <v>835</v>
      </c>
      <c r="C826" s="8" t="str">
        <f>IF(B826="","",VLOOKUP(B826,经纬!B:C,2,FALSE))</f>
        <v/>
      </c>
      <c r="D826" s="8" t="str">
        <f>IF(B826="","",VLOOKUP(B826,经纬!B:G,6,FALSE))</f>
        <v/>
      </c>
      <c r="F826" s="8" t="str">
        <f>IF(B826="","",VLOOKUP(B826,小圆机汇总表!A:AP,5,FALSE))</f>
        <v/>
      </c>
      <c r="G826" s="8" t="str">
        <f>IF(B826="","",VLOOKUP(B826,小圆机汇总表!A:AP,8,FALSE))</f>
        <v/>
      </c>
      <c r="J826" s="105" t="str">
        <f t="shared" ref="J826:J889" si="54">IF(B826="","",LEFT(C826,FIND("*",C826)-1))</f>
        <v/>
      </c>
      <c r="K826" s="105" t="str">
        <f t="shared" ref="K826:K889" si="55">IF(B826="","",RIGHT(C826,LEN(C826)-LEN(J826)-1))</f>
        <v/>
      </c>
      <c r="L826" s="104" t="str">
        <f>IF(B826="","",VLOOKUP(B826&amp;F826&amp;H826,经纬!A:M,13,FALSE)*N826)</f>
        <v/>
      </c>
      <c r="M826" s="104" t="str">
        <f>IF(B826="","",VLOOKUP(B826&amp;F826&amp;H826,经纬!A:N,14,FALSE)*N826)</f>
        <v/>
      </c>
      <c r="P826" s="8" t="str">
        <f t="shared" si="53"/>
        <v/>
      </c>
      <c r="R826" s="250" t="str">
        <f t="shared" si="52"/>
        <v/>
      </c>
    </row>
    <row r="827" spans="1:18">
      <c r="A827" s="4">
        <v>836</v>
      </c>
      <c r="C827" s="8" t="str">
        <f>IF(B827="","",VLOOKUP(B827,经纬!B:C,2,FALSE))</f>
        <v/>
      </c>
      <c r="D827" s="8" t="str">
        <f>IF(B827="","",VLOOKUP(B827,经纬!B:G,6,FALSE))</f>
        <v/>
      </c>
      <c r="F827" s="8" t="str">
        <f>IF(B827="","",VLOOKUP(B827,小圆机汇总表!A:AP,5,FALSE))</f>
        <v/>
      </c>
      <c r="G827" s="8" t="str">
        <f>IF(B827="","",VLOOKUP(B827,小圆机汇总表!A:AP,8,FALSE))</f>
        <v/>
      </c>
      <c r="J827" s="105" t="str">
        <f t="shared" si="54"/>
        <v/>
      </c>
      <c r="K827" s="105" t="str">
        <f t="shared" si="55"/>
        <v/>
      </c>
      <c r="L827" s="104" t="str">
        <f>IF(B827="","",VLOOKUP(B827&amp;F827&amp;H827,经纬!A:M,13,FALSE)*N827)</f>
        <v/>
      </c>
      <c r="M827" s="104" t="str">
        <f>IF(B827="","",VLOOKUP(B827&amp;F827&amp;H827,经纬!A:N,14,FALSE)*N827)</f>
        <v/>
      </c>
      <c r="P827" s="8" t="str">
        <f t="shared" si="53"/>
        <v/>
      </c>
      <c r="R827" s="250" t="str">
        <f t="shared" si="52"/>
        <v/>
      </c>
    </row>
    <row r="828" spans="1:18">
      <c r="A828" s="4">
        <v>837</v>
      </c>
      <c r="C828" s="8" t="str">
        <f>IF(B828="","",VLOOKUP(B828,经纬!B:C,2,FALSE))</f>
        <v/>
      </c>
      <c r="D828" s="8" t="str">
        <f>IF(B828="","",VLOOKUP(B828,经纬!B:G,6,FALSE))</f>
        <v/>
      </c>
      <c r="F828" s="8" t="str">
        <f>IF(B828="","",VLOOKUP(B828,小圆机汇总表!A:AP,5,FALSE))</f>
        <v/>
      </c>
      <c r="G828" s="8" t="str">
        <f>IF(B828="","",VLOOKUP(B828,小圆机汇总表!A:AP,8,FALSE))</f>
        <v/>
      </c>
      <c r="J828" s="105" t="str">
        <f t="shared" si="54"/>
        <v/>
      </c>
      <c r="K828" s="105" t="str">
        <f t="shared" si="55"/>
        <v/>
      </c>
      <c r="L828" s="104" t="str">
        <f>IF(B828="","",VLOOKUP(B828&amp;F828&amp;H828,经纬!A:M,13,FALSE)*N828)</f>
        <v/>
      </c>
      <c r="M828" s="104" t="str">
        <f>IF(B828="","",VLOOKUP(B828&amp;F828&amp;H828,经纬!A:N,14,FALSE)*N828)</f>
        <v/>
      </c>
      <c r="P828" s="8" t="str">
        <f t="shared" si="53"/>
        <v/>
      </c>
      <c r="R828" s="250" t="str">
        <f t="shared" si="52"/>
        <v/>
      </c>
    </row>
    <row r="829" spans="1:18">
      <c r="A829" s="4">
        <v>838</v>
      </c>
      <c r="C829" s="8" t="str">
        <f>IF(B829="","",VLOOKUP(B829,经纬!B:C,2,FALSE))</f>
        <v/>
      </c>
      <c r="D829" s="8" t="str">
        <f>IF(B829="","",VLOOKUP(B829,经纬!B:G,6,FALSE))</f>
        <v/>
      </c>
      <c r="F829" s="8" t="str">
        <f>IF(B829="","",VLOOKUP(B829,小圆机汇总表!A:AP,5,FALSE))</f>
        <v/>
      </c>
      <c r="G829" s="8" t="str">
        <f>IF(B829="","",VLOOKUP(B829,小圆机汇总表!A:AP,8,FALSE))</f>
        <v/>
      </c>
      <c r="J829" s="105" t="str">
        <f t="shared" si="54"/>
        <v/>
      </c>
      <c r="K829" s="105" t="str">
        <f t="shared" si="55"/>
        <v/>
      </c>
      <c r="L829" s="104" t="str">
        <f>IF(B829="","",VLOOKUP(B829&amp;F829&amp;H829,经纬!A:M,13,FALSE)*N829)</f>
        <v/>
      </c>
      <c r="M829" s="104" t="str">
        <f>IF(B829="","",VLOOKUP(B829&amp;F829&amp;H829,经纬!A:N,14,FALSE)*N829)</f>
        <v/>
      </c>
      <c r="P829" s="8" t="str">
        <f t="shared" si="53"/>
        <v/>
      </c>
      <c r="R829" s="250" t="str">
        <f t="shared" si="52"/>
        <v/>
      </c>
    </row>
    <row r="830" spans="1:18">
      <c r="A830" s="4">
        <v>839</v>
      </c>
      <c r="C830" s="8" t="str">
        <f>IF(B830="","",VLOOKUP(B830,经纬!B:C,2,FALSE))</f>
        <v/>
      </c>
      <c r="D830" s="8" t="str">
        <f>IF(B830="","",VLOOKUP(B830,经纬!B:G,6,FALSE))</f>
        <v/>
      </c>
      <c r="F830" s="8" t="str">
        <f>IF(B830="","",VLOOKUP(B830,小圆机汇总表!A:AP,5,FALSE))</f>
        <v/>
      </c>
      <c r="G830" s="8" t="str">
        <f>IF(B830="","",VLOOKUP(B830,小圆机汇总表!A:AP,8,FALSE))</f>
        <v/>
      </c>
      <c r="J830" s="105" t="str">
        <f t="shared" si="54"/>
        <v/>
      </c>
      <c r="K830" s="105" t="str">
        <f t="shared" si="55"/>
        <v/>
      </c>
      <c r="L830" s="104" t="str">
        <f>IF(B830="","",VLOOKUP(B830&amp;F830&amp;H830,经纬!A:M,13,FALSE)*N830)</f>
        <v/>
      </c>
      <c r="M830" s="104" t="str">
        <f>IF(B830="","",VLOOKUP(B830&amp;F830&amp;H830,经纬!A:N,14,FALSE)*N830)</f>
        <v/>
      </c>
      <c r="P830" s="8" t="str">
        <f t="shared" si="53"/>
        <v/>
      </c>
      <c r="R830" s="250" t="str">
        <f t="shared" si="52"/>
        <v/>
      </c>
    </row>
    <row r="831" spans="1:18">
      <c r="A831" s="4">
        <v>840</v>
      </c>
      <c r="C831" s="8" t="str">
        <f>IF(B831="","",VLOOKUP(B831,经纬!B:C,2,FALSE))</f>
        <v/>
      </c>
      <c r="D831" s="8" t="str">
        <f>IF(B831="","",VLOOKUP(B831,经纬!B:G,6,FALSE))</f>
        <v/>
      </c>
      <c r="F831" s="8" t="str">
        <f>IF(B831="","",VLOOKUP(B831,小圆机汇总表!A:AP,5,FALSE))</f>
        <v/>
      </c>
      <c r="G831" s="8" t="str">
        <f>IF(B831="","",VLOOKUP(B831,小圆机汇总表!A:AP,8,FALSE))</f>
        <v/>
      </c>
      <c r="J831" s="105" t="str">
        <f t="shared" si="54"/>
        <v/>
      </c>
      <c r="K831" s="105" t="str">
        <f t="shared" si="55"/>
        <v/>
      </c>
      <c r="L831" s="104" t="str">
        <f>IF(B831="","",VLOOKUP(B831&amp;F831&amp;H831,经纬!A:M,13,FALSE)*N831)</f>
        <v/>
      </c>
      <c r="M831" s="104" t="str">
        <f>IF(B831="","",VLOOKUP(B831&amp;F831&amp;H831,经纬!A:N,14,FALSE)*N831)</f>
        <v/>
      </c>
      <c r="P831" s="8" t="str">
        <f t="shared" si="53"/>
        <v/>
      </c>
      <c r="R831" s="250" t="str">
        <f t="shared" si="52"/>
        <v/>
      </c>
    </row>
    <row r="832" spans="1:18">
      <c r="A832" s="4">
        <v>841</v>
      </c>
      <c r="C832" s="8" t="str">
        <f>IF(B832="","",VLOOKUP(B832,经纬!B:C,2,FALSE))</f>
        <v/>
      </c>
      <c r="D832" s="8" t="str">
        <f>IF(B832="","",VLOOKUP(B832,经纬!B:G,6,FALSE))</f>
        <v/>
      </c>
      <c r="F832" s="8" t="str">
        <f>IF(B832="","",VLOOKUP(B832,小圆机汇总表!A:AP,5,FALSE))</f>
        <v/>
      </c>
      <c r="G832" s="8" t="str">
        <f>IF(B832="","",VLOOKUP(B832,小圆机汇总表!A:AP,8,FALSE))</f>
        <v/>
      </c>
      <c r="J832" s="105" t="str">
        <f t="shared" si="54"/>
        <v/>
      </c>
      <c r="K832" s="105" t="str">
        <f t="shared" si="55"/>
        <v/>
      </c>
      <c r="L832" s="104" t="str">
        <f>IF(B832="","",VLOOKUP(B832&amp;F832&amp;H832,经纬!A:M,13,FALSE)*N832)</f>
        <v/>
      </c>
      <c r="M832" s="104" t="str">
        <f>IF(B832="","",VLOOKUP(B832&amp;F832&amp;H832,经纬!A:N,14,FALSE)*N832)</f>
        <v/>
      </c>
      <c r="P832" s="8" t="str">
        <f t="shared" si="53"/>
        <v/>
      </c>
      <c r="R832" s="250" t="str">
        <f t="shared" si="52"/>
        <v/>
      </c>
    </row>
    <row r="833" spans="1:18">
      <c r="A833" s="4">
        <v>842</v>
      </c>
      <c r="C833" s="8" t="str">
        <f>IF(B833="","",VLOOKUP(B833,经纬!B:C,2,FALSE))</f>
        <v/>
      </c>
      <c r="D833" s="8" t="str">
        <f>IF(B833="","",VLOOKUP(B833,经纬!B:G,6,FALSE))</f>
        <v/>
      </c>
      <c r="F833" s="8" t="str">
        <f>IF(B833="","",VLOOKUP(B833,小圆机汇总表!A:AP,5,FALSE))</f>
        <v/>
      </c>
      <c r="G833" s="8" t="str">
        <f>IF(B833="","",VLOOKUP(B833,小圆机汇总表!A:AP,8,FALSE))</f>
        <v/>
      </c>
      <c r="J833" s="105" t="str">
        <f t="shared" si="54"/>
        <v/>
      </c>
      <c r="K833" s="105" t="str">
        <f t="shared" si="55"/>
        <v/>
      </c>
      <c r="L833" s="104" t="str">
        <f>IF(B833="","",VLOOKUP(B833&amp;F833&amp;H833,经纬!A:M,13,FALSE)*N833)</f>
        <v/>
      </c>
      <c r="M833" s="104" t="str">
        <f>IF(B833="","",VLOOKUP(B833&amp;F833&amp;H833,经纬!A:N,14,FALSE)*N833)</f>
        <v/>
      </c>
      <c r="P833" s="8" t="str">
        <f t="shared" si="53"/>
        <v/>
      </c>
      <c r="R833" s="250" t="str">
        <f t="shared" si="52"/>
        <v/>
      </c>
    </row>
    <row r="834" spans="1:18">
      <c r="A834" s="4">
        <v>843</v>
      </c>
      <c r="C834" s="8" t="str">
        <f>IF(B834="","",VLOOKUP(B834,经纬!B:C,2,FALSE))</f>
        <v/>
      </c>
      <c r="D834" s="8" t="str">
        <f>IF(B834="","",VLOOKUP(B834,经纬!B:G,6,FALSE))</f>
        <v/>
      </c>
      <c r="F834" s="8" t="str">
        <f>IF(B834="","",VLOOKUP(B834,小圆机汇总表!A:AP,5,FALSE))</f>
        <v/>
      </c>
      <c r="G834" s="8" t="str">
        <f>IF(B834="","",VLOOKUP(B834,小圆机汇总表!A:AP,8,FALSE))</f>
        <v/>
      </c>
      <c r="J834" s="105" t="str">
        <f t="shared" si="54"/>
        <v/>
      </c>
      <c r="K834" s="105" t="str">
        <f t="shared" si="55"/>
        <v/>
      </c>
      <c r="L834" s="104" t="str">
        <f>IF(B834="","",VLOOKUP(B834&amp;F834&amp;H834,经纬!A:M,13,FALSE)*N834)</f>
        <v/>
      </c>
      <c r="M834" s="104" t="str">
        <f>IF(B834="","",VLOOKUP(B834&amp;F834&amp;H834,经纬!A:N,14,FALSE)*N834)</f>
        <v/>
      </c>
      <c r="P834" s="8" t="str">
        <f t="shared" si="53"/>
        <v/>
      </c>
      <c r="R834" s="250" t="str">
        <f t="shared" si="52"/>
        <v/>
      </c>
    </row>
    <row r="835" spans="1:18">
      <c r="A835" s="4">
        <v>844</v>
      </c>
      <c r="C835" s="8" t="str">
        <f>IF(B835="","",VLOOKUP(B835,经纬!B:C,2,FALSE))</f>
        <v/>
      </c>
      <c r="D835" s="8" t="str">
        <f>IF(B835="","",VLOOKUP(B835,经纬!B:G,6,FALSE))</f>
        <v/>
      </c>
      <c r="F835" s="8" t="str">
        <f>IF(B835="","",VLOOKUP(B835,小圆机汇总表!A:AP,5,FALSE))</f>
        <v/>
      </c>
      <c r="G835" s="8" t="str">
        <f>IF(B835="","",VLOOKUP(B835,小圆机汇总表!A:AP,8,FALSE))</f>
        <v/>
      </c>
      <c r="J835" s="105" t="str">
        <f t="shared" si="54"/>
        <v/>
      </c>
      <c r="K835" s="105" t="str">
        <f t="shared" si="55"/>
        <v/>
      </c>
      <c r="L835" s="104" t="str">
        <f>IF(B835="","",VLOOKUP(B835&amp;F835&amp;H835,经纬!A:M,13,FALSE)*N835)</f>
        <v/>
      </c>
      <c r="M835" s="104" t="str">
        <f>IF(B835="","",VLOOKUP(B835&amp;F835&amp;H835,经纬!A:N,14,FALSE)*N835)</f>
        <v/>
      </c>
      <c r="P835" s="8" t="str">
        <f t="shared" si="53"/>
        <v/>
      </c>
      <c r="R835" s="250" t="str">
        <f t="shared" ref="R835:R898" si="56">IF(B835="","",MONTH(I835))</f>
        <v/>
      </c>
    </row>
    <row r="836" spans="1:18">
      <c r="A836" s="4">
        <v>845</v>
      </c>
      <c r="C836" s="8" t="str">
        <f>IF(B836="","",VLOOKUP(B836,经纬!B:C,2,FALSE))</f>
        <v/>
      </c>
      <c r="D836" s="8" t="str">
        <f>IF(B836="","",VLOOKUP(B836,经纬!B:G,6,FALSE))</f>
        <v/>
      </c>
      <c r="F836" s="8" t="str">
        <f>IF(B836="","",VLOOKUP(B836,小圆机汇总表!A:AP,5,FALSE))</f>
        <v/>
      </c>
      <c r="G836" s="8" t="str">
        <f>IF(B836="","",VLOOKUP(B836,小圆机汇总表!A:AP,8,FALSE))</f>
        <v/>
      </c>
      <c r="J836" s="105" t="str">
        <f t="shared" si="54"/>
        <v/>
      </c>
      <c r="K836" s="105" t="str">
        <f t="shared" si="55"/>
        <v/>
      </c>
      <c r="L836" s="104" t="str">
        <f>IF(B836="","",VLOOKUP(B836&amp;F836&amp;H836,经纬!A:M,13,FALSE)*N836)</f>
        <v/>
      </c>
      <c r="M836" s="104" t="str">
        <f>IF(B836="","",VLOOKUP(B836&amp;F836&amp;H836,经纬!A:N,14,FALSE)*N836)</f>
        <v/>
      </c>
      <c r="P836" s="8" t="str">
        <f t="shared" si="53"/>
        <v/>
      </c>
      <c r="R836" s="250" t="str">
        <f t="shared" si="56"/>
        <v/>
      </c>
    </row>
    <row r="837" spans="1:18">
      <c r="A837" s="4">
        <v>846</v>
      </c>
      <c r="C837" s="8" t="str">
        <f>IF(B837="","",VLOOKUP(B837,经纬!B:C,2,FALSE))</f>
        <v/>
      </c>
      <c r="D837" s="8" t="str">
        <f>IF(B837="","",VLOOKUP(B837,经纬!B:G,6,FALSE))</f>
        <v/>
      </c>
      <c r="F837" s="8" t="str">
        <f>IF(B837="","",VLOOKUP(B837,小圆机汇总表!A:AP,5,FALSE))</f>
        <v/>
      </c>
      <c r="G837" s="8" t="str">
        <f>IF(B837="","",VLOOKUP(B837,小圆机汇总表!A:AP,8,FALSE))</f>
        <v/>
      </c>
      <c r="J837" s="105" t="str">
        <f t="shared" si="54"/>
        <v/>
      </c>
      <c r="K837" s="105" t="str">
        <f t="shared" si="55"/>
        <v/>
      </c>
      <c r="L837" s="104" t="str">
        <f>IF(B837="","",VLOOKUP(B837&amp;F837&amp;H837,经纬!A:M,13,FALSE)*N837)</f>
        <v/>
      </c>
      <c r="M837" s="104" t="str">
        <f>IF(B837="","",VLOOKUP(B837&amp;F837&amp;H837,经纬!A:N,14,FALSE)*N837)</f>
        <v/>
      </c>
      <c r="P837" s="8" t="str">
        <f t="shared" si="53"/>
        <v/>
      </c>
      <c r="R837" s="250" t="str">
        <f t="shared" si="56"/>
        <v/>
      </c>
    </row>
    <row r="838" spans="1:18">
      <c r="A838" s="4">
        <v>847</v>
      </c>
      <c r="C838" s="8" t="str">
        <f>IF(B838="","",VLOOKUP(B838,经纬!B:C,2,FALSE))</f>
        <v/>
      </c>
      <c r="D838" s="8" t="str">
        <f>IF(B838="","",VLOOKUP(B838,经纬!B:G,6,FALSE))</f>
        <v/>
      </c>
      <c r="F838" s="8" t="str">
        <f>IF(B838="","",VLOOKUP(B838,小圆机汇总表!A:AP,5,FALSE))</f>
        <v/>
      </c>
      <c r="G838" s="8" t="str">
        <f>IF(B838="","",VLOOKUP(B838,小圆机汇总表!A:AP,8,FALSE))</f>
        <v/>
      </c>
      <c r="J838" s="105" t="str">
        <f t="shared" si="54"/>
        <v/>
      </c>
      <c r="K838" s="105" t="str">
        <f t="shared" si="55"/>
        <v/>
      </c>
      <c r="L838" s="104" t="str">
        <f>IF(B838="","",VLOOKUP(B838&amp;F838&amp;H838,经纬!A:M,13,FALSE)*N838)</f>
        <v/>
      </c>
      <c r="M838" s="104" t="str">
        <f>IF(B838="","",VLOOKUP(B838&amp;F838&amp;H838,经纬!A:N,14,FALSE)*N838)</f>
        <v/>
      </c>
      <c r="P838" s="8" t="str">
        <f t="shared" si="53"/>
        <v/>
      </c>
      <c r="R838" s="250" t="str">
        <f t="shared" si="56"/>
        <v/>
      </c>
    </row>
    <row r="839" spans="1:18">
      <c r="A839" s="4">
        <v>848</v>
      </c>
      <c r="C839" s="8" t="str">
        <f>IF(B839="","",VLOOKUP(B839,经纬!B:C,2,FALSE))</f>
        <v/>
      </c>
      <c r="D839" s="8" t="str">
        <f>IF(B839="","",VLOOKUP(B839,经纬!B:G,6,FALSE))</f>
        <v/>
      </c>
      <c r="F839" s="8" t="str">
        <f>IF(B839="","",VLOOKUP(B839,小圆机汇总表!A:AP,5,FALSE))</f>
        <v/>
      </c>
      <c r="G839" s="8" t="str">
        <f>IF(B839="","",VLOOKUP(B839,小圆机汇总表!A:AP,8,FALSE))</f>
        <v/>
      </c>
      <c r="J839" s="105" t="str">
        <f t="shared" si="54"/>
        <v/>
      </c>
      <c r="K839" s="105" t="str">
        <f t="shared" si="55"/>
        <v/>
      </c>
      <c r="L839" s="104" t="str">
        <f>IF(B839="","",VLOOKUP(B839&amp;F839&amp;H839,经纬!A:M,13,FALSE)*N839)</f>
        <v/>
      </c>
      <c r="M839" s="104" t="str">
        <f>IF(B839="","",VLOOKUP(B839&amp;F839&amp;H839,经纬!A:N,14,FALSE)*N839)</f>
        <v/>
      </c>
      <c r="P839" s="8" t="str">
        <f t="shared" si="53"/>
        <v/>
      </c>
      <c r="R839" s="250" t="str">
        <f t="shared" si="56"/>
        <v/>
      </c>
    </row>
    <row r="840" spans="1:18">
      <c r="A840" s="4">
        <v>849</v>
      </c>
      <c r="C840" s="8" t="str">
        <f>IF(B840="","",VLOOKUP(B840,经纬!B:C,2,FALSE))</f>
        <v/>
      </c>
      <c r="D840" s="8" t="str">
        <f>IF(B840="","",VLOOKUP(B840,经纬!B:G,6,FALSE))</f>
        <v/>
      </c>
      <c r="F840" s="8" t="str">
        <f>IF(B840="","",VLOOKUP(B840,小圆机汇总表!A:AP,5,FALSE))</f>
        <v/>
      </c>
      <c r="G840" s="8" t="str">
        <f>IF(B840="","",VLOOKUP(B840,小圆机汇总表!A:AP,8,FALSE))</f>
        <v/>
      </c>
      <c r="J840" s="105" t="str">
        <f t="shared" si="54"/>
        <v/>
      </c>
      <c r="K840" s="105" t="str">
        <f t="shared" si="55"/>
        <v/>
      </c>
      <c r="L840" s="104" t="str">
        <f>IF(B840="","",VLOOKUP(B840&amp;F840&amp;H840,经纬!A:M,13,FALSE)*N840)</f>
        <v/>
      </c>
      <c r="M840" s="104" t="str">
        <f>IF(B840="","",VLOOKUP(B840&amp;F840&amp;H840,经纬!A:N,14,FALSE)*N840)</f>
        <v/>
      </c>
      <c r="P840" s="8" t="str">
        <f t="shared" si="53"/>
        <v/>
      </c>
      <c r="R840" s="250" t="str">
        <f t="shared" si="56"/>
        <v/>
      </c>
    </row>
    <row r="841" spans="1:18">
      <c r="A841" s="4">
        <v>850</v>
      </c>
      <c r="C841" s="8" t="str">
        <f>IF(B841="","",VLOOKUP(B841,经纬!B:C,2,FALSE))</f>
        <v/>
      </c>
      <c r="D841" s="8" t="str">
        <f>IF(B841="","",VLOOKUP(B841,经纬!B:G,6,FALSE))</f>
        <v/>
      </c>
      <c r="F841" s="8" t="str">
        <f>IF(B841="","",VLOOKUP(B841,小圆机汇总表!A:AP,5,FALSE))</f>
        <v/>
      </c>
      <c r="G841" s="8" t="str">
        <f>IF(B841="","",VLOOKUP(B841,小圆机汇总表!A:AP,8,FALSE))</f>
        <v/>
      </c>
      <c r="J841" s="105" t="str">
        <f t="shared" si="54"/>
        <v/>
      </c>
      <c r="K841" s="105" t="str">
        <f t="shared" si="55"/>
        <v/>
      </c>
      <c r="L841" s="104" t="str">
        <f>IF(B841="","",VLOOKUP(B841&amp;F841&amp;H841,经纬!A:M,13,FALSE)*N841)</f>
        <v/>
      </c>
      <c r="M841" s="104" t="str">
        <f>IF(B841="","",VLOOKUP(B841&amp;F841&amp;H841,经纬!A:N,14,FALSE)*N841)</f>
        <v/>
      </c>
      <c r="P841" s="8" t="str">
        <f t="shared" si="53"/>
        <v/>
      </c>
      <c r="R841" s="250" t="str">
        <f t="shared" si="56"/>
        <v/>
      </c>
    </row>
    <row r="842" spans="1:18">
      <c r="A842" s="4">
        <v>851</v>
      </c>
      <c r="C842" s="8" t="str">
        <f>IF(B842="","",VLOOKUP(B842,经纬!B:C,2,FALSE))</f>
        <v/>
      </c>
      <c r="D842" s="8" t="str">
        <f>IF(B842="","",VLOOKUP(B842,经纬!B:G,6,FALSE))</f>
        <v/>
      </c>
      <c r="F842" s="8" t="str">
        <f>IF(B842="","",VLOOKUP(B842,小圆机汇总表!A:AP,5,FALSE))</f>
        <v/>
      </c>
      <c r="G842" s="8" t="str">
        <f>IF(B842="","",VLOOKUP(B842,小圆机汇总表!A:AP,8,FALSE))</f>
        <v/>
      </c>
      <c r="J842" s="105" t="str">
        <f t="shared" si="54"/>
        <v/>
      </c>
      <c r="K842" s="105" t="str">
        <f t="shared" si="55"/>
        <v/>
      </c>
      <c r="L842" s="104" t="str">
        <f>IF(B842="","",VLOOKUP(B842&amp;F842&amp;H842,经纬!A:M,13,FALSE)*N842)</f>
        <v/>
      </c>
      <c r="M842" s="104" t="str">
        <f>IF(B842="","",VLOOKUP(B842&amp;F842&amp;H842,经纬!A:N,14,FALSE)*N842)</f>
        <v/>
      </c>
      <c r="P842" s="8" t="str">
        <f t="shared" si="53"/>
        <v/>
      </c>
      <c r="R842" s="250" t="str">
        <f t="shared" si="56"/>
        <v/>
      </c>
    </row>
    <row r="843" spans="1:18">
      <c r="A843" s="4">
        <v>852</v>
      </c>
      <c r="C843" s="8" t="str">
        <f>IF(B843="","",VLOOKUP(B843,经纬!B:C,2,FALSE))</f>
        <v/>
      </c>
      <c r="D843" s="8" t="str">
        <f>IF(B843="","",VLOOKUP(B843,经纬!B:G,6,FALSE))</f>
        <v/>
      </c>
      <c r="F843" s="8" t="str">
        <f>IF(B843="","",VLOOKUP(B843,小圆机汇总表!A:AP,5,FALSE))</f>
        <v/>
      </c>
      <c r="G843" s="8" t="str">
        <f>IF(B843="","",VLOOKUP(B843,小圆机汇总表!A:AP,8,FALSE))</f>
        <v/>
      </c>
      <c r="J843" s="105" t="str">
        <f t="shared" si="54"/>
        <v/>
      </c>
      <c r="K843" s="105" t="str">
        <f t="shared" si="55"/>
        <v/>
      </c>
      <c r="L843" s="104" t="str">
        <f>IF(B843="","",VLOOKUP(B843&amp;F843&amp;H843,经纬!A:M,13,FALSE)*N843)</f>
        <v/>
      </c>
      <c r="M843" s="104" t="str">
        <f>IF(B843="","",VLOOKUP(B843&amp;F843&amp;H843,经纬!A:N,14,FALSE)*N843)</f>
        <v/>
      </c>
      <c r="P843" s="8" t="str">
        <f t="shared" si="53"/>
        <v/>
      </c>
      <c r="R843" s="250" t="str">
        <f t="shared" si="56"/>
        <v/>
      </c>
    </row>
    <row r="844" spans="1:18">
      <c r="A844" s="4">
        <v>853</v>
      </c>
      <c r="C844" s="8" t="str">
        <f>IF(B844="","",VLOOKUP(B844,经纬!B:C,2,FALSE))</f>
        <v/>
      </c>
      <c r="D844" s="8" t="str">
        <f>IF(B844="","",VLOOKUP(B844,经纬!B:G,6,FALSE))</f>
        <v/>
      </c>
      <c r="F844" s="8" t="str">
        <f>IF(B844="","",VLOOKUP(B844,小圆机汇总表!A:AP,5,FALSE))</f>
        <v/>
      </c>
      <c r="G844" s="8" t="str">
        <f>IF(B844="","",VLOOKUP(B844,小圆机汇总表!A:AP,8,FALSE))</f>
        <v/>
      </c>
      <c r="J844" s="105" t="str">
        <f t="shared" si="54"/>
        <v/>
      </c>
      <c r="K844" s="105" t="str">
        <f t="shared" si="55"/>
        <v/>
      </c>
      <c r="L844" s="104" t="str">
        <f>IF(B844="","",VLOOKUP(B844&amp;F844&amp;H844,经纬!A:M,13,FALSE)*N844)</f>
        <v/>
      </c>
      <c r="M844" s="104" t="str">
        <f>IF(B844="","",VLOOKUP(B844&amp;F844&amp;H844,经纬!A:N,14,FALSE)*N844)</f>
        <v/>
      </c>
      <c r="P844" s="8" t="str">
        <f t="shared" si="53"/>
        <v/>
      </c>
      <c r="R844" s="250" t="str">
        <f t="shared" si="56"/>
        <v/>
      </c>
    </row>
    <row r="845" spans="1:18">
      <c r="A845" s="4">
        <v>854</v>
      </c>
      <c r="C845" s="8" t="str">
        <f>IF(B845="","",VLOOKUP(B845,经纬!B:C,2,FALSE))</f>
        <v/>
      </c>
      <c r="D845" s="8" t="str">
        <f>IF(B845="","",VLOOKUP(B845,经纬!B:G,6,FALSE))</f>
        <v/>
      </c>
      <c r="F845" s="8" t="str">
        <f>IF(B845="","",VLOOKUP(B845,小圆机汇总表!A:AP,5,FALSE))</f>
        <v/>
      </c>
      <c r="G845" s="8" t="str">
        <f>IF(B845="","",VLOOKUP(B845,小圆机汇总表!A:AP,8,FALSE))</f>
        <v/>
      </c>
      <c r="J845" s="105" t="str">
        <f t="shared" si="54"/>
        <v/>
      </c>
      <c r="K845" s="105" t="str">
        <f t="shared" si="55"/>
        <v/>
      </c>
      <c r="L845" s="104" t="str">
        <f>IF(B845="","",VLOOKUP(B845&amp;F845&amp;H845,经纬!A:M,13,FALSE)*N845)</f>
        <v/>
      </c>
      <c r="M845" s="104" t="str">
        <f>IF(B845="","",VLOOKUP(B845&amp;F845&amp;H845,经纬!A:N,14,FALSE)*N845)</f>
        <v/>
      </c>
      <c r="P845" s="8" t="str">
        <f t="shared" si="53"/>
        <v/>
      </c>
      <c r="R845" s="250" t="str">
        <f t="shared" si="56"/>
        <v/>
      </c>
    </row>
    <row r="846" spans="1:18">
      <c r="A846" s="4">
        <v>855</v>
      </c>
      <c r="C846" s="8" t="str">
        <f>IF(B846="","",VLOOKUP(B846,经纬!B:C,2,FALSE))</f>
        <v/>
      </c>
      <c r="D846" s="8" t="str">
        <f>IF(B846="","",VLOOKUP(B846,经纬!B:G,6,FALSE))</f>
        <v/>
      </c>
      <c r="F846" s="8" t="str">
        <f>IF(B846="","",VLOOKUP(B846,小圆机汇总表!A:AP,5,FALSE))</f>
        <v/>
      </c>
      <c r="G846" s="8" t="str">
        <f>IF(B846="","",VLOOKUP(B846,小圆机汇总表!A:AP,8,FALSE))</f>
        <v/>
      </c>
      <c r="J846" s="105" t="str">
        <f t="shared" si="54"/>
        <v/>
      </c>
      <c r="K846" s="105" t="str">
        <f t="shared" si="55"/>
        <v/>
      </c>
      <c r="L846" s="104" t="str">
        <f>IF(B846="","",VLOOKUP(B846&amp;F846&amp;H846,经纬!A:M,13,FALSE)*N846)</f>
        <v/>
      </c>
      <c r="M846" s="104" t="str">
        <f>IF(B846="","",VLOOKUP(B846&amp;F846&amp;H846,经纬!A:N,14,FALSE)*N846)</f>
        <v/>
      </c>
      <c r="P846" s="8" t="str">
        <f t="shared" si="53"/>
        <v/>
      </c>
      <c r="R846" s="250" t="str">
        <f t="shared" si="56"/>
        <v/>
      </c>
    </row>
    <row r="847" spans="1:18">
      <c r="A847" s="4">
        <v>856</v>
      </c>
      <c r="C847" s="8" t="str">
        <f>IF(B847="","",VLOOKUP(B847,经纬!B:C,2,FALSE))</f>
        <v/>
      </c>
      <c r="D847" s="8" t="str">
        <f>IF(B847="","",VLOOKUP(B847,经纬!B:G,6,FALSE))</f>
        <v/>
      </c>
      <c r="F847" s="8" t="str">
        <f>IF(B847="","",VLOOKUP(B847,小圆机汇总表!A:AP,5,FALSE))</f>
        <v/>
      </c>
      <c r="G847" s="8" t="str">
        <f>IF(B847="","",VLOOKUP(B847,小圆机汇总表!A:AP,8,FALSE))</f>
        <v/>
      </c>
      <c r="J847" s="105" t="str">
        <f t="shared" si="54"/>
        <v/>
      </c>
      <c r="K847" s="105" t="str">
        <f t="shared" si="55"/>
        <v/>
      </c>
      <c r="L847" s="104" t="str">
        <f>IF(B847="","",VLOOKUP(B847&amp;F847&amp;H847,经纬!A:M,13,FALSE)*N847)</f>
        <v/>
      </c>
      <c r="M847" s="104" t="str">
        <f>IF(B847="","",VLOOKUP(B847&amp;F847&amp;H847,经纬!A:N,14,FALSE)*N847)</f>
        <v/>
      </c>
      <c r="P847" s="8" t="str">
        <f t="shared" si="53"/>
        <v/>
      </c>
      <c r="R847" s="250" t="str">
        <f t="shared" si="56"/>
        <v/>
      </c>
    </row>
    <row r="848" spans="1:18">
      <c r="A848" s="4">
        <v>857</v>
      </c>
      <c r="C848" s="8" t="str">
        <f>IF(B848="","",VLOOKUP(B848,经纬!B:C,2,FALSE))</f>
        <v/>
      </c>
      <c r="D848" s="8" t="str">
        <f>IF(B848="","",VLOOKUP(B848,经纬!B:G,6,FALSE))</f>
        <v/>
      </c>
      <c r="F848" s="8" t="str">
        <f>IF(B848="","",VLOOKUP(B848,小圆机汇总表!A:AP,5,FALSE))</f>
        <v/>
      </c>
      <c r="G848" s="8" t="str">
        <f>IF(B848="","",VLOOKUP(B848,小圆机汇总表!A:AP,8,FALSE))</f>
        <v/>
      </c>
      <c r="J848" s="105" t="str">
        <f t="shared" si="54"/>
        <v/>
      </c>
      <c r="K848" s="105" t="str">
        <f t="shared" si="55"/>
        <v/>
      </c>
      <c r="L848" s="104" t="str">
        <f>IF(B848="","",VLOOKUP(B848&amp;F848&amp;H848,经纬!A:M,13,FALSE)*N848)</f>
        <v/>
      </c>
      <c r="M848" s="104" t="str">
        <f>IF(B848="","",VLOOKUP(B848&amp;F848&amp;H848,经纬!A:N,14,FALSE)*N848)</f>
        <v/>
      </c>
      <c r="P848" s="8" t="str">
        <f t="shared" si="53"/>
        <v/>
      </c>
      <c r="R848" s="250" t="str">
        <f t="shared" si="56"/>
        <v/>
      </c>
    </row>
    <row r="849" spans="1:18">
      <c r="A849" s="4">
        <v>858</v>
      </c>
      <c r="C849" s="8" t="str">
        <f>IF(B849="","",VLOOKUP(B849,经纬!B:C,2,FALSE))</f>
        <v/>
      </c>
      <c r="D849" s="8" t="str">
        <f>IF(B849="","",VLOOKUP(B849,经纬!B:G,6,FALSE))</f>
        <v/>
      </c>
      <c r="F849" s="8" t="str">
        <f>IF(B849="","",VLOOKUP(B849,小圆机汇总表!A:AP,5,FALSE))</f>
        <v/>
      </c>
      <c r="G849" s="8" t="str">
        <f>IF(B849="","",VLOOKUP(B849,小圆机汇总表!A:AP,8,FALSE))</f>
        <v/>
      </c>
      <c r="J849" s="105" t="str">
        <f t="shared" si="54"/>
        <v/>
      </c>
      <c r="K849" s="105" t="str">
        <f t="shared" si="55"/>
        <v/>
      </c>
      <c r="L849" s="104" t="str">
        <f>IF(B849="","",VLOOKUP(B849&amp;F849&amp;H849,经纬!A:M,13,FALSE)*N849)</f>
        <v/>
      </c>
      <c r="M849" s="104" t="str">
        <f>IF(B849="","",VLOOKUP(B849&amp;F849&amp;H849,经纬!A:N,14,FALSE)*N849)</f>
        <v/>
      </c>
      <c r="P849" s="8" t="str">
        <f t="shared" si="53"/>
        <v/>
      </c>
      <c r="R849" s="250" t="str">
        <f t="shared" si="56"/>
        <v/>
      </c>
    </row>
    <row r="850" spans="1:18">
      <c r="A850" s="4">
        <v>859</v>
      </c>
      <c r="C850" s="8" t="str">
        <f>IF(B850="","",VLOOKUP(B850,经纬!B:C,2,FALSE))</f>
        <v/>
      </c>
      <c r="D850" s="8" t="str">
        <f>IF(B850="","",VLOOKUP(B850,经纬!B:G,6,FALSE))</f>
        <v/>
      </c>
      <c r="F850" s="8" t="str">
        <f>IF(B850="","",VLOOKUP(B850,小圆机汇总表!A:AP,5,FALSE))</f>
        <v/>
      </c>
      <c r="G850" s="8" t="str">
        <f>IF(B850="","",VLOOKUP(B850,小圆机汇总表!A:AP,8,FALSE))</f>
        <v/>
      </c>
      <c r="J850" s="105" t="str">
        <f t="shared" si="54"/>
        <v/>
      </c>
      <c r="K850" s="105" t="str">
        <f t="shared" si="55"/>
        <v/>
      </c>
      <c r="L850" s="104" t="str">
        <f>IF(B850="","",VLOOKUP(B850&amp;F850&amp;H850,经纬!A:M,13,FALSE)*N850)</f>
        <v/>
      </c>
      <c r="M850" s="104" t="str">
        <f>IF(B850="","",VLOOKUP(B850&amp;F850&amp;H850,经纬!A:N,14,FALSE)*N850)</f>
        <v/>
      </c>
      <c r="P850" s="8" t="str">
        <f t="shared" si="53"/>
        <v/>
      </c>
      <c r="R850" s="250" t="str">
        <f t="shared" si="56"/>
        <v/>
      </c>
    </row>
    <row r="851" spans="1:18">
      <c r="A851" s="4">
        <v>860</v>
      </c>
      <c r="C851" s="8" t="str">
        <f>IF(B851="","",VLOOKUP(B851,经纬!B:C,2,FALSE))</f>
        <v/>
      </c>
      <c r="D851" s="8" t="str">
        <f>IF(B851="","",VLOOKUP(B851,经纬!B:G,6,FALSE))</f>
        <v/>
      </c>
      <c r="F851" s="8" t="str">
        <f>IF(B851="","",VLOOKUP(B851,小圆机汇总表!A:AP,5,FALSE))</f>
        <v/>
      </c>
      <c r="G851" s="8" t="str">
        <f>IF(B851="","",VLOOKUP(B851,小圆机汇总表!A:AP,8,FALSE))</f>
        <v/>
      </c>
      <c r="J851" s="105" t="str">
        <f t="shared" si="54"/>
        <v/>
      </c>
      <c r="K851" s="105" t="str">
        <f t="shared" si="55"/>
        <v/>
      </c>
      <c r="L851" s="104" t="str">
        <f>IF(B851="","",VLOOKUP(B851&amp;F851&amp;H851,经纬!A:M,13,FALSE)*N851)</f>
        <v/>
      </c>
      <c r="M851" s="104" t="str">
        <f>IF(B851="","",VLOOKUP(B851&amp;F851&amp;H851,经纬!A:N,14,FALSE)*N851)</f>
        <v/>
      </c>
      <c r="P851" s="8" t="str">
        <f t="shared" si="53"/>
        <v/>
      </c>
      <c r="R851" s="250" t="str">
        <f t="shared" si="56"/>
        <v/>
      </c>
    </row>
    <row r="852" spans="1:18">
      <c r="A852" s="4">
        <v>861</v>
      </c>
      <c r="C852" s="8" t="str">
        <f>IF(B852="","",VLOOKUP(B852,经纬!B:C,2,FALSE))</f>
        <v/>
      </c>
      <c r="D852" s="8" t="str">
        <f>IF(B852="","",VLOOKUP(B852,经纬!B:G,6,FALSE))</f>
        <v/>
      </c>
      <c r="F852" s="8" t="str">
        <f>IF(B852="","",VLOOKUP(B852,小圆机汇总表!A:AP,5,FALSE))</f>
        <v/>
      </c>
      <c r="G852" s="8" t="str">
        <f>IF(B852="","",VLOOKUP(B852,小圆机汇总表!A:AP,8,FALSE))</f>
        <v/>
      </c>
      <c r="J852" s="105" t="str">
        <f t="shared" si="54"/>
        <v/>
      </c>
      <c r="K852" s="105" t="str">
        <f t="shared" si="55"/>
        <v/>
      </c>
      <c r="L852" s="104" t="str">
        <f>IF(B852="","",VLOOKUP(B852&amp;F852&amp;H852,经纬!A:M,13,FALSE)*N852)</f>
        <v/>
      </c>
      <c r="M852" s="104" t="str">
        <f>IF(B852="","",VLOOKUP(B852&amp;F852&amp;H852,经纬!A:N,14,FALSE)*N852)</f>
        <v/>
      </c>
      <c r="P852" s="8" t="str">
        <f t="shared" si="53"/>
        <v/>
      </c>
      <c r="R852" s="250" t="str">
        <f t="shared" si="56"/>
        <v/>
      </c>
    </row>
    <row r="853" spans="1:18">
      <c r="A853" s="4">
        <v>862</v>
      </c>
      <c r="C853" s="8" t="str">
        <f>IF(B853="","",VLOOKUP(B853,经纬!B:C,2,FALSE))</f>
        <v/>
      </c>
      <c r="D853" s="8" t="str">
        <f>IF(B853="","",VLOOKUP(B853,经纬!B:G,6,FALSE))</f>
        <v/>
      </c>
      <c r="F853" s="8" t="str">
        <f>IF(B853="","",VLOOKUP(B853,小圆机汇总表!A:AP,5,FALSE))</f>
        <v/>
      </c>
      <c r="G853" s="8" t="str">
        <f>IF(B853="","",VLOOKUP(B853,小圆机汇总表!A:AP,8,FALSE))</f>
        <v/>
      </c>
      <c r="J853" s="105" t="str">
        <f t="shared" si="54"/>
        <v/>
      </c>
      <c r="K853" s="105" t="str">
        <f t="shared" si="55"/>
        <v/>
      </c>
      <c r="L853" s="104" t="str">
        <f>IF(B853="","",VLOOKUP(B853&amp;F853&amp;H853,经纬!A:M,13,FALSE)*N853)</f>
        <v/>
      </c>
      <c r="M853" s="104" t="str">
        <f>IF(B853="","",VLOOKUP(B853&amp;F853&amp;H853,经纬!A:N,14,FALSE)*N853)</f>
        <v/>
      </c>
      <c r="P853" s="8" t="str">
        <f t="shared" si="53"/>
        <v/>
      </c>
      <c r="R853" s="250" t="str">
        <f t="shared" si="56"/>
        <v/>
      </c>
    </row>
    <row r="854" spans="1:18">
      <c r="A854" s="4">
        <v>863</v>
      </c>
      <c r="C854" s="8" t="str">
        <f>IF(B854="","",VLOOKUP(B854,经纬!B:C,2,FALSE))</f>
        <v/>
      </c>
      <c r="D854" s="8" t="str">
        <f>IF(B854="","",VLOOKUP(B854,经纬!B:G,6,FALSE))</f>
        <v/>
      </c>
      <c r="F854" s="8" t="str">
        <f>IF(B854="","",VLOOKUP(B854,小圆机汇总表!A:AP,5,FALSE))</f>
        <v/>
      </c>
      <c r="G854" s="8" t="str">
        <f>IF(B854="","",VLOOKUP(B854,小圆机汇总表!A:AP,8,FALSE))</f>
        <v/>
      </c>
      <c r="J854" s="105" t="str">
        <f t="shared" si="54"/>
        <v/>
      </c>
      <c r="K854" s="105" t="str">
        <f t="shared" si="55"/>
        <v/>
      </c>
      <c r="L854" s="104" t="str">
        <f>IF(B854="","",VLOOKUP(B854&amp;F854&amp;H854,经纬!A:M,13,FALSE)*N854)</f>
        <v/>
      </c>
      <c r="M854" s="104" t="str">
        <f>IF(B854="","",VLOOKUP(B854&amp;F854&amp;H854,经纬!A:N,14,FALSE)*N854)</f>
        <v/>
      </c>
      <c r="P854" s="8" t="str">
        <f t="shared" si="53"/>
        <v/>
      </c>
      <c r="R854" s="250" t="str">
        <f t="shared" si="56"/>
        <v/>
      </c>
    </row>
    <row r="855" spans="1:18">
      <c r="A855" s="4">
        <v>864</v>
      </c>
      <c r="C855" s="8" t="str">
        <f>IF(B855="","",VLOOKUP(B855,经纬!B:C,2,FALSE))</f>
        <v/>
      </c>
      <c r="D855" s="8" t="str">
        <f>IF(B855="","",VLOOKUP(B855,经纬!B:G,6,FALSE))</f>
        <v/>
      </c>
      <c r="F855" s="8" t="str">
        <f>IF(B855="","",VLOOKUP(B855,小圆机汇总表!A:AP,5,FALSE))</f>
        <v/>
      </c>
      <c r="G855" s="8" t="str">
        <f>IF(B855="","",VLOOKUP(B855,小圆机汇总表!A:AP,8,FALSE))</f>
        <v/>
      </c>
      <c r="J855" s="105" t="str">
        <f t="shared" si="54"/>
        <v/>
      </c>
      <c r="K855" s="105" t="str">
        <f t="shared" si="55"/>
        <v/>
      </c>
      <c r="L855" s="104" t="str">
        <f>IF(B855="","",VLOOKUP(B855&amp;F855&amp;H855,经纬!A:M,13,FALSE)*N855)</f>
        <v/>
      </c>
      <c r="M855" s="104" t="str">
        <f>IF(B855="","",VLOOKUP(B855&amp;F855&amp;H855,经纬!A:N,14,FALSE)*N855)</f>
        <v/>
      </c>
      <c r="P855" s="8" t="str">
        <f t="shared" si="53"/>
        <v/>
      </c>
      <c r="R855" s="250" t="str">
        <f t="shared" si="56"/>
        <v/>
      </c>
    </row>
    <row r="856" spans="1:18">
      <c r="A856" s="4">
        <v>865</v>
      </c>
      <c r="C856" s="8" t="str">
        <f>IF(B856="","",VLOOKUP(B856,经纬!B:C,2,FALSE))</f>
        <v/>
      </c>
      <c r="D856" s="8" t="str">
        <f>IF(B856="","",VLOOKUP(B856,经纬!B:G,6,FALSE))</f>
        <v/>
      </c>
      <c r="F856" s="8" t="str">
        <f>IF(B856="","",VLOOKUP(B856,小圆机汇总表!A:AP,5,FALSE))</f>
        <v/>
      </c>
      <c r="G856" s="8" t="str">
        <f>IF(B856="","",VLOOKUP(B856,小圆机汇总表!A:AP,8,FALSE))</f>
        <v/>
      </c>
      <c r="J856" s="105" t="str">
        <f t="shared" si="54"/>
        <v/>
      </c>
      <c r="K856" s="105" t="str">
        <f t="shared" si="55"/>
        <v/>
      </c>
      <c r="L856" s="104" t="str">
        <f>IF(B856="","",VLOOKUP(B856&amp;F856&amp;H856,经纬!A:M,13,FALSE)*N856)</f>
        <v/>
      </c>
      <c r="M856" s="104" t="str">
        <f>IF(B856="","",VLOOKUP(B856&amp;F856&amp;H856,经纬!A:N,14,FALSE)*N856)</f>
        <v/>
      </c>
      <c r="P856" s="8" t="str">
        <f t="shared" si="53"/>
        <v/>
      </c>
      <c r="R856" s="250" t="str">
        <f t="shared" si="56"/>
        <v/>
      </c>
    </row>
    <row r="857" spans="1:18">
      <c r="A857" s="4">
        <v>866</v>
      </c>
      <c r="C857" s="8" t="str">
        <f>IF(B857="","",VLOOKUP(B857,经纬!B:C,2,FALSE))</f>
        <v/>
      </c>
      <c r="D857" s="8" t="str">
        <f>IF(B857="","",VLOOKUP(B857,经纬!B:G,6,FALSE))</f>
        <v/>
      </c>
      <c r="F857" s="8" t="str">
        <f>IF(B857="","",VLOOKUP(B857,小圆机汇总表!A:AP,5,FALSE))</f>
        <v/>
      </c>
      <c r="G857" s="8" t="str">
        <f>IF(B857="","",VLOOKUP(B857,小圆机汇总表!A:AP,8,FALSE))</f>
        <v/>
      </c>
      <c r="J857" s="105" t="str">
        <f t="shared" si="54"/>
        <v/>
      </c>
      <c r="K857" s="105" t="str">
        <f t="shared" si="55"/>
        <v/>
      </c>
      <c r="L857" s="104" t="str">
        <f>IF(B857="","",VLOOKUP(B857&amp;F857&amp;H857,经纬!A:M,13,FALSE)*N857)</f>
        <v/>
      </c>
      <c r="M857" s="104" t="str">
        <f>IF(B857="","",VLOOKUP(B857&amp;F857&amp;H857,经纬!A:N,14,FALSE)*N857)</f>
        <v/>
      </c>
      <c r="P857" s="8" t="str">
        <f t="shared" si="53"/>
        <v/>
      </c>
      <c r="R857" s="250" t="str">
        <f t="shared" si="56"/>
        <v/>
      </c>
    </row>
    <row r="858" spans="1:18">
      <c r="A858" s="4">
        <v>867</v>
      </c>
      <c r="C858" s="8" t="str">
        <f>IF(B858="","",VLOOKUP(B858,经纬!B:C,2,FALSE))</f>
        <v/>
      </c>
      <c r="D858" s="8" t="str">
        <f>IF(B858="","",VLOOKUP(B858,经纬!B:G,6,FALSE))</f>
        <v/>
      </c>
      <c r="F858" s="8" t="str">
        <f>IF(B858="","",VLOOKUP(B858,小圆机汇总表!A:AP,5,FALSE))</f>
        <v/>
      </c>
      <c r="G858" s="8" t="str">
        <f>IF(B858="","",VLOOKUP(B858,小圆机汇总表!A:AP,8,FALSE))</f>
        <v/>
      </c>
      <c r="J858" s="105" t="str">
        <f t="shared" si="54"/>
        <v/>
      </c>
      <c r="K858" s="105" t="str">
        <f t="shared" si="55"/>
        <v/>
      </c>
      <c r="L858" s="104" t="str">
        <f>IF(B858="","",VLOOKUP(B858&amp;F858&amp;H858,经纬!A:M,13,FALSE)*N858)</f>
        <v/>
      </c>
      <c r="M858" s="104" t="str">
        <f>IF(B858="","",VLOOKUP(B858&amp;F858&amp;H858,经纬!A:N,14,FALSE)*N858)</f>
        <v/>
      </c>
      <c r="P858" s="8" t="str">
        <f t="shared" ref="P858:P921" si="57">IF(B858="","",MONTH(I858))</f>
        <v/>
      </c>
      <c r="R858" s="250" t="str">
        <f t="shared" si="56"/>
        <v/>
      </c>
    </row>
    <row r="859" spans="1:18">
      <c r="A859" s="4">
        <v>868</v>
      </c>
      <c r="C859" s="8" t="str">
        <f>IF(B859="","",VLOOKUP(B859,经纬!B:C,2,FALSE))</f>
        <v/>
      </c>
      <c r="D859" s="8" t="str">
        <f>IF(B859="","",VLOOKUP(B859,经纬!B:G,6,FALSE))</f>
        <v/>
      </c>
      <c r="F859" s="8" t="str">
        <f>IF(B859="","",VLOOKUP(B859,小圆机汇总表!A:AP,5,FALSE))</f>
        <v/>
      </c>
      <c r="G859" s="8" t="str">
        <f>IF(B859="","",VLOOKUP(B859,小圆机汇总表!A:AP,8,FALSE))</f>
        <v/>
      </c>
      <c r="J859" s="105" t="str">
        <f t="shared" si="54"/>
        <v/>
      </c>
      <c r="K859" s="105" t="str">
        <f t="shared" si="55"/>
        <v/>
      </c>
      <c r="L859" s="104" t="str">
        <f>IF(B859="","",VLOOKUP(B859&amp;F859&amp;H859,经纬!A:M,13,FALSE)*N859)</f>
        <v/>
      </c>
      <c r="M859" s="104" t="str">
        <f>IF(B859="","",VLOOKUP(B859&amp;F859&amp;H859,经纬!A:N,14,FALSE)*N859)</f>
        <v/>
      </c>
      <c r="P859" s="8" t="str">
        <f t="shared" si="57"/>
        <v/>
      </c>
      <c r="R859" s="250" t="str">
        <f t="shared" si="56"/>
        <v/>
      </c>
    </row>
    <row r="860" spans="1:18">
      <c r="A860" s="4">
        <v>869</v>
      </c>
      <c r="C860" s="8" t="str">
        <f>IF(B860="","",VLOOKUP(B860,经纬!B:C,2,FALSE))</f>
        <v/>
      </c>
      <c r="D860" s="8" t="str">
        <f>IF(B860="","",VLOOKUP(B860,经纬!B:G,6,FALSE))</f>
        <v/>
      </c>
      <c r="F860" s="8" t="str">
        <f>IF(B860="","",VLOOKUP(B860,小圆机汇总表!A:AP,5,FALSE))</f>
        <v/>
      </c>
      <c r="G860" s="8" t="str">
        <f>IF(B860="","",VLOOKUP(B860,小圆机汇总表!A:AP,8,FALSE))</f>
        <v/>
      </c>
      <c r="J860" s="105" t="str">
        <f t="shared" si="54"/>
        <v/>
      </c>
      <c r="K860" s="105" t="str">
        <f t="shared" si="55"/>
        <v/>
      </c>
      <c r="L860" s="104" t="str">
        <f>IF(B860="","",VLOOKUP(B860&amp;F860&amp;H860,经纬!A:M,13,FALSE)*N860)</f>
        <v/>
      </c>
      <c r="M860" s="104" t="str">
        <f>IF(B860="","",VLOOKUP(B860&amp;F860&amp;H860,经纬!A:N,14,FALSE)*N860)</f>
        <v/>
      </c>
      <c r="P860" s="8" t="str">
        <f t="shared" si="57"/>
        <v/>
      </c>
      <c r="R860" s="250" t="str">
        <f t="shared" si="56"/>
        <v/>
      </c>
    </row>
    <row r="861" spans="1:18">
      <c r="A861" s="4">
        <v>870</v>
      </c>
      <c r="C861" s="8" t="str">
        <f>IF(B861="","",VLOOKUP(B861,经纬!B:C,2,FALSE))</f>
        <v/>
      </c>
      <c r="D861" s="8" t="str">
        <f>IF(B861="","",VLOOKUP(B861,经纬!B:G,6,FALSE))</f>
        <v/>
      </c>
      <c r="F861" s="8" t="str">
        <f>IF(B861="","",VLOOKUP(B861,小圆机汇总表!A:AP,5,FALSE))</f>
        <v/>
      </c>
      <c r="G861" s="8" t="str">
        <f>IF(B861="","",VLOOKUP(B861,小圆机汇总表!A:AP,8,FALSE))</f>
        <v/>
      </c>
      <c r="J861" s="105" t="str">
        <f t="shared" si="54"/>
        <v/>
      </c>
      <c r="K861" s="105" t="str">
        <f t="shared" si="55"/>
        <v/>
      </c>
      <c r="L861" s="104" t="str">
        <f>IF(B861="","",VLOOKUP(B861&amp;F861&amp;H861,经纬!A:M,13,FALSE)*N861)</f>
        <v/>
      </c>
      <c r="M861" s="104" t="str">
        <f>IF(B861="","",VLOOKUP(B861&amp;F861&amp;H861,经纬!A:N,14,FALSE)*N861)</f>
        <v/>
      </c>
      <c r="P861" s="8" t="str">
        <f t="shared" si="57"/>
        <v/>
      </c>
      <c r="R861" s="250" t="str">
        <f t="shared" si="56"/>
        <v/>
      </c>
    </row>
    <row r="862" spans="1:18">
      <c r="A862" s="4">
        <v>871</v>
      </c>
      <c r="C862" s="8" t="str">
        <f>IF(B862="","",VLOOKUP(B862,经纬!B:C,2,FALSE))</f>
        <v/>
      </c>
      <c r="D862" s="8" t="str">
        <f>IF(B862="","",VLOOKUP(B862,经纬!B:G,6,FALSE))</f>
        <v/>
      </c>
      <c r="F862" s="8" t="str">
        <f>IF(B862="","",VLOOKUP(B862,小圆机汇总表!A:AP,5,FALSE))</f>
        <v/>
      </c>
      <c r="G862" s="8" t="str">
        <f>IF(B862="","",VLOOKUP(B862,小圆机汇总表!A:AP,8,FALSE))</f>
        <v/>
      </c>
      <c r="J862" s="105" t="str">
        <f t="shared" si="54"/>
        <v/>
      </c>
      <c r="K862" s="105" t="str">
        <f t="shared" si="55"/>
        <v/>
      </c>
      <c r="L862" s="104" t="str">
        <f>IF(B862="","",VLOOKUP(B862&amp;F862&amp;H862,经纬!A:M,13,FALSE)*N862)</f>
        <v/>
      </c>
      <c r="M862" s="104" t="str">
        <f>IF(B862="","",VLOOKUP(B862&amp;F862&amp;H862,经纬!A:N,14,FALSE)*N862)</f>
        <v/>
      </c>
      <c r="P862" s="8" t="str">
        <f t="shared" si="57"/>
        <v/>
      </c>
      <c r="R862" s="250" t="str">
        <f t="shared" si="56"/>
        <v/>
      </c>
    </row>
    <row r="863" spans="1:18">
      <c r="A863" s="4">
        <v>872</v>
      </c>
      <c r="C863" s="8" t="str">
        <f>IF(B863="","",VLOOKUP(B863,经纬!B:C,2,FALSE))</f>
        <v/>
      </c>
      <c r="D863" s="8" t="str">
        <f>IF(B863="","",VLOOKUP(B863,经纬!B:G,6,FALSE))</f>
        <v/>
      </c>
      <c r="F863" s="8" t="str">
        <f>IF(B863="","",VLOOKUP(B863,小圆机汇总表!A:AP,5,FALSE))</f>
        <v/>
      </c>
      <c r="G863" s="8" t="str">
        <f>IF(B863="","",VLOOKUP(B863,小圆机汇总表!A:AP,8,FALSE))</f>
        <v/>
      </c>
      <c r="J863" s="105" t="str">
        <f t="shared" si="54"/>
        <v/>
      </c>
      <c r="K863" s="105" t="str">
        <f t="shared" si="55"/>
        <v/>
      </c>
      <c r="L863" s="104" t="str">
        <f>IF(B863="","",VLOOKUP(B863&amp;F863&amp;H863,经纬!A:M,13,FALSE)*N863)</f>
        <v/>
      </c>
      <c r="M863" s="104" t="str">
        <f>IF(B863="","",VLOOKUP(B863&amp;F863&amp;H863,经纬!A:N,14,FALSE)*N863)</f>
        <v/>
      </c>
      <c r="P863" s="8" t="str">
        <f t="shared" si="57"/>
        <v/>
      </c>
      <c r="R863" s="250" t="str">
        <f t="shared" si="56"/>
        <v/>
      </c>
    </row>
    <row r="864" spans="1:18">
      <c r="A864" s="4">
        <v>873</v>
      </c>
      <c r="C864" s="8" t="str">
        <f>IF(B864="","",VLOOKUP(B864,经纬!B:C,2,FALSE))</f>
        <v/>
      </c>
      <c r="D864" s="8" t="str">
        <f>IF(B864="","",VLOOKUP(B864,经纬!B:G,6,FALSE))</f>
        <v/>
      </c>
      <c r="F864" s="8" t="str">
        <f>IF(B864="","",VLOOKUP(B864,小圆机汇总表!A:AP,5,FALSE))</f>
        <v/>
      </c>
      <c r="G864" s="8" t="str">
        <f>IF(B864="","",VLOOKUP(B864,小圆机汇总表!A:AP,8,FALSE))</f>
        <v/>
      </c>
      <c r="J864" s="105" t="str">
        <f t="shared" si="54"/>
        <v/>
      </c>
      <c r="K864" s="105" t="str">
        <f t="shared" si="55"/>
        <v/>
      </c>
      <c r="L864" s="104" t="str">
        <f>IF(B864="","",VLOOKUP(B864&amp;F864&amp;H864,经纬!A:M,13,FALSE)*N864)</f>
        <v/>
      </c>
      <c r="M864" s="104" t="str">
        <f>IF(B864="","",VLOOKUP(B864&amp;F864&amp;H864,经纬!A:N,14,FALSE)*N864)</f>
        <v/>
      </c>
      <c r="P864" s="8" t="str">
        <f t="shared" si="57"/>
        <v/>
      </c>
      <c r="R864" s="250" t="str">
        <f t="shared" si="56"/>
        <v/>
      </c>
    </row>
    <row r="865" spans="1:18">
      <c r="A865" s="4">
        <v>874</v>
      </c>
      <c r="C865" s="8" t="str">
        <f>IF(B865="","",VLOOKUP(B865,经纬!B:C,2,FALSE))</f>
        <v/>
      </c>
      <c r="D865" s="8" t="str">
        <f>IF(B865="","",VLOOKUP(B865,经纬!B:G,6,FALSE))</f>
        <v/>
      </c>
      <c r="F865" s="8" t="str">
        <f>IF(B865="","",VLOOKUP(B865,小圆机汇总表!A:AP,5,FALSE))</f>
        <v/>
      </c>
      <c r="G865" s="8" t="str">
        <f>IF(B865="","",VLOOKUP(B865,小圆机汇总表!A:AP,8,FALSE))</f>
        <v/>
      </c>
      <c r="J865" s="105" t="str">
        <f t="shared" si="54"/>
        <v/>
      </c>
      <c r="K865" s="105" t="str">
        <f t="shared" si="55"/>
        <v/>
      </c>
      <c r="L865" s="104" t="str">
        <f>IF(B865="","",VLOOKUP(B865&amp;F865&amp;H865,经纬!A:M,13,FALSE)*N865)</f>
        <v/>
      </c>
      <c r="M865" s="104" t="str">
        <f>IF(B865="","",VLOOKUP(B865&amp;F865&amp;H865,经纬!A:N,14,FALSE)*N865)</f>
        <v/>
      </c>
      <c r="P865" s="8" t="str">
        <f t="shared" si="57"/>
        <v/>
      </c>
      <c r="R865" s="250" t="str">
        <f t="shared" si="56"/>
        <v/>
      </c>
    </row>
    <row r="866" spans="1:18">
      <c r="A866" s="4">
        <v>875</v>
      </c>
      <c r="C866" s="8" t="str">
        <f>IF(B866="","",VLOOKUP(B866,经纬!B:C,2,FALSE))</f>
        <v/>
      </c>
      <c r="D866" s="8" t="str">
        <f>IF(B866="","",VLOOKUP(B866,经纬!B:G,6,FALSE))</f>
        <v/>
      </c>
      <c r="F866" s="8" t="str">
        <f>IF(B866="","",VLOOKUP(B866,小圆机汇总表!A:AP,5,FALSE))</f>
        <v/>
      </c>
      <c r="G866" s="8" t="str">
        <f>IF(B866="","",VLOOKUP(B866,小圆机汇总表!A:AP,8,FALSE))</f>
        <v/>
      </c>
      <c r="J866" s="105" t="str">
        <f t="shared" si="54"/>
        <v/>
      </c>
      <c r="K866" s="105" t="str">
        <f t="shared" si="55"/>
        <v/>
      </c>
      <c r="L866" s="104" t="str">
        <f>IF(B866="","",VLOOKUP(B866&amp;F866&amp;H866,经纬!A:M,13,FALSE)*N866)</f>
        <v/>
      </c>
      <c r="M866" s="104" t="str">
        <f>IF(B866="","",VLOOKUP(B866&amp;F866&amp;H866,经纬!A:N,14,FALSE)*N866)</f>
        <v/>
      </c>
      <c r="P866" s="8" t="str">
        <f t="shared" si="57"/>
        <v/>
      </c>
      <c r="R866" s="250" t="str">
        <f t="shared" si="56"/>
        <v/>
      </c>
    </row>
    <row r="867" spans="1:18">
      <c r="A867" s="4">
        <v>876</v>
      </c>
      <c r="C867" s="8" t="str">
        <f>IF(B867="","",VLOOKUP(B867,经纬!B:C,2,FALSE))</f>
        <v/>
      </c>
      <c r="D867" s="8" t="str">
        <f>IF(B867="","",VLOOKUP(B867,经纬!B:G,6,FALSE))</f>
        <v/>
      </c>
      <c r="F867" s="8" t="str">
        <f>IF(B867="","",VLOOKUP(B867,小圆机汇总表!A:AP,5,FALSE))</f>
        <v/>
      </c>
      <c r="G867" s="8" t="str">
        <f>IF(B867="","",VLOOKUP(B867,小圆机汇总表!A:AP,8,FALSE))</f>
        <v/>
      </c>
      <c r="J867" s="105" t="str">
        <f t="shared" si="54"/>
        <v/>
      </c>
      <c r="K867" s="105" t="str">
        <f t="shared" si="55"/>
        <v/>
      </c>
      <c r="L867" s="104" t="str">
        <f>IF(B867="","",VLOOKUP(B867&amp;F867&amp;H867,经纬!A:M,13,FALSE)*N867)</f>
        <v/>
      </c>
      <c r="M867" s="104" t="str">
        <f>IF(B867="","",VLOOKUP(B867&amp;F867&amp;H867,经纬!A:N,14,FALSE)*N867)</f>
        <v/>
      </c>
      <c r="P867" s="8" t="str">
        <f t="shared" si="57"/>
        <v/>
      </c>
      <c r="R867" s="250" t="str">
        <f t="shared" si="56"/>
        <v/>
      </c>
    </row>
    <row r="868" spans="1:18">
      <c r="A868" s="4">
        <v>877</v>
      </c>
      <c r="C868" s="8" t="str">
        <f>IF(B868="","",VLOOKUP(B868,经纬!B:C,2,FALSE))</f>
        <v/>
      </c>
      <c r="D868" s="8" t="str">
        <f>IF(B868="","",VLOOKUP(B868,经纬!B:G,6,FALSE))</f>
        <v/>
      </c>
      <c r="F868" s="8" t="str">
        <f>IF(B868="","",VLOOKUP(B868,小圆机汇总表!A:AP,5,FALSE))</f>
        <v/>
      </c>
      <c r="G868" s="8" t="str">
        <f>IF(B868="","",VLOOKUP(B868,小圆机汇总表!A:AP,8,FALSE))</f>
        <v/>
      </c>
      <c r="J868" s="105" t="str">
        <f t="shared" si="54"/>
        <v/>
      </c>
      <c r="K868" s="105" t="str">
        <f t="shared" si="55"/>
        <v/>
      </c>
      <c r="L868" s="104" t="str">
        <f>IF(B868="","",VLOOKUP(B868&amp;F868&amp;H868,经纬!A:M,13,FALSE)*N868)</f>
        <v/>
      </c>
      <c r="M868" s="104" t="str">
        <f>IF(B868="","",VLOOKUP(B868&amp;F868&amp;H868,经纬!A:N,14,FALSE)*N868)</f>
        <v/>
      </c>
      <c r="P868" s="8" t="str">
        <f t="shared" si="57"/>
        <v/>
      </c>
      <c r="R868" s="250" t="str">
        <f t="shared" si="56"/>
        <v/>
      </c>
    </row>
    <row r="869" spans="1:18">
      <c r="A869" s="4">
        <v>878</v>
      </c>
      <c r="C869" s="8" t="str">
        <f>IF(B869="","",VLOOKUP(B869,经纬!B:C,2,FALSE))</f>
        <v/>
      </c>
      <c r="D869" s="8" t="str">
        <f>IF(B869="","",VLOOKUP(B869,经纬!B:G,6,FALSE))</f>
        <v/>
      </c>
      <c r="F869" s="8" t="str">
        <f>IF(B869="","",VLOOKUP(B869,小圆机汇总表!A:AP,5,FALSE))</f>
        <v/>
      </c>
      <c r="G869" s="8" t="str">
        <f>IF(B869="","",VLOOKUP(B869,小圆机汇总表!A:AP,8,FALSE))</f>
        <v/>
      </c>
      <c r="J869" s="105" t="str">
        <f t="shared" si="54"/>
        <v/>
      </c>
      <c r="K869" s="105" t="str">
        <f t="shared" si="55"/>
        <v/>
      </c>
      <c r="L869" s="104" t="str">
        <f>IF(B869="","",VLOOKUP(B869&amp;F869&amp;H869,经纬!A:M,13,FALSE)*N869)</f>
        <v/>
      </c>
      <c r="M869" s="104" t="str">
        <f>IF(B869="","",VLOOKUP(B869&amp;F869&amp;H869,经纬!A:N,14,FALSE)*N869)</f>
        <v/>
      </c>
      <c r="P869" s="8" t="str">
        <f t="shared" si="57"/>
        <v/>
      </c>
      <c r="R869" s="250" t="str">
        <f t="shared" si="56"/>
        <v/>
      </c>
    </row>
    <row r="870" spans="1:18">
      <c r="A870" s="4">
        <v>879</v>
      </c>
      <c r="C870" s="8" t="str">
        <f>IF(B870="","",VLOOKUP(B870,经纬!B:C,2,FALSE))</f>
        <v/>
      </c>
      <c r="D870" s="8" t="str">
        <f>IF(B870="","",VLOOKUP(B870,经纬!B:G,6,FALSE))</f>
        <v/>
      </c>
      <c r="F870" s="8" t="str">
        <f>IF(B870="","",VLOOKUP(B870,小圆机汇总表!A:AP,5,FALSE))</f>
        <v/>
      </c>
      <c r="G870" s="8" t="str">
        <f>IF(B870="","",VLOOKUP(B870,小圆机汇总表!A:AP,8,FALSE))</f>
        <v/>
      </c>
      <c r="J870" s="105" t="str">
        <f t="shared" si="54"/>
        <v/>
      </c>
      <c r="K870" s="105" t="str">
        <f t="shared" si="55"/>
        <v/>
      </c>
      <c r="L870" s="104" t="str">
        <f>IF(B870="","",VLOOKUP(B870&amp;F870&amp;H870,经纬!A:M,13,FALSE)*N870)</f>
        <v/>
      </c>
      <c r="M870" s="104" t="str">
        <f>IF(B870="","",VLOOKUP(B870&amp;F870&amp;H870,经纬!A:N,14,FALSE)*N870)</f>
        <v/>
      </c>
      <c r="P870" s="8" t="str">
        <f t="shared" si="57"/>
        <v/>
      </c>
      <c r="R870" s="250" t="str">
        <f t="shared" si="56"/>
        <v/>
      </c>
    </row>
    <row r="871" spans="1:18">
      <c r="A871" s="4">
        <v>880</v>
      </c>
      <c r="C871" s="8" t="str">
        <f>IF(B871="","",VLOOKUP(B871,经纬!B:C,2,FALSE))</f>
        <v/>
      </c>
      <c r="D871" s="8" t="str">
        <f>IF(B871="","",VLOOKUP(B871,经纬!B:G,6,FALSE))</f>
        <v/>
      </c>
      <c r="F871" s="8" t="str">
        <f>IF(B871="","",VLOOKUP(B871,小圆机汇总表!A:AP,5,FALSE))</f>
        <v/>
      </c>
      <c r="G871" s="8" t="str">
        <f>IF(B871="","",VLOOKUP(B871,小圆机汇总表!A:AP,8,FALSE))</f>
        <v/>
      </c>
      <c r="J871" s="105" t="str">
        <f t="shared" si="54"/>
        <v/>
      </c>
      <c r="K871" s="105" t="str">
        <f t="shared" si="55"/>
        <v/>
      </c>
      <c r="L871" s="104" t="str">
        <f>IF(B871="","",VLOOKUP(B871&amp;F871&amp;H871,经纬!A:M,13,FALSE)*N871)</f>
        <v/>
      </c>
      <c r="M871" s="104" t="str">
        <f>IF(B871="","",VLOOKUP(B871&amp;F871&amp;H871,经纬!A:N,14,FALSE)*N871)</f>
        <v/>
      </c>
      <c r="P871" s="8" t="str">
        <f t="shared" si="57"/>
        <v/>
      </c>
      <c r="R871" s="250" t="str">
        <f t="shared" si="56"/>
        <v/>
      </c>
    </row>
    <row r="872" spans="1:18">
      <c r="A872" s="4">
        <v>881</v>
      </c>
      <c r="C872" s="8" t="str">
        <f>IF(B872="","",VLOOKUP(B872,经纬!B:C,2,FALSE))</f>
        <v/>
      </c>
      <c r="D872" s="8" t="str">
        <f>IF(B872="","",VLOOKUP(B872,经纬!B:G,6,FALSE))</f>
        <v/>
      </c>
      <c r="F872" s="8" t="str">
        <f>IF(B872="","",VLOOKUP(B872,小圆机汇总表!A:AP,5,FALSE))</f>
        <v/>
      </c>
      <c r="G872" s="8" t="str">
        <f>IF(B872="","",VLOOKUP(B872,小圆机汇总表!A:AP,8,FALSE))</f>
        <v/>
      </c>
      <c r="J872" s="105" t="str">
        <f t="shared" si="54"/>
        <v/>
      </c>
      <c r="K872" s="105" t="str">
        <f t="shared" si="55"/>
        <v/>
      </c>
      <c r="L872" s="104" t="str">
        <f>IF(B872="","",VLOOKUP(B872&amp;F872&amp;H872,经纬!A:M,13,FALSE)*N872)</f>
        <v/>
      </c>
      <c r="M872" s="104" t="str">
        <f>IF(B872="","",VLOOKUP(B872&amp;F872&amp;H872,经纬!A:N,14,FALSE)*N872)</f>
        <v/>
      </c>
      <c r="P872" s="8" t="str">
        <f t="shared" si="57"/>
        <v/>
      </c>
      <c r="R872" s="250" t="str">
        <f t="shared" si="56"/>
        <v/>
      </c>
    </row>
    <row r="873" spans="1:18">
      <c r="A873" s="4">
        <v>882</v>
      </c>
      <c r="C873" s="8" t="str">
        <f>IF(B873="","",VLOOKUP(B873,经纬!B:C,2,FALSE))</f>
        <v/>
      </c>
      <c r="D873" s="8" t="str">
        <f>IF(B873="","",VLOOKUP(B873,经纬!B:G,6,FALSE))</f>
        <v/>
      </c>
      <c r="F873" s="8" t="str">
        <f>IF(B873="","",VLOOKUP(B873,小圆机汇总表!A:AP,5,FALSE))</f>
        <v/>
      </c>
      <c r="G873" s="8" t="str">
        <f>IF(B873="","",VLOOKUP(B873,小圆机汇总表!A:AP,8,FALSE))</f>
        <v/>
      </c>
      <c r="J873" s="105" t="str">
        <f t="shared" si="54"/>
        <v/>
      </c>
      <c r="K873" s="105" t="str">
        <f t="shared" si="55"/>
        <v/>
      </c>
      <c r="L873" s="104" t="str">
        <f>IF(B873="","",VLOOKUP(B873&amp;F873&amp;H873,经纬!A:M,13,FALSE)*N873)</f>
        <v/>
      </c>
      <c r="M873" s="104" t="str">
        <f>IF(B873="","",VLOOKUP(B873&amp;F873&amp;H873,经纬!A:N,14,FALSE)*N873)</f>
        <v/>
      </c>
      <c r="P873" s="8" t="str">
        <f t="shared" si="57"/>
        <v/>
      </c>
      <c r="R873" s="250" t="str">
        <f t="shared" si="56"/>
        <v/>
      </c>
    </row>
    <row r="874" spans="1:18">
      <c r="A874" s="4">
        <v>883</v>
      </c>
      <c r="C874" s="8" t="str">
        <f>IF(B874="","",VLOOKUP(B874,经纬!B:C,2,FALSE))</f>
        <v/>
      </c>
      <c r="D874" s="8" t="str">
        <f>IF(B874="","",VLOOKUP(B874,经纬!B:G,6,FALSE))</f>
        <v/>
      </c>
      <c r="F874" s="8" t="str">
        <f>IF(B874="","",VLOOKUP(B874,小圆机汇总表!A:AP,5,FALSE))</f>
        <v/>
      </c>
      <c r="G874" s="8" t="str">
        <f>IF(B874="","",VLOOKUP(B874,小圆机汇总表!A:AP,8,FALSE))</f>
        <v/>
      </c>
      <c r="J874" s="105" t="str">
        <f t="shared" si="54"/>
        <v/>
      </c>
      <c r="K874" s="105" t="str">
        <f t="shared" si="55"/>
        <v/>
      </c>
      <c r="L874" s="104" t="str">
        <f>IF(B874="","",VLOOKUP(B874&amp;F874&amp;H874,经纬!A:M,13,FALSE)*N874)</f>
        <v/>
      </c>
      <c r="M874" s="104" t="str">
        <f>IF(B874="","",VLOOKUP(B874&amp;F874&amp;H874,经纬!A:N,14,FALSE)*N874)</f>
        <v/>
      </c>
      <c r="P874" s="8" t="str">
        <f t="shared" si="57"/>
        <v/>
      </c>
      <c r="R874" s="250" t="str">
        <f t="shared" si="56"/>
        <v/>
      </c>
    </row>
    <row r="875" spans="1:18">
      <c r="A875" s="4">
        <v>884</v>
      </c>
      <c r="C875" s="8" t="str">
        <f>IF(B875="","",VLOOKUP(B875,经纬!B:C,2,FALSE))</f>
        <v/>
      </c>
      <c r="D875" s="8" t="str">
        <f>IF(B875="","",VLOOKUP(B875,经纬!B:G,6,FALSE))</f>
        <v/>
      </c>
      <c r="F875" s="8" t="str">
        <f>IF(B875="","",VLOOKUP(B875,小圆机汇总表!A:AP,5,FALSE))</f>
        <v/>
      </c>
      <c r="G875" s="8" t="str">
        <f>IF(B875="","",VLOOKUP(B875,小圆机汇总表!A:AP,8,FALSE))</f>
        <v/>
      </c>
      <c r="J875" s="105" t="str">
        <f t="shared" si="54"/>
        <v/>
      </c>
      <c r="K875" s="105" t="str">
        <f t="shared" si="55"/>
        <v/>
      </c>
      <c r="L875" s="104" t="str">
        <f>IF(B875="","",VLOOKUP(B875&amp;F875&amp;H875,经纬!A:M,13,FALSE)*N875)</f>
        <v/>
      </c>
      <c r="M875" s="104" t="str">
        <f>IF(B875="","",VLOOKUP(B875&amp;F875&amp;H875,经纬!A:N,14,FALSE)*N875)</f>
        <v/>
      </c>
      <c r="P875" s="8" t="str">
        <f t="shared" si="57"/>
        <v/>
      </c>
      <c r="R875" s="250" t="str">
        <f t="shared" si="56"/>
        <v/>
      </c>
    </row>
    <row r="876" spans="1:18">
      <c r="A876" s="4">
        <v>885</v>
      </c>
      <c r="C876" s="8" t="str">
        <f>IF(B876="","",VLOOKUP(B876,经纬!B:C,2,FALSE))</f>
        <v/>
      </c>
      <c r="D876" s="8" t="str">
        <f>IF(B876="","",VLOOKUP(B876,经纬!B:G,6,FALSE))</f>
        <v/>
      </c>
      <c r="F876" s="8" t="str">
        <f>IF(B876="","",VLOOKUP(B876,小圆机汇总表!A:AP,5,FALSE))</f>
        <v/>
      </c>
      <c r="G876" s="8" t="str">
        <f>IF(B876="","",VLOOKUP(B876,小圆机汇总表!A:AP,8,FALSE))</f>
        <v/>
      </c>
      <c r="J876" s="105" t="str">
        <f t="shared" si="54"/>
        <v/>
      </c>
      <c r="K876" s="105" t="str">
        <f t="shared" si="55"/>
        <v/>
      </c>
      <c r="L876" s="104" t="str">
        <f>IF(B876="","",VLOOKUP(B876&amp;F876&amp;H876,经纬!A:M,13,FALSE)*N876)</f>
        <v/>
      </c>
      <c r="M876" s="104" t="str">
        <f>IF(B876="","",VLOOKUP(B876&amp;F876&amp;H876,经纬!A:N,14,FALSE)*N876)</f>
        <v/>
      </c>
      <c r="P876" s="8" t="str">
        <f t="shared" si="57"/>
        <v/>
      </c>
      <c r="R876" s="250" t="str">
        <f t="shared" si="56"/>
        <v/>
      </c>
    </row>
    <row r="877" spans="1:18">
      <c r="A877" s="4">
        <v>886</v>
      </c>
      <c r="C877" s="8" t="str">
        <f>IF(B877="","",VLOOKUP(B877,经纬!B:C,2,FALSE))</f>
        <v/>
      </c>
      <c r="D877" s="8" t="str">
        <f>IF(B877="","",VLOOKUP(B877,经纬!B:G,6,FALSE))</f>
        <v/>
      </c>
      <c r="F877" s="8" t="str">
        <f>IF(B877="","",VLOOKUP(B877,小圆机汇总表!A:AP,5,FALSE))</f>
        <v/>
      </c>
      <c r="G877" s="8" t="str">
        <f>IF(B877="","",VLOOKUP(B877,小圆机汇总表!A:AP,8,FALSE))</f>
        <v/>
      </c>
      <c r="J877" s="105" t="str">
        <f t="shared" si="54"/>
        <v/>
      </c>
      <c r="K877" s="105" t="str">
        <f t="shared" si="55"/>
        <v/>
      </c>
      <c r="L877" s="104" t="str">
        <f>IF(B877="","",VLOOKUP(B877&amp;F877&amp;H877,经纬!A:M,13,FALSE)*N877)</f>
        <v/>
      </c>
      <c r="M877" s="104" t="str">
        <f>IF(B877="","",VLOOKUP(B877&amp;F877&amp;H877,经纬!A:N,14,FALSE)*N877)</f>
        <v/>
      </c>
      <c r="P877" s="8" t="str">
        <f t="shared" si="57"/>
        <v/>
      </c>
      <c r="R877" s="250" t="str">
        <f t="shared" si="56"/>
        <v/>
      </c>
    </row>
    <row r="878" spans="1:18">
      <c r="A878" s="4">
        <v>887</v>
      </c>
      <c r="C878" s="8" t="str">
        <f>IF(B878="","",VLOOKUP(B878,经纬!B:C,2,FALSE))</f>
        <v/>
      </c>
      <c r="D878" s="8" t="str">
        <f>IF(B878="","",VLOOKUP(B878,经纬!B:G,6,FALSE))</f>
        <v/>
      </c>
      <c r="F878" s="8" t="str">
        <f>IF(B878="","",VLOOKUP(B878,小圆机汇总表!A:AP,5,FALSE))</f>
        <v/>
      </c>
      <c r="G878" s="8" t="str">
        <f>IF(B878="","",VLOOKUP(B878,小圆机汇总表!A:AP,8,FALSE))</f>
        <v/>
      </c>
      <c r="J878" s="105" t="str">
        <f t="shared" si="54"/>
        <v/>
      </c>
      <c r="K878" s="105" t="str">
        <f t="shared" si="55"/>
        <v/>
      </c>
      <c r="L878" s="104" t="str">
        <f>IF(B878="","",VLOOKUP(B878&amp;F878&amp;H878,经纬!A:M,13,FALSE)*N878)</f>
        <v/>
      </c>
      <c r="M878" s="104" t="str">
        <f>IF(B878="","",VLOOKUP(B878&amp;F878&amp;H878,经纬!A:N,14,FALSE)*N878)</f>
        <v/>
      </c>
      <c r="P878" s="8" t="str">
        <f t="shared" si="57"/>
        <v/>
      </c>
      <c r="R878" s="250" t="str">
        <f t="shared" si="56"/>
        <v/>
      </c>
    </row>
    <row r="879" spans="1:18">
      <c r="A879" s="4">
        <v>888</v>
      </c>
      <c r="C879" s="8" t="str">
        <f>IF(B879="","",VLOOKUP(B879,经纬!B:C,2,FALSE))</f>
        <v/>
      </c>
      <c r="D879" s="8" t="str">
        <f>IF(B879="","",VLOOKUP(B879,经纬!B:G,6,FALSE))</f>
        <v/>
      </c>
      <c r="F879" s="8" t="str">
        <f>IF(B879="","",VLOOKUP(B879,小圆机汇总表!A:AP,5,FALSE))</f>
        <v/>
      </c>
      <c r="G879" s="8" t="str">
        <f>IF(B879="","",VLOOKUP(B879,小圆机汇总表!A:AP,8,FALSE))</f>
        <v/>
      </c>
      <c r="J879" s="105" t="str">
        <f t="shared" si="54"/>
        <v/>
      </c>
      <c r="K879" s="105" t="str">
        <f t="shared" si="55"/>
        <v/>
      </c>
      <c r="L879" s="104" t="str">
        <f>IF(B879="","",VLOOKUP(B879&amp;F879&amp;H879,经纬!A:M,13,FALSE)*N879)</f>
        <v/>
      </c>
      <c r="M879" s="104" t="str">
        <f>IF(B879="","",VLOOKUP(B879&amp;F879&amp;H879,经纬!A:N,14,FALSE)*N879)</f>
        <v/>
      </c>
      <c r="P879" s="8" t="str">
        <f t="shared" si="57"/>
        <v/>
      </c>
      <c r="R879" s="250" t="str">
        <f t="shared" si="56"/>
        <v/>
      </c>
    </row>
    <row r="880" spans="1:18">
      <c r="A880" s="4">
        <v>889</v>
      </c>
      <c r="C880" s="8" t="str">
        <f>IF(B880="","",VLOOKUP(B880,经纬!B:C,2,FALSE))</f>
        <v/>
      </c>
      <c r="D880" s="8" t="str">
        <f>IF(B880="","",VLOOKUP(B880,经纬!B:G,6,FALSE))</f>
        <v/>
      </c>
      <c r="F880" s="8" t="str">
        <f>IF(B880="","",VLOOKUP(B880,小圆机汇总表!A:AP,5,FALSE))</f>
        <v/>
      </c>
      <c r="G880" s="8" t="str">
        <f>IF(B880="","",VLOOKUP(B880,小圆机汇总表!A:AP,8,FALSE))</f>
        <v/>
      </c>
      <c r="J880" s="105" t="str">
        <f t="shared" si="54"/>
        <v/>
      </c>
      <c r="K880" s="105" t="str">
        <f t="shared" si="55"/>
        <v/>
      </c>
      <c r="L880" s="104" t="str">
        <f>IF(B880="","",VLOOKUP(B880&amp;F880&amp;H880,经纬!A:M,13,FALSE)*N880)</f>
        <v/>
      </c>
      <c r="M880" s="104" t="str">
        <f>IF(B880="","",VLOOKUP(B880&amp;F880&amp;H880,经纬!A:N,14,FALSE)*N880)</f>
        <v/>
      </c>
      <c r="P880" s="8" t="str">
        <f t="shared" si="57"/>
        <v/>
      </c>
      <c r="R880" s="250" t="str">
        <f t="shared" si="56"/>
        <v/>
      </c>
    </row>
    <row r="881" spans="1:18">
      <c r="A881" s="4">
        <v>890</v>
      </c>
      <c r="C881" s="8" t="str">
        <f>IF(B881="","",VLOOKUP(B881,经纬!B:C,2,FALSE))</f>
        <v/>
      </c>
      <c r="D881" s="8" t="str">
        <f>IF(B881="","",VLOOKUP(B881,经纬!B:G,6,FALSE))</f>
        <v/>
      </c>
      <c r="F881" s="8" t="str">
        <f>IF(B881="","",VLOOKUP(B881,小圆机汇总表!A:AP,5,FALSE))</f>
        <v/>
      </c>
      <c r="G881" s="8" t="str">
        <f>IF(B881="","",VLOOKUP(B881,小圆机汇总表!A:AP,8,FALSE))</f>
        <v/>
      </c>
      <c r="J881" s="105" t="str">
        <f t="shared" si="54"/>
        <v/>
      </c>
      <c r="K881" s="105" t="str">
        <f t="shared" si="55"/>
        <v/>
      </c>
      <c r="L881" s="104" t="str">
        <f>IF(B881="","",VLOOKUP(B881&amp;F881&amp;H881,经纬!A:M,13,FALSE)*N881)</f>
        <v/>
      </c>
      <c r="M881" s="104" t="str">
        <f>IF(B881="","",VLOOKUP(B881&amp;F881&amp;H881,经纬!A:N,14,FALSE)*N881)</f>
        <v/>
      </c>
      <c r="P881" s="8" t="str">
        <f t="shared" si="57"/>
        <v/>
      </c>
      <c r="R881" s="250" t="str">
        <f t="shared" si="56"/>
        <v/>
      </c>
    </row>
    <row r="882" spans="1:18">
      <c r="A882" s="4">
        <v>891</v>
      </c>
      <c r="C882" s="8" t="str">
        <f>IF(B882="","",VLOOKUP(B882,经纬!B:C,2,FALSE))</f>
        <v/>
      </c>
      <c r="D882" s="8" t="str">
        <f>IF(B882="","",VLOOKUP(B882,经纬!B:G,6,FALSE))</f>
        <v/>
      </c>
      <c r="F882" s="8" t="str">
        <f>IF(B882="","",VLOOKUP(B882,小圆机汇总表!A:AP,5,FALSE))</f>
        <v/>
      </c>
      <c r="G882" s="8" t="str">
        <f>IF(B882="","",VLOOKUP(B882,小圆机汇总表!A:AP,8,FALSE))</f>
        <v/>
      </c>
      <c r="J882" s="105" t="str">
        <f t="shared" si="54"/>
        <v/>
      </c>
      <c r="K882" s="105" t="str">
        <f t="shared" si="55"/>
        <v/>
      </c>
      <c r="L882" s="104" t="str">
        <f>IF(B882="","",VLOOKUP(B882&amp;F882&amp;H882,经纬!A:M,13,FALSE)*N882)</f>
        <v/>
      </c>
      <c r="M882" s="104" t="str">
        <f>IF(B882="","",VLOOKUP(B882&amp;F882&amp;H882,经纬!A:N,14,FALSE)*N882)</f>
        <v/>
      </c>
      <c r="P882" s="8" t="str">
        <f t="shared" si="57"/>
        <v/>
      </c>
      <c r="R882" s="250" t="str">
        <f t="shared" si="56"/>
        <v/>
      </c>
    </row>
    <row r="883" spans="1:18">
      <c r="A883" s="4">
        <v>892</v>
      </c>
      <c r="C883" s="8" t="str">
        <f>IF(B883="","",VLOOKUP(B883,经纬!B:C,2,FALSE))</f>
        <v/>
      </c>
      <c r="D883" s="8" t="str">
        <f>IF(B883="","",VLOOKUP(B883,经纬!B:G,6,FALSE))</f>
        <v/>
      </c>
      <c r="F883" s="8" t="str">
        <f>IF(B883="","",VLOOKUP(B883,小圆机汇总表!A:AP,5,FALSE))</f>
        <v/>
      </c>
      <c r="G883" s="8" t="str">
        <f>IF(B883="","",VLOOKUP(B883,小圆机汇总表!A:AP,8,FALSE))</f>
        <v/>
      </c>
      <c r="J883" s="105" t="str">
        <f t="shared" si="54"/>
        <v/>
      </c>
      <c r="K883" s="105" t="str">
        <f t="shared" si="55"/>
        <v/>
      </c>
      <c r="L883" s="104" t="str">
        <f>IF(B883="","",VLOOKUP(B883&amp;F883&amp;H883,经纬!A:M,13,FALSE)*N883)</f>
        <v/>
      </c>
      <c r="M883" s="104" t="str">
        <f>IF(B883="","",VLOOKUP(B883&amp;F883&amp;H883,经纬!A:N,14,FALSE)*N883)</f>
        <v/>
      </c>
      <c r="P883" s="8" t="str">
        <f t="shared" si="57"/>
        <v/>
      </c>
      <c r="R883" s="250" t="str">
        <f t="shared" si="56"/>
        <v/>
      </c>
    </row>
    <row r="884" spans="1:18">
      <c r="A884" s="4">
        <v>893</v>
      </c>
      <c r="C884" s="8" t="str">
        <f>IF(B884="","",VLOOKUP(B884,经纬!B:C,2,FALSE))</f>
        <v/>
      </c>
      <c r="D884" s="8" t="str">
        <f>IF(B884="","",VLOOKUP(B884,经纬!B:G,6,FALSE))</f>
        <v/>
      </c>
      <c r="F884" s="8" t="str">
        <f>IF(B884="","",VLOOKUP(B884,小圆机汇总表!A:AP,5,FALSE))</f>
        <v/>
      </c>
      <c r="G884" s="8" t="str">
        <f>IF(B884="","",VLOOKUP(B884,小圆机汇总表!A:AP,8,FALSE))</f>
        <v/>
      </c>
      <c r="J884" s="105" t="str">
        <f t="shared" si="54"/>
        <v/>
      </c>
      <c r="K884" s="105" t="str">
        <f t="shared" si="55"/>
        <v/>
      </c>
      <c r="L884" s="104" t="str">
        <f>IF(B884="","",VLOOKUP(B884&amp;F884&amp;H884,经纬!A:M,13,FALSE)*N884)</f>
        <v/>
      </c>
      <c r="M884" s="104" t="str">
        <f>IF(B884="","",VLOOKUP(B884&amp;F884&amp;H884,经纬!A:N,14,FALSE)*N884)</f>
        <v/>
      </c>
      <c r="P884" s="8" t="str">
        <f t="shared" si="57"/>
        <v/>
      </c>
      <c r="R884" s="250" t="str">
        <f t="shared" si="56"/>
        <v/>
      </c>
    </row>
    <row r="885" spans="1:18">
      <c r="A885" s="4">
        <v>894</v>
      </c>
      <c r="C885" s="8" t="str">
        <f>IF(B885="","",VLOOKUP(B885,经纬!B:C,2,FALSE))</f>
        <v/>
      </c>
      <c r="D885" s="8" t="str">
        <f>IF(B885="","",VLOOKUP(B885,经纬!B:G,6,FALSE))</f>
        <v/>
      </c>
      <c r="F885" s="8" t="str">
        <f>IF(B885="","",VLOOKUP(B885,小圆机汇总表!A:AP,5,FALSE))</f>
        <v/>
      </c>
      <c r="G885" s="8" t="str">
        <f>IF(B885="","",VLOOKUP(B885,小圆机汇总表!A:AP,8,FALSE))</f>
        <v/>
      </c>
      <c r="J885" s="105" t="str">
        <f t="shared" si="54"/>
        <v/>
      </c>
      <c r="K885" s="105" t="str">
        <f t="shared" si="55"/>
        <v/>
      </c>
      <c r="L885" s="104" t="str">
        <f>IF(B885="","",VLOOKUP(B885&amp;F885&amp;H885,经纬!A:M,13,FALSE)*N885)</f>
        <v/>
      </c>
      <c r="M885" s="104" t="str">
        <f>IF(B885="","",VLOOKUP(B885&amp;F885&amp;H885,经纬!A:N,14,FALSE)*N885)</f>
        <v/>
      </c>
      <c r="P885" s="8" t="str">
        <f t="shared" si="57"/>
        <v/>
      </c>
      <c r="R885" s="250" t="str">
        <f t="shared" si="56"/>
        <v/>
      </c>
    </row>
    <row r="886" spans="1:18">
      <c r="A886" s="4">
        <v>895</v>
      </c>
      <c r="C886" s="8" t="str">
        <f>IF(B886="","",VLOOKUP(B886,经纬!B:C,2,FALSE))</f>
        <v/>
      </c>
      <c r="D886" s="8" t="str">
        <f>IF(B886="","",VLOOKUP(B886,经纬!B:G,6,FALSE))</f>
        <v/>
      </c>
      <c r="F886" s="8" t="str">
        <f>IF(B886="","",VLOOKUP(B886,小圆机汇总表!A:AP,5,FALSE))</f>
        <v/>
      </c>
      <c r="G886" s="8" t="str">
        <f>IF(B886="","",VLOOKUP(B886,小圆机汇总表!A:AP,8,FALSE))</f>
        <v/>
      </c>
      <c r="J886" s="105" t="str">
        <f t="shared" si="54"/>
        <v/>
      </c>
      <c r="K886" s="105" t="str">
        <f t="shared" si="55"/>
        <v/>
      </c>
      <c r="L886" s="104" t="str">
        <f>IF(B886="","",VLOOKUP(B886&amp;F886&amp;H886,经纬!A:M,13,FALSE)*N886)</f>
        <v/>
      </c>
      <c r="M886" s="104" t="str">
        <f>IF(B886="","",VLOOKUP(B886&amp;F886&amp;H886,经纬!A:N,14,FALSE)*N886)</f>
        <v/>
      </c>
      <c r="P886" s="8" t="str">
        <f t="shared" si="57"/>
        <v/>
      </c>
      <c r="R886" s="250" t="str">
        <f t="shared" si="56"/>
        <v/>
      </c>
    </row>
    <row r="887" spans="1:18">
      <c r="A887" s="4">
        <v>896</v>
      </c>
      <c r="C887" s="8" t="str">
        <f>IF(B887="","",VLOOKUP(B887,经纬!B:C,2,FALSE))</f>
        <v/>
      </c>
      <c r="D887" s="8" t="str">
        <f>IF(B887="","",VLOOKUP(B887,经纬!B:G,6,FALSE))</f>
        <v/>
      </c>
      <c r="F887" s="8" t="str">
        <f>IF(B887="","",VLOOKUP(B887,小圆机汇总表!A:AP,5,FALSE))</f>
        <v/>
      </c>
      <c r="G887" s="8" t="str">
        <f>IF(B887="","",VLOOKUP(B887,小圆机汇总表!A:AP,8,FALSE))</f>
        <v/>
      </c>
      <c r="J887" s="105" t="str">
        <f t="shared" si="54"/>
        <v/>
      </c>
      <c r="K887" s="105" t="str">
        <f t="shared" si="55"/>
        <v/>
      </c>
      <c r="L887" s="104" t="str">
        <f>IF(B887="","",VLOOKUP(B887&amp;F887&amp;H887,经纬!A:M,13,FALSE)*N887)</f>
        <v/>
      </c>
      <c r="M887" s="104" t="str">
        <f>IF(B887="","",VLOOKUP(B887&amp;F887&amp;H887,经纬!A:N,14,FALSE)*N887)</f>
        <v/>
      </c>
      <c r="P887" s="8" t="str">
        <f t="shared" si="57"/>
        <v/>
      </c>
      <c r="R887" s="250" t="str">
        <f t="shared" si="56"/>
        <v/>
      </c>
    </row>
    <row r="888" spans="1:18">
      <c r="A888" s="4">
        <v>897</v>
      </c>
      <c r="C888" s="8" t="str">
        <f>IF(B888="","",VLOOKUP(B888,经纬!B:C,2,FALSE))</f>
        <v/>
      </c>
      <c r="D888" s="8" t="str">
        <f>IF(B888="","",VLOOKUP(B888,经纬!B:G,6,FALSE))</f>
        <v/>
      </c>
      <c r="F888" s="8" t="str">
        <f>IF(B888="","",VLOOKUP(B888,小圆机汇总表!A:AP,5,FALSE))</f>
        <v/>
      </c>
      <c r="G888" s="8" t="str">
        <f>IF(B888="","",VLOOKUP(B888,小圆机汇总表!A:AP,8,FALSE))</f>
        <v/>
      </c>
      <c r="J888" s="105" t="str">
        <f t="shared" si="54"/>
        <v/>
      </c>
      <c r="K888" s="105" t="str">
        <f t="shared" si="55"/>
        <v/>
      </c>
      <c r="L888" s="104" t="str">
        <f>IF(B888="","",VLOOKUP(B888&amp;F888&amp;H888,经纬!A:M,13,FALSE)*N888)</f>
        <v/>
      </c>
      <c r="M888" s="104" t="str">
        <f>IF(B888="","",VLOOKUP(B888&amp;F888&amp;H888,经纬!A:N,14,FALSE)*N888)</f>
        <v/>
      </c>
      <c r="P888" s="8" t="str">
        <f t="shared" si="57"/>
        <v/>
      </c>
      <c r="R888" s="250" t="str">
        <f t="shared" si="56"/>
        <v/>
      </c>
    </row>
    <row r="889" spans="1:18">
      <c r="A889" s="4">
        <v>898</v>
      </c>
      <c r="C889" s="8" t="str">
        <f>IF(B889="","",VLOOKUP(B889,经纬!B:C,2,FALSE))</f>
        <v/>
      </c>
      <c r="D889" s="8" t="str">
        <f>IF(B889="","",VLOOKUP(B889,经纬!B:G,6,FALSE))</f>
        <v/>
      </c>
      <c r="F889" s="8" t="str">
        <f>IF(B889="","",VLOOKUP(B889,小圆机汇总表!A:AP,5,FALSE))</f>
        <v/>
      </c>
      <c r="G889" s="8" t="str">
        <f>IF(B889="","",VLOOKUP(B889,小圆机汇总表!A:AP,8,FALSE))</f>
        <v/>
      </c>
      <c r="J889" s="105" t="str">
        <f t="shared" si="54"/>
        <v/>
      </c>
      <c r="K889" s="105" t="str">
        <f t="shared" si="55"/>
        <v/>
      </c>
      <c r="L889" s="104" t="str">
        <f>IF(B889="","",VLOOKUP(B889&amp;F889&amp;H889,经纬!A:M,13,FALSE)*N889)</f>
        <v/>
      </c>
      <c r="M889" s="104" t="str">
        <f>IF(B889="","",VLOOKUP(B889&amp;F889&amp;H889,经纬!A:N,14,FALSE)*N889)</f>
        <v/>
      </c>
      <c r="P889" s="8" t="str">
        <f t="shared" si="57"/>
        <v/>
      </c>
      <c r="R889" s="250" t="str">
        <f t="shared" si="56"/>
        <v/>
      </c>
    </row>
    <row r="890" spans="1:18">
      <c r="A890" s="4">
        <v>899</v>
      </c>
      <c r="C890" s="8" t="str">
        <f>IF(B890="","",VLOOKUP(B890,经纬!B:C,2,FALSE))</f>
        <v/>
      </c>
      <c r="D890" s="8" t="str">
        <f>IF(B890="","",VLOOKUP(B890,经纬!B:G,6,FALSE))</f>
        <v/>
      </c>
      <c r="F890" s="8" t="str">
        <f>IF(B890="","",VLOOKUP(B890,小圆机汇总表!A:AP,5,FALSE))</f>
        <v/>
      </c>
      <c r="G890" s="8" t="str">
        <f>IF(B890="","",VLOOKUP(B890,小圆机汇总表!A:AP,8,FALSE))</f>
        <v/>
      </c>
      <c r="J890" s="105" t="str">
        <f t="shared" ref="J890:J909" si="58">IF(B890="","",LEFT(C890,FIND("*",C890)-1))</f>
        <v/>
      </c>
      <c r="K890" s="105" t="str">
        <f t="shared" ref="K890:K909" si="59">IF(B890="","",RIGHT(C890,LEN(C890)-LEN(J890)-1))</f>
        <v/>
      </c>
      <c r="L890" s="104" t="str">
        <f>IF(B890="","",VLOOKUP(B890&amp;F890&amp;H890,经纬!A:M,13,FALSE)*N890)</f>
        <v/>
      </c>
      <c r="M890" s="104" t="str">
        <f>IF(B890="","",VLOOKUP(B890&amp;F890&amp;H890,经纬!A:N,14,FALSE)*N890)</f>
        <v/>
      </c>
      <c r="P890" s="8" t="str">
        <f t="shared" si="57"/>
        <v/>
      </c>
      <c r="R890" s="250" t="str">
        <f t="shared" si="56"/>
        <v/>
      </c>
    </row>
    <row r="891" spans="1:18">
      <c r="A891" s="4">
        <v>900</v>
      </c>
      <c r="C891" s="8" t="str">
        <f>IF(B891="","",VLOOKUP(B891,经纬!B:C,2,FALSE))</f>
        <v/>
      </c>
      <c r="D891" s="8" t="str">
        <f>IF(B891="","",VLOOKUP(B891,经纬!B:G,6,FALSE))</f>
        <v/>
      </c>
      <c r="F891" s="8" t="str">
        <f>IF(B891="","",VLOOKUP(B891,小圆机汇总表!A:AP,5,FALSE))</f>
        <v/>
      </c>
      <c r="G891" s="8" t="str">
        <f>IF(B891="","",VLOOKUP(B891,小圆机汇总表!A:AP,8,FALSE))</f>
        <v/>
      </c>
      <c r="J891" s="105" t="str">
        <f t="shared" si="58"/>
        <v/>
      </c>
      <c r="K891" s="105" t="str">
        <f t="shared" si="59"/>
        <v/>
      </c>
      <c r="L891" s="104" t="str">
        <f>IF(B891="","",VLOOKUP(B891&amp;F891&amp;H891,经纬!A:M,13,FALSE)*N891)</f>
        <v/>
      </c>
      <c r="M891" s="104" t="str">
        <f>IF(B891="","",VLOOKUP(B891&amp;F891&amp;H891,经纬!A:N,14,FALSE)*N891)</f>
        <v/>
      </c>
      <c r="P891" s="8" t="str">
        <f t="shared" si="57"/>
        <v/>
      </c>
      <c r="R891" s="250" t="str">
        <f t="shared" si="56"/>
        <v/>
      </c>
    </row>
    <row r="892" spans="1:18">
      <c r="A892" s="4">
        <v>901</v>
      </c>
      <c r="C892" s="8" t="str">
        <f>IF(B892="","",VLOOKUP(B892,经纬!B:C,2,FALSE))</f>
        <v/>
      </c>
      <c r="D892" s="8" t="str">
        <f>IF(B892="","",VLOOKUP(B892,经纬!B:G,6,FALSE))</f>
        <v/>
      </c>
      <c r="F892" s="8" t="str">
        <f>IF(B892="","",VLOOKUP(B892,小圆机汇总表!A:AP,5,FALSE))</f>
        <v/>
      </c>
      <c r="G892" s="8" t="str">
        <f>IF(B892="","",VLOOKUP(B892,小圆机汇总表!A:AP,8,FALSE))</f>
        <v/>
      </c>
      <c r="J892" s="105" t="str">
        <f t="shared" si="58"/>
        <v/>
      </c>
      <c r="K892" s="105" t="str">
        <f t="shared" si="59"/>
        <v/>
      </c>
      <c r="L892" s="104" t="str">
        <f>IF(B892="","",VLOOKUP(B892&amp;F892&amp;H892,经纬!A:M,13,FALSE)*N892)</f>
        <v/>
      </c>
      <c r="M892" s="104" t="str">
        <f>IF(B892="","",VLOOKUP(B892&amp;F892&amp;H892,经纬!A:N,14,FALSE)*N892)</f>
        <v/>
      </c>
      <c r="P892" s="8" t="str">
        <f t="shared" si="57"/>
        <v/>
      </c>
      <c r="R892" s="250" t="str">
        <f t="shared" si="56"/>
        <v/>
      </c>
    </row>
    <row r="893" spans="1:18">
      <c r="A893" s="4">
        <v>902</v>
      </c>
      <c r="C893" s="8" t="str">
        <f>IF(B893="","",VLOOKUP(B893,经纬!B:C,2,FALSE))</f>
        <v/>
      </c>
      <c r="D893" s="8" t="str">
        <f>IF(B893="","",VLOOKUP(B893,经纬!B:G,6,FALSE))</f>
        <v/>
      </c>
      <c r="F893" s="8" t="str">
        <f>IF(B893="","",VLOOKUP(B893,小圆机汇总表!A:AP,5,FALSE))</f>
        <v/>
      </c>
      <c r="G893" s="8" t="str">
        <f>IF(B893="","",VLOOKUP(B893,小圆机汇总表!A:AP,8,FALSE))</f>
        <v/>
      </c>
      <c r="J893" s="105" t="str">
        <f t="shared" si="58"/>
        <v/>
      </c>
      <c r="K893" s="105" t="str">
        <f t="shared" si="59"/>
        <v/>
      </c>
      <c r="L893" s="104" t="str">
        <f>IF(B893="","",VLOOKUP(B893&amp;F893&amp;H893,经纬!A:M,13,FALSE)*N893)</f>
        <v/>
      </c>
      <c r="M893" s="104" t="str">
        <f>IF(B893="","",VLOOKUP(B893&amp;F893&amp;H893,经纬!A:N,14,FALSE)*N893)</f>
        <v/>
      </c>
      <c r="P893" s="8" t="str">
        <f t="shared" si="57"/>
        <v/>
      </c>
      <c r="R893" s="250" t="str">
        <f t="shared" si="56"/>
        <v/>
      </c>
    </row>
    <row r="894" spans="1:18">
      <c r="A894" s="4">
        <v>903</v>
      </c>
      <c r="C894" s="8" t="str">
        <f>IF(B894="","",VLOOKUP(B894,经纬!B:C,2,FALSE))</f>
        <v/>
      </c>
      <c r="D894" s="8" t="str">
        <f>IF(B894="","",VLOOKUP(B894,经纬!B:G,6,FALSE))</f>
        <v/>
      </c>
      <c r="F894" s="8" t="str">
        <f>IF(B894="","",VLOOKUP(B894,小圆机汇总表!A:AP,5,FALSE))</f>
        <v/>
      </c>
      <c r="G894" s="8" t="str">
        <f>IF(B894="","",VLOOKUP(B894,小圆机汇总表!A:AP,8,FALSE))</f>
        <v/>
      </c>
      <c r="J894" s="105" t="str">
        <f t="shared" si="58"/>
        <v/>
      </c>
      <c r="K894" s="105" t="str">
        <f t="shared" si="59"/>
        <v/>
      </c>
      <c r="L894" s="104" t="str">
        <f>IF(B894="","",VLOOKUP(B894&amp;F894&amp;H894,经纬!A:M,13,FALSE)*N894)</f>
        <v/>
      </c>
      <c r="M894" s="104" t="str">
        <f>IF(B894="","",VLOOKUP(B894&amp;F894&amp;H894,经纬!A:N,14,FALSE)*N894)</f>
        <v/>
      </c>
      <c r="P894" s="8" t="str">
        <f t="shared" si="57"/>
        <v/>
      </c>
      <c r="R894" s="250" t="str">
        <f t="shared" si="56"/>
        <v/>
      </c>
    </row>
    <row r="895" spans="1:18">
      <c r="A895" s="4">
        <v>904</v>
      </c>
      <c r="C895" s="8" t="str">
        <f>IF(B895="","",VLOOKUP(B895,经纬!B:C,2,FALSE))</f>
        <v/>
      </c>
      <c r="D895" s="8" t="str">
        <f>IF(B895="","",VLOOKUP(B895,经纬!B:G,6,FALSE))</f>
        <v/>
      </c>
      <c r="F895" s="8" t="str">
        <f>IF(B895="","",VLOOKUP(B895,小圆机汇总表!A:AP,5,FALSE))</f>
        <v/>
      </c>
      <c r="G895" s="8" t="str">
        <f>IF(B895="","",VLOOKUP(B895,小圆机汇总表!A:AP,8,FALSE))</f>
        <v/>
      </c>
      <c r="J895" s="105" t="str">
        <f t="shared" si="58"/>
        <v/>
      </c>
      <c r="K895" s="105" t="str">
        <f t="shared" si="59"/>
        <v/>
      </c>
      <c r="L895" s="104" t="str">
        <f>IF(B895="","",VLOOKUP(B895&amp;F895&amp;H895,经纬!A:M,13,FALSE)*N895)</f>
        <v/>
      </c>
      <c r="M895" s="104" t="str">
        <f>IF(B895="","",VLOOKUP(B895&amp;F895&amp;H895,经纬!A:N,14,FALSE)*N895)</f>
        <v/>
      </c>
      <c r="P895" s="8" t="str">
        <f t="shared" si="57"/>
        <v/>
      </c>
      <c r="R895" s="250" t="str">
        <f t="shared" si="56"/>
        <v/>
      </c>
    </row>
    <row r="896" spans="1:18">
      <c r="A896" s="4">
        <v>905</v>
      </c>
      <c r="C896" s="8" t="str">
        <f>IF(B896="","",VLOOKUP(B896,经纬!B:C,2,FALSE))</f>
        <v/>
      </c>
      <c r="D896" s="8" t="str">
        <f>IF(B896="","",VLOOKUP(B896,经纬!B:G,6,FALSE))</f>
        <v/>
      </c>
      <c r="F896" s="8" t="str">
        <f>IF(B896="","",VLOOKUP(B896,小圆机汇总表!A:AP,5,FALSE))</f>
        <v/>
      </c>
      <c r="G896" s="8" t="str">
        <f>IF(B896="","",VLOOKUP(B896,小圆机汇总表!A:AP,8,FALSE))</f>
        <v/>
      </c>
      <c r="J896" s="105" t="str">
        <f t="shared" si="58"/>
        <v/>
      </c>
      <c r="K896" s="105" t="str">
        <f t="shared" si="59"/>
        <v/>
      </c>
      <c r="L896" s="104" t="str">
        <f>IF(B896="","",VLOOKUP(B896&amp;F896&amp;H896,经纬!A:M,13,FALSE)*N896)</f>
        <v/>
      </c>
      <c r="M896" s="104" t="str">
        <f>IF(B896="","",VLOOKUP(B896&amp;F896&amp;H896,经纬!A:N,14,FALSE)*N896)</f>
        <v/>
      </c>
      <c r="P896" s="8" t="str">
        <f t="shared" si="57"/>
        <v/>
      </c>
      <c r="R896" s="250" t="str">
        <f t="shared" si="56"/>
        <v/>
      </c>
    </row>
    <row r="897" spans="1:18">
      <c r="A897" s="4">
        <v>906</v>
      </c>
      <c r="C897" s="8" t="str">
        <f>IF(B897="","",VLOOKUP(B897,经纬!B:C,2,FALSE))</f>
        <v/>
      </c>
      <c r="D897" s="8" t="str">
        <f>IF(B897="","",VLOOKUP(B897,经纬!B:G,6,FALSE))</f>
        <v/>
      </c>
      <c r="F897" s="8" t="str">
        <f>IF(B897="","",VLOOKUP(B897,小圆机汇总表!A:AP,5,FALSE))</f>
        <v/>
      </c>
      <c r="G897" s="8" t="str">
        <f>IF(B897="","",VLOOKUP(B897,小圆机汇总表!A:AP,8,FALSE))</f>
        <v/>
      </c>
      <c r="J897" s="105" t="str">
        <f t="shared" si="58"/>
        <v/>
      </c>
      <c r="K897" s="105" t="str">
        <f t="shared" si="59"/>
        <v/>
      </c>
      <c r="L897" s="104" t="str">
        <f>IF(B897="","",VLOOKUP(B897&amp;F897&amp;H897,经纬!A:M,13,FALSE)*N897)</f>
        <v/>
      </c>
      <c r="M897" s="104" t="str">
        <f>IF(B897="","",VLOOKUP(B897&amp;F897&amp;H897,经纬!A:N,14,FALSE)*N897)</f>
        <v/>
      </c>
      <c r="P897" s="8" t="str">
        <f t="shared" si="57"/>
        <v/>
      </c>
      <c r="R897" s="250" t="str">
        <f t="shared" si="56"/>
        <v/>
      </c>
    </row>
    <row r="898" spans="1:18">
      <c r="A898" s="4">
        <v>907</v>
      </c>
      <c r="C898" s="8" t="str">
        <f>IF(B898="","",VLOOKUP(B898,经纬!B:C,2,FALSE))</f>
        <v/>
      </c>
      <c r="D898" s="8" t="str">
        <f>IF(B898="","",VLOOKUP(B898,经纬!B:G,6,FALSE))</f>
        <v/>
      </c>
      <c r="F898" s="8" t="str">
        <f>IF(B898="","",VLOOKUP(B898,小圆机汇总表!A:AP,5,FALSE))</f>
        <v/>
      </c>
      <c r="G898" s="8" t="str">
        <f>IF(B898="","",VLOOKUP(B898,小圆机汇总表!A:AP,8,FALSE))</f>
        <v/>
      </c>
      <c r="J898" s="105" t="str">
        <f t="shared" si="58"/>
        <v/>
      </c>
      <c r="K898" s="105" t="str">
        <f t="shared" si="59"/>
        <v/>
      </c>
      <c r="L898" s="104" t="str">
        <f>IF(B898="","",VLOOKUP(B898&amp;F898&amp;H898,经纬!A:M,13,FALSE)*N898)</f>
        <v/>
      </c>
      <c r="M898" s="104" t="str">
        <f>IF(B898="","",VLOOKUP(B898&amp;F898&amp;H898,经纬!A:N,14,FALSE)*N898)</f>
        <v/>
      </c>
      <c r="P898" s="8" t="str">
        <f t="shared" si="57"/>
        <v/>
      </c>
      <c r="R898" s="250" t="str">
        <f t="shared" si="56"/>
        <v/>
      </c>
    </row>
    <row r="899" spans="1:18">
      <c r="A899" s="4">
        <v>908</v>
      </c>
      <c r="C899" s="8" t="str">
        <f>IF(B899="","",VLOOKUP(B899,经纬!B:C,2,FALSE))</f>
        <v/>
      </c>
      <c r="D899" s="8" t="str">
        <f>IF(B899="","",VLOOKUP(B899,经纬!B:G,6,FALSE))</f>
        <v/>
      </c>
      <c r="F899" s="8" t="str">
        <f>IF(B899="","",VLOOKUP(B899,小圆机汇总表!A:AP,5,FALSE))</f>
        <v/>
      </c>
      <c r="G899" s="8" t="str">
        <f>IF(B899="","",VLOOKUP(B899,小圆机汇总表!A:AP,8,FALSE))</f>
        <v/>
      </c>
      <c r="J899" s="105" t="str">
        <f t="shared" si="58"/>
        <v/>
      </c>
      <c r="K899" s="105" t="str">
        <f t="shared" si="59"/>
        <v/>
      </c>
      <c r="L899" s="104" t="str">
        <f>IF(B899="","",VLOOKUP(B899&amp;F899&amp;H899,经纬!A:M,13,FALSE)*N899)</f>
        <v/>
      </c>
      <c r="M899" s="104" t="str">
        <f>IF(B899="","",VLOOKUP(B899&amp;F899&amp;H899,经纬!A:N,14,FALSE)*N899)</f>
        <v/>
      </c>
      <c r="P899" s="8" t="str">
        <f t="shared" si="57"/>
        <v/>
      </c>
      <c r="R899" s="250" t="str">
        <f t="shared" ref="R899:R962" si="60">IF(B899="","",MONTH(I899))</f>
        <v/>
      </c>
    </row>
    <row r="900" spans="1:18">
      <c r="A900" s="4">
        <v>909</v>
      </c>
      <c r="C900" s="8" t="str">
        <f>IF(B900="","",VLOOKUP(B900,经纬!B:C,2,FALSE))</f>
        <v/>
      </c>
      <c r="D900" s="8" t="str">
        <f>IF(B900="","",VLOOKUP(B900,经纬!B:G,6,FALSE))</f>
        <v/>
      </c>
      <c r="F900" s="8" t="str">
        <f>IF(B900="","",VLOOKUP(B900,小圆机汇总表!A:AP,5,FALSE))</f>
        <v/>
      </c>
      <c r="G900" s="8" t="str">
        <f>IF(B900="","",VLOOKUP(B900,小圆机汇总表!A:AP,8,FALSE))</f>
        <v/>
      </c>
      <c r="J900" s="105" t="str">
        <f t="shared" si="58"/>
        <v/>
      </c>
      <c r="K900" s="105" t="str">
        <f t="shared" si="59"/>
        <v/>
      </c>
      <c r="L900" s="104" t="str">
        <f>IF(B900="","",VLOOKUP(B900&amp;F900&amp;H900,经纬!A:M,13,FALSE)*N900)</f>
        <v/>
      </c>
      <c r="M900" s="104" t="str">
        <f>IF(B900="","",VLOOKUP(B900&amp;F900&amp;H900,经纬!A:N,14,FALSE)*N900)</f>
        <v/>
      </c>
      <c r="P900" s="8" t="str">
        <f t="shared" si="57"/>
        <v/>
      </c>
      <c r="R900" s="250" t="str">
        <f t="shared" si="60"/>
        <v/>
      </c>
    </row>
    <row r="901" spans="1:18">
      <c r="A901" s="4">
        <v>910</v>
      </c>
      <c r="C901" s="8" t="str">
        <f>IF(B901="","",VLOOKUP(B901,经纬!B:C,2,FALSE))</f>
        <v/>
      </c>
      <c r="D901" s="8" t="str">
        <f>IF(B901="","",VLOOKUP(B901,经纬!B:G,6,FALSE))</f>
        <v/>
      </c>
      <c r="F901" s="8" t="str">
        <f>IF(B901="","",VLOOKUP(B901,小圆机汇总表!A:AP,5,FALSE))</f>
        <v/>
      </c>
      <c r="G901" s="8" t="str">
        <f>IF(B901="","",VLOOKUP(B901,小圆机汇总表!A:AP,8,FALSE))</f>
        <v/>
      </c>
      <c r="J901" s="105" t="str">
        <f t="shared" si="58"/>
        <v/>
      </c>
      <c r="K901" s="105" t="str">
        <f t="shared" si="59"/>
        <v/>
      </c>
      <c r="L901" s="104" t="str">
        <f>IF(B901="","",VLOOKUP(B901&amp;F901&amp;H901,经纬!A:M,13,FALSE)*N901)</f>
        <v/>
      </c>
      <c r="M901" s="104" t="str">
        <f>IF(B901="","",VLOOKUP(B901&amp;F901&amp;H901,经纬!A:N,14,FALSE)*N901)</f>
        <v/>
      </c>
      <c r="P901" s="8" t="str">
        <f t="shared" si="57"/>
        <v/>
      </c>
      <c r="R901" s="250" t="str">
        <f t="shared" si="60"/>
        <v/>
      </c>
    </row>
    <row r="902" spans="1:18">
      <c r="A902" s="4">
        <v>911</v>
      </c>
      <c r="C902" s="8" t="str">
        <f>IF(B902="","",VLOOKUP(B902,经纬!B:C,2,FALSE))</f>
        <v/>
      </c>
      <c r="D902" s="8" t="str">
        <f>IF(B902="","",VLOOKUP(B902,经纬!B:G,6,FALSE))</f>
        <v/>
      </c>
      <c r="F902" s="8" t="str">
        <f>IF(B902="","",VLOOKUP(B902,小圆机汇总表!A:AP,5,FALSE))</f>
        <v/>
      </c>
      <c r="G902" s="8" t="str">
        <f>IF(B902="","",VLOOKUP(B902,小圆机汇总表!A:AP,8,FALSE))</f>
        <v/>
      </c>
      <c r="J902" s="105" t="str">
        <f t="shared" si="58"/>
        <v/>
      </c>
      <c r="K902" s="105" t="str">
        <f t="shared" si="59"/>
        <v/>
      </c>
      <c r="L902" s="104" t="str">
        <f>IF(B902="","",VLOOKUP(B902&amp;F902&amp;H902,经纬!A:M,13,FALSE)*N902)</f>
        <v/>
      </c>
      <c r="M902" s="104" t="str">
        <f>IF(B902="","",VLOOKUP(B902&amp;F902&amp;H902,经纬!A:N,14,FALSE)*N902)</f>
        <v/>
      </c>
      <c r="P902" s="8" t="str">
        <f t="shared" si="57"/>
        <v/>
      </c>
      <c r="R902" s="250" t="str">
        <f t="shared" si="60"/>
        <v/>
      </c>
    </row>
    <row r="903" spans="1:18">
      <c r="A903" s="4">
        <v>912</v>
      </c>
      <c r="C903" s="8" t="str">
        <f>IF(B903="","",VLOOKUP(B903,经纬!B:C,2,FALSE))</f>
        <v/>
      </c>
      <c r="D903" s="8" t="str">
        <f>IF(B903="","",VLOOKUP(B903,经纬!B:G,6,FALSE))</f>
        <v/>
      </c>
      <c r="F903" s="8" t="str">
        <f>IF(B903="","",VLOOKUP(B903,小圆机汇总表!A:AP,5,FALSE))</f>
        <v/>
      </c>
      <c r="G903" s="8" t="str">
        <f>IF(B903="","",VLOOKUP(B903,小圆机汇总表!A:AP,8,FALSE))</f>
        <v/>
      </c>
      <c r="J903" s="105" t="str">
        <f t="shared" si="58"/>
        <v/>
      </c>
      <c r="K903" s="105" t="str">
        <f t="shared" si="59"/>
        <v/>
      </c>
      <c r="L903" s="104" t="str">
        <f>IF(B903="","",VLOOKUP(B903&amp;F903&amp;H903,经纬!A:M,13,FALSE)*N903)</f>
        <v/>
      </c>
      <c r="M903" s="104" t="str">
        <f>IF(B903="","",VLOOKUP(B903&amp;F903&amp;H903,经纬!A:N,14,FALSE)*N903)</f>
        <v/>
      </c>
      <c r="P903" s="8" t="str">
        <f t="shared" si="57"/>
        <v/>
      </c>
      <c r="R903" s="250" t="str">
        <f t="shared" si="60"/>
        <v/>
      </c>
    </row>
    <row r="904" spans="1:18">
      <c r="A904" s="4">
        <v>913</v>
      </c>
      <c r="C904" s="8" t="str">
        <f>IF(B904="","",VLOOKUP(B904,经纬!B:C,2,FALSE))</f>
        <v/>
      </c>
      <c r="D904" s="8" t="str">
        <f>IF(B904="","",VLOOKUP(B904,经纬!B:G,6,FALSE))</f>
        <v/>
      </c>
      <c r="F904" s="8" t="str">
        <f>IF(B904="","",VLOOKUP(B904,小圆机汇总表!A:AP,5,FALSE))</f>
        <v/>
      </c>
      <c r="G904" s="8" t="str">
        <f>IF(B904="","",VLOOKUP(B904,小圆机汇总表!A:AP,8,FALSE))</f>
        <v/>
      </c>
      <c r="J904" s="105" t="str">
        <f t="shared" si="58"/>
        <v/>
      </c>
      <c r="K904" s="105" t="str">
        <f t="shared" si="59"/>
        <v/>
      </c>
      <c r="L904" s="104" t="str">
        <f>IF(B904="","",VLOOKUP(B904&amp;F904&amp;H904,经纬!A:M,13,FALSE)*N904)</f>
        <v/>
      </c>
      <c r="M904" s="104" t="str">
        <f>IF(B904="","",VLOOKUP(B904&amp;F904&amp;H904,经纬!A:N,14,FALSE)*N904)</f>
        <v/>
      </c>
      <c r="P904" s="8" t="str">
        <f t="shared" si="57"/>
        <v/>
      </c>
      <c r="R904" s="250" t="str">
        <f t="shared" si="60"/>
        <v/>
      </c>
    </row>
    <row r="905" spans="1:18">
      <c r="A905" s="4">
        <v>914</v>
      </c>
      <c r="C905" s="8" t="str">
        <f>IF(B905="","",VLOOKUP(B905,经纬!B:C,2,FALSE))</f>
        <v/>
      </c>
      <c r="D905" s="8" t="str">
        <f>IF(B905="","",VLOOKUP(B905,经纬!B:G,6,FALSE))</f>
        <v/>
      </c>
      <c r="F905" s="8" t="str">
        <f>IF(B905="","",VLOOKUP(B905,小圆机汇总表!A:AP,5,FALSE))</f>
        <v/>
      </c>
      <c r="G905" s="8" t="str">
        <f>IF(B905="","",VLOOKUP(B905,小圆机汇总表!A:AP,8,FALSE))</f>
        <v/>
      </c>
      <c r="J905" s="105" t="str">
        <f t="shared" si="58"/>
        <v/>
      </c>
      <c r="K905" s="105" t="str">
        <f t="shared" si="59"/>
        <v/>
      </c>
      <c r="L905" s="104" t="str">
        <f>IF(B905="","",VLOOKUP(B905&amp;F905&amp;H905,经纬!A:M,13,FALSE)*N905)</f>
        <v/>
      </c>
      <c r="M905" s="104" t="str">
        <f>IF(B905="","",VLOOKUP(B905&amp;F905&amp;H905,经纬!A:N,14,FALSE)*N905)</f>
        <v/>
      </c>
      <c r="P905" s="8" t="str">
        <f t="shared" si="57"/>
        <v/>
      </c>
      <c r="R905" s="250" t="str">
        <f t="shared" si="60"/>
        <v/>
      </c>
    </row>
    <row r="906" spans="1:18">
      <c r="A906" s="4">
        <v>915</v>
      </c>
      <c r="C906" s="8" t="str">
        <f>IF(B906="","",VLOOKUP(B906,经纬!B:C,2,FALSE))</f>
        <v/>
      </c>
      <c r="D906" s="8" t="str">
        <f>IF(B906="","",VLOOKUP(B906,经纬!B:G,6,FALSE))</f>
        <v/>
      </c>
      <c r="F906" s="8" t="str">
        <f>IF(B906="","",VLOOKUP(B906,小圆机汇总表!A:AP,5,FALSE))</f>
        <v/>
      </c>
      <c r="G906" s="8" t="str">
        <f>IF(B906="","",VLOOKUP(B906,小圆机汇总表!A:AP,8,FALSE))</f>
        <v/>
      </c>
      <c r="J906" s="105" t="str">
        <f t="shared" si="58"/>
        <v/>
      </c>
      <c r="K906" s="105" t="str">
        <f t="shared" si="59"/>
        <v/>
      </c>
      <c r="L906" s="104" t="str">
        <f>IF(B906="","",VLOOKUP(B906&amp;F906&amp;H906,经纬!A:M,13,FALSE)*N906)</f>
        <v/>
      </c>
      <c r="M906" s="104" t="str">
        <f>IF(B906="","",VLOOKUP(B906&amp;F906&amp;H906,经纬!A:N,14,FALSE)*N906)</f>
        <v/>
      </c>
      <c r="P906" s="8" t="str">
        <f t="shared" si="57"/>
        <v/>
      </c>
      <c r="R906" s="250" t="str">
        <f t="shared" si="60"/>
        <v/>
      </c>
    </row>
    <row r="907" spans="1:18">
      <c r="A907" s="4">
        <v>916</v>
      </c>
      <c r="C907" s="8" t="str">
        <f>IF(B907="","",VLOOKUP(B907,经纬!B:C,2,FALSE))</f>
        <v/>
      </c>
      <c r="D907" s="8" t="str">
        <f>IF(B907="","",VLOOKUP(B907,经纬!B:G,6,FALSE))</f>
        <v/>
      </c>
      <c r="F907" s="8" t="str">
        <f>IF(B907="","",VLOOKUP(B907,小圆机汇总表!A:AP,5,FALSE))</f>
        <v/>
      </c>
      <c r="G907" s="8" t="str">
        <f>IF(B907="","",VLOOKUP(B907,小圆机汇总表!A:AP,8,FALSE))</f>
        <v/>
      </c>
      <c r="J907" s="105" t="str">
        <f t="shared" si="58"/>
        <v/>
      </c>
      <c r="K907" s="105" t="str">
        <f t="shared" si="59"/>
        <v/>
      </c>
      <c r="L907" s="104" t="str">
        <f>IF(B907="","",VLOOKUP(B907&amp;F907&amp;H907,经纬!A:M,13,FALSE)*N907)</f>
        <v/>
      </c>
      <c r="M907" s="104" t="str">
        <f>IF(B907="","",VLOOKUP(B907&amp;F907&amp;H907,经纬!A:N,14,FALSE)*N907)</f>
        <v/>
      </c>
      <c r="P907" s="8" t="str">
        <f t="shared" si="57"/>
        <v/>
      </c>
      <c r="R907" s="250" t="str">
        <f t="shared" si="60"/>
        <v/>
      </c>
    </row>
    <row r="908" spans="1:18">
      <c r="A908" s="4">
        <v>917</v>
      </c>
      <c r="C908" s="8" t="str">
        <f>IF(B908="","",VLOOKUP(B908,经纬!B:C,2,FALSE))</f>
        <v/>
      </c>
      <c r="D908" s="8" t="str">
        <f>IF(B908="","",VLOOKUP(B908,经纬!B:G,6,FALSE))</f>
        <v/>
      </c>
      <c r="F908" s="8" t="str">
        <f>IF(B908="","",VLOOKUP(B908,小圆机汇总表!A:AP,5,FALSE))</f>
        <v/>
      </c>
      <c r="G908" s="8" t="str">
        <f>IF(B908="","",VLOOKUP(B908,小圆机汇总表!A:AP,8,FALSE))</f>
        <v/>
      </c>
      <c r="J908" s="105" t="str">
        <f t="shared" si="58"/>
        <v/>
      </c>
      <c r="K908" s="105" t="str">
        <f t="shared" si="59"/>
        <v/>
      </c>
      <c r="L908" s="104" t="str">
        <f>IF(B908="","",VLOOKUP(B908&amp;F908&amp;H908,经纬!A:M,13,FALSE)*N908)</f>
        <v/>
      </c>
      <c r="M908" s="104" t="str">
        <f>IF(B908="","",VLOOKUP(B908&amp;F908&amp;H908,经纬!A:N,14,FALSE)*N908)</f>
        <v/>
      </c>
      <c r="P908" s="8" t="str">
        <f t="shared" si="57"/>
        <v/>
      </c>
      <c r="R908" s="250" t="str">
        <f t="shared" si="60"/>
        <v/>
      </c>
    </row>
    <row r="909" spans="1:18">
      <c r="A909" s="4">
        <v>918</v>
      </c>
      <c r="C909" s="8" t="str">
        <f>IF(B909="","",VLOOKUP(B909,经纬!B:C,2,FALSE))</f>
        <v/>
      </c>
      <c r="D909" s="8" t="str">
        <f>IF(B909="","",VLOOKUP(B909,经纬!B:G,6,FALSE))</f>
        <v/>
      </c>
      <c r="F909" s="8" t="str">
        <f>IF(B909="","",VLOOKUP(B909,小圆机汇总表!A:AP,5,FALSE))</f>
        <v/>
      </c>
      <c r="G909" s="8" t="str">
        <f>IF(B909="","",VLOOKUP(B909,小圆机汇总表!A:AP,8,FALSE))</f>
        <v/>
      </c>
      <c r="J909" s="105" t="str">
        <f t="shared" si="58"/>
        <v/>
      </c>
      <c r="K909" s="105" t="str">
        <f t="shared" si="59"/>
        <v/>
      </c>
      <c r="L909" s="104" t="str">
        <f>IF(B909="","",VLOOKUP(B909&amp;F909&amp;H909,经纬!A:M,13,FALSE)*N909)</f>
        <v/>
      </c>
      <c r="M909" s="104" t="str">
        <f>IF(B909="","",VLOOKUP(B909&amp;F909&amp;H909,经纬!A:N,14,FALSE)*N909)</f>
        <v/>
      </c>
      <c r="P909" s="8" t="str">
        <f t="shared" si="57"/>
        <v/>
      </c>
      <c r="R909" s="250" t="str">
        <f t="shared" si="60"/>
        <v/>
      </c>
    </row>
    <row r="910" spans="1:18">
      <c r="A910" s="4">
        <v>919</v>
      </c>
      <c r="C910" s="8" t="str">
        <f>IF(B910="","",VLOOKUP(B910,经纬!B:C,2,FALSE))</f>
        <v/>
      </c>
      <c r="D910" s="8" t="str">
        <f>IF(B910="","",VLOOKUP(B910,经纬!B:G,6,FALSE))</f>
        <v/>
      </c>
      <c r="F910" s="8" t="str">
        <f>IF(B910="","",VLOOKUP(B910,小圆机汇总表!A:AP,5,FALSE))</f>
        <v/>
      </c>
      <c r="G910" s="8" t="str">
        <f>IF(B910="","",VLOOKUP(B910,小圆机汇总表!A:AP,8,FALSE))</f>
        <v/>
      </c>
      <c r="P910" s="8" t="str">
        <f t="shared" si="57"/>
        <v/>
      </c>
      <c r="R910" s="250" t="str">
        <f t="shared" si="60"/>
        <v/>
      </c>
    </row>
    <row r="911" spans="1:18">
      <c r="A911" s="4">
        <v>920</v>
      </c>
      <c r="C911" s="8" t="str">
        <f>IF(B911="","",VLOOKUP(B911,经纬!B:C,2,FALSE))</f>
        <v/>
      </c>
      <c r="D911" s="8" t="str">
        <f>IF(B911="","",VLOOKUP(B911,经纬!B:G,6,FALSE))</f>
        <v/>
      </c>
      <c r="F911" s="8" t="str">
        <f>IF(B911="","",VLOOKUP(B911,小圆机汇总表!A:AP,5,FALSE))</f>
        <v/>
      </c>
      <c r="G911" s="8" t="str">
        <f>IF(B911="","",VLOOKUP(B911,小圆机汇总表!A:AP,8,FALSE))</f>
        <v/>
      </c>
      <c r="P911" s="8" t="str">
        <f t="shared" si="57"/>
        <v/>
      </c>
      <c r="R911" s="250" t="str">
        <f t="shared" si="60"/>
        <v/>
      </c>
    </row>
    <row r="912" spans="1:18">
      <c r="A912" s="4">
        <v>921</v>
      </c>
      <c r="C912" s="8" t="str">
        <f>IF(B912="","",VLOOKUP(B912,经纬!B:C,2,FALSE))</f>
        <v/>
      </c>
      <c r="D912" s="8" t="str">
        <f>IF(B912="","",VLOOKUP(B912,经纬!B:G,6,FALSE))</f>
        <v/>
      </c>
      <c r="F912" s="8" t="str">
        <f>IF(B912="","",VLOOKUP(B912,小圆机汇总表!A:AP,5,FALSE))</f>
        <v/>
      </c>
      <c r="G912" s="8" t="str">
        <f>IF(B912="","",VLOOKUP(B912,小圆机汇总表!A:AP,8,FALSE))</f>
        <v/>
      </c>
      <c r="P912" s="8" t="str">
        <f t="shared" si="57"/>
        <v/>
      </c>
      <c r="R912" s="250" t="str">
        <f t="shared" si="60"/>
        <v/>
      </c>
    </row>
    <row r="913" spans="1:18">
      <c r="A913" s="4">
        <v>922</v>
      </c>
      <c r="C913" s="8" t="str">
        <f>IF(B913="","",VLOOKUP(B913,经纬!B:C,2,FALSE))</f>
        <v/>
      </c>
      <c r="D913" s="8" t="str">
        <f>IF(B913="","",VLOOKUP(B913,经纬!B:G,6,FALSE))</f>
        <v/>
      </c>
      <c r="F913" s="8" t="str">
        <f>IF(B913="","",VLOOKUP(B913,小圆机汇总表!A:AP,5,FALSE))</f>
        <v/>
      </c>
      <c r="G913" s="8" t="str">
        <f>IF(B913="","",VLOOKUP(B913,小圆机汇总表!A:AP,8,FALSE))</f>
        <v/>
      </c>
      <c r="P913" s="8" t="str">
        <f t="shared" si="57"/>
        <v/>
      </c>
      <c r="R913" s="250" t="str">
        <f t="shared" si="60"/>
        <v/>
      </c>
    </row>
    <row r="914" spans="1:18">
      <c r="A914" s="4">
        <v>923</v>
      </c>
      <c r="C914" s="8" t="str">
        <f>IF(B914="","",VLOOKUP(B914,经纬!B:C,2,FALSE))</f>
        <v/>
      </c>
      <c r="D914" s="8" t="str">
        <f>IF(B914="","",VLOOKUP(B914,经纬!B:G,6,FALSE))</f>
        <v/>
      </c>
      <c r="F914" s="8" t="str">
        <f>IF(B914="","",VLOOKUP(B914,小圆机汇总表!A:AP,5,FALSE))</f>
        <v/>
      </c>
      <c r="G914" s="8" t="str">
        <f>IF(B914="","",VLOOKUP(B914,小圆机汇总表!A:AP,8,FALSE))</f>
        <v/>
      </c>
      <c r="P914" s="8" t="str">
        <f t="shared" si="57"/>
        <v/>
      </c>
      <c r="R914" s="250" t="str">
        <f t="shared" si="60"/>
        <v/>
      </c>
    </row>
    <row r="915" spans="1:18">
      <c r="A915" s="4">
        <v>924</v>
      </c>
      <c r="C915" s="8" t="str">
        <f>IF(B915="","",VLOOKUP(B915,经纬!B:C,2,FALSE))</f>
        <v/>
      </c>
      <c r="D915" s="8" t="str">
        <f>IF(B915="","",VLOOKUP(B915,经纬!B:G,6,FALSE))</f>
        <v/>
      </c>
      <c r="F915" s="8" t="str">
        <f>IF(B915="","",VLOOKUP(B915,小圆机汇总表!A:AP,5,FALSE))</f>
        <v/>
      </c>
      <c r="G915" s="8" t="str">
        <f>IF(B915="","",VLOOKUP(B915,小圆机汇总表!A:AP,8,FALSE))</f>
        <v/>
      </c>
      <c r="P915" s="8" t="str">
        <f t="shared" si="57"/>
        <v/>
      </c>
      <c r="R915" s="250" t="str">
        <f t="shared" si="60"/>
        <v/>
      </c>
    </row>
    <row r="916" spans="1:18">
      <c r="A916" s="4">
        <v>925</v>
      </c>
      <c r="C916" s="8" t="str">
        <f>IF(B916="","",VLOOKUP(B916,经纬!B:C,2,FALSE))</f>
        <v/>
      </c>
      <c r="D916" s="8" t="str">
        <f>IF(B916="","",VLOOKUP(B916,经纬!B:G,6,FALSE))</f>
        <v/>
      </c>
      <c r="F916" s="8" t="str">
        <f>IF(B916="","",VLOOKUP(B916,小圆机汇总表!A:AP,5,FALSE))</f>
        <v/>
      </c>
      <c r="G916" s="8" t="str">
        <f>IF(B916="","",VLOOKUP(B916,小圆机汇总表!A:AP,8,FALSE))</f>
        <v/>
      </c>
      <c r="P916" s="8" t="str">
        <f t="shared" si="57"/>
        <v/>
      </c>
      <c r="R916" s="250" t="str">
        <f t="shared" si="60"/>
        <v/>
      </c>
    </row>
    <row r="917" spans="1:18">
      <c r="A917" s="4">
        <v>926</v>
      </c>
      <c r="C917" s="8" t="str">
        <f>IF(B917="","",VLOOKUP(B917,经纬!B:C,2,FALSE))</f>
        <v/>
      </c>
      <c r="D917" s="8" t="str">
        <f>IF(B917="","",VLOOKUP(B917,经纬!B:G,6,FALSE))</f>
        <v/>
      </c>
      <c r="F917" s="8" t="str">
        <f>IF(B917="","",VLOOKUP(B917,小圆机汇总表!A:AP,5,FALSE))</f>
        <v/>
      </c>
      <c r="G917" s="8" t="str">
        <f>IF(B917="","",VLOOKUP(B917,小圆机汇总表!A:AP,8,FALSE))</f>
        <v/>
      </c>
      <c r="P917" s="8" t="str">
        <f t="shared" si="57"/>
        <v/>
      </c>
      <c r="R917" s="250" t="str">
        <f t="shared" si="60"/>
        <v/>
      </c>
    </row>
    <row r="918" spans="1:18">
      <c r="A918" s="4">
        <v>927</v>
      </c>
      <c r="C918" s="8" t="str">
        <f>IF(B918="","",VLOOKUP(B918,经纬!B:C,2,FALSE))</f>
        <v/>
      </c>
      <c r="D918" s="8" t="str">
        <f>IF(B918="","",VLOOKUP(B918,经纬!B:G,6,FALSE))</f>
        <v/>
      </c>
      <c r="F918" s="8" t="str">
        <f>IF(B918="","",VLOOKUP(B918,小圆机汇总表!A:AP,5,FALSE))</f>
        <v/>
      </c>
      <c r="G918" s="8" t="str">
        <f>IF(B918="","",VLOOKUP(B918,小圆机汇总表!A:AP,8,FALSE))</f>
        <v/>
      </c>
      <c r="P918" s="8" t="str">
        <f t="shared" si="57"/>
        <v/>
      </c>
      <c r="R918" s="250" t="str">
        <f t="shared" si="60"/>
        <v/>
      </c>
    </row>
    <row r="919" spans="1:18">
      <c r="A919" s="4">
        <v>928</v>
      </c>
      <c r="C919" s="8" t="str">
        <f>IF(B919="","",VLOOKUP(B919,经纬!B:C,2,FALSE))</f>
        <v/>
      </c>
      <c r="D919" s="8" t="str">
        <f>IF(B919="","",VLOOKUP(B919,经纬!B:G,6,FALSE))</f>
        <v/>
      </c>
      <c r="F919" s="8" t="str">
        <f>IF(B919="","",VLOOKUP(B919,小圆机汇总表!A:AP,5,FALSE))</f>
        <v/>
      </c>
      <c r="G919" s="8" t="str">
        <f>IF(B919="","",VLOOKUP(B919,小圆机汇总表!A:AP,8,FALSE))</f>
        <v/>
      </c>
      <c r="P919" s="8" t="str">
        <f t="shared" si="57"/>
        <v/>
      </c>
      <c r="R919" s="250" t="str">
        <f t="shared" si="60"/>
        <v/>
      </c>
    </row>
    <row r="920" spans="1:18">
      <c r="A920" s="4">
        <v>929</v>
      </c>
      <c r="C920" s="8" t="str">
        <f>IF(B920="","",VLOOKUP(B920,经纬!B:C,2,FALSE))</f>
        <v/>
      </c>
      <c r="D920" s="8" t="str">
        <f>IF(B920="","",VLOOKUP(B920,经纬!B:G,6,FALSE))</f>
        <v/>
      </c>
      <c r="F920" s="8" t="str">
        <f>IF(B920="","",VLOOKUP(B920,小圆机汇总表!A:AP,5,FALSE))</f>
        <v/>
      </c>
      <c r="G920" s="8" t="str">
        <f>IF(B920="","",VLOOKUP(B920,小圆机汇总表!A:AP,8,FALSE))</f>
        <v/>
      </c>
      <c r="P920" s="8" t="str">
        <f t="shared" si="57"/>
        <v/>
      </c>
      <c r="R920" s="250" t="str">
        <f t="shared" si="60"/>
        <v/>
      </c>
    </row>
    <row r="921" spans="1:18">
      <c r="A921" s="4">
        <v>930</v>
      </c>
      <c r="C921" s="8" t="str">
        <f>IF(B921="","",VLOOKUP(B921,经纬!B:C,2,FALSE))</f>
        <v/>
      </c>
      <c r="D921" s="8" t="str">
        <f>IF(B921="","",VLOOKUP(B921,经纬!B:G,6,FALSE))</f>
        <v/>
      </c>
      <c r="F921" s="8" t="str">
        <f>IF(B921="","",VLOOKUP(B921,小圆机汇总表!A:AP,5,FALSE))</f>
        <v/>
      </c>
      <c r="G921" s="8" t="str">
        <f>IF(B921="","",VLOOKUP(B921,小圆机汇总表!A:AP,8,FALSE))</f>
        <v/>
      </c>
      <c r="P921" s="8" t="str">
        <f t="shared" si="57"/>
        <v/>
      </c>
      <c r="R921" s="250" t="str">
        <f t="shared" si="60"/>
        <v/>
      </c>
    </row>
    <row r="922" spans="1:18">
      <c r="A922" s="4">
        <v>931</v>
      </c>
      <c r="C922" s="8" t="str">
        <f>IF(B922="","",VLOOKUP(B922,经纬!B:C,2,FALSE))</f>
        <v/>
      </c>
      <c r="D922" s="8" t="str">
        <f>IF(B922="","",VLOOKUP(B922,经纬!B:G,6,FALSE))</f>
        <v/>
      </c>
      <c r="F922" s="8" t="str">
        <f>IF(B922="","",VLOOKUP(B922,小圆机汇总表!A:AP,5,FALSE))</f>
        <v/>
      </c>
      <c r="G922" s="8" t="str">
        <f>IF(B922="","",VLOOKUP(B922,小圆机汇总表!A:AP,8,FALSE))</f>
        <v/>
      </c>
      <c r="P922" s="8" t="str">
        <f t="shared" ref="P922:P985" si="61">IF(B922="","",MONTH(I922))</f>
        <v/>
      </c>
      <c r="R922" s="250" t="str">
        <f t="shared" si="60"/>
        <v/>
      </c>
    </row>
    <row r="923" spans="1:18">
      <c r="A923" s="4">
        <v>932</v>
      </c>
      <c r="C923" s="8" t="str">
        <f>IF(B923="","",VLOOKUP(B923,经纬!B:C,2,FALSE))</f>
        <v/>
      </c>
      <c r="D923" s="8" t="str">
        <f>IF(B923="","",VLOOKUP(B923,经纬!B:G,6,FALSE))</f>
        <v/>
      </c>
      <c r="F923" s="8" t="str">
        <f>IF(B923="","",VLOOKUP(B923,小圆机汇总表!A:AP,5,FALSE))</f>
        <v/>
      </c>
      <c r="G923" s="8" t="str">
        <f>IF(B923="","",VLOOKUP(B923,小圆机汇总表!A:AP,8,FALSE))</f>
        <v/>
      </c>
      <c r="P923" s="8" t="str">
        <f t="shared" si="61"/>
        <v/>
      </c>
      <c r="R923" s="250" t="str">
        <f t="shared" si="60"/>
        <v/>
      </c>
    </row>
    <row r="924" spans="1:18">
      <c r="A924" s="4">
        <v>933</v>
      </c>
      <c r="C924" s="8" t="str">
        <f>IF(B924="","",VLOOKUP(B924,经纬!B:C,2,FALSE))</f>
        <v/>
      </c>
      <c r="D924" s="8" t="str">
        <f>IF(B924="","",VLOOKUP(B924,经纬!B:G,6,FALSE))</f>
        <v/>
      </c>
      <c r="F924" s="8" t="str">
        <f>IF(B924="","",VLOOKUP(B924,小圆机汇总表!A:AP,5,FALSE))</f>
        <v/>
      </c>
      <c r="G924" s="8" t="str">
        <f>IF(B924="","",VLOOKUP(B924,小圆机汇总表!A:AP,8,FALSE))</f>
        <v/>
      </c>
      <c r="P924" s="8" t="str">
        <f t="shared" si="61"/>
        <v/>
      </c>
      <c r="R924" s="250" t="str">
        <f t="shared" si="60"/>
        <v/>
      </c>
    </row>
    <row r="925" spans="1:18">
      <c r="A925" s="4">
        <v>934</v>
      </c>
      <c r="C925" s="8" t="str">
        <f>IF(B925="","",VLOOKUP(B925,经纬!B:C,2,FALSE))</f>
        <v/>
      </c>
      <c r="D925" s="8" t="str">
        <f>IF(B925="","",VLOOKUP(B925,经纬!B:G,6,FALSE))</f>
        <v/>
      </c>
      <c r="F925" s="8" t="str">
        <f>IF(B925="","",VLOOKUP(B925,小圆机汇总表!A:AP,5,FALSE))</f>
        <v/>
      </c>
      <c r="G925" s="8" t="str">
        <f>IF(B925="","",VLOOKUP(B925,小圆机汇总表!A:AP,8,FALSE))</f>
        <v/>
      </c>
      <c r="P925" s="8" t="str">
        <f t="shared" si="61"/>
        <v/>
      </c>
      <c r="R925" s="250" t="str">
        <f t="shared" si="60"/>
        <v/>
      </c>
    </row>
    <row r="926" spans="1:18">
      <c r="A926" s="4">
        <v>935</v>
      </c>
      <c r="C926" s="8" t="str">
        <f>IF(B926="","",VLOOKUP(B926,经纬!B:C,2,FALSE))</f>
        <v/>
      </c>
      <c r="D926" s="8" t="str">
        <f>IF(B926="","",VLOOKUP(B926,经纬!B:G,6,FALSE))</f>
        <v/>
      </c>
      <c r="F926" s="8" t="str">
        <f>IF(B926="","",VLOOKUP(B926,小圆机汇总表!A:AP,5,FALSE))</f>
        <v/>
      </c>
      <c r="G926" s="8" t="str">
        <f>IF(B926="","",VLOOKUP(B926,小圆机汇总表!A:AP,8,FALSE))</f>
        <v/>
      </c>
      <c r="P926" s="8" t="str">
        <f t="shared" si="61"/>
        <v/>
      </c>
      <c r="R926" s="250" t="str">
        <f t="shared" si="60"/>
        <v/>
      </c>
    </row>
    <row r="927" spans="1:18">
      <c r="A927" s="4">
        <v>936</v>
      </c>
      <c r="C927" s="8" t="str">
        <f>IF(B927="","",VLOOKUP(B927,经纬!B:C,2,FALSE))</f>
        <v/>
      </c>
      <c r="D927" s="8" t="str">
        <f>IF(B927="","",VLOOKUP(B927,经纬!B:G,6,FALSE))</f>
        <v/>
      </c>
      <c r="F927" s="8" t="str">
        <f>IF(B927="","",VLOOKUP(B927,小圆机汇总表!A:AP,5,FALSE))</f>
        <v/>
      </c>
      <c r="G927" s="8" t="str">
        <f>IF(B927="","",VLOOKUP(B927,小圆机汇总表!A:AP,8,FALSE))</f>
        <v/>
      </c>
      <c r="P927" s="8" t="str">
        <f t="shared" si="61"/>
        <v/>
      </c>
      <c r="R927" s="250" t="str">
        <f t="shared" si="60"/>
        <v/>
      </c>
    </row>
    <row r="928" spans="1:18">
      <c r="A928" s="4">
        <v>937</v>
      </c>
      <c r="C928" s="8" t="str">
        <f>IF(B928="","",VLOOKUP(B928,经纬!B:C,2,FALSE))</f>
        <v/>
      </c>
      <c r="D928" s="8" t="str">
        <f>IF(B928="","",VLOOKUP(B928,经纬!B:G,6,FALSE))</f>
        <v/>
      </c>
      <c r="F928" s="8" t="str">
        <f>IF(B928="","",VLOOKUP(B928,小圆机汇总表!A:AP,5,FALSE))</f>
        <v/>
      </c>
      <c r="G928" s="8" t="str">
        <f>IF(B928="","",VLOOKUP(B928,小圆机汇总表!A:AP,8,FALSE))</f>
        <v/>
      </c>
      <c r="P928" s="8" t="str">
        <f t="shared" si="61"/>
        <v/>
      </c>
      <c r="R928" s="250" t="str">
        <f t="shared" si="60"/>
        <v/>
      </c>
    </row>
    <row r="929" spans="1:18">
      <c r="A929" s="4">
        <v>938</v>
      </c>
      <c r="C929" s="8" t="str">
        <f>IF(B929="","",VLOOKUP(B929,经纬!B:C,2,FALSE))</f>
        <v/>
      </c>
      <c r="D929" s="8" t="str">
        <f>IF(B929="","",VLOOKUP(B929,经纬!B:G,6,FALSE))</f>
        <v/>
      </c>
      <c r="F929" s="8" t="str">
        <f>IF(B929="","",VLOOKUP(B929,小圆机汇总表!A:AP,5,FALSE))</f>
        <v/>
      </c>
      <c r="G929" s="8" t="str">
        <f>IF(B929="","",VLOOKUP(B929,小圆机汇总表!A:AP,8,FALSE))</f>
        <v/>
      </c>
      <c r="P929" s="8" t="str">
        <f t="shared" si="61"/>
        <v/>
      </c>
      <c r="R929" s="250" t="str">
        <f t="shared" si="60"/>
        <v/>
      </c>
    </row>
    <row r="930" spans="1:18">
      <c r="A930" s="4">
        <v>939</v>
      </c>
      <c r="C930" s="8" t="str">
        <f>IF(B930="","",VLOOKUP(B930,经纬!B:C,2,FALSE))</f>
        <v/>
      </c>
      <c r="D930" s="8" t="str">
        <f>IF(B930="","",VLOOKUP(B930,经纬!B:G,6,FALSE))</f>
        <v/>
      </c>
      <c r="F930" s="8" t="str">
        <f>IF(B930="","",VLOOKUP(B930,小圆机汇总表!A:AP,5,FALSE))</f>
        <v/>
      </c>
      <c r="G930" s="8" t="str">
        <f>IF(B930="","",VLOOKUP(B930,小圆机汇总表!A:AP,8,FALSE))</f>
        <v/>
      </c>
      <c r="P930" s="8" t="str">
        <f t="shared" si="61"/>
        <v/>
      </c>
      <c r="R930" s="250" t="str">
        <f t="shared" si="60"/>
        <v/>
      </c>
    </row>
    <row r="931" spans="1:18">
      <c r="A931" s="4">
        <v>940</v>
      </c>
      <c r="C931" s="8" t="str">
        <f>IF(B931="","",VLOOKUP(B931,经纬!B:C,2,FALSE))</f>
        <v/>
      </c>
      <c r="D931" s="8" t="str">
        <f>IF(B931="","",VLOOKUP(B931,经纬!B:G,6,FALSE))</f>
        <v/>
      </c>
      <c r="F931" s="8" t="str">
        <f>IF(B931="","",VLOOKUP(B931,小圆机汇总表!A:AP,5,FALSE))</f>
        <v/>
      </c>
      <c r="G931" s="8" t="str">
        <f>IF(B931="","",VLOOKUP(B931,小圆机汇总表!A:AP,8,FALSE))</f>
        <v/>
      </c>
      <c r="P931" s="8" t="str">
        <f t="shared" si="61"/>
        <v/>
      </c>
      <c r="R931" s="250" t="str">
        <f t="shared" si="60"/>
        <v/>
      </c>
    </row>
    <row r="932" spans="1:18">
      <c r="A932" s="4">
        <v>941</v>
      </c>
      <c r="C932" s="8" t="str">
        <f>IF(B932="","",VLOOKUP(B932,经纬!B:C,2,FALSE))</f>
        <v/>
      </c>
      <c r="D932" s="8" t="str">
        <f>IF(B932="","",VLOOKUP(B932,经纬!B:G,6,FALSE))</f>
        <v/>
      </c>
      <c r="F932" s="8" t="str">
        <f>IF(B932="","",VLOOKUP(B932,小圆机汇总表!A:AP,5,FALSE))</f>
        <v/>
      </c>
      <c r="G932" s="8" t="str">
        <f>IF(B932="","",VLOOKUP(B932,小圆机汇总表!A:AP,8,FALSE))</f>
        <v/>
      </c>
      <c r="P932" s="8" t="str">
        <f t="shared" si="61"/>
        <v/>
      </c>
      <c r="R932" s="250" t="str">
        <f t="shared" si="60"/>
        <v/>
      </c>
    </row>
    <row r="933" spans="1:18">
      <c r="A933" s="4">
        <v>942</v>
      </c>
      <c r="C933" s="8" t="str">
        <f>IF(B933="","",VLOOKUP(B933,经纬!B:C,2,FALSE))</f>
        <v/>
      </c>
      <c r="D933" s="8" t="str">
        <f>IF(B933="","",VLOOKUP(B933,经纬!B:G,6,FALSE))</f>
        <v/>
      </c>
      <c r="F933" s="8" t="str">
        <f>IF(B933="","",VLOOKUP(B933,小圆机汇总表!A:AP,5,FALSE))</f>
        <v/>
      </c>
      <c r="G933" s="8" t="str">
        <f>IF(B933="","",VLOOKUP(B933,小圆机汇总表!A:AP,8,FALSE))</f>
        <v/>
      </c>
      <c r="P933" s="8" t="str">
        <f t="shared" si="61"/>
        <v/>
      </c>
      <c r="R933" s="250" t="str">
        <f t="shared" si="60"/>
        <v/>
      </c>
    </row>
    <row r="934" spans="1:18">
      <c r="A934" s="4">
        <v>943</v>
      </c>
      <c r="C934" s="8" t="str">
        <f>IF(B934="","",VLOOKUP(B934,经纬!B:C,2,FALSE))</f>
        <v/>
      </c>
      <c r="D934" s="8" t="str">
        <f>IF(B934="","",VLOOKUP(B934,经纬!B:G,6,FALSE))</f>
        <v/>
      </c>
      <c r="F934" s="8" t="str">
        <f>IF(B934="","",VLOOKUP(B934,小圆机汇总表!A:AP,5,FALSE))</f>
        <v/>
      </c>
      <c r="G934" s="8" t="str">
        <f>IF(B934="","",VLOOKUP(B934,小圆机汇总表!A:AP,8,FALSE))</f>
        <v/>
      </c>
      <c r="P934" s="8" t="str">
        <f t="shared" si="61"/>
        <v/>
      </c>
      <c r="R934" s="250" t="str">
        <f t="shared" si="60"/>
        <v/>
      </c>
    </row>
    <row r="935" spans="1:18">
      <c r="A935" s="4">
        <v>944</v>
      </c>
      <c r="C935" s="8" t="str">
        <f>IF(B935="","",VLOOKUP(B935,经纬!B:C,2,FALSE))</f>
        <v/>
      </c>
      <c r="D935" s="8" t="str">
        <f>IF(B935="","",VLOOKUP(B935,经纬!B:G,6,FALSE))</f>
        <v/>
      </c>
      <c r="F935" s="8" t="str">
        <f>IF(B935="","",VLOOKUP(B935,小圆机汇总表!A:AP,5,FALSE))</f>
        <v/>
      </c>
      <c r="G935" s="8" t="str">
        <f>IF(B935="","",VLOOKUP(B935,小圆机汇总表!A:AP,8,FALSE))</f>
        <v/>
      </c>
      <c r="P935" s="8" t="str">
        <f t="shared" si="61"/>
        <v/>
      </c>
      <c r="R935" s="250" t="str">
        <f t="shared" si="60"/>
        <v/>
      </c>
    </row>
    <row r="936" spans="1:18">
      <c r="A936" s="4">
        <v>945</v>
      </c>
      <c r="C936" s="8" t="str">
        <f>IF(B936="","",VLOOKUP(B936,经纬!B:C,2,FALSE))</f>
        <v/>
      </c>
      <c r="D936" s="8" t="str">
        <f>IF(B936="","",VLOOKUP(B936,经纬!B:G,6,FALSE))</f>
        <v/>
      </c>
      <c r="F936" s="8" t="str">
        <f>IF(B936="","",VLOOKUP(B936,小圆机汇总表!A:AP,5,FALSE))</f>
        <v/>
      </c>
      <c r="G936" s="8" t="str">
        <f>IF(B936="","",VLOOKUP(B936,小圆机汇总表!A:AP,8,FALSE))</f>
        <v/>
      </c>
      <c r="P936" s="8" t="str">
        <f t="shared" si="61"/>
        <v/>
      </c>
      <c r="R936" s="250" t="str">
        <f t="shared" si="60"/>
        <v/>
      </c>
    </row>
    <row r="937" spans="1:18">
      <c r="A937" s="4">
        <v>946</v>
      </c>
      <c r="C937" s="8" t="str">
        <f>IF(B937="","",VLOOKUP(B937,经纬!B:C,2,FALSE))</f>
        <v/>
      </c>
      <c r="D937" s="8" t="str">
        <f>IF(B937="","",VLOOKUP(B937,经纬!B:G,6,FALSE))</f>
        <v/>
      </c>
      <c r="F937" s="8" t="str">
        <f>IF(B937="","",VLOOKUP(B937,小圆机汇总表!A:AP,5,FALSE))</f>
        <v/>
      </c>
      <c r="G937" s="8" t="str">
        <f>IF(B937="","",VLOOKUP(B937,小圆机汇总表!A:AP,8,FALSE))</f>
        <v/>
      </c>
      <c r="P937" s="8" t="str">
        <f t="shared" si="61"/>
        <v/>
      </c>
      <c r="R937" s="250" t="str">
        <f t="shared" si="60"/>
        <v/>
      </c>
    </row>
    <row r="938" spans="1:18">
      <c r="A938" s="4">
        <v>947</v>
      </c>
      <c r="C938" s="8" t="str">
        <f>IF(B938="","",VLOOKUP(B938,经纬!B:C,2,FALSE))</f>
        <v/>
      </c>
      <c r="D938" s="8" t="str">
        <f>IF(B938="","",VLOOKUP(B938,经纬!B:G,6,FALSE))</f>
        <v/>
      </c>
      <c r="F938" s="8" t="str">
        <f>IF(B938="","",VLOOKUP(B938,小圆机汇总表!A:AP,5,FALSE))</f>
        <v/>
      </c>
      <c r="G938" s="8" t="str">
        <f>IF(B938="","",VLOOKUP(B938,小圆机汇总表!A:AP,8,FALSE))</f>
        <v/>
      </c>
      <c r="P938" s="8" t="str">
        <f t="shared" si="61"/>
        <v/>
      </c>
      <c r="R938" s="250" t="str">
        <f t="shared" si="60"/>
        <v/>
      </c>
    </row>
    <row r="939" spans="1:18">
      <c r="A939" s="4">
        <v>948</v>
      </c>
      <c r="C939" s="8" t="str">
        <f>IF(B939="","",VLOOKUP(B939,经纬!B:C,2,FALSE))</f>
        <v/>
      </c>
      <c r="D939" s="8" t="str">
        <f>IF(B939="","",VLOOKUP(B939,经纬!B:G,6,FALSE))</f>
        <v/>
      </c>
      <c r="F939" s="8" t="str">
        <f>IF(B939="","",VLOOKUP(B939,小圆机汇总表!A:AP,5,FALSE))</f>
        <v/>
      </c>
      <c r="G939" s="8" t="str">
        <f>IF(B939="","",VLOOKUP(B939,小圆机汇总表!A:AP,8,FALSE))</f>
        <v/>
      </c>
      <c r="P939" s="8" t="str">
        <f t="shared" si="61"/>
        <v/>
      </c>
      <c r="R939" s="250" t="str">
        <f t="shared" si="60"/>
        <v/>
      </c>
    </row>
    <row r="940" spans="1:18">
      <c r="A940" s="4">
        <v>949</v>
      </c>
      <c r="C940" s="8" t="str">
        <f>IF(B940="","",VLOOKUP(B940,经纬!B:C,2,FALSE))</f>
        <v/>
      </c>
      <c r="D940" s="8" t="str">
        <f>IF(B940="","",VLOOKUP(B940,经纬!B:G,6,FALSE))</f>
        <v/>
      </c>
      <c r="F940" s="8" t="str">
        <f>IF(B940="","",VLOOKUP(B940,小圆机汇总表!A:AP,5,FALSE))</f>
        <v/>
      </c>
      <c r="G940" s="8" t="str">
        <f>IF(B940="","",VLOOKUP(B940,小圆机汇总表!A:AP,8,FALSE))</f>
        <v/>
      </c>
      <c r="P940" s="8" t="str">
        <f t="shared" si="61"/>
        <v/>
      </c>
      <c r="R940" s="250" t="str">
        <f t="shared" si="60"/>
        <v/>
      </c>
    </row>
    <row r="941" spans="1:18">
      <c r="A941" s="4">
        <v>950</v>
      </c>
      <c r="C941" s="8" t="str">
        <f>IF(B941="","",VLOOKUP(B941,经纬!B:C,2,FALSE))</f>
        <v/>
      </c>
      <c r="D941" s="8" t="str">
        <f>IF(B941="","",VLOOKUP(B941,经纬!B:G,6,FALSE))</f>
        <v/>
      </c>
      <c r="F941" s="8" t="str">
        <f>IF(B941="","",VLOOKUP(B941,小圆机汇总表!A:AP,5,FALSE))</f>
        <v/>
      </c>
      <c r="G941" s="8" t="str">
        <f>IF(B941="","",VLOOKUP(B941,小圆机汇总表!A:AP,8,FALSE))</f>
        <v/>
      </c>
      <c r="P941" s="8" t="str">
        <f t="shared" si="61"/>
        <v/>
      </c>
      <c r="R941" s="250" t="str">
        <f t="shared" si="60"/>
        <v/>
      </c>
    </row>
    <row r="942" spans="1:18">
      <c r="A942" s="4">
        <v>951</v>
      </c>
      <c r="C942" s="8" t="str">
        <f>IF(B942="","",VLOOKUP(B942,经纬!B:C,2,FALSE))</f>
        <v/>
      </c>
      <c r="D942" s="8" t="str">
        <f>IF(B942="","",VLOOKUP(B942,经纬!B:G,6,FALSE))</f>
        <v/>
      </c>
      <c r="F942" s="8" t="str">
        <f>IF(B942="","",VLOOKUP(B942,小圆机汇总表!A:AP,5,FALSE))</f>
        <v/>
      </c>
      <c r="G942" s="8" t="str">
        <f>IF(B942="","",VLOOKUP(B942,小圆机汇总表!A:AP,8,FALSE))</f>
        <v/>
      </c>
      <c r="P942" s="8" t="str">
        <f t="shared" si="61"/>
        <v/>
      </c>
      <c r="R942" s="250" t="str">
        <f t="shared" si="60"/>
        <v/>
      </c>
    </row>
    <row r="943" spans="1:18">
      <c r="A943" s="4">
        <v>952</v>
      </c>
      <c r="C943" s="8" t="str">
        <f>IF(B943="","",VLOOKUP(B943,经纬!B:C,2,FALSE))</f>
        <v/>
      </c>
      <c r="D943" s="8" t="str">
        <f>IF(B943="","",VLOOKUP(B943,经纬!B:G,6,FALSE))</f>
        <v/>
      </c>
      <c r="F943" s="8" t="str">
        <f>IF(B943="","",VLOOKUP(B943,小圆机汇总表!A:AP,5,FALSE))</f>
        <v/>
      </c>
      <c r="G943" s="8" t="str">
        <f>IF(B943="","",VLOOKUP(B943,小圆机汇总表!A:AP,8,FALSE))</f>
        <v/>
      </c>
      <c r="P943" s="8" t="str">
        <f t="shared" si="61"/>
        <v/>
      </c>
      <c r="R943" s="250" t="str">
        <f t="shared" si="60"/>
        <v/>
      </c>
    </row>
    <row r="944" spans="1:18">
      <c r="A944" s="4">
        <v>953</v>
      </c>
      <c r="C944" s="8" t="str">
        <f>IF(B944="","",VLOOKUP(B944,经纬!B:C,2,FALSE))</f>
        <v/>
      </c>
      <c r="D944" s="8" t="str">
        <f>IF(B944="","",VLOOKUP(B944,经纬!B:G,6,FALSE))</f>
        <v/>
      </c>
      <c r="F944" s="8" t="str">
        <f>IF(B944="","",VLOOKUP(B944,小圆机汇总表!A:AP,5,FALSE))</f>
        <v/>
      </c>
      <c r="G944" s="8" t="str">
        <f>IF(B944="","",VLOOKUP(B944,小圆机汇总表!A:AP,8,FALSE))</f>
        <v/>
      </c>
      <c r="P944" s="8" t="str">
        <f t="shared" si="61"/>
        <v/>
      </c>
      <c r="R944" s="250" t="str">
        <f t="shared" si="60"/>
        <v/>
      </c>
    </row>
    <row r="945" spans="1:18">
      <c r="A945" s="4">
        <v>954</v>
      </c>
      <c r="C945" s="8" t="str">
        <f>IF(B945="","",VLOOKUP(B945,经纬!B:C,2,FALSE))</f>
        <v/>
      </c>
      <c r="D945" s="8" t="str">
        <f>IF(B945="","",VLOOKUP(B945,经纬!B:G,6,FALSE))</f>
        <v/>
      </c>
      <c r="F945" s="8" t="str">
        <f>IF(B945="","",VLOOKUP(B945,小圆机汇总表!A:AP,5,FALSE))</f>
        <v/>
      </c>
      <c r="G945" s="8" t="str">
        <f>IF(B945="","",VLOOKUP(B945,小圆机汇总表!A:AP,8,FALSE))</f>
        <v/>
      </c>
      <c r="P945" s="8" t="str">
        <f t="shared" si="61"/>
        <v/>
      </c>
      <c r="R945" s="250" t="str">
        <f t="shared" si="60"/>
        <v/>
      </c>
    </row>
    <row r="946" spans="1:18">
      <c r="A946" s="4">
        <v>955</v>
      </c>
      <c r="C946" s="8" t="str">
        <f>IF(B946="","",VLOOKUP(B946,经纬!B:C,2,FALSE))</f>
        <v/>
      </c>
      <c r="D946" s="8" t="str">
        <f>IF(B946="","",VLOOKUP(B946,经纬!B:G,6,FALSE))</f>
        <v/>
      </c>
      <c r="F946" s="8" t="str">
        <f>IF(B946="","",VLOOKUP(B946,小圆机汇总表!A:AP,5,FALSE))</f>
        <v/>
      </c>
      <c r="G946" s="8" t="str">
        <f>IF(B946="","",VLOOKUP(B946,小圆机汇总表!A:AP,8,FALSE))</f>
        <v/>
      </c>
      <c r="P946" s="8" t="str">
        <f t="shared" si="61"/>
        <v/>
      </c>
      <c r="R946" s="250" t="str">
        <f t="shared" si="60"/>
        <v/>
      </c>
    </row>
    <row r="947" spans="1:18">
      <c r="A947" s="4">
        <v>956</v>
      </c>
      <c r="C947" s="8" t="str">
        <f>IF(B947="","",VLOOKUP(B947,经纬!B:C,2,FALSE))</f>
        <v/>
      </c>
      <c r="D947" s="8" t="str">
        <f>IF(B947="","",VLOOKUP(B947,经纬!B:G,6,FALSE))</f>
        <v/>
      </c>
      <c r="F947" s="8" t="str">
        <f>IF(B947="","",VLOOKUP(B947,小圆机汇总表!A:AP,5,FALSE))</f>
        <v/>
      </c>
      <c r="G947" s="8" t="str">
        <f>IF(B947="","",VLOOKUP(B947,小圆机汇总表!A:AP,8,FALSE))</f>
        <v/>
      </c>
      <c r="P947" s="8" t="str">
        <f t="shared" si="61"/>
        <v/>
      </c>
      <c r="R947" s="250" t="str">
        <f t="shared" si="60"/>
        <v/>
      </c>
    </row>
    <row r="948" spans="1:18">
      <c r="A948" s="4">
        <v>957</v>
      </c>
      <c r="C948" s="8" t="str">
        <f>IF(B948="","",VLOOKUP(B948,经纬!B:C,2,FALSE))</f>
        <v/>
      </c>
      <c r="D948" s="8" t="str">
        <f>IF(B948="","",VLOOKUP(B948,经纬!B:G,6,FALSE))</f>
        <v/>
      </c>
      <c r="F948" s="8" t="str">
        <f>IF(B948="","",VLOOKUP(B948,小圆机汇总表!A:AP,5,FALSE))</f>
        <v/>
      </c>
      <c r="G948" s="8" t="str">
        <f>IF(B948="","",VLOOKUP(B948,小圆机汇总表!A:AP,8,FALSE))</f>
        <v/>
      </c>
      <c r="P948" s="8" t="str">
        <f t="shared" si="61"/>
        <v/>
      </c>
      <c r="R948" s="250" t="str">
        <f t="shared" si="60"/>
        <v/>
      </c>
    </row>
    <row r="949" spans="1:18">
      <c r="A949" s="4">
        <v>958</v>
      </c>
      <c r="C949" s="8" t="str">
        <f>IF(B949="","",VLOOKUP(B949,经纬!B:C,2,FALSE))</f>
        <v/>
      </c>
      <c r="D949" s="8" t="str">
        <f>IF(B949="","",VLOOKUP(B949,经纬!B:G,6,FALSE))</f>
        <v/>
      </c>
      <c r="F949" s="8" t="str">
        <f>IF(B949="","",VLOOKUP(B949,小圆机汇总表!A:AP,5,FALSE))</f>
        <v/>
      </c>
      <c r="G949" s="8" t="str">
        <f>IF(B949="","",VLOOKUP(B949,小圆机汇总表!A:AP,8,FALSE))</f>
        <v/>
      </c>
      <c r="P949" s="8" t="str">
        <f t="shared" si="61"/>
        <v/>
      </c>
      <c r="R949" s="250" t="str">
        <f t="shared" si="60"/>
        <v/>
      </c>
    </row>
    <row r="950" spans="1:18">
      <c r="A950" s="4">
        <v>959</v>
      </c>
      <c r="C950" s="8" t="str">
        <f>IF(B950="","",VLOOKUP(B950,经纬!B:C,2,FALSE))</f>
        <v/>
      </c>
      <c r="D950" s="8" t="str">
        <f>IF(B950="","",VLOOKUP(B950,经纬!B:G,6,FALSE))</f>
        <v/>
      </c>
      <c r="F950" s="8" t="str">
        <f>IF(B950="","",VLOOKUP(B950,小圆机汇总表!A:AP,5,FALSE))</f>
        <v/>
      </c>
      <c r="G950" s="8" t="str">
        <f>IF(B950="","",VLOOKUP(B950,小圆机汇总表!A:AP,8,FALSE))</f>
        <v/>
      </c>
      <c r="P950" s="8" t="str">
        <f t="shared" si="61"/>
        <v/>
      </c>
      <c r="R950" s="250" t="str">
        <f t="shared" si="60"/>
        <v/>
      </c>
    </row>
    <row r="951" spans="1:18">
      <c r="A951" s="4">
        <v>960</v>
      </c>
      <c r="C951" s="8" t="str">
        <f>IF(B951="","",VLOOKUP(B951,经纬!B:C,2,FALSE))</f>
        <v/>
      </c>
      <c r="D951" s="8" t="str">
        <f>IF(B951="","",VLOOKUP(B951,经纬!B:G,6,FALSE))</f>
        <v/>
      </c>
      <c r="F951" s="8" t="str">
        <f>IF(B951="","",VLOOKUP(B951,小圆机汇总表!A:AP,5,FALSE))</f>
        <v/>
      </c>
      <c r="G951" s="8" t="str">
        <f>IF(B951="","",VLOOKUP(B951,小圆机汇总表!A:AP,8,FALSE))</f>
        <v/>
      </c>
      <c r="P951" s="8" t="str">
        <f t="shared" si="61"/>
        <v/>
      </c>
      <c r="R951" s="250" t="str">
        <f t="shared" si="60"/>
        <v/>
      </c>
    </row>
    <row r="952" spans="1:18">
      <c r="A952" s="4">
        <v>961</v>
      </c>
      <c r="C952" s="8" t="str">
        <f>IF(B952="","",VLOOKUP(B952,经纬!B:C,2,FALSE))</f>
        <v/>
      </c>
      <c r="D952" s="8" t="str">
        <f>IF(B952="","",VLOOKUP(B952,经纬!B:G,6,FALSE))</f>
        <v/>
      </c>
      <c r="F952" s="8" t="str">
        <f>IF(B952="","",VLOOKUP(B952,小圆机汇总表!A:AP,5,FALSE))</f>
        <v/>
      </c>
      <c r="G952" s="8" t="str">
        <f>IF(B952="","",VLOOKUP(B952,小圆机汇总表!A:AP,8,FALSE))</f>
        <v/>
      </c>
      <c r="P952" s="8" t="str">
        <f t="shared" si="61"/>
        <v/>
      </c>
      <c r="R952" s="250" t="str">
        <f t="shared" si="60"/>
        <v/>
      </c>
    </row>
    <row r="953" spans="1:18">
      <c r="A953" s="4">
        <v>962</v>
      </c>
      <c r="C953" s="8" t="str">
        <f>IF(B953="","",VLOOKUP(B953,经纬!B:C,2,FALSE))</f>
        <v/>
      </c>
      <c r="D953" s="8" t="str">
        <f>IF(B953="","",VLOOKUP(B953,经纬!B:G,6,FALSE))</f>
        <v/>
      </c>
      <c r="F953" s="8" t="str">
        <f>IF(B953="","",VLOOKUP(B953,小圆机汇总表!A:AP,5,FALSE))</f>
        <v/>
      </c>
      <c r="G953" s="8" t="str">
        <f>IF(B953="","",VLOOKUP(B953,小圆机汇总表!A:AP,8,FALSE))</f>
        <v/>
      </c>
      <c r="P953" s="8" t="str">
        <f t="shared" si="61"/>
        <v/>
      </c>
      <c r="R953" s="250" t="str">
        <f t="shared" si="60"/>
        <v/>
      </c>
    </row>
    <row r="954" spans="1:18">
      <c r="A954" s="4">
        <v>963</v>
      </c>
      <c r="C954" s="8" t="str">
        <f>IF(B954="","",VLOOKUP(B954,经纬!B:C,2,FALSE))</f>
        <v/>
      </c>
      <c r="D954" s="8" t="str">
        <f>IF(B954="","",VLOOKUP(B954,经纬!B:G,6,FALSE))</f>
        <v/>
      </c>
      <c r="F954" s="8" t="str">
        <f>IF(B954="","",VLOOKUP(B954,小圆机汇总表!A:AP,5,FALSE))</f>
        <v/>
      </c>
      <c r="G954" s="8" t="str">
        <f>IF(B954="","",VLOOKUP(B954,小圆机汇总表!A:AP,8,FALSE))</f>
        <v/>
      </c>
      <c r="P954" s="8" t="str">
        <f t="shared" si="61"/>
        <v/>
      </c>
      <c r="R954" s="250" t="str">
        <f t="shared" si="60"/>
        <v/>
      </c>
    </row>
    <row r="955" spans="1:18">
      <c r="A955" s="4">
        <v>964</v>
      </c>
      <c r="C955" s="8" t="str">
        <f>IF(B955="","",VLOOKUP(B955,经纬!B:C,2,FALSE))</f>
        <v/>
      </c>
      <c r="D955" s="8" t="str">
        <f>IF(B955="","",VLOOKUP(B955,经纬!B:G,6,FALSE))</f>
        <v/>
      </c>
      <c r="F955" s="8" t="str">
        <f>IF(B955="","",VLOOKUP(B955,小圆机汇总表!A:AP,5,FALSE))</f>
        <v/>
      </c>
      <c r="G955" s="8" t="str">
        <f>IF(B955="","",VLOOKUP(B955,小圆机汇总表!A:AP,8,FALSE))</f>
        <v/>
      </c>
      <c r="P955" s="8" t="str">
        <f t="shared" si="61"/>
        <v/>
      </c>
      <c r="R955" s="250" t="str">
        <f t="shared" si="60"/>
        <v/>
      </c>
    </row>
    <row r="956" spans="1:18">
      <c r="A956" s="4">
        <v>965</v>
      </c>
      <c r="C956" s="8" t="str">
        <f>IF(B956="","",VLOOKUP(B956,经纬!B:C,2,FALSE))</f>
        <v/>
      </c>
      <c r="D956" s="8" t="str">
        <f>IF(B956="","",VLOOKUP(B956,经纬!B:G,6,FALSE))</f>
        <v/>
      </c>
      <c r="F956" s="8" t="str">
        <f>IF(B956="","",VLOOKUP(B956,小圆机汇总表!A:AP,5,FALSE))</f>
        <v/>
      </c>
      <c r="G956" s="8" t="str">
        <f>IF(B956="","",VLOOKUP(B956,小圆机汇总表!A:AP,8,FALSE))</f>
        <v/>
      </c>
      <c r="P956" s="8" t="str">
        <f t="shared" si="61"/>
        <v/>
      </c>
      <c r="R956" s="250" t="str">
        <f t="shared" si="60"/>
        <v/>
      </c>
    </row>
    <row r="957" spans="1:18">
      <c r="A957" s="4">
        <v>966</v>
      </c>
      <c r="C957" s="8" t="str">
        <f>IF(B957="","",VLOOKUP(B957,经纬!B:C,2,FALSE))</f>
        <v/>
      </c>
      <c r="D957" s="8" t="str">
        <f>IF(B957="","",VLOOKUP(B957,经纬!B:G,6,FALSE))</f>
        <v/>
      </c>
      <c r="F957" s="8" t="str">
        <f>IF(B957="","",VLOOKUP(B957,小圆机汇总表!A:AP,5,FALSE))</f>
        <v/>
      </c>
      <c r="G957" s="8" t="str">
        <f>IF(B957="","",VLOOKUP(B957,小圆机汇总表!A:AP,8,FALSE))</f>
        <v/>
      </c>
      <c r="P957" s="8" t="str">
        <f t="shared" si="61"/>
        <v/>
      </c>
      <c r="R957" s="250" t="str">
        <f t="shared" si="60"/>
        <v/>
      </c>
    </row>
    <row r="958" spans="1:18">
      <c r="A958" s="4">
        <v>967</v>
      </c>
      <c r="C958" s="8" t="str">
        <f>IF(B958="","",VLOOKUP(B958,经纬!B:C,2,FALSE))</f>
        <v/>
      </c>
      <c r="D958" s="8" t="str">
        <f>IF(B958="","",VLOOKUP(B958,经纬!B:G,6,FALSE))</f>
        <v/>
      </c>
      <c r="F958" s="8" t="str">
        <f>IF(B958="","",VLOOKUP(B958,小圆机汇总表!A:AP,5,FALSE))</f>
        <v/>
      </c>
      <c r="G958" s="8" t="str">
        <f>IF(B958="","",VLOOKUP(B958,小圆机汇总表!A:AP,8,FALSE))</f>
        <v/>
      </c>
      <c r="P958" s="8" t="str">
        <f t="shared" si="61"/>
        <v/>
      </c>
      <c r="R958" s="250" t="str">
        <f t="shared" si="60"/>
        <v/>
      </c>
    </row>
    <row r="959" spans="1:18">
      <c r="A959" s="4">
        <v>968</v>
      </c>
      <c r="C959" s="8" t="str">
        <f>IF(B959="","",VLOOKUP(B959,经纬!B:C,2,FALSE))</f>
        <v/>
      </c>
      <c r="D959" s="8" t="str">
        <f>IF(B959="","",VLOOKUP(B959,经纬!B:G,6,FALSE))</f>
        <v/>
      </c>
      <c r="F959" s="8" t="str">
        <f>IF(B959="","",VLOOKUP(B959,小圆机汇总表!A:AP,5,FALSE))</f>
        <v/>
      </c>
      <c r="G959" s="8" t="str">
        <f>IF(B959="","",VLOOKUP(B959,小圆机汇总表!A:AP,8,FALSE))</f>
        <v/>
      </c>
      <c r="P959" s="8" t="str">
        <f t="shared" si="61"/>
        <v/>
      </c>
      <c r="R959" s="250" t="str">
        <f t="shared" si="60"/>
        <v/>
      </c>
    </row>
    <row r="960" spans="1:18">
      <c r="A960" s="4">
        <v>969</v>
      </c>
      <c r="C960" s="8" t="str">
        <f>IF(B960="","",VLOOKUP(B960,经纬!B:C,2,FALSE))</f>
        <v/>
      </c>
      <c r="D960" s="8" t="str">
        <f>IF(B960="","",VLOOKUP(B960,经纬!B:G,6,FALSE))</f>
        <v/>
      </c>
      <c r="F960" s="8" t="str">
        <f>IF(B960="","",VLOOKUP(B960,小圆机汇总表!A:AP,5,FALSE))</f>
        <v/>
      </c>
      <c r="G960" s="8" t="str">
        <f>IF(B960="","",VLOOKUP(B960,小圆机汇总表!A:AP,8,FALSE))</f>
        <v/>
      </c>
      <c r="P960" s="8" t="str">
        <f t="shared" si="61"/>
        <v/>
      </c>
      <c r="R960" s="250" t="str">
        <f t="shared" si="60"/>
        <v/>
      </c>
    </row>
    <row r="961" spans="1:18">
      <c r="A961" s="4">
        <v>970</v>
      </c>
      <c r="C961" s="8" t="str">
        <f>IF(B961="","",VLOOKUP(B961,经纬!B:C,2,FALSE))</f>
        <v/>
      </c>
      <c r="D961" s="8" t="str">
        <f>IF(B961="","",VLOOKUP(B961,经纬!B:G,6,FALSE))</f>
        <v/>
      </c>
      <c r="F961" s="8" t="str">
        <f>IF(B961="","",VLOOKUP(B961,小圆机汇总表!A:AP,5,FALSE))</f>
        <v/>
      </c>
      <c r="G961" s="8" t="str">
        <f>IF(B961="","",VLOOKUP(B961,小圆机汇总表!A:AP,8,FALSE))</f>
        <v/>
      </c>
      <c r="P961" s="8" t="str">
        <f t="shared" si="61"/>
        <v/>
      </c>
      <c r="R961" s="250" t="str">
        <f t="shared" si="60"/>
        <v/>
      </c>
    </row>
    <row r="962" spans="1:18">
      <c r="A962" s="4">
        <v>971</v>
      </c>
      <c r="C962" s="8" t="str">
        <f>IF(B962="","",VLOOKUP(B962,经纬!B:C,2,FALSE))</f>
        <v/>
      </c>
      <c r="D962" s="8" t="str">
        <f>IF(B962="","",VLOOKUP(B962,经纬!B:G,6,FALSE))</f>
        <v/>
      </c>
      <c r="F962" s="8" t="str">
        <f>IF(B962="","",VLOOKUP(B962,小圆机汇总表!A:AP,5,FALSE))</f>
        <v/>
      </c>
      <c r="G962" s="8" t="str">
        <f>IF(B962="","",VLOOKUP(B962,小圆机汇总表!A:AP,8,FALSE))</f>
        <v/>
      </c>
      <c r="P962" s="8" t="str">
        <f t="shared" si="61"/>
        <v/>
      </c>
      <c r="R962" s="250" t="str">
        <f t="shared" si="60"/>
        <v/>
      </c>
    </row>
    <row r="963" spans="1:18">
      <c r="A963" s="4">
        <v>972</v>
      </c>
      <c r="C963" s="8" t="str">
        <f>IF(B963="","",VLOOKUP(B963,经纬!B:C,2,FALSE))</f>
        <v/>
      </c>
      <c r="D963" s="8" t="str">
        <f>IF(B963="","",VLOOKUP(B963,经纬!B:G,6,FALSE))</f>
        <v/>
      </c>
      <c r="F963" s="8" t="str">
        <f>IF(B963="","",VLOOKUP(B963,小圆机汇总表!A:AP,5,FALSE))</f>
        <v/>
      </c>
      <c r="G963" s="8" t="str">
        <f>IF(B963="","",VLOOKUP(B963,小圆机汇总表!A:AP,8,FALSE))</f>
        <v/>
      </c>
      <c r="P963" s="8" t="str">
        <f t="shared" si="61"/>
        <v/>
      </c>
      <c r="R963" s="250" t="str">
        <f t="shared" ref="R963:R1026" si="62">IF(B963="","",MONTH(I963))</f>
        <v/>
      </c>
    </row>
    <row r="964" spans="1:18">
      <c r="A964" s="4">
        <v>973</v>
      </c>
      <c r="C964" s="8" t="str">
        <f>IF(B964="","",VLOOKUP(B964,经纬!B:C,2,FALSE))</f>
        <v/>
      </c>
      <c r="D964" s="8" t="str">
        <f>IF(B964="","",VLOOKUP(B964,经纬!B:G,6,FALSE))</f>
        <v/>
      </c>
      <c r="F964" s="8" t="str">
        <f>IF(B964="","",VLOOKUP(B964,小圆机汇总表!A:AP,5,FALSE))</f>
        <v/>
      </c>
      <c r="G964" s="8" t="str">
        <f>IF(B964="","",VLOOKUP(B964,小圆机汇总表!A:AP,8,FALSE))</f>
        <v/>
      </c>
      <c r="P964" s="8" t="str">
        <f t="shared" si="61"/>
        <v/>
      </c>
      <c r="R964" s="250" t="str">
        <f t="shared" si="62"/>
        <v/>
      </c>
    </row>
    <row r="965" spans="1:18">
      <c r="A965" s="4">
        <v>974</v>
      </c>
      <c r="C965" s="8" t="str">
        <f>IF(B965="","",VLOOKUP(B965,经纬!B:C,2,FALSE))</f>
        <v/>
      </c>
      <c r="D965" s="8" t="str">
        <f>IF(B965="","",VLOOKUP(B965,经纬!B:G,6,FALSE))</f>
        <v/>
      </c>
      <c r="F965" s="8" t="str">
        <f>IF(B965="","",VLOOKUP(B965,小圆机汇总表!A:AP,5,FALSE))</f>
        <v/>
      </c>
      <c r="G965" s="8" t="str">
        <f>IF(B965="","",VLOOKUP(B965,小圆机汇总表!A:AP,8,FALSE))</f>
        <v/>
      </c>
      <c r="P965" s="8" t="str">
        <f t="shared" si="61"/>
        <v/>
      </c>
      <c r="R965" s="250" t="str">
        <f t="shared" si="62"/>
        <v/>
      </c>
    </row>
    <row r="966" spans="1:18">
      <c r="A966" s="4">
        <v>975</v>
      </c>
      <c r="C966" s="8" t="str">
        <f>IF(B966="","",VLOOKUP(B966,经纬!B:C,2,FALSE))</f>
        <v/>
      </c>
      <c r="D966" s="8" t="str">
        <f>IF(B966="","",VLOOKUP(B966,经纬!B:G,6,FALSE))</f>
        <v/>
      </c>
      <c r="F966" s="8" t="str">
        <f>IF(B966="","",VLOOKUP(B966,小圆机汇总表!A:AP,5,FALSE))</f>
        <v/>
      </c>
      <c r="G966" s="8" t="str">
        <f>IF(B966="","",VLOOKUP(B966,小圆机汇总表!A:AP,8,FALSE))</f>
        <v/>
      </c>
      <c r="P966" s="8" t="str">
        <f t="shared" si="61"/>
        <v/>
      </c>
      <c r="R966" s="250" t="str">
        <f t="shared" si="62"/>
        <v/>
      </c>
    </row>
    <row r="967" spans="1:18">
      <c r="A967" s="4">
        <v>976</v>
      </c>
      <c r="C967" s="8" t="str">
        <f>IF(B967="","",VLOOKUP(B967,经纬!B:C,2,FALSE))</f>
        <v/>
      </c>
      <c r="D967" s="8" t="str">
        <f>IF(B967="","",VLOOKUP(B967,经纬!B:G,6,FALSE))</f>
        <v/>
      </c>
      <c r="F967" s="8" t="str">
        <f>IF(B967="","",VLOOKUP(B967,小圆机汇总表!A:AP,5,FALSE))</f>
        <v/>
      </c>
      <c r="G967" s="8" t="str">
        <f>IF(B967="","",VLOOKUP(B967,小圆机汇总表!A:AP,8,FALSE))</f>
        <v/>
      </c>
      <c r="P967" s="8" t="str">
        <f t="shared" si="61"/>
        <v/>
      </c>
      <c r="R967" s="250" t="str">
        <f t="shared" si="62"/>
        <v/>
      </c>
    </row>
    <row r="968" spans="1:18">
      <c r="A968" s="4">
        <v>977</v>
      </c>
      <c r="C968" s="8" t="str">
        <f>IF(B968="","",VLOOKUP(B968,经纬!B:C,2,FALSE))</f>
        <v/>
      </c>
      <c r="D968" s="8" t="str">
        <f>IF(B968="","",VLOOKUP(B968,经纬!B:G,6,FALSE))</f>
        <v/>
      </c>
      <c r="F968" s="8" t="str">
        <f>IF(B968="","",VLOOKUP(B968,小圆机汇总表!A:AP,5,FALSE))</f>
        <v/>
      </c>
      <c r="G968" s="8" t="str">
        <f>IF(B968="","",VLOOKUP(B968,小圆机汇总表!A:AP,8,FALSE))</f>
        <v/>
      </c>
      <c r="P968" s="8" t="str">
        <f t="shared" si="61"/>
        <v/>
      </c>
      <c r="R968" s="250" t="str">
        <f t="shared" si="62"/>
        <v/>
      </c>
    </row>
    <row r="969" spans="1:18">
      <c r="A969" s="4">
        <v>978</v>
      </c>
      <c r="C969" s="8" t="str">
        <f>IF(B969="","",VLOOKUP(B969,经纬!B:C,2,FALSE))</f>
        <v/>
      </c>
      <c r="D969" s="8" t="str">
        <f>IF(B969="","",VLOOKUP(B969,经纬!B:G,6,FALSE))</f>
        <v/>
      </c>
      <c r="F969" s="8" t="str">
        <f>IF(B969="","",VLOOKUP(B969,小圆机汇总表!A:AP,5,FALSE))</f>
        <v/>
      </c>
      <c r="G969" s="8" t="str">
        <f>IF(B969="","",VLOOKUP(B969,小圆机汇总表!A:AP,8,FALSE))</f>
        <v/>
      </c>
      <c r="P969" s="8" t="str">
        <f t="shared" si="61"/>
        <v/>
      </c>
      <c r="R969" s="250" t="str">
        <f t="shared" si="62"/>
        <v/>
      </c>
    </row>
    <row r="970" spans="1:18">
      <c r="A970" s="4">
        <v>979</v>
      </c>
      <c r="C970" s="8" t="str">
        <f>IF(B970="","",VLOOKUP(B970,经纬!B:C,2,FALSE))</f>
        <v/>
      </c>
      <c r="D970" s="8" t="str">
        <f>IF(B970="","",VLOOKUP(B970,经纬!B:G,6,FALSE))</f>
        <v/>
      </c>
      <c r="F970" s="8" t="str">
        <f>IF(B970="","",VLOOKUP(B970,小圆机汇总表!A:AP,5,FALSE))</f>
        <v/>
      </c>
      <c r="G970" s="8" t="str">
        <f>IF(B970="","",VLOOKUP(B970,小圆机汇总表!A:AP,8,FALSE))</f>
        <v/>
      </c>
      <c r="P970" s="8" t="str">
        <f t="shared" si="61"/>
        <v/>
      </c>
      <c r="R970" s="250" t="str">
        <f t="shared" si="62"/>
        <v/>
      </c>
    </row>
    <row r="971" spans="1:18">
      <c r="A971" s="4">
        <v>980</v>
      </c>
      <c r="C971" s="8" t="str">
        <f>IF(B971="","",VLOOKUP(B971,经纬!B:C,2,FALSE))</f>
        <v/>
      </c>
      <c r="D971" s="8" t="str">
        <f>IF(B971="","",VLOOKUP(B971,经纬!B:G,6,FALSE))</f>
        <v/>
      </c>
      <c r="F971" s="8" t="str">
        <f>IF(B971="","",VLOOKUP(B971,小圆机汇总表!A:AP,5,FALSE))</f>
        <v/>
      </c>
      <c r="G971" s="8" t="str">
        <f>IF(B971="","",VLOOKUP(B971,小圆机汇总表!A:AP,8,FALSE))</f>
        <v/>
      </c>
      <c r="P971" s="8" t="str">
        <f t="shared" si="61"/>
        <v/>
      </c>
      <c r="R971" s="250" t="str">
        <f t="shared" si="62"/>
        <v/>
      </c>
    </row>
    <row r="972" spans="1:18">
      <c r="A972" s="4">
        <v>981</v>
      </c>
      <c r="C972" s="8" t="str">
        <f>IF(B972="","",VLOOKUP(B972,经纬!B:C,2,FALSE))</f>
        <v/>
      </c>
      <c r="D972" s="8" t="str">
        <f>IF(B972="","",VLOOKUP(B972,经纬!B:G,6,FALSE))</f>
        <v/>
      </c>
      <c r="F972" s="8" t="str">
        <f>IF(B972="","",VLOOKUP(B972,小圆机汇总表!A:AP,5,FALSE))</f>
        <v/>
      </c>
      <c r="G972" s="8" t="str">
        <f>IF(B972="","",VLOOKUP(B972,小圆机汇总表!A:AP,8,FALSE))</f>
        <v/>
      </c>
      <c r="P972" s="8" t="str">
        <f t="shared" si="61"/>
        <v/>
      </c>
      <c r="R972" s="250" t="str">
        <f t="shared" si="62"/>
        <v/>
      </c>
    </row>
    <row r="973" spans="1:18">
      <c r="A973" s="4">
        <v>982</v>
      </c>
      <c r="C973" s="8" t="str">
        <f>IF(B973="","",VLOOKUP(B973,经纬!B:C,2,FALSE))</f>
        <v/>
      </c>
      <c r="D973" s="8" t="str">
        <f>IF(B973="","",VLOOKUP(B973,经纬!B:G,6,FALSE))</f>
        <v/>
      </c>
      <c r="F973" s="8" t="str">
        <f>IF(B973="","",VLOOKUP(B973,小圆机汇总表!A:AP,5,FALSE))</f>
        <v/>
      </c>
      <c r="G973" s="8" t="str">
        <f>IF(B973="","",VLOOKUP(B973,小圆机汇总表!A:AP,8,FALSE))</f>
        <v/>
      </c>
      <c r="P973" s="8" t="str">
        <f t="shared" si="61"/>
        <v/>
      </c>
      <c r="R973" s="250" t="str">
        <f t="shared" si="62"/>
        <v/>
      </c>
    </row>
    <row r="974" spans="1:18">
      <c r="A974" s="4">
        <v>983</v>
      </c>
      <c r="C974" s="8" t="str">
        <f>IF(B974="","",VLOOKUP(B974,经纬!B:C,2,FALSE))</f>
        <v/>
      </c>
      <c r="D974" s="8" t="str">
        <f>IF(B974="","",VLOOKUP(B974,经纬!B:G,6,FALSE))</f>
        <v/>
      </c>
      <c r="F974" s="8" t="str">
        <f>IF(B974="","",VLOOKUP(B974,小圆机汇总表!A:AP,5,FALSE))</f>
        <v/>
      </c>
      <c r="G974" s="8" t="str">
        <f>IF(B974="","",VLOOKUP(B974,小圆机汇总表!A:AP,8,FALSE))</f>
        <v/>
      </c>
      <c r="P974" s="8" t="str">
        <f t="shared" si="61"/>
        <v/>
      </c>
      <c r="R974" s="250" t="str">
        <f t="shared" si="62"/>
        <v/>
      </c>
    </row>
    <row r="975" spans="1:18">
      <c r="A975" s="4">
        <v>984</v>
      </c>
      <c r="C975" s="8" t="str">
        <f>IF(B975="","",VLOOKUP(B975,经纬!B:C,2,FALSE))</f>
        <v/>
      </c>
      <c r="D975" s="8" t="str">
        <f>IF(B975="","",VLOOKUP(B975,经纬!B:G,6,FALSE))</f>
        <v/>
      </c>
      <c r="F975" s="8" t="str">
        <f>IF(B975="","",VLOOKUP(B975,小圆机汇总表!A:AP,5,FALSE))</f>
        <v/>
      </c>
      <c r="G975" s="8" t="str">
        <f>IF(B975="","",VLOOKUP(B975,小圆机汇总表!A:AP,8,FALSE))</f>
        <v/>
      </c>
      <c r="P975" s="8" t="str">
        <f t="shared" si="61"/>
        <v/>
      </c>
      <c r="R975" s="250" t="str">
        <f t="shared" si="62"/>
        <v/>
      </c>
    </row>
    <row r="976" spans="1:18">
      <c r="A976" s="4">
        <v>985</v>
      </c>
      <c r="C976" s="8" t="str">
        <f>IF(B976="","",VLOOKUP(B976,经纬!B:C,2,FALSE))</f>
        <v/>
      </c>
      <c r="D976" s="8" t="str">
        <f>IF(B976="","",VLOOKUP(B976,经纬!B:G,6,FALSE))</f>
        <v/>
      </c>
      <c r="F976" s="8" t="str">
        <f>IF(B976="","",VLOOKUP(B976,小圆机汇总表!A:AP,5,FALSE))</f>
        <v/>
      </c>
      <c r="G976" s="8" t="str">
        <f>IF(B976="","",VLOOKUP(B976,小圆机汇总表!A:AP,8,FALSE))</f>
        <v/>
      </c>
      <c r="P976" s="8" t="str">
        <f t="shared" si="61"/>
        <v/>
      </c>
      <c r="R976" s="250" t="str">
        <f t="shared" si="62"/>
        <v/>
      </c>
    </row>
    <row r="977" spans="1:18">
      <c r="A977" s="4">
        <v>986</v>
      </c>
      <c r="C977" s="8" t="str">
        <f>IF(B977="","",VLOOKUP(B977,经纬!B:C,2,FALSE))</f>
        <v/>
      </c>
      <c r="D977" s="8" t="str">
        <f>IF(B977="","",VLOOKUP(B977,经纬!B:G,6,FALSE))</f>
        <v/>
      </c>
      <c r="F977" s="8" t="str">
        <f>IF(B977="","",VLOOKUP(B977,小圆机汇总表!A:AP,5,FALSE))</f>
        <v/>
      </c>
      <c r="G977" s="8" t="str">
        <f>IF(B977="","",VLOOKUP(B977,小圆机汇总表!A:AP,8,FALSE))</f>
        <v/>
      </c>
      <c r="P977" s="8" t="str">
        <f t="shared" si="61"/>
        <v/>
      </c>
      <c r="R977" s="250" t="str">
        <f t="shared" si="62"/>
        <v/>
      </c>
    </row>
    <row r="978" spans="1:18">
      <c r="A978" s="4">
        <v>987</v>
      </c>
      <c r="C978" s="8" t="str">
        <f>IF(B978="","",VLOOKUP(B978,经纬!B:C,2,FALSE))</f>
        <v/>
      </c>
      <c r="D978" s="8" t="str">
        <f>IF(B978="","",VLOOKUP(B978,经纬!B:G,6,FALSE))</f>
        <v/>
      </c>
      <c r="F978" s="8" t="str">
        <f>IF(B978="","",VLOOKUP(B978,小圆机汇总表!A:AP,5,FALSE))</f>
        <v/>
      </c>
      <c r="G978" s="8" t="str">
        <f>IF(B978="","",VLOOKUP(B978,小圆机汇总表!A:AP,8,FALSE))</f>
        <v/>
      </c>
      <c r="P978" s="8" t="str">
        <f t="shared" si="61"/>
        <v/>
      </c>
      <c r="R978" s="250" t="str">
        <f t="shared" si="62"/>
        <v/>
      </c>
    </row>
    <row r="979" spans="1:18">
      <c r="A979" s="4">
        <v>988</v>
      </c>
      <c r="C979" s="8" t="str">
        <f>IF(B979="","",VLOOKUP(B979,经纬!B:C,2,FALSE))</f>
        <v/>
      </c>
      <c r="D979" s="8" t="str">
        <f>IF(B979="","",VLOOKUP(B979,经纬!B:G,6,FALSE))</f>
        <v/>
      </c>
      <c r="F979" s="8" t="str">
        <f>IF(B979="","",VLOOKUP(B979,小圆机汇总表!A:AP,5,FALSE))</f>
        <v/>
      </c>
      <c r="G979" s="8" t="str">
        <f>IF(B979="","",VLOOKUP(B979,小圆机汇总表!A:AP,8,FALSE))</f>
        <v/>
      </c>
      <c r="P979" s="8" t="str">
        <f t="shared" si="61"/>
        <v/>
      </c>
      <c r="R979" s="250" t="str">
        <f t="shared" si="62"/>
        <v/>
      </c>
    </row>
    <row r="980" spans="1:18">
      <c r="A980" s="4">
        <v>989</v>
      </c>
      <c r="C980" s="8" t="str">
        <f>IF(B980="","",VLOOKUP(B980,经纬!B:C,2,FALSE))</f>
        <v/>
      </c>
      <c r="D980" s="8" t="str">
        <f>IF(B980="","",VLOOKUP(B980,经纬!B:G,6,FALSE))</f>
        <v/>
      </c>
      <c r="F980" s="8" t="str">
        <f>IF(B980="","",VLOOKUP(B980,小圆机汇总表!A:AP,5,FALSE))</f>
        <v/>
      </c>
      <c r="G980" s="8" t="str">
        <f>IF(B980="","",VLOOKUP(B980,小圆机汇总表!A:AP,8,FALSE))</f>
        <v/>
      </c>
      <c r="P980" s="8" t="str">
        <f t="shared" si="61"/>
        <v/>
      </c>
      <c r="R980" s="250" t="str">
        <f t="shared" si="62"/>
        <v/>
      </c>
    </row>
    <row r="981" spans="1:18">
      <c r="A981" s="4">
        <v>990</v>
      </c>
      <c r="C981" s="8" t="str">
        <f>IF(B981="","",VLOOKUP(B981,经纬!B:C,2,FALSE))</f>
        <v/>
      </c>
      <c r="D981" s="8" t="str">
        <f>IF(B981="","",VLOOKUP(B981,经纬!B:G,6,FALSE))</f>
        <v/>
      </c>
      <c r="F981" s="8" t="str">
        <f>IF(B981="","",VLOOKUP(B981,小圆机汇总表!A:AP,5,FALSE))</f>
        <v/>
      </c>
      <c r="G981" s="8" t="str">
        <f>IF(B981="","",VLOOKUP(B981,小圆机汇总表!A:AP,8,FALSE))</f>
        <v/>
      </c>
      <c r="P981" s="8" t="str">
        <f t="shared" si="61"/>
        <v/>
      </c>
      <c r="R981" s="250" t="str">
        <f t="shared" si="62"/>
        <v/>
      </c>
    </row>
    <row r="982" spans="1:18">
      <c r="A982" s="4">
        <v>991</v>
      </c>
      <c r="C982" s="8" t="str">
        <f>IF(B982="","",VLOOKUP(B982,经纬!B:C,2,FALSE))</f>
        <v/>
      </c>
      <c r="D982" s="8" t="str">
        <f>IF(B982="","",VLOOKUP(B982,经纬!B:G,6,FALSE))</f>
        <v/>
      </c>
      <c r="F982" s="8" t="str">
        <f>IF(B982="","",VLOOKUP(B982,小圆机汇总表!A:AP,5,FALSE))</f>
        <v/>
      </c>
      <c r="G982" s="8" t="str">
        <f>IF(B982="","",VLOOKUP(B982,小圆机汇总表!A:AP,8,FALSE))</f>
        <v/>
      </c>
      <c r="P982" s="8" t="str">
        <f t="shared" si="61"/>
        <v/>
      </c>
      <c r="R982" s="250" t="str">
        <f t="shared" si="62"/>
        <v/>
      </c>
    </row>
    <row r="983" spans="1:18">
      <c r="A983" s="4">
        <v>992</v>
      </c>
      <c r="C983" s="8" t="str">
        <f>IF(B983="","",VLOOKUP(B983,经纬!B:C,2,FALSE))</f>
        <v/>
      </c>
      <c r="D983" s="8" t="str">
        <f>IF(B983="","",VLOOKUP(B983,经纬!B:G,6,FALSE))</f>
        <v/>
      </c>
      <c r="F983" s="8" t="str">
        <f>IF(B983="","",VLOOKUP(B983,小圆机汇总表!A:AP,5,FALSE))</f>
        <v/>
      </c>
      <c r="G983" s="8" t="str">
        <f>IF(B983="","",VLOOKUP(B983,小圆机汇总表!A:AP,8,FALSE))</f>
        <v/>
      </c>
      <c r="P983" s="8" t="str">
        <f t="shared" si="61"/>
        <v/>
      </c>
      <c r="R983" s="250" t="str">
        <f t="shared" si="62"/>
        <v/>
      </c>
    </row>
    <row r="984" spans="1:18">
      <c r="A984" s="4">
        <v>993</v>
      </c>
      <c r="C984" s="8" t="str">
        <f>IF(B984="","",VLOOKUP(B984,经纬!B:C,2,FALSE))</f>
        <v/>
      </c>
      <c r="D984" s="8" t="str">
        <f>IF(B984="","",VLOOKUP(B984,经纬!B:G,6,FALSE))</f>
        <v/>
      </c>
      <c r="F984" s="8" t="str">
        <f>IF(B984="","",VLOOKUP(B984,小圆机汇总表!A:AP,5,FALSE))</f>
        <v/>
      </c>
      <c r="G984" s="8" t="str">
        <f>IF(B984="","",VLOOKUP(B984,小圆机汇总表!A:AP,8,FALSE))</f>
        <v/>
      </c>
      <c r="P984" s="8" t="str">
        <f t="shared" si="61"/>
        <v/>
      </c>
      <c r="R984" s="250" t="str">
        <f t="shared" si="62"/>
        <v/>
      </c>
    </row>
    <row r="985" spans="1:18">
      <c r="A985" s="4">
        <v>994</v>
      </c>
      <c r="C985" s="8" t="str">
        <f>IF(B985="","",VLOOKUP(B985,经纬!B:C,2,FALSE))</f>
        <v/>
      </c>
      <c r="D985" s="8" t="str">
        <f>IF(B985="","",VLOOKUP(B985,经纬!B:G,6,FALSE))</f>
        <v/>
      </c>
      <c r="F985" s="8" t="str">
        <f>IF(B985="","",VLOOKUP(B985,小圆机汇总表!A:AP,5,FALSE))</f>
        <v/>
      </c>
      <c r="G985" s="8" t="str">
        <f>IF(B985="","",VLOOKUP(B985,小圆机汇总表!A:AP,8,FALSE))</f>
        <v/>
      </c>
      <c r="P985" s="8" t="str">
        <f t="shared" si="61"/>
        <v/>
      </c>
      <c r="R985" s="250" t="str">
        <f t="shared" si="62"/>
        <v/>
      </c>
    </row>
    <row r="986" spans="1:18">
      <c r="A986" s="4">
        <v>995</v>
      </c>
      <c r="C986" s="8" t="str">
        <f>IF(B986="","",VLOOKUP(B986,经纬!B:C,2,FALSE))</f>
        <v/>
      </c>
      <c r="D986" s="8" t="str">
        <f>IF(B986="","",VLOOKUP(B986,经纬!B:G,6,FALSE))</f>
        <v/>
      </c>
      <c r="F986" s="8" t="str">
        <f>IF(B986="","",VLOOKUP(B986,小圆机汇总表!A:AP,5,FALSE))</f>
        <v/>
      </c>
      <c r="G986" s="8" t="str">
        <f>IF(B986="","",VLOOKUP(B986,小圆机汇总表!A:AP,8,FALSE))</f>
        <v/>
      </c>
      <c r="P986" s="8" t="str">
        <f t="shared" ref="P986:P1049" si="63">IF(B986="","",MONTH(I986))</f>
        <v/>
      </c>
      <c r="R986" s="250" t="str">
        <f t="shared" si="62"/>
        <v/>
      </c>
    </row>
    <row r="987" spans="1:18">
      <c r="A987" s="4">
        <v>996</v>
      </c>
      <c r="C987" s="8" t="str">
        <f>IF(B987="","",VLOOKUP(B987,经纬!B:C,2,FALSE))</f>
        <v/>
      </c>
      <c r="D987" s="8" t="str">
        <f>IF(B987="","",VLOOKUP(B987,经纬!B:G,6,FALSE))</f>
        <v/>
      </c>
      <c r="F987" s="8" t="str">
        <f>IF(B987="","",VLOOKUP(B987,小圆机汇总表!A:AP,5,FALSE))</f>
        <v/>
      </c>
      <c r="G987" s="8" t="str">
        <f>IF(B987="","",VLOOKUP(B987,小圆机汇总表!A:AP,8,FALSE))</f>
        <v/>
      </c>
      <c r="P987" s="8" t="str">
        <f t="shared" si="63"/>
        <v/>
      </c>
      <c r="R987" s="250" t="str">
        <f t="shared" si="62"/>
        <v/>
      </c>
    </row>
    <row r="988" spans="1:18">
      <c r="A988" s="4">
        <v>997</v>
      </c>
      <c r="C988" s="8" t="str">
        <f>IF(B988="","",VLOOKUP(B988,经纬!B:C,2,FALSE))</f>
        <v/>
      </c>
      <c r="D988" s="8" t="str">
        <f>IF(B988="","",VLOOKUP(B988,经纬!B:G,6,FALSE))</f>
        <v/>
      </c>
      <c r="F988" s="8" t="str">
        <f>IF(B988="","",VLOOKUP(B988,小圆机汇总表!A:AP,5,FALSE))</f>
        <v/>
      </c>
      <c r="G988" s="8" t="str">
        <f>IF(B988="","",VLOOKUP(B988,小圆机汇总表!A:AP,8,FALSE))</f>
        <v/>
      </c>
      <c r="P988" s="8" t="str">
        <f t="shared" si="63"/>
        <v/>
      </c>
      <c r="R988" s="250" t="str">
        <f t="shared" si="62"/>
        <v/>
      </c>
    </row>
    <row r="989" spans="1:18">
      <c r="A989" s="4">
        <v>998</v>
      </c>
      <c r="C989" s="8" t="str">
        <f>IF(B989="","",VLOOKUP(B989,经纬!B:C,2,FALSE))</f>
        <v/>
      </c>
      <c r="D989" s="8" t="str">
        <f>IF(B989="","",VLOOKUP(B989,经纬!B:G,6,FALSE))</f>
        <v/>
      </c>
      <c r="F989" s="8" t="str">
        <f>IF(B989="","",VLOOKUP(B989,小圆机汇总表!A:AP,5,FALSE))</f>
        <v/>
      </c>
      <c r="G989" s="8" t="str">
        <f>IF(B989="","",VLOOKUP(B989,小圆机汇总表!A:AP,8,FALSE))</f>
        <v/>
      </c>
      <c r="P989" s="8" t="str">
        <f t="shared" si="63"/>
        <v/>
      </c>
      <c r="R989" s="250" t="str">
        <f t="shared" si="62"/>
        <v/>
      </c>
    </row>
    <row r="990" spans="1:18">
      <c r="A990" s="4">
        <v>999</v>
      </c>
      <c r="C990" s="8" t="str">
        <f>IF(B990="","",VLOOKUP(B990,经纬!B:C,2,FALSE))</f>
        <v/>
      </c>
      <c r="D990" s="8" t="str">
        <f>IF(B990="","",VLOOKUP(B990,经纬!B:G,6,FALSE))</f>
        <v/>
      </c>
      <c r="F990" s="8" t="str">
        <f>IF(B990="","",VLOOKUP(B990,小圆机汇总表!A:AP,5,FALSE))</f>
        <v/>
      </c>
      <c r="G990" s="8" t="str">
        <f>IF(B990="","",VLOOKUP(B990,小圆机汇总表!A:AP,8,FALSE))</f>
        <v/>
      </c>
      <c r="P990" s="8" t="str">
        <f t="shared" si="63"/>
        <v/>
      </c>
      <c r="R990" s="250" t="str">
        <f t="shared" si="62"/>
        <v/>
      </c>
    </row>
    <row r="991" spans="1:18">
      <c r="A991" s="4">
        <v>1000</v>
      </c>
      <c r="C991" s="8" t="str">
        <f>IF(B991="","",VLOOKUP(B991,经纬!B:C,2,FALSE))</f>
        <v/>
      </c>
      <c r="D991" s="8" t="str">
        <f>IF(B991="","",VLOOKUP(B991,经纬!B:G,6,FALSE))</f>
        <v/>
      </c>
      <c r="F991" s="8" t="str">
        <f>IF(B991="","",VLOOKUP(B991,小圆机汇总表!A:AP,5,FALSE))</f>
        <v/>
      </c>
      <c r="G991" s="8" t="str">
        <f>IF(B991="","",VLOOKUP(B991,小圆机汇总表!A:AP,8,FALSE))</f>
        <v/>
      </c>
      <c r="P991" s="8" t="str">
        <f t="shared" si="63"/>
        <v/>
      </c>
      <c r="R991" s="250" t="str">
        <f t="shared" si="62"/>
        <v/>
      </c>
    </row>
    <row r="992" spans="1:18">
      <c r="A992" s="4">
        <v>1001</v>
      </c>
      <c r="C992" s="8" t="str">
        <f>IF(B992="","",VLOOKUP(B992,经纬!B:C,2,FALSE))</f>
        <v/>
      </c>
      <c r="D992" s="8" t="str">
        <f>IF(B992="","",VLOOKUP(B992,经纬!B:G,6,FALSE))</f>
        <v/>
      </c>
      <c r="F992" s="8" t="str">
        <f>IF(B992="","",VLOOKUP(B992,小圆机汇总表!A:AP,5,FALSE))</f>
        <v/>
      </c>
      <c r="G992" s="8" t="str">
        <f>IF(B992="","",VLOOKUP(B992,小圆机汇总表!A:AP,8,FALSE))</f>
        <v/>
      </c>
      <c r="P992" s="8" t="str">
        <f t="shared" si="63"/>
        <v/>
      </c>
      <c r="R992" s="250" t="str">
        <f t="shared" si="62"/>
        <v/>
      </c>
    </row>
    <row r="993" spans="1:18">
      <c r="A993" s="4">
        <v>1002</v>
      </c>
      <c r="C993" s="8" t="str">
        <f>IF(B993="","",VLOOKUP(B993,经纬!B:C,2,FALSE))</f>
        <v/>
      </c>
      <c r="D993" s="8" t="str">
        <f>IF(B993="","",VLOOKUP(B993,经纬!B:G,6,FALSE))</f>
        <v/>
      </c>
      <c r="F993" s="8" t="str">
        <f>IF(B993="","",VLOOKUP(B993,小圆机汇总表!A:AP,5,FALSE))</f>
        <v/>
      </c>
      <c r="G993" s="8" t="str">
        <f>IF(B993="","",VLOOKUP(B993,小圆机汇总表!A:AP,8,FALSE))</f>
        <v/>
      </c>
      <c r="P993" s="8" t="str">
        <f t="shared" si="63"/>
        <v/>
      </c>
      <c r="R993" s="250" t="str">
        <f t="shared" si="62"/>
        <v/>
      </c>
    </row>
    <row r="994" spans="1:18">
      <c r="A994" s="4">
        <v>1003</v>
      </c>
      <c r="C994" s="8" t="str">
        <f>IF(B994="","",VLOOKUP(B994,经纬!B:C,2,FALSE))</f>
        <v/>
      </c>
      <c r="D994" s="8" t="str">
        <f>IF(B994="","",VLOOKUP(B994,经纬!B:G,6,FALSE))</f>
        <v/>
      </c>
      <c r="F994" s="8" t="str">
        <f>IF(B994="","",VLOOKUP(B994,小圆机汇总表!A:AP,5,FALSE))</f>
        <v/>
      </c>
      <c r="G994" s="8" t="str">
        <f>IF(B994="","",VLOOKUP(B994,小圆机汇总表!A:AP,8,FALSE))</f>
        <v/>
      </c>
      <c r="P994" s="8" t="str">
        <f t="shared" si="63"/>
        <v/>
      </c>
      <c r="R994" s="250" t="str">
        <f t="shared" si="62"/>
        <v/>
      </c>
    </row>
    <row r="995" spans="1:18">
      <c r="A995" s="4">
        <v>1004</v>
      </c>
      <c r="C995" s="8" t="str">
        <f>IF(B995="","",VLOOKUP(B995,经纬!B:C,2,FALSE))</f>
        <v/>
      </c>
      <c r="D995" s="8" t="str">
        <f>IF(B995="","",VLOOKUP(B995,经纬!B:G,6,FALSE))</f>
        <v/>
      </c>
      <c r="F995" s="8" t="str">
        <f>IF(B995="","",VLOOKUP(B995,小圆机汇总表!A:AP,5,FALSE))</f>
        <v/>
      </c>
      <c r="G995" s="8" t="str">
        <f>IF(B995="","",VLOOKUP(B995,小圆机汇总表!A:AP,8,FALSE))</f>
        <v/>
      </c>
      <c r="P995" s="8" t="str">
        <f t="shared" si="63"/>
        <v/>
      </c>
      <c r="R995" s="250" t="str">
        <f t="shared" si="62"/>
        <v/>
      </c>
    </row>
    <row r="996" spans="1:18">
      <c r="A996" s="4">
        <v>1005</v>
      </c>
      <c r="C996" s="8" t="str">
        <f>IF(B996="","",VLOOKUP(B996,经纬!B:C,2,FALSE))</f>
        <v/>
      </c>
      <c r="D996" s="8" t="str">
        <f>IF(B996="","",VLOOKUP(B996,经纬!B:G,6,FALSE))</f>
        <v/>
      </c>
      <c r="F996" s="8" t="str">
        <f>IF(B996="","",VLOOKUP(B996,小圆机汇总表!A:AP,5,FALSE))</f>
        <v/>
      </c>
      <c r="G996" s="8" t="str">
        <f>IF(B996="","",VLOOKUP(B996,小圆机汇总表!A:AP,8,FALSE))</f>
        <v/>
      </c>
      <c r="P996" s="8" t="str">
        <f t="shared" si="63"/>
        <v/>
      </c>
      <c r="R996" s="250" t="str">
        <f t="shared" si="62"/>
        <v/>
      </c>
    </row>
    <row r="997" spans="1:18">
      <c r="A997" s="4">
        <v>1006</v>
      </c>
      <c r="C997" s="8" t="str">
        <f>IF(B997="","",VLOOKUP(B997,经纬!B:C,2,FALSE))</f>
        <v/>
      </c>
      <c r="D997" s="8" t="str">
        <f>IF(B997="","",VLOOKUP(B997,经纬!B:G,6,FALSE))</f>
        <v/>
      </c>
      <c r="F997" s="8" t="str">
        <f>IF(B997="","",VLOOKUP(B997,小圆机汇总表!A:AP,5,FALSE))</f>
        <v/>
      </c>
      <c r="G997" s="8" t="str">
        <f>IF(B997="","",VLOOKUP(B997,小圆机汇总表!A:AP,8,FALSE))</f>
        <v/>
      </c>
      <c r="P997" s="8" t="str">
        <f t="shared" si="63"/>
        <v/>
      </c>
      <c r="R997" s="250" t="str">
        <f t="shared" si="62"/>
        <v/>
      </c>
    </row>
    <row r="998" spans="1:18">
      <c r="A998" s="4">
        <v>1007</v>
      </c>
      <c r="C998" s="8" t="str">
        <f>IF(B998="","",VLOOKUP(B998,经纬!B:C,2,FALSE))</f>
        <v/>
      </c>
      <c r="D998" s="8" t="str">
        <f>IF(B998="","",VLOOKUP(B998,经纬!B:G,6,FALSE))</f>
        <v/>
      </c>
      <c r="F998" s="8" t="str">
        <f>IF(B998="","",VLOOKUP(B998,小圆机汇总表!A:AP,5,FALSE))</f>
        <v/>
      </c>
      <c r="G998" s="8" t="str">
        <f>IF(B998="","",VLOOKUP(B998,小圆机汇总表!A:AP,8,FALSE))</f>
        <v/>
      </c>
      <c r="P998" s="8" t="str">
        <f t="shared" si="63"/>
        <v/>
      </c>
      <c r="R998" s="250" t="str">
        <f t="shared" si="62"/>
        <v/>
      </c>
    </row>
    <row r="999" spans="1:18">
      <c r="A999" s="4">
        <v>1008</v>
      </c>
      <c r="C999" s="8" t="str">
        <f>IF(B999="","",VLOOKUP(B999,经纬!B:C,2,FALSE))</f>
        <v/>
      </c>
      <c r="D999" s="8" t="str">
        <f>IF(B999="","",VLOOKUP(B999,经纬!B:G,6,FALSE))</f>
        <v/>
      </c>
      <c r="F999" s="8" t="str">
        <f>IF(B999="","",VLOOKUP(B999,小圆机汇总表!A:AP,5,FALSE))</f>
        <v/>
      </c>
      <c r="G999" s="8" t="str">
        <f>IF(B999="","",VLOOKUP(B999,小圆机汇总表!A:AP,8,FALSE))</f>
        <v/>
      </c>
      <c r="P999" s="8" t="str">
        <f t="shared" si="63"/>
        <v/>
      </c>
      <c r="R999" s="250" t="str">
        <f t="shared" si="62"/>
        <v/>
      </c>
    </row>
    <row r="1000" spans="1:18">
      <c r="A1000" s="4">
        <v>1009</v>
      </c>
      <c r="C1000" s="8" t="str">
        <f>IF(B1000="","",VLOOKUP(B1000,经纬!B:C,2,FALSE))</f>
        <v/>
      </c>
      <c r="D1000" s="8" t="str">
        <f>IF(B1000="","",VLOOKUP(B1000,经纬!B:G,6,FALSE))</f>
        <v/>
      </c>
      <c r="F1000" s="8" t="str">
        <f>IF(B1000="","",VLOOKUP(B1000,小圆机汇总表!A:AP,5,FALSE))</f>
        <v/>
      </c>
      <c r="G1000" s="8" t="str">
        <f>IF(B1000="","",VLOOKUP(B1000,小圆机汇总表!A:AP,8,FALSE))</f>
        <v/>
      </c>
      <c r="P1000" s="8" t="str">
        <f t="shared" si="63"/>
        <v/>
      </c>
      <c r="R1000" s="250" t="str">
        <f t="shared" si="62"/>
        <v/>
      </c>
    </row>
    <row r="1001" spans="1:18">
      <c r="A1001" s="4">
        <v>1010</v>
      </c>
      <c r="C1001" s="8" t="str">
        <f>IF(B1001="","",VLOOKUP(B1001,经纬!B:C,2,FALSE))</f>
        <v/>
      </c>
      <c r="D1001" s="8" t="str">
        <f>IF(B1001="","",VLOOKUP(B1001,经纬!B:G,6,FALSE))</f>
        <v/>
      </c>
      <c r="F1001" s="8" t="str">
        <f>IF(B1001="","",VLOOKUP(B1001,小圆机汇总表!A:AP,5,FALSE))</f>
        <v/>
      </c>
      <c r="G1001" s="8" t="str">
        <f>IF(B1001="","",VLOOKUP(B1001,小圆机汇总表!A:AP,8,FALSE))</f>
        <v/>
      </c>
      <c r="P1001" s="8" t="str">
        <f t="shared" si="63"/>
        <v/>
      </c>
      <c r="R1001" s="250" t="str">
        <f t="shared" si="62"/>
        <v/>
      </c>
    </row>
    <row r="1002" spans="1:18">
      <c r="A1002" s="4">
        <v>1011</v>
      </c>
      <c r="C1002" s="8" t="str">
        <f>IF(B1002="","",VLOOKUP(B1002,经纬!B:C,2,FALSE))</f>
        <v/>
      </c>
      <c r="D1002" s="8" t="str">
        <f>IF(B1002="","",VLOOKUP(B1002,经纬!B:G,6,FALSE))</f>
        <v/>
      </c>
      <c r="F1002" s="8" t="str">
        <f>IF(B1002="","",VLOOKUP(B1002,小圆机汇总表!A:AP,5,FALSE))</f>
        <v/>
      </c>
      <c r="G1002" s="8" t="str">
        <f>IF(B1002="","",VLOOKUP(B1002,小圆机汇总表!A:AP,8,FALSE))</f>
        <v/>
      </c>
      <c r="P1002" s="8" t="str">
        <f t="shared" si="63"/>
        <v/>
      </c>
      <c r="R1002" s="250" t="str">
        <f t="shared" si="62"/>
        <v/>
      </c>
    </row>
    <row r="1003" spans="1:18">
      <c r="A1003" s="4">
        <v>1012</v>
      </c>
      <c r="C1003" s="8" t="str">
        <f>IF(B1003="","",VLOOKUP(B1003,经纬!B:C,2,FALSE))</f>
        <v/>
      </c>
      <c r="D1003" s="8" t="str">
        <f>IF(B1003="","",VLOOKUP(B1003,经纬!B:G,6,FALSE))</f>
        <v/>
      </c>
      <c r="F1003" s="8" t="str">
        <f>IF(B1003="","",VLOOKUP(B1003,小圆机汇总表!A:AP,5,FALSE))</f>
        <v/>
      </c>
      <c r="G1003" s="8" t="str">
        <f>IF(B1003="","",VLOOKUP(B1003,小圆机汇总表!A:AP,8,FALSE))</f>
        <v/>
      </c>
      <c r="P1003" s="8" t="str">
        <f t="shared" si="63"/>
        <v/>
      </c>
      <c r="R1003" s="250" t="str">
        <f t="shared" si="62"/>
        <v/>
      </c>
    </row>
    <row r="1004" spans="1:18">
      <c r="A1004" s="4">
        <v>1013</v>
      </c>
      <c r="C1004" s="8" t="str">
        <f>IF(B1004="","",VLOOKUP(B1004,经纬!B:C,2,FALSE))</f>
        <v/>
      </c>
      <c r="D1004" s="8" t="str">
        <f>IF(B1004="","",VLOOKUP(B1004,经纬!B:G,6,FALSE))</f>
        <v/>
      </c>
      <c r="F1004" s="8" t="str">
        <f>IF(B1004="","",VLOOKUP(B1004,小圆机汇总表!A:AP,5,FALSE))</f>
        <v/>
      </c>
      <c r="G1004" s="8" t="str">
        <f>IF(B1004="","",VLOOKUP(B1004,小圆机汇总表!A:AP,8,FALSE))</f>
        <v/>
      </c>
      <c r="P1004" s="8" t="str">
        <f t="shared" si="63"/>
        <v/>
      </c>
      <c r="R1004" s="250" t="str">
        <f t="shared" si="62"/>
        <v/>
      </c>
    </row>
    <row r="1005" spans="1:18">
      <c r="A1005" s="4">
        <v>1014</v>
      </c>
      <c r="C1005" s="8" t="str">
        <f>IF(B1005="","",VLOOKUP(B1005,经纬!B:C,2,FALSE))</f>
        <v/>
      </c>
      <c r="D1005" s="8" t="str">
        <f>IF(B1005="","",VLOOKUP(B1005,经纬!B:G,6,FALSE))</f>
        <v/>
      </c>
      <c r="F1005" s="8" t="str">
        <f>IF(B1005="","",VLOOKUP(B1005,小圆机汇总表!A:AP,5,FALSE))</f>
        <v/>
      </c>
      <c r="G1005" s="8" t="str">
        <f>IF(B1005="","",VLOOKUP(B1005,小圆机汇总表!A:AP,8,FALSE))</f>
        <v/>
      </c>
      <c r="P1005" s="8" t="str">
        <f t="shared" si="63"/>
        <v/>
      </c>
      <c r="R1005" s="250" t="str">
        <f t="shared" si="62"/>
        <v/>
      </c>
    </row>
    <row r="1006" spans="1:18">
      <c r="A1006" s="4">
        <v>1015</v>
      </c>
      <c r="C1006" s="8" t="str">
        <f>IF(B1006="","",VLOOKUP(B1006,经纬!B:C,2,FALSE))</f>
        <v/>
      </c>
      <c r="D1006" s="8" t="str">
        <f>IF(B1006="","",VLOOKUP(B1006,经纬!B:G,6,FALSE))</f>
        <v/>
      </c>
      <c r="F1006" s="8" t="str">
        <f>IF(B1006="","",VLOOKUP(B1006,小圆机汇总表!A:AP,5,FALSE))</f>
        <v/>
      </c>
      <c r="G1006" s="8" t="str">
        <f>IF(B1006="","",VLOOKUP(B1006,小圆机汇总表!A:AP,8,FALSE))</f>
        <v/>
      </c>
      <c r="P1006" s="8" t="str">
        <f t="shared" si="63"/>
        <v/>
      </c>
      <c r="R1006" s="250" t="str">
        <f t="shared" si="62"/>
        <v/>
      </c>
    </row>
    <row r="1007" spans="1:18">
      <c r="A1007" s="4">
        <v>1016</v>
      </c>
      <c r="C1007" s="8" t="str">
        <f>IF(B1007="","",VLOOKUP(B1007,经纬!B:C,2,FALSE))</f>
        <v/>
      </c>
      <c r="D1007" s="8" t="str">
        <f>IF(B1007="","",VLOOKUP(B1007,经纬!B:G,6,FALSE))</f>
        <v/>
      </c>
      <c r="F1007" s="8" t="str">
        <f>IF(B1007="","",VLOOKUP(B1007,小圆机汇总表!A:AP,5,FALSE))</f>
        <v/>
      </c>
      <c r="G1007" s="8" t="str">
        <f>IF(B1007="","",VLOOKUP(B1007,小圆机汇总表!A:AP,8,FALSE))</f>
        <v/>
      </c>
      <c r="P1007" s="8" t="str">
        <f t="shared" si="63"/>
        <v/>
      </c>
      <c r="R1007" s="250" t="str">
        <f t="shared" si="62"/>
        <v/>
      </c>
    </row>
    <row r="1008" spans="1:18">
      <c r="A1008" s="4">
        <v>1017</v>
      </c>
      <c r="C1008" s="8" t="str">
        <f>IF(B1008="","",VLOOKUP(B1008,经纬!B:C,2,FALSE))</f>
        <v/>
      </c>
      <c r="D1008" s="8" t="str">
        <f>IF(B1008="","",VLOOKUP(B1008,经纬!B:G,6,FALSE))</f>
        <v/>
      </c>
      <c r="F1008" s="8" t="str">
        <f>IF(B1008="","",VLOOKUP(B1008,小圆机汇总表!A:AP,5,FALSE))</f>
        <v/>
      </c>
      <c r="G1008" s="8" t="str">
        <f>IF(B1008="","",VLOOKUP(B1008,小圆机汇总表!A:AP,8,FALSE))</f>
        <v/>
      </c>
      <c r="P1008" s="8" t="str">
        <f t="shared" si="63"/>
        <v/>
      </c>
      <c r="R1008" s="250" t="str">
        <f t="shared" si="62"/>
        <v/>
      </c>
    </row>
    <row r="1009" spans="1:18">
      <c r="A1009" s="4">
        <v>1018</v>
      </c>
      <c r="C1009" s="8" t="str">
        <f>IF(B1009="","",VLOOKUP(B1009,经纬!B:C,2,FALSE))</f>
        <v/>
      </c>
      <c r="D1009" s="8" t="str">
        <f>IF(B1009="","",VLOOKUP(B1009,经纬!B:G,6,FALSE))</f>
        <v/>
      </c>
      <c r="F1009" s="8" t="str">
        <f>IF(B1009="","",VLOOKUP(B1009,小圆机汇总表!A:AP,5,FALSE))</f>
        <v/>
      </c>
      <c r="G1009" s="8" t="str">
        <f>IF(B1009="","",VLOOKUP(B1009,小圆机汇总表!A:AP,8,FALSE))</f>
        <v/>
      </c>
      <c r="P1009" s="8" t="str">
        <f t="shared" si="63"/>
        <v/>
      </c>
      <c r="R1009" s="250" t="str">
        <f t="shared" si="62"/>
        <v/>
      </c>
    </row>
    <row r="1010" spans="1:18">
      <c r="A1010" s="4">
        <v>1019</v>
      </c>
      <c r="C1010" s="8" t="str">
        <f>IF(B1010="","",VLOOKUP(B1010,经纬!B:C,2,FALSE))</f>
        <v/>
      </c>
      <c r="D1010" s="8" t="str">
        <f>IF(B1010="","",VLOOKUP(B1010,经纬!B:G,6,FALSE))</f>
        <v/>
      </c>
      <c r="F1010" s="8" t="str">
        <f>IF(B1010="","",VLOOKUP(B1010,小圆机汇总表!A:AP,5,FALSE))</f>
        <v/>
      </c>
      <c r="G1010" s="8" t="str">
        <f>IF(B1010="","",VLOOKUP(B1010,小圆机汇总表!A:AP,8,FALSE))</f>
        <v/>
      </c>
      <c r="P1010" s="8" t="str">
        <f t="shared" si="63"/>
        <v/>
      </c>
      <c r="R1010" s="250" t="str">
        <f t="shared" si="62"/>
        <v/>
      </c>
    </row>
    <row r="1011" spans="1:18">
      <c r="A1011" s="4">
        <v>1020</v>
      </c>
      <c r="C1011" s="8" t="str">
        <f>IF(B1011="","",VLOOKUP(B1011,经纬!B:C,2,FALSE))</f>
        <v/>
      </c>
      <c r="D1011" s="8" t="str">
        <f>IF(B1011="","",VLOOKUP(B1011,经纬!B:G,6,FALSE))</f>
        <v/>
      </c>
      <c r="F1011" s="8" t="str">
        <f>IF(B1011="","",VLOOKUP(B1011,小圆机汇总表!A:AP,5,FALSE))</f>
        <v/>
      </c>
      <c r="G1011" s="8" t="str">
        <f>IF(B1011="","",VLOOKUP(B1011,小圆机汇总表!A:AP,8,FALSE))</f>
        <v/>
      </c>
      <c r="P1011" s="8" t="str">
        <f t="shared" si="63"/>
        <v/>
      </c>
      <c r="R1011" s="250" t="str">
        <f t="shared" si="62"/>
        <v/>
      </c>
    </row>
    <row r="1012" spans="1:18">
      <c r="A1012" s="4">
        <v>1021</v>
      </c>
      <c r="C1012" s="8" t="str">
        <f>IF(B1012="","",VLOOKUP(B1012,经纬!B:C,2,FALSE))</f>
        <v/>
      </c>
      <c r="D1012" s="8" t="str">
        <f>IF(B1012="","",VLOOKUP(B1012,经纬!B:G,6,FALSE))</f>
        <v/>
      </c>
      <c r="F1012" s="8" t="str">
        <f>IF(B1012="","",VLOOKUP(B1012,小圆机汇总表!A:AP,5,FALSE))</f>
        <v/>
      </c>
      <c r="G1012" s="8" t="str">
        <f>IF(B1012="","",VLOOKUP(B1012,小圆机汇总表!A:AP,8,FALSE))</f>
        <v/>
      </c>
      <c r="P1012" s="8" t="str">
        <f t="shared" si="63"/>
        <v/>
      </c>
      <c r="R1012" s="250" t="str">
        <f t="shared" si="62"/>
        <v/>
      </c>
    </row>
    <row r="1013" spans="1:18">
      <c r="A1013" s="4">
        <v>1022</v>
      </c>
      <c r="C1013" s="8" t="str">
        <f>IF(B1013="","",VLOOKUP(B1013,经纬!B:C,2,FALSE))</f>
        <v/>
      </c>
      <c r="D1013" s="8" t="str">
        <f>IF(B1013="","",VLOOKUP(B1013,经纬!B:G,6,FALSE))</f>
        <v/>
      </c>
      <c r="F1013" s="8" t="str">
        <f>IF(B1013="","",VLOOKUP(B1013,小圆机汇总表!A:AP,5,FALSE))</f>
        <v/>
      </c>
      <c r="G1013" s="8" t="str">
        <f>IF(B1013="","",VLOOKUP(B1013,小圆机汇总表!A:AP,8,FALSE))</f>
        <v/>
      </c>
      <c r="P1013" s="8" t="str">
        <f t="shared" si="63"/>
        <v/>
      </c>
      <c r="R1013" s="250" t="str">
        <f t="shared" si="62"/>
        <v/>
      </c>
    </row>
    <row r="1014" spans="1:18">
      <c r="A1014" s="4">
        <v>1023</v>
      </c>
      <c r="C1014" s="8" t="str">
        <f>IF(B1014="","",VLOOKUP(B1014,经纬!B:C,2,FALSE))</f>
        <v/>
      </c>
      <c r="D1014" s="8" t="str">
        <f>IF(B1014="","",VLOOKUP(B1014,经纬!B:G,6,FALSE))</f>
        <v/>
      </c>
      <c r="F1014" s="8" t="str">
        <f>IF(B1014="","",VLOOKUP(B1014,小圆机汇总表!A:AP,5,FALSE))</f>
        <v/>
      </c>
      <c r="G1014" s="8" t="str">
        <f>IF(B1014="","",VLOOKUP(B1014,小圆机汇总表!A:AP,8,FALSE))</f>
        <v/>
      </c>
      <c r="P1014" s="8" t="str">
        <f t="shared" si="63"/>
        <v/>
      </c>
      <c r="R1014" s="250" t="str">
        <f t="shared" si="62"/>
        <v/>
      </c>
    </row>
    <row r="1015" spans="1:18">
      <c r="A1015" s="4">
        <v>1024</v>
      </c>
      <c r="C1015" s="8" t="str">
        <f>IF(B1015="","",VLOOKUP(B1015,经纬!B:C,2,FALSE))</f>
        <v/>
      </c>
      <c r="D1015" s="8" t="str">
        <f>IF(B1015="","",VLOOKUP(B1015,经纬!B:G,6,FALSE))</f>
        <v/>
      </c>
      <c r="F1015" s="8" t="str">
        <f>IF(B1015="","",VLOOKUP(B1015,小圆机汇总表!A:AP,5,FALSE))</f>
        <v/>
      </c>
      <c r="G1015" s="8" t="str">
        <f>IF(B1015="","",VLOOKUP(B1015,小圆机汇总表!A:AP,8,FALSE))</f>
        <v/>
      </c>
      <c r="P1015" s="8" t="str">
        <f t="shared" si="63"/>
        <v/>
      </c>
      <c r="R1015" s="250" t="str">
        <f t="shared" si="62"/>
        <v/>
      </c>
    </row>
    <row r="1016" spans="1:18">
      <c r="A1016" s="4">
        <v>1025</v>
      </c>
      <c r="C1016" s="8" t="str">
        <f>IF(B1016="","",VLOOKUP(B1016,经纬!B:C,2,FALSE))</f>
        <v/>
      </c>
      <c r="D1016" s="8" t="str">
        <f>IF(B1016="","",VLOOKUP(B1016,经纬!B:G,6,FALSE))</f>
        <v/>
      </c>
      <c r="F1016" s="8" t="str">
        <f>IF(B1016="","",VLOOKUP(B1016,小圆机汇总表!A:AP,5,FALSE))</f>
        <v/>
      </c>
      <c r="G1016" s="8" t="str">
        <f>IF(B1016="","",VLOOKUP(B1016,小圆机汇总表!A:AP,8,FALSE))</f>
        <v/>
      </c>
      <c r="P1016" s="8" t="str">
        <f t="shared" si="63"/>
        <v/>
      </c>
      <c r="R1016" s="250" t="str">
        <f t="shared" si="62"/>
        <v/>
      </c>
    </row>
    <row r="1017" spans="1:18">
      <c r="A1017" s="4">
        <v>1026</v>
      </c>
      <c r="C1017" s="8" t="str">
        <f>IF(B1017="","",VLOOKUP(B1017,经纬!B:C,2,FALSE))</f>
        <v/>
      </c>
      <c r="D1017" s="8" t="str">
        <f>IF(B1017="","",VLOOKUP(B1017,经纬!B:G,6,FALSE))</f>
        <v/>
      </c>
      <c r="F1017" s="8" t="str">
        <f>IF(B1017="","",VLOOKUP(B1017,小圆机汇总表!A:AP,5,FALSE))</f>
        <v/>
      </c>
      <c r="G1017" s="8" t="str">
        <f>IF(B1017="","",VLOOKUP(B1017,小圆机汇总表!A:AP,8,FALSE))</f>
        <v/>
      </c>
      <c r="P1017" s="8" t="str">
        <f t="shared" si="63"/>
        <v/>
      </c>
      <c r="R1017" s="250" t="str">
        <f t="shared" si="62"/>
        <v/>
      </c>
    </row>
    <row r="1018" spans="1:18">
      <c r="A1018" s="4">
        <v>1027</v>
      </c>
      <c r="C1018" s="8" t="str">
        <f>IF(B1018="","",VLOOKUP(B1018,经纬!B:C,2,FALSE))</f>
        <v/>
      </c>
      <c r="D1018" s="8" t="str">
        <f>IF(B1018="","",VLOOKUP(B1018,经纬!B:G,6,FALSE))</f>
        <v/>
      </c>
      <c r="F1018" s="8" t="str">
        <f>IF(B1018="","",VLOOKUP(B1018,小圆机汇总表!A:AP,5,FALSE))</f>
        <v/>
      </c>
      <c r="G1018" s="8" t="str">
        <f>IF(B1018="","",VLOOKUP(B1018,小圆机汇总表!A:AP,8,FALSE))</f>
        <v/>
      </c>
      <c r="P1018" s="8" t="str">
        <f t="shared" si="63"/>
        <v/>
      </c>
      <c r="R1018" s="250" t="str">
        <f t="shared" si="62"/>
        <v/>
      </c>
    </row>
    <row r="1019" spans="1:18">
      <c r="A1019" s="4">
        <v>1028</v>
      </c>
      <c r="C1019" s="8" t="str">
        <f>IF(B1019="","",VLOOKUP(B1019,经纬!B:C,2,FALSE))</f>
        <v/>
      </c>
      <c r="D1019" s="8" t="str">
        <f>IF(B1019="","",VLOOKUP(B1019,经纬!B:G,6,FALSE))</f>
        <v/>
      </c>
      <c r="F1019" s="8" t="str">
        <f>IF(B1019="","",VLOOKUP(B1019,小圆机汇总表!A:AP,5,FALSE))</f>
        <v/>
      </c>
      <c r="G1019" s="8" t="str">
        <f>IF(B1019="","",VLOOKUP(B1019,小圆机汇总表!A:AP,8,FALSE))</f>
        <v/>
      </c>
      <c r="P1019" s="8" t="str">
        <f t="shared" si="63"/>
        <v/>
      </c>
      <c r="R1019" s="250" t="str">
        <f t="shared" si="62"/>
        <v/>
      </c>
    </row>
    <row r="1020" spans="1:18">
      <c r="A1020" s="4">
        <v>1029</v>
      </c>
      <c r="C1020" s="8" t="str">
        <f>IF(B1020="","",VLOOKUP(B1020,经纬!B:C,2,FALSE))</f>
        <v/>
      </c>
      <c r="D1020" s="8" t="str">
        <f>IF(B1020="","",VLOOKUP(B1020,经纬!B:G,6,FALSE))</f>
        <v/>
      </c>
      <c r="F1020" s="8" t="str">
        <f>IF(B1020="","",VLOOKUP(B1020,小圆机汇总表!A:AP,5,FALSE))</f>
        <v/>
      </c>
      <c r="G1020" s="8" t="str">
        <f>IF(B1020="","",VLOOKUP(B1020,小圆机汇总表!A:AP,8,FALSE))</f>
        <v/>
      </c>
      <c r="P1020" s="8" t="str">
        <f t="shared" si="63"/>
        <v/>
      </c>
      <c r="R1020" s="250" t="str">
        <f t="shared" si="62"/>
        <v/>
      </c>
    </row>
    <row r="1021" spans="1:18">
      <c r="A1021" s="4">
        <v>1030</v>
      </c>
      <c r="C1021" s="8" t="str">
        <f>IF(B1021="","",VLOOKUP(B1021,经纬!B:C,2,FALSE))</f>
        <v/>
      </c>
      <c r="D1021" s="8" t="str">
        <f>IF(B1021="","",VLOOKUP(B1021,经纬!B:G,6,FALSE))</f>
        <v/>
      </c>
      <c r="F1021" s="8" t="str">
        <f>IF(B1021="","",VLOOKUP(B1021,小圆机汇总表!A:AP,5,FALSE))</f>
        <v/>
      </c>
      <c r="G1021" s="8" t="str">
        <f>IF(B1021="","",VLOOKUP(B1021,小圆机汇总表!A:AP,8,FALSE))</f>
        <v/>
      </c>
      <c r="P1021" s="8" t="str">
        <f t="shared" si="63"/>
        <v/>
      </c>
      <c r="R1021" s="250" t="str">
        <f t="shared" si="62"/>
        <v/>
      </c>
    </row>
    <row r="1022" spans="1:18">
      <c r="A1022" s="4">
        <v>1031</v>
      </c>
      <c r="C1022" s="8" t="str">
        <f>IF(B1022="","",VLOOKUP(B1022,经纬!B:C,2,FALSE))</f>
        <v/>
      </c>
      <c r="D1022" s="8" t="str">
        <f>IF(B1022="","",VLOOKUP(B1022,经纬!B:G,6,FALSE))</f>
        <v/>
      </c>
      <c r="F1022" s="8" t="str">
        <f>IF(B1022="","",VLOOKUP(B1022,小圆机汇总表!A:AP,5,FALSE))</f>
        <v/>
      </c>
      <c r="G1022" s="8" t="str">
        <f>IF(B1022="","",VLOOKUP(B1022,小圆机汇总表!A:AP,8,FALSE))</f>
        <v/>
      </c>
      <c r="P1022" s="8" t="str">
        <f t="shared" si="63"/>
        <v/>
      </c>
      <c r="R1022" s="250" t="str">
        <f t="shared" si="62"/>
        <v/>
      </c>
    </row>
    <row r="1023" spans="1:18">
      <c r="A1023" s="4">
        <v>1032</v>
      </c>
      <c r="C1023" s="8" t="str">
        <f>IF(B1023="","",VLOOKUP(B1023,经纬!B:C,2,FALSE))</f>
        <v/>
      </c>
      <c r="D1023" s="8" t="str">
        <f>IF(B1023="","",VLOOKUP(B1023,经纬!B:G,6,FALSE))</f>
        <v/>
      </c>
      <c r="F1023" s="8" t="str">
        <f>IF(B1023="","",VLOOKUP(B1023,小圆机汇总表!A:AP,5,FALSE))</f>
        <v/>
      </c>
      <c r="G1023" s="8" t="str">
        <f>IF(B1023="","",VLOOKUP(B1023,小圆机汇总表!A:AP,8,FALSE))</f>
        <v/>
      </c>
      <c r="P1023" s="8" t="str">
        <f t="shared" si="63"/>
        <v/>
      </c>
      <c r="R1023" s="250" t="str">
        <f t="shared" si="62"/>
        <v/>
      </c>
    </row>
    <row r="1024" spans="1:18">
      <c r="A1024" s="4">
        <v>1033</v>
      </c>
      <c r="C1024" s="8" t="str">
        <f>IF(B1024="","",VLOOKUP(B1024,经纬!B:C,2,FALSE))</f>
        <v/>
      </c>
      <c r="D1024" s="8" t="str">
        <f>IF(B1024="","",VLOOKUP(B1024,经纬!B:G,6,FALSE))</f>
        <v/>
      </c>
      <c r="F1024" s="8" t="str">
        <f>IF(B1024="","",VLOOKUP(B1024,小圆机汇总表!A:AP,5,FALSE))</f>
        <v/>
      </c>
      <c r="G1024" s="8" t="str">
        <f>IF(B1024="","",VLOOKUP(B1024,小圆机汇总表!A:AP,8,FALSE))</f>
        <v/>
      </c>
      <c r="P1024" s="8" t="str">
        <f t="shared" si="63"/>
        <v/>
      </c>
      <c r="R1024" s="250" t="str">
        <f t="shared" si="62"/>
        <v/>
      </c>
    </row>
    <row r="1025" spans="1:18">
      <c r="A1025" s="4">
        <v>1034</v>
      </c>
      <c r="C1025" s="8" t="str">
        <f>IF(B1025="","",VLOOKUP(B1025,经纬!B:C,2,FALSE))</f>
        <v/>
      </c>
      <c r="D1025" s="8" t="str">
        <f>IF(B1025="","",VLOOKUP(B1025,经纬!B:G,6,FALSE))</f>
        <v/>
      </c>
      <c r="F1025" s="8" t="str">
        <f>IF(B1025="","",VLOOKUP(B1025,小圆机汇总表!A:AP,5,FALSE))</f>
        <v/>
      </c>
      <c r="G1025" s="8" t="str">
        <f>IF(B1025="","",VLOOKUP(B1025,小圆机汇总表!A:AP,8,FALSE))</f>
        <v/>
      </c>
      <c r="P1025" s="8" t="str">
        <f t="shared" si="63"/>
        <v/>
      </c>
      <c r="R1025" s="250" t="str">
        <f t="shared" si="62"/>
        <v/>
      </c>
    </row>
    <row r="1026" spans="1:18">
      <c r="A1026" s="4">
        <v>1035</v>
      </c>
      <c r="C1026" s="8" t="str">
        <f>IF(B1026="","",VLOOKUP(B1026,经纬!B:C,2,FALSE))</f>
        <v/>
      </c>
      <c r="D1026" s="8" t="str">
        <f>IF(B1026="","",VLOOKUP(B1026,经纬!B:G,6,FALSE))</f>
        <v/>
      </c>
      <c r="F1026" s="8" t="str">
        <f>IF(B1026="","",VLOOKUP(B1026,小圆机汇总表!A:AP,5,FALSE))</f>
        <v/>
      </c>
      <c r="G1026" s="8" t="str">
        <f>IF(B1026="","",VLOOKUP(B1026,小圆机汇总表!A:AP,8,FALSE))</f>
        <v/>
      </c>
      <c r="P1026" s="8" t="str">
        <f t="shared" si="63"/>
        <v/>
      </c>
      <c r="R1026" s="250" t="str">
        <f t="shared" si="62"/>
        <v/>
      </c>
    </row>
    <row r="1027" spans="1:18">
      <c r="A1027" s="4">
        <v>1036</v>
      </c>
      <c r="C1027" s="8" t="str">
        <f>IF(B1027="","",VLOOKUP(B1027,经纬!B:C,2,FALSE))</f>
        <v/>
      </c>
      <c r="D1027" s="8" t="str">
        <f>IF(B1027="","",VLOOKUP(B1027,经纬!B:G,6,FALSE))</f>
        <v/>
      </c>
      <c r="F1027" s="8" t="str">
        <f>IF(B1027="","",VLOOKUP(B1027,小圆机汇总表!A:AP,5,FALSE))</f>
        <v/>
      </c>
      <c r="G1027" s="8" t="str">
        <f>IF(B1027="","",VLOOKUP(B1027,小圆机汇总表!A:AP,8,FALSE))</f>
        <v/>
      </c>
      <c r="P1027" s="8" t="str">
        <f t="shared" si="63"/>
        <v/>
      </c>
      <c r="R1027" s="250" t="str">
        <f t="shared" ref="R1027:R1090" si="64">IF(B1027="","",MONTH(I1027))</f>
        <v/>
      </c>
    </row>
    <row r="1028" spans="1:18">
      <c r="A1028" s="4">
        <v>1037</v>
      </c>
      <c r="C1028" s="8" t="str">
        <f>IF(B1028="","",VLOOKUP(B1028,经纬!B:C,2,FALSE))</f>
        <v/>
      </c>
      <c r="D1028" s="8" t="str">
        <f>IF(B1028="","",VLOOKUP(B1028,经纬!B:G,6,FALSE))</f>
        <v/>
      </c>
      <c r="F1028" s="8" t="str">
        <f>IF(B1028="","",VLOOKUP(B1028,小圆机汇总表!A:AP,5,FALSE))</f>
        <v/>
      </c>
      <c r="G1028" s="8" t="str">
        <f>IF(B1028="","",VLOOKUP(B1028,小圆机汇总表!A:AP,8,FALSE))</f>
        <v/>
      </c>
      <c r="P1028" s="8" t="str">
        <f t="shared" si="63"/>
        <v/>
      </c>
      <c r="R1028" s="250" t="str">
        <f t="shared" si="64"/>
        <v/>
      </c>
    </row>
    <row r="1029" spans="1:18">
      <c r="A1029" s="4">
        <v>1038</v>
      </c>
      <c r="C1029" s="8" t="str">
        <f>IF(B1029="","",VLOOKUP(B1029,经纬!B:C,2,FALSE))</f>
        <v/>
      </c>
      <c r="D1029" s="8" t="str">
        <f>IF(B1029="","",VLOOKUP(B1029,经纬!B:G,6,FALSE))</f>
        <v/>
      </c>
      <c r="F1029" s="8" t="str">
        <f>IF(B1029="","",VLOOKUP(B1029,小圆机汇总表!A:AP,5,FALSE))</f>
        <v/>
      </c>
      <c r="G1029" s="8" t="str">
        <f>IF(B1029="","",VLOOKUP(B1029,小圆机汇总表!A:AP,8,FALSE))</f>
        <v/>
      </c>
      <c r="P1029" s="8" t="str">
        <f t="shared" si="63"/>
        <v/>
      </c>
      <c r="R1029" s="250" t="str">
        <f t="shared" si="64"/>
        <v/>
      </c>
    </row>
    <row r="1030" spans="1:18">
      <c r="A1030" s="4">
        <v>1039</v>
      </c>
      <c r="C1030" s="8" t="str">
        <f>IF(B1030="","",VLOOKUP(B1030,经纬!B:C,2,FALSE))</f>
        <v/>
      </c>
      <c r="D1030" s="8" t="str">
        <f>IF(B1030="","",VLOOKUP(B1030,经纬!B:G,6,FALSE))</f>
        <v/>
      </c>
      <c r="F1030" s="8" t="str">
        <f>IF(B1030="","",VLOOKUP(B1030,小圆机汇总表!A:AP,5,FALSE))</f>
        <v/>
      </c>
      <c r="G1030" s="8" t="str">
        <f>IF(B1030="","",VLOOKUP(B1030,小圆机汇总表!A:AP,8,FALSE))</f>
        <v/>
      </c>
      <c r="P1030" s="8" t="str">
        <f t="shared" si="63"/>
        <v/>
      </c>
      <c r="R1030" s="250" t="str">
        <f t="shared" si="64"/>
        <v/>
      </c>
    </row>
    <row r="1031" spans="1:18">
      <c r="A1031" s="4">
        <v>1040</v>
      </c>
      <c r="C1031" s="8" t="str">
        <f>IF(B1031="","",VLOOKUP(B1031,经纬!B:C,2,FALSE))</f>
        <v/>
      </c>
      <c r="D1031" s="8" t="str">
        <f>IF(B1031="","",VLOOKUP(B1031,经纬!B:G,6,FALSE))</f>
        <v/>
      </c>
      <c r="F1031" s="8" t="str">
        <f>IF(B1031="","",VLOOKUP(B1031,小圆机汇总表!A:AP,5,FALSE))</f>
        <v/>
      </c>
      <c r="G1031" s="8" t="str">
        <f>IF(B1031="","",VLOOKUP(B1031,小圆机汇总表!A:AP,8,FALSE))</f>
        <v/>
      </c>
      <c r="P1031" s="8" t="str">
        <f t="shared" si="63"/>
        <v/>
      </c>
      <c r="R1031" s="250" t="str">
        <f t="shared" si="64"/>
        <v/>
      </c>
    </row>
    <row r="1032" spans="1:18">
      <c r="A1032" s="4">
        <v>1041</v>
      </c>
      <c r="C1032" s="8" t="str">
        <f>IF(B1032="","",VLOOKUP(B1032,经纬!B:C,2,FALSE))</f>
        <v/>
      </c>
      <c r="D1032" s="8" t="str">
        <f>IF(B1032="","",VLOOKUP(B1032,经纬!B:G,6,FALSE))</f>
        <v/>
      </c>
      <c r="F1032" s="8" t="str">
        <f>IF(B1032="","",VLOOKUP(B1032,小圆机汇总表!A:AP,5,FALSE))</f>
        <v/>
      </c>
      <c r="G1032" s="8" t="str">
        <f>IF(B1032="","",VLOOKUP(B1032,小圆机汇总表!A:AP,8,FALSE))</f>
        <v/>
      </c>
      <c r="P1032" s="8" t="str">
        <f t="shared" si="63"/>
        <v/>
      </c>
      <c r="R1032" s="250" t="str">
        <f t="shared" si="64"/>
        <v/>
      </c>
    </row>
    <row r="1033" spans="1:18">
      <c r="A1033" s="4">
        <v>1042</v>
      </c>
      <c r="C1033" s="8" t="str">
        <f>IF(B1033="","",VLOOKUP(B1033,经纬!B:C,2,FALSE))</f>
        <v/>
      </c>
      <c r="D1033" s="8" t="str">
        <f>IF(B1033="","",VLOOKUP(B1033,经纬!B:G,6,FALSE))</f>
        <v/>
      </c>
      <c r="F1033" s="8" t="str">
        <f>IF(B1033="","",VLOOKUP(B1033,小圆机汇总表!A:AP,5,FALSE))</f>
        <v/>
      </c>
      <c r="G1033" s="8" t="str">
        <f>IF(B1033="","",VLOOKUP(B1033,小圆机汇总表!A:AP,8,FALSE))</f>
        <v/>
      </c>
      <c r="P1033" s="8" t="str">
        <f t="shared" si="63"/>
        <v/>
      </c>
      <c r="R1033" s="250" t="str">
        <f t="shared" si="64"/>
        <v/>
      </c>
    </row>
    <row r="1034" spans="1:18">
      <c r="A1034" s="4">
        <v>1043</v>
      </c>
      <c r="C1034" s="8" t="str">
        <f>IF(B1034="","",VLOOKUP(B1034,经纬!B:C,2,FALSE))</f>
        <v/>
      </c>
      <c r="D1034" s="8" t="str">
        <f>IF(B1034="","",VLOOKUP(B1034,经纬!B:G,6,FALSE))</f>
        <v/>
      </c>
      <c r="F1034" s="8" t="str">
        <f>IF(B1034="","",VLOOKUP(B1034,小圆机汇总表!A:AP,5,FALSE))</f>
        <v/>
      </c>
      <c r="G1034" s="8" t="str">
        <f>IF(B1034="","",VLOOKUP(B1034,小圆机汇总表!A:AP,8,FALSE))</f>
        <v/>
      </c>
      <c r="P1034" s="8" t="str">
        <f t="shared" si="63"/>
        <v/>
      </c>
      <c r="R1034" s="250" t="str">
        <f t="shared" si="64"/>
        <v/>
      </c>
    </row>
    <row r="1035" spans="1:18">
      <c r="A1035" s="4">
        <v>1044</v>
      </c>
      <c r="C1035" s="8" t="str">
        <f>IF(B1035="","",VLOOKUP(B1035,经纬!B:C,2,FALSE))</f>
        <v/>
      </c>
      <c r="D1035" s="8" t="str">
        <f>IF(B1035="","",VLOOKUP(B1035,经纬!B:G,6,FALSE))</f>
        <v/>
      </c>
      <c r="F1035" s="8" t="str">
        <f>IF(B1035="","",VLOOKUP(B1035,小圆机汇总表!A:AP,5,FALSE))</f>
        <v/>
      </c>
      <c r="G1035" s="8" t="str">
        <f>IF(B1035="","",VLOOKUP(B1035,小圆机汇总表!A:AP,8,FALSE))</f>
        <v/>
      </c>
      <c r="P1035" s="8" t="str">
        <f t="shared" si="63"/>
        <v/>
      </c>
      <c r="R1035" s="250" t="str">
        <f t="shared" si="64"/>
        <v/>
      </c>
    </row>
    <row r="1036" spans="1:18">
      <c r="A1036" s="4">
        <v>1045</v>
      </c>
      <c r="C1036" s="8" t="str">
        <f>IF(B1036="","",VLOOKUP(B1036,经纬!B:C,2,FALSE))</f>
        <v/>
      </c>
      <c r="D1036" s="8" t="str">
        <f>IF(B1036="","",VLOOKUP(B1036,经纬!B:G,6,FALSE))</f>
        <v/>
      </c>
      <c r="F1036" s="8" t="str">
        <f>IF(B1036="","",VLOOKUP(B1036,小圆机汇总表!A:AP,5,FALSE))</f>
        <v/>
      </c>
      <c r="G1036" s="8" t="str">
        <f>IF(B1036="","",VLOOKUP(B1036,小圆机汇总表!A:AP,8,FALSE))</f>
        <v/>
      </c>
      <c r="P1036" s="8" t="str">
        <f t="shared" si="63"/>
        <v/>
      </c>
      <c r="R1036" s="250" t="str">
        <f t="shared" si="64"/>
        <v/>
      </c>
    </row>
    <row r="1037" spans="1:18">
      <c r="A1037" s="4">
        <v>1046</v>
      </c>
      <c r="C1037" s="8" t="str">
        <f>IF(B1037="","",VLOOKUP(B1037,经纬!B:C,2,FALSE))</f>
        <v/>
      </c>
      <c r="D1037" s="8" t="str">
        <f>IF(B1037="","",VLOOKUP(B1037,经纬!B:G,6,FALSE))</f>
        <v/>
      </c>
      <c r="F1037" s="8" t="str">
        <f>IF(B1037="","",VLOOKUP(B1037,小圆机汇总表!A:AP,5,FALSE))</f>
        <v/>
      </c>
      <c r="G1037" s="8" t="str">
        <f>IF(B1037="","",VLOOKUP(B1037,小圆机汇总表!A:AP,8,FALSE))</f>
        <v/>
      </c>
      <c r="P1037" s="8" t="str">
        <f t="shared" si="63"/>
        <v/>
      </c>
      <c r="R1037" s="250" t="str">
        <f t="shared" si="64"/>
        <v/>
      </c>
    </row>
    <row r="1038" spans="1:18">
      <c r="A1038" s="4">
        <v>1047</v>
      </c>
      <c r="C1038" s="8" t="str">
        <f>IF(B1038="","",VLOOKUP(B1038,经纬!B:C,2,FALSE))</f>
        <v/>
      </c>
      <c r="D1038" s="8" t="str">
        <f>IF(B1038="","",VLOOKUP(B1038,经纬!B:G,6,FALSE))</f>
        <v/>
      </c>
      <c r="F1038" s="8" t="str">
        <f>IF(B1038="","",VLOOKUP(B1038,小圆机汇总表!A:AP,5,FALSE))</f>
        <v/>
      </c>
      <c r="G1038" s="8" t="str">
        <f>IF(B1038="","",VLOOKUP(B1038,小圆机汇总表!A:AP,8,FALSE))</f>
        <v/>
      </c>
      <c r="P1038" s="8" t="str">
        <f t="shared" si="63"/>
        <v/>
      </c>
      <c r="R1038" s="250" t="str">
        <f t="shared" si="64"/>
        <v/>
      </c>
    </row>
    <row r="1039" spans="1:18">
      <c r="A1039" s="4">
        <v>1048</v>
      </c>
      <c r="C1039" s="8" t="str">
        <f>IF(B1039="","",VLOOKUP(B1039,经纬!B:C,2,FALSE))</f>
        <v/>
      </c>
      <c r="D1039" s="8" t="str">
        <f>IF(B1039="","",VLOOKUP(B1039,经纬!B:G,6,FALSE))</f>
        <v/>
      </c>
      <c r="F1039" s="8" t="str">
        <f>IF(B1039="","",VLOOKUP(B1039,小圆机汇总表!A:AP,5,FALSE))</f>
        <v/>
      </c>
      <c r="G1039" s="8" t="str">
        <f>IF(B1039="","",VLOOKUP(B1039,小圆机汇总表!A:AP,8,FALSE))</f>
        <v/>
      </c>
      <c r="P1039" s="8" t="str">
        <f t="shared" si="63"/>
        <v/>
      </c>
      <c r="R1039" s="250" t="str">
        <f t="shared" si="64"/>
        <v/>
      </c>
    </row>
    <row r="1040" spans="1:18">
      <c r="A1040" s="4">
        <v>1049</v>
      </c>
      <c r="C1040" s="8" t="str">
        <f>IF(B1040="","",VLOOKUP(B1040,经纬!B:C,2,FALSE))</f>
        <v/>
      </c>
      <c r="D1040" s="8" t="str">
        <f>IF(B1040="","",VLOOKUP(B1040,经纬!B:G,6,FALSE))</f>
        <v/>
      </c>
      <c r="F1040" s="8" t="str">
        <f>IF(B1040="","",VLOOKUP(B1040,小圆机汇总表!A:AP,5,FALSE))</f>
        <v/>
      </c>
      <c r="G1040" s="8" t="str">
        <f>IF(B1040="","",VLOOKUP(B1040,小圆机汇总表!A:AP,8,FALSE))</f>
        <v/>
      </c>
      <c r="P1040" s="8" t="str">
        <f t="shared" si="63"/>
        <v/>
      </c>
      <c r="R1040" s="250" t="str">
        <f t="shared" si="64"/>
        <v/>
      </c>
    </row>
    <row r="1041" spans="1:18">
      <c r="A1041" s="4">
        <v>1050</v>
      </c>
      <c r="C1041" s="8" t="str">
        <f>IF(B1041="","",VLOOKUP(B1041,经纬!B:C,2,FALSE))</f>
        <v/>
      </c>
      <c r="D1041" s="8" t="str">
        <f>IF(B1041="","",VLOOKUP(B1041,经纬!B:G,6,FALSE))</f>
        <v/>
      </c>
      <c r="F1041" s="8" t="str">
        <f>IF(B1041="","",VLOOKUP(B1041,小圆机汇总表!A:AP,5,FALSE))</f>
        <v/>
      </c>
      <c r="G1041" s="8" t="str">
        <f>IF(B1041="","",VLOOKUP(B1041,小圆机汇总表!A:AP,8,FALSE))</f>
        <v/>
      </c>
      <c r="P1041" s="8" t="str">
        <f t="shared" si="63"/>
        <v/>
      </c>
      <c r="R1041" s="250" t="str">
        <f t="shared" si="64"/>
        <v/>
      </c>
    </row>
    <row r="1042" spans="1:18">
      <c r="A1042" s="4">
        <v>1051</v>
      </c>
      <c r="C1042" s="8" t="str">
        <f>IF(B1042="","",VLOOKUP(B1042,经纬!B:C,2,FALSE))</f>
        <v/>
      </c>
      <c r="D1042" s="8" t="str">
        <f>IF(B1042="","",VLOOKUP(B1042,经纬!B:G,6,FALSE))</f>
        <v/>
      </c>
      <c r="F1042" s="8" t="str">
        <f>IF(B1042="","",VLOOKUP(B1042,小圆机汇总表!A:AP,5,FALSE))</f>
        <v/>
      </c>
      <c r="G1042" s="8" t="str">
        <f>IF(B1042="","",VLOOKUP(B1042,小圆机汇总表!A:AP,8,FALSE))</f>
        <v/>
      </c>
      <c r="P1042" s="8" t="str">
        <f t="shared" si="63"/>
        <v/>
      </c>
      <c r="R1042" s="250" t="str">
        <f t="shared" si="64"/>
        <v/>
      </c>
    </row>
    <row r="1043" spans="1:18">
      <c r="A1043" s="4">
        <v>1052</v>
      </c>
      <c r="C1043" s="8" t="str">
        <f>IF(B1043="","",VLOOKUP(B1043,经纬!B:C,2,FALSE))</f>
        <v/>
      </c>
      <c r="D1043" s="8" t="str">
        <f>IF(B1043="","",VLOOKUP(B1043,经纬!B:G,6,FALSE))</f>
        <v/>
      </c>
      <c r="F1043" s="8" t="str">
        <f>IF(B1043="","",VLOOKUP(B1043,小圆机汇总表!A:AP,5,FALSE))</f>
        <v/>
      </c>
      <c r="G1043" s="8" t="str">
        <f>IF(B1043="","",VLOOKUP(B1043,小圆机汇总表!A:AP,8,FALSE))</f>
        <v/>
      </c>
      <c r="P1043" s="8" t="str">
        <f t="shared" si="63"/>
        <v/>
      </c>
      <c r="R1043" s="250" t="str">
        <f t="shared" si="64"/>
        <v/>
      </c>
    </row>
    <row r="1044" spans="1:18">
      <c r="A1044" s="4">
        <v>1053</v>
      </c>
      <c r="C1044" s="8" t="str">
        <f>IF(B1044="","",VLOOKUP(B1044,经纬!B:C,2,FALSE))</f>
        <v/>
      </c>
      <c r="D1044" s="8" t="str">
        <f>IF(B1044="","",VLOOKUP(B1044,经纬!B:G,6,FALSE))</f>
        <v/>
      </c>
      <c r="F1044" s="8" t="str">
        <f>IF(B1044="","",VLOOKUP(B1044,小圆机汇总表!A:AP,5,FALSE))</f>
        <v/>
      </c>
      <c r="G1044" s="8" t="str">
        <f>IF(B1044="","",VLOOKUP(B1044,小圆机汇总表!A:AP,8,FALSE))</f>
        <v/>
      </c>
      <c r="P1044" s="8" t="str">
        <f t="shared" si="63"/>
        <v/>
      </c>
      <c r="R1044" s="250" t="str">
        <f t="shared" si="64"/>
        <v/>
      </c>
    </row>
    <row r="1045" spans="1:18">
      <c r="A1045" s="4">
        <v>1054</v>
      </c>
      <c r="C1045" s="8" t="str">
        <f>IF(B1045="","",VLOOKUP(B1045,经纬!B:C,2,FALSE))</f>
        <v/>
      </c>
      <c r="D1045" s="8" t="str">
        <f>IF(B1045="","",VLOOKUP(B1045,经纬!B:G,6,FALSE))</f>
        <v/>
      </c>
      <c r="F1045" s="8" t="str">
        <f>IF(B1045="","",VLOOKUP(B1045,小圆机汇总表!A:AP,5,FALSE))</f>
        <v/>
      </c>
      <c r="G1045" s="8" t="str">
        <f>IF(B1045="","",VLOOKUP(B1045,小圆机汇总表!A:AP,8,FALSE))</f>
        <v/>
      </c>
      <c r="P1045" s="8" t="str">
        <f t="shared" si="63"/>
        <v/>
      </c>
      <c r="R1045" s="250" t="str">
        <f t="shared" si="64"/>
        <v/>
      </c>
    </row>
    <row r="1046" spans="1:18">
      <c r="A1046" s="4">
        <v>1055</v>
      </c>
      <c r="C1046" s="8" t="str">
        <f>IF(B1046="","",VLOOKUP(B1046,经纬!B:C,2,FALSE))</f>
        <v/>
      </c>
      <c r="D1046" s="8" t="str">
        <f>IF(B1046="","",VLOOKUP(B1046,经纬!B:G,6,FALSE))</f>
        <v/>
      </c>
      <c r="F1046" s="8" t="str">
        <f>IF(B1046="","",VLOOKUP(B1046,小圆机汇总表!A:AP,5,FALSE))</f>
        <v/>
      </c>
      <c r="G1046" s="8" t="str">
        <f>IF(B1046="","",VLOOKUP(B1046,小圆机汇总表!A:AP,8,FALSE))</f>
        <v/>
      </c>
      <c r="P1046" s="8" t="str">
        <f t="shared" si="63"/>
        <v/>
      </c>
      <c r="R1046" s="250" t="str">
        <f t="shared" si="64"/>
        <v/>
      </c>
    </row>
    <row r="1047" spans="1:18">
      <c r="A1047" s="4">
        <v>1056</v>
      </c>
      <c r="C1047" s="8" t="str">
        <f>IF(B1047="","",VLOOKUP(B1047,经纬!B:C,2,FALSE))</f>
        <v/>
      </c>
      <c r="D1047" s="8" t="str">
        <f>IF(B1047="","",VLOOKUP(B1047,经纬!B:G,6,FALSE))</f>
        <v/>
      </c>
      <c r="F1047" s="8" t="str">
        <f>IF(B1047="","",VLOOKUP(B1047,小圆机汇总表!A:AP,5,FALSE))</f>
        <v/>
      </c>
      <c r="G1047" s="8" t="str">
        <f>IF(B1047="","",VLOOKUP(B1047,小圆机汇总表!A:AP,8,FALSE))</f>
        <v/>
      </c>
      <c r="P1047" s="8" t="str">
        <f t="shared" si="63"/>
        <v/>
      </c>
      <c r="R1047" s="250" t="str">
        <f t="shared" si="64"/>
        <v/>
      </c>
    </row>
    <row r="1048" spans="1:18">
      <c r="A1048" s="4">
        <v>1057</v>
      </c>
      <c r="C1048" s="8" t="str">
        <f>IF(B1048="","",VLOOKUP(B1048,经纬!B:C,2,FALSE))</f>
        <v/>
      </c>
      <c r="D1048" s="8" t="str">
        <f>IF(B1048="","",VLOOKUP(B1048,经纬!B:G,6,FALSE))</f>
        <v/>
      </c>
      <c r="F1048" s="8" t="str">
        <f>IF(B1048="","",VLOOKUP(B1048,小圆机汇总表!A:AP,5,FALSE))</f>
        <v/>
      </c>
      <c r="G1048" s="8" t="str">
        <f>IF(B1048="","",VLOOKUP(B1048,小圆机汇总表!A:AP,8,FALSE))</f>
        <v/>
      </c>
      <c r="P1048" s="8" t="str">
        <f t="shared" si="63"/>
        <v/>
      </c>
      <c r="R1048" s="250" t="str">
        <f t="shared" si="64"/>
        <v/>
      </c>
    </row>
    <row r="1049" spans="1:18">
      <c r="A1049" s="4">
        <v>1058</v>
      </c>
      <c r="C1049" s="8" t="str">
        <f>IF(B1049="","",VLOOKUP(B1049,经纬!B:C,2,FALSE))</f>
        <v/>
      </c>
      <c r="D1049" s="8" t="str">
        <f>IF(B1049="","",VLOOKUP(B1049,经纬!B:G,6,FALSE))</f>
        <v/>
      </c>
      <c r="F1049" s="8" t="str">
        <f>IF(B1049="","",VLOOKUP(B1049,小圆机汇总表!A:AP,5,FALSE))</f>
        <v/>
      </c>
      <c r="G1049" s="8" t="str">
        <f>IF(B1049="","",VLOOKUP(B1049,小圆机汇总表!A:AP,8,FALSE))</f>
        <v/>
      </c>
      <c r="P1049" s="8" t="str">
        <f t="shared" si="63"/>
        <v/>
      </c>
      <c r="R1049" s="250" t="str">
        <f t="shared" si="64"/>
        <v/>
      </c>
    </row>
    <row r="1050" spans="1:18">
      <c r="A1050" s="4">
        <v>1059</v>
      </c>
      <c r="C1050" s="8" t="str">
        <f>IF(B1050="","",VLOOKUP(B1050,经纬!B:C,2,FALSE))</f>
        <v/>
      </c>
      <c r="D1050" s="8" t="str">
        <f>IF(B1050="","",VLOOKUP(B1050,经纬!B:G,6,FALSE))</f>
        <v/>
      </c>
      <c r="F1050" s="8" t="str">
        <f>IF(B1050="","",VLOOKUP(B1050,小圆机汇总表!A:AP,5,FALSE))</f>
        <v/>
      </c>
      <c r="G1050" s="8" t="str">
        <f>IF(B1050="","",VLOOKUP(B1050,小圆机汇总表!A:AP,8,FALSE))</f>
        <v/>
      </c>
      <c r="P1050" s="8" t="str">
        <f t="shared" ref="P1050:P1113" si="65">IF(B1050="","",MONTH(I1050))</f>
        <v/>
      </c>
      <c r="R1050" s="250" t="str">
        <f t="shared" si="64"/>
        <v/>
      </c>
    </row>
    <row r="1051" spans="1:18">
      <c r="A1051" s="4">
        <v>1060</v>
      </c>
      <c r="C1051" s="8" t="str">
        <f>IF(B1051="","",VLOOKUP(B1051,经纬!B:C,2,FALSE))</f>
        <v/>
      </c>
      <c r="D1051" s="8" t="str">
        <f>IF(B1051="","",VLOOKUP(B1051,经纬!B:G,6,FALSE))</f>
        <v/>
      </c>
      <c r="F1051" s="8" t="str">
        <f>IF(B1051="","",VLOOKUP(B1051,小圆机汇总表!A:AP,5,FALSE))</f>
        <v/>
      </c>
      <c r="G1051" s="8" t="str">
        <f>IF(B1051="","",VLOOKUP(B1051,小圆机汇总表!A:AP,8,FALSE))</f>
        <v/>
      </c>
      <c r="P1051" s="8" t="str">
        <f t="shared" si="65"/>
        <v/>
      </c>
      <c r="R1051" s="250" t="str">
        <f t="shared" si="64"/>
        <v/>
      </c>
    </row>
    <row r="1052" spans="1:18">
      <c r="A1052" s="4">
        <v>1061</v>
      </c>
      <c r="C1052" s="8" t="str">
        <f>IF(B1052="","",VLOOKUP(B1052,经纬!B:C,2,FALSE))</f>
        <v/>
      </c>
      <c r="D1052" s="8" t="str">
        <f>IF(B1052="","",VLOOKUP(B1052,经纬!B:G,6,FALSE))</f>
        <v/>
      </c>
      <c r="F1052" s="8" t="str">
        <f>IF(B1052="","",VLOOKUP(B1052,小圆机汇总表!A:AP,5,FALSE))</f>
        <v/>
      </c>
      <c r="G1052" s="8" t="str">
        <f>IF(B1052="","",VLOOKUP(B1052,小圆机汇总表!A:AP,8,FALSE))</f>
        <v/>
      </c>
      <c r="P1052" s="8" t="str">
        <f t="shared" si="65"/>
        <v/>
      </c>
      <c r="R1052" s="250" t="str">
        <f t="shared" si="64"/>
        <v/>
      </c>
    </row>
    <row r="1053" spans="1:18">
      <c r="A1053" s="4">
        <v>1062</v>
      </c>
      <c r="C1053" s="8" t="str">
        <f>IF(B1053="","",VLOOKUP(B1053,经纬!B:C,2,FALSE))</f>
        <v/>
      </c>
      <c r="D1053" s="8" t="str">
        <f>IF(B1053="","",VLOOKUP(B1053,经纬!B:G,6,FALSE))</f>
        <v/>
      </c>
      <c r="F1053" s="8" t="str">
        <f>IF(B1053="","",VLOOKUP(B1053,小圆机汇总表!A:AP,5,FALSE))</f>
        <v/>
      </c>
      <c r="G1053" s="8" t="str">
        <f>IF(B1053="","",VLOOKUP(B1053,小圆机汇总表!A:AP,8,FALSE))</f>
        <v/>
      </c>
      <c r="P1053" s="8" t="str">
        <f t="shared" si="65"/>
        <v/>
      </c>
      <c r="R1053" s="250" t="str">
        <f t="shared" si="64"/>
        <v/>
      </c>
    </row>
    <row r="1054" spans="1:18">
      <c r="A1054" s="4">
        <v>1063</v>
      </c>
      <c r="C1054" s="8" t="str">
        <f>IF(B1054="","",VLOOKUP(B1054,经纬!B:C,2,FALSE))</f>
        <v/>
      </c>
      <c r="D1054" s="8" t="str">
        <f>IF(B1054="","",VLOOKUP(B1054,经纬!B:G,6,FALSE))</f>
        <v/>
      </c>
      <c r="F1054" s="8" t="str">
        <f>IF(B1054="","",VLOOKUP(B1054,小圆机汇总表!A:AP,5,FALSE))</f>
        <v/>
      </c>
      <c r="G1054" s="8" t="str">
        <f>IF(B1054="","",VLOOKUP(B1054,小圆机汇总表!A:AP,8,FALSE))</f>
        <v/>
      </c>
      <c r="P1054" s="8" t="str">
        <f t="shared" si="65"/>
        <v/>
      </c>
      <c r="R1054" s="250" t="str">
        <f t="shared" si="64"/>
        <v/>
      </c>
    </row>
    <row r="1055" spans="1:18">
      <c r="A1055" s="4">
        <v>1064</v>
      </c>
      <c r="C1055" s="8" t="str">
        <f>IF(B1055="","",VLOOKUP(B1055,经纬!B:C,2,FALSE))</f>
        <v/>
      </c>
      <c r="D1055" s="8" t="str">
        <f>IF(B1055="","",VLOOKUP(B1055,经纬!B:G,6,FALSE))</f>
        <v/>
      </c>
      <c r="F1055" s="8" t="str">
        <f>IF(B1055="","",VLOOKUP(B1055,小圆机汇总表!A:AP,5,FALSE))</f>
        <v/>
      </c>
      <c r="G1055" s="8" t="str">
        <f>IF(B1055="","",VLOOKUP(B1055,小圆机汇总表!A:AP,8,FALSE))</f>
        <v/>
      </c>
      <c r="P1055" s="8" t="str">
        <f t="shared" si="65"/>
        <v/>
      </c>
      <c r="R1055" s="250" t="str">
        <f t="shared" si="64"/>
        <v/>
      </c>
    </row>
    <row r="1056" spans="1:18">
      <c r="A1056" s="4">
        <v>1065</v>
      </c>
      <c r="C1056" s="8" t="str">
        <f>IF(B1056="","",VLOOKUP(B1056,经纬!B:C,2,FALSE))</f>
        <v/>
      </c>
      <c r="D1056" s="8" t="str">
        <f>IF(B1056="","",VLOOKUP(B1056,经纬!B:G,6,FALSE))</f>
        <v/>
      </c>
      <c r="F1056" s="8" t="str">
        <f>IF(B1056="","",VLOOKUP(B1056,小圆机汇总表!A:AP,5,FALSE))</f>
        <v/>
      </c>
      <c r="G1056" s="8" t="str">
        <f>IF(B1056="","",VLOOKUP(B1056,小圆机汇总表!A:AP,8,FALSE))</f>
        <v/>
      </c>
      <c r="P1056" s="8" t="str">
        <f t="shared" si="65"/>
        <v/>
      </c>
      <c r="R1056" s="250" t="str">
        <f t="shared" si="64"/>
        <v/>
      </c>
    </row>
    <row r="1057" spans="1:18">
      <c r="A1057" s="4">
        <v>1066</v>
      </c>
      <c r="C1057" s="8" t="str">
        <f>IF(B1057="","",VLOOKUP(B1057,经纬!B:C,2,FALSE))</f>
        <v/>
      </c>
      <c r="D1057" s="8" t="str">
        <f>IF(B1057="","",VLOOKUP(B1057,经纬!B:G,6,FALSE))</f>
        <v/>
      </c>
      <c r="F1057" s="8" t="str">
        <f>IF(B1057="","",VLOOKUP(B1057,小圆机汇总表!A:AP,5,FALSE))</f>
        <v/>
      </c>
      <c r="G1057" s="8" t="str">
        <f>IF(B1057="","",VLOOKUP(B1057,小圆机汇总表!A:AP,8,FALSE))</f>
        <v/>
      </c>
      <c r="P1057" s="8" t="str">
        <f t="shared" si="65"/>
        <v/>
      </c>
      <c r="R1057" s="250" t="str">
        <f t="shared" si="64"/>
        <v/>
      </c>
    </row>
    <row r="1058" spans="1:18">
      <c r="A1058" s="4">
        <v>1067</v>
      </c>
      <c r="C1058" s="8" t="str">
        <f>IF(B1058="","",VLOOKUP(B1058,经纬!B:C,2,FALSE))</f>
        <v/>
      </c>
      <c r="D1058" s="8" t="str">
        <f>IF(B1058="","",VLOOKUP(B1058,经纬!B:G,6,FALSE))</f>
        <v/>
      </c>
      <c r="F1058" s="8" t="str">
        <f>IF(B1058="","",VLOOKUP(B1058,小圆机汇总表!A:AP,5,FALSE))</f>
        <v/>
      </c>
      <c r="G1058" s="8" t="str">
        <f>IF(B1058="","",VLOOKUP(B1058,小圆机汇总表!A:AP,8,FALSE))</f>
        <v/>
      </c>
      <c r="P1058" s="8" t="str">
        <f t="shared" si="65"/>
        <v/>
      </c>
      <c r="R1058" s="250" t="str">
        <f t="shared" si="64"/>
        <v/>
      </c>
    </row>
    <row r="1059" spans="1:18">
      <c r="A1059" s="4">
        <v>1068</v>
      </c>
      <c r="C1059" s="8" t="str">
        <f>IF(B1059="","",VLOOKUP(B1059,经纬!B:C,2,FALSE))</f>
        <v/>
      </c>
      <c r="D1059" s="8" t="str">
        <f>IF(B1059="","",VLOOKUP(B1059,经纬!B:G,6,FALSE))</f>
        <v/>
      </c>
      <c r="F1059" s="8" t="str">
        <f>IF(B1059="","",VLOOKUP(B1059,小圆机汇总表!A:AP,5,FALSE))</f>
        <v/>
      </c>
      <c r="G1059" s="8" t="str">
        <f>IF(B1059="","",VLOOKUP(B1059,小圆机汇总表!A:AP,8,FALSE))</f>
        <v/>
      </c>
      <c r="P1059" s="8" t="str">
        <f t="shared" si="65"/>
        <v/>
      </c>
      <c r="R1059" s="250" t="str">
        <f t="shared" si="64"/>
        <v/>
      </c>
    </row>
    <row r="1060" spans="1:18">
      <c r="A1060" s="4">
        <v>1069</v>
      </c>
      <c r="C1060" s="8" t="str">
        <f>IF(B1060="","",VLOOKUP(B1060,经纬!B:C,2,FALSE))</f>
        <v/>
      </c>
      <c r="D1060" s="8" t="str">
        <f>IF(B1060="","",VLOOKUP(B1060,经纬!B:G,6,FALSE))</f>
        <v/>
      </c>
      <c r="F1060" s="8" t="str">
        <f>IF(B1060="","",VLOOKUP(B1060,小圆机汇总表!A:AP,5,FALSE))</f>
        <v/>
      </c>
      <c r="G1060" s="8" t="str">
        <f>IF(B1060="","",VLOOKUP(B1060,小圆机汇总表!A:AP,8,FALSE))</f>
        <v/>
      </c>
      <c r="P1060" s="8" t="str">
        <f t="shared" si="65"/>
        <v/>
      </c>
      <c r="R1060" s="250" t="str">
        <f t="shared" si="64"/>
        <v/>
      </c>
    </row>
    <row r="1061" spans="1:18">
      <c r="A1061" s="4">
        <v>1070</v>
      </c>
      <c r="C1061" s="8" t="str">
        <f>IF(B1061="","",VLOOKUP(B1061,经纬!B:C,2,FALSE))</f>
        <v/>
      </c>
      <c r="D1061" s="8" t="str">
        <f>IF(B1061="","",VLOOKUP(B1061,经纬!B:G,6,FALSE))</f>
        <v/>
      </c>
      <c r="F1061" s="8" t="str">
        <f>IF(B1061="","",VLOOKUP(B1061,小圆机汇总表!A:AP,5,FALSE))</f>
        <v/>
      </c>
      <c r="G1061" s="8" t="str">
        <f>IF(B1061="","",VLOOKUP(B1061,小圆机汇总表!A:AP,8,FALSE))</f>
        <v/>
      </c>
      <c r="P1061" s="8" t="str">
        <f t="shared" si="65"/>
        <v/>
      </c>
      <c r="R1061" s="250" t="str">
        <f t="shared" si="64"/>
        <v/>
      </c>
    </row>
    <row r="1062" spans="1:18">
      <c r="A1062" s="4">
        <v>1071</v>
      </c>
      <c r="C1062" s="8" t="str">
        <f>IF(B1062="","",VLOOKUP(B1062,经纬!B:C,2,FALSE))</f>
        <v/>
      </c>
      <c r="D1062" s="8" t="str">
        <f>IF(B1062="","",VLOOKUP(B1062,经纬!B:G,6,FALSE))</f>
        <v/>
      </c>
      <c r="F1062" s="8" t="str">
        <f>IF(B1062="","",VLOOKUP(B1062,小圆机汇总表!A:AP,5,FALSE))</f>
        <v/>
      </c>
      <c r="G1062" s="8" t="str">
        <f>IF(B1062="","",VLOOKUP(B1062,小圆机汇总表!A:AP,8,FALSE))</f>
        <v/>
      </c>
      <c r="P1062" s="8" t="str">
        <f t="shared" si="65"/>
        <v/>
      </c>
      <c r="R1062" s="250" t="str">
        <f t="shared" si="64"/>
        <v/>
      </c>
    </row>
    <row r="1063" spans="1:18">
      <c r="A1063" s="4">
        <v>1072</v>
      </c>
      <c r="C1063" s="8" t="str">
        <f>IF(B1063="","",VLOOKUP(B1063,经纬!B:C,2,FALSE))</f>
        <v/>
      </c>
      <c r="D1063" s="8" t="str">
        <f>IF(B1063="","",VLOOKUP(B1063,经纬!B:G,6,FALSE))</f>
        <v/>
      </c>
      <c r="F1063" s="8" t="str">
        <f>IF(B1063="","",VLOOKUP(B1063,小圆机汇总表!A:AP,5,FALSE))</f>
        <v/>
      </c>
      <c r="G1063" s="8" t="str">
        <f>IF(B1063="","",VLOOKUP(B1063,小圆机汇总表!A:AP,8,FALSE))</f>
        <v/>
      </c>
      <c r="P1063" s="8" t="str">
        <f t="shared" si="65"/>
        <v/>
      </c>
      <c r="R1063" s="250" t="str">
        <f t="shared" si="64"/>
        <v/>
      </c>
    </row>
    <row r="1064" spans="1:18">
      <c r="A1064" s="4">
        <v>1073</v>
      </c>
      <c r="C1064" s="8" t="str">
        <f>IF(B1064="","",VLOOKUP(B1064,经纬!B:C,2,FALSE))</f>
        <v/>
      </c>
      <c r="D1064" s="8" t="str">
        <f>IF(B1064="","",VLOOKUP(B1064,经纬!B:G,6,FALSE))</f>
        <v/>
      </c>
      <c r="F1064" s="8" t="str">
        <f>IF(B1064="","",VLOOKUP(B1064,小圆机汇总表!A:AP,5,FALSE))</f>
        <v/>
      </c>
      <c r="G1064" s="8" t="str">
        <f>IF(B1064="","",VLOOKUP(B1064,小圆机汇总表!A:AP,8,FALSE))</f>
        <v/>
      </c>
      <c r="P1064" s="8" t="str">
        <f t="shared" si="65"/>
        <v/>
      </c>
      <c r="R1064" s="250" t="str">
        <f t="shared" si="64"/>
        <v/>
      </c>
    </row>
    <row r="1065" spans="1:18">
      <c r="A1065" s="4">
        <v>1074</v>
      </c>
      <c r="C1065" s="8" t="str">
        <f>IF(B1065="","",VLOOKUP(B1065,经纬!B:C,2,FALSE))</f>
        <v/>
      </c>
      <c r="D1065" s="8" t="str">
        <f>IF(B1065="","",VLOOKUP(B1065,经纬!B:G,6,FALSE))</f>
        <v/>
      </c>
      <c r="F1065" s="8" t="str">
        <f>IF(B1065="","",VLOOKUP(B1065,小圆机汇总表!A:AP,5,FALSE))</f>
        <v/>
      </c>
      <c r="G1065" s="8" t="str">
        <f>IF(B1065="","",VLOOKUP(B1065,小圆机汇总表!A:AP,8,FALSE))</f>
        <v/>
      </c>
      <c r="P1065" s="8" t="str">
        <f t="shared" si="65"/>
        <v/>
      </c>
      <c r="R1065" s="250" t="str">
        <f t="shared" si="64"/>
        <v/>
      </c>
    </row>
    <row r="1066" spans="1:18">
      <c r="A1066" s="4">
        <v>1075</v>
      </c>
      <c r="C1066" s="8" t="str">
        <f>IF(B1066="","",VLOOKUP(B1066,经纬!B:C,2,FALSE))</f>
        <v/>
      </c>
      <c r="D1066" s="8" t="str">
        <f>IF(B1066="","",VLOOKUP(B1066,经纬!B:G,6,FALSE))</f>
        <v/>
      </c>
      <c r="F1066" s="8" t="str">
        <f>IF(B1066="","",VLOOKUP(B1066,小圆机汇总表!A:AP,5,FALSE))</f>
        <v/>
      </c>
      <c r="G1066" s="8" t="str">
        <f>IF(B1066="","",VLOOKUP(B1066,小圆机汇总表!A:AP,8,FALSE))</f>
        <v/>
      </c>
      <c r="P1066" s="8" t="str">
        <f t="shared" si="65"/>
        <v/>
      </c>
      <c r="R1066" s="250" t="str">
        <f t="shared" si="64"/>
        <v/>
      </c>
    </row>
    <row r="1067" spans="1:18">
      <c r="A1067" s="4">
        <v>1076</v>
      </c>
      <c r="C1067" s="8" t="str">
        <f>IF(B1067="","",VLOOKUP(B1067,经纬!B:C,2,FALSE))</f>
        <v/>
      </c>
      <c r="D1067" s="8" t="str">
        <f>IF(B1067="","",VLOOKUP(B1067,经纬!B:G,6,FALSE))</f>
        <v/>
      </c>
      <c r="F1067" s="8" t="str">
        <f>IF(B1067="","",VLOOKUP(B1067,小圆机汇总表!A:AP,5,FALSE))</f>
        <v/>
      </c>
      <c r="G1067" s="8" t="str">
        <f>IF(B1067="","",VLOOKUP(B1067,小圆机汇总表!A:AP,8,FALSE))</f>
        <v/>
      </c>
      <c r="P1067" s="8" t="str">
        <f t="shared" si="65"/>
        <v/>
      </c>
      <c r="R1067" s="250" t="str">
        <f t="shared" si="64"/>
        <v/>
      </c>
    </row>
    <row r="1068" spans="1:18">
      <c r="A1068" s="4">
        <v>1077</v>
      </c>
      <c r="C1068" s="8" t="str">
        <f>IF(B1068="","",VLOOKUP(B1068,经纬!B:C,2,FALSE))</f>
        <v/>
      </c>
      <c r="D1068" s="8" t="str">
        <f>IF(B1068="","",VLOOKUP(B1068,经纬!B:G,6,FALSE))</f>
        <v/>
      </c>
      <c r="F1068" s="8" t="str">
        <f>IF(B1068="","",VLOOKUP(B1068,小圆机汇总表!A:AP,5,FALSE))</f>
        <v/>
      </c>
      <c r="G1068" s="8" t="str">
        <f>IF(B1068="","",VLOOKUP(B1068,小圆机汇总表!A:AP,8,FALSE))</f>
        <v/>
      </c>
      <c r="P1068" s="8" t="str">
        <f t="shared" si="65"/>
        <v/>
      </c>
      <c r="R1068" s="250" t="str">
        <f t="shared" si="64"/>
        <v/>
      </c>
    </row>
    <row r="1069" spans="1:18">
      <c r="A1069" s="4">
        <v>1078</v>
      </c>
      <c r="C1069" s="8" t="str">
        <f>IF(B1069="","",VLOOKUP(B1069,经纬!B:C,2,FALSE))</f>
        <v/>
      </c>
      <c r="D1069" s="8" t="str">
        <f>IF(B1069="","",VLOOKUP(B1069,经纬!B:G,6,FALSE))</f>
        <v/>
      </c>
      <c r="F1069" s="8" t="str">
        <f>IF(B1069="","",VLOOKUP(B1069,小圆机汇总表!A:AP,5,FALSE))</f>
        <v/>
      </c>
      <c r="G1069" s="8" t="str">
        <f>IF(B1069="","",VLOOKUP(B1069,小圆机汇总表!A:AP,8,FALSE))</f>
        <v/>
      </c>
      <c r="P1069" s="8" t="str">
        <f t="shared" si="65"/>
        <v/>
      </c>
      <c r="R1069" s="250" t="str">
        <f t="shared" si="64"/>
        <v/>
      </c>
    </row>
    <row r="1070" spans="1:18">
      <c r="A1070" s="4">
        <v>1079</v>
      </c>
      <c r="C1070" s="8" t="str">
        <f>IF(B1070="","",VLOOKUP(B1070,经纬!B:C,2,FALSE))</f>
        <v/>
      </c>
      <c r="D1070" s="8" t="str">
        <f>IF(B1070="","",VLOOKUP(B1070,经纬!B:G,6,FALSE))</f>
        <v/>
      </c>
      <c r="F1070" s="8" t="str">
        <f>IF(B1070="","",VLOOKUP(B1070,小圆机汇总表!A:AP,5,FALSE))</f>
        <v/>
      </c>
      <c r="G1070" s="8" t="str">
        <f>IF(B1070="","",VLOOKUP(B1070,小圆机汇总表!A:AP,8,FALSE))</f>
        <v/>
      </c>
      <c r="P1070" s="8" t="str">
        <f t="shared" si="65"/>
        <v/>
      </c>
      <c r="R1070" s="250" t="str">
        <f t="shared" si="64"/>
        <v/>
      </c>
    </row>
    <row r="1071" spans="1:18">
      <c r="A1071" s="4">
        <v>1080</v>
      </c>
      <c r="C1071" s="8" t="str">
        <f>IF(B1071="","",VLOOKUP(B1071,经纬!B:C,2,FALSE))</f>
        <v/>
      </c>
      <c r="D1071" s="8" t="str">
        <f>IF(B1071="","",VLOOKUP(B1071,经纬!B:G,6,FALSE))</f>
        <v/>
      </c>
      <c r="F1071" s="8" t="str">
        <f>IF(B1071="","",VLOOKUP(B1071,小圆机汇总表!A:AP,5,FALSE))</f>
        <v/>
      </c>
      <c r="G1071" s="8" t="str">
        <f>IF(B1071="","",VLOOKUP(B1071,小圆机汇总表!A:AP,8,FALSE))</f>
        <v/>
      </c>
      <c r="P1071" s="8" t="str">
        <f t="shared" si="65"/>
        <v/>
      </c>
      <c r="R1071" s="250" t="str">
        <f t="shared" si="64"/>
        <v/>
      </c>
    </row>
    <row r="1072" spans="1:18">
      <c r="A1072" s="4">
        <v>1081</v>
      </c>
      <c r="C1072" s="8" t="str">
        <f>IF(B1072="","",VLOOKUP(B1072,经纬!B:C,2,FALSE))</f>
        <v/>
      </c>
      <c r="D1072" s="8" t="str">
        <f>IF(B1072="","",VLOOKUP(B1072,经纬!B:G,6,FALSE))</f>
        <v/>
      </c>
      <c r="F1072" s="8" t="str">
        <f>IF(B1072="","",VLOOKUP(B1072,小圆机汇总表!A:AP,5,FALSE))</f>
        <v/>
      </c>
      <c r="G1072" s="8" t="str">
        <f>IF(B1072="","",VLOOKUP(B1072,小圆机汇总表!A:AP,8,FALSE))</f>
        <v/>
      </c>
      <c r="P1072" s="8" t="str">
        <f t="shared" si="65"/>
        <v/>
      </c>
      <c r="R1072" s="250" t="str">
        <f t="shared" si="64"/>
        <v/>
      </c>
    </row>
    <row r="1073" spans="1:18">
      <c r="A1073" s="4">
        <v>1082</v>
      </c>
      <c r="C1073" s="8" t="str">
        <f>IF(B1073="","",VLOOKUP(B1073,经纬!B:C,2,FALSE))</f>
        <v/>
      </c>
      <c r="D1073" s="8" t="str">
        <f>IF(B1073="","",VLOOKUP(B1073,经纬!B:G,6,FALSE))</f>
        <v/>
      </c>
      <c r="F1073" s="8" t="str">
        <f>IF(B1073="","",VLOOKUP(B1073,小圆机汇总表!A:AP,5,FALSE))</f>
        <v/>
      </c>
      <c r="G1073" s="8" t="str">
        <f>IF(B1073="","",VLOOKUP(B1073,小圆机汇总表!A:AP,8,FALSE))</f>
        <v/>
      </c>
      <c r="P1073" s="8" t="str">
        <f t="shared" si="65"/>
        <v/>
      </c>
      <c r="R1073" s="250" t="str">
        <f t="shared" si="64"/>
        <v/>
      </c>
    </row>
    <row r="1074" spans="1:18">
      <c r="A1074" s="4">
        <v>1083</v>
      </c>
      <c r="C1074" s="8" t="str">
        <f>IF(B1074="","",VLOOKUP(B1074,经纬!B:C,2,FALSE))</f>
        <v/>
      </c>
      <c r="D1074" s="8" t="str">
        <f>IF(B1074="","",VLOOKUP(B1074,经纬!B:G,6,FALSE))</f>
        <v/>
      </c>
      <c r="F1074" s="8" t="str">
        <f>IF(B1074="","",VLOOKUP(B1074,小圆机汇总表!A:AP,5,FALSE))</f>
        <v/>
      </c>
      <c r="G1074" s="8" t="str">
        <f>IF(B1074="","",VLOOKUP(B1074,小圆机汇总表!A:AP,8,FALSE))</f>
        <v/>
      </c>
      <c r="P1074" s="8" t="str">
        <f t="shared" si="65"/>
        <v/>
      </c>
      <c r="R1074" s="250" t="str">
        <f t="shared" si="64"/>
        <v/>
      </c>
    </row>
    <row r="1075" spans="1:18">
      <c r="A1075" s="4">
        <v>1084</v>
      </c>
      <c r="C1075" s="8" t="str">
        <f>IF(B1075="","",VLOOKUP(B1075,经纬!B:C,2,FALSE))</f>
        <v/>
      </c>
      <c r="D1075" s="8" t="str">
        <f>IF(B1075="","",VLOOKUP(B1075,经纬!B:G,6,FALSE))</f>
        <v/>
      </c>
      <c r="F1075" s="8" t="str">
        <f>IF(B1075="","",VLOOKUP(B1075,小圆机汇总表!A:AP,5,FALSE))</f>
        <v/>
      </c>
      <c r="G1075" s="8" t="str">
        <f>IF(B1075="","",VLOOKUP(B1075,小圆机汇总表!A:AP,8,FALSE))</f>
        <v/>
      </c>
      <c r="P1075" s="8" t="str">
        <f t="shared" si="65"/>
        <v/>
      </c>
      <c r="R1075" s="250" t="str">
        <f t="shared" si="64"/>
        <v/>
      </c>
    </row>
    <row r="1076" spans="1:18">
      <c r="A1076" s="4">
        <v>1085</v>
      </c>
      <c r="C1076" s="8" t="str">
        <f>IF(B1076="","",VLOOKUP(B1076,经纬!B:C,2,FALSE))</f>
        <v/>
      </c>
      <c r="D1076" s="8" t="str">
        <f>IF(B1076="","",VLOOKUP(B1076,经纬!B:G,6,FALSE))</f>
        <v/>
      </c>
      <c r="F1076" s="8" t="str">
        <f>IF(B1076="","",VLOOKUP(B1076,小圆机汇总表!A:AP,5,FALSE))</f>
        <v/>
      </c>
      <c r="G1076" s="8" t="str">
        <f>IF(B1076="","",VLOOKUP(B1076,小圆机汇总表!A:AP,8,FALSE))</f>
        <v/>
      </c>
      <c r="P1076" s="8" t="str">
        <f t="shared" si="65"/>
        <v/>
      </c>
      <c r="R1076" s="250" t="str">
        <f t="shared" si="64"/>
        <v/>
      </c>
    </row>
    <row r="1077" spans="1:18">
      <c r="A1077" s="4">
        <v>1086</v>
      </c>
      <c r="C1077" s="8" t="str">
        <f>IF(B1077="","",VLOOKUP(B1077,经纬!B:C,2,FALSE))</f>
        <v/>
      </c>
      <c r="D1077" s="8" t="str">
        <f>IF(B1077="","",VLOOKUP(B1077,经纬!B:G,6,FALSE))</f>
        <v/>
      </c>
      <c r="F1077" s="8" t="str">
        <f>IF(B1077="","",VLOOKUP(B1077,小圆机汇总表!A:AP,5,FALSE))</f>
        <v/>
      </c>
      <c r="G1077" s="8" t="str">
        <f>IF(B1077="","",VLOOKUP(B1077,小圆机汇总表!A:AP,8,FALSE))</f>
        <v/>
      </c>
      <c r="P1077" s="8" t="str">
        <f t="shared" si="65"/>
        <v/>
      </c>
      <c r="R1077" s="250" t="str">
        <f t="shared" si="64"/>
        <v/>
      </c>
    </row>
    <row r="1078" spans="1:18">
      <c r="A1078" s="4">
        <v>1087</v>
      </c>
      <c r="C1078" s="8" t="str">
        <f>IF(B1078="","",VLOOKUP(B1078,经纬!B:C,2,FALSE))</f>
        <v/>
      </c>
      <c r="D1078" s="8" t="str">
        <f>IF(B1078="","",VLOOKUP(B1078,经纬!B:G,6,FALSE))</f>
        <v/>
      </c>
      <c r="F1078" s="8" t="str">
        <f>IF(B1078="","",VLOOKUP(B1078,小圆机汇总表!A:AP,5,FALSE))</f>
        <v/>
      </c>
      <c r="G1078" s="8" t="str">
        <f>IF(B1078="","",VLOOKUP(B1078,小圆机汇总表!A:AP,8,FALSE))</f>
        <v/>
      </c>
      <c r="P1078" s="8" t="str">
        <f t="shared" si="65"/>
        <v/>
      </c>
      <c r="R1078" s="250" t="str">
        <f t="shared" si="64"/>
        <v/>
      </c>
    </row>
    <row r="1079" spans="1:18">
      <c r="A1079" s="4">
        <v>1088</v>
      </c>
      <c r="C1079" s="8" t="str">
        <f>IF(B1079="","",VLOOKUP(B1079,经纬!B:C,2,FALSE))</f>
        <v/>
      </c>
      <c r="D1079" s="8" t="str">
        <f>IF(B1079="","",VLOOKUP(B1079,经纬!B:G,6,FALSE))</f>
        <v/>
      </c>
      <c r="F1079" s="8" t="str">
        <f>IF(B1079="","",VLOOKUP(B1079,小圆机汇总表!A:AP,5,FALSE))</f>
        <v/>
      </c>
      <c r="G1079" s="8" t="str">
        <f>IF(B1079="","",VLOOKUP(B1079,小圆机汇总表!A:AP,8,FALSE))</f>
        <v/>
      </c>
      <c r="P1079" s="8" t="str">
        <f t="shared" si="65"/>
        <v/>
      </c>
      <c r="R1079" s="250" t="str">
        <f t="shared" si="64"/>
        <v/>
      </c>
    </row>
    <row r="1080" spans="1:18">
      <c r="A1080" s="4">
        <v>1089</v>
      </c>
      <c r="C1080" s="8" t="str">
        <f>IF(B1080="","",VLOOKUP(B1080,经纬!B:C,2,FALSE))</f>
        <v/>
      </c>
      <c r="D1080" s="8" t="str">
        <f>IF(B1080="","",VLOOKUP(B1080,经纬!B:G,6,FALSE))</f>
        <v/>
      </c>
      <c r="F1080" s="8" t="str">
        <f>IF(B1080="","",VLOOKUP(B1080,小圆机汇总表!A:AP,5,FALSE))</f>
        <v/>
      </c>
      <c r="G1080" s="8" t="str">
        <f>IF(B1080="","",VLOOKUP(B1080,小圆机汇总表!A:AP,8,FALSE))</f>
        <v/>
      </c>
      <c r="P1080" s="8" t="str">
        <f t="shared" si="65"/>
        <v/>
      </c>
      <c r="R1080" s="250" t="str">
        <f t="shared" si="64"/>
        <v/>
      </c>
    </row>
    <row r="1081" spans="1:18">
      <c r="A1081" s="4">
        <v>1090</v>
      </c>
      <c r="C1081" s="8" t="str">
        <f>IF(B1081="","",VLOOKUP(B1081,经纬!B:C,2,FALSE))</f>
        <v/>
      </c>
      <c r="D1081" s="8" t="str">
        <f>IF(B1081="","",VLOOKUP(B1081,经纬!B:G,6,FALSE))</f>
        <v/>
      </c>
      <c r="F1081" s="8" t="str">
        <f>IF(B1081="","",VLOOKUP(B1081,小圆机汇总表!A:AP,5,FALSE))</f>
        <v/>
      </c>
      <c r="G1081" s="8" t="str">
        <f>IF(B1081="","",VLOOKUP(B1081,小圆机汇总表!A:AP,8,FALSE))</f>
        <v/>
      </c>
      <c r="P1081" s="8" t="str">
        <f t="shared" si="65"/>
        <v/>
      </c>
      <c r="R1081" s="250" t="str">
        <f t="shared" si="64"/>
        <v/>
      </c>
    </row>
    <row r="1082" spans="1:18">
      <c r="A1082" s="4">
        <v>1091</v>
      </c>
      <c r="C1082" s="8" t="str">
        <f>IF(B1082="","",VLOOKUP(B1082,经纬!B:C,2,FALSE))</f>
        <v/>
      </c>
      <c r="D1082" s="8" t="str">
        <f>IF(B1082="","",VLOOKUP(B1082,经纬!B:G,6,FALSE))</f>
        <v/>
      </c>
      <c r="F1082" s="8" t="str">
        <f>IF(B1082="","",VLOOKUP(B1082,小圆机汇总表!A:AP,5,FALSE))</f>
        <v/>
      </c>
      <c r="G1082" s="8" t="str">
        <f>IF(B1082="","",VLOOKUP(B1082,小圆机汇总表!A:AP,8,FALSE))</f>
        <v/>
      </c>
      <c r="P1082" s="8" t="str">
        <f t="shared" si="65"/>
        <v/>
      </c>
      <c r="R1082" s="250" t="str">
        <f t="shared" si="64"/>
        <v/>
      </c>
    </row>
    <row r="1083" spans="1:18">
      <c r="A1083" s="4">
        <v>1092</v>
      </c>
      <c r="C1083" s="8" t="str">
        <f>IF(B1083="","",VLOOKUP(B1083,经纬!B:C,2,FALSE))</f>
        <v/>
      </c>
      <c r="D1083" s="8" t="str">
        <f>IF(B1083="","",VLOOKUP(B1083,经纬!B:G,6,FALSE))</f>
        <v/>
      </c>
      <c r="F1083" s="8" t="str">
        <f>IF(B1083="","",VLOOKUP(B1083,小圆机汇总表!A:AP,5,FALSE))</f>
        <v/>
      </c>
      <c r="G1083" s="8" t="str">
        <f>IF(B1083="","",VLOOKUP(B1083,小圆机汇总表!A:AP,8,FALSE))</f>
        <v/>
      </c>
      <c r="P1083" s="8" t="str">
        <f t="shared" si="65"/>
        <v/>
      </c>
      <c r="R1083" s="250" t="str">
        <f t="shared" si="64"/>
        <v/>
      </c>
    </row>
    <row r="1084" spans="1:18">
      <c r="A1084" s="4">
        <v>1093</v>
      </c>
      <c r="C1084" s="8" t="str">
        <f>IF(B1084="","",VLOOKUP(B1084,经纬!B:C,2,FALSE))</f>
        <v/>
      </c>
      <c r="D1084" s="8" t="str">
        <f>IF(B1084="","",VLOOKUP(B1084,经纬!B:G,6,FALSE))</f>
        <v/>
      </c>
      <c r="F1084" s="8" t="str">
        <f>IF(B1084="","",VLOOKUP(B1084,小圆机汇总表!A:AP,5,FALSE))</f>
        <v/>
      </c>
      <c r="G1084" s="8" t="str">
        <f>IF(B1084="","",VLOOKUP(B1084,小圆机汇总表!A:AP,8,FALSE))</f>
        <v/>
      </c>
      <c r="P1084" s="8" t="str">
        <f t="shared" si="65"/>
        <v/>
      </c>
      <c r="R1084" s="250" t="str">
        <f t="shared" si="64"/>
        <v/>
      </c>
    </row>
    <row r="1085" spans="1:18">
      <c r="A1085" s="4">
        <v>1094</v>
      </c>
      <c r="C1085" s="8" t="str">
        <f>IF(B1085="","",VLOOKUP(B1085,经纬!B:C,2,FALSE))</f>
        <v/>
      </c>
      <c r="D1085" s="8" t="str">
        <f>IF(B1085="","",VLOOKUP(B1085,经纬!B:G,6,FALSE))</f>
        <v/>
      </c>
      <c r="F1085" s="8" t="str">
        <f>IF(B1085="","",VLOOKUP(B1085,小圆机汇总表!A:AP,5,FALSE))</f>
        <v/>
      </c>
      <c r="G1085" s="8" t="str">
        <f>IF(B1085="","",VLOOKUP(B1085,小圆机汇总表!A:AP,8,FALSE))</f>
        <v/>
      </c>
      <c r="P1085" s="8" t="str">
        <f t="shared" si="65"/>
        <v/>
      </c>
      <c r="R1085" s="250" t="str">
        <f t="shared" si="64"/>
        <v/>
      </c>
    </row>
    <row r="1086" spans="1:18">
      <c r="A1086" s="4">
        <v>1095</v>
      </c>
      <c r="C1086" s="8" t="str">
        <f>IF(B1086="","",VLOOKUP(B1086,经纬!B:C,2,FALSE))</f>
        <v/>
      </c>
      <c r="D1086" s="8" t="str">
        <f>IF(B1086="","",VLOOKUP(B1086,经纬!B:G,6,FALSE))</f>
        <v/>
      </c>
      <c r="F1086" s="8" t="str">
        <f>IF(B1086="","",VLOOKUP(B1086,小圆机汇总表!A:AP,5,FALSE))</f>
        <v/>
      </c>
      <c r="G1086" s="8" t="str">
        <f>IF(B1086="","",VLOOKUP(B1086,小圆机汇总表!A:AP,8,FALSE))</f>
        <v/>
      </c>
      <c r="P1086" s="8" t="str">
        <f t="shared" si="65"/>
        <v/>
      </c>
      <c r="R1086" s="250" t="str">
        <f t="shared" si="64"/>
        <v/>
      </c>
    </row>
    <row r="1087" spans="1:18">
      <c r="A1087" s="4">
        <v>1096</v>
      </c>
      <c r="C1087" s="8" t="str">
        <f>IF(B1087="","",VLOOKUP(B1087,经纬!B:C,2,FALSE))</f>
        <v/>
      </c>
      <c r="D1087" s="8" t="str">
        <f>IF(B1087="","",VLOOKUP(B1087,经纬!B:G,6,FALSE))</f>
        <v/>
      </c>
      <c r="F1087" s="8" t="str">
        <f>IF(B1087="","",VLOOKUP(B1087,小圆机汇总表!A:AP,5,FALSE))</f>
        <v/>
      </c>
      <c r="G1087" s="8" t="str">
        <f>IF(B1087="","",VLOOKUP(B1087,小圆机汇总表!A:AP,8,FALSE))</f>
        <v/>
      </c>
      <c r="P1087" s="8" t="str">
        <f t="shared" si="65"/>
        <v/>
      </c>
      <c r="R1087" s="250" t="str">
        <f t="shared" si="64"/>
        <v/>
      </c>
    </row>
    <row r="1088" spans="1:18">
      <c r="A1088" s="4">
        <v>1097</v>
      </c>
      <c r="C1088" s="8" t="str">
        <f>IF(B1088="","",VLOOKUP(B1088,经纬!B:C,2,FALSE))</f>
        <v/>
      </c>
      <c r="D1088" s="8" t="str">
        <f>IF(B1088="","",VLOOKUP(B1088,经纬!B:G,6,FALSE))</f>
        <v/>
      </c>
      <c r="F1088" s="8" t="str">
        <f>IF(B1088="","",VLOOKUP(B1088,小圆机汇总表!A:AP,5,FALSE))</f>
        <v/>
      </c>
      <c r="G1088" s="8" t="str">
        <f>IF(B1088="","",VLOOKUP(B1088,小圆机汇总表!A:AP,8,FALSE))</f>
        <v/>
      </c>
      <c r="P1088" s="8" t="str">
        <f t="shared" si="65"/>
        <v/>
      </c>
      <c r="R1088" s="250" t="str">
        <f t="shared" si="64"/>
        <v/>
      </c>
    </row>
    <row r="1089" spans="1:18">
      <c r="A1089" s="4">
        <v>1098</v>
      </c>
      <c r="C1089" s="8" t="str">
        <f>IF(B1089="","",VLOOKUP(B1089,经纬!B:C,2,FALSE))</f>
        <v/>
      </c>
      <c r="D1089" s="8" t="str">
        <f>IF(B1089="","",VLOOKUP(B1089,经纬!B:G,6,FALSE))</f>
        <v/>
      </c>
      <c r="F1089" s="8" t="str">
        <f>IF(B1089="","",VLOOKUP(B1089,小圆机汇总表!A:AP,5,FALSE))</f>
        <v/>
      </c>
      <c r="G1089" s="8" t="str">
        <f>IF(B1089="","",VLOOKUP(B1089,小圆机汇总表!A:AP,8,FALSE))</f>
        <v/>
      </c>
      <c r="P1089" s="8" t="str">
        <f t="shared" si="65"/>
        <v/>
      </c>
      <c r="R1089" s="250" t="str">
        <f t="shared" si="64"/>
        <v/>
      </c>
    </row>
    <row r="1090" spans="1:18">
      <c r="A1090" s="4">
        <v>1099</v>
      </c>
      <c r="C1090" s="8" t="str">
        <f>IF(B1090="","",VLOOKUP(B1090,经纬!B:C,2,FALSE))</f>
        <v/>
      </c>
      <c r="D1090" s="8" t="str">
        <f>IF(B1090="","",VLOOKUP(B1090,经纬!B:G,6,FALSE))</f>
        <v/>
      </c>
      <c r="F1090" s="8" t="str">
        <f>IF(B1090="","",VLOOKUP(B1090,小圆机汇总表!A:AP,5,FALSE))</f>
        <v/>
      </c>
      <c r="G1090" s="8" t="str">
        <f>IF(B1090="","",VLOOKUP(B1090,小圆机汇总表!A:AP,8,FALSE))</f>
        <v/>
      </c>
      <c r="P1090" s="8" t="str">
        <f t="shared" si="65"/>
        <v/>
      </c>
      <c r="R1090" s="250" t="str">
        <f t="shared" si="64"/>
        <v/>
      </c>
    </row>
    <row r="1091" spans="1:18">
      <c r="A1091" s="4">
        <v>1100</v>
      </c>
      <c r="C1091" s="8" t="str">
        <f>IF(B1091="","",VLOOKUP(B1091,经纬!B:C,2,FALSE))</f>
        <v/>
      </c>
      <c r="D1091" s="8" t="str">
        <f>IF(B1091="","",VLOOKUP(B1091,经纬!B:G,6,FALSE))</f>
        <v/>
      </c>
      <c r="F1091" s="8" t="str">
        <f>IF(B1091="","",VLOOKUP(B1091,小圆机汇总表!A:AP,5,FALSE))</f>
        <v/>
      </c>
      <c r="G1091" s="8" t="str">
        <f>IF(B1091="","",VLOOKUP(B1091,小圆机汇总表!A:AP,8,FALSE))</f>
        <v/>
      </c>
      <c r="P1091" s="8" t="str">
        <f t="shared" si="65"/>
        <v/>
      </c>
      <c r="R1091" s="250" t="str">
        <f t="shared" ref="R1091:R1154" si="66">IF(B1091="","",MONTH(I1091))</f>
        <v/>
      </c>
    </row>
    <row r="1092" spans="1:18">
      <c r="A1092" s="4">
        <v>1101</v>
      </c>
      <c r="C1092" s="8" t="str">
        <f>IF(B1092="","",VLOOKUP(B1092,经纬!B:C,2,FALSE))</f>
        <v/>
      </c>
      <c r="D1092" s="8" t="str">
        <f>IF(B1092="","",VLOOKUP(B1092,经纬!B:G,6,FALSE))</f>
        <v/>
      </c>
      <c r="F1092" s="8" t="str">
        <f>IF(B1092="","",VLOOKUP(B1092,小圆机汇总表!A:AP,5,FALSE))</f>
        <v/>
      </c>
      <c r="G1092" s="8" t="str">
        <f>IF(B1092="","",VLOOKUP(B1092,小圆机汇总表!A:AP,8,FALSE))</f>
        <v/>
      </c>
      <c r="P1092" s="8" t="str">
        <f t="shared" si="65"/>
        <v/>
      </c>
      <c r="R1092" s="250" t="str">
        <f t="shared" si="66"/>
        <v/>
      </c>
    </row>
    <row r="1093" spans="1:18">
      <c r="A1093" s="4">
        <v>1102</v>
      </c>
      <c r="C1093" s="8" t="str">
        <f>IF(B1093="","",VLOOKUP(B1093,经纬!B:C,2,FALSE))</f>
        <v/>
      </c>
      <c r="D1093" s="8" t="str">
        <f>IF(B1093="","",VLOOKUP(B1093,经纬!B:G,6,FALSE))</f>
        <v/>
      </c>
      <c r="F1093" s="8" t="str">
        <f>IF(B1093="","",VLOOKUP(B1093,小圆机汇总表!A:AP,5,FALSE))</f>
        <v/>
      </c>
      <c r="G1093" s="8" t="str">
        <f>IF(B1093="","",VLOOKUP(B1093,小圆机汇总表!A:AP,8,FALSE))</f>
        <v/>
      </c>
      <c r="P1093" s="8" t="str">
        <f t="shared" si="65"/>
        <v/>
      </c>
      <c r="R1093" s="250" t="str">
        <f t="shared" si="66"/>
        <v/>
      </c>
    </row>
    <row r="1094" spans="1:18">
      <c r="A1094" s="4">
        <v>1103</v>
      </c>
      <c r="C1094" s="8" t="str">
        <f>IF(B1094="","",VLOOKUP(B1094,经纬!B:C,2,FALSE))</f>
        <v/>
      </c>
      <c r="D1094" s="8" t="str">
        <f>IF(B1094="","",VLOOKUP(B1094,经纬!B:G,6,FALSE))</f>
        <v/>
      </c>
      <c r="F1094" s="8" t="str">
        <f>IF(B1094="","",VLOOKUP(B1094,小圆机汇总表!A:AP,5,FALSE))</f>
        <v/>
      </c>
      <c r="G1094" s="8" t="str">
        <f>IF(B1094="","",VLOOKUP(B1094,小圆机汇总表!A:AP,8,FALSE))</f>
        <v/>
      </c>
      <c r="P1094" s="8" t="str">
        <f t="shared" si="65"/>
        <v/>
      </c>
      <c r="R1094" s="250" t="str">
        <f t="shared" si="66"/>
        <v/>
      </c>
    </row>
    <row r="1095" spans="1:18">
      <c r="A1095" s="4">
        <v>1104</v>
      </c>
      <c r="C1095" s="8" t="str">
        <f>IF(B1095="","",VLOOKUP(B1095,经纬!B:C,2,FALSE))</f>
        <v/>
      </c>
      <c r="D1095" s="8" t="str">
        <f>IF(B1095="","",VLOOKUP(B1095,经纬!B:G,6,FALSE))</f>
        <v/>
      </c>
      <c r="F1095" s="8" t="str">
        <f>IF(B1095="","",VLOOKUP(B1095,小圆机汇总表!A:AP,5,FALSE))</f>
        <v/>
      </c>
      <c r="G1095" s="8" t="str">
        <f>IF(B1095="","",VLOOKUP(B1095,小圆机汇总表!A:AP,8,FALSE))</f>
        <v/>
      </c>
      <c r="P1095" s="8" t="str">
        <f t="shared" si="65"/>
        <v/>
      </c>
      <c r="R1095" s="250" t="str">
        <f t="shared" si="66"/>
        <v/>
      </c>
    </row>
    <row r="1096" spans="1:18">
      <c r="A1096" s="4">
        <v>1105</v>
      </c>
      <c r="C1096" s="8" t="str">
        <f>IF(B1096="","",VLOOKUP(B1096,经纬!B:C,2,FALSE))</f>
        <v/>
      </c>
      <c r="D1096" s="8" t="str">
        <f>IF(B1096="","",VLOOKUP(B1096,经纬!B:G,6,FALSE))</f>
        <v/>
      </c>
      <c r="F1096" s="8" t="str">
        <f>IF(B1096="","",VLOOKUP(B1096,小圆机汇总表!A:AP,5,FALSE))</f>
        <v/>
      </c>
      <c r="G1096" s="8" t="str">
        <f>IF(B1096="","",VLOOKUP(B1096,小圆机汇总表!A:AP,8,FALSE))</f>
        <v/>
      </c>
      <c r="P1096" s="8" t="str">
        <f t="shared" si="65"/>
        <v/>
      </c>
      <c r="R1096" s="250" t="str">
        <f t="shared" si="66"/>
        <v/>
      </c>
    </row>
    <row r="1097" spans="1:18">
      <c r="A1097" s="4">
        <v>1106</v>
      </c>
      <c r="C1097" s="8" t="str">
        <f>IF(B1097="","",VLOOKUP(B1097,经纬!B:C,2,FALSE))</f>
        <v/>
      </c>
      <c r="D1097" s="8" t="str">
        <f>IF(B1097="","",VLOOKUP(B1097,经纬!B:G,6,FALSE))</f>
        <v/>
      </c>
      <c r="F1097" s="8" t="str">
        <f>IF(B1097="","",VLOOKUP(B1097,小圆机汇总表!A:AP,5,FALSE))</f>
        <v/>
      </c>
      <c r="G1097" s="8" t="str">
        <f>IF(B1097="","",VLOOKUP(B1097,小圆机汇总表!A:AP,8,FALSE))</f>
        <v/>
      </c>
      <c r="P1097" s="8" t="str">
        <f t="shared" si="65"/>
        <v/>
      </c>
      <c r="R1097" s="250" t="str">
        <f t="shared" si="66"/>
        <v/>
      </c>
    </row>
    <row r="1098" spans="1:18">
      <c r="A1098" s="4">
        <v>1107</v>
      </c>
      <c r="C1098" s="8" t="str">
        <f>IF(B1098="","",VLOOKUP(B1098,经纬!B:C,2,FALSE))</f>
        <v/>
      </c>
      <c r="D1098" s="8" t="str">
        <f>IF(B1098="","",VLOOKUP(B1098,经纬!B:G,6,FALSE))</f>
        <v/>
      </c>
      <c r="F1098" s="8" t="str">
        <f>IF(B1098="","",VLOOKUP(B1098,小圆机汇总表!A:AP,5,FALSE))</f>
        <v/>
      </c>
      <c r="G1098" s="8" t="str">
        <f>IF(B1098="","",VLOOKUP(B1098,小圆机汇总表!A:AP,8,FALSE))</f>
        <v/>
      </c>
      <c r="P1098" s="8" t="str">
        <f t="shared" si="65"/>
        <v/>
      </c>
      <c r="R1098" s="250" t="str">
        <f t="shared" si="66"/>
        <v/>
      </c>
    </row>
    <row r="1099" spans="1:18">
      <c r="A1099" s="4">
        <v>1108</v>
      </c>
      <c r="C1099" s="8" t="str">
        <f>IF(B1099="","",VLOOKUP(B1099,经纬!B:C,2,FALSE))</f>
        <v/>
      </c>
      <c r="D1099" s="8" t="str">
        <f>IF(B1099="","",VLOOKUP(B1099,经纬!B:G,6,FALSE))</f>
        <v/>
      </c>
      <c r="F1099" s="8" t="str">
        <f>IF(B1099="","",VLOOKUP(B1099,小圆机汇总表!A:AP,5,FALSE))</f>
        <v/>
      </c>
      <c r="G1099" s="8" t="str">
        <f>IF(B1099="","",VLOOKUP(B1099,小圆机汇总表!A:AP,8,FALSE))</f>
        <v/>
      </c>
      <c r="P1099" s="8" t="str">
        <f t="shared" si="65"/>
        <v/>
      </c>
      <c r="R1099" s="250" t="str">
        <f t="shared" si="66"/>
        <v/>
      </c>
    </row>
    <row r="1100" spans="1:18">
      <c r="A1100" s="4">
        <v>1109</v>
      </c>
      <c r="C1100" s="8" t="str">
        <f>IF(B1100="","",VLOOKUP(B1100,经纬!B:C,2,FALSE))</f>
        <v/>
      </c>
      <c r="D1100" s="8" t="str">
        <f>IF(B1100="","",VLOOKUP(B1100,经纬!B:G,6,FALSE))</f>
        <v/>
      </c>
      <c r="F1100" s="8" t="str">
        <f>IF(B1100="","",VLOOKUP(B1100,小圆机汇总表!A:AP,5,FALSE))</f>
        <v/>
      </c>
      <c r="G1100" s="8" t="str">
        <f>IF(B1100="","",VLOOKUP(B1100,小圆机汇总表!A:AP,8,FALSE))</f>
        <v/>
      </c>
      <c r="P1100" s="8" t="str">
        <f t="shared" si="65"/>
        <v/>
      </c>
      <c r="R1100" s="250" t="str">
        <f t="shared" si="66"/>
        <v/>
      </c>
    </row>
    <row r="1101" spans="1:18">
      <c r="A1101" s="4">
        <v>1110</v>
      </c>
      <c r="C1101" s="8" t="str">
        <f>IF(B1101="","",VLOOKUP(B1101,经纬!B:C,2,FALSE))</f>
        <v/>
      </c>
      <c r="D1101" s="8" t="str">
        <f>IF(B1101="","",VLOOKUP(B1101,经纬!B:G,6,FALSE))</f>
        <v/>
      </c>
      <c r="F1101" s="8" t="str">
        <f>IF(B1101="","",VLOOKUP(B1101,小圆机汇总表!A:AP,5,FALSE))</f>
        <v/>
      </c>
      <c r="G1101" s="8" t="str">
        <f>IF(B1101="","",VLOOKUP(B1101,小圆机汇总表!A:AP,8,FALSE))</f>
        <v/>
      </c>
      <c r="P1101" s="8" t="str">
        <f t="shared" si="65"/>
        <v/>
      </c>
      <c r="R1101" s="250" t="str">
        <f t="shared" si="66"/>
        <v/>
      </c>
    </row>
    <row r="1102" spans="1:18">
      <c r="A1102" s="4">
        <v>1111</v>
      </c>
      <c r="C1102" s="8" t="str">
        <f>IF(B1102="","",VLOOKUP(B1102,经纬!B:C,2,FALSE))</f>
        <v/>
      </c>
      <c r="D1102" s="8" t="str">
        <f>IF(B1102="","",VLOOKUP(B1102,经纬!B:G,6,FALSE))</f>
        <v/>
      </c>
      <c r="F1102" s="8" t="str">
        <f>IF(B1102="","",VLOOKUP(B1102,小圆机汇总表!A:AP,5,FALSE))</f>
        <v/>
      </c>
      <c r="G1102" s="8" t="str">
        <f>IF(B1102="","",VLOOKUP(B1102,小圆机汇总表!A:AP,8,FALSE))</f>
        <v/>
      </c>
      <c r="P1102" s="8" t="str">
        <f t="shared" si="65"/>
        <v/>
      </c>
      <c r="R1102" s="250" t="str">
        <f t="shared" si="66"/>
        <v/>
      </c>
    </row>
    <row r="1103" spans="1:18">
      <c r="A1103" s="4">
        <v>1112</v>
      </c>
      <c r="C1103" s="8" t="str">
        <f>IF(B1103="","",VLOOKUP(B1103,经纬!B:C,2,FALSE))</f>
        <v/>
      </c>
      <c r="D1103" s="8" t="str">
        <f>IF(B1103="","",VLOOKUP(B1103,经纬!B:G,6,FALSE))</f>
        <v/>
      </c>
      <c r="F1103" s="8" t="str">
        <f>IF(B1103="","",VLOOKUP(B1103,小圆机汇总表!A:AP,5,FALSE))</f>
        <v/>
      </c>
      <c r="G1103" s="8" t="str">
        <f>IF(B1103="","",VLOOKUP(B1103,小圆机汇总表!A:AP,8,FALSE))</f>
        <v/>
      </c>
      <c r="P1103" s="8" t="str">
        <f t="shared" si="65"/>
        <v/>
      </c>
      <c r="R1103" s="250" t="str">
        <f t="shared" si="66"/>
        <v/>
      </c>
    </row>
    <row r="1104" spans="1:18">
      <c r="A1104" s="4">
        <v>1113</v>
      </c>
      <c r="C1104" s="8" t="str">
        <f>IF(B1104="","",VLOOKUP(B1104,经纬!B:C,2,FALSE))</f>
        <v/>
      </c>
      <c r="D1104" s="8" t="str">
        <f>IF(B1104="","",VLOOKUP(B1104,经纬!B:G,6,FALSE))</f>
        <v/>
      </c>
      <c r="F1104" s="8" t="str">
        <f>IF(B1104="","",VLOOKUP(B1104,小圆机汇总表!A:AP,5,FALSE))</f>
        <v/>
      </c>
      <c r="G1104" s="8" t="str">
        <f>IF(B1104="","",VLOOKUP(B1104,小圆机汇总表!A:AP,8,FALSE))</f>
        <v/>
      </c>
      <c r="P1104" s="8" t="str">
        <f t="shared" si="65"/>
        <v/>
      </c>
      <c r="R1104" s="250" t="str">
        <f t="shared" si="66"/>
        <v/>
      </c>
    </row>
    <row r="1105" spans="1:18">
      <c r="A1105" s="4">
        <v>1114</v>
      </c>
      <c r="C1105" s="8" t="str">
        <f>IF(B1105="","",VLOOKUP(B1105,经纬!B:C,2,FALSE))</f>
        <v/>
      </c>
      <c r="D1105" s="8" t="str">
        <f>IF(B1105="","",VLOOKUP(B1105,经纬!B:G,6,FALSE))</f>
        <v/>
      </c>
      <c r="F1105" s="8" t="str">
        <f>IF(B1105="","",VLOOKUP(B1105,小圆机汇总表!A:AP,5,FALSE))</f>
        <v/>
      </c>
      <c r="G1105" s="8" t="str">
        <f>IF(B1105="","",VLOOKUP(B1105,小圆机汇总表!A:AP,8,FALSE))</f>
        <v/>
      </c>
      <c r="P1105" s="8" t="str">
        <f t="shared" si="65"/>
        <v/>
      </c>
      <c r="R1105" s="250" t="str">
        <f t="shared" si="66"/>
        <v/>
      </c>
    </row>
    <row r="1106" spans="1:18">
      <c r="A1106" s="4">
        <v>1115</v>
      </c>
      <c r="C1106" s="8" t="str">
        <f>IF(B1106="","",VLOOKUP(B1106,经纬!B:C,2,FALSE))</f>
        <v/>
      </c>
      <c r="D1106" s="8" t="str">
        <f>IF(B1106="","",VLOOKUP(B1106,经纬!B:G,6,FALSE))</f>
        <v/>
      </c>
      <c r="F1106" s="8" t="str">
        <f>IF(B1106="","",VLOOKUP(B1106,小圆机汇总表!A:AP,5,FALSE))</f>
        <v/>
      </c>
      <c r="G1106" s="8" t="str">
        <f>IF(B1106="","",VLOOKUP(B1106,小圆机汇总表!A:AP,8,FALSE))</f>
        <v/>
      </c>
      <c r="P1106" s="8" t="str">
        <f t="shared" si="65"/>
        <v/>
      </c>
      <c r="R1106" s="250" t="str">
        <f t="shared" si="66"/>
        <v/>
      </c>
    </row>
    <row r="1107" spans="1:18">
      <c r="A1107" s="4">
        <v>1116</v>
      </c>
      <c r="C1107" s="8" t="str">
        <f>IF(B1107="","",VLOOKUP(B1107,经纬!B:C,2,FALSE))</f>
        <v/>
      </c>
      <c r="D1107" s="8" t="str">
        <f>IF(B1107="","",VLOOKUP(B1107,经纬!B:G,6,FALSE))</f>
        <v/>
      </c>
      <c r="F1107" s="8" t="str">
        <f>IF(B1107="","",VLOOKUP(B1107,小圆机汇总表!A:AP,5,FALSE))</f>
        <v/>
      </c>
      <c r="G1107" s="8" t="str">
        <f>IF(B1107="","",VLOOKUP(B1107,小圆机汇总表!A:AP,8,FALSE))</f>
        <v/>
      </c>
      <c r="P1107" s="8" t="str">
        <f t="shared" si="65"/>
        <v/>
      </c>
      <c r="R1107" s="250" t="str">
        <f t="shared" si="66"/>
        <v/>
      </c>
    </row>
    <row r="1108" spans="1:18">
      <c r="A1108" s="4">
        <v>1117</v>
      </c>
      <c r="C1108" s="8" t="str">
        <f>IF(B1108="","",VLOOKUP(B1108,经纬!B:C,2,FALSE))</f>
        <v/>
      </c>
      <c r="D1108" s="8" t="str">
        <f>IF(B1108="","",VLOOKUP(B1108,经纬!B:G,6,FALSE))</f>
        <v/>
      </c>
      <c r="F1108" s="8" t="str">
        <f>IF(B1108="","",VLOOKUP(B1108,小圆机汇总表!A:AP,5,FALSE))</f>
        <v/>
      </c>
      <c r="G1108" s="8" t="str">
        <f>IF(B1108="","",VLOOKUP(B1108,小圆机汇总表!A:AP,8,FALSE))</f>
        <v/>
      </c>
      <c r="P1108" s="8" t="str">
        <f t="shared" si="65"/>
        <v/>
      </c>
      <c r="R1108" s="250" t="str">
        <f t="shared" si="66"/>
        <v/>
      </c>
    </row>
    <row r="1109" spans="1:18">
      <c r="A1109" s="4">
        <v>1118</v>
      </c>
      <c r="C1109" s="8" t="str">
        <f>IF(B1109="","",VLOOKUP(B1109,经纬!B:C,2,FALSE))</f>
        <v/>
      </c>
      <c r="D1109" s="8" t="str">
        <f>IF(B1109="","",VLOOKUP(B1109,经纬!B:G,6,FALSE))</f>
        <v/>
      </c>
      <c r="F1109" s="8" t="str">
        <f>IF(B1109="","",VLOOKUP(B1109,小圆机汇总表!A:AP,5,FALSE))</f>
        <v/>
      </c>
      <c r="G1109" s="8" t="str">
        <f>IF(B1109="","",VLOOKUP(B1109,小圆机汇总表!A:AP,8,FALSE))</f>
        <v/>
      </c>
      <c r="P1109" s="8" t="str">
        <f t="shared" si="65"/>
        <v/>
      </c>
      <c r="R1109" s="250" t="str">
        <f t="shared" si="66"/>
        <v/>
      </c>
    </row>
    <row r="1110" spans="1:18">
      <c r="A1110" s="4">
        <v>1119</v>
      </c>
      <c r="C1110" s="8" t="str">
        <f>IF(B1110="","",VLOOKUP(B1110,经纬!B:C,2,FALSE))</f>
        <v/>
      </c>
      <c r="D1110" s="8" t="str">
        <f>IF(B1110="","",VLOOKUP(B1110,经纬!B:G,6,FALSE))</f>
        <v/>
      </c>
      <c r="F1110" s="8" t="str">
        <f>IF(B1110="","",VLOOKUP(B1110,小圆机汇总表!A:AP,5,FALSE))</f>
        <v/>
      </c>
      <c r="G1110" s="8" t="str">
        <f>IF(B1110="","",VLOOKUP(B1110,小圆机汇总表!A:AP,8,FALSE))</f>
        <v/>
      </c>
      <c r="P1110" s="8" t="str">
        <f t="shared" si="65"/>
        <v/>
      </c>
      <c r="R1110" s="250" t="str">
        <f t="shared" si="66"/>
        <v/>
      </c>
    </row>
    <row r="1111" spans="1:18">
      <c r="A1111" s="4">
        <v>1120</v>
      </c>
      <c r="C1111" s="8" t="str">
        <f>IF(B1111="","",VLOOKUP(B1111,经纬!B:C,2,FALSE))</f>
        <v/>
      </c>
      <c r="D1111" s="8" t="str">
        <f>IF(B1111="","",VLOOKUP(B1111,经纬!B:G,6,FALSE))</f>
        <v/>
      </c>
      <c r="F1111" s="8" t="str">
        <f>IF(B1111="","",VLOOKUP(B1111,小圆机汇总表!A:AP,5,FALSE))</f>
        <v/>
      </c>
      <c r="G1111" s="8" t="str">
        <f>IF(B1111="","",VLOOKUP(B1111,小圆机汇总表!A:AP,8,FALSE))</f>
        <v/>
      </c>
      <c r="P1111" s="8" t="str">
        <f t="shared" si="65"/>
        <v/>
      </c>
      <c r="R1111" s="250" t="str">
        <f t="shared" si="66"/>
        <v/>
      </c>
    </row>
    <row r="1112" spans="1:18">
      <c r="A1112" s="4">
        <v>1121</v>
      </c>
      <c r="C1112" s="8" t="str">
        <f>IF(B1112="","",VLOOKUP(B1112,经纬!B:C,2,FALSE))</f>
        <v/>
      </c>
      <c r="D1112" s="8" t="str">
        <f>IF(B1112="","",VLOOKUP(B1112,经纬!B:G,6,FALSE))</f>
        <v/>
      </c>
      <c r="F1112" s="8" t="str">
        <f>IF(B1112="","",VLOOKUP(B1112,小圆机汇总表!A:AP,5,FALSE))</f>
        <v/>
      </c>
      <c r="G1112" s="8" t="str">
        <f>IF(B1112="","",VLOOKUP(B1112,小圆机汇总表!A:AP,8,FALSE))</f>
        <v/>
      </c>
      <c r="P1112" s="8" t="str">
        <f t="shared" si="65"/>
        <v/>
      </c>
      <c r="R1112" s="250" t="str">
        <f t="shared" si="66"/>
        <v/>
      </c>
    </row>
    <row r="1113" spans="1:18">
      <c r="A1113" s="4">
        <v>1122</v>
      </c>
      <c r="C1113" s="8" t="str">
        <f>IF(B1113="","",VLOOKUP(B1113,经纬!B:C,2,FALSE))</f>
        <v/>
      </c>
      <c r="D1113" s="8" t="str">
        <f>IF(B1113="","",VLOOKUP(B1113,经纬!B:G,6,FALSE))</f>
        <v/>
      </c>
      <c r="F1113" s="8" t="str">
        <f>IF(B1113="","",VLOOKUP(B1113,小圆机汇总表!A:AP,5,FALSE))</f>
        <v/>
      </c>
      <c r="G1113" s="8" t="str">
        <f>IF(B1113="","",VLOOKUP(B1113,小圆机汇总表!A:AP,8,FALSE))</f>
        <v/>
      </c>
      <c r="P1113" s="8" t="str">
        <f t="shared" si="65"/>
        <v/>
      </c>
      <c r="R1113" s="250" t="str">
        <f t="shared" si="66"/>
        <v/>
      </c>
    </row>
    <row r="1114" spans="1:18">
      <c r="A1114" s="4">
        <v>1123</v>
      </c>
      <c r="C1114" s="8" t="str">
        <f>IF(B1114="","",VLOOKUP(B1114,经纬!B:C,2,FALSE))</f>
        <v/>
      </c>
      <c r="D1114" s="8" t="str">
        <f>IF(B1114="","",VLOOKUP(B1114,经纬!B:G,6,FALSE))</f>
        <v/>
      </c>
      <c r="F1114" s="8" t="str">
        <f>IF(B1114="","",VLOOKUP(B1114,小圆机汇总表!A:AP,5,FALSE))</f>
        <v/>
      </c>
      <c r="G1114" s="8" t="str">
        <f>IF(B1114="","",VLOOKUP(B1114,小圆机汇总表!A:AP,8,FALSE))</f>
        <v/>
      </c>
      <c r="P1114" s="8" t="str">
        <f t="shared" ref="P1114:P1177" si="67">IF(B1114="","",MONTH(I1114))</f>
        <v/>
      </c>
      <c r="R1114" s="250" t="str">
        <f t="shared" si="66"/>
        <v/>
      </c>
    </row>
    <row r="1115" spans="1:18">
      <c r="A1115" s="4">
        <v>1124</v>
      </c>
      <c r="C1115" s="8" t="str">
        <f>IF(B1115="","",VLOOKUP(B1115,经纬!B:C,2,FALSE))</f>
        <v/>
      </c>
      <c r="D1115" s="8" t="str">
        <f>IF(B1115="","",VLOOKUP(B1115,经纬!B:G,6,FALSE))</f>
        <v/>
      </c>
      <c r="F1115" s="8" t="str">
        <f>IF(B1115="","",VLOOKUP(B1115,小圆机汇总表!A:AP,5,FALSE))</f>
        <v/>
      </c>
      <c r="G1115" s="8" t="str">
        <f>IF(B1115="","",VLOOKUP(B1115,小圆机汇总表!A:AP,8,FALSE))</f>
        <v/>
      </c>
      <c r="P1115" s="8" t="str">
        <f t="shared" si="67"/>
        <v/>
      </c>
      <c r="R1115" s="250" t="str">
        <f t="shared" si="66"/>
        <v/>
      </c>
    </row>
    <row r="1116" spans="1:18">
      <c r="A1116" s="4">
        <v>1125</v>
      </c>
      <c r="C1116" s="8" t="str">
        <f>IF(B1116="","",VLOOKUP(B1116,经纬!B:C,2,FALSE))</f>
        <v/>
      </c>
      <c r="D1116" s="8" t="str">
        <f>IF(B1116="","",VLOOKUP(B1116,经纬!B:G,6,FALSE))</f>
        <v/>
      </c>
      <c r="F1116" s="8" t="str">
        <f>IF(B1116="","",VLOOKUP(B1116,小圆机汇总表!A:AP,5,FALSE))</f>
        <v/>
      </c>
      <c r="G1116" s="8" t="str">
        <f>IF(B1116="","",VLOOKUP(B1116,小圆机汇总表!A:AP,8,FALSE))</f>
        <v/>
      </c>
      <c r="P1116" s="8" t="str">
        <f t="shared" si="67"/>
        <v/>
      </c>
      <c r="R1116" s="250" t="str">
        <f t="shared" si="66"/>
        <v/>
      </c>
    </row>
    <row r="1117" spans="1:18">
      <c r="A1117" s="4">
        <v>1126</v>
      </c>
      <c r="C1117" s="8" t="str">
        <f>IF(B1117="","",VLOOKUP(B1117,经纬!B:C,2,FALSE))</f>
        <v/>
      </c>
      <c r="D1117" s="8" t="str">
        <f>IF(B1117="","",VLOOKUP(B1117,经纬!B:G,6,FALSE))</f>
        <v/>
      </c>
      <c r="F1117" s="8" t="str">
        <f>IF(B1117="","",VLOOKUP(B1117,小圆机汇总表!A:AP,5,FALSE))</f>
        <v/>
      </c>
      <c r="G1117" s="8" t="str">
        <f>IF(B1117="","",VLOOKUP(B1117,小圆机汇总表!A:AP,8,FALSE))</f>
        <v/>
      </c>
      <c r="P1117" s="8" t="str">
        <f t="shared" si="67"/>
        <v/>
      </c>
      <c r="R1117" s="250" t="str">
        <f t="shared" si="66"/>
        <v/>
      </c>
    </row>
    <row r="1118" spans="1:18">
      <c r="A1118" s="4">
        <v>1127</v>
      </c>
      <c r="C1118" s="8" t="str">
        <f>IF(B1118="","",VLOOKUP(B1118,经纬!B:C,2,FALSE))</f>
        <v/>
      </c>
      <c r="D1118" s="8" t="str">
        <f>IF(B1118="","",VLOOKUP(B1118,经纬!B:G,6,FALSE))</f>
        <v/>
      </c>
      <c r="F1118" s="8" t="str">
        <f>IF(B1118="","",VLOOKUP(B1118,小圆机汇总表!A:AP,5,FALSE))</f>
        <v/>
      </c>
      <c r="G1118" s="8" t="str">
        <f>IF(B1118="","",VLOOKUP(B1118,小圆机汇总表!A:AP,8,FALSE))</f>
        <v/>
      </c>
      <c r="P1118" s="8" t="str">
        <f t="shared" si="67"/>
        <v/>
      </c>
      <c r="R1118" s="250" t="str">
        <f t="shared" si="66"/>
        <v/>
      </c>
    </row>
    <row r="1119" spans="1:18">
      <c r="A1119" s="4">
        <v>1128</v>
      </c>
      <c r="C1119" s="8" t="str">
        <f>IF(B1119="","",VLOOKUP(B1119,经纬!B:C,2,FALSE))</f>
        <v/>
      </c>
      <c r="D1119" s="8" t="str">
        <f>IF(B1119="","",VLOOKUP(B1119,经纬!B:G,6,FALSE))</f>
        <v/>
      </c>
      <c r="F1119" s="8" t="str">
        <f>IF(B1119="","",VLOOKUP(B1119,小圆机汇总表!A:AP,5,FALSE))</f>
        <v/>
      </c>
      <c r="G1119" s="8" t="str">
        <f>IF(B1119="","",VLOOKUP(B1119,小圆机汇总表!A:AP,8,FALSE))</f>
        <v/>
      </c>
      <c r="P1119" s="8" t="str">
        <f t="shared" si="67"/>
        <v/>
      </c>
      <c r="R1119" s="250" t="str">
        <f t="shared" si="66"/>
        <v/>
      </c>
    </row>
    <row r="1120" spans="1:18">
      <c r="A1120" s="4">
        <v>1129</v>
      </c>
      <c r="C1120" s="8" t="str">
        <f>IF(B1120="","",VLOOKUP(B1120,经纬!B:C,2,FALSE))</f>
        <v/>
      </c>
      <c r="D1120" s="8" t="str">
        <f>IF(B1120="","",VLOOKUP(B1120,经纬!B:G,6,FALSE))</f>
        <v/>
      </c>
      <c r="F1120" s="8" t="str">
        <f>IF(B1120="","",VLOOKUP(B1120,小圆机汇总表!A:AP,5,FALSE))</f>
        <v/>
      </c>
      <c r="G1120" s="8" t="str">
        <f>IF(B1120="","",VLOOKUP(B1120,小圆机汇总表!A:AP,8,FALSE))</f>
        <v/>
      </c>
      <c r="P1120" s="8" t="str">
        <f t="shared" si="67"/>
        <v/>
      </c>
      <c r="R1120" s="250" t="str">
        <f t="shared" si="66"/>
        <v/>
      </c>
    </row>
    <row r="1121" spans="1:18">
      <c r="A1121" s="4">
        <v>1130</v>
      </c>
      <c r="C1121" s="8" t="str">
        <f>IF(B1121="","",VLOOKUP(B1121,经纬!B:C,2,FALSE))</f>
        <v/>
      </c>
      <c r="D1121" s="8" t="str">
        <f>IF(B1121="","",VLOOKUP(B1121,经纬!B:G,6,FALSE))</f>
        <v/>
      </c>
      <c r="F1121" s="8" t="str">
        <f>IF(B1121="","",VLOOKUP(B1121,小圆机汇总表!A:AP,5,FALSE))</f>
        <v/>
      </c>
      <c r="G1121" s="8" t="str">
        <f>IF(B1121="","",VLOOKUP(B1121,小圆机汇总表!A:AP,8,FALSE))</f>
        <v/>
      </c>
      <c r="P1121" s="8" t="str">
        <f t="shared" si="67"/>
        <v/>
      </c>
      <c r="R1121" s="250" t="str">
        <f t="shared" si="66"/>
        <v/>
      </c>
    </row>
    <row r="1122" spans="1:18">
      <c r="A1122" s="4">
        <v>1131</v>
      </c>
      <c r="C1122" s="8" t="str">
        <f>IF(B1122="","",VLOOKUP(B1122,经纬!B:C,2,FALSE))</f>
        <v/>
      </c>
      <c r="D1122" s="8" t="str">
        <f>IF(B1122="","",VLOOKUP(B1122,经纬!B:G,6,FALSE))</f>
        <v/>
      </c>
      <c r="F1122" s="8" t="str">
        <f>IF(B1122="","",VLOOKUP(B1122,小圆机汇总表!A:AP,5,FALSE))</f>
        <v/>
      </c>
      <c r="G1122" s="8" t="str">
        <f>IF(B1122="","",VLOOKUP(B1122,小圆机汇总表!A:AP,8,FALSE))</f>
        <v/>
      </c>
      <c r="P1122" s="8" t="str">
        <f t="shared" si="67"/>
        <v/>
      </c>
      <c r="R1122" s="250" t="str">
        <f t="shared" si="66"/>
        <v/>
      </c>
    </row>
    <row r="1123" spans="1:18">
      <c r="A1123" s="4">
        <v>1132</v>
      </c>
      <c r="C1123" s="8" t="str">
        <f>IF(B1123="","",VLOOKUP(B1123,经纬!B:C,2,FALSE))</f>
        <v/>
      </c>
      <c r="D1123" s="8" t="str">
        <f>IF(B1123="","",VLOOKUP(B1123,经纬!B:G,6,FALSE))</f>
        <v/>
      </c>
      <c r="F1123" s="8" t="str">
        <f>IF(B1123="","",VLOOKUP(B1123,小圆机汇总表!A:AP,5,FALSE))</f>
        <v/>
      </c>
      <c r="G1123" s="8" t="str">
        <f>IF(B1123="","",VLOOKUP(B1123,小圆机汇总表!A:AP,8,FALSE))</f>
        <v/>
      </c>
      <c r="P1123" s="8" t="str">
        <f t="shared" si="67"/>
        <v/>
      </c>
      <c r="R1123" s="250" t="str">
        <f t="shared" si="66"/>
        <v/>
      </c>
    </row>
    <row r="1124" spans="1:18">
      <c r="A1124" s="4">
        <v>1133</v>
      </c>
      <c r="C1124" s="8" t="str">
        <f>IF(B1124="","",VLOOKUP(B1124,经纬!B:C,2,FALSE))</f>
        <v/>
      </c>
      <c r="D1124" s="8" t="str">
        <f>IF(B1124="","",VLOOKUP(B1124,经纬!B:G,6,FALSE))</f>
        <v/>
      </c>
      <c r="F1124" s="8" t="str">
        <f>IF(B1124="","",VLOOKUP(B1124,小圆机汇总表!A:AP,5,FALSE))</f>
        <v/>
      </c>
      <c r="G1124" s="8" t="str">
        <f>IF(B1124="","",VLOOKUP(B1124,小圆机汇总表!A:AP,8,FALSE))</f>
        <v/>
      </c>
      <c r="P1124" s="8" t="str">
        <f t="shared" si="67"/>
        <v/>
      </c>
      <c r="R1124" s="250" t="str">
        <f t="shared" si="66"/>
        <v/>
      </c>
    </row>
    <row r="1125" spans="1:18">
      <c r="A1125" s="4">
        <v>1134</v>
      </c>
      <c r="C1125" s="8" t="str">
        <f>IF(B1125="","",VLOOKUP(B1125,经纬!B:C,2,FALSE))</f>
        <v/>
      </c>
      <c r="D1125" s="8" t="str">
        <f>IF(B1125="","",VLOOKUP(B1125,经纬!B:G,6,FALSE))</f>
        <v/>
      </c>
      <c r="F1125" s="8" t="str">
        <f>IF(B1125="","",VLOOKUP(B1125,小圆机汇总表!A:AP,5,FALSE))</f>
        <v/>
      </c>
      <c r="G1125" s="8" t="str">
        <f>IF(B1125="","",VLOOKUP(B1125,小圆机汇总表!A:AP,8,FALSE))</f>
        <v/>
      </c>
      <c r="P1125" s="8" t="str">
        <f t="shared" si="67"/>
        <v/>
      </c>
      <c r="R1125" s="250" t="str">
        <f t="shared" si="66"/>
        <v/>
      </c>
    </row>
    <row r="1126" spans="1:18">
      <c r="A1126" s="4">
        <v>1135</v>
      </c>
      <c r="C1126" s="8" t="str">
        <f>IF(B1126="","",VLOOKUP(B1126,经纬!B:C,2,FALSE))</f>
        <v/>
      </c>
      <c r="D1126" s="8" t="str">
        <f>IF(B1126="","",VLOOKUP(B1126,经纬!B:G,6,FALSE))</f>
        <v/>
      </c>
      <c r="F1126" s="8" t="str">
        <f>IF(B1126="","",VLOOKUP(B1126,小圆机汇总表!A:AP,5,FALSE))</f>
        <v/>
      </c>
      <c r="G1126" s="8" t="str">
        <f>IF(B1126="","",VLOOKUP(B1126,小圆机汇总表!A:AP,8,FALSE))</f>
        <v/>
      </c>
      <c r="P1126" s="8" t="str">
        <f t="shared" si="67"/>
        <v/>
      </c>
      <c r="R1126" s="250" t="str">
        <f t="shared" si="66"/>
        <v/>
      </c>
    </row>
    <row r="1127" spans="1:18">
      <c r="A1127" s="4">
        <v>1136</v>
      </c>
      <c r="C1127" s="8" t="str">
        <f>IF(B1127="","",VLOOKUP(B1127,经纬!B:C,2,FALSE))</f>
        <v/>
      </c>
      <c r="D1127" s="8" t="str">
        <f>IF(B1127="","",VLOOKUP(B1127,经纬!B:G,6,FALSE))</f>
        <v/>
      </c>
      <c r="F1127" s="8" t="str">
        <f>IF(B1127="","",VLOOKUP(B1127,小圆机汇总表!A:AP,5,FALSE))</f>
        <v/>
      </c>
      <c r="G1127" s="8" t="str">
        <f>IF(B1127="","",VLOOKUP(B1127,小圆机汇总表!A:AP,8,FALSE))</f>
        <v/>
      </c>
      <c r="P1127" s="8" t="str">
        <f t="shared" si="67"/>
        <v/>
      </c>
      <c r="R1127" s="250" t="str">
        <f t="shared" si="66"/>
        <v/>
      </c>
    </row>
    <row r="1128" spans="1:18">
      <c r="A1128" s="4">
        <v>1137</v>
      </c>
      <c r="C1128" s="8" t="str">
        <f>IF(B1128="","",VLOOKUP(B1128,经纬!B:C,2,FALSE))</f>
        <v/>
      </c>
      <c r="D1128" s="8" t="str">
        <f>IF(B1128="","",VLOOKUP(B1128,经纬!B:G,6,FALSE))</f>
        <v/>
      </c>
      <c r="F1128" s="8" t="str">
        <f>IF(B1128="","",VLOOKUP(B1128,小圆机汇总表!A:AP,5,FALSE))</f>
        <v/>
      </c>
      <c r="G1128" s="8" t="str">
        <f>IF(B1128="","",VLOOKUP(B1128,小圆机汇总表!A:AP,8,FALSE))</f>
        <v/>
      </c>
      <c r="P1128" s="8" t="str">
        <f t="shared" si="67"/>
        <v/>
      </c>
      <c r="R1128" s="250" t="str">
        <f t="shared" si="66"/>
        <v/>
      </c>
    </row>
    <row r="1129" spans="1:18">
      <c r="A1129" s="4">
        <v>1138</v>
      </c>
      <c r="C1129" s="8" t="str">
        <f>IF(B1129="","",VLOOKUP(B1129,经纬!B:C,2,FALSE))</f>
        <v/>
      </c>
      <c r="D1129" s="8" t="str">
        <f>IF(B1129="","",VLOOKUP(B1129,经纬!B:G,6,FALSE))</f>
        <v/>
      </c>
      <c r="F1129" s="8" t="str">
        <f>IF(B1129="","",VLOOKUP(B1129,小圆机汇总表!A:AP,5,FALSE))</f>
        <v/>
      </c>
      <c r="G1129" s="8" t="str">
        <f>IF(B1129="","",VLOOKUP(B1129,小圆机汇总表!A:AP,8,FALSE))</f>
        <v/>
      </c>
      <c r="P1129" s="8" t="str">
        <f t="shared" si="67"/>
        <v/>
      </c>
      <c r="R1129" s="250" t="str">
        <f t="shared" si="66"/>
        <v/>
      </c>
    </row>
    <row r="1130" spans="1:18">
      <c r="A1130" s="4">
        <v>1139</v>
      </c>
      <c r="C1130" s="8" t="str">
        <f>IF(B1130="","",VLOOKUP(B1130,经纬!B:C,2,FALSE))</f>
        <v/>
      </c>
      <c r="D1130" s="8" t="str">
        <f>IF(B1130="","",VLOOKUP(B1130,经纬!B:G,6,FALSE))</f>
        <v/>
      </c>
      <c r="F1130" s="8" t="str">
        <f>IF(B1130="","",VLOOKUP(B1130,小圆机汇总表!A:AP,5,FALSE))</f>
        <v/>
      </c>
      <c r="G1130" s="8" t="str">
        <f>IF(B1130="","",VLOOKUP(B1130,小圆机汇总表!A:AP,8,FALSE))</f>
        <v/>
      </c>
      <c r="P1130" s="8" t="str">
        <f t="shared" si="67"/>
        <v/>
      </c>
      <c r="R1130" s="250" t="str">
        <f t="shared" si="66"/>
        <v/>
      </c>
    </row>
    <row r="1131" spans="1:18">
      <c r="A1131" s="4">
        <v>1140</v>
      </c>
      <c r="C1131" s="8" t="str">
        <f>IF(B1131="","",VLOOKUP(B1131,经纬!B:C,2,FALSE))</f>
        <v/>
      </c>
      <c r="D1131" s="8" t="str">
        <f>IF(B1131="","",VLOOKUP(B1131,经纬!B:G,6,FALSE))</f>
        <v/>
      </c>
      <c r="F1131" s="8" t="str">
        <f>IF(B1131="","",VLOOKUP(B1131,小圆机汇总表!A:AP,5,FALSE))</f>
        <v/>
      </c>
      <c r="G1131" s="8" t="str">
        <f>IF(B1131="","",VLOOKUP(B1131,小圆机汇总表!A:AP,8,FALSE))</f>
        <v/>
      </c>
      <c r="P1131" s="8" t="str">
        <f t="shared" si="67"/>
        <v/>
      </c>
      <c r="R1131" s="250" t="str">
        <f t="shared" si="66"/>
        <v/>
      </c>
    </row>
    <row r="1132" spans="1:18">
      <c r="A1132" s="4">
        <v>1141</v>
      </c>
      <c r="C1132" s="8" t="str">
        <f>IF(B1132="","",VLOOKUP(B1132,经纬!B:C,2,FALSE))</f>
        <v/>
      </c>
      <c r="D1132" s="8" t="str">
        <f>IF(B1132="","",VLOOKUP(B1132,经纬!B:G,6,FALSE))</f>
        <v/>
      </c>
      <c r="F1132" s="8" t="str">
        <f>IF(B1132="","",VLOOKUP(B1132,小圆机汇总表!A:AP,5,FALSE))</f>
        <v/>
      </c>
      <c r="G1132" s="8" t="str">
        <f>IF(B1132="","",VLOOKUP(B1132,小圆机汇总表!A:AP,8,FALSE))</f>
        <v/>
      </c>
      <c r="P1132" s="8" t="str">
        <f t="shared" si="67"/>
        <v/>
      </c>
      <c r="R1132" s="250" t="str">
        <f t="shared" si="66"/>
        <v/>
      </c>
    </row>
    <row r="1133" spans="1:18">
      <c r="A1133" s="4">
        <v>1142</v>
      </c>
      <c r="C1133" s="8" t="str">
        <f>IF(B1133="","",VLOOKUP(B1133,经纬!B:C,2,FALSE))</f>
        <v/>
      </c>
      <c r="D1133" s="8" t="str">
        <f>IF(B1133="","",VLOOKUP(B1133,经纬!B:G,6,FALSE))</f>
        <v/>
      </c>
      <c r="F1133" s="8" t="str">
        <f>IF(B1133="","",VLOOKUP(B1133,小圆机汇总表!A:AP,5,FALSE))</f>
        <v/>
      </c>
      <c r="G1133" s="8" t="str">
        <f>IF(B1133="","",VLOOKUP(B1133,小圆机汇总表!A:AP,8,FALSE))</f>
        <v/>
      </c>
      <c r="P1133" s="8" t="str">
        <f t="shared" si="67"/>
        <v/>
      </c>
      <c r="R1133" s="250" t="str">
        <f t="shared" si="66"/>
        <v/>
      </c>
    </row>
    <row r="1134" spans="1:18">
      <c r="A1134" s="4">
        <v>1143</v>
      </c>
      <c r="C1134" s="8" t="str">
        <f>IF(B1134="","",VLOOKUP(B1134,经纬!B:C,2,FALSE))</f>
        <v/>
      </c>
      <c r="D1134" s="8" t="str">
        <f>IF(B1134="","",VLOOKUP(B1134,经纬!B:G,6,FALSE))</f>
        <v/>
      </c>
      <c r="F1134" s="8" t="str">
        <f>IF(B1134="","",VLOOKUP(B1134,小圆机汇总表!A:AP,5,FALSE))</f>
        <v/>
      </c>
      <c r="G1134" s="8" t="str">
        <f>IF(B1134="","",VLOOKUP(B1134,小圆机汇总表!A:AP,8,FALSE))</f>
        <v/>
      </c>
      <c r="P1134" s="8" t="str">
        <f t="shared" si="67"/>
        <v/>
      </c>
      <c r="R1134" s="250" t="str">
        <f t="shared" si="66"/>
        <v/>
      </c>
    </row>
    <row r="1135" spans="1:18">
      <c r="A1135" s="4">
        <v>1144</v>
      </c>
      <c r="C1135" s="8" t="str">
        <f>IF(B1135="","",VLOOKUP(B1135,经纬!B:C,2,FALSE))</f>
        <v/>
      </c>
      <c r="D1135" s="8" t="str">
        <f>IF(B1135="","",VLOOKUP(B1135,经纬!B:G,6,FALSE))</f>
        <v/>
      </c>
      <c r="F1135" s="8" t="str">
        <f>IF(B1135="","",VLOOKUP(B1135,小圆机汇总表!A:AP,5,FALSE))</f>
        <v/>
      </c>
      <c r="G1135" s="8" t="str">
        <f>IF(B1135="","",VLOOKUP(B1135,小圆机汇总表!A:AP,8,FALSE))</f>
        <v/>
      </c>
      <c r="P1135" s="8" t="str">
        <f t="shared" si="67"/>
        <v/>
      </c>
      <c r="R1135" s="250" t="str">
        <f t="shared" si="66"/>
        <v/>
      </c>
    </row>
    <row r="1136" spans="1:18">
      <c r="A1136" s="4">
        <v>1145</v>
      </c>
      <c r="C1136" s="8" t="str">
        <f>IF(B1136="","",VLOOKUP(B1136,经纬!B:C,2,FALSE))</f>
        <v/>
      </c>
      <c r="D1136" s="8" t="str">
        <f>IF(B1136="","",VLOOKUP(B1136,经纬!B:G,6,FALSE))</f>
        <v/>
      </c>
      <c r="F1136" s="8" t="str">
        <f>IF(B1136="","",VLOOKUP(B1136,小圆机汇总表!A:AP,5,FALSE))</f>
        <v/>
      </c>
      <c r="G1136" s="8" t="str">
        <f>IF(B1136="","",VLOOKUP(B1136,小圆机汇总表!A:AP,8,FALSE))</f>
        <v/>
      </c>
      <c r="P1136" s="8" t="str">
        <f t="shared" si="67"/>
        <v/>
      </c>
      <c r="R1136" s="250" t="str">
        <f t="shared" si="66"/>
        <v/>
      </c>
    </row>
    <row r="1137" spans="1:18">
      <c r="A1137" s="4">
        <v>1146</v>
      </c>
      <c r="C1137" s="8" t="str">
        <f>IF(B1137="","",VLOOKUP(B1137,经纬!B:C,2,FALSE))</f>
        <v/>
      </c>
      <c r="D1137" s="8" t="str">
        <f>IF(B1137="","",VLOOKUP(B1137,经纬!B:G,6,FALSE))</f>
        <v/>
      </c>
      <c r="F1137" s="8" t="str">
        <f>IF(B1137="","",VLOOKUP(B1137,小圆机汇总表!A:AP,5,FALSE))</f>
        <v/>
      </c>
      <c r="G1137" s="8" t="str">
        <f>IF(B1137="","",VLOOKUP(B1137,小圆机汇总表!A:AP,8,FALSE))</f>
        <v/>
      </c>
      <c r="P1137" s="8" t="str">
        <f t="shared" si="67"/>
        <v/>
      </c>
      <c r="R1137" s="250" t="str">
        <f t="shared" si="66"/>
        <v/>
      </c>
    </row>
    <row r="1138" spans="1:18">
      <c r="A1138" s="4">
        <v>1147</v>
      </c>
      <c r="C1138" s="8" t="str">
        <f>IF(B1138="","",VLOOKUP(B1138,经纬!B:C,2,FALSE))</f>
        <v/>
      </c>
      <c r="D1138" s="8" t="str">
        <f>IF(B1138="","",VLOOKUP(B1138,经纬!B:G,6,FALSE))</f>
        <v/>
      </c>
      <c r="F1138" s="8" t="str">
        <f>IF(B1138="","",VLOOKUP(B1138,小圆机汇总表!A:AP,5,FALSE))</f>
        <v/>
      </c>
      <c r="G1138" s="8" t="str">
        <f>IF(B1138="","",VLOOKUP(B1138,小圆机汇总表!A:AP,8,FALSE))</f>
        <v/>
      </c>
      <c r="P1138" s="8" t="str">
        <f t="shared" si="67"/>
        <v/>
      </c>
      <c r="R1138" s="250" t="str">
        <f t="shared" si="66"/>
        <v/>
      </c>
    </row>
    <row r="1139" spans="1:18">
      <c r="A1139" s="4">
        <v>1148</v>
      </c>
      <c r="C1139" s="8" t="str">
        <f>IF(B1139="","",VLOOKUP(B1139,经纬!B:C,2,FALSE))</f>
        <v/>
      </c>
      <c r="D1139" s="8" t="str">
        <f>IF(B1139="","",VLOOKUP(B1139,经纬!B:G,6,FALSE))</f>
        <v/>
      </c>
      <c r="F1139" s="8" t="str">
        <f>IF(B1139="","",VLOOKUP(B1139,小圆机汇总表!A:AP,5,FALSE))</f>
        <v/>
      </c>
      <c r="G1139" s="8" t="str">
        <f>IF(B1139="","",VLOOKUP(B1139,小圆机汇总表!A:AP,8,FALSE))</f>
        <v/>
      </c>
      <c r="P1139" s="8" t="str">
        <f t="shared" si="67"/>
        <v/>
      </c>
      <c r="R1139" s="250" t="str">
        <f t="shared" si="66"/>
        <v/>
      </c>
    </row>
    <row r="1140" spans="1:18">
      <c r="A1140" s="4">
        <v>1149</v>
      </c>
      <c r="C1140" s="8" t="str">
        <f>IF(B1140="","",VLOOKUP(B1140,经纬!B:C,2,FALSE))</f>
        <v/>
      </c>
      <c r="D1140" s="8" t="str">
        <f>IF(B1140="","",VLOOKUP(B1140,经纬!B:G,6,FALSE))</f>
        <v/>
      </c>
      <c r="F1140" s="8" t="str">
        <f>IF(B1140="","",VLOOKUP(B1140,小圆机汇总表!A:AP,5,FALSE))</f>
        <v/>
      </c>
      <c r="G1140" s="8" t="str">
        <f>IF(B1140="","",VLOOKUP(B1140,小圆机汇总表!A:AP,8,FALSE))</f>
        <v/>
      </c>
      <c r="P1140" s="8" t="str">
        <f t="shared" si="67"/>
        <v/>
      </c>
      <c r="R1140" s="250" t="str">
        <f t="shared" si="66"/>
        <v/>
      </c>
    </row>
    <row r="1141" spans="1:18">
      <c r="A1141" s="4">
        <v>1150</v>
      </c>
      <c r="C1141" s="8" t="str">
        <f>IF(B1141="","",VLOOKUP(B1141,经纬!B:C,2,FALSE))</f>
        <v/>
      </c>
      <c r="D1141" s="8" t="str">
        <f>IF(B1141="","",VLOOKUP(B1141,经纬!B:G,6,FALSE))</f>
        <v/>
      </c>
      <c r="F1141" s="8" t="str">
        <f>IF(B1141="","",VLOOKUP(B1141,小圆机汇总表!A:AP,5,FALSE))</f>
        <v/>
      </c>
      <c r="G1141" s="8" t="str">
        <f>IF(B1141="","",VLOOKUP(B1141,小圆机汇总表!A:AP,8,FALSE))</f>
        <v/>
      </c>
      <c r="P1141" s="8" t="str">
        <f t="shared" si="67"/>
        <v/>
      </c>
      <c r="R1141" s="250" t="str">
        <f t="shared" si="66"/>
        <v/>
      </c>
    </row>
    <row r="1142" spans="1:18">
      <c r="A1142" s="4">
        <v>1151</v>
      </c>
      <c r="C1142" s="8" t="str">
        <f>IF(B1142="","",VLOOKUP(B1142,经纬!B:C,2,FALSE))</f>
        <v/>
      </c>
      <c r="D1142" s="8" t="str">
        <f>IF(B1142="","",VLOOKUP(B1142,经纬!B:G,6,FALSE))</f>
        <v/>
      </c>
      <c r="F1142" s="8" t="str">
        <f>IF(B1142="","",VLOOKUP(B1142,小圆机汇总表!A:AP,5,FALSE))</f>
        <v/>
      </c>
      <c r="G1142" s="8" t="str">
        <f>IF(B1142="","",VLOOKUP(B1142,小圆机汇总表!A:AP,8,FALSE))</f>
        <v/>
      </c>
      <c r="P1142" s="8" t="str">
        <f t="shared" si="67"/>
        <v/>
      </c>
      <c r="R1142" s="250" t="str">
        <f t="shared" si="66"/>
        <v/>
      </c>
    </row>
    <row r="1143" spans="1:18">
      <c r="A1143" s="4">
        <v>1152</v>
      </c>
      <c r="C1143" s="8" t="str">
        <f>IF(B1143="","",VLOOKUP(B1143,经纬!B:C,2,FALSE))</f>
        <v/>
      </c>
      <c r="D1143" s="8" t="str">
        <f>IF(B1143="","",VLOOKUP(B1143,经纬!B:G,6,FALSE))</f>
        <v/>
      </c>
      <c r="F1143" s="8" t="str">
        <f>IF(B1143="","",VLOOKUP(B1143,小圆机汇总表!A:AP,5,FALSE))</f>
        <v/>
      </c>
      <c r="G1143" s="8" t="str">
        <f>IF(B1143="","",VLOOKUP(B1143,小圆机汇总表!A:AP,8,FALSE))</f>
        <v/>
      </c>
      <c r="P1143" s="8" t="str">
        <f t="shared" si="67"/>
        <v/>
      </c>
      <c r="R1143" s="250" t="str">
        <f t="shared" si="66"/>
        <v/>
      </c>
    </row>
    <row r="1144" spans="1:18">
      <c r="A1144" s="4">
        <v>1153</v>
      </c>
      <c r="C1144" s="8" t="str">
        <f>IF(B1144="","",VLOOKUP(B1144,经纬!B:C,2,FALSE))</f>
        <v/>
      </c>
      <c r="D1144" s="8" t="str">
        <f>IF(B1144="","",VLOOKUP(B1144,经纬!B:G,6,FALSE))</f>
        <v/>
      </c>
      <c r="F1144" s="8" t="str">
        <f>IF(B1144="","",VLOOKUP(B1144,小圆机汇总表!A:AP,5,FALSE))</f>
        <v/>
      </c>
      <c r="G1144" s="8" t="str">
        <f>IF(B1144="","",VLOOKUP(B1144,小圆机汇总表!A:AP,8,FALSE))</f>
        <v/>
      </c>
      <c r="P1144" s="8" t="str">
        <f t="shared" si="67"/>
        <v/>
      </c>
      <c r="R1144" s="250" t="str">
        <f t="shared" si="66"/>
        <v/>
      </c>
    </row>
    <row r="1145" spans="1:18">
      <c r="A1145" s="4">
        <v>1154</v>
      </c>
      <c r="C1145" s="8" t="str">
        <f>IF(B1145="","",VLOOKUP(B1145,经纬!B:C,2,FALSE))</f>
        <v/>
      </c>
      <c r="D1145" s="8" t="str">
        <f>IF(B1145="","",VLOOKUP(B1145,经纬!B:G,6,FALSE))</f>
        <v/>
      </c>
      <c r="F1145" s="8" t="str">
        <f>IF(B1145="","",VLOOKUP(B1145,小圆机汇总表!A:AP,5,FALSE))</f>
        <v/>
      </c>
      <c r="G1145" s="8" t="str">
        <f>IF(B1145="","",VLOOKUP(B1145,小圆机汇总表!A:AP,8,FALSE))</f>
        <v/>
      </c>
      <c r="P1145" s="8" t="str">
        <f t="shared" si="67"/>
        <v/>
      </c>
      <c r="R1145" s="250" t="str">
        <f t="shared" si="66"/>
        <v/>
      </c>
    </row>
    <row r="1146" spans="1:18">
      <c r="A1146" s="4">
        <v>1155</v>
      </c>
      <c r="C1146" s="8" t="str">
        <f>IF(B1146="","",VLOOKUP(B1146,经纬!B:C,2,FALSE))</f>
        <v/>
      </c>
      <c r="D1146" s="8" t="str">
        <f>IF(B1146="","",VLOOKUP(B1146,经纬!B:G,6,FALSE))</f>
        <v/>
      </c>
      <c r="F1146" s="8" t="str">
        <f>IF(B1146="","",VLOOKUP(B1146,小圆机汇总表!A:AP,5,FALSE))</f>
        <v/>
      </c>
      <c r="G1146" s="8" t="str">
        <f>IF(B1146="","",VLOOKUP(B1146,小圆机汇总表!A:AP,8,FALSE))</f>
        <v/>
      </c>
      <c r="P1146" s="8" t="str">
        <f t="shared" si="67"/>
        <v/>
      </c>
      <c r="R1146" s="250" t="str">
        <f t="shared" si="66"/>
        <v/>
      </c>
    </row>
    <row r="1147" spans="1:18">
      <c r="A1147" s="4">
        <v>1156</v>
      </c>
      <c r="C1147" s="8" t="str">
        <f>IF(B1147="","",VLOOKUP(B1147,经纬!B:C,2,FALSE))</f>
        <v/>
      </c>
      <c r="D1147" s="8" t="str">
        <f>IF(B1147="","",VLOOKUP(B1147,经纬!B:G,6,FALSE))</f>
        <v/>
      </c>
      <c r="F1147" s="8" t="str">
        <f>IF(B1147="","",VLOOKUP(B1147,小圆机汇总表!A:AP,5,FALSE))</f>
        <v/>
      </c>
      <c r="G1147" s="8" t="str">
        <f>IF(B1147="","",VLOOKUP(B1147,小圆机汇总表!A:AP,8,FALSE))</f>
        <v/>
      </c>
      <c r="P1147" s="8" t="str">
        <f t="shared" si="67"/>
        <v/>
      </c>
      <c r="R1147" s="250" t="str">
        <f t="shared" si="66"/>
        <v/>
      </c>
    </row>
    <row r="1148" spans="1:18">
      <c r="A1148" s="4">
        <v>1157</v>
      </c>
      <c r="C1148" s="8" t="str">
        <f>IF(B1148="","",VLOOKUP(B1148,经纬!B:C,2,FALSE))</f>
        <v/>
      </c>
      <c r="D1148" s="8" t="str">
        <f>IF(B1148="","",VLOOKUP(B1148,经纬!B:G,6,FALSE))</f>
        <v/>
      </c>
      <c r="F1148" s="8" t="str">
        <f>IF(B1148="","",VLOOKUP(B1148,小圆机汇总表!A:AP,5,FALSE))</f>
        <v/>
      </c>
      <c r="G1148" s="8" t="str">
        <f>IF(B1148="","",VLOOKUP(B1148,小圆机汇总表!A:AP,8,FALSE))</f>
        <v/>
      </c>
      <c r="P1148" s="8" t="str">
        <f t="shared" si="67"/>
        <v/>
      </c>
      <c r="R1148" s="250" t="str">
        <f t="shared" si="66"/>
        <v/>
      </c>
    </row>
    <row r="1149" spans="1:18">
      <c r="A1149" s="4">
        <v>1158</v>
      </c>
      <c r="C1149" s="8" t="str">
        <f>IF(B1149="","",VLOOKUP(B1149,经纬!B:C,2,FALSE))</f>
        <v/>
      </c>
      <c r="D1149" s="8" t="str">
        <f>IF(B1149="","",VLOOKUP(B1149,经纬!B:G,6,FALSE))</f>
        <v/>
      </c>
      <c r="F1149" s="8" t="str">
        <f>IF(B1149="","",VLOOKUP(B1149,小圆机汇总表!A:AP,5,FALSE))</f>
        <v/>
      </c>
      <c r="G1149" s="8" t="str">
        <f>IF(B1149="","",VLOOKUP(B1149,小圆机汇总表!A:AP,8,FALSE))</f>
        <v/>
      </c>
      <c r="P1149" s="8" t="str">
        <f t="shared" si="67"/>
        <v/>
      </c>
      <c r="R1149" s="250" t="str">
        <f t="shared" si="66"/>
        <v/>
      </c>
    </row>
    <row r="1150" spans="1:18">
      <c r="A1150" s="4">
        <v>1159</v>
      </c>
      <c r="C1150" s="8" t="str">
        <f>IF(B1150="","",VLOOKUP(B1150,经纬!B:C,2,FALSE))</f>
        <v/>
      </c>
      <c r="D1150" s="8" t="str">
        <f>IF(B1150="","",VLOOKUP(B1150,经纬!B:G,6,FALSE))</f>
        <v/>
      </c>
      <c r="F1150" s="8" t="str">
        <f>IF(B1150="","",VLOOKUP(B1150,小圆机汇总表!A:AP,5,FALSE))</f>
        <v/>
      </c>
      <c r="G1150" s="8" t="str">
        <f>IF(B1150="","",VLOOKUP(B1150,小圆机汇总表!A:AP,8,FALSE))</f>
        <v/>
      </c>
      <c r="P1150" s="8" t="str">
        <f t="shared" si="67"/>
        <v/>
      </c>
      <c r="R1150" s="250" t="str">
        <f t="shared" si="66"/>
        <v/>
      </c>
    </row>
    <row r="1151" spans="1:18">
      <c r="A1151" s="4">
        <v>1160</v>
      </c>
      <c r="C1151" s="8" t="str">
        <f>IF(B1151="","",VLOOKUP(B1151,经纬!B:C,2,FALSE))</f>
        <v/>
      </c>
      <c r="D1151" s="8" t="str">
        <f>IF(B1151="","",VLOOKUP(B1151,经纬!B:G,6,FALSE))</f>
        <v/>
      </c>
      <c r="F1151" s="8" t="str">
        <f>IF(B1151="","",VLOOKUP(B1151,小圆机汇总表!A:AP,5,FALSE))</f>
        <v/>
      </c>
      <c r="G1151" s="8" t="str">
        <f>IF(B1151="","",VLOOKUP(B1151,小圆机汇总表!A:AP,8,FALSE))</f>
        <v/>
      </c>
      <c r="P1151" s="8" t="str">
        <f t="shared" si="67"/>
        <v/>
      </c>
      <c r="R1151" s="250" t="str">
        <f t="shared" si="66"/>
        <v/>
      </c>
    </row>
    <row r="1152" spans="1:18">
      <c r="A1152" s="4">
        <v>1161</v>
      </c>
      <c r="C1152" s="8" t="str">
        <f>IF(B1152="","",VLOOKUP(B1152,经纬!B:C,2,FALSE))</f>
        <v/>
      </c>
      <c r="D1152" s="8" t="str">
        <f>IF(B1152="","",VLOOKUP(B1152,经纬!B:G,6,FALSE))</f>
        <v/>
      </c>
      <c r="F1152" s="8" t="str">
        <f>IF(B1152="","",VLOOKUP(B1152,小圆机汇总表!A:AP,5,FALSE))</f>
        <v/>
      </c>
      <c r="G1152" s="8" t="str">
        <f>IF(B1152="","",VLOOKUP(B1152,小圆机汇总表!A:AP,8,FALSE))</f>
        <v/>
      </c>
      <c r="P1152" s="8" t="str">
        <f t="shared" si="67"/>
        <v/>
      </c>
      <c r="R1152" s="250" t="str">
        <f t="shared" si="66"/>
        <v/>
      </c>
    </row>
    <row r="1153" spans="1:18">
      <c r="A1153" s="4">
        <v>1162</v>
      </c>
      <c r="C1153" s="8" t="str">
        <f>IF(B1153="","",VLOOKUP(B1153,经纬!B:C,2,FALSE))</f>
        <v/>
      </c>
      <c r="D1153" s="8" t="str">
        <f>IF(B1153="","",VLOOKUP(B1153,经纬!B:G,6,FALSE))</f>
        <v/>
      </c>
      <c r="F1153" s="8" t="str">
        <f>IF(B1153="","",VLOOKUP(B1153,小圆机汇总表!A:AP,5,FALSE))</f>
        <v/>
      </c>
      <c r="G1153" s="8" t="str">
        <f>IF(B1153="","",VLOOKUP(B1153,小圆机汇总表!A:AP,8,FALSE))</f>
        <v/>
      </c>
      <c r="P1153" s="8" t="str">
        <f t="shared" si="67"/>
        <v/>
      </c>
      <c r="R1153" s="250" t="str">
        <f t="shared" si="66"/>
        <v/>
      </c>
    </row>
    <row r="1154" spans="1:18">
      <c r="A1154" s="4">
        <v>1163</v>
      </c>
      <c r="C1154" s="8" t="str">
        <f>IF(B1154="","",VLOOKUP(B1154,经纬!B:C,2,FALSE))</f>
        <v/>
      </c>
      <c r="D1154" s="8" t="str">
        <f>IF(B1154="","",VLOOKUP(B1154,经纬!B:G,6,FALSE))</f>
        <v/>
      </c>
      <c r="F1154" s="8" t="str">
        <f>IF(B1154="","",VLOOKUP(B1154,小圆机汇总表!A:AP,5,FALSE))</f>
        <v/>
      </c>
      <c r="G1154" s="8" t="str">
        <f>IF(B1154="","",VLOOKUP(B1154,小圆机汇总表!A:AP,8,FALSE))</f>
        <v/>
      </c>
      <c r="P1154" s="8" t="str">
        <f t="shared" si="67"/>
        <v/>
      </c>
      <c r="R1154" s="250" t="str">
        <f t="shared" si="66"/>
        <v/>
      </c>
    </row>
    <row r="1155" spans="1:18">
      <c r="A1155" s="4">
        <v>1164</v>
      </c>
      <c r="C1155" s="8" t="str">
        <f>IF(B1155="","",VLOOKUP(B1155,经纬!B:C,2,FALSE))</f>
        <v/>
      </c>
      <c r="D1155" s="8" t="str">
        <f>IF(B1155="","",VLOOKUP(B1155,经纬!B:G,6,FALSE))</f>
        <v/>
      </c>
      <c r="F1155" s="8" t="str">
        <f>IF(B1155="","",VLOOKUP(B1155,小圆机汇总表!A:AP,5,FALSE))</f>
        <v/>
      </c>
      <c r="G1155" s="8" t="str">
        <f>IF(B1155="","",VLOOKUP(B1155,小圆机汇总表!A:AP,8,FALSE))</f>
        <v/>
      </c>
      <c r="P1155" s="8" t="str">
        <f t="shared" si="67"/>
        <v/>
      </c>
      <c r="R1155" s="250" t="str">
        <f t="shared" ref="R1155:R1218" si="68">IF(B1155="","",MONTH(I1155))</f>
        <v/>
      </c>
    </row>
    <row r="1156" spans="1:18">
      <c r="A1156" s="4">
        <v>1165</v>
      </c>
      <c r="C1156" s="8" t="str">
        <f>IF(B1156="","",VLOOKUP(B1156,经纬!B:C,2,FALSE))</f>
        <v/>
      </c>
      <c r="D1156" s="8" t="str">
        <f>IF(B1156="","",VLOOKUP(B1156,经纬!B:G,6,FALSE))</f>
        <v/>
      </c>
      <c r="F1156" s="8" t="str">
        <f>IF(B1156="","",VLOOKUP(B1156,小圆机汇总表!A:AP,5,FALSE))</f>
        <v/>
      </c>
      <c r="G1156" s="8" t="str">
        <f>IF(B1156="","",VLOOKUP(B1156,小圆机汇总表!A:AP,8,FALSE))</f>
        <v/>
      </c>
      <c r="P1156" s="8" t="str">
        <f t="shared" si="67"/>
        <v/>
      </c>
      <c r="R1156" s="250" t="str">
        <f t="shared" si="68"/>
        <v/>
      </c>
    </row>
    <row r="1157" spans="1:18">
      <c r="A1157" s="4">
        <v>1166</v>
      </c>
      <c r="C1157" s="8" t="str">
        <f>IF(B1157="","",VLOOKUP(B1157,经纬!B:C,2,FALSE))</f>
        <v/>
      </c>
      <c r="D1157" s="8" t="str">
        <f>IF(B1157="","",VLOOKUP(B1157,经纬!B:G,6,FALSE))</f>
        <v/>
      </c>
      <c r="F1157" s="8" t="str">
        <f>IF(B1157="","",VLOOKUP(B1157,小圆机汇总表!A:AP,5,FALSE))</f>
        <v/>
      </c>
      <c r="G1157" s="8" t="str">
        <f>IF(B1157="","",VLOOKUP(B1157,小圆机汇总表!A:AP,8,FALSE))</f>
        <v/>
      </c>
      <c r="P1157" s="8" t="str">
        <f t="shared" si="67"/>
        <v/>
      </c>
      <c r="R1157" s="250" t="str">
        <f t="shared" si="68"/>
        <v/>
      </c>
    </row>
    <row r="1158" spans="1:18">
      <c r="A1158" s="4">
        <v>1167</v>
      </c>
      <c r="C1158" s="8" t="str">
        <f>IF(B1158="","",VLOOKUP(B1158,经纬!B:C,2,FALSE))</f>
        <v/>
      </c>
      <c r="D1158" s="8" t="str">
        <f>IF(B1158="","",VLOOKUP(B1158,经纬!B:G,6,FALSE))</f>
        <v/>
      </c>
      <c r="F1158" s="8" t="str">
        <f>IF(B1158="","",VLOOKUP(B1158,小圆机汇总表!A:AP,5,FALSE))</f>
        <v/>
      </c>
      <c r="G1158" s="8" t="str">
        <f>IF(B1158="","",VLOOKUP(B1158,小圆机汇总表!A:AP,8,FALSE))</f>
        <v/>
      </c>
      <c r="P1158" s="8" t="str">
        <f t="shared" si="67"/>
        <v/>
      </c>
      <c r="R1158" s="250" t="str">
        <f t="shared" si="68"/>
        <v/>
      </c>
    </row>
    <row r="1159" spans="1:18">
      <c r="A1159" s="4">
        <v>1168</v>
      </c>
      <c r="C1159" s="8" t="str">
        <f>IF(B1159="","",VLOOKUP(B1159,经纬!B:C,2,FALSE))</f>
        <v/>
      </c>
      <c r="D1159" s="8" t="str">
        <f>IF(B1159="","",VLOOKUP(B1159,经纬!B:G,6,FALSE))</f>
        <v/>
      </c>
      <c r="F1159" s="8" t="str">
        <f>IF(B1159="","",VLOOKUP(B1159,小圆机汇总表!A:AP,5,FALSE))</f>
        <v/>
      </c>
      <c r="G1159" s="8" t="str">
        <f>IF(B1159="","",VLOOKUP(B1159,小圆机汇总表!A:AP,8,FALSE))</f>
        <v/>
      </c>
      <c r="P1159" s="8" t="str">
        <f t="shared" si="67"/>
        <v/>
      </c>
      <c r="R1159" s="250" t="str">
        <f t="shared" si="68"/>
        <v/>
      </c>
    </row>
    <row r="1160" spans="1:18">
      <c r="A1160" s="4">
        <v>1169</v>
      </c>
      <c r="C1160" s="8" t="str">
        <f>IF(B1160="","",VLOOKUP(B1160,经纬!B:C,2,FALSE))</f>
        <v/>
      </c>
      <c r="D1160" s="8" t="str">
        <f>IF(B1160="","",VLOOKUP(B1160,经纬!B:G,6,FALSE))</f>
        <v/>
      </c>
      <c r="F1160" s="8" t="str">
        <f>IF(B1160="","",VLOOKUP(B1160,小圆机汇总表!A:AP,5,FALSE))</f>
        <v/>
      </c>
      <c r="G1160" s="8" t="str">
        <f>IF(B1160="","",VLOOKUP(B1160,小圆机汇总表!A:AP,8,FALSE))</f>
        <v/>
      </c>
      <c r="P1160" s="8" t="str">
        <f t="shared" si="67"/>
        <v/>
      </c>
      <c r="R1160" s="250" t="str">
        <f t="shared" si="68"/>
        <v/>
      </c>
    </row>
    <row r="1161" spans="1:18">
      <c r="A1161" s="4">
        <v>1170</v>
      </c>
      <c r="C1161" s="8" t="str">
        <f>IF(B1161="","",VLOOKUP(B1161,经纬!B:C,2,FALSE))</f>
        <v/>
      </c>
      <c r="D1161" s="8" t="str">
        <f>IF(B1161="","",VLOOKUP(B1161,经纬!B:G,6,FALSE))</f>
        <v/>
      </c>
      <c r="F1161" s="8" t="str">
        <f>IF(B1161="","",VLOOKUP(B1161,小圆机汇总表!A:AP,5,FALSE))</f>
        <v/>
      </c>
      <c r="G1161" s="8" t="str">
        <f>IF(B1161="","",VLOOKUP(B1161,小圆机汇总表!A:AP,8,FALSE))</f>
        <v/>
      </c>
      <c r="P1161" s="8" t="str">
        <f t="shared" si="67"/>
        <v/>
      </c>
      <c r="R1161" s="250" t="str">
        <f t="shared" si="68"/>
        <v/>
      </c>
    </row>
    <row r="1162" spans="1:18">
      <c r="A1162" s="4">
        <v>1171</v>
      </c>
      <c r="C1162" s="8" t="str">
        <f>IF(B1162="","",VLOOKUP(B1162,经纬!B:C,2,FALSE))</f>
        <v/>
      </c>
      <c r="D1162" s="8" t="str">
        <f>IF(B1162="","",VLOOKUP(B1162,经纬!B:G,6,FALSE))</f>
        <v/>
      </c>
      <c r="F1162" s="8" t="str">
        <f>IF(B1162="","",VLOOKUP(B1162,小圆机汇总表!A:AP,5,FALSE))</f>
        <v/>
      </c>
      <c r="G1162" s="8" t="str">
        <f>IF(B1162="","",VLOOKUP(B1162,小圆机汇总表!A:AP,8,FALSE))</f>
        <v/>
      </c>
      <c r="P1162" s="8" t="str">
        <f t="shared" si="67"/>
        <v/>
      </c>
      <c r="R1162" s="250" t="str">
        <f t="shared" si="68"/>
        <v/>
      </c>
    </row>
    <row r="1163" spans="1:18">
      <c r="A1163" s="4">
        <v>1172</v>
      </c>
      <c r="C1163" s="8" t="str">
        <f>IF(B1163="","",VLOOKUP(B1163,经纬!B:C,2,FALSE))</f>
        <v/>
      </c>
      <c r="D1163" s="8" t="str">
        <f>IF(B1163="","",VLOOKUP(B1163,经纬!B:G,6,FALSE))</f>
        <v/>
      </c>
      <c r="F1163" s="8" t="str">
        <f>IF(B1163="","",VLOOKUP(B1163,小圆机汇总表!A:AP,5,FALSE))</f>
        <v/>
      </c>
      <c r="G1163" s="8" t="str">
        <f>IF(B1163="","",VLOOKUP(B1163,小圆机汇总表!A:AP,8,FALSE))</f>
        <v/>
      </c>
      <c r="P1163" s="8" t="str">
        <f t="shared" si="67"/>
        <v/>
      </c>
      <c r="R1163" s="250" t="str">
        <f t="shared" si="68"/>
        <v/>
      </c>
    </row>
    <row r="1164" spans="1:18">
      <c r="A1164" s="4">
        <v>1173</v>
      </c>
      <c r="C1164" s="8" t="str">
        <f>IF(B1164="","",VLOOKUP(B1164,经纬!B:C,2,FALSE))</f>
        <v/>
      </c>
      <c r="D1164" s="8" t="str">
        <f>IF(B1164="","",VLOOKUP(B1164,经纬!B:G,6,FALSE))</f>
        <v/>
      </c>
      <c r="F1164" s="8" t="str">
        <f>IF(B1164="","",VLOOKUP(B1164,小圆机汇总表!A:AP,5,FALSE))</f>
        <v/>
      </c>
      <c r="G1164" s="8" t="str">
        <f>IF(B1164="","",VLOOKUP(B1164,小圆机汇总表!A:AP,8,FALSE))</f>
        <v/>
      </c>
      <c r="P1164" s="8" t="str">
        <f t="shared" si="67"/>
        <v/>
      </c>
      <c r="R1164" s="250" t="str">
        <f t="shared" si="68"/>
        <v/>
      </c>
    </row>
    <row r="1165" spans="1:18">
      <c r="A1165" s="4">
        <v>1174</v>
      </c>
      <c r="C1165" s="8" t="str">
        <f>IF(B1165="","",VLOOKUP(B1165,经纬!B:C,2,FALSE))</f>
        <v/>
      </c>
      <c r="D1165" s="8" t="str">
        <f>IF(B1165="","",VLOOKUP(B1165,经纬!B:G,6,FALSE))</f>
        <v/>
      </c>
      <c r="F1165" s="8" t="str">
        <f>IF(B1165="","",VLOOKUP(B1165,小圆机汇总表!A:AP,5,FALSE))</f>
        <v/>
      </c>
      <c r="G1165" s="8" t="str">
        <f>IF(B1165="","",VLOOKUP(B1165,小圆机汇总表!A:AP,8,FALSE))</f>
        <v/>
      </c>
      <c r="P1165" s="8" t="str">
        <f t="shared" si="67"/>
        <v/>
      </c>
      <c r="R1165" s="250" t="str">
        <f t="shared" si="68"/>
        <v/>
      </c>
    </row>
    <row r="1166" spans="1:18">
      <c r="A1166" s="4">
        <v>1175</v>
      </c>
      <c r="C1166" s="8" t="str">
        <f>IF(B1166="","",VLOOKUP(B1166,经纬!B:C,2,FALSE))</f>
        <v/>
      </c>
      <c r="D1166" s="8" t="str">
        <f>IF(B1166="","",VLOOKUP(B1166,经纬!B:G,6,FALSE))</f>
        <v/>
      </c>
      <c r="F1166" s="8" t="str">
        <f>IF(B1166="","",VLOOKUP(B1166,小圆机汇总表!A:AP,5,FALSE))</f>
        <v/>
      </c>
      <c r="G1166" s="8" t="str">
        <f>IF(B1166="","",VLOOKUP(B1166,小圆机汇总表!A:AP,8,FALSE))</f>
        <v/>
      </c>
      <c r="P1166" s="8" t="str">
        <f t="shared" si="67"/>
        <v/>
      </c>
      <c r="R1166" s="250" t="str">
        <f t="shared" si="68"/>
        <v/>
      </c>
    </row>
    <row r="1167" spans="1:18">
      <c r="A1167" s="4">
        <v>1176</v>
      </c>
      <c r="C1167" s="8" t="str">
        <f>IF(B1167="","",VLOOKUP(B1167,经纬!B:C,2,FALSE))</f>
        <v/>
      </c>
      <c r="D1167" s="8" t="str">
        <f>IF(B1167="","",VLOOKUP(B1167,经纬!B:G,6,FALSE))</f>
        <v/>
      </c>
      <c r="F1167" s="8" t="str">
        <f>IF(B1167="","",VLOOKUP(B1167,小圆机汇总表!A:AP,5,FALSE))</f>
        <v/>
      </c>
      <c r="G1167" s="8" t="str">
        <f>IF(B1167="","",VLOOKUP(B1167,小圆机汇总表!A:AP,8,FALSE))</f>
        <v/>
      </c>
      <c r="P1167" s="8" t="str">
        <f t="shared" si="67"/>
        <v/>
      </c>
      <c r="R1167" s="250" t="str">
        <f t="shared" si="68"/>
        <v/>
      </c>
    </row>
    <row r="1168" spans="1:18">
      <c r="A1168" s="4">
        <v>1177</v>
      </c>
      <c r="C1168" s="8" t="str">
        <f>IF(B1168="","",VLOOKUP(B1168,经纬!B:C,2,FALSE))</f>
        <v/>
      </c>
      <c r="D1168" s="8" t="str">
        <f>IF(B1168="","",VLOOKUP(B1168,经纬!B:G,6,FALSE))</f>
        <v/>
      </c>
      <c r="F1168" s="8" t="str">
        <f>IF(B1168="","",VLOOKUP(B1168,小圆机汇总表!A:AP,5,FALSE))</f>
        <v/>
      </c>
      <c r="G1168" s="8" t="str">
        <f>IF(B1168="","",VLOOKUP(B1168,小圆机汇总表!A:AP,8,FALSE))</f>
        <v/>
      </c>
      <c r="P1168" s="8" t="str">
        <f t="shared" si="67"/>
        <v/>
      </c>
      <c r="R1168" s="250" t="str">
        <f t="shared" si="68"/>
        <v/>
      </c>
    </row>
    <row r="1169" spans="1:18">
      <c r="A1169" s="4">
        <v>1178</v>
      </c>
      <c r="C1169" s="8" t="str">
        <f>IF(B1169="","",VLOOKUP(B1169,经纬!B:C,2,FALSE))</f>
        <v/>
      </c>
      <c r="D1169" s="8" t="str">
        <f>IF(B1169="","",VLOOKUP(B1169,经纬!B:G,6,FALSE))</f>
        <v/>
      </c>
      <c r="F1169" s="8" t="str">
        <f>IF(B1169="","",VLOOKUP(B1169,小圆机汇总表!A:AP,5,FALSE))</f>
        <v/>
      </c>
      <c r="G1169" s="8" t="str">
        <f>IF(B1169="","",VLOOKUP(B1169,小圆机汇总表!A:AP,8,FALSE))</f>
        <v/>
      </c>
      <c r="P1169" s="8" t="str">
        <f t="shared" si="67"/>
        <v/>
      </c>
      <c r="R1169" s="250" t="str">
        <f t="shared" si="68"/>
        <v/>
      </c>
    </row>
    <row r="1170" spans="1:18">
      <c r="A1170" s="4">
        <v>1179</v>
      </c>
      <c r="C1170" s="8" t="str">
        <f>IF(B1170="","",VLOOKUP(B1170,经纬!B:C,2,FALSE))</f>
        <v/>
      </c>
      <c r="D1170" s="8" t="str">
        <f>IF(B1170="","",VLOOKUP(B1170,经纬!B:G,6,FALSE))</f>
        <v/>
      </c>
      <c r="F1170" s="8" t="str">
        <f>IF(B1170="","",VLOOKUP(B1170,小圆机汇总表!A:AP,5,FALSE))</f>
        <v/>
      </c>
      <c r="G1170" s="8" t="str">
        <f>IF(B1170="","",VLOOKUP(B1170,小圆机汇总表!A:AP,8,FALSE))</f>
        <v/>
      </c>
      <c r="P1170" s="8" t="str">
        <f t="shared" si="67"/>
        <v/>
      </c>
      <c r="R1170" s="250" t="str">
        <f t="shared" si="68"/>
        <v/>
      </c>
    </row>
    <row r="1171" spans="1:18">
      <c r="A1171" s="4">
        <v>1180</v>
      </c>
      <c r="C1171" s="8" t="str">
        <f>IF(B1171="","",VLOOKUP(B1171,经纬!B:C,2,FALSE))</f>
        <v/>
      </c>
      <c r="D1171" s="8" t="str">
        <f>IF(B1171="","",VLOOKUP(B1171,经纬!B:G,6,FALSE))</f>
        <v/>
      </c>
      <c r="F1171" s="8" t="str">
        <f>IF(B1171="","",VLOOKUP(B1171,小圆机汇总表!A:AP,5,FALSE))</f>
        <v/>
      </c>
      <c r="G1171" s="8" t="str">
        <f>IF(B1171="","",VLOOKUP(B1171,小圆机汇总表!A:AP,8,FALSE))</f>
        <v/>
      </c>
      <c r="P1171" s="8" t="str">
        <f t="shared" si="67"/>
        <v/>
      </c>
      <c r="R1171" s="250" t="str">
        <f t="shared" si="68"/>
        <v/>
      </c>
    </row>
    <row r="1172" spans="1:18">
      <c r="A1172" s="4">
        <v>1181</v>
      </c>
      <c r="C1172" s="8" t="str">
        <f>IF(B1172="","",VLOOKUP(B1172,经纬!B:C,2,FALSE))</f>
        <v/>
      </c>
      <c r="D1172" s="8" t="str">
        <f>IF(B1172="","",VLOOKUP(B1172,经纬!B:G,6,FALSE))</f>
        <v/>
      </c>
      <c r="F1172" s="8" t="str">
        <f>IF(B1172="","",VLOOKUP(B1172,小圆机汇总表!A:AP,5,FALSE))</f>
        <v/>
      </c>
      <c r="G1172" s="8" t="str">
        <f>IF(B1172="","",VLOOKUP(B1172,小圆机汇总表!A:AP,8,FALSE))</f>
        <v/>
      </c>
      <c r="P1172" s="8" t="str">
        <f t="shared" si="67"/>
        <v/>
      </c>
      <c r="R1172" s="250" t="str">
        <f t="shared" si="68"/>
        <v/>
      </c>
    </row>
    <row r="1173" spans="1:18">
      <c r="A1173" s="4">
        <v>1182</v>
      </c>
      <c r="C1173" s="8" t="str">
        <f>IF(B1173="","",VLOOKUP(B1173,经纬!B:C,2,FALSE))</f>
        <v/>
      </c>
      <c r="D1173" s="8" t="str">
        <f>IF(B1173="","",VLOOKUP(B1173,经纬!B:G,6,FALSE))</f>
        <v/>
      </c>
      <c r="F1173" s="8" t="str">
        <f>IF(B1173="","",VLOOKUP(B1173,小圆机汇总表!A:AP,5,FALSE))</f>
        <v/>
      </c>
      <c r="G1173" s="8" t="str">
        <f>IF(B1173="","",VLOOKUP(B1173,小圆机汇总表!A:AP,8,FALSE))</f>
        <v/>
      </c>
      <c r="P1173" s="8" t="str">
        <f t="shared" si="67"/>
        <v/>
      </c>
      <c r="R1173" s="250" t="str">
        <f t="shared" si="68"/>
        <v/>
      </c>
    </row>
    <row r="1174" spans="1:18">
      <c r="A1174" s="4">
        <v>1183</v>
      </c>
      <c r="C1174" s="8" t="str">
        <f>IF(B1174="","",VLOOKUP(B1174,经纬!B:C,2,FALSE))</f>
        <v/>
      </c>
      <c r="D1174" s="8" t="str">
        <f>IF(B1174="","",VLOOKUP(B1174,经纬!B:G,6,FALSE))</f>
        <v/>
      </c>
      <c r="F1174" s="8" t="str">
        <f>IF(B1174="","",VLOOKUP(B1174,小圆机汇总表!A:AP,5,FALSE))</f>
        <v/>
      </c>
      <c r="G1174" s="8" t="str">
        <f>IF(B1174="","",VLOOKUP(B1174,小圆机汇总表!A:AP,8,FALSE))</f>
        <v/>
      </c>
      <c r="P1174" s="8" t="str">
        <f t="shared" si="67"/>
        <v/>
      </c>
      <c r="R1174" s="250" t="str">
        <f t="shared" si="68"/>
        <v/>
      </c>
    </row>
    <row r="1175" spans="1:18">
      <c r="A1175" s="4">
        <v>1184</v>
      </c>
      <c r="C1175" s="8" t="str">
        <f>IF(B1175="","",VLOOKUP(B1175,经纬!B:C,2,FALSE))</f>
        <v/>
      </c>
      <c r="D1175" s="8" t="str">
        <f>IF(B1175="","",VLOOKUP(B1175,经纬!B:G,6,FALSE))</f>
        <v/>
      </c>
      <c r="F1175" s="8" t="str">
        <f>IF(B1175="","",VLOOKUP(B1175,小圆机汇总表!A:AP,5,FALSE))</f>
        <v/>
      </c>
      <c r="G1175" s="8" t="str">
        <f>IF(B1175="","",VLOOKUP(B1175,小圆机汇总表!A:AP,8,FALSE))</f>
        <v/>
      </c>
      <c r="P1175" s="8" t="str">
        <f t="shared" si="67"/>
        <v/>
      </c>
      <c r="R1175" s="250" t="str">
        <f t="shared" si="68"/>
        <v/>
      </c>
    </row>
    <row r="1176" spans="1:18">
      <c r="A1176" s="4">
        <v>1185</v>
      </c>
      <c r="C1176" s="8" t="str">
        <f>IF(B1176="","",VLOOKUP(B1176,经纬!B:C,2,FALSE))</f>
        <v/>
      </c>
      <c r="D1176" s="8" t="str">
        <f>IF(B1176="","",VLOOKUP(B1176,经纬!B:G,6,FALSE))</f>
        <v/>
      </c>
      <c r="F1176" s="8" t="str">
        <f>IF(B1176="","",VLOOKUP(B1176,小圆机汇总表!A:AP,5,FALSE))</f>
        <v/>
      </c>
      <c r="G1176" s="8" t="str">
        <f>IF(B1176="","",VLOOKUP(B1176,小圆机汇总表!A:AP,8,FALSE))</f>
        <v/>
      </c>
      <c r="P1176" s="8" t="str">
        <f t="shared" si="67"/>
        <v/>
      </c>
      <c r="R1176" s="250" t="str">
        <f t="shared" si="68"/>
        <v/>
      </c>
    </row>
    <row r="1177" spans="1:18">
      <c r="A1177" s="4">
        <v>1186</v>
      </c>
      <c r="C1177" s="8" t="str">
        <f>IF(B1177="","",VLOOKUP(B1177,经纬!B:C,2,FALSE))</f>
        <v/>
      </c>
      <c r="D1177" s="8" t="str">
        <f>IF(B1177="","",VLOOKUP(B1177,经纬!B:G,6,FALSE))</f>
        <v/>
      </c>
      <c r="F1177" s="8" t="str">
        <f>IF(B1177="","",VLOOKUP(B1177,小圆机汇总表!A:AP,5,FALSE))</f>
        <v/>
      </c>
      <c r="G1177" s="8" t="str">
        <f>IF(B1177="","",VLOOKUP(B1177,小圆机汇总表!A:AP,8,FALSE))</f>
        <v/>
      </c>
      <c r="P1177" s="8" t="str">
        <f t="shared" si="67"/>
        <v/>
      </c>
      <c r="R1177" s="250" t="str">
        <f t="shared" si="68"/>
        <v/>
      </c>
    </row>
    <row r="1178" spans="1:18">
      <c r="A1178" s="4">
        <v>1187</v>
      </c>
      <c r="C1178" s="8" t="str">
        <f>IF(B1178="","",VLOOKUP(B1178,经纬!B:C,2,FALSE))</f>
        <v/>
      </c>
      <c r="D1178" s="8" t="str">
        <f>IF(B1178="","",VLOOKUP(B1178,经纬!B:G,6,FALSE))</f>
        <v/>
      </c>
      <c r="F1178" s="8" t="str">
        <f>IF(B1178="","",VLOOKUP(B1178,小圆机汇总表!A:AP,5,FALSE))</f>
        <v/>
      </c>
      <c r="G1178" s="8" t="str">
        <f>IF(B1178="","",VLOOKUP(B1178,小圆机汇总表!A:AP,8,FALSE))</f>
        <v/>
      </c>
      <c r="P1178" s="8" t="str">
        <f t="shared" ref="P1178:P1241" si="69">IF(B1178="","",MONTH(I1178))</f>
        <v/>
      </c>
      <c r="R1178" s="250" t="str">
        <f t="shared" si="68"/>
        <v/>
      </c>
    </row>
    <row r="1179" spans="1:18">
      <c r="A1179" s="4">
        <v>1188</v>
      </c>
      <c r="C1179" s="8" t="str">
        <f>IF(B1179="","",VLOOKUP(B1179,经纬!B:C,2,FALSE))</f>
        <v/>
      </c>
      <c r="D1179" s="8" t="str">
        <f>IF(B1179="","",VLOOKUP(B1179,经纬!B:G,6,FALSE))</f>
        <v/>
      </c>
      <c r="F1179" s="8" t="str">
        <f>IF(B1179="","",VLOOKUP(B1179,小圆机汇总表!A:AP,5,FALSE))</f>
        <v/>
      </c>
      <c r="G1179" s="8" t="str">
        <f>IF(B1179="","",VLOOKUP(B1179,小圆机汇总表!A:AP,8,FALSE))</f>
        <v/>
      </c>
      <c r="P1179" s="8" t="str">
        <f t="shared" si="69"/>
        <v/>
      </c>
      <c r="R1179" s="250" t="str">
        <f t="shared" si="68"/>
        <v/>
      </c>
    </row>
    <row r="1180" spans="1:18">
      <c r="A1180" s="4">
        <v>1189</v>
      </c>
      <c r="C1180" s="8" t="str">
        <f>IF(B1180="","",VLOOKUP(B1180,经纬!B:C,2,FALSE))</f>
        <v/>
      </c>
      <c r="D1180" s="8" t="str">
        <f>IF(B1180="","",VLOOKUP(B1180,经纬!B:G,6,FALSE))</f>
        <v/>
      </c>
      <c r="F1180" s="8" t="str">
        <f>IF(B1180="","",VLOOKUP(B1180,小圆机汇总表!A:AP,5,FALSE))</f>
        <v/>
      </c>
      <c r="G1180" s="8" t="str">
        <f>IF(B1180="","",VLOOKUP(B1180,小圆机汇总表!A:AP,8,FALSE))</f>
        <v/>
      </c>
      <c r="P1180" s="8" t="str">
        <f t="shared" si="69"/>
        <v/>
      </c>
      <c r="R1180" s="250" t="str">
        <f t="shared" si="68"/>
        <v/>
      </c>
    </row>
    <row r="1181" spans="1:18">
      <c r="A1181" s="4">
        <v>1190</v>
      </c>
      <c r="C1181" s="8" t="str">
        <f>IF(B1181="","",VLOOKUP(B1181,经纬!B:C,2,FALSE))</f>
        <v/>
      </c>
      <c r="D1181" s="8" t="str">
        <f>IF(B1181="","",VLOOKUP(B1181,经纬!B:G,6,FALSE))</f>
        <v/>
      </c>
      <c r="F1181" s="8" t="str">
        <f>IF(B1181="","",VLOOKUP(B1181,小圆机汇总表!A:AP,5,FALSE))</f>
        <v/>
      </c>
      <c r="G1181" s="8" t="str">
        <f>IF(B1181="","",VLOOKUP(B1181,小圆机汇总表!A:AP,8,FALSE))</f>
        <v/>
      </c>
      <c r="P1181" s="8" t="str">
        <f t="shared" si="69"/>
        <v/>
      </c>
      <c r="R1181" s="250" t="str">
        <f t="shared" si="68"/>
        <v/>
      </c>
    </row>
    <row r="1182" spans="1:18">
      <c r="A1182" s="4">
        <v>1191</v>
      </c>
      <c r="C1182" s="8" t="str">
        <f>IF(B1182="","",VLOOKUP(B1182,经纬!B:C,2,FALSE))</f>
        <v/>
      </c>
      <c r="D1182" s="8" t="str">
        <f>IF(B1182="","",VLOOKUP(B1182,经纬!B:G,6,FALSE))</f>
        <v/>
      </c>
      <c r="F1182" s="8" t="str">
        <f>IF(B1182="","",VLOOKUP(B1182,小圆机汇总表!A:AP,5,FALSE))</f>
        <v/>
      </c>
      <c r="G1182" s="8" t="str">
        <f>IF(B1182="","",VLOOKUP(B1182,小圆机汇总表!A:AP,8,FALSE))</f>
        <v/>
      </c>
      <c r="P1182" s="8" t="str">
        <f t="shared" si="69"/>
        <v/>
      </c>
      <c r="R1182" s="250" t="str">
        <f t="shared" si="68"/>
        <v/>
      </c>
    </row>
    <row r="1183" spans="1:18">
      <c r="A1183" s="4">
        <v>1192</v>
      </c>
      <c r="C1183" s="8" t="str">
        <f>IF(B1183="","",VLOOKUP(B1183,经纬!B:C,2,FALSE))</f>
        <v/>
      </c>
      <c r="D1183" s="8" t="str">
        <f>IF(B1183="","",VLOOKUP(B1183,经纬!B:G,6,FALSE))</f>
        <v/>
      </c>
      <c r="F1183" s="8" t="str">
        <f>IF(B1183="","",VLOOKUP(B1183,小圆机汇总表!A:AP,5,FALSE))</f>
        <v/>
      </c>
      <c r="G1183" s="8" t="str">
        <f>IF(B1183="","",VLOOKUP(B1183,小圆机汇总表!A:AP,8,FALSE))</f>
        <v/>
      </c>
      <c r="P1183" s="8" t="str">
        <f t="shared" si="69"/>
        <v/>
      </c>
      <c r="R1183" s="250" t="str">
        <f t="shared" si="68"/>
        <v/>
      </c>
    </row>
    <row r="1184" spans="1:18">
      <c r="A1184" s="4">
        <v>1193</v>
      </c>
      <c r="C1184" s="8" t="str">
        <f>IF(B1184="","",VLOOKUP(B1184,经纬!B:C,2,FALSE))</f>
        <v/>
      </c>
      <c r="D1184" s="8" t="str">
        <f>IF(B1184="","",VLOOKUP(B1184,经纬!B:G,6,FALSE))</f>
        <v/>
      </c>
      <c r="F1184" s="8" t="str">
        <f>IF(B1184="","",VLOOKUP(B1184,小圆机汇总表!A:AP,5,FALSE))</f>
        <v/>
      </c>
      <c r="G1184" s="8" t="str">
        <f>IF(B1184="","",VLOOKUP(B1184,小圆机汇总表!A:AP,8,FALSE))</f>
        <v/>
      </c>
      <c r="P1184" s="8" t="str">
        <f t="shared" si="69"/>
        <v/>
      </c>
      <c r="R1184" s="250" t="str">
        <f t="shared" si="68"/>
        <v/>
      </c>
    </row>
    <row r="1185" spans="1:18">
      <c r="A1185" s="4">
        <v>1194</v>
      </c>
      <c r="C1185" s="8" t="str">
        <f>IF(B1185="","",VLOOKUP(B1185,经纬!B:C,2,FALSE))</f>
        <v/>
      </c>
      <c r="D1185" s="8" t="str">
        <f>IF(B1185="","",VLOOKUP(B1185,经纬!B:G,6,FALSE))</f>
        <v/>
      </c>
      <c r="F1185" s="8" t="str">
        <f>IF(B1185="","",VLOOKUP(B1185,小圆机汇总表!A:AP,5,FALSE))</f>
        <v/>
      </c>
      <c r="G1185" s="8" t="str">
        <f>IF(B1185="","",VLOOKUP(B1185,小圆机汇总表!A:AP,8,FALSE))</f>
        <v/>
      </c>
      <c r="P1185" s="8" t="str">
        <f t="shared" si="69"/>
        <v/>
      </c>
      <c r="R1185" s="250" t="str">
        <f t="shared" si="68"/>
        <v/>
      </c>
    </row>
    <row r="1186" spans="1:18">
      <c r="A1186" s="4">
        <v>1195</v>
      </c>
      <c r="C1186" s="8" t="str">
        <f>IF(B1186="","",VLOOKUP(B1186,经纬!B:C,2,FALSE))</f>
        <v/>
      </c>
      <c r="D1186" s="8" t="str">
        <f>IF(B1186="","",VLOOKUP(B1186,经纬!B:G,6,FALSE))</f>
        <v/>
      </c>
      <c r="F1186" s="8" t="str">
        <f>IF(B1186="","",VLOOKUP(B1186,小圆机汇总表!A:AP,5,FALSE))</f>
        <v/>
      </c>
      <c r="G1186" s="8" t="str">
        <f>IF(B1186="","",VLOOKUP(B1186,小圆机汇总表!A:AP,8,FALSE))</f>
        <v/>
      </c>
      <c r="P1186" s="8" t="str">
        <f t="shared" si="69"/>
        <v/>
      </c>
      <c r="R1186" s="250" t="str">
        <f t="shared" si="68"/>
        <v/>
      </c>
    </row>
    <row r="1187" spans="1:18">
      <c r="A1187" s="4">
        <v>1196</v>
      </c>
      <c r="C1187" s="8" t="str">
        <f>IF(B1187="","",VLOOKUP(B1187,经纬!B:C,2,FALSE))</f>
        <v/>
      </c>
      <c r="D1187" s="8" t="str">
        <f>IF(B1187="","",VLOOKUP(B1187,经纬!B:G,6,FALSE))</f>
        <v/>
      </c>
      <c r="F1187" s="8" t="str">
        <f>IF(B1187="","",VLOOKUP(B1187,小圆机汇总表!A:AP,5,FALSE))</f>
        <v/>
      </c>
      <c r="G1187" s="8" t="str">
        <f>IF(B1187="","",VLOOKUP(B1187,小圆机汇总表!A:AP,8,FALSE))</f>
        <v/>
      </c>
      <c r="P1187" s="8" t="str">
        <f t="shared" si="69"/>
        <v/>
      </c>
      <c r="R1187" s="250" t="str">
        <f t="shared" si="68"/>
        <v/>
      </c>
    </row>
    <row r="1188" spans="1:18">
      <c r="A1188" s="4">
        <v>1197</v>
      </c>
      <c r="C1188" s="8" t="str">
        <f>IF(B1188="","",VLOOKUP(B1188,经纬!B:C,2,FALSE))</f>
        <v/>
      </c>
      <c r="D1188" s="8" t="str">
        <f>IF(B1188="","",VLOOKUP(B1188,经纬!B:G,6,FALSE))</f>
        <v/>
      </c>
      <c r="F1188" s="8" t="str">
        <f>IF(B1188="","",VLOOKUP(B1188,小圆机汇总表!A:AP,5,FALSE))</f>
        <v/>
      </c>
      <c r="G1188" s="8" t="str">
        <f>IF(B1188="","",VLOOKUP(B1188,小圆机汇总表!A:AP,8,FALSE))</f>
        <v/>
      </c>
      <c r="P1188" s="8" t="str">
        <f t="shared" si="69"/>
        <v/>
      </c>
      <c r="R1188" s="250" t="str">
        <f t="shared" si="68"/>
        <v/>
      </c>
    </row>
    <row r="1189" spans="1:18">
      <c r="A1189" s="4">
        <v>1198</v>
      </c>
      <c r="C1189" s="8" t="str">
        <f>IF(B1189="","",VLOOKUP(B1189,经纬!B:C,2,FALSE))</f>
        <v/>
      </c>
      <c r="D1189" s="8" t="str">
        <f>IF(B1189="","",VLOOKUP(B1189,经纬!B:G,6,FALSE))</f>
        <v/>
      </c>
      <c r="F1189" s="8" t="str">
        <f>IF(B1189="","",VLOOKUP(B1189,小圆机汇总表!A:AP,5,FALSE))</f>
        <v/>
      </c>
      <c r="G1189" s="8" t="str">
        <f>IF(B1189="","",VLOOKUP(B1189,小圆机汇总表!A:AP,8,FALSE))</f>
        <v/>
      </c>
      <c r="P1189" s="8" t="str">
        <f t="shared" si="69"/>
        <v/>
      </c>
      <c r="R1189" s="250" t="str">
        <f t="shared" si="68"/>
        <v/>
      </c>
    </row>
    <row r="1190" spans="1:18">
      <c r="A1190" s="4">
        <v>1199</v>
      </c>
      <c r="C1190" s="8" t="str">
        <f>IF(B1190="","",VLOOKUP(B1190,经纬!B:C,2,FALSE))</f>
        <v/>
      </c>
      <c r="D1190" s="8" t="str">
        <f>IF(B1190="","",VLOOKUP(B1190,经纬!B:G,6,FALSE))</f>
        <v/>
      </c>
      <c r="F1190" s="8" t="str">
        <f>IF(B1190="","",VLOOKUP(B1190,小圆机汇总表!A:AP,5,FALSE))</f>
        <v/>
      </c>
      <c r="G1190" s="8" t="str">
        <f>IF(B1190="","",VLOOKUP(B1190,小圆机汇总表!A:AP,8,FALSE))</f>
        <v/>
      </c>
      <c r="P1190" s="8" t="str">
        <f t="shared" si="69"/>
        <v/>
      </c>
      <c r="R1190" s="250" t="str">
        <f t="shared" si="68"/>
        <v/>
      </c>
    </row>
    <row r="1191" spans="1:18">
      <c r="A1191" s="4">
        <v>1200</v>
      </c>
      <c r="C1191" s="8" t="str">
        <f>IF(B1191="","",VLOOKUP(B1191,经纬!B:C,2,FALSE))</f>
        <v/>
      </c>
      <c r="D1191" s="8" t="str">
        <f>IF(B1191="","",VLOOKUP(B1191,经纬!B:G,6,FALSE))</f>
        <v/>
      </c>
      <c r="F1191" s="8" t="str">
        <f>IF(B1191="","",VLOOKUP(B1191,小圆机汇总表!A:AP,5,FALSE))</f>
        <v/>
      </c>
      <c r="G1191" s="8" t="str">
        <f>IF(B1191="","",VLOOKUP(B1191,小圆机汇总表!A:AP,8,FALSE))</f>
        <v/>
      </c>
      <c r="P1191" s="8" t="str">
        <f t="shared" si="69"/>
        <v/>
      </c>
      <c r="R1191" s="250" t="str">
        <f t="shared" si="68"/>
        <v/>
      </c>
    </row>
    <row r="1192" spans="1:18">
      <c r="A1192" s="4">
        <v>1201</v>
      </c>
      <c r="C1192" s="8" t="str">
        <f>IF(B1192="","",VLOOKUP(B1192,经纬!B:C,2,FALSE))</f>
        <v/>
      </c>
      <c r="D1192" s="8" t="str">
        <f>IF(B1192="","",VLOOKUP(B1192,经纬!B:G,6,FALSE))</f>
        <v/>
      </c>
      <c r="F1192" s="8" t="str">
        <f>IF(B1192="","",VLOOKUP(B1192,小圆机汇总表!A:AP,5,FALSE))</f>
        <v/>
      </c>
      <c r="G1192" s="8" t="str">
        <f>IF(B1192="","",VLOOKUP(B1192,小圆机汇总表!A:AP,8,FALSE))</f>
        <v/>
      </c>
      <c r="P1192" s="8" t="str">
        <f t="shared" si="69"/>
        <v/>
      </c>
      <c r="R1192" s="250" t="str">
        <f t="shared" si="68"/>
        <v/>
      </c>
    </row>
    <row r="1193" spans="1:18">
      <c r="A1193" s="4">
        <v>1202</v>
      </c>
      <c r="C1193" s="8" t="str">
        <f>IF(B1193="","",VLOOKUP(B1193,经纬!B:C,2,FALSE))</f>
        <v/>
      </c>
      <c r="D1193" s="8" t="str">
        <f>IF(B1193="","",VLOOKUP(B1193,经纬!B:G,6,FALSE))</f>
        <v/>
      </c>
      <c r="F1193" s="8" t="str">
        <f>IF(B1193="","",VLOOKUP(B1193,小圆机汇总表!A:AP,5,FALSE))</f>
        <v/>
      </c>
      <c r="G1193" s="8" t="str">
        <f>IF(B1193="","",VLOOKUP(B1193,小圆机汇总表!A:AP,8,FALSE))</f>
        <v/>
      </c>
      <c r="P1193" s="8" t="str">
        <f t="shared" si="69"/>
        <v/>
      </c>
      <c r="R1193" s="250" t="str">
        <f t="shared" si="68"/>
        <v/>
      </c>
    </row>
    <row r="1194" spans="1:18">
      <c r="A1194" s="4">
        <v>1203</v>
      </c>
      <c r="C1194" s="8" t="str">
        <f>IF(B1194="","",VLOOKUP(B1194,经纬!B:C,2,FALSE))</f>
        <v/>
      </c>
      <c r="D1194" s="8" t="str">
        <f>IF(B1194="","",VLOOKUP(B1194,经纬!B:G,6,FALSE))</f>
        <v/>
      </c>
      <c r="F1194" s="8" t="str">
        <f>IF(B1194="","",VLOOKUP(B1194,小圆机汇总表!A:AP,5,FALSE))</f>
        <v/>
      </c>
      <c r="G1194" s="8" t="str">
        <f>IF(B1194="","",VLOOKUP(B1194,小圆机汇总表!A:AP,8,FALSE))</f>
        <v/>
      </c>
      <c r="P1194" s="8" t="str">
        <f t="shared" si="69"/>
        <v/>
      </c>
      <c r="R1194" s="250" t="str">
        <f t="shared" si="68"/>
        <v/>
      </c>
    </row>
    <row r="1195" spans="1:18">
      <c r="A1195" s="4">
        <v>1204</v>
      </c>
      <c r="C1195" s="8" t="str">
        <f>IF(B1195="","",VLOOKUP(B1195,经纬!B:C,2,FALSE))</f>
        <v/>
      </c>
      <c r="D1195" s="8" t="str">
        <f>IF(B1195="","",VLOOKUP(B1195,经纬!B:G,6,FALSE))</f>
        <v/>
      </c>
      <c r="F1195" s="8" t="str">
        <f>IF(B1195="","",VLOOKUP(B1195,小圆机汇总表!A:AP,5,FALSE))</f>
        <v/>
      </c>
      <c r="G1195" s="8" t="str">
        <f>IF(B1195="","",VLOOKUP(B1195,小圆机汇总表!A:AP,8,FALSE))</f>
        <v/>
      </c>
      <c r="P1195" s="8" t="str">
        <f t="shared" si="69"/>
        <v/>
      </c>
      <c r="R1195" s="250" t="str">
        <f t="shared" si="68"/>
        <v/>
      </c>
    </row>
    <row r="1196" spans="1:18">
      <c r="A1196" s="4">
        <v>1205</v>
      </c>
      <c r="C1196" s="8" t="str">
        <f>IF(B1196="","",VLOOKUP(B1196,经纬!B:C,2,FALSE))</f>
        <v/>
      </c>
      <c r="D1196" s="8" t="str">
        <f>IF(B1196="","",VLOOKUP(B1196,经纬!B:G,6,FALSE))</f>
        <v/>
      </c>
      <c r="F1196" s="8" t="str">
        <f>IF(B1196="","",VLOOKUP(B1196,小圆机汇总表!A:AP,5,FALSE))</f>
        <v/>
      </c>
      <c r="G1196" s="8" t="str">
        <f>IF(B1196="","",VLOOKUP(B1196,小圆机汇总表!A:AP,8,FALSE))</f>
        <v/>
      </c>
      <c r="P1196" s="8" t="str">
        <f t="shared" si="69"/>
        <v/>
      </c>
      <c r="R1196" s="250" t="str">
        <f t="shared" si="68"/>
        <v/>
      </c>
    </row>
    <row r="1197" spans="1:18">
      <c r="A1197" s="4">
        <v>1206</v>
      </c>
      <c r="C1197" s="8" t="str">
        <f>IF(B1197="","",VLOOKUP(B1197,经纬!B:C,2,FALSE))</f>
        <v/>
      </c>
      <c r="D1197" s="8" t="str">
        <f>IF(B1197="","",VLOOKUP(B1197,经纬!B:G,6,FALSE))</f>
        <v/>
      </c>
      <c r="F1197" s="8" t="str">
        <f>IF(B1197="","",VLOOKUP(B1197,小圆机汇总表!A:AP,5,FALSE))</f>
        <v/>
      </c>
      <c r="G1197" s="8" t="str">
        <f>IF(B1197="","",VLOOKUP(B1197,小圆机汇总表!A:AP,8,FALSE))</f>
        <v/>
      </c>
      <c r="P1197" s="8" t="str">
        <f t="shared" si="69"/>
        <v/>
      </c>
      <c r="R1197" s="250" t="str">
        <f t="shared" si="68"/>
        <v/>
      </c>
    </row>
    <row r="1198" spans="1:18">
      <c r="A1198" s="4">
        <v>1207</v>
      </c>
      <c r="C1198" s="8" t="str">
        <f>IF(B1198="","",VLOOKUP(B1198,经纬!B:C,2,FALSE))</f>
        <v/>
      </c>
      <c r="D1198" s="8" t="str">
        <f>IF(B1198="","",VLOOKUP(B1198,经纬!B:G,6,FALSE))</f>
        <v/>
      </c>
      <c r="F1198" s="8" t="str">
        <f>IF(B1198="","",VLOOKUP(B1198,小圆机汇总表!A:AP,5,FALSE))</f>
        <v/>
      </c>
      <c r="G1198" s="8" t="str">
        <f>IF(B1198="","",VLOOKUP(B1198,小圆机汇总表!A:AP,8,FALSE))</f>
        <v/>
      </c>
      <c r="P1198" s="8" t="str">
        <f t="shared" si="69"/>
        <v/>
      </c>
      <c r="R1198" s="250" t="str">
        <f t="shared" si="68"/>
        <v/>
      </c>
    </row>
    <row r="1199" spans="1:18">
      <c r="A1199" s="4">
        <v>1208</v>
      </c>
      <c r="C1199" s="8" t="str">
        <f>IF(B1199="","",VLOOKUP(B1199,经纬!B:C,2,FALSE))</f>
        <v/>
      </c>
      <c r="D1199" s="8" t="str">
        <f>IF(B1199="","",VLOOKUP(B1199,经纬!B:G,6,FALSE))</f>
        <v/>
      </c>
      <c r="F1199" s="8" t="str">
        <f>IF(B1199="","",VLOOKUP(B1199,小圆机汇总表!A:AP,5,FALSE))</f>
        <v/>
      </c>
      <c r="G1199" s="8" t="str">
        <f>IF(B1199="","",VLOOKUP(B1199,小圆机汇总表!A:AP,8,FALSE))</f>
        <v/>
      </c>
      <c r="P1199" s="8" t="str">
        <f t="shared" si="69"/>
        <v/>
      </c>
      <c r="R1199" s="250" t="str">
        <f t="shared" si="68"/>
        <v/>
      </c>
    </row>
    <row r="1200" spans="1:18">
      <c r="A1200" s="4">
        <v>1209</v>
      </c>
      <c r="C1200" s="8" t="str">
        <f>IF(B1200="","",VLOOKUP(B1200,经纬!B:C,2,FALSE))</f>
        <v/>
      </c>
      <c r="D1200" s="8" t="str">
        <f>IF(B1200="","",VLOOKUP(B1200,经纬!B:G,6,FALSE))</f>
        <v/>
      </c>
      <c r="F1200" s="8" t="str">
        <f>IF(B1200="","",VLOOKUP(B1200,小圆机汇总表!A:AP,5,FALSE))</f>
        <v/>
      </c>
      <c r="G1200" s="8" t="str">
        <f>IF(B1200="","",VLOOKUP(B1200,小圆机汇总表!A:AP,8,FALSE))</f>
        <v/>
      </c>
      <c r="P1200" s="8" t="str">
        <f t="shared" si="69"/>
        <v/>
      </c>
      <c r="R1200" s="250" t="str">
        <f t="shared" si="68"/>
        <v/>
      </c>
    </row>
    <row r="1201" spans="1:18">
      <c r="A1201" s="4">
        <v>1210</v>
      </c>
      <c r="C1201" s="8" t="str">
        <f>IF(B1201="","",VLOOKUP(B1201,经纬!B:C,2,FALSE))</f>
        <v/>
      </c>
      <c r="D1201" s="8" t="str">
        <f>IF(B1201="","",VLOOKUP(B1201,经纬!B:G,6,FALSE))</f>
        <v/>
      </c>
      <c r="F1201" s="8" t="str">
        <f>IF(B1201="","",VLOOKUP(B1201,小圆机汇总表!A:AP,5,FALSE))</f>
        <v/>
      </c>
      <c r="G1201" s="8" t="str">
        <f>IF(B1201="","",VLOOKUP(B1201,小圆机汇总表!A:AP,8,FALSE))</f>
        <v/>
      </c>
      <c r="P1201" s="8" t="str">
        <f t="shared" si="69"/>
        <v/>
      </c>
      <c r="R1201" s="250" t="str">
        <f t="shared" si="68"/>
        <v/>
      </c>
    </row>
    <row r="1202" spans="1:18">
      <c r="A1202" s="4">
        <v>1211</v>
      </c>
      <c r="C1202" s="8" t="str">
        <f>IF(B1202="","",VLOOKUP(B1202,经纬!B:C,2,FALSE))</f>
        <v/>
      </c>
      <c r="D1202" s="8" t="str">
        <f>IF(B1202="","",VLOOKUP(B1202,经纬!B:G,6,FALSE))</f>
        <v/>
      </c>
      <c r="F1202" s="8" t="str">
        <f>IF(B1202="","",VLOOKUP(B1202,小圆机汇总表!A:AP,5,FALSE))</f>
        <v/>
      </c>
      <c r="G1202" s="8" t="str">
        <f>IF(B1202="","",VLOOKUP(B1202,小圆机汇总表!A:AP,8,FALSE))</f>
        <v/>
      </c>
      <c r="P1202" s="8" t="str">
        <f t="shared" si="69"/>
        <v/>
      </c>
      <c r="R1202" s="250" t="str">
        <f t="shared" si="68"/>
        <v/>
      </c>
    </row>
    <row r="1203" spans="1:18">
      <c r="A1203" s="4">
        <v>1212</v>
      </c>
      <c r="C1203" s="8" t="str">
        <f>IF(B1203="","",VLOOKUP(B1203,经纬!B:C,2,FALSE))</f>
        <v/>
      </c>
      <c r="D1203" s="8" t="str">
        <f>IF(B1203="","",VLOOKUP(B1203,经纬!B:G,6,FALSE))</f>
        <v/>
      </c>
      <c r="F1203" s="8" t="str">
        <f>IF(B1203="","",VLOOKUP(B1203,小圆机汇总表!A:AP,5,FALSE))</f>
        <v/>
      </c>
      <c r="G1203" s="8" t="str">
        <f>IF(B1203="","",VLOOKUP(B1203,小圆机汇总表!A:AP,8,FALSE))</f>
        <v/>
      </c>
      <c r="P1203" s="8" t="str">
        <f t="shared" si="69"/>
        <v/>
      </c>
      <c r="R1203" s="250" t="str">
        <f t="shared" si="68"/>
        <v/>
      </c>
    </row>
    <row r="1204" spans="1:18">
      <c r="A1204" s="4">
        <v>1213</v>
      </c>
      <c r="C1204" s="8" t="str">
        <f>IF(B1204="","",VLOOKUP(B1204,经纬!B:C,2,FALSE))</f>
        <v/>
      </c>
      <c r="D1204" s="8" t="str">
        <f>IF(B1204="","",VLOOKUP(B1204,经纬!B:G,6,FALSE))</f>
        <v/>
      </c>
      <c r="F1204" s="8" t="str">
        <f>IF(B1204="","",VLOOKUP(B1204,小圆机汇总表!A:AP,5,FALSE))</f>
        <v/>
      </c>
      <c r="G1204" s="8" t="str">
        <f>IF(B1204="","",VLOOKUP(B1204,小圆机汇总表!A:AP,8,FALSE))</f>
        <v/>
      </c>
      <c r="P1204" s="8" t="str">
        <f t="shared" si="69"/>
        <v/>
      </c>
      <c r="R1204" s="250" t="str">
        <f t="shared" si="68"/>
        <v/>
      </c>
    </row>
    <row r="1205" spans="1:18">
      <c r="A1205" s="4">
        <v>1214</v>
      </c>
      <c r="C1205" s="8" t="str">
        <f>IF(B1205="","",VLOOKUP(B1205,经纬!B:C,2,FALSE))</f>
        <v/>
      </c>
      <c r="D1205" s="8" t="str">
        <f>IF(B1205="","",VLOOKUP(B1205,经纬!B:G,6,FALSE))</f>
        <v/>
      </c>
      <c r="F1205" s="8" t="str">
        <f>IF(B1205="","",VLOOKUP(B1205,小圆机汇总表!A:AP,5,FALSE))</f>
        <v/>
      </c>
      <c r="G1205" s="8" t="str">
        <f>IF(B1205="","",VLOOKUP(B1205,小圆机汇总表!A:AP,8,FALSE))</f>
        <v/>
      </c>
      <c r="P1205" s="8" t="str">
        <f t="shared" si="69"/>
        <v/>
      </c>
      <c r="R1205" s="250" t="str">
        <f t="shared" si="68"/>
        <v/>
      </c>
    </row>
    <row r="1206" spans="1:18">
      <c r="A1206" s="4">
        <v>1215</v>
      </c>
      <c r="C1206" s="8" t="str">
        <f>IF(B1206="","",VLOOKUP(B1206,经纬!B:C,2,FALSE))</f>
        <v/>
      </c>
      <c r="D1206" s="8" t="str">
        <f>IF(B1206="","",VLOOKUP(B1206,经纬!B:G,6,FALSE))</f>
        <v/>
      </c>
      <c r="F1206" s="8" t="str">
        <f>IF(B1206="","",VLOOKUP(B1206,小圆机汇总表!A:AP,5,FALSE))</f>
        <v/>
      </c>
      <c r="G1206" s="8" t="str">
        <f>IF(B1206="","",VLOOKUP(B1206,小圆机汇总表!A:AP,8,FALSE))</f>
        <v/>
      </c>
      <c r="P1206" s="8" t="str">
        <f t="shared" si="69"/>
        <v/>
      </c>
      <c r="R1206" s="250" t="str">
        <f t="shared" si="68"/>
        <v/>
      </c>
    </row>
    <row r="1207" spans="1:18">
      <c r="A1207" s="4">
        <v>1216</v>
      </c>
      <c r="C1207" s="8" t="str">
        <f>IF(B1207="","",VLOOKUP(B1207,经纬!B:C,2,FALSE))</f>
        <v/>
      </c>
      <c r="D1207" s="8" t="str">
        <f>IF(B1207="","",VLOOKUP(B1207,经纬!B:G,6,FALSE))</f>
        <v/>
      </c>
      <c r="F1207" s="8" t="str">
        <f>IF(B1207="","",VLOOKUP(B1207,小圆机汇总表!A:AP,5,FALSE))</f>
        <v/>
      </c>
      <c r="G1207" s="8" t="str">
        <f>IF(B1207="","",VLOOKUP(B1207,小圆机汇总表!A:AP,8,FALSE))</f>
        <v/>
      </c>
      <c r="P1207" s="8" t="str">
        <f t="shared" si="69"/>
        <v/>
      </c>
      <c r="R1207" s="250" t="str">
        <f t="shared" si="68"/>
        <v/>
      </c>
    </row>
    <row r="1208" spans="1:18">
      <c r="A1208" s="4">
        <v>1217</v>
      </c>
      <c r="C1208" s="8" t="str">
        <f>IF(B1208="","",VLOOKUP(B1208,经纬!B:C,2,FALSE))</f>
        <v/>
      </c>
      <c r="D1208" s="8" t="str">
        <f>IF(B1208="","",VLOOKUP(B1208,经纬!B:G,6,FALSE))</f>
        <v/>
      </c>
      <c r="F1208" s="8" t="str">
        <f>IF(B1208="","",VLOOKUP(B1208,小圆机汇总表!A:AP,5,FALSE))</f>
        <v/>
      </c>
      <c r="G1208" s="8" t="str">
        <f>IF(B1208="","",VLOOKUP(B1208,小圆机汇总表!A:AP,8,FALSE))</f>
        <v/>
      </c>
      <c r="P1208" s="8" t="str">
        <f t="shared" si="69"/>
        <v/>
      </c>
      <c r="R1208" s="250" t="str">
        <f t="shared" si="68"/>
        <v/>
      </c>
    </row>
    <row r="1209" spans="1:18">
      <c r="A1209" s="4">
        <v>1218</v>
      </c>
      <c r="C1209" s="8" t="str">
        <f>IF(B1209="","",VLOOKUP(B1209,经纬!B:C,2,FALSE))</f>
        <v/>
      </c>
      <c r="D1209" s="8" t="str">
        <f>IF(B1209="","",VLOOKUP(B1209,经纬!B:G,6,FALSE))</f>
        <v/>
      </c>
      <c r="F1209" s="8" t="str">
        <f>IF(B1209="","",VLOOKUP(B1209,小圆机汇总表!A:AP,5,FALSE))</f>
        <v/>
      </c>
      <c r="G1209" s="8" t="str">
        <f>IF(B1209="","",VLOOKUP(B1209,小圆机汇总表!A:AP,8,FALSE))</f>
        <v/>
      </c>
      <c r="P1209" s="8" t="str">
        <f t="shared" si="69"/>
        <v/>
      </c>
      <c r="R1209" s="250" t="str">
        <f t="shared" si="68"/>
        <v/>
      </c>
    </row>
    <row r="1210" spans="1:18">
      <c r="A1210" s="4">
        <v>1219</v>
      </c>
      <c r="C1210" s="8" t="str">
        <f>IF(B1210="","",VLOOKUP(B1210,经纬!B:C,2,FALSE))</f>
        <v/>
      </c>
      <c r="D1210" s="8" t="str">
        <f>IF(B1210="","",VLOOKUP(B1210,经纬!B:G,6,FALSE))</f>
        <v/>
      </c>
      <c r="F1210" s="8" t="str">
        <f>IF(B1210="","",VLOOKUP(B1210,小圆机汇总表!A:AP,5,FALSE))</f>
        <v/>
      </c>
      <c r="G1210" s="8" t="str">
        <f>IF(B1210="","",VLOOKUP(B1210,小圆机汇总表!A:AP,8,FALSE))</f>
        <v/>
      </c>
      <c r="P1210" s="8" t="str">
        <f t="shared" si="69"/>
        <v/>
      </c>
      <c r="R1210" s="250" t="str">
        <f t="shared" si="68"/>
        <v/>
      </c>
    </row>
    <row r="1211" spans="1:18">
      <c r="A1211" s="4">
        <v>1220</v>
      </c>
      <c r="C1211" s="8" t="str">
        <f>IF(B1211="","",VLOOKUP(B1211,经纬!B:C,2,FALSE))</f>
        <v/>
      </c>
      <c r="D1211" s="8" t="str">
        <f>IF(B1211="","",VLOOKUP(B1211,经纬!B:G,6,FALSE))</f>
        <v/>
      </c>
      <c r="F1211" s="8" t="str">
        <f>IF(B1211="","",VLOOKUP(B1211,小圆机汇总表!A:AP,5,FALSE))</f>
        <v/>
      </c>
      <c r="G1211" s="8" t="str">
        <f>IF(B1211="","",VLOOKUP(B1211,小圆机汇总表!A:AP,8,FALSE))</f>
        <v/>
      </c>
      <c r="P1211" s="8" t="str">
        <f t="shared" si="69"/>
        <v/>
      </c>
      <c r="R1211" s="250" t="str">
        <f t="shared" si="68"/>
        <v/>
      </c>
    </row>
    <row r="1212" spans="1:18">
      <c r="A1212" s="4">
        <v>1221</v>
      </c>
      <c r="C1212" s="8" t="str">
        <f>IF(B1212="","",VLOOKUP(B1212,经纬!B:C,2,FALSE))</f>
        <v/>
      </c>
      <c r="D1212" s="8" t="str">
        <f>IF(B1212="","",VLOOKUP(B1212,经纬!B:G,6,FALSE))</f>
        <v/>
      </c>
      <c r="F1212" s="8" t="str">
        <f>IF(B1212="","",VLOOKUP(B1212,小圆机汇总表!A:AP,5,FALSE))</f>
        <v/>
      </c>
      <c r="G1212" s="8" t="str">
        <f>IF(B1212="","",VLOOKUP(B1212,小圆机汇总表!A:AP,8,FALSE))</f>
        <v/>
      </c>
      <c r="P1212" s="8" t="str">
        <f t="shared" si="69"/>
        <v/>
      </c>
      <c r="R1212" s="250" t="str">
        <f t="shared" si="68"/>
        <v/>
      </c>
    </row>
    <row r="1213" spans="1:18">
      <c r="A1213" s="4">
        <v>1222</v>
      </c>
      <c r="C1213" s="8" t="str">
        <f>IF(B1213="","",VLOOKUP(B1213,经纬!B:C,2,FALSE))</f>
        <v/>
      </c>
      <c r="D1213" s="8" t="str">
        <f>IF(B1213="","",VLOOKUP(B1213,经纬!B:G,6,FALSE))</f>
        <v/>
      </c>
      <c r="F1213" s="8" t="str">
        <f>IF(B1213="","",VLOOKUP(B1213,小圆机汇总表!A:AP,5,FALSE))</f>
        <v/>
      </c>
      <c r="G1213" s="8" t="str">
        <f>IF(B1213="","",VLOOKUP(B1213,小圆机汇总表!A:AP,8,FALSE))</f>
        <v/>
      </c>
      <c r="P1213" s="8" t="str">
        <f t="shared" si="69"/>
        <v/>
      </c>
      <c r="R1213" s="250" t="str">
        <f t="shared" si="68"/>
        <v/>
      </c>
    </row>
    <row r="1214" spans="1:18">
      <c r="A1214" s="4">
        <v>1223</v>
      </c>
      <c r="C1214" s="8" t="str">
        <f>IF(B1214="","",VLOOKUP(B1214,经纬!B:C,2,FALSE))</f>
        <v/>
      </c>
      <c r="D1214" s="8" t="str">
        <f>IF(B1214="","",VLOOKUP(B1214,经纬!B:G,6,FALSE))</f>
        <v/>
      </c>
      <c r="F1214" s="8" t="str">
        <f>IF(B1214="","",VLOOKUP(B1214,小圆机汇总表!A:AP,5,FALSE))</f>
        <v/>
      </c>
      <c r="G1214" s="8" t="str">
        <f>IF(B1214="","",VLOOKUP(B1214,小圆机汇总表!A:AP,8,FALSE))</f>
        <v/>
      </c>
      <c r="P1214" s="8" t="str">
        <f t="shared" si="69"/>
        <v/>
      </c>
      <c r="R1214" s="250" t="str">
        <f t="shared" si="68"/>
        <v/>
      </c>
    </row>
    <row r="1215" spans="1:18">
      <c r="A1215" s="4">
        <v>1224</v>
      </c>
      <c r="C1215" s="8" t="str">
        <f>IF(B1215="","",VLOOKUP(B1215,经纬!B:C,2,FALSE))</f>
        <v/>
      </c>
      <c r="D1215" s="8" t="str">
        <f>IF(B1215="","",VLOOKUP(B1215,经纬!B:G,6,FALSE))</f>
        <v/>
      </c>
      <c r="F1215" s="8" t="str">
        <f>IF(B1215="","",VLOOKUP(B1215,小圆机汇总表!A:AP,5,FALSE))</f>
        <v/>
      </c>
      <c r="G1215" s="8" t="str">
        <f>IF(B1215="","",VLOOKUP(B1215,小圆机汇总表!A:AP,8,FALSE))</f>
        <v/>
      </c>
      <c r="P1215" s="8" t="str">
        <f t="shared" si="69"/>
        <v/>
      </c>
      <c r="R1215" s="250" t="str">
        <f t="shared" si="68"/>
        <v/>
      </c>
    </row>
    <row r="1216" spans="1:18">
      <c r="A1216" s="4">
        <v>1225</v>
      </c>
      <c r="C1216" s="8" t="str">
        <f>IF(B1216="","",VLOOKUP(B1216,经纬!B:C,2,FALSE))</f>
        <v/>
      </c>
      <c r="D1216" s="8" t="str">
        <f>IF(B1216="","",VLOOKUP(B1216,经纬!B:G,6,FALSE))</f>
        <v/>
      </c>
      <c r="F1216" s="8" t="str">
        <f>IF(B1216="","",VLOOKUP(B1216,小圆机汇总表!A:AP,5,FALSE))</f>
        <v/>
      </c>
      <c r="G1216" s="8" t="str">
        <f>IF(B1216="","",VLOOKUP(B1216,小圆机汇总表!A:AP,8,FALSE))</f>
        <v/>
      </c>
      <c r="P1216" s="8" t="str">
        <f t="shared" si="69"/>
        <v/>
      </c>
      <c r="R1216" s="250" t="str">
        <f t="shared" si="68"/>
        <v/>
      </c>
    </row>
    <row r="1217" spans="1:18">
      <c r="A1217" s="4">
        <v>1226</v>
      </c>
      <c r="C1217" s="8" t="str">
        <f>IF(B1217="","",VLOOKUP(B1217,经纬!B:C,2,FALSE))</f>
        <v/>
      </c>
      <c r="D1217" s="8" t="str">
        <f>IF(B1217="","",VLOOKUP(B1217,经纬!B:G,6,FALSE))</f>
        <v/>
      </c>
      <c r="F1217" s="8" t="str">
        <f>IF(B1217="","",VLOOKUP(B1217,小圆机汇总表!A:AP,5,FALSE))</f>
        <v/>
      </c>
      <c r="G1217" s="8" t="str">
        <f>IF(B1217="","",VLOOKUP(B1217,小圆机汇总表!A:AP,8,FALSE))</f>
        <v/>
      </c>
      <c r="P1217" s="8" t="str">
        <f t="shared" si="69"/>
        <v/>
      </c>
      <c r="R1217" s="250" t="str">
        <f t="shared" si="68"/>
        <v/>
      </c>
    </row>
    <row r="1218" spans="1:18">
      <c r="A1218" s="4">
        <v>1227</v>
      </c>
      <c r="C1218" s="8" t="str">
        <f>IF(B1218="","",VLOOKUP(B1218,经纬!B:C,2,FALSE))</f>
        <v/>
      </c>
      <c r="D1218" s="8" t="str">
        <f>IF(B1218="","",VLOOKUP(B1218,经纬!B:G,6,FALSE))</f>
        <v/>
      </c>
      <c r="F1218" s="8" t="str">
        <f>IF(B1218="","",VLOOKUP(B1218,小圆机汇总表!A:AP,5,FALSE))</f>
        <v/>
      </c>
      <c r="G1218" s="8" t="str">
        <f>IF(B1218="","",VLOOKUP(B1218,小圆机汇总表!A:AP,8,FALSE))</f>
        <v/>
      </c>
      <c r="P1218" s="8" t="str">
        <f t="shared" si="69"/>
        <v/>
      </c>
      <c r="R1218" s="250" t="str">
        <f t="shared" si="68"/>
        <v/>
      </c>
    </row>
    <row r="1219" spans="1:18">
      <c r="A1219" s="4">
        <v>1228</v>
      </c>
      <c r="C1219" s="8" t="str">
        <f>IF(B1219="","",VLOOKUP(B1219,经纬!B:C,2,FALSE))</f>
        <v/>
      </c>
      <c r="D1219" s="8" t="str">
        <f>IF(B1219="","",VLOOKUP(B1219,经纬!B:G,6,FALSE))</f>
        <v/>
      </c>
      <c r="F1219" s="8" t="str">
        <f>IF(B1219="","",VLOOKUP(B1219,小圆机汇总表!A:AP,5,FALSE))</f>
        <v/>
      </c>
      <c r="G1219" s="8" t="str">
        <f>IF(B1219="","",VLOOKUP(B1219,小圆机汇总表!A:AP,8,FALSE))</f>
        <v/>
      </c>
      <c r="P1219" s="8" t="str">
        <f t="shared" si="69"/>
        <v/>
      </c>
      <c r="R1219" s="250" t="str">
        <f t="shared" ref="R1219:R1282" si="70">IF(B1219="","",MONTH(I1219))</f>
        <v/>
      </c>
    </row>
    <row r="1220" spans="1:18">
      <c r="A1220" s="4">
        <v>1229</v>
      </c>
      <c r="C1220" s="8" t="str">
        <f>IF(B1220="","",VLOOKUP(B1220,经纬!B:C,2,FALSE))</f>
        <v/>
      </c>
      <c r="D1220" s="8" t="str">
        <f>IF(B1220="","",VLOOKUP(B1220,经纬!B:G,6,FALSE))</f>
        <v/>
      </c>
      <c r="F1220" s="8" t="str">
        <f>IF(B1220="","",VLOOKUP(B1220,小圆机汇总表!A:AP,5,FALSE))</f>
        <v/>
      </c>
      <c r="G1220" s="8" t="str">
        <f>IF(B1220="","",VLOOKUP(B1220,小圆机汇总表!A:AP,8,FALSE))</f>
        <v/>
      </c>
      <c r="P1220" s="8" t="str">
        <f t="shared" si="69"/>
        <v/>
      </c>
      <c r="R1220" s="250" t="str">
        <f t="shared" si="70"/>
        <v/>
      </c>
    </row>
    <row r="1221" spans="1:18">
      <c r="A1221" s="4">
        <v>1230</v>
      </c>
      <c r="C1221" s="8" t="str">
        <f>IF(B1221="","",VLOOKUP(B1221,经纬!B:C,2,FALSE))</f>
        <v/>
      </c>
      <c r="D1221" s="8" t="str">
        <f>IF(B1221="","",VLOOKUP(B1221,经纬!B:G,6,FALSE))</f>
        <v/>
      </c>
      <c r="F1221" s="8" t="str">
        <f>IF(B1221="","",VLOOKUP(B1221,小圆机汇总表!A:AP,5,FALSE))</f>
        <v/>
      </c>
      <c r="G1221" s="8" t="str">
        <f>IF(B1221="","",VLOOKUP(B1221,小圆机汇总表!A:AP,8,FALSE))</f>
        <v/>
      </c>
      <c r="P1221" s="8" t="str">
        <f t="shared" si="69"/>
        <v/>
      </c>
      <c r="R1221" s="250" t="str">
        <f t="shared" si="70"/>
        <v/>
      </c>
    </row>
    <row r="1222" spans="1:18">
      <c r="A1222" s="4">
        <v>1231</v>
      </c>
      <c r="C1222" s="8" t="str">
        <f>IF(B1222="","",VLOOKUP(B1222,经纬!B:C,2,FALSE))</f>
        <v/>
      </c>
      <c r="D1222" s="8" t="str">
        <f>IF(B1222="","",VLOOKUP(B1222,经纬!B:G,6,FALSE))</f>
        <v/>
      </c>
      <c r="F1222" s="8" t="str">
        <f>IF(B1222="","",VLOOKUP(B1222,小圆机汇总表!A:AP,5,FALSE))</f>
        <v/>
      </c>
      <c r="G1222" s="8" t="str">
        <f>IF(B1222="","",VLOOKUP(B1222,小圆机汇总表!A:AP,8,FALSE))</f>
        <v/>
      </c>
      <c r="P1222" s="8" t="str">
        <f t="shared" si="69"/>
        <v/>
      </c>
      <c r="R1222" s="250" t="str">
        <f t="shared" si="70"/>
        <v/>
      </c>
    </row>
    <row r="1223" spans="1:18">
      <c r="A1223" s="4">
        <v>1232</v>
      </c>
      <c r="C1223" s="8" t="str">
        <f>IF(B1223="","",VLOOKUP(B1223,经纬!B:C,2,FALSE))</f>
        <v/>
      </c>
      <c r="D1223" s="8" t="str">
        <f>IF(B1223="","",VLOOKUP(B1223,经纬!B:G,6,FALSE))</f>
        <v/>
      </c>
      <c r="F1223" s="8" t="str">
        <f>IF(B1223="","",VLOOKUP(B1223,小圆机汇总表!A:AP,5,FALSE))</f>
        <v/>
      </c>
      <c r="G1223" s="8" t="str">
        <f>IF(B1223="","",VLOOKUP(B1223,小圆机汇总表!A:AP,8,FALSE))</f>
        <v/>
      </c>
      <c r="P1223" s="8" t="str">
        <f t="shared" si="69"/>
        <v/>
      </c>
      <c r="R1223" s="250" t="str">
        <f t="shared" si="70"/>
        <v/>
      </c>
    </row>
    <row r="1224" spans="1:18">
      <c r="A1224" s="4">
        <v>1233</v>
      </c>
      <c r="C1224" s="8" t="str">
        <f>IF(B1224="","",VLOOKUP(B1224,经纬!B:C,2,FALSE))</f>
        <v/>
      </c>
      <c r="D1224" s="8" t="str">
        <f>IF(B1224="","",VLOOKUP(B1224,经纬!B:G,6,FALSE))</f>
        <v/>
      </c>
      <c r="F1224" s="8" t="str">
        <f>IF(B1224="","",VLOOKUP(B1224,小圆机汇总表!A:AP,5,FALSE))</f>
        <v/>
      </c>
      <c r="G1224" s="8" t="str">
        <f>IF(B1224="","",VLOOKUP(B1224,小圆机汇总表!A:AP,8,FALSE))</f>
        <v/>
      </c>
      <c r="P1224" s="8" t="str">
        <f t="shared" si="69"/>
        <v/>
      </c>
      <c r="R1224" s="250" t="str">
        <f t="shared" si="70"/>
        <v/>
      </c>
    </row>
    <row r="1225" spans="1:18">
      <c r="A1225" s="4">
        <v>1234</v>
      </c>
      <c r="C1225" s="8" t="str">
        <f>IF(B1225="","",VLOOKUP(B1225,经纬!B:C,2,FALSE))</f>
        <v/>
      </c>
      <c r="D1225" s="8" t="str">
        <f>IF(B1225="","",VLOOKUP(B1225,经纬!B:G,6,FALSE))</f>
        <v/>
      </c>
      <c r="F1225" s="8" t="str">
        <f>IF(B1225="","",VLOOKUP(B1225,小圆机汇总表!A:AP,5,FALSE))</f>
        <v/>
      </c>
      <c r="G1225" s="8" t="str">
        <f>IF(B1225="","",VLOOKUP(B1225,小圆机汇总表!A:AP,8,FALSE))</f>
        <v/>
      </c>
      <c r="P1225" s="8" t="str">
        <f t="shared" si="69"/>
        <v/>
      </c>
      <c r="R1225" s="250" t="str">
        <f t="shared" si="70"/>
        <v/>
      </c>
    </row>
    <row r="1226" spans="1:18">
      <c r="A1226" s="4">
        <v>1235</v>
      </c>
      <c r="C1226" s="8" t="str">
        <f>IF(B1226="","",VLOOKUP(B1226,经纬!B:C,2,FALSE))</f>
        <v/>
      </c>
      <c r="D1226" s="8" t="str">
        <f>IF(B1226="","",VLOOKUP(B1226,经纬!B:G,6,FALSE))</f>
        <v/>
      </c>
      <c r="F1226" s="8" t="str">
        <f>IF(B1226="","",VLOOKUP(B1226,小圆机汇总表!A:AP,5,FALSE))</f>
        <v/>
      </c>
      <c r="G1226" s="8" t="str">
        <f>IF(B1226="","",VLOOKUP(B1226,小圆机汇总表!A:AP,8,FALSE))</f>
        <v/>
      </c>
      <c r="P1226" s="8" t="str">
        <f t="shared" si="69"/>
        <v/>
      </c>
      <c r="R1226" s="250" t="str">
        <f t="shared" si="70"/>
        <v/>
      </c>
    </row>
    <row r="1227" spans="1:18">
      <c r="A1227" s="4">
        <v>1236</v>
      </c>
      <c r="C1227" s="8" t="str">
        <f>IF(B1227="","",VLOOKUP(B1227,经纬!B:C,2,FALSE))</f>
        <v/>
      </c>
      <c r="D1227" s="8" t="str">
        <f>IF(B1227="","",VLOOKUP(B1227,经纬!B:G,6,FALSE))</f>
        <v/>
      </c>
      <c r="F1227" s="8" t="str">
        <f>IF(B1227="","",VLOOKUP(B1227,小圆机汇总表!A:AP,5,FALSE))</f>
        <v/>
      </c>
      <c r="G1227" s="8" t="str">
        <f>IF(B1227="","",VLOOKUP(B1227,小圆机汇总表!A:AP,8,FALSE))</f>
        <v/>
      </c>
      <c r="P1227" s="8" t="str">
        <f t="shared" si="69"/>
        <v/>
      </c>
      <c r="R1227" s="250" t="str">
        <f t="shared" si="70"/>
        <v/>
      </c>
    </row>
    <row r="1228" spans="1:18">
      <c r="A1228" s="4">
        <v>1237</v>
      </c>
      <c r="C1228" s="8" t="str">
        <f>IF(B1228="","",VLOOKUP(B1228,经纬!B:C,2,FALSE))</f>
        <v/>
      </c>
      <c r="D1228" s="8" t="str">
        <f>IF(B1228="","",VLOOKUP(B1228,经纬!B:G,6,FALSE))</f>
        <v/>
      </c>
      <c r="F1228" s="8" t="str">
        <f>IF(B1228="","",VLOOKUP(B1228,小圆机汇总表!A:AP,5,FALSE))</f>
        <v/>
      </c>
      <c r="G1228" s="8" t="str">
        <f>IF(B1228="","",VLOOKUP(B1228,小圆机汇总表!A:AP,8,FALSE))</f>
        <v/>
      </c>
      <c r="P1228" s="8" t="str">
        <f t="shared" si="69"/>
        <v/>
      </c>
      <c r="R1228" s="250" t="str">
        <f t="shared" si="70"/>
        <v/>
      </c>
    </row>
    <row r="1229" spans="1:18">
      <c r="A1229" s="4">
        <v>1238</v>
      </c>
      <c r="C1229" s="8" t="str">
        <f>IF(B1229="","",VLOOKUP(B1229,经纬!B:C,2,FALSE))</f>
        <v/>
      </c>
      <c r="D1229" s="8" t="str">
        <f>IF(B1229="","",VLOOKUP(B1229,经纬!B:G,6,FALSE))</f>
        <v/>
      </c>
      <c r="F1229" s="8" t="str">
        <f>IF(B1229="","",VLOOKUP(B1229,小圆机汇总表!A:AP,5,FALSE))</f>
        <v/>
      </c>
      <c r="G1229" s="8" t="str">
        <f>IF(B1229="","",VLOOKUP(B1229,小圆机汇总表!A:AP,8,FALSE))</f>
        <v/>
      </c>
      <c r="P1229" s="8" t="str">
        <f t="shared" si="69"/>
        <v/>
      </c>
      <c r="R1229" s="250" t="str">
        <f t="shared" si="70"/>
        <v/>
      </c>
    </row>
    <row r="1230" spans="1:18">
      <c r="A1230" s="4">
        <v>1239</v>
      </c>
      <c r="C1230" s="8" t="str">
        <f>IF(B1230="","",VLOOKUP(B1230,经纬!B:C,2,FALSE))</f>
        <v/>
      </c>
      <c r="D1230" s="8" t="str">
        <f>IF(B1230="","",VLOOKUP(B1230,经纬!B:G,6,FALSE))</f>
        <v/>
      </c>
      <c r="F1230" s="8" t="str">
        <f>IF(B1230="","",VLOOKUP(B1230,小圆机汇总表!A:AP,5,FALSE))</f>
        <v/>
      </c>
      <c r="G1230" s="8" t="str">
        <f>IF(B1230="","",VLOOKUP(B1230,小圆机汇总表!A:AP,8,FALSE))</f>
        <v/>
      </c>
      <c r="P1230" s="8" t="str">
        <f t="shared" si="69"/>
        <v/>
      </c>
      <c r="R1230" s="250" t="str">
        <f t="shared" si="70"/>
        <v/>
      </c>
    </row>
    <row r="1231" spans="1:18">
      <c r="A1231" s="4">
        <v>1240</v>
      </c>
      <c r="C1231" s="8" t="str">
        <f>IF(B1231="","",VLOOKUP(B1231,经纬!B:C,2,FALSE))</f>
        <v/>
      </c>
      <c r="D1231" s="8" t="str">
        <f>IF(B1231="","",VLOOKUP(B1231,经纬!B:G,6,FALSE))</f>
        <v/>
      </c>
      <c r="F1231" s="8" t="str">
        <f>IF(B1231="","",VLOOKUP(B1231,小圆机汇总表!A:AP,5,FALSE))</f>
        <v/>
      </c>
      <c r="G1231" s="8" t="str">
        <f>IF(B1231="","",VLOOKUP(B1231,小圆机汇总表!A:AP,8,FALSE))</f>
        <v/>
      </c>
      <c r="P1231" s="8" t="str">
        <f t="shared" si="69"/>
        <v/>
      </c>
      <c r="R1231" s="250" t="str">
        <f t="shared" si="70"/>
        <v/>
      </c>
    </row>
    <row r="1232" spans="1:18">
      <c r="A1232" s="4">
        <v>1241</v>
      </c>
      <c r="C1232" s="8" t="str">
        <f>IF(B1232="","",VLOOKUP(B1232,经纬!B:C,2,FALSE))</f>
        <v/>
      </c>
      <c r="D1232" s="8" t="str">
        <f>IF(B1232="","",VLOOKUP(B1232,经纬!B:G,6,FALSE))</f>
        <v/>
      </c>
      <c r="F1232" s="8" t="str">
        <f>IF(B1232="","",VLOOKUP(B1232,小圆机汇总表!A:AP,5,FALSE))</f>
        <v/>
      </c>
      <c r="G1232" s="8" t="str">
        <f>IF(B1232="","",VLOOKUP(B1232,小圆机汇总表!A:AP,8,FALSE))</f>
        <v/>
      </c>
      <c r="P1232" s="8" t="str">
        <f t="shared" si="69"/>
        <v/>
      </c>
      <c r="R1232" s="250" t="str">
        <f t="shared" si="70"/>
        <v/>
      </c>
    </row>
    <row r="1233" spans="1:18">
      <c r="A1233" s="4">
        <v>1242</v>
      </c>
      <c r="C1233" s="8" t="str">
        <f>IF(B1233="","",VLOOKUP(B1233,经纬!B:C,2,FALSE))</f>
        <v/>
      </c>
      <c r="D1233" s="8" t="str">
        <f>IF(B1233="","",VLOOKUP(B1233,经纬!B:G,6,FALSE))</f>
        <v/>
      </c>
      <c r="F1233" s="8" t="str">
        <f>IF(B1233="","",VLOOKUP(B1233,小圆机汇总表!A:AP,5,FALSE))</f>
        <v/>
      </c>
      <c r="G1233" s="8" t="str">
        <f>IF(B1233="","",VLOOKUP(B1233,小圆机汇总表!A:AP,8,FALSE))</f>
        <v/>
      </c>
      <c r="P1233" s="8" t="str">
        <f t="shared" si="69"/>
        <v/>
      </c>
      <c r="R1233" s="250" t="str">
        <f t="shared" si="70"/>
        <v/>
      </c>
    </row>
    <row r="1234" spans="1:18">
      <c r="A1234" s="4">
        <v>1243</v>
      </c>
      <c r="C1234" s="8" t="str">
        <f>IF(B1234="","",VLOOKUP(B1234,经纬!B:C,2,FALSE))</f>
        <v/>
      </c>
      <c r="D1234" s="8" t="str">
        <f>IF(B1234="","",VLOOKUP(B1234,经纬!B:G,6,FALSE))</f>
        <v/>
      </c>
      <c r="F1234" s="8" t="str">
        <f>IF(B1234="","",VLOOKUP(B1234,小圆机汇总表!A:AP,5,FALSE))</f>
        <v/>
      </c>
      <c r="G1234" s="8" t="str">
        <f>IF(B1234="","",VLOOKUP(B1234,小圆机汇总表!A:AP,8,FALSE))</f>
        <v/>
      </c>
      <c r="P1234" s="8" t="str">
        <f t="shared" si="69"/>
        <v/>
      </c>
      <c r="R1234" s="250" t="str">
        <f t="shared" si="70"/>
        <v/>
      </c>
    </row>
    <row r="1235" spans="1:18">
      <c r="A1235" s="4">
        <v>1244</v>
      </c>
      <c r="C1235" s="8" t="str">
        <f>IF(B1235="","",VLOOKUP(B1235,经纬!B:C,2,FALSE))</f>
        <v/>
      </c>
      <c r="D1235" s="8" t="str">
        <f>IF(B1235="","",VLOOKUP(B1235,经纬!B:G,6,FALSE))</f>
        <v/>
      </c>
      <c r="F1235" s="8" t="str">
        <f>IF(B1235="","",VLOOKUP(B1235,小圆机汇总表!A:AP,5,FALSE))</f>
        <v/>
      </c>
      <c r="G1235" s="8" t="str">
        <f>IF(B1235="","",VLOOKUP(B1235,小圆机汇总表!A:AP,8,FALSE))</f>
        <v/>
      </c>
      <c r="P1235" s="8" t="str">
        <f t="shared" si="69"/>
        <v/>
      </c>
      <c r="R1235" s="250" t="str">
        <f t="shared" si="70"/>
        <v/>
      </c>
    </row>
    <row r="1236" spans="1:18">
      <c r="A1236" s="4">
        <v>1245</v>
      </c>
      <c r="C1236" s="8" t="str">
        <f>IF(B1236="","",VLOOKUP(B1236,经纬!B:C,2,FALSE))</f>
        <v/>
      </c>
      <c r="D1236" s="8" t="str">
        <f>IF(B1236="","",VLOOKUP(B1236,经纬!B:G,6,FALSE))</f>
        <v/>
      </c>
      <c r="F1236" s="8" t="str">
        <f>IF(B1236="","",VLOOKUP(B1236,小圆机汇总表!A:AP,5,FALSE))</f>
        <v/>
      </c>
      <c r="G1236" s="8" t="str">
        <f>IF(B1236="","",VLOOKUP(B1236,小圆机汇总表!A:AP,8,FALSE))</f>
        <v/>
      </c>
      <c r="P1236" s="8" t="str">
        <f t="shared" si="69"/>
        <v/>
      </c>
      <c r="R1236" s="250" t="str">
        <f t="shared" si="70"/>
        <v/>
      </c>
    </row>
    <row r="1237" spans="1:18">
      <c r="A1237" s="4">
        <v>1246</v>
      </c>
      <c r="C1237" s="8" t="str">
        <f>IF(B1237="","",VLOOKUP(B1237,经纬!B:C,2,FALSE))</f>
        <v/>
      </c>
      <c r="D1237" s="8" t="str">
        <f>IF(B1237="","",VLOOKUP(B1237,经纬!B:G,6,FALSE))</f>
        <v/>
      </c>
      <c r="F1237" s="8" t="str">
        <f>IF(B1237="","",VLOOKUP(B1237,小圆机汇总表!A:AP,5,FALSE))</f>
        <v/>
      </c>
      <c r="G1237" s="8" t="str">
        <f>IF(B1237="","",VLOOKUP(B1237,小圆机汇总表!A:AP,8,FALSE))</f>
        <v/>
      </c>
      <c r="P1237" s="8" t="str">
        <f t="shared" si="69"/>
        <v/>
      </c>
      <c r="R1237" s="250" t="str">
        <f t="shared" si="70"/>
        <v/>
      </c>
    </row>
    <row r="1238" spans="1:18">
      <c r="A1238" s="4">
        <v>1247</v>
      </c>
      <c r="C1238" s="8" t="str">
        <f>IF(B1238="","",VLOOKUP(B1238,经纬!B:C,2,FALSE))</f>
        <v/>
      </c>
      <c r="D1238" s="8" t="str">
        <f>IF(B1238="","",VLOOKUP(B1238,经纬!B:G,6,FALSE))</f>
        <v/>
      </c>
      <c r="F1238" s="8" t="str">
        <f>IF(B1238="","",VLOOKUP(B1238,小圆机汇总表!A:AP,5,FALSE))</f>
        <v/>
      </c>
      <c r="G1238" s="8" t="str">
        <f>IF(B1238="","",VLOOKUP(B1238,小圆机汇总表!A:AP,8,FALSE))</f>
        <v/>
      </c>
      <c r="P1238" s="8" t="str">
        <f t="shared" si="69"/>
        <v/>
      </c>
      <c r="R1238" s="250" t="str">
        <f t="shared" si="70"/>
        <v/>
      </c>
    </row>
    <row r="1239" spans="1:18">
      <c r="A1239" s="4">
        <v>1248</v>
      </c>
      <c r="C1239" s="8" t="str">
        <f>IF(B1239="","",VLOOKUP(B1239,经纬!B:C,2,FALSE))</f>
        <v/>
      </c>
      <c r="D1239" s="8" t="str">
        <f>IF(B1239="","",VLOOKUP(B1239,经纬!B:G,6,FALSE))</f>
        <v/>
      </c>
      <c r="F1239" s="8" t="str">
        <f>IF(B1239="","",VLOOKUP(B1239,小圆机汇总表!A:AP,5,FALSE))</f>
        <v/>
      </c>
      <c r="G1239" s="8" t="str">
        <f>IF(B1239="","",VLOOKUP(B1239,小圆机汇总表!A:AP,8,FALSE))</f>
        <v/>
      </c>
      <c r="P1239" s="8" t="str">
        <f t="shared" si="69"/>
        <v/>
      </c>
      <c r="R1239" s="250" t="str">
        <f t="shared" si="70"/>
        <v/>
      </c>
    </row>
    <row r="1240" spans="1:18">
      <c r="A1240" s="4">
        <v>1249</v>
      </c>
      <c r="C1240" s="8" t="str">
        <f>IF(B1240="","",VLOOKUP(B1240,经纬!B:C,2,FALSE))</f>
        <v/>
      </c>
      <c r="D1240" s="8" t="str">
        <f>IF(B1240="","",VLOOKUP(B1240,经纬!B:G,6,FALSE))</f>
        <v/>
      </c>
      <c r="F1240" s="8" t="str">
        <f>IF(B1240="","",VLOOKUP(B1240,小圆机汇总表!A:AP,5,FALSE))</f>
        <v/>
      </c>
      <c r="G1240" s="8" t="str">
        <f>IF(B1240="","",VLOOKUP(B1240,小圆机汇总表!A:AP,8,FALSE))</f>
        <v/>
      </c>
      <c r="P1240" s="8" t="str">
        <f t="shared" si="69"/>
        <v/>
      </c>
      <c r="R1240" s="250" t="str">
        <f t="shared" si="70"/>
        <v/>
      </c>
    </row>
    <row r="1241" spans="1:18">
      <c r="A1241" s="4">
        <v>1250</v>
      </c>
      <c r="C1241" s="8" t="str">
        <f>IF(B1241="","",VLOOKUP(B1241,经纬!B:C,2,FALSE))</f>
        <v/>
      </c>
      <c r="D1241" s="8" t="str">
        <f>IF(B1241="","",VLOOKUP(B1241,经纬!B:G,6,FALSE))</f>
        <v/>
      </c>
      <c r="F1241" s="8" t="str">
        <f>IF(B1241="","",VLOOKUP(B1241,小圆机汇总表!A:AP,5,FALSE))</f>
        <v/>
      </c>
      <c r="G1241" s="8" t="str">
        <f>IF(B1241="","",VLOOKUP(B1241,小圆机汇总表!A:AP,8,FALSE))</f>
        <v/>
      </c>
      <c r="P1241" s="8" t="str">
        <f t="shared" si="69"/>
        <v/>
      </c>
      <c r="R1241" s="250" t="str">
        <f t="shared" si="70"/>
        <v/>
      </c>
    </row>
    <row r="1242" spans="1:18">
      <c r="A1242" s="4">
        <v>1251</v>
      </c>
      <c r="C1242" s="8" t="str">
        <f>IF(B1242="","",VLOOKUP(B1242,经纬!B:C,2,FALSE))</f>
        <v/>
      </c>
      <c r="D1242" s="8" t="str">
        <f>IF(B1242="","",VLOOKUP(B1242,经纬!B:G,6,FALSE))</f>
        <v/>
      </c>
      <c r="F1242" s="8" t="str">
        <f>IF(B1242="","",VLOOKUP(B1242,小圆机汇总表!A:AP,5,FALSE))</f>
        <v/>
      </c>
      <c r="G1242" s="8" t="str">
        <f>IF(B1242="","",VLOOKUP(B1242,小圆机汇总表!A:AP,8,FALSE))</f>
        <v/>
      </c>
      <c r="P1242" s="8" t="str">
        <f t="shared" ref="P1242:P1305" si="71">IF(B1242="","",MONTH(I1242))</f>
        <v/>
      </c>
      <c r="R1242" s="250" t="str">
        <f t="shared" si="70"/>
        <v/>
      </c>
    </row>
    <row r="1243" spans="1:18">
      <c r="A1243" s="4">
        <v>1252</v>
      </c>
      <c r="C1243" s="8" t="str">
        <f>IF(B1243="","",VLOOKUP(B1243,经纬!B:C,2,FALSE))</f>
        <v/>
      </c>
      <c r="D1243" s="8" t="str">
        <f>IF(B1243="","",VLOOKUP(B1243,经纬!B:G,6,FALSE))</f>
        <v/>
      </c>
      <c r="F1243" s="8" t="str">
        <f>IF(B1243="","",VLOOKUP(B1243,小圆机汇总表!A:AP,5,FALSE))</f>
        <v/>
      </c>
      <c r="G1243" s="8" t="str">
        <f>IF(B1243="","",VLOOKUP(B1243,小圆机汇总表!A:AP,8,FALSE))</f>
        <v/>
      </c>
      <c r="P1243" s="8" t="str">
        <f t="shared" si="71"/>
        <v/>
      </c>
      <c r="R1243" s="250" t="str">
        <f t="shared" si="70"/>
        <v/>
      </c>
    </row>
    <row r="1244" spans="1:18">
      <c r="A1244" s="4">
        <v>1253</v>
      </c>
      <c r="C1244" s="8" t="str">
        <f>IF(B1244="","",VLOOKUP(B1244,经纬!B:C,2,FALSE))</f>
        <v/>
      </c>
      <c r="D1244" s="8" t="str">
        <f>IF(B1244="","",VLOOKUP(B1244,经纬!B:G,6,FALSE))</f>
        <v/>
      </c>
      <c r="F1244" s="8" t="str">
        <f>IF(B1244="","",VLOOKUP(B1244,小圆机汇总表!A:AP,5,FALSE))</f>
        <v/>
      </c>
      <c r="G1244" s="8" t="str">
        <f>IF(B1244="","",VLOOKUP(B1244,小圆机汇总表!A:AP,8,FALSE))</f>
        <v/>
      </c>
      <c r="P1244" s="8" t="str">
        <f t="shared" si="71"/>
        <v/>
      </c>
      <c r="R1244" s="250" t="str">
        <f t="shared" si="70"/>
        <v/>
      </c>
    </row>
    <row r="1245" spans="1:18">
      <c r="A1245" s="4">
        <v>1254</v>
      </c>
      <c r="C1245" s="8" t="str">
        <f>IF(B1245="","",VLOOKUP(B1245,经纬!B:C,2,FALSE))</f>
        <v/>
      </c>
      <c r="D1245" s="8" t="str">
        <f>IF(B1245="","",VLOOKUP(B1245,经纬!B:G,6,FALSE))</f>
        <v/>
      </c>
      <c r="F1245" s="8" t="str">
        <f>IF(B1245="","",VLOOKUP(B1245,小圆机汇总表!A:AP,5,FALSE))</f>
        <v/>
      </c>
      <c r="G1245" s="8" t="str">
        <f>IF(B1245="","",VLOOKUP(B1245,小圆机汇总表!A:AP,8,FALSE))</f>
        <v/>
      </c>
      <c r="P1245" s="8" t="str">
        <f t="shared" si="71"/>
        <v/>
      </c>
      <c r="R1245" s="250" t="str">
        <f t="shared" si="70"/>
        <v/>
      </c>
    </row>
    <row r="1246" spans="1:18">
      <c r="A1246" s="4">
        <v>1255</v>
      </c>
      <c r="C1246" s="8" t="str">
        <f>IF(B1246="","",VLOOKUP(B1246,经纬!B:C,2,FALSE))</f>
        <v/>
      </c>
      <c r="D1246" s="8" t="str">
        <f>IF(B1246="","",VLOOKUP(B1246,经纬!B:G,6,FALSE))</f>
        <v/>
      </c>
      <c r="F1246" s="8" t="str">
        <f>IF(B1246="","",VLOOKUP(B1246,小圆机汇总表!A:AP,5,FALSE))</f>
        <v/>
      </c>
      <c r="G1246" s="8" t="str">
        <f>IF(B1246="","",VLOOKUP(B1246,小圆机汇总表!A:AP,8,FALSE))</f>
        <v/>
      </c>
      <c r="P1246" s="8" t="str">
        <f t="shared" si="71"/>
        <v/>
      </c>
      <c r="R1246" s="250" t="str">
        <f t="shared" si="70"/>
        <v/>
      </c>
    </row>
    <row r="1247" spans="1:18">
      <c r="A1247" s="4">
        <v>1256</v>
      </c>
      <c r="C1247" s="8" t="str">
        <f>IF(B1247="","",VLOOKUP(B1247,经纬!B:C,2,FALSE))</f>
        <v/>
      </c>
      <c r="D1247" s="8" t="str">
        <f>IF(B1247="","",VLOOKUP(B1247,经纬!B:G,6,FALSE))</f>
        <v/>
      </c>
      <c r="F1247" s="8" t="str">
        <f>IF(B1247="","",VLOOKUP(B1247,小圆机汇总表!A:AP,5,FALSE))</f>
        <v/>
      </c>
      <c r="G1247" s="8" t="str">
        <f>IF(B1247="","",VLOOKUP(B1247,小圆机汇总表!A:AP,8,FALSE))</f>
        <v/>
      </c>
      <c r="P1247" s="8" t="str">
        <f t="shared" si="71"/>
        <v/>
      </c>
      <c r="R1247" s="250" t="str">
        <f t="shared" si="70"/>
        <v/>
      </c>
    </row>
    <row r="1248" spans="1:18">
      <c r="A1248" s="4">
        <v>1257</v>
      </c>
      <c r="C1248" s="8" t="str">
        <f>IF(B1248="","",VLOOKUP(B1248,经纬!B:C,2,FALSE))</f>
        <v/>
      </c>
      <c r="D1248" s="8" t="str">
        <f>IF(B1248="","",VLOOKUP(B1248,经纬!B:G,6,FALSE))</f>
        <v/>
      </c>
      <c r="F1248" s="8" t="str">
        <f>IF(B1248="","",VLOOKUP(B1248,小圆机汇总表!A:AP,5,FALSE))</f>
        <v/>
      </c>
      <c r="G1248" s="8" t="str">
        <f>IF(B1248="","",VLOOKUP(B1248,小圆机汇总表!A:AP,8,FALSE))</f>
        <v/>
      </c>
      <c r="P1248" s="8" t="str">
        <f t="shared" si="71"/>
        <v/>
      </c>
      <c r="R1248" s="250" t="str">
        <f t="shared" si="70"/>
        <v/>
      </c>
    </row>
    <row r="1249" spans="1:18">
      <c r="A1249" s="4">
        <v>1258</v>
      </c>
      <c r="C1249" s="8" t="str">
        <f>IF(B1249="","",VLOOKUP(B1249,经纬!B:C,2,FALSE))</f>
        <v/>
      </c>
      <c r="D1249" s="8" t="str">
        <f>IF(B1249="","",VLOOKUP(B1249,经纬!B:G,6,FALSE))</f>
        <v/>
      </c>
      <c r="F1249" s="8" t="str">
        <f>IF(B1249="","",VLOOKUP(B1249,小圆机汇总表!A:AP,5,FALSE))</f>
        <v/>
      </c>
      <c r="G1249" s="8" t="str">
        <f>IF(B1249="","",VLOOKUP(B1249,小圆机汇总表!A:AP,8,FALSE))</f>
        <v/>
      </c>
      <c r="P1249" s="8" t="str">
        <f t="shared" si="71"/>
        <v/>
      </c>
      <c r="R1249" s="250" t="str">
        <f t="shared" si="70"/>
        <v/>
      </c>
    </row>
    <row r="1250" spans="1:18">
      <c r="A1250" s="4">
        <v>1259</v>
      </c>
      <c r="C1250" s="8" t="str">
        <f>IF(B1250="","",VLOOKUP(B1250,经纬!B:C,2,FALSE))</f>
        <v/>
      </c>
      <c r="D1250" s="8" t="str">
        <f>IF(B1250="","",VLOOKUP(B1250,经纬!B:G,6,FALSE))</f>
        <v/>
      </c>
      <c r="F1250" s="8" t="str">
        <f>IF(B1250="","",VLOOKUP(B1250,小圆机汇总表!A:AP,5,FALSE))</f>
        <v/>
      </c>
      <c r="G1250" s="8" t="str">
        <f>IF(B1250="","",VLOOKUP(B1250,小圆机汇总表!A:AP,8,FALSE))</f>
        <v/>
      </c>
      <c r="P1250" s="8" t="str">
        <f t="shared" si="71"/>
        <v/>
      </c>
      <c r="R1250" s="250" t="str">
        <f t="shared" si="70"/>
        <v/>
      </c>
    </row>
    <row r="1251" spans="1:18">
      <c r="A1251" s="4">
        <v>1260</v>
      </c>
      <c r="C1251" s="8" t="str">
        <f>IF(B1251="","",VLOOKUP(B1251,经纬!B:C,2,FALSE))</f>
        <v/>
      </c>
      <c r="D1251" s="8" t="str">
        <f>IF(B1251="","",VLOOKUP(B1251,经纬!B:G,6,FALSE))</f>
        <v/>
      </c>
      <c r="F1251" s="8" t="str">
        <f>IF(B1251="","",VLOOKUP(B1251,小圆机汇总表!A:AP,5,FALSE))</f>
        <v/>
      </c>
      <c r="G1251" s="8" t="str">
        <f>IF(B1251="","",VLOOKUP(B1251,小圆机汇总表!A:AP,8,FALSE))</f>
        <v/>
      </c>
      <c r="P1251" s="8" t="str">
        <f t="shared" si="71"/>
        <v/>
      </c>
      <c r="R1251" s="250" t="str">
        <f t="shared" si="70"/>
        <v/>
      </c>
    </row>
    <row r="1252" spans="1:18">
      <c r="A1252" s="4">
        <v>1261</v>
      </c>
      <c r="C1252" s="8" t="str">
        <f>IF(B1252="","",VLOOKUP(B1252,经纬!B:C,2,FALSE))</f>
        <v/>
      </c>
      <c r="D1252" s="8" t="str">
        <f>IF(B1252="","",VLOOKUP(B1252,经纬!B:G,6,FALSE))</f>
        <v/>
      </c>
      <c r="F1252" s="8" t="str">
        <f>IF(B1252="","",VLOOKUP(B1252,小圆机汇总表!A:AP,5,FALSE))</f>
        <v/>
      </c>
      <c r="G1252" s="8" t="str">
        <f>IF(B1252="","",VLOOKUP(B1252,小圆机汇总表!A:AP,8,FALSE))</f>
        <v/>
      </c>
      <c r="P1252" s="8" t="str">
        <f t="shared" si="71"/>
        <v/>
      </c>
      <c r="R1252" s="250" t="str">
        <f t="shared" si="70"/>
        <v/>
      </c>
    </row>
    <row r="1253" spans="1:18">
      <c r="A1253" s="4">
        <v>1262</v>
      </c>
      <c r="C1253" s="8" t="str">
        <f>IF(B1253="","",VLOOKUP(B1253,经纬!B:C,2,FALSE))</f>
        <v/>
      </c>
      <c r="D1253" s="8" t="str">
        <f>IF(B1253="","",VLOOKUP(B1253,经纬!B:G,6,FALSE))</f>
        <v/>
      </c>
      <c r="F1253" s="8" t="str">
        <f>IF(B1253="","",VLOOKUP(B1253,小圆机汇总表!A:AP,5,FALSE))</f>
        <v/>
      </c>
      <c r="G1253" s="8" t="str">
        <f>IF(B1253="","",VLOOKUP(B1253,小圆机汇总表!A:AP,8,FALSE))</f>
        <v/>
      </c>
      <c r="P1253" s="8" t="str">
        <f t="shared" si="71"/>
        <v/>
      </c>
      <c r="R1253" s="250" t="str">
        <f t="shared" si="70"/>
        <v/>
      </c>
    </row>
    <row r="1254" spans="1:18">
      <c r="A1254" s="4">
        <v>1263</v>
      </c>
      <c r="C1254" s="8" t="str">
        <f>IF(B1254="","",VLOOKUP(B1254,经纬!B:C,2,FALSE))</f>
        <v/>
      </c>
      <c r="D1254" s="8" t="str">
        <f>IF(B1254="","",VLOOKUP(B1254,经纬!B:G,6,FALSE))</f>
        <v/>
      </c>
      <c r="F1254" s="8" t="str">
        <f>IF(B1254="","",VLOOKUP(B1254,小圆机汇总表!A:AP,5,FALSE))</f>
        <v/>
      </c>
      <c r="G1254" s="8" t="str">
        <f>IF(B1254="","",VLOOKUP(B1254,小圆机汇总表!A:AP,8,FALSE))</f>
        <v/>
      </c>
      <c r="P1254" s="8" t="str">
        <f t="shared" si="71"/>
        <v/>
      </c>
      <c r="R1254" s="250" t="str">
        <f t="shared" si="70"/>
        <v/>
      </c>
    </row>
    <row r="1255" spans="1:18">
      <c r="A1255" s="4">
        <v>1264</v>
      </c>
      <c r="C1255" s="8" t="str">
        <f>IF(B1255="","",VLOOKUP(B1255,经纬!B:C,2,FALSE))</f>
        <v/>
      </c>
      <c r="D1255" s="8" t="str">
        <f>IF(B1255="","",VLOOKUP(B1255,经纬!B:G,6,FALSE))</f>
        <v/>
      </c>
      <c r="F1255" s="8" t="str">
        <f>IF(B1255="","",VLOOKUP(B1255,小圆机汇总表!A:AP,5,FALSE))</f>
        <v/>
      </c>
      <c r="G1255" s="8" t="str">
        <f>IF(B1255="","",VLOOKUP(B1255,小圆机汇总表!A:AP,8,FALSE))</f>
        <v/>
      </c>
      <c r="P1255" s="8" t="str">
        <f t="shared" si="71"/>
        <v/>
      </c>
      <c r="R1255" s="250" t="str">
        <f t="shared" si="70"/>
        <v/>
      </c>
    </row>
    <row r="1256" spans="1:18">
      <c r="A1256" s="4">
        <v>1265</v>
      </c>
      <c r="C1256" s="8" t="str">
        <f>IF(B1256="","",VLOOKUP(B1256,经纬!B:C,2,FALSE))</f>
        <v/>
      </c>
      <c r="D1256" s="8" t="str">
        <f>IF(B1256="","",VLOOKUP(B1256,经纬!B:G,6,FALSE))</f>
        <v/>
      </c>
      <c r="F1256" s="8" t="str">
        <f>IF(B1256="","",VLOOKUP(B1256,小圆机汇总表!A:AP,5,FALSE))</f>
        <v/>
      </c>
      <c r="G1256" s="8" t="str">
        <f>IF(B1256="","",VLOOKUP(B1256,小圆机汇总表!A:AP,8,FALSE))</f>
        <v/>
      </c>
      <c r="P1256" s="8" t="str">
        <f t="shared" si="71"/>
        <v/>
      </c>
      <c r="R1256" s="250" t="str">
        <f t="shared" si="70"/>
        <v/>
      </c>
    </row>
    <row r="1257" spans="1:18">
      <c r="A1257" s="4">
        <v>1266</v>
      </c>
      <c r="C1257" s="8" t="str">
        <f>IF(B1257="","",VLOOKUP(B1257,经纬!B:C,2,FALSE))</f>
        <v/>
      </c>
      <c r="D1257" s="8" t="str">
        <f>IF(B1257="","",VLOOKUP(B1257,经纬!B:G,6,FALSE))</f>
        <v/>
      </c>
      <c r="F1257" s="8" t="str">
        <f>IF(B1257="","",VLOOKUP(B1257,小圆机汇总表!A:AP,5,FALSE))</f>
        <v/>
      </c>
      <c r="G1257" s="8" t="str">
        <f>IF(B1257="","",VLOOKUP(B1257,小圆机汇总表!A:AP,8,FALSE))</f>
        <v/>
      </c>
      <c r="P1257" s="8" t="str">
        <f t="shared" si="71"/>
        <v/>
      </c>
      <c r="R1257" s="250" t="str">
        <f t="shared" si="70"/>
        <v/>
      </c>
    </row>
    <row r="1258" spans="1:18">
      <c r="A1258" s="4">
        <v>1267</v>
      </c>
      <c r="C1258" s="8" t="str">
        <f>IF(B1258="","",VLOOKUP(B1258,经纬!B:C,2,FALSE))</f>
        <v/>
      </c>
      <c r="D1258" s="8" t="str">
        <f>IF(B1258="","",VLOOKUP(B1258,经纬!B:G,6,FALSE))</f>
        <v/>
      </c>
      <c r="F1258" s="8" t="str">
        <f>IF(B1258="","",VLOOKUP(B1258,小圆机汇总表!A:AP,5,FALSE))</f>
        <v/>
      </c>
      <c r="G1258" s="8" t="str">
        <f>IF(B1258="","",VLOOKUP(B1258,小圆机汇总表!A:AP,8,FALSE))</f>
        <v/>
      </c>
      <c r="P1258" s="8" t="str">
        <f t="shared" si="71"/>
        <v/>
      </c>
      <c r="R1258" s="250" t="str">
        <f t="shared" si="70"/>
        <v/>
      </c>
    </row>
    <row r="1259" spans="1:18">
      <c r="A1259" s="4">
        <v>1268</v>
      </c>
      <c r="C1259" s="8" t="str">
        <f>IF(B1259="","",VLOOKUP(B1259,经纬!B:C,2,FALSE))</f>
        <v/>
      </c>
      <c r="D1259" s="8" t="str">
        <f>IF(B1259="","",VLOOKUP(B1259,经纬!B:G,6,FALSE))</f>
        <v/>
      </c>
      <c r="F1259" s="8" t="str">
        <f>IF(B1259="","",VLOOKUP(B1259,小圆机汇总表!A:AP,5,FALSE))</f>
        <v/>
      </c>
      <c r="G1259" s="8" t="str">
        <f>IF(B1259="","",VLOOKUP(B1259,小圆机汇总表!A:AP,8,FALSE))</f>
        <v/>
      </c>
      <c r="P1259" s="8" t="str">
        <f t="shared" si="71"/>
        <v/>
      </c>
      <c r="R1259" s="250" t="str">
        <f t="shared" si="70"/>
        <v/>
      </c>
    </row>
    <row r="1260" spans="1:18">
      <c r="A1260" s="4">
        <v>1269</v>
      </c>
      <c r="C1260" s="8" t="str">
        <f>IF(B1260="","",VLOOKUP(B1260,经纬!B:C,2,FALSE))</f>
        <v/>
      </c>
      <c r="D1260" s="8" t="str">
        <f>IF(B1260="","",VLOOKUP(B1260,经纬!B:G,6,FALSE))</f>
        <v/>
      </c>
      <c r="F1260" s="8" t="str">
        <f>IF(B1260="","",VLOOKUP(B1260,小圆机汇总表!A:AP,5,FALSE))</f>
        <v/>
      </c>
      <c r="G1260" s="8" t="str">
        <f>IF(B1260="","",VLOOKUP(B1260,小圆机汇总表!A:AP,8,FALSE))</f>
        <v/>
      </c>
      <c r="P1260" s="8" t="str">
        <f t="shared" si="71"/>
        <v/>
      </c>
      <c r="R1260" s="250" t="str">
        <f t="shared" si="70"/>
        <v/>
      </c>
    </row>
    <row r="1261" spans="1:18">
      <c r="A1261" s="4">
        <v>1270</v>
      </c>
      <c r="C1261" s="8" t="str">
        <f>IF(B1261="","",VLOOKUP(B1261,经纬!B:C,2,FALSE))</f>
        <v/>
      </c>
      <c r="D1261" s="8" t="str">
        <f>IF(B1261="","",VLOOKUP(B1261,经纬!B:G,6,FALSE))</f>
        <v/>
      </c>
      <c r="F1261" s="8" t="str">
        <f>IF(B1261="","",VLOOKUP(B1261,小圆机汇总表!A:AP,5,FALSE))</f>
        <v/>
      </c>
      <c r="G1261" s="8" t="str">
        <f>IF(B1261="","",VLOOKUP(B1261,小圆机汇总表!A:AP,8,FALSE))</f>
        <v/>
      </c>
      <c r="P1261" s="8" t="str">
        <f t="shared" si="71"/>
        <v/>
      </c>
      <c r="R1261" s="250" t="str">
        <f t="shared" si="70"/>
        <v/>
      </c>
    </row>
    <row r="1262" spans="1:18">
      <c r="A1262" s="4">
        <v>1271</v>
      </c>
      <c r="C1262" s="8" t="str">
        <f>IF(B1262="","",VLOOKUP(B1262,经纬!B:C,2,FALSE))</f>
        <v/>
      </c>
      <c r="D1262" s="8" t="str">
        <f>IF(B1262="","",VLOOKUP(B1262,经纬!B:G,6,FALSE))</f>
        <v/>
      </c>
      <c r="F1262" s="8" t="str">
        <f>IF(B1262="","",VLOOKUP(B1262,小圆机汇总表!A:AP,5,FALSE))</f>
        <v/>
      </c>
      <c r="G1262" s="8" t="str">
        <f>IF(B1262="","",VLOOKUP(B1262,小圆机汇总表!A:AP,8,FALSE))</f>
        <v/>
      </c>
      <c r="P1262" s="8" t="str">
        <f t="shared" si="71"/>
        <v/>
      </c>
      <c r="R1262" s="250" t="str">
        <f t="shared" si="70"/>
        <v/>
      </c>
    </row>
    <row r="1263" spans="1:18">
      <c r="A1263" s="4">
        <v>1272</v>
      </c>
      <c r="C1263" s="8" t="str">
        <f>IF(B1263="","",VLOOKUP(B1263,经纬!B:C,2,FALSE))</f>
        <v/>
      </c>
      <c r="D1263" s="8" t="str">
        <f>IF(B1263="","",VLOOKUP(B1263,经纬!B:G,6,FALSE))</f>
        <v/>
      </c>
      <c r="F1263" s="8" t="str">
        <f>IF(B1263="","",VLOOKUP(B1263,小圆机汇总表!A:AP,5,FALSE))</f>
        <v/>
      </c>
      <c r="G1263" s="8" t="str">
        <f>IF(B1263="","",VLOOKUP(B1263,小圆机汇总表!A:AP,8,FALSE))</f>
        <v/>
      </c>
      <c r="P1263" s="8" t="str">
        <f t="shared" si="71"/>
        <v/>
      </c>
      <c r="R1263" s="250" t="str">
        <f t="shared" si="70"/>
        <v/>
      </c>
    </row>
    <row r="1264" spans="1:18">
      <c r="A1264" s="4">
        <v>1273</v>
      </c>
      <c r="C1264" s="8" t="str">
        <f>IF(B1264="","",VLOOKUP(B1264,经纬!B:C,2,FALSE))</f>
        <v/>
      </c>
      <c r="D1264" s="8" t="str">
        <f>IF(B1264="","",VLOOKUP(B1264,经纬!B:G,6,FALSE))</f>
        <v/>
      </c>
      <c r="F1264" s="8" t="str">
        <f>IF(B1264="","",VLOOKUP(B1264,小圆机汇总表!A:AP,5,FALSE))</f>
        <v/>
      </c>
      <c r="G1264" s="8" t="str">
        <f>IF(B1264="","",VLOOKUP(B1264,小圆机汇总表!A:AP,8,FALSE))</f>
        <v/>
      </c>
      <c r="P1264" s="8" t="str">
        <f t="shared" si="71"/>
        <v/>
      </c>
      <c r="R1264" s="250" t="str">
        <f t="shared" si="70"/>
        <v/>
      </c>
    </row>
    <row r="1265" spans="1:18">
      <c r="A1265" s="4">
        <v>1274</v>
      </c>
      <c r="C1265" s="8" t="str">
        <f>IF(B1265="","",VLOOKUP(B1265,经纬!B:C,2,FALSE))</f>
        <v/>
      </c>
      <c r="D1265" s="8" t="str">
        <f>IF(B1265="","",VLOOKUP(B1265,经纬!B:G,6,FALSE))</f>
        <v/>
      </c>
      <c r="F1265" s="8" t="str">
        <f>IF(B1265="","",VLOOKUP(B1265,小圆机汇总表!A:AP,5,FALSE))</f>
        <v/>
      </c>
      <c r="G1265" s="8" t="str">
        <f>IF(B1265="","",VLOOKUP(B1265,小圆机汇总表!A:AP,8,FALSE))</f>
        <v/>
      </c>
      <c r="P1265" s="8" t="str">
        <f t="shared" si="71"/>
        <v/>
      </c>
      <c r="R1265" s="250" t="str">
        <f t="shared" si="70"/>
        <v/>
      </c>
    </row>
    <row r="1266" spans="1:18">
      <c r="A1266" s="4">
        <v>1275</v>
      </c>
      <c r="C1266" s="8" t="str">
        <f>IF(B1266="","",VLOOKUP(B1266,经纬!B:C,2,FALSE))</f>
        <v/>
      </c>
      <c r="D1266" s="8" t="str">
        <f>IF(B1266="","",VLOOKUP(B1266,经纬!B:G,6,FALSE))</f>
        <v/>
      </c>
      <c r="F1266" s="8" t="str">
        <f>IF(B1266="","",VLOOKUP(B1266,小圆机汇总表!A:AP,5,FALSE))</f>
        <v/>
      </c>
      <c r="G1266" s="8" t="str">
        <f>IF(B1266="","",VLOOKUP(B1266,小圆机汇总表!A:AP,8,FALSE))</f>
        <v/>
      </c>
      <c r="P1266" s="8" t="str">
        <f t="shared" si="71"/>
        <v/>
      </c>
      <c r="R1266" s="250" t="str">
        <f t="shared" si="70"/>
        <v/>
      </c>
    </row>
    <row r="1267" spans="1:18">
      <c r="A1267" s="4">
        <v>1276</v>
      </c>
      <c r="C1267" s="8" t="str">
        <f>IF(B1267="","",VLOOKUP(B1267,经纬!B:C,2,FALSE))</f>
        <v/>
      </c>
      <c r="D1267" s="8" t="str">
        <f>IF(B1267="","",VLOOKUP(B1267,经纬!B:G,6,FALSE))</f>
        <v/>
      </c>
      <c r="F1267" s="8" t="str">
        <f>IF(B1267="","",VLOOKUP(B1267,小圆机汇总表!A:AP,5,FALSE))</f>
        <v/>
      </c>
      <c r="G1267" s="8" t="str">
        <f>IF(B1267="","",VLOOKUP(B1267,小圆机汇总表!A:AP,8,FALSE))</f>
        <v/>
      </c>
      <c r="P1267" s="8" t="str">
        <f t="shared" si="71"/>
        <v/>
      </c>
      <c r="R1267" s="250" t="str">
        <f t="shared" si="70"/>
        <v/>
      </c>
    </row>
    <row r="1268" spans="1:18">
      <c r="A1268" s="4">
        <v>1277</v>
      </c>
      <c r="C1268" s="8" t="str">
        <f>IF(B1268="","",VLOOKUP(B1268,经纬!B:C,2,FALSE))</f>
        <v/>
      </c>
      <c r="D1268" s="8" t="str">
        <f>IF(B1268="","",VLOOKUP(B1268,经纬!B:G,6,FALSE))</f>
        <v/>
      </c>
      <c r="F1268" s="8" t="str">
        <f>IF(B1268="","",VLOOKUP(B1268,小圆机汇总表!A:AP,5,FALSE))</f>
        <v/>
      </c>
      <c r="G1268" s="8" t="str">
        <f>IF(B1268="","",VLOOKUP(B1268,小圆机汇总表!A:AP,8,FALSE))</f>
        <v/>
      </c>
      <c r="P1268" s="8" t="str">
        <f t="shared" si="71"/>
        <v/>
      </c>
      <c r="R1268" s="250" t="str">
        <f t="shared" si="70"/>
        <v/>
      </c>
    </row>
    <row r="1269" spans="1:18">
      <c r="A1269" s="4">
        <v>1278</v>
      </c>
      <c r="C1269" s="8" t="str">
        <f>IF(B1269="","",VLOOKUP(B1269,经纬!B:C,2,FALSE))</f>
        <v/>
      </c>
      <c r="D1269" s="8" t="str">
        <f>IF(B1269="","",VLOOKUP(B1269,经纬!B:G,6,FALSE))</f>
        <v/>
      </c>
      <c r="F1269" s="8" t="str">
        <f>IF(B1269="","",VLOOKUP(B1269,小圆机汇总表!A:AP,5,FALSE))</f>
        <v/>
      </c>
      <c r="G1269" s="8" t="str">
        <f>IF(B1269="","",VLOOKUP(B1269,小圆机汇总表!A:AP,8,FALSE))</f>
        <v/>
      </c>
      <c r="P1269" s="8" t="str">
        <f t="shared" si="71"/>
        <v/>
      </c>
      <c r="R1269" s="250" t="str">
        <f t="shared" si="70"/>
        <v/>
      </c>
    </row>
    <row r="1270" spans="1:18">
      <c r="A1270" s="4">
        <v>1279</v>
      </c>
      <c r="C1270" s="8" t="str">
        <f>IF(B1270="","",VLOOKUP(B1270,经纬!B:C,2,FALSE))</f>
        <v/>
      </c>
      <c r="D1270" s="8" t="str">
        <f>IF(B1270="","",VLOOKUP(B1270,经纬!B:G,6,FALSE))</f>
        <v/>
      </c>
      <c r="F1270" s="8" t="str">
        <f>IF(B1270="","",VLOOKUP(B1270,小圆机汇总表!A:AP,5,FALSE))</f>
        <v/>
      </c>
      <c r="G1270" s="8" t="str">
        <f>IF(B1270="","",VLOOKUP(B1270,小圆机汇总表!A:AP,8,FALSE))</f>
        <v/>
      </c>
      <c r="P1270" s="8" t="str">
        <f t="shared" si="71"/>
        <v/>
      </c>
      <c r="R1270" s="250" t="str">
        <f t="shared" si="70"/>
        <v/>
      </c>
    </row>
    <row r="1271" spans="1:18">
      <c r="A1271" s="4">
        <v>1280</v>
      </c>
      <c r="C1271" s="8" t="str">
        <f>IF(B1271="","",VLOOKUP(B1271,经纬!B:C,2,FALSE))</f>
        <v/>
      </c>
      <c r="D1271" s="8" t="str">
        <f>IF(B1271="","",VLOOKUP(B1271,经纬!B:G,6,FALSE))</f>
        <v/>
      </c>
      <c r="F1271" s="8" t="str">
        <f>IF(B1271="","",VLOOKUP(B1271,小圆机汇总表!A:AP,5,FALSE))</f>
        <v/>
      </c>
      <c r="G1271" s="8" t="str">
        <f>IF(B1271="","",VLOOKUP(B1271,小圆机汇总表!A:AP,8,FALSE))</f>
        <v/>
      </c>
      <c r="P1271" s="8" t="str">
        <f t="shared" si="71"/>
        <v/>
      </c>
      <c r="R1271" s="250" t="str">
        <f t="shared" si="70"/>
        <v/>
      </c>
    </row>
    <row r="1272" spans="1:18">
      <c r="A1272" s="4">
        <v>1281</v>
      </c>
      <c r="C1272" s="8" t="str">
        <f>IF(B1272="","",VLOOKUP(B1272,经纬!B:C,2,FALSE))</f>
        <v/>
      </c>
      <c r="D1272" s="8" t="str">
        <f>IF(B1272="","",VLOOKUP(B1272,经纬!B:G,6,FALSE))</f>
        <v/>
      </c>
      <c r="F1272" s="8" t="str">
        <f>IF(B1272="","",VLOOKUP(B1272,小圆机汇总表!A:AP,5,FALSE))</f>
        <v/>
      </c>
      <c r="G1272" s="8" t="str">
        <f>IF(B1272="","",VLOOKUP(B1272,小圆机汇总表!A:AP,8,FALSE))</f>
        <v/>
      </c>
      <c r="P1272" s="8" t="str">
        <f t="shared" si="71"/>
        <v/>
      </c>
      <c r="R1272" s="250" t="str">
        <f t="shared" si="70"/>
        <v/>
      </c>
    </row>
    <row r="1273" spans="1:18">
      <c r="A1273" s="4">
        <v>1282</v>
      </c>
      <c r="C1273" s="8" t="str">
        <f>IF(B1273="","",VLOOKUP(B1273,经纬!B:C,2,FALSE))</f>
        <v/>
      </c>
      <c r="D1273" s="8" t="str">
        <f>IF(B1273="","",VLOOKUP(B1273,经纬!B:G,6,FALSE))</f>
        <v/>
      </c>
      <c r="F1273" s="8" t="str">
        <f>IF(B1273="","",VLOOKUP(B1273,小圆机汇总表!A:AP,5,FALSE))</f>
        <v/>
      </c>
      <c r="G1273" s="8" t="str">
        <f>IF(B1273="","",VLOOKUP(B1273,小圆机汇总表!A:AP,8,FALSE))</f>
        <v/>
      </c>
      <c r="P1273" s="8" t="str">
        <f t="shared" si="71"/>
        <v/>
      </c>
      <c r="R1273" s="250" t="str">
        <f t="shared" si="70"/>
        <v/>
      </c>
    </row>
    <row r="1274" spans="1:18">
      <c r="A1274" s="4">
        <v>1283</v>
      </c>
      <c r="C1274" s="8" t="str">
        <f>IF(B1274="","",VLOOKUP(B1274,经纬!B:C,2,FALSE))</f>
        <v/>
      </c>
      <c r="D1274" s="8" t="str">
        <f>IF(B1274="","",VLOOKUP(B1274,经纬!B:G,6,FALSE))</f>
        <v/>
      </c>
      <c r="F1274" s="8" t="str">
        <f>IF(B1274="","",VLOOKUP(B1274,小圆机汇总表!A:AP,5,FALSE))</f>
        <v/>
      </c>
      <c r="G1274" s="8" t="str">
        <f>IF(B1274="","",VLOOKUP(B1274,小圆机汇总表!A:AP,8,FALSE))</f>
        <v/>
      </c>
      <c r="P1274" s="8" t="str">
        <f t="shared" si="71"/>
        <v/>
      </c>
      <c r="R1274" s="250" t="str">
        <f t="shared" si="70"/>
        <v/>
      </c>
    </row>
    <row r="1275" spans="1:18">
      <c r="A1275" s="4">
        <v>1284</v>
      </c>
      <c r="C1275" s="8" t="str">
        <f>IF(B1275="","",VLOOKUP(B1275,经纬!B:C,2,FALSE))</f>
        <v/>
      </c>
      <c r="D1275" s="8" t="str">
        <f>IF(B1275="","",VLOOKUP(B1275,经纬!B:G,6,FALSE))</f>
        <v/>
      </c>
      <c r="F1275" s="8" t="str">
        <f>IF(B1275="","",VLOOKUP(B1275,小圆机汇总表!A:AP,5,FALSE))</f>
        <v/>
      </c>
      <c r="G1275" s="8" t="str">
        <f>IF(B1275="","",VLOOKUP(B1275,小圆机汇总表!A:AP,8,FALSE))</f>
        <v/>
      </c>
      <c r="P1275" s="8" t="str">
        <f t="shared" si="71"/>
        <v/>
      </c>
      <c r="R1275" s="250" t="str">
        <f t="shared" si="70"/>
        <v/>
      </c>
    </row>
    <row r="1276" spans="1:18">
      <c r="A1276" s="4">
        <v>1285</v>
      </c>
      <c r="C1276" s="8" t="str">
        <f>IF(B1276="","",VLOOKUP(B1276,经纬!B:C,2,FALSE))</f>
        <v/>
      </c>
      <c r="D1276" s="8" t="str">
        <f>IF(B1276="","",VLOOKUP(B1276,经纬!B:G,6,FALSE))</f>
        <v/>
      </c>
      <c r="F1276" s="8" t="str">
        <f>IF(B1276="","",VLOOKUP(B1276,小圆机汇总表!A:AP,5,FALSE))</f>
        <v/>
      </c>
      <c r="G1276" s="8" t="str">
        <f>IF(B1276="","",VLOOKUP(B1276,小圆机汇总表!A:AP,8,FALSE))</f>
        <v/>
      </c>
      <c r="P1276" s="8" t="str">
        <f t="shared" si="71"/>
        <v/>
      </c>
      <c r="R1276" s="250" t="str">
        <f t="shared" si="70"/>
        <v/>
      </c>
    </row>
    <row r="1277" spans="1:18">
      <c r="A1277" s="4">
        <v>1286</v>
      </c>
      <c r="C1277" s="8" t="str">
        <f>IF(B1277="","",VLOOKUP(B1277,经纬!B:C,2,FALSE))</f>
        <v/>
      </c>
      <c r="D1277" s="8" t="str">
        <f>IF(B1277="","",VLOOKUP(B1277,经纬!B:G,6,FALSE))</f>
        <v/>
      </c>
      <c r="F1277" s="8" t="str">
        <f>IF(B1277="","",VLOOKUP(B1277,小圆机汇总表!A:AP,5,FALSE))</f>
        <v/>
      </c>
      <c r="G1277" s="8" t="str">
        <f>IF(B1277="","",VLOOKUP(B1277,小圆机汇总表!A:AP,8,FALSE))</f>
        <v/>
      </c>
      <c r="P1277" s="8" t="str">
        <f t="shared" si="71"/>
        <v/>
      </c>
      <c r="R1277" s="250" t="str">
        <f t="shared" si="70"/>
        <v/>
      </c>
    </row>
    <row r="1278" spans="1:18">
      <c r="A1278" s="4">
        <v>1287</v>
      </c>
      <c r="C1278" s="8" t="str">
        <f>IF(B1278="","",VLOOKUP(B1278,经纬!B:C,2,FALSE))</f>
        <v/>
      </c>
      <c r="D1278" s="8" t="str">
        <f>IF(B1278="","",VLOOKUP(B1278,经纬!B:G,6,FALSE))</f>
        <v/>
      </c>
      <c r="F1278" s="8" t="str">
        <f>IF(B1278="","",VLOOKUP(B1278,小圆机汇总表!A:AP,5,FALSE))</f>
        <v/>
      </c>
      <c r="G1278" s="8" t="str">
        <f>IF(B1278="","",VLOOKUP(B1278,小圆机汇总表!A:AP,8,FALSE))</f>
        <v/>
      </c>
      <c r="P1278" s="8" t="str">
        <f t="shared" si="71"/>
        <v/>
      </c>
      <c r="R1278" s="250" t="str">
        <f t="shared" si="70"/>
        <v/>
      </c>
    </row>
    <row r="1279" spans="1:18">
      <c r="A1279" s="4">
        <v>1288</v>
      </c>
      <c r="C1279" s="8" t="str">
        <f>IF(B1279="","",VLOOKUP(B1279,经纬!B:C,2,FALSE))</f>
        <v/>
      </c>
      <c r="D1279" s="8" t="str">
        <f>IF(B1279="","",VLOOKUP(B1279,经纬!B:G,6,FALSE))</f>
        <v/>
      </c>
      <c r="F1279" s="8" t="str">
        <f>IF(B1279="","",VLOOKUP(B1279,小圆机汇总表!A:AP,5,FALSE))</f>
        <v/>
      </c>
      <c r="G1279" s="8" t="str">
        <f>IF(B1279="","",VLOOKUP(B1279,小圆机汇总表!A:AP,8,FALSE))</f>
        <v/>
      </c>
      <c r="P1279" s="8" t="str">
        <f t="shared" si="71"/>
        <v/>
      </c>
      <c r="R1279" s="250" t="str">
        <f t="shared" si="70"/>
        <v/>
      </c>
    </row>
    <row r="1280" spans="1:18">
      <c r="A1280" s="4">
        <v>1289</v>
      </c>
      <c r="C1280" s="8" t="str">
        <f>IF(B1280="","",VLOOKUP(B1280,经纬!B:C,2,FALSE))</f>
        <v/>
      </c>
      <c r="D1280" s="8" t="str">
        <f>IF(B1280="","",VLOOKUP(B1280,经纬!B:G,6,FALSE))</f>
        <v/>
      </c>
      <c r="F1280" s="8" t="str">
        <f>IF(B1280="","",VLOOKUP(B1280,小圆机汇总表!A:AP,5,FALSE))</f>
        <v/>
      </c>
      <c r="G1280" s="8" t="str">
        <f>IF(B1280="","",VLOOKUP(B1280,小圆机汇总表!A:AP,8,FALSE))</f>
        <v/>
      </c>
      <c r="P1280" s="8" t="str">
        <f t="shared" si="71"/>
        <v/>
      </c>
      <c r="R1280" s="250" t="str">
        <f t="shared" si="70"/>
        <v/>
      </c>
    </row>
    <row r="1281" spans="1:18">
      <c r="A1281" s="4">
        <v>1290</v>
      </c>
      <c r="C1281" s="8" t="str">
        <f>IF(B1281="","",VLOOKUP(B1281,经纬!B:C,2,FALSE))</f>
        <v/>
      </c>
      <c r="D1281" s="8" t="str">
        <f>IF(B1281="","",VLOOKUP(B1281,经纬!B:G,6,FALSE))</f>
        <v/>
      </c>
      <c r="F1281" s="8" t="str">
        <f>IF(B1281="","",VLOOKUP(B1281,小圆机汇总表!A:AP,5,FALSE))</f>
        <v/>
      </c>
      <c r="G1281" s="8" t="str">
        <f>IF(B1281="","",VLOOKUP(B1281,小圆机汇总表!A:AP,8,FALSE))</f>
        <v/>
      </c>
      <c r="P1281" s="8" t="str">
        <f t="shared" si="71"/>
        <v/>
      </c>
      <c r="R1281" s="250" t="str">
        <f t="shared" si="70"/>
        <v/>
      </c>
    </row>
    <row r="1282" spans="1:18">
      <c r="A1282" s="4">
        <v>1291</v>
      </c>
      <c r="C1282" s="8" t="str">
        <f>IF(B1282="","",VLOOKUP(B1282,经纬!B:C,2,FALSE))</f>
        <v/>
      </c>
      <c r="D1282" s="8" t="str">
        <f>IF(B1282="","",VLOOKUP(B1282,经纬!B:G,6,FALSE))</f>
        <v/>
      </c>
      <c r="F1282" s="8" t="str">
        <f>IF(B1282="","",VLOOKUP(B1282,小圆机汇总表!A:AP,5,FALSE))</f>
        <v/>
      </c>
      <c r="G1282" s="8" t="str">
        <f>IF(B1282="","",VLOOKUP(B1282,小圆机汇总表!A:AP,8,FALSE))</f>
        <v/>
      </c>
      <c r="P1282" s="8" t="str">
        <f t="shared" si="71"/>
        <v/>
      </c>
      <c r="R1282" s="250" t="str">
        <f t="shared" si="70"/>
        <v/>
      </c>
    </row>
    <row r="1283" spans="1:18">
      <c r="A1283" s="4">
        <v>1292</v>
      </c>
      <c r="C1283" s="8" t="str">
        <f>IF(B1283="","",VLOOKUP(B1283,经纬!B:C,2,FALSE))</f>
        <v/>
      </c>
      <c r="D1283" s="8" t="str">
        <f>IF(B1283="","",VLOOKUP(B1283,经纬!B:G,6,FALSE))</f>
        <v/>
      </c>
      <c r="F1283" s="8" t="str">
        <f>IF(B1283="","",VLOOKUP(B1283,小圆机汇总表!A:AP,5,FALSE))</f>
        <v/>
      </c>
      <c r="G1283" s="8" t="str">
        <f>IF(B1283="","",VLOOKUP(B1283,小圆机汇总表!A:AP,8,FALSE))</f>
        <v/>
      </c>
      <c r="P1283" s="8" t="str">
        <f t="shared" si="71"/>
        <v/>
      </c>
      <c r="R1283" s="250" t="str">
        <f t="shared" ref="R1283:R1346" si="72">IF(B1283="","",MONTH(I1283))</f>
        <v/>
      </c>
    </row>
    <row r="1284" spans="1:18">
      <c r="A1284" s="4">
        <v>1293</v>
      </c>
      <c r="C1284" s="8" t="str">
        <f>IF(B1284="","",VLOOKUP(B1284,经纬!B:C,2,FALSE))</f>
        <v/>
      </c>
      <c r="D1284" s="8" t="str">
        <f>IF(B1284="","",VLOOKUP(B1284,经纬!B:G,6,FALSE))</f>
        <v/>
      </c>
      <c r="F1284" s="8" t="str">
        <f>IF(B1284="","",VLOOKUP(B1284,小圆机汇总表!A:AP,5,FALSE))</f>
        <v/>
      </c>
      <c r="G1284" s="8" t="str">
        <f>IF(B1284="","",VLOOKUP(B1284,小圆机汇总表!A:AP,8,FALSE))</f>
        <v/>
      </c>
      <c r="P1284" s="8" t="str">
        <f t="shared" si="71"/>
        <v/>
      </c>
      <c r="R1284" s="250" t="str">
        <f t="shared" si="72"/>
        <v/>
      </c>
    </row>
    <row r="1285" spans="1:18">
      <c r="A1285" s="4">
        <v>1294</v>
      </c>
      <c r="C1285" s="8" t="str">
        <f>IF(B1285="","",VLOOKUP(B1285,经纬!B:C,2,FALSE))</f>
        <v/>
      </c>
      <c r="D1285" s="8" t="str">
        <f>IF(B1285="","",VLOOKUP(B1285,经纬!B:G,6,FALSE))</f>
        <v/>
      </c>
      <c r="F1285" s="8" t="str">
        <f>IF(B1285="","",VLOOKUP(B1285,小圆机汇总表!A:AP,5,FALSE))</f>
        <v/>
      </c>
      <c r="G1285" s="8" t="str">
        <f>IF(B1285="","",VLOOKUP(B1285,小圆机汇总表!A:AP,8,FALSE))</f>
        <v/>
      </c>
      <c r="P1285" s="8" t="str">
        <f t="shared" si="71"/>
        <v/>
      </c>
      <c r="R1285" s="250" t="str">
        <f t="shared" si="72"/>
        <v/>
      </c>
    </row>
    <row r="1286" spans="1:18">
      <c r="A1286" s="4">
        <v>1295</v>
      </c>
      <c r="C1286" s="8" t="str">
        <f>IF(B1286="","",VLOOKUP(B1286,经纬!B:C,2,FALSE))</f>
        <v/>
      </c>
      <c r="D1286" s="8" t="str">
        <f>IF(B1286="","",VLOOKUP(B1286,经纬!B:G,6,FALSE))</f>
        <v/>
      </c>
      <c r="F1286" s="8" t="str">
        <f>IF(B1286="","",VLOOKUP(B1286,小圆机汇总表!A:AP,5,FALSE))</f>
        <v/>
      </c>
      <c r="G1286" s="8" t="str">
        <f>IF(B1286="","",VLOOKUP(B1286,小圆机汇总表!A:AP,8,FALSE))</f>
        <v/>
      </c>
      <c r="P1286" s="8" t="str">
        <f t="shared" si="71"/>
        <v/>
      </c>
      <c r="R1286" s="250" t="str">
        <f t="shared" si="72"/>
        <v/>
      </c>
    </row>
    <row r="1287" spans="1:18">
      <c r="A1287" s="4">
        <v>1296</v>
      </c>
      <c r="C1287" s="8" t="str">
        <f>IF(B1287="","",VLOOKUP(B1287,经纬!B:C,2,FALSE))</f>
        <v/>
      </c>
      <c r="D1287" s="8" t="str">
        <f>IF(B1287="","",VLOOKUP(B1287,经纬!B:G,6,FALSE))</f>
        <v/>
      </c>
      <c r="F1287" s="8" t="str">
        <f>IF(B1287="","",VLOOKUP(B1287,小圆机汇总表!A:AP,5,FALSE))</f>
        <v/>
      </c>
      <c r="G1287" s="8" t="str">
        <f>IF(B1287="","",VLOOKUP(B1287,小圆机汇总表!A:AP,8,FALSE))</f>
        <v/>
      </c>
      <c r="P1287" s="8" t="str">
        <f t="shared" si="71"/>
        <v/>
      </c>
      <c r="R1287" s="250" t="str">
        <f t="shared" si="72"/>
        <v/>
      </c>
    </row>
    <row r="1288" spans="1:18">
      <c r="A1288" s="4">
        <v>1297</v>
      </c>
      <c r="C1288" s="8" t="str">
        <f>IF(B1288="","",VLOOKUP(B1288,经纬!B:C,2,FALSE))</f>
        <v/>
      </c>
      <c r="D1288" s="8" t="str">
        <f>IF(B1288="","",VLOOKUP(B1288,经纬!B:G,6,FALSE))</f>
        <v/>
      </c>
      <c r="F1288" s="8" t="str">
        <f>IF(B1288="","",VLOOKUP(B1288,小圆机汇总表!A:AP,5,FALSE))</f>
        <v/>
      </c>
      <c r="G1288" s="8" t="str">
        <f>IF(B1288="","",VLOOKUP(B1288,小圆机汇总表!A:AP,8,FALSE))</f>
        <v/>
      </c>
      <c r="P1288" s="8" t="str">
        <f t="shared" si="71"/>
        <v/>
      </c>
      <c r="R1288" s="250" t="str">
        <f t="shared" si="72"/>
        <v/>
      </c>
    </row>
    <row r="1289" spans="1:18">
      <c r="A1289" s="4">
        <v>1298</v>
      </c>
      <c r="C1289" s="8" t="str">
        <f>IF(B1289="","",VLOOKUP(B1289,经纬!B:C,2,FALSE))</f>
        <v/>
      </c>
      <c r="D1289" s="8" t="str">
        <f>IF(B1289="","",VLOOKUP(B1289,经纬!B:G,6,FALSE))</f>
        <v/>
      </c>
      <c r="F1289" s="8" t="str">
        <f>IF(B1289="","",VLOOKUP(B1289,小圆机汇总表!A:AP,5,FALSE))</f>
        <v/>
      </c>
      <c r="G1289" s="8" t="str">
        <f>IF(B1289="","",VLOOKUP(B1289,小圆机汇总表!A:AP,8,FALSE))</f>
        <v/>
      </c>
      <c r="P1289" s="8" t="str">
        <f t="shared" si="71"/>
        <v/>
      </c>
      <c r="R1289" s="250" t="str">
        <f t="shared" si="72"/>
        <v/>
      </c>
    </row>
    <row r="1290" spans="1:18">
      <c r="A1290" s="4">
        <v>1299</v>
      </c>
      <c r="C1290" s="8" t="str">
        <f>IF(B1290="","",VLOOKUP(B1290,经纬!B:C,2,FALSE))</f>
        <v/>
      </c>
      <c r="D1290" s="8" t="str">
        <f>IF(B1290="","",VLOOKUP(B1290,经纬!B:G,6,FALSE))</f>
        <v/>
      </c>
      <c r="F1290" s="8" t="str">
        <f>IF(B1290="","",VLOOKUP(B1290,小圆机汇总表!A:AP,5,FALSE))</f>
        <v/>
      </c>
      <c r="G1290" s="8" t="str">
        <f>IF(B1290="","",VLOOKUP(B1290,小圆机汇总表!A:AP,8,FALSE))</f>
        <v/>
      </c>
      <c r="P1290" s="8" t="str">
        <f t="shared" si="71"/>
        <v/>
      </c>
      <c r="R1290" s="250" t="str">
        <f t="shared" si="72"/>
        <v/>
      </c>
    </row>
    <row r="1291" spans="1:18">
      <c r="A1291" s="4">
        <v>1300</v>
      </c>
      <c r="C1291" s="8" t="str">
        <f>IF(B1291="","",VLOOKUP(B1291,经纬!B:C,2,FALSE))</f>
        <v/>
      </c>
      <c r="D1291" s="8" t="str">
        <f>IF(B1291="","",VLOOKUP(B1291,经纬!B:G,6,FALSE))</f>
        <v/>
      </c>
      <c r="F1291" s="8" t="str">
        <f>IF(B1291="","",VLOOKUP(B1291,小圆机汇总表!A:AP,5,FALSE))</f>
        <v/>
      </c>
      <c r="G1291" s="8" t="str">
        <f>IF(B1291="","",VLOOKUP(B1291,小圆机汇总表!A:AP,8,FALSE))</f>
        <v/>
      </c>
      <c r="P1291" s="8" t="str">
        <f t="shared" si="71"/>
        <v/>
      </c>
      <c r="R1291" s="250" t="str">
        <f t="shared" si="72"/>
        <v/>
      </c>
    </row>
    <row r="1292" spans="1:18">
      <c r="A1292" s="4">
        <v>1301</v>
      </c>
      <c r="C1292" s="8" t="str">
        <f>IF(B1292="","",VLOOKUP(B1292,经纬!B:C,2,FALSE))</f>
        <v/>
      </c>
      <c r="D1292" s="8" t="str">
        <f>IF(B1292="","",VLOOKUP(B1292,经纬!B:G,6,FALSE))</f>
        <v/>
      </c>
      <c r="F1292" s="8" t="str">
        <f>IF(B1292="","",VLOOKUP(B1292,小圆机汇总表!A:AP,5,FALSE))</f>
        <v/>
      </c>
      <c r="G1292" s="8" t="str">
        <f>IF(B1292="","",VLOOKUP(B1292,小圆机汇总表!A:AP,8,FALSE))</f>
        <v/>
      </c>
      <c r="P1292" s="8" t="str">
        <f t="shared" si="71"/>
        <v/>
      </c>
      <c r="R1292" s="250" t="str">
        <f t="shared" si="72"/>
        <v/>
      </c>
    </row>
    <row r="1293" spans="1:18">
      <c r="A1293" s="4">
        <v>1302</v>
      </c>
      <c r="C1293" s="8" t="str">
        <f>IF(B1293="","",VLOOKUP(B1293,经纬!B:C,2,FALSE))</f>
        <v/>
      </c>
      <c r="D1293" s="8" t="str">
        <f>IF(B1293="","",VLOOKUP(B1293,经纬!B:G,6,FALSE))</f>
        <v/>
      </c>
      <c r="F1293" s="8" t="str">
        <f>IF(B1293="","",VLOOKUP(B1293,小圆机汇总表!A:AP,5,FALSE))</f>
        <v/>
      </c>
      <c r="G1293" s="8" t="str">
        <f>IF(B1293="","",VLOOKUP(B1293,小圆机汇总表!A:AP,8,FALSE))</f>
        <v/>
      </c>
      <c r="P1293" s="8" t="str">
        <f t="shared" si="71"/>
        <v/>
      </c>
      <c r="R1293" s="250" t="str">
        <f t="shared" si="72"/>
        <v/>
      </c>
    </row>
    <row r="1294" spans="1:18">
      <c r="A1294" s="4">
        <v>1303</v>
      </c>
      <c r="C1294" s="8" t="str">
        <f>IF(B1294="","",VLOOKUP(B1294,经纬!B:C,2,FALSE))</f>
        <v/>
      </c>
      <c r="D1294" s="8" t="str">
        <f>IF(B1294="","",VLOOKUP(B1294,经纬!B:G,6,FALSE))</f>
        <v/>
      </c>
      <c r="F1294" s="8" t="str">
        <f>IF(B1294="","",VLOOKUP(B1294,小圆机汇总表!A:AP,5,FALSE))</f>
        <v/>
      </c>
      <c r="G1294" s="8" t="str">
        <f>IF(B1294="","",VLOOKUP(B1294,小圆机汇总表!A:AP,8,FALSE))</f>
        <v/>
      </c>
      <c r="P1294" s="8" t="str">
        <f t="shared" si="71"/>
        <v/>
      </c>
      <c r="R1294" s="250" t="str">
        <f t="shared" si="72"/>
        <v/>
      </c>
    </row>
    <row r="1295" spans="1:18">
      <c r="A1295" s="4">
        <v>1304</v>
      </c>
      <c r="C1295" s="8" t="str">
        <f>IF(B1295="","",VLOOKUP(B1295,经纬!B:C,2,FALSE))</f>
        <v/>
      </c>
      <c r="D1295" s="8" t="str">
        <f>IF(B1295="","",VLOOKUP(B1295,经纬!B:G,6,FALSE))</f>
        <v/>
      </c>
      <c r="F1295" s="8" t="str">
        <f>IF(B1295="","",VLOOKUP(B1295,小圆机汇总表!A:AP,5,FALSE))</f>
        <v/>
      </c>
      <c r="G1295" s="8" t="str">
        <f>IF(B1295="","",VLOOKUP(B1295,小圆机汇总表!A:AP,8,FALSE))</f>
        <v/>
      </c>
      <c r="P1295" s="8" t="str">
        <f t="shared" si="71"/>
        <v/>
      </c>
      <c r="R1295" s="250" t="str">
        <f t="shared" si="72"/>
        <v/>
      </c>
    </row>
    <row r="1296" spans="1:18">
      <c r="A1296" s="4">
        <v>1305</v>
      </c>
      <c r="C1296" s="8" t="str">
        <f>IF(B1296="","",VLOOKUP(B1296,经纬!B:C,2,FALSE))</f>
        <v/>
      </c>
      <c r="D1296" s="8" t="str">
        <f>IF(B1296="","",VLOOKUP(B1296,经纬!B:G,6,FALSE))</f>
        <v/>
      </c>
      <c r="F1296" s="8" t="str">
        <f>IF(B1296="","",VLOOKUP(B1296,小圆机汇总表!A:AP,5,FALSE))</f>
        <v/>
      </c>
      <c r="G1296" s="8" t="str">
        <f>IF(B1296="","",VLOOKUP(B1296,小圆机汇总表!A:AP,8,FALSE))</f>
        <v/>
      </c>
      <c r="P1296" s="8" t="str">
        <f t="shared" si="71"/>
        <v/>
      </c>
      <c r="R1296" s="250" t="str">
        <f t="shared" si="72"/>
        <v/>
      </c>
    </row>
    <row r="1297" spans="1:18">
      <c r="A1297" s="4">
        <v>1306</v>
      </c>
      <c r="C1297" s="8" t="str">
        <f>IF(B1297="","",VLOOKUP(B1297,经纬!B:C,2,FALSE))</f>
        <v/>
      </c>
      <c r="D1297" s="8" t="str">
        <f>IF(B1297="","",VLOOKUP(B1297,经纬!B:G,6,FALSE))</f>
        <v/>
      </c>
      <c r="F1297" s="8" t="str">
        <f>IF(B1297="","",VLOOKUP(B1297,小圆机汇总表!A:AP,5,FALSE))</f>
        <v/>
      </c>
      <c r="G1297" s="8" t="str">
        <f>IF(B1297="","",VLOOKUP(B1297,小圆机汇总表!A:AP,8,FALSE))</f>
        <v/>
      </c>
      <c r="P1297" s="8" t="str">
        <f t="shared" si="71"/>
        <v/>
      </c>
      <c r="R1297" s="250" t="str">
        <f t="shared" si="72"/>
        <v/>
      </c>
    </row>
    <row r="1298" spans="1:18">
      <c r="A1298" s="4">
        <v>1307</v>
      </c>
      <c r="C1298" s="8" t="str">
        <f>IF(B1298="","",VLOOKUP(B1298,经纬!B:C,2,FALSE))</f>
        <v/>
      </c>
      <c r="D1298" s="8" t="str">
        <f>IF(B1298="","",VLOOKUP(B1298,经纬!B:G,6,FALSE))</f>
        <v/>
      </c>
      <c r="F1298" s="8" t="str">
        <f>IF(B1298="","",VLOOKUP(B1298,小圆机汇总表!A:AP,5,FALSE))</f>
        <v/>
      </c>
      <c r="G1298" s="8" t="str">
        <f>IF(B1298="","",VLOOKUP(B1298,小圆机汇总表!A:AP,8,FALSE))</f>
        <v/>
      </c>
      <c r="P1298" s="8" t="str">
        <f t="shared" si="71"/>
        <v/>
      </c>
      <c r="R1298" s="250" t="str">
        <f t="shared" si="72"/>
        <v/>
      </c>
    </row>
    <row r="1299" spans="1:18">
      <c r="A1299" s="4">
        <v>1308</v>
      </c>
      <c r="C1299" s="8" t="str">
        <f>IF(B1299="","",VLOOKUP(B1299,经纬!B:C,2,FALSE))</f>
        <v/>
      </c>
      <c r="D1299" s="8" t="str">
        <f>IF(B1299="","",VLOOKUP(B1299,经纬!B:G,6,FALSE))</f>
        <v/>
      </c>
      <c r="F1299" s="8" t="str">
        <f>IF(B1299="","",VLOOKUP(B1299,小圆机汇总表!A:AP,5,FALSE))</f>
        <v/>
      </c>
      <c r="G1299" s="8" t="str">
        <f>IF(B1299="","",VLOOKUP(B1299,小圆机汇总表!A:AP,8,FALSE))</f>
        <v/>
      </c>
      <c r="P1299" s="8" t="str">
        <f t="shared" si="71"/>
        <v/>
      </c>
      <c r="R1299" s="250" t="str">
        <f t="shared" si="72"/>
        <v/>
      </c>
    </row>
    <row r="1300" spans="1:18">
      <c r="A1300" s="4">
        <v>1309</v>
      </c>
      <c r="C1300" s="8" t="str">
        <f>IF(B1300="","",VLOOKUP(B1300,经纬!B:C,2,FALSE))</f>
        <v/>
      </c>
      <c r="D1300" s="8" t="str">
        <f>IF(B1300="","",VLOOKUP(B1300,经纬!B:G,6,FALSE))</f>
        <v/>
      </c>
      <c r="F1300" s="8" t="str">
        <f>IF(B1300="","",VLOOKUP(B1300,小圆机汇总表!A:AP,5,FALSE))</f>
        <v/>
      </c>
      <c r="G1300" s="8" t="str">
        <f>IF(B1300="","",VLOOKUP(B1300,小圆机汇总表!A:AP,8,FALSE))</f>
        <v/>
      </c>
      <c r="P1300" s="8" t="str">
        <f t="shared" si="71"/>
        <v/>
      </c>
      <c r="R1300" s="250" t="str">
        <f t="shared" si="72"/>
        <v/>
      </c>
    </row>
    <row r="1301" spans="1:18">
      <c r="A1301" s="4">
        <v>1310</v>
      </c>
      <c r="C1301" s="8" t="str">
        <f>IF(B1301="","",VLOOKUP(B1301,经纬!B:C,2,FALSE))</f>
        <v/>
      </c>
      <c r="D1301" s="8" t="str">
        <f>IF(B1301="","",VLOOKUP(B1301,经纬!B:G,6,FALSE))</f>
        <v/>
      </c>
      <c r="F1301" s="8" t="str">
        <f>IF(B1301="","",VLOOKUP(B1301,小圆机汇总表!A:AP,5,FALSE))</f>
        <v/>
      </c>
      <c r="G1301" s="8" t="str">
        <f>IF(B1301="","",VLOOKUP(B1301,小圆机汇总表!A:AP,8,FALSE))</f>
        <v/>
      </c>
      <c r="P1301" s="8" t="str">
        <f t="shared" si="71"/>
        <v/>
      </c>
      <c r="R1301" s="250" t="str">
        <f t="shared" si="72"/>
        <v/>
      </c>
    </row>
    <row r="1302" spans="1:18">
      <c r="A1302" s="4">
        <v>1311</v>
      </c>
      <c r="C1302" s="8" t="str">
        <f>IF(B1302="","",VLOOKUP(B1302,经纬!B:C,2,FALSE))</f>
        <v/>
      </c>
      <c r="D1302" s="8" t="str">
        <f>IF(B1302="","",VLOOKUP(B1302,经纬!B:G,6,FALSE))</f>
        <v/>
      </c>
      <c r="F1302" s="8" t="str">
        <f>IF(B1302="","",VLOOKUP(B1302,小圆机汇总表!A:AP,5,FALSE))</f>
        <v/>
      </c>
      <c r="G1302" s="8" t="str">
        <f>IF(B1302="","",VLOOKUP(B1302,小圆机汇总表!A:AP,8,FALSE))</f>
        <v/>
      </c>
      <c r="P1302" s="8" t="str">
        <f t="shared" si="71"/>
        <v/>
      </c>
      <c r="R1302" s="250" t="str">
        <f t="shared" si="72"/>
        <v/>
      </c>
    </row>
    <row r="1303" spans="1:18">
      <c r="A1303" s="4">
        <v>1312</v>
      </c>
      <c r="C1303" s="8" t="str">
        <f>IF(B1303="","",VLOOKUP(B1303,经纬!B:C,2,FALSE))</f>
        <v/>
      </c>
      <c r="D1303" s="8" t="str">
        <f>IF(B1303="","",VLOOKUP(B1303,经纬!B:G,6,FALSE))</f>
        <v/>
      </c>
      <c r="F1303" s="8" t="str">
        <f>IF(B1303="","",VLOOKUP(B1303,小圆机汇总表!A:AP,5,FALSE))</f>
        <v/>
      </c>
      <c r="G1303" s="8" t="str">
        <f>IF(B1303="","",VLOOKUP(B1303,小圆机汇总表!A:AP,8,FALSE))</f>
        <v/>
      </c>
      <c r="P1303" s="8" t="str">
        <f t="shared" si="71"/>
        <v/>
      </c>
      <c r="R1303" s="250" t="str">
        <f t="shared" si="72"/>
        <v/>
      </c>
    </row>
    <row r="1304" spans="1:18">
      <c r="A1304" s="4">
        <v>1313</v>
      </c>
      <c r="C1304" s="8" t="str">
        <f>IF(B1304="","",VLOOKUP(B1304,经纬!B:C,2,FALSE))</f>
        <v/>
      </c>
      <c r="D1304" s="8" t="str">
        <f>IF(B1304="","",VLOOKUP(B1304,经纬!B:G,6,FALSE))</f>
        <v/>
      </c>
      <c r="F1304" s="8" t="str">
        <f>IF(B1304="","",VLOOKUP(B1304,小圆机汇总表!A:AP,5,FALSE))</f>
        <v/>
      </c>
      <c r="G1304" s="8" t="str">
        <f>IF(B1304="","",VLOOKUP(B1304,小圆机汇总表!A:AP,8,FALSE))</f>
        <v/>
      </c>
      <c r="P1304" s="8" t="str">
        <f t="shared" si="71"/>
        <v/>
      </c>
      <c r="R1304" s="250" t="str">
        <f t="shared" si="72"/>
        <v/>
      </c>
    </row>
    <row r="1305" spans="1:18">
      <c r="A1305" s="4">
        <v>1314</v>
      </c>
      <c r="C1305" s="8" t="str">
        <f>IF(B1305="","",VLOOKUP(B1305,经纬!B:C,2,FALSE))</f>
        <v/>
      </c>
      <c r="D1305" s="8" t="str">
        <f>IF(B1305="","",VLOOKUP(B1305,经纬!B:G,6,FALSE))</f>
        <v/>
      </c>
      <c r="F1305" s="8" t="str">
        <f>IF(B1305="","",VLOOKUP(B1305,小圆机汇总表!A:AP,5,FALSE))</f>
        <v/>
      </c>
      <c r="G1305" s="8" t="str">
        <f>IF(B1305="","",VLOOKUP(B1305,小圆机汇总表!A:AP,8,FALSE))</f>
        <v/>
      </c>
      <c r="P1305" s="8" t="str">
        <f t="shared" si="71"/>
        <v/>
      </c>
      <c r="R1305" s="250" t="str">
        <f t="shared" si="72"/>
        <v/>
      </c>
    </row>
    <row r="1306" spans="1:18">
      <c r="A1306" s="4">
        <v>1315</v>
      </c>
      <c r="C1306" s="8" t="str">
        <f>IF(B1306="","",VLOOKUP(B1306,经纬!B:C,2,FALSE))</f>
        <v/>
      </c>
      <c r="D1306" s="8" t="str">
        <f>IF(B1306="","",VLOOKUP(B1306,经纬!B:G,6,FALSE))</f>
        <v/>
      </c>
      <c r="F1306" s="8" t="str">
        <f>IF(B1306="","",VLOOKUP(B1306,小圆机汇总表!A:AP,5,FALSE))</f>
        <v/>
      </c>
      <c r="G1306" s="8" t="str">
        <f>IF(B1306="","",VLOOKUP(B1306,小圆机汇总表!A:AP,8,FALSE))</f>
        <v/>
      </c>
      <c r="P1306" s="8" t="str">
        <f t="shared" ref="P1306:P1369" si="73">IF(B1306="","",MONTH(I1306))</f>
        <v/>
      </c>
      <c r="R1306" s="250" t="str">
        <f t="shared" si="72"/>
        <v/>
      </c>
    </row>
    <row r="1307" spans="1:18">
      <c r="A1307" s="4">
        <v>1316</v>
      </c>
      <c r="C1307" s="8" t="str">
        <f>IF(B1307="","",VLOOKUP(B1307,经纬!B:C,2,FALSE))</f>
        <v/>
      </c>
      <c r="D1307" s="8" t="str">
        <f>IF(B1307="","",VLOOKUP(B1307,经纬!B:G,6,FALSE))</f>
        <v/>
      </c>
      <c r="F1307" s="8" t="str">
        <f>IF(B1307="","",VLOOKUP(B1307,小圆机汇总表!A:AP,5,FALSE))</f>
        <v/>
      </c>
      <c r="G1307" s="8" t="str">
        <f>IF(B1307="","",VLOOKUP(B1307,小圆机汇总表!A:AP,8,FALSE))</f>
        <v/>
      </c>
      <c r="P1307" s="8" t="str">
        <f t="shared" si="73"/>
        <v/>
      </c>
      <c r="R1307" s="250" t="str">
        <f t="shared" si="72"/>
        <v/>
      </c>
    </row>
    <row r="1308" spans="1:18">
      <c r="A1308" s="4">
        <v>1317</v>
      </c>
      <c r="C1308" s="8" t="str">
        <f>IF(B1308="","",VLOOKUP(B1308,经纬!B:C,2,FALSE))</f>
        <v/>
      </c>
      <c r="D1308" s="8" t="str">
        <f>IF(B1308="","",VLOOKUP(B1308,经纬!B:G,6,FALSE))</f>
        <v/>
      </c>
      <c r="F1308" s="8" t="str">
        <f>IF(B1308="","",VLOOKUP(B1308,小圆机汇总表!A:AP,5,FALSE))</f>
        <v/>
      </c>
      <c r="G1308" s="8" t="str">
        <f>IF(B1308="","",VLOOKUP(B1308,小圆机汇总表!A:AP,8,FALSE))</f>
        <v/>
      </c>
      <c r="P1308" s="8" t="str">
        <f t="shared" si="73"/>
        <v/>
      </c>
      <c r="R1308" s="250" t="str">
        <f t="shared" si="72"/>
        <v/>
      </c>
    </row>
    <row r="1309" spans="1:18">
      <c r="A1309" s="4">
        <v>1318</v>
      </c>
      <c r="C1309" s="8" t="str">
        <f>IF(B1309="","",VLOOKUP(B1309,经纬!B:C,2,FALSE))</f>
        <v/>
      </c>
      <c r="D1309" s="8" t="str">
        <f>IF(B1309="","",VLOOKUP(B1309,经纬!B:G,6,FALSE))</f>
        <v/>
      </c>
      <c r="F1309" s="8" t="str">
        <f>IF(B1309="","",VLOOKUP(B1309,小圆机汇总表!A:AP,5,FALSE))</f>
        <v/>
      </c>
      <c r="G1309" s="8" t="str">
        <f>IF(B1309="","",VLOOKUP(B1309,小圆机汇总表!A:AP,8,FALSE))</f>
        <v/>
      </c>
      <c r="P1309" s="8" t="str">
        <f t="shared" si="73"/>
        <v/>
      </c>
      <c r="R1309" s="250" t="str">
        <f t="shared" si="72"/>
        <v/>
      </c>
    </row>
    <row r="1310" spans="1:18">
      <c r="A1310" s="4">
        <v>1319</v>
      </c>
      <c r="C1310" s="8" t="str">
        <f>IF(B1310="","",VLOOKUP(B1310,经纬!B:C,2,FALSE))</f>
        <v/>
      </c>
      <c r="D1310" s="8" t="str">
        <f>IF(B1310="","",VLOOKUP(B1310,经纬!B:G,6,FALSE))</f>
        <v/>
      </c>
      <c r="F1310" s="8" t="str">
        <f>IF(B1310="","",VLOOKUP(B1310,小圆机汇总表!A:AP,5,FALSE))</f>
        <v/>
      </c>
      <c r="G1310" s="8" t="str">
        <f>IF(B1310="","",VLOOKUP(B1310,小圆机汇总表!A:AP,8,FALSE))</f>
        <v/>
      </c>
      <c r="P1310" s="8" t="str">
        <f t="shared" si="73"/>
        <v/>
      </c>
      <c r="R1310" s="250" t="str">
        <f t="shared" si="72"/>
        <v/>
      </c>
    </row>
    <row r="1311" spans="1:18">
      <c r="A1311" s="4">
        <v>1320</v>
      </c>
      <c r="C1311" s="8" t="str">
        <f>IF(B1311="","",VLOOKUP(B1311,经纬!B:C,2,FALSE))</f>
        <v/>
      </c>
      <c r="D1311" s="8" t="str">
        <f>IF(B1311="","",VLOOKUP(B1311,经纬!B:G,6,FALSE))</f>
        <v/>
      </c>
      <c r="F1311" s="8" t="str">
        <f>IF(B1311="","",VLOOKUP(B1311,小圆机汇总表!A:AP,5,FALSE))</f>
        <v/>
      </c>
      <c r="G1311" s="8" t="str">
        <f>IF(B1311="","",VLOOKUP(B1311,小圆机汇总表!A:AP,8,FALSE))</f>
        <v/>
      </c>
      <c r="P1311" s="8" t="str">
        <f t="shared" si="73"/>
        <v/>
      </c>
      <c r="R1311" s="250" t="str">
        <f t="shared" si="72"/>
        <v/>
      </c>
    </row>
    <row r="1312" spans="1:18">
      <c r="A1312" s="4">
        <v>1321</v>
      </c>
      <c r="C1312" s="8" t="str">
        <f>IF(B1312="","",VLOOKUP(B1312,经纬!B:C,2,FALSE))</f>
        <v/>
      </c>
      <c r="D1312" s="8" t="str">
        <f>IF(B1312="","",VLOOKUP(B1312,经纬!B:G,6,FALSE))</f>
        <v/>
      </c>
      <c r="F1312" s="8" t="str">
        <f>IF(B1312="","",VLOOKUP(B1312,小圆机汇总表!A:AP,5,FALSE))</f>
        <v/>
      </c>
      <c r="G1312" s="8" t="str">
        <f>IF(B1312="","",VLOOKUP(B1312,小圆机汇总表!A:AP,8,FALSE))</f>
        <v/>
      </c>
      <c r="P1312" s="8" t="str">
        <f t="shared" si="73"/>
        <v/>
      </c>
      <c r="R1312" s="250" t="str">
        <f t="shared" si="72"/>
        <v/>
      </c>
    </row>
    <row r="1313" spans="1:18">
      <c r="A1313" s="4">
        <v>1322</v>
      </c>
      <c r="C1313" s="8" t="str">
        <f>IF(B1313="","",VLOOKUP(B1313,经纬!B:C,2,FALSE))</f>
        <v/>
      </c>
      <c r="D1313" s="8" t="str">
        <f>IF(B1313="","",VLOOKUP(B1313,经纬!B:G,6,FALSE))</f>
        <v/>
      </c>
      <c r="F1313" s="8" t="str">
        <f>IF(B1313="","",VLOOKUP(B1313,小圆机汇总表!A:AP,5,FALSE))</f>
        <v/>
      </c>
      <c r="G1313" s="8" t="str">
        <f>IF(B1313="","",VLOOKUP(B1313,小圆机汇总表!A:AP,8,FALSE))</f>
        <v/>
      </c>
      <c r="P1313" s="8" t="str">
        <f t="shared" si="73"/>
        <v/>
      </c>
      <c r="R1313" s="250" t="str">
        <f t="shared" si="72"/>
        <v/>
      </c>
    </row>
    <row r="1314" spans="1:18">
      <c r="A1314" s="4">
        <v>1323</v>
      </c>
      <c r="C1314" s="8" t="str">
        <f>IF(B1314="","",VLOOKUP(B1314,经纬!B:C,2,FALSE))</f>
        <v/>
      </c>
      <c r="D1314" s="8" t="str">
        <f>IF(B1314="","",VLOOKUP(B1314,经纬!B:G,6,FALSE))</f>
        <v/>
      </c>
      <c r="F1314" s="8" t="str">
        <f>IF(B1314="","",VLOOKUP(B1314,小圆机汇总表!A:AP,5,FALSE))</f>
        <v/>
      </c>
      <c r="G1314" s="8" t="str">
        <f>IF(B1314="","",VLOOKUP(B1314,小圆机汇总表!A:AP,8,FALSE))</f>
        <v/>
      </c>
      <c r="P1314" s="8" t="str">
        <f t="shared" si="73"/>
        <v/>
      </c>
      <c r="R1314" s="250" t="str">
        <f t="shared" si="72"/>
        <v/>
      </c>
    </row>
    <row r="1315" spans="1:18">
      <c r="A1315" s="4">
        <v>1324</v>
      </c>
      <c r="C1315" s="8" t="str">
        <f>IF(B1315="","",VLOOKUP(B1315,经纬!B:C,2,FALSE))</f>
        <v/>
      </c>
      <c r="D1315" s="8" t="str">
        <f>IF(B1315="","",VLOOKUP(B1315,经纬!B:G,6,FALSE))</f>
        <v/>
      </c>
      <c r="F1315" s="8" t="str">
        <f>IF(B1315="","",VLOOKUP(B1315,小圆机汇总表!A:AP,5,FALSE))</f>
        <v/>
      </c>
      <c r="G1315" s="8" t="str">
        <f>IF(B1315="","",VLOOKUP(B1315,小圆机汇总表!A:AP,8,FALSE))</f>
        <v/>
      </c>
      <c r="P1315" s="8" t="str">
        <f t="shared" si="73"/>
        <v/>
      </c>
      <c r="R1315" s="250" t="str">
        <f t="shared" si="72"/>
        <v/>
      </c>
    </row>
    <row r="1316" spans="1:18">
      <c r="A1316" s="4">
        <v>1325</v>
      </c>
      <c r="C1316" s="8" t="str">
        <f>IF(B1316="","",VLOOKUP(B1316,经纬!B:C,2,FALSE))</f>
        <v/>
      </c>
      <c r="D1316" s="8" t="str">
        <f>IF(B1316="","",VLOOKUP(B1316,经纬!B:G,6,FALSE))</f>
        <v/>
      </c>
      <c r="F1316" s="8" t="str">
        <f>IF(B1316="","",VLOOKUP(B1316,小圆机汇总表!A:AP,5,FALSE))</f>
        <v/>
      </c>
      <c r="G1316" s="8" t="str">
        <f>IF(B1316="","",VLOOKUP(B1316,小圆机汇总表!A:AP,8,FALSE))</f>
        <v/>
      </c>
      <c r="P1316" s="8" t="str">
        <f t="shared" si="73"/>
        <v/>
      </c>
      <c r="R1316" s="250" t="str">
        <f t="shared" si="72"/>
        <v/>
      </c>
    </row>
    <row r="1317" spans="1:18">
      <c r="A1317" s="4">
        <v>1326</v>
      </c>
      <c r="C1317" s="8" t="str">
        <f>IF(B1317="","",VLOOKUP(B1317,经纬!B:C,2,FALSE))</f>
        <v/>
      </c>
      <c r="D1317" s="8" t="str">
        <f>IF(B1317="","",VLOOKUP(B1317,经纬!B:G,6,FALSE))</f>
        <v/>
      </c>
      <c r="F1317" s="8" t="str">
        <f>IF(B1317="","",VLOOKUP(B1317,小圆机汇总表!A:AP,5,FALSE))</f>
        <v/>
      </c>
      <c r="G1317" s="8" t="str">
        <f>IF(B1317="","",VLOOKUP(B1317,小圆机汇总表!A:AP,8,FALSE))</f>
        <v/>
      </c>
      <c r="P1317" s="8" t="str">
        <f t="shared" si="73"/>
        <v/>
      </c>
      <c r="R1317" s="250" t="str">
        <f t="shared" si="72"/>
        <v/>
      </c>
    </row>
    <row r="1318" spans="1:18">
      <c r="A1318" s="4">
        <v>1327</v>
      </c>
      <c r="C1318" s="8" t="str">
        <f>IF(B1318="","",VLOOKUP(B1318,经纬!B:C,2,FALSE))</f>
        <v/>
      </c>
      <c r="D1318" s="8" t="str">
        <f>IF(B1318="","",VLOOKUP(B1318,经纬!B:G,6,FALSE))</f>
        <v/>
      </c>
      <c r="F1318" s="8" t="str">
        <f>IF(B1318="","",VLOOKUP(B1318,小圆机汇总表!A:AP,5,FALSE))</f>
        <v/>
      </c>
      <c r="G1318" s="8" t="str">
        <f>IF(B1318="","",VLOOKUP(B1318,小圆机汇总表!A:AP,8,FALSE))</f>
        <v/>
      </c>
      <c r="P1318" s="8" t="str">
        <f t="shared" si="73"/>
        <v/>
      </c>
      <c r="R1318" s="250" t="str">
        <f t="shared" si="72"/>
        <v/>
      </c>
    </row>
    <row r="1319" spans="1:18">
      <c r="A1319" s="4">
        <v>1328</v>
      </c>
      <c r="C1319" s="8" t="str">
        <f>IF(B1319="","",VLOOKUP(B1319,经纬!B:C,2,FALSE))</f>
        <v/>
      </c>
      <c r="D1319" s="8" t="str">
        <f>IF(B1319="","",VLOOKUP(B1319,经纬!B:G,6,FALSE))</f>
        <v/>
      </c>
      <c r="F1319" s="8" t="str">
        <f>IF(B1319="","",VLOOKUP(B1319,小圆机汇总表!A:AP,5,FALSE))</f>
        <v/>
      </c>
      <c r="G1319" s="8" t="str">
        <f>IF(B1319="","",VLOOKUP(B1319,小圆机汇总表!A:AP,8,FALSE))</f>
        <v/>
      </c>
      <c r="P1319" s="8" t="str">
        <f t="shared" si="73"/>
        <v/>
      </c>
      <c r="R1319" s="250" t="str">
        <f t="shared" si="72"/>
        <v/>
      </c>
    </row>
    <row r="1320" spans="1:18">
      <c r="A1320" s="4">
        <v>1329</v>
      </c>
      <c r="C1320" s="8" t="str">
        <f>IF(B1320="","",VLOOKUP(B1320,经纬!B:C,2,FALSE))</f>
        <v/>
      </c>
      <c r="D1320" s="8" t="str">
        <f>IF(B1320="","",VLOOKUP(B1320,经纬!B:G,6,FALSE))</f>
        <v/>
      </c>
      <c r="F1320" s="8" t="str">
        <f>IF(B1320="","",VLOOKUP(B1320,小圆机汇总表!A:AP,5,FALSE))</f>
        <v/>
      </c>
      <c r="G1320" s="8" t="str">
        <f>IF(B1320="","",VLOOKUP(B1320,小圆机汇总表!A:AP,8,FALSE))</f>
        <v/>
      </c>
      <c r="P1320" s="8" t="str">
        <f t="shared" si="73"/>
        <v/>
      </c>
      <c r="R1320" s="250" t="str">
        <f t="shared" si="72"/>
        <v/>
      </c>
    </row>
    <row r="1321" spans="1:18">
      <c r="A1321" s="4">
        <v>1330</v>
      </c>
      <c r="C1321" s="8" t="str">
        <f>IF(B1321="","",VLOOKUP(B1321,经纬!B:C,2,FALSE))</f>
        <v/>
      </c>
      <c r="D1321" s="8" t="str">
        <f>IF(B1321="","",VLOOKUP(B1321,经纬!B:G,6,FALSE))</f>
        <v/>
      </c>
      <c r="F1321" s="8" t="str">
        <f>IF(B1321="","",VLOOKUP(B1321,小圆机汇总表!A:AP,5,FALSE))</f>
        <v/>
      </c>
      <c r="G1321" s="8" t="str">
        <f>IF(B1321="","",VLOOKUP(B1321,小圆机汇总表!A:AP,8,FALSE))</f>
        <v/>
      </c>
      <c r="P1321" s="8" t="str">
        <f t="shared" si="73"/>
        <v/>
      </c>
      <c r="R1321" s="250" t="str">
        <f t="shared" si="72"/>
        <v/>
      </c>
    </row>
    <row r="1322" spans="1:18">
      <c r="A1322" s="4">
        <v>1331</v>
      </c>
      <c r="C1322" s="8" t="str">
        <f>IF(B1322="","",VLOOKUP(B1322,经纬!B:C,2,FALSE))</f>
        <v/>
      </c>
      <c r="D1322" s="8" t="str">
        <f>IF(B1322="","",VLOOKUP(B1322,经纬!B:G,6,FALSE))</f>
        <v/>
      </c>
      <c r="F1322" s="8" t="str">
        <f>IF(B1322="","",VLOOKUP(B1322,小圆机汇总表!A:AP,5,FALSE))</f>
        <v/>
      </c>
      <c r="G1322" s="8" t="str">
        <f>IF(B1322="","",VLOOKUP(B1322,小圆机汇总表!A:AP,8,FALSE))</f>
        <v/>
      </c>
      <c r="P1322" s="8" t="str">
        <f t="shared" si="73"/>
        <v/>
      </c>
      <c r="R1322" s="250" t="str">
        <f t="shared" si="72"/>
        <v/>
      </c>
    </row>
    <row r="1323" spans="1:18">
      <c r="A1323" s="4">
        <v>1332</v>
      </c>
      <c r="C1323" s="8" t="str">
        <f>IF(B1323="","",VLOOKUP(B1323,经纬!B:C,2,FALSE))</f>
        <v/>
      </c>
      <c r="D1323" s="8" t="str">
        <f>IF(B1323="","",VLOOKUP(B1323,经纬!B:G,6,FALSE))</f>
        <v/>
      </c>
      <c r="F1323" s="8" t="str">
        <f>IF(B1323="","",VLOOKUP(B1323,小圆机汇总表!A:AP,5,FALSE))</f>
        <v/>
      </c>
      <c r="G1323" s="8" t="str">
        <f>IF(B1323="","",VLOOKUP(B1323,小圆机汇总表!A:AP,8,FALSE))</f>
        <v/>
      </c>
      <c r="P1323" s="8" t="str">
        <f t="shared" si="73"/>
        <v/>
      </c>
      <c r="R1323" s="250" t="str">
        <f t="shared" si="72"/>
        <v/>
      </c>
    </row>
    <row r="1324" spans="1:18">
      <c r="A1324" s="4">
        <v>1333</v>
      </c>
      <c r="C1324" s="8" t="str">
        <f>IF(B1324="","",VLOOKUP(B1324,经纬!B:C,2,FALSE))</f>
        <v/>
      </c>
      <c r="D1324" s="8" t="str">
        <f>IF(B1324="","",VLOOKUP(B1324,经纬!B:G,6,FALSE))</f>
        <v/>
      </c>
      <c r="F1324" s="8" t="str">
        <f>IF(B1324="","",VLOOKUP(B1324,小圆机汇总表!A:AP,5,FALSE))</f>
        <v/>
      </c>
      <c r="G1324" s="8" t="str">
        <f>IF(B1324="","",VLOOKUP(B1324,小圆机汇总表!A:AP,8,FALSE))</f>
        <v/>
      </c>
      <c r="P1324" s="8" t="str">
        <f t="shared" si="73"/>
        <v/>
      </c>
      <c r="R1324" s="250" t="str">
        <f t="shared" si="72"/>
        <v/>
      </c>
    </row>
    <row r="1325" spans="1:18">
      <c r="A1325" s="4">
        <v>1334</v>
      </c>
      <c r="C1325" s="8" t="str">
        <f>IF(B1325="","",VLOOKUP(B1325,经纬!B:C,2,FALSE))</f>
        <v/>
      </c>
      <c r="D1325" s="8" t="str">
        <f>IF(B1325="","",VLOOKUP(B1325,经纬!B:G,6,FALSE))</f>
        <v/>
      </c>
      <c r="F1325" s="8" t="str">
        <f>IF(B1325="","",VLOOKUP(B1325,小圆机汇总表!A:AP,5,FALSE))</f>
        <v/>
      </c>
      <c r="G1325" s="8" t="str">
        <f>IF(B1325="","",VLOOKUP(B1325,小圆机汇总表!A:AP,8,FALSE))</f>
        <v/>
      </c>
      <c r="P1325" s="8" t="str">
        <f t="shared" si="73"/>
        <v/>
      </c>
      <c r="R1325" s="250" t="str">
        <f t="shared" si="72"/>
        <v/>
      </c>
    </row>
    <row r="1326" spans="1:18">
      <c r="A1326" s="4">
        <v>1335</v>
      </c>
      <c r="C1326" s="8" t="str">
        <f>IF(B1326="","",VLOOKUP(B1326,经纬!B:C,2,FALSE))</f>
        <v/>
      </c>
      <c r="D1326" s="8" t="str">
        <f>IF(B1326="","",VLOOKUP(B1326,经纬!B:G,6,FALSE))</f>
        <v/>
      </c>
      <c r="F1326" s="8" t="str">
        <f>IF(B1326="","",VLOOKUP(B1326,小圆机汇总表!A:AP,5,FALSE))</f>
        <v/>
      </c>
      <c r="G1326" s="8" t="str">
        <f>IF(B1326="","",VLOOKUP(B1326,小圆机汇总表!A:AP,8,FALSE))</f>
        <v/>
      </c>
      <c r="P1326" s="8" t="str">
        <f t="shared" si="73"/>
        <v/>
      </c>
      <c r="R1326" s="250" t="str">
        <f t="shared" si="72"/>
        <v/>
      </c>
    </row>
    <row r="1327" spans="1:18">
      <c r="A1327" s="4">
        <v>1336</v>
      </c>
      <c r="C1327" s="8" t="str">
        <f>IF(B1327="","",VLOOKUP(B1327,经纬!B:C,2,FALSE))</f>
        <v/>
      </c>
      <c r="D1327" s="8" t="str">
        <f>IF(B1327="","",VLOOKUP(B1327,经纬!B:G,6,FALSE))</f>
        <v/>
      </c>
      <c r="F1327" s="8" t="str">
        <f>IF(B1327="","",VLOOKUP(B1327,小圆机汇总表!A:AP,5,FALSE))</f>
        <v/>
      </c>
      <c r="G1327" s="8" t="str">
        <f>IF(B1327="","",VLOOKUP(B1327,小圆机汇总表!A:AP,8,FALSE))</f>
        <v/>
      </c>
      <c r="P1327" s="8" t="str">
        <f t="shared" si="73"/>
        <v/>
      </c>
      <c r="R1327" s="250" t="str">
        <f t="shared" si="72"/>
        <v/>
      </c>
    </row>
    <row r="1328" spans="1:18">
      <c r="A1328" s="4">
        <v>1337</v>
      </c>
      <c r="C1328" s="8" t="str">
        <f>IF(B1328="","",VLOOKUP(B1328,经纬!B:C,2,FALSE))</f>
        <v/>
      </c>
      <c r="D1328" s="8" t="str">
        <f>IF(B1328="","",VLOOKUP(B1328,经纬!B:G,6,FALSE))</f>
        <v/>
      </c>
      <c r="F1328" s="8" t="str">
        <f>IF(B1328="","",VLOOKUP(B1328,小圆机汇总表!A:AP,5,FALSE))</f>
        <v/>
      </c>
      <c r="G1328" s="8" t="str">
        <f>IF(B1328="","",VLOOKUP(B1328,小圆机汇总表!A:AP,8,FALSE))</f>
        <v/>
      </c>
      <c r="P1328" s="8" t="str">
        <f t="shared" si="73"/>
        <v/>
      </c>
      <c r="R1328" s="250" t="str">
        <f t="shared" si="72"/>
        <v/>
      </c>
    </row>
    <row r="1329" spans="1:18">
      <c r="A1329" s="4">
        <v>1338</v>
      </c>
      <c r="C1329" s="8" t="str">
        <f>IF(B1329="","",VLOOKUP(B1329,经纬!B:C,2,FALSE))</f>
        <v/>
      </c>
      <c r="D1329" s="8" t="str">
        <f>IF(B1329="","",VLOOKUP(B1329,经纬!B:G,6,FALSE))</f>
        <v/>
      </c>
      <c r="F1329" s="8" t="str">
        <f>IF(B1329="","",VLOOKUP(B1329,小圆机汇总表!A:AP,5,FALSE))</f>
        <v/>
      </c>
      <c r="G1329" s="8" t="str">
        <f>IF(B1329="","",VLOOKUP(B1329,小圆机汇总表!A:AP,8,FALSE))</f>
        <v/>
      </c>
      <c r="P1329" s="8" t="str">
        <f t="shared" si="73"/>
        <v/>
      </c>
      <c r="R1329" s="250" t="str">
        <f t="shared" si="72"/>
        <v/>
      </c>
    </row>
    <row r="1330" spans="1:18">
      <c r="A1330" s="4">
        <v>1339</v>
      </c>
      <c r="C1330" s="8" t="str">
        <f>IF(B1330="","",VLOOKUP(B1330,经纬!B:C,2,FALSE))</f>
        <v/>
      </c>
      <c r="D1330" s="8" t="str">
        <f>IF(B1330="","",VLOOKUP(B1330,经纬!B:G,6,FALSE))</f>
        <v/>
      </c>
      <c r="F1330" s="8" t="str">
        <f>IF(B1330="","",VLOOKUP(B1330,小圆机汇总表!A:AP,5,FALSE))</f>
        <v/>
      </c>
      <c r="G1330" s="8" t="str">
        <f>IF(B1330="","",VLOOKUP(B1330,小圆机汇总表!A:AP,8,FALSE))</f>
        <v/>
      </c>
      <c r="P1330" s="8" t="str">
        <f t="shared" si="73"/>
        <v/>
      </c>
      <c r="R1330" s="250" t="str">
        <f t="shared" si="72"/>
        <v/>
      </c>
    </row>
    <row r="1331" spans="1:18">
      <c r="A1331" s="4">
        <v>1340</v>
      </c>
      <c r="C1331" s="8" t="str">
        <f>IF(B1331="","",VLOOKUP(B1331,经纬!B:C,2,FALSE))</f>
        <v/>
      </c>
      <c r="D1331" s="8" t="str">
        <f>IF(B1331="","",VLOOKUP(B1331,经纬!B:G,6,FALSE))</f>
        <v/>
      </c>
      <c r="F1331" s="8" t="str">
        <f>IF(B1331="","",VLOOKUP(B1331,小圆机汇总表!A:AP,5,FALSE))</f>
        <v/>
      </c>
      <c r="G1331" s="8" t="str">
        <f>IF(B1331="","",VLOOKUP(B1331,小圆机汇总表!A:AP,8,FALSE))</f>
        <v/>
      </c>
      <c r="P1331" s="8" t="str">
        <f t="shared" si="73"/>
        <v/>
      </c>
      <c r="R1331" s="250" t="str">
        <f t="shared" si="72"/>
        <v/>
      </c>
    </row>
    <row r="1332" spans="1:18">
      <c r="A1332" s="4">
        <v>1341</v>
      </c>
      <c r="C1332" s="8" t="str">
        <f>IF(B1332="","",VLOOKUP(B1332,经纬!B:C,2,FALSE))</f>
        <v/>
      </c>
      <c r="D1332" s="8" t="str">
        <f>IF(B1332="","",VLOOKUP(B1332,经纬!B:G,6,FALSE))</f>
        <v/>
      </c>
      <c r="F1332" s="8" t="str">
        <f>IF(B1332="","",VLOOKUP(B1332,小圆机汇总表!A:AP,5,FALSE))</f>
        <v/>
      </c>
      <c r="G1332" s="8" t="str">
        <f>IF(B1332="","",VLOOKUP(B1332,小圆机汇总表!A:AP,8,FALSE))</f>
        <v/>
      </c>
      <c r="P1332" s="8" t="str">
        <f t="shared" si="73"/>
        <v/>
      </c>
      <c r="R1332" s="250" t="str">
        <f t="shared" si="72"/>
        <v/>
      </c>
    </row>
    <row r="1333" spans="1:18">
      <c r="A1333" s="4">
        <v>1342</v>
      </c>
      <c r="C1333" s="8" t="str">
        <f>IF(B1333="","",VLOOKUP(B1333,经纬!B:C,2,FALSE))</f>
        <v/>
      </c>
      <c r="D1333" s="8" t="str">
        <f>IF(B1333="","",VLOOKUP(B1333,经纬!B:G,6,FALSE))</f>
        <v/>
      </c>
      <c r="F1333" s="8" t="str">
        <f>IF(B1333="","",VLOOKUP(B1333,小圆机汇总表!A:AP,5,FALSE))</f>
        <v/>
      </c>
      <c r="G1333" s="8" t="str">
        <f>IF(B1333="","",VLOOKUP(B1333,小圆机汇总表!A:AP,8,FALSE))</f>
        <v/>
      </c>
      <c r="P1333" s="8" t="str">
        <f t="shared" si="73"/>
        <v/>
      </c>
      <c r="R1333" s="250" t="str">
        <f t="shared" si="72"/>
        <v/>
      </c>
    </row>
    <row r="1334" spans="1:18">
      <c r="A1334" s="4">
        <v>1343</v>
      </c>
      <c r="C1334" s="8" t="str">
        <f>IF(B1334="","",VLOOKUP(B1334,经纬!B:C,2,FALSE))</f>
        <v/>
      </c>
      <c r="D1334" s="8" t="str">
        <f>IF(B1334="","",VLOOKUP(B1334,经纬!B:G,6,FALSE))</f>
        <v/>
      </c>
      <c r="F1334" s="8" t="str">
        <f>IF(B1334="","",VLOOKUP(B1334,小圆机汇总表!A:AP,5,FALSE))</f>
        <v/>
      </c>
      <c r="G1334" s="8" t="str">
        <f>IF(B1334="","",VLOOKUP(B1334,小圆机汇总表!A:AP,8,FALSE))</f>
        <v/>
      </c>
      <c r="P1334" s="8" t="str">
        <f t="shared" si="73"/>
        <v/>
      </c>
      <c r="R1334" s="250" t="str">
        <f t="shared" si="72"/>
        <v/>
      </c>
    </row>
    <row r="1335" spans="1:18">
      <c r="A1335" s="4">
        <v>1344</v>
      </c>
      <c r="C1335" s="8" t="str">
        <f>IF(B1335="","",VLOOKUP(B1335,经纬!B:C,2,FALSE))</f>
        <v/>
      </c>
      <c r="D1335" s="8" t="str">
        <f>IF(B1335="","",VLOOKUP(B1335,经纬!B:G,6,FALSE))</f>
        <v/>
      </c>
      <c r="F1335" s="8" t="str">
        <f>IF(B1335="","",VLOOKUP(B1335,小圆机汇总表!A:AP,5,FALSE))</f>
        <v/>
      </c>
      <c r="G1335" s="8" t="str">
        <f>IF(B1335="","",VLOOKUP(B1335,小圆机汇总表!A:AP,8,FALSE))</f>
        <v/>
      </c>
      <c r="P1335" s="8" t="str">
        <f t="shared" si="73"/>
        <v/>
      </c>
      <c r="R1335" s="250" t="str">
        <f t="shared" si="72"/>
        <v/>
      </c>
    </row>
    <row r="1336" spans="1:18">
      <c r="A1336" s="4">
        <v>1345</v>
      </c>
      <c r="C1336" s="8" t="str">
        <f>IF(B1336="","",VLOOKUP(B1336,经纬!B:C,2,FALSE))</f>
        <v/>
      </c>
      <c r="D1336" s="8" t="str">
        <f>IF(B1336="","",VLOOKUP(B1336,经纬!B:G,6,FALSE))</f>
        <v/>
      </c>
      <c r="F1336" s="8" t="str">
        <f>IF(B1336="","",VLOOKUP(B1336,小圆机汇总表!A:AP,5,FALSE))</f>
        <v/>
      </c>
      <c r="G1336" s="8" t="str">
        <f>IF(B1336="","",VLOOKUP(B1336,小圆机汇总表!A:AP,8,FALSE))</f>
        <v/>
      </c>
      <c r="P1336" s="8" t="str">
        <f t="shared" si="73"/>
        <v/>
      </c>
      <c r="R1336" s="250" t="str">
        <f t="shared" si="72"/>
        <v/>
      </c>
    </row>
    <row r="1337" spans="1:18">
      <c r="A1337" s="4">
        <v>1346</v>
      </c>
      <c r="C1337" s="8" t="str">
        <f>IF(B1337="","",VLOOKUP(B1337,经纬!B:C,2,FALSE))</f>
        <v/>
      </c>
      <c r="D1337" s="8" t="str">
        <f>IF(B1337="","",VLOOKUP(B1337,经纬!B:G,6,FALSE))</f>
        <v/>
      </c>
      <c r="F1337" s="8" t="str">
        <f>IF(B1337="","",VLOOKUP(B1337,小圆机汇总表!A:AP,5,FALSE))</f>
        <v/>
      </c>
      <c r="G1337" s="8" t="str">
        <f>IF(B1337="","",VLOOKUP(B1337,小圆机汇总表!A:AP,8,FALSE))</f>
        <v/>
      </c>
      <c r="P1337" s="8" t="str">
        <f t="shared" si="73"/>
        <v/>
      </c>
      <c r="R1337" s="250" t="str">
        <f t="shared" si="72"/>
        <v/>
      </c>
    </row>
    <row r="1338" spans="1:18">
      <c r="A1338" s="4">
        <v>1347</v>
      </c>
      <c r="C1338" s="8" t="str">
        <f>IF(B1338="","",VLOOKUP(B1338,经纬!B:C,2,FALSE))</f>
        <v/>
      </c>
      <c r="D1338" s="8" t="str">
        <f>IF(B1338="","",VLOOKUP(B1338,经纬!B:G,6,FALSE))</f>
        <v/>
      </c>
      <c r="F1338" s="8" t="str">
        <f>IF(B1338="","",VLOOKUP(B1338,小圆机汇总表!A:AP,5,FALSE))</f>
        <v/>
      </c>
      <c r="G1338" s="8" t="str">
        <f>IF(B1338="","",VLOOKUP(B1338,小圆机汇总表!A:AP,8,FALSE))</f>
        <v/>
      </c>
      <c r="P1338" s="8" t="str">
        <f t="shared" si="73"/>
        <v/>
      </c>
      <c r="R1338" s="250" t="str">
        <f t="shared" si="72"/>
        <v/>
      </c>
    </row>
    <row r="1339" spans="1:18">
      <c r="A1339" s="4">
        <v>1348</v>
      </c>
      <c r="C1339" s="8" t="str">
        <f>IF(B1339="","",VLOOKUP(B1339,经纬!B:C,2,FALSE))</f>
        <v/>
      </c>
      <c r="D1339" s="8" t="str">
        <f>IF(B1339="","",VLOOKUP(B1339,经纬!B:G,6,FALSE))</f>
        <v/>
      </c>
      <c r="F1339" s="8" t="str">
        <f>IF(B1339="","",VLOOKUP(B1339,小圆机汇总表!A:AP,5,FALSE))</f>
        <v/>
      </c>
      <c r="G1339" s="8" t="str">
        <f>IF(B1339="","",VLOOKUP(B1339,小圆机汇总表!A:AP,8,FALSE))</f>
        <v/>
      </c>
      <c r="P1339" s="8" t="str">
        <f t="shared" si="73"/>
        <v/>
      </c>
      <c r="R1339" s="250" t="str">
        <f t="shared" si="72"/>
        <v/>
      </c>
    </row>
    <row r="1340" spans="1:18">
      <c r="A1340" s="4">
        <v>1349</v>
      </c>
      <c r="C1340" s="8" t="str">
        <f>IF(B1340="","",VLOOKUP(B1340,经纬!B:C,2,FALSE))</f>
        <v/>
      </c>
      <c r="D1340" s="8" t="str">
        <f>IF(B1340="","",VLOOKUP(B1340,经纬!B:G,6,FALSE))</f>
        <v/>
      </c>
      <c r="F1340" s="8" t="str">
        <f>IF(B1340="","",VLOOKUP(B1340,小圆机汇总表!A:AP,5,FALSE))</f>
        <v/>
      </c>
      <c r="G1340" s="8" t="str">
        <f>IF(B1340="","",VLOOKUP(B1340,小圆机汇总表!A:AP,8,FALSE))</f>
        <v/>
      </c>
      <c r="P1340" s="8" t="str">
        <f t="shared" si="73"/>
        <v/>
      </c>
      <c r="R1340" s="250" t="str">
        <f t="shared" si="72"/>
        <v/>
      </c>
    </row>
    <row r="1341" spans="1:18">
      <c r="A1341" s="4">
        <v>1350</v>
      </c>
      <c r="C1341" s="8" t="str">
        <f>IF(B1341="","",VLOOKUP(B1341,经纬!B:C,2,FALSE))</f>
        <v/>
      </c>
      <c r="D1341" s="8" t="str">
        <f>IF(B1341="","",VLOOKUP(B1341,经纬!B:G,6,FALSE))</f>
        <v/>
      </c>
      <c r="F1341" s="8" t="str">
        <f>IF(B1341="","",VLOOKUP(B1341,小圆机汇总表!A:AP,5,FALSE))</f>
        <v/>
      </c>
      <c r="G1341" s="8" t="str">
        <f>IF(B1341="","",VLOOKUP(B1341,小圆机汇总表!A:AP,8,FALSE))</f>
        <v/>
      </c>
      <c r="P1341" s="8" t="str">
        <f t="shared" si="73"/>
        <v/>
      </c>
      <c r="R1341" s="250" t="str">
        <f t="shared" si="72"/>
        <v/>
      </c>
    </row>
    <row r="1342" spans="1:18">
      <c r="A1342" s="4">
        <v>1351</v>
      </c>
      <c r="C1342" s="8" t="str">
        <f>IF(B1342="","",VLOOKUP(B1342,经纬!B:C,2,FALSE))</f>
        <v/>
      </c>
      <c r="D1342" s="8" t="str">
        <f>IF(B1342="","",VLOOKUP(B1342,经纬!B:G,6,FALSE))</f>
        <v/>
      </c>
      <c r="F1342" s="8" t="str">
        <f>IF(B1342="","",VLOOKUP(B1342,小圆机汇总表!A:AP,5,FALSE))</f>
        <v/>
      </c>
      <c r="G1342" s="8" t="str">
        <f>IF(B1342="","",VLOOKUP(B1342,小圆机汇总表!A:AP,8,FALSE))</f>
        <v/>
      </c>
      <c r="P1342" s="8" t="str">
        <f t="shared" si="73"/>
        <v/>
      </c>
      <c r="R1342" s="250" t="str">
        <f t="shared" si="72"/>
        <v/>
      </c>
    </row>
    <row r="1343" spans="1:18">
      <c r="A1343" s="4">
        <v>1352</v>
      </c>
      <c r="C1343" s="8" t="str">
        <f>IF(B1343="","",VLOOKUP(B1343,经纬!B:C,2,FALSE))</f>
        <v/>
      </c>
      <c r="D1343" s="8" t="str">
        <f>IF(B1343="","",VLOOKUP(B1343,经纬!B:G,6,FALSE))</f>
        <v/>
      </c>
      <c r="F1343" s="8" t="str">
        <f>IF(B1343="","",VLOOKUP(B1343,小圆机汇总表!A:AP,5,FALSE))</f>
        <v/>
      </c>
      <c r="G1343" s="8" t="str">
        <f>IF(B1343="","",VLOOKUP(B1343,小圆机汇总表!A:AP,8,FALSE))</f>
        <v/>
      </c>
      <c r="P1343" s="8" t="str">
        <f t="shared" si="73"/>
        <v/>
      </c>
      <c r="R1343" s="250" t="str">
        <f t="shared" si="72"/>
        <v/>
      </c>
    </row>
    <row r="1344" spans="1:18">
      <c r="A1344" s="4">
        <v>1353</v>
      </c>
      <c r="C1344" s="8" t="str">
        <f>IF(B1344="","",VLOOKUP(B1344,经纬!B:C,2,FALSE))</f>
        <v/>
      </c>
      <c r="D1344" s="8" t="str">
        <f>IF(B1344="","",VLOOKUP(B1344,经纬!B:G,6,FALSE))</f>
        <v/>
      </c>
      <c r="F1344" s="8" t="str">
        <f>IF(B1344="","",VLOOKUP(B1344,小圆机汇总表!A:AP,5,FALSE))</f>
        <v/>
      </c>
      <c r="G1344" s="8" t="str">
        <f>IF(B1344="","",VLOOKUP(B1344,小圆机汇总表!A:AP,8,FALSE))</f>
        <v/>
      </c>
      <c r="P1344" s="8" t="str">
        <f t="shared" si="73"/>
        <v/>
      </c>
      <c r="R1344" s="250" t="str">
        <f t="shared" si="72"/>
        <v/>
      </c>
    </row>
    <row r="1345" spans="1:18">
      <c r="A1345" s="4">
        <v>1354</v>
      </c>
      <c r="C1345" s="8" t="str">
        <f>IF(B1345="","",VLOOKUP(B1345,经纬!B:C,2,FALSE))</f>
        <v/>
      </c>
      <c r="D1345" s="8" t="str">
        <f>IF(B1345="","",VLOOKUP(B1345,经纬!B:G,6,FALSE))</f>
        <v/>
      </c>
      <c r="F1345" s="8" t="str">
        <f>IF(B1345="","",VLOOKUP(B1345,小圆机汇总表!A:AP,5,FALSE))</f>
        <v/>
      </c>
      <c r="G1345" s="8" t="str">
        <f>IF(B1345="","",VLOOKUP(B1345,小圆机汇总表!A:AP,8,FALSE))</f>
        <v/>
      </c>
      <c r="P1345" s="8" t="str">
        <f t="shared" si="73"/>
        <v/>
      </c>
      <c r="R1345" s="250" t="str">
        <f t="shared" si="72"/>
        <v/>
      </c>
    </row>
    <row r="1346" spans="1:18">
      <c r="A1346" s="4">
        <v>1355</v>
      </c>
      <c r="C1346" s="8" t="str">
        <f>IF(B1346="","",VLOOKUP(B1346,经纬!B:C,2,FALSE))</f>
        <v/>
      </c>
      <c r="D1346" s="8" t="str">
        <f>IF(B1346="","",VLOOKUP(B1346,经纬!B:G,6,FALSE))</f>
        <v/>
      </c>
      <c r="F1346" s="8" t="str">
        <f>IF(B1346="","",VLOOKUP(B1346,小圆机汇总表!A:AP,5,FALSE))</f>
        <v/>
      </c>
      <c r="G1346" s="8" t="str">
        <f>IF(B1346="","",VLOOKUP(B1346,小圆机汇总表!A:AP,8,FALSE))</f>
        <v/>
      </c>
      <c r="P1346" s="8" t="str">
        <f t="shared" si="73"/>
        <v/>
      </c>
      <c r="R1346" s="250" t="str">
        <f t="shared" si="72"/>
        <v/>
      </c>
    </row>
    <row r="1347" spans="1:18">
      <c r="A1347" s="4">
        <v>1356</v>
      </c>
      <c r="C1347" s="8" t="str">
        <f>IF(B1347="","",VLOOKUP(B1347,经纬!B:C,2,FALSE))</f>
        <v/>
      </c>
      <c r="D1347" s="8" t="str">
        <f>IF(B1347="","",VLOOKUP(B1347,经纬!B:G,6,FALSE))</f>
        <v/>
      </c>
      <c r="F1347" s="8" t="str">
        <f>IF(B1347="","",VLOOKUP(B1347,小圆机汇总表!A:AP,5,FALSE))</f>
        <v/>
      </c>
      <c r="G1347" s="8" t="str">
        <f>IF(B1347="","",VLOOKUP(B1347,小圆机汇总表!A:AP,8,FALSE))</f>
        <v/>
      </c>
      <c r="P1347" s="8" t="str">
        <f t="shared" si="73"/>
        <v/>
      </c>
      <c r="R1347" s="250" t="str">
        <f t="shared" ref="R1347:R1410" si="74">IF(B1347="","",MONTH(I1347))</f>
        <v/>
      </c>
    </row>
    <row r="1348" spans="1:18">
      <c r="A1348" s="4">
        <v>1357</v>
      </c>
      <c r="C1348" s="8" t="str">
        <f>IF(B1348="","",VLOOKUP(B1348,经纬!B:C,2,FALSE))</f>
        <v/>
      </c>
      <c r="D1348" s="8" t="str">
        <f>IF(B1348="","",VLOOKUP(B1348,经纬!B:G,6,FALSE))</f>
        <v/>
      </c>
      <c r="F1348" s="8" t="str">
        <f>IF(B1348="","",VLOOKUP(B1348,小圆机汇总表!A:AP,5,FALSE))</f>
        <v/>
      </c>
      <c r="G1348" s="8" t="str">
        <f>IF(B1348="","",VLOOKUP(B1348,小圆机汇总表!A:AP,8,FALSE))</f>
        <v/>
      </c>
      <c r="P1348" s="8" t="str">
        <f t="shared" si="73"/>
        <v/>
      </c>
      <c r="R1348" s="250" t="str">
        <f t="shared" si="74"/>
        <v/>
      </c>
    </row>
    <row r="1349" spans="1:18">
      <c r="A1349" s="4">
        <v>1358</v>
      </c>
      <c r="C1349" s="8" t="str">
        <f>IF(B1349="","",VLOOKUP(B1349,经纬!B:C,2,FALSE))</f>
        <v/>
      </c>
      <c r="D1349" s="8" t="str">
        <f>IF(B1349="","",VLOOKUP(B1349,经纬!B:G,6,FALSE))</f>
        <v/>
      </c>
      <c r="F1349" s="8" t="str">
        <f>IF(B1349="","",VLOOKUP(B1349,小圆机汇总表!A:AP,5,FALSE))</f>
        <v/>
      </c>
      <c r="G1349" s="8" t="str">
        <f>IF(B1349="","",VLOOKUP(B1349,小圆机汇总表!A:AP,8,FALSE))</f>
        <v/>
      </c>
      <c r="P1349" s="8" t="str">
        <f t="shared" si="73"/>
        <v/>
      </c>
      <c r="R1349" s="250" t="str">
        <f t="shared" si="74"/>
        <v/>
      </c>
    </row>
    <row r="1350" spans="1:18">
      <c r="A1350" s="4">
        <v>1359</v>
      </c>
      <c r="C1350" s="8" t="str">
        <f>IF(B1350="","",VLOOKUP(B1350,经纬!B:C,2,FALSE))</f>
        <v/>
      </c>
      <c r="D1350" s="8" t="str">
        <f>IF(B1350="","",VLOOKUP(B1350,经纬!B:G,6,FALSE))</f>
        <v/>
      </c>
      <c r="F1350" s="8" t="str">
        <f>IF(B1350="","",VLOOKUP(B1350,小圆机汇总表!A:AP,5,FALSE))</f>
        <v/>
      </c>
      <c r="G1350" s="8" t="str">
        <f>IF(B1350="","",VLOOKUP(B1350,小圆机汇总表!A:AP,8,FALSE))</f>
        <v/>
      </c>
      <c r="P1350" s="8" t="str">
        <f t="shared" si="73"/>
        <v/>
      </c>
      <c r="R1350" s="250" t="str">
        <f t="shared" si="74"/>
        <v/>
      </c>
    </row>
    <row r="1351" spans="1:18">
      <c r="A1351" s="4">
        <v>1360</v>
      </c>
      <c r="C1351" s="8" t="str">
        <f>IF(B1351="","",VLOOKUP(B1351,经纬!B:C,2,FALSE))</f>
        <v/>
      </c>
      <c r="D1351" s="8" t="str">
        <f>IF(B1351="","",VLOOKUP(B1351,经纬!B:G,6,FALSE))</f>
        <v/>
      </c>
      <c r="F1351" s="8" t="str">
        <f>IF(B1351="","",VLOOKUP(B1351,小圆机汇总表!A:AP,5,FALSE))</f>
        <v/>
      </c>
      <c r="G1351" s="8" t="str">
        <f>IF(B1351="","",VLOOKUP(B1351,小圆机汇总表!A:AP,8,FALSE))</f>
        <v/>
      </c>
      <c r="P1351" s="8" t="str">
        <f t="shared" si="73"/>
        <v/>
      </c>
      <c r="R1351" s="250" t="str">
        <f t="shared" si="74"/>
        <v/>
      </c>
    </row>
    <row r="1352" spans="1:18">
      <c r="A1352" s="4">
        <v>1361</v>
      </c>
      <c r="C1352" s="8" t="str">
        <f>IF(B1352="","",VLOOKUP(B1352,经纬!B:C,2,FALSE))</f>
        <v/>
      </c>
      <c r="D1352" s="8" t="str">
        <f>IF(B1352="","",VLOOKUP(B1352,经纬!B:G,6,FALSE))</f>
        <v/>
      </c>
      <c r="F1352" s="8" t="str">
        <f>IF(B1352="","",VLOOKUP(B1352,小圆机汇总表!A:AP,5,FALSE))</f>
        <v/>
      </c>
      <c r="G1352" s="8" t="str">
        <f>IF(B1352="","",VLOOKUP(B1352,小圆机汇总表!A:AP,8,FALSE))</f>
        <v/>
      </c>
      <c r="P1352" s="8" t="str">
        <f t="shared" si="73"/>
        <v/>
      </c>
      <c r="R1352" s="250" t="str">
        <f t="shared" si="74"/>
        <v/>
      </c>
    </row>
    <row r="1353" spans="1:18">
      <c r="A1353" s="4">
        <v>1362</v>
      </c>
      <c r="C1353" s="8" t="str">
        <f>IF(B1353="","",VLOOKUP(B1353,经纬!B:C,2,FALSE))</f>
        <v/>
      </c>
      <c r="D1353" s="8" t="str">
        <f>IF(B1353="","",VLOOKUP(B1353,经纬!B:G,6,FALSE))</f>
        <v/>
      </c>
      <c r="F1353" s="8" t="str">
        <f>IF(B1353="","",VLOOKUP(B1353,小圆机汇总表!A:AP,5,FALSE))</f>
        <v/>
      </c>
      <c r="G1353" s="8" t="str">
        <f>IF(B1353="","",VLOOKUP(B1353,小圆机汇总表!A:AP,8,FALSE))</f>
        <v/>
      </c>
      <c r="P1353" s="8" t="str">
        <f t="shared" si="73"/>
        <v/>
      </c>
      <c r="R1353" s="250" t="str">
        <f t="shared" si="74"/>
        <v/>
      </c>
    </row>
    <row r="1354" spans="1:18">
      <c r="A1354" s="4">
        <v>1363</v>
      </c>
      <c r="C1354" s="8" t="str">
        <f>IF(B1354="","",VLOOKUP(B1354,经纬!B:C,2,FALSE))</f>
        <v/>
      </c>
      <c r="D1354" s="8" t="str">
        <f>IF(B1354="","",VLOOKUP(B1354,经纬!B:G,6,FALSE))</f>
        <v/>
      </c>
      <c r="F1354" s="8" t="str">
        <f>IF(B1354="","",VLOOKUP(B1354,小圆机汇总表!A:AP,5,FALSE))</f>
        <v/>
      </c>
      <c r="G1354" s="8" t="str">
        <f>IF(B1354="","",VLOOKUP(B1354,小圆机汇总表!A:AP,8,FALSE))</f>
        <v/>
      </c>
      <c r="P1354" s="8" t="str">
        <f t="shared" si="73"/>
        <v/>
      </c>
      <c r="R1354" s="250" t="str">
        <f t="shared" si="74"/>
        <v/>
      </c>
    </row>
    <row r="1355" spans="1:18">
      <c r="A1355" s="4">
        <v>1364</v>
      </c>
      <c r="C1355" s="8" t="str">
        <f>IF(B1355="","",VLOOKUP(B1355,经纬!B:C,2,FALSE))</f>
        <v/>
      </c>
      <c r="D1355" s="8" t="str">
        <f>IF(B1355="","",VLOOKUP(B1355,经纬!B:G,6,FALSE))</f>
        <v/>
      </c>
      <c r="F1355" s="8" t="str">
        <f>IF(B1355="","",VLOOKUP(B1355,小圆机汇总表!A:AP,5,FALSE))</f>
        <v/>
      </c>
      <c r="G1355" s="8" t="str">
        <f>IF(B1355="","",VLOOKUP(B1355,小圆机汇总表!A:AP,8,FALSE))</f>
        <v/>
      </c>
      <c r="P1355" s="8" t="str">
        <f t="shared" si="73"/>
        <v/>
      </c>
      <c r="R1355" s="250" t="str">
        <f t="shared" si="74"/>
        <v/>
      </c>
    </row>
    <row r="1356" spans="1:18">
      <c r="A1356" s="4">
        <v>1365</v>
      </c>
      <c r="C1356" s="8" t="str">
        <f>IF(B1356="","",VLOOKUP(B1356,经纬!B:C,2,FALSE))</f>
        <v/>
      </c>
      <c r="D1356" s="8" t="str">
        <f>IF(B1356="","",VLOOKUP(B1356,经纬!B:G,6,FALSE))</f>
        <v/>
      </c>
      <c r="F1356" s="8" t="str">
        <f>IF(B1356="","",VLOOKUP(B1356,小圆机汇总表!A:AP,5,FALSE))</f>
        <v/>
      </c>
      <c r="G1356" s="8" t="str">
        <f>IF(B1356="","",VLOOKUP(B1356,小圆机汇总表!A:AP,8,FALSE))</f>
        <v/>
      </c>
      <c r="P1356" s="8" t="str">
        <f t="shared" si="73"/>
        <v/>
      </c>
      <c r="R1356" s="250" t="str">
        <f t="shared" si="74"/>
        <v/>
      </c>
    </row>
    <row r="1357" spans="1:18">
      <c r="A1357" s="4">
        <v>1366</v>
      </c>
      <c r="C1357" s="8" t="str">
        <f>IF(B1357="","",VLOOKUP(B1357,经纬!B:C,2,FALSE))</f>
        <v/>
      </c>
      <c r="D1357" s="8" t="str">
        <f>IF(B1357="","",VLOOKUP(B1357,经纬!B:G,6,FALSE))</f>
        <v/>
      </c>
      <c r="F1357" s="8" t="str">
        <f>IF(B1357="","",VLOOKUP(B1357,小圆机汇总表!A:AP,5,FALSE))</f>
        <v/>
      </c>
      <c r="G1357" s="8" t="str">
        <f>IF(B1357="","",VLOOKUP(B1357,小圆机汇总表!A:AP,8,FALSE))</f>
        <v/>
      </c>
      <c r="P1357" s="8" t="str">
        <f t="shared" si="73"/>
        <v/>
      </c>
      <c r="R1357" s="250" t="str">
        <f t="shared" si="74"/>
        <v/>
      </c>
    </row>
    <row r="1358" spans="1:18">
      <c r="A1358" s="4">
        <v>1367</v>
      </c>
      <c r="C1358" s="8" t="str">
        <f>IF(B1358="","",VLOOKUP(B1358,经纬!B:C,2,FALSE))</f>
        <v/>
      </c>
      <c r="D1358" s="8" t="str">
        <f>IF(B1358="","",VLOOKUP(B1358,经纬!B:G,6,FALSE))</f>
        <v/>
      </c>
      <c r="F1358" s="8" t="str">
        <f>IF(B1358="","",VLOOKUP(B1358,小圆机汇总表!A:AP,5,FALSE))</f>
        <v/>
      </c>
      <c r="G1358" s="8" t="str">
        <f>IF(B1358="","",VLOOKUP(B1358,小圆机汇总表!A:AP,8,FALSE))</f>
        <v/>
      </c>
      <c r="P1358" s="8" t="str">
        <f t="shared" si="73"/>
        <v/>
      </c>
      <c r="R1358" s="250" t="str">
        <f t="shared" si="74"/>
        <v/>
      </c>
    </row>
    <row r="1359" spans="1:18">
      <c r="A1359" s="4">
        <v>1368</v>
      </c>
      <c r="C1359" s="8" t="str">
        <f>IF(B1359="","",VLOOKUP(B1359,经纬!B:C,2,FALSE))</f>
        <v/>
      </c>
      <c r="D1359" s="8" t="str">
        <f>IF(B1359="","",VLOOKUP(B1359,经纬!B:G,6,FALSE))</f>
        <v/>
      </c>
      <c r="F1359" s="8" t="str">
        <f>IF(B1359="","",VLOOKUP(B1359,小圆机汇总表!A:AP,5,FALSE))</f>
        <v/>
      </c>
      <c r="G1359" s="8" t="str">
        <f>IF(B1359="","",VLOOKUP(B1359,小圆机汇总表!A:AP,8,FALSE))</f>
        <v/>
      </c>
      <c r="P1359" s="8" t="str">
        <f t="shared" si="73"/>
        <v/>
      </c>
      <c r="R1359" s="250" t="str">
        <f t="shared" si="74"/>
        <v/>
      </c>
    </row>
    <row r="1360" spans="1:18">
      <c r="A1360" s="4">
        <v>1369</v>
      </c>
      <c r="C1360" s="8" t="str">
        <f>IF(B1360="","",VLOOKUP(B1360,经纬!B:C,2,FALSE))</f>
        <v/>
      </c>
      <c r="D1360" s="8" t="str">
        <f>IF(B1360="","",VLOOKUP(B1360,经纬!B:G,6,FALSE))</f>
        <v/>
      </c>
      <c r="F1360" s="8" t="str">
        <f>IF(B1360="","",VLOOKUP(B1360,小圆机汇总表!A:AP,5,FALSE))</f>
        <v/>
      </c>
      <c r="G1360" s="8" t="str">
        <f>IF(B1360="","",VLOOKUP(B1360,小圆机汇总表!A:AP,8,FALSE))</f>
        <v/>
      </c>
      <c r="P1360" s="8" t="str">
        <f t="shared" si="73"/>
        <v/>
      </c>
      <c r="R1360" s="250" t="str">
        <f t="shared" si="74"/>
        <v/>
      </c>
    </row>
    <row r="1361" spans="1:18">
      <c r="A1361" s="4">
        <v>1370</v>
      </c>
      <c r="C1361" s="8" t="str">
        <f>IF(B1361="","",VLOOKUP(B1361,经纬!B:C,2,FALSE))</f>
        <v/>
      </c>
      <c r="D1361" s="8" t="str">
        <f>IF(B1361="","",VLOOKUP(B1361,经纬!B:G,6,FALSE))</f>
        <v/>
      </c>
      <c r="F1361" s="8" t="str">
        <f>IF(B1361="","",VLOOKUP(B1361,小圆机汇总表!A:AP,5,FALSE))</f>
        <v/>
      </c>
      <c r="G1361" s="8" t="str">
        <f>IF(B1361="","",VLOOKUP(B1361,小圆机汇总表!A:AP,8,FALSE))</f>
        <v/>
      </c>
      <c r="P1361" s="8" t="str">
        <f t="shared" si="73"/>
        <v/>
      </c>
      <c r="R1361" s="250" t="str">
        <f t="shared" si="74"/>
        <v/>
      </c>
    </row>
    <row r="1362" spans="1:18">
      <c r="A1362" s="4">
        <v>1371</v>
      </c>
      <c r="C1362" s="8" t="str">
        <f>IF(B1362="","",VLOOKUP(B1362,经纬!B:C,2,FALSE))</f>
        <v/>
      </c>
      <c r="D1362" s="8" t="str">
        <f>IF(B1362="","",VLOOKUP(B1362,经纬!B:G,6,FALSE))</f>
        <v/>
      </c>
      <c r="F1362" s="8" t="str">
        <f>IF(B1362="","",VLOOKUP(B1362,小圆机汇总表!A:AP,5,FALSE))</f>
        <v/>
      </c>
      <c r="G1362" s="8" t="str">
        <f>IF(B1362="","",VLOOKUP(B1362,小圆机汇总表!A:AP,8,FALSE))</f>
        <v/>
      </c>
      <c r="P1362" s="8" t="str">
        <f t="shared" si="73"/>
        <v/>
      </c>
      <c r="R1362" s="250" t="str">
        <f t="shared" si="74"/>
        <v/>
      </c>
    </row>
    <row r="1363" spans="1:18">
      <c r="A1363" s="4">
        <v>1372</v>
      </c>
      <c r="C1363" s="8" t="str">
        <f>IF(B1363="","",VLOOKUP(B1363,经纬!B:C,2,FALSE))</f>
        <v/>
      </c>
      <c r="D1363" s="8" t="str">
        <f>IF(B1363="","",VLOOKUP(B1363,经纬!B:G,6,FALSE))</f>
        <v/>
      </c>
      <c r="F1363" s="8" t="str">
        <f>IF(B1363="","",VLOOKUP(B1363,小圆机汇总表!A:AP,5,FALSE))</f>
        <v/>
      </c>
      <c r="G1363" s="8" t="str">
        <f>IF(B1363="","",VLOOKUP(B1363,小圆机汇总表!A:AP,8,FALSE))</f>
        <v/>
      </c>
      <c r="P1363" s="8" t="str">
        <f t="shared" si="73"/>
        <v/>
      </c>
      <c r="R1363" s="250" t="str">
        <f t="shared" si="74"/>
        <v/>
      </c>
    </row>
    <row r="1364" spans="1:18">
      <c r="A1364" s="4">
        <v>1373</v>
      </c>
      <c r="C1364" s="8" t="str">
        <f>IF(B1364="","",VLOOKUP(B1364,经纬!B:C,2,FALSE))</f>
        <v/>
      </c>
      <c r="D1364" s="8" t="str">
        <f>IF(B1364="","",VLOOKUP(B1364,经纬!B:G,6,FALSE))</f>
        <v/>
      </c>
      <c r="F1364" s="8" t="str">
        <f>IF(B1364="","",VLOOKUP(B1364,小圆机汇总表!A:AP,5,FALSE))</f>
        <v/>
      </c>
      <c r="G1364" s="8" t="str">
        <f>IF(B1364="","",VLOOKUP(B1364,小圆机汇总表!A:AP,8,FALSE))</f>
        <v/>
      </c>
      <c r="P1364" s="8" t="str">
        <f t="shared" si="73"/>
        <v/>
      </c>
      <c r="R1364" s="250" t="str">
        <f t="shared" si="74"/>
        <v/>
      </c>
    </row>
    <row r="1365" spans="1:18">
      <c r="A1365" s="4">
        <v>1374</v>
      </c>
      <c r="C1365" s="8" t="str">
        <f>IF(B1365="","",VLOOKUP(B1365,经纬!B:C,2,FALSE))</f>
        <v/>
      </c>
      <c r="D1365" s="8" t="str">
        <f>IF(B1365="","",VLOOKUP(B1365,经纬!B:G,6,FALSE))</f>
        <v/>
      </c>
      <c r="F1365" s="8" t="str">
        <f>IF(B1365="","",VLOOKUP(B1365,小圆机汇总表!A:AP,5,FALSE))</f>
        <v/>
      </c>
      <c r="G1365" s="8" t="str">
        <f>IF(B1365="","",VLOOKUP(B1365,小圆机汇总表!A:AP,8,FALSE))</f>
        <v/>
      </c>
      <c r="P1365" s="8" t="str">
        <f t="shared" si="73"/>
        <v/>
      </c>
      <c r="R1365" s="250" t="str">
        <f t="shared" si="74"/>
        <v/>
      </c>
    </row>
    <row r="1366" spans="1:18">
      <c r="A1366" s="4">
        <v>1375</v>
      </c>
      <c r="C1366" s="8" t="str">
        <f>IF(B1366="","",VLOOKUP(B1366,经纬!B:C,2,FALSE))</f>
        <v/>
      </c>
      <c r="D1366" s="8" t="str">
        <f>IF(B1366="","",VLOOKUP(B1366,经纬!B:G,6,FALSE))</f>
        <v/>
      </c>
      <c r="F1366" s="8" t="str">
        <f>IF(B1366="","",VLOOKUP(B1366,小圆机汇总表!A:AP,5,FALSE))</f>
        <v/>
      </c>
      <c r="G1366" s="8" t="str">
        <f>IF(B1366="","",VLOOKUP(B1366,小圆机汇总表!A:AP,8,FALSE))</f>
        <v/>
      </c>
      <c r="P1366" s="8" t="str">
        <f t="shared" si="73"/>
        <v/>
      </c>
      <c r="R1366" s="250" t="str">
        <f t="shared" si="74"/>
        <v/>
      </c>
    </row>
    <row r="1367" spans="1:18">
      <c r="A1367" s="4">
        <v>1376</v>
      </c>
      <c r="C1367" s="8" t="str">
        <f>IF(B1367="","",VLOOKUP(B1367,经纬!B:C,2,FALSE))</f>
        <v/>
      </c>
      <c r="D1367" s="8" t="str">
        <f>IF(B1367="","",VLOOKUP(B1367,经纬!B:G,6,FALSE))</f>
        <v/>
      </c>
      <c r="F1367" s="8" t="str">
        <f>IF(B1367="","",VLOOKUP(B1367,小圆机汇总表!A:AP,5,FALSE))</f>
        <v/>
      </c>
      <c r="G1367" s="8" t="str">
        <f>IF(B1367="","",VLOOKUP(B1367,小圆机汇总表!A:AP,8,FALSE))</f>
        <v/>
      </c>
      <c r="P1367" s="8" t="str">
        <f t="shared" si="73"/>
        <v/>
      </c>
      <c r="R1367" s="250" t="str">
        <f t="shared" si="74"/>
        <v/>
      </c>
    </row>
    <row r="1368" spans="1:18">
      <c r="A1368" s="4">
        <v>1377</v>
      </c>
      <c r="C1368" s="8" t="str">
        <f>IF(B1368="","",VLOOKUP(B1368,经纬!B:C,2,FALSE))</f>
        <v/>
      </c>
      <c r="D1368" s="8" t="str">
        <f>IF(B1368="","",VLOOKUP(B1368,经纬!B:G,6,FALSE))</f>
        <v/>
      </c>
      <c r="F1368" s="8" t="str">
        <f>IF(B1368="","",VLOOKUP(B1368,小圆机汇总表!A:AP,5,FALSE))</f>
        <v/>
      </c>
      <c r="G1368" s="8" t="str">
        <f>IF(B1368="","",VLOOKUP(B1368,小圆机汇总表!A:AP,8,FALSE))</f>
        <v/>
      </c>
      <c r="P1368" s="8" t="str">
        <f t="shared" si="73"/>
        <v/>
      </c>
      <c r="R1368" s="250" t="str">
        <f t="shared" si="74"/>
        <v/>
      </c>
    </row>
    <row r="1369" spans="1:18">
      <c r="A1369" s="4">
        <v>1378</v>
      </c>
      <c r="C1369" s="8" t="str">
        <f>IF(B1369="","",VLOOKUP(B1369,经纬!B:C,2,FALSE))</f>
        <v/>
      </c>
      <c r="D1369" s="8" t="str">
        <f>IF(B1369="","",VLOOKUP(B1369,经纬!B:G,6,FALSE))</f>
        <v/>
      </c>
      <c r="F1369" s="8" t="str">
        <f>IF(B1369="","",VLOOKUP(B1369,小圆机汇总表!A:AP,5,FALSE))</f>
        <v/>
      </c>
      <c r="G1369" s="8" t="str">
        <f>IF(B1369="","",VLOOKUP(B1369,小圆机汇总表!A:AP,8,FALSE))</f>
        <v/>
      </c>
      <c r="P1369" s="8" t="str">
        <f t="shared" si="73"/>
        <v/>
      </c>
      <c r="R1369" s="250" t="str">
        <f t="shared" si="74"/>
        <v/>
      </c>
    </row>
    <row r="1370" spans="1:18">
      <c r="A1370" s="4">
        <v>1379</v>
      </c>
      <c r="C1370" s="8" t="str">
        <f>IF(B1370="","",VLOOKUP(B1370,经纬!B:C,2,FALSE))</f>
        <v/>
      </c>
      <c r="D1370" s="8" t="str">
        <f>IF(B1370="","",VLOOKUP(B1370,经纬!B:G,6,FALSE))</f>
        <v/>
      </c>
      <c r="F1370" s="8" t="str">
        <f>IF(B1370="","",VLOOKUP(B1370,小圆机汇总表!A:AP,5,FALSE))</f>
        <v/>
      </c>
      <c r="G1370" s="8" t="str">
        <f>IF(B1370="","",VLOOKUP(B1370,小圆机汇总表!A:AP,8,FALSE))</f>
        <v/>
      </c>
      <c r="P1370" s="8" t="str">
        <f t="shared" ref="P1370:P1433" si="75">IF(B1370="","",MONTH(I1370))</f>
        <v/>
      </c>
      <c r="R1370" s="250" t="str">
        <f t="shared" si="74"/>
        <v/>
      </c>
    </row>
    <row r="1371" spans="1:18">
      <c r="A1371" s="4">
        <v>1380</v>
      </c>
      <c r="C1371" s="8" t="str">
        <f>IF(B1371="","",VLOOKUP(B1371,经纬!B:C,2,FALSE))</f>
        <v/>
      </c>
      <c r="D1371" s="8" t="str">
        <f>IF(B1371="","",VLOOKUP(B1371,经纬!B:G,6,FALSE))</f>
        <v/>
      </c>
      <c r="F1371" s="8" t="str">
        <f>IF(B1371="","",VLOOKUP(B1371,小圆机汇总表!A:AP,5,FALSE))</f>
        <v/>
      </c>
      <c r="G1371" s="8" t="str">
        <f>IF(B1371="","",VLOOKUP(B1371,小圆机汇总表!A:AP,8,FALSE))</f>
        <v/>
      </c>
      <c r="P1371" s="8" t="str">
        <f t="shared" si="75"/>
        <v/>
      </c>
      <c r="R1371" s="250" t="str">
        <f t="shared" si="74"/>
        <v/>
      </c>
    </row>
    <row r="1372" spans="1:18">
      <c r="A1372" s="4">
        <v>1381</v>
      </c>
      <c r="C1372" s="8" t="str">
        <f>IF(B1372="","",VLOOKUP(B1372,经纬!B:C,2,FALSE))</f>
        <v/>
      </c>
      <c r="D1372" s="8" t="str">
        <f>IF(B1372="","",VLOOKUP(B1372,经纬!B:G,6,FALSE))</f>
        <v/>
      </c>
      <c r="F1372" s="8" t="str">
        <f>IF(B1372="","",VLOOKUP(B1372,小圆机汇总表!A:AP,5,FALSE))</f>
        <v/>
      </c>
      <c r="G1372" s="8" t="str">
        <f>IF(B1372="","",VLOOKUP(B1372,小圆机汇总表!A:AP,8,FALSE))</f>
        <v/>
      </c>
      <c r="P1372" s="8" t="str">
        <f t="shared" si="75"/>
        <v/>
      </c>
      <c r="R1372" s="250" t="str">
        <f t="shared" si="74"/>
        <v/>
      </c>
    </row>
    <row r="1373" spans="1:18">
      <c r="A1373" s="4">
        <v>1382</v>
      </c>
      <c r="C1373" s="8" t="str">
        <f>IF(B1373="","",VLOOKUP(B1373,经纬!B:C,2,FALSE))</f>
        <v/>
      </c>
      <c r="D1373" s="8" t="str">
        <f>IF(B1373="","",VLOOKUP(B1373,经纬!B:G,6,FALSE))</f>
        <v/>
      </c>
      <c r="F1373" s="8" t="str">
        <f>IF(B1373="","",VLOOKUP(B1373,小圆机汇总表!A:AP,5,FALSE))</f>
        <v/>
      </c>
      <c r="G1373" s="8" t="str">
        <f>IF(B1373="","",VLOOKUP(B1373,小圆机汇总表!A:AP,8,FALSE))</f>
        <v/>
      </c>
      <c r="P1373" s="8" t="str">
        <f t="shared" si="75"/>
        <v/>
      </c>
      <c r="R1373" s="250" t="str">
        <f t="shared" si="74"/>
        <v/>
      </c>
    </row>
    <row r="1374" spans="1:18">
      <c r="A1374" s="4">
        <v>1383</v>
      </c>
      <c r="C1374" s="8" t="str">
        <f>IF(B1374="","",VLOOKUP(B1374,经纬!B:C,2,FALSE))</f>
        <v/>
      </c>
      <c r="D1374" s="8" t="str">
        <f>IF(B1374="","",VLOOKUP(B1374,经纬!B:G,6,FALSE))</f>
        <v/>
      </c>
      <c r="F1374" s="8" t="str">
        <f>IF(B1374="","",VLOOKUP(B1374,小圆机汇总表!A:AP,5,FALSE))</f>
        <v/>
      </c>
      <c r="G1374" s="8" t="str">
        <f>IF(B1374="","",VLOOKUP(B1374,小圆机汇总表!A:AP,8,FALSE))</f>
        <v/>
      </c>
      <c r="P1374" s="8" t="str">
        <f t="shared" si="75"/>
        <v/>
      </c>
      <c r="R1374" s="250" t="str">
        <f t="shared" si="74"/>
        <v/>
      </c>
    </row>
    <row r="1375" spans="1:18">
      <c r="A1375" s="4">
        <v>1384</v>
      </c>
      <c r="C1375" s="8" t="str">
        <f>IF(B1375="","",VLOOKUP(B1375,经纬!B:C,2,FALSE))</f>
        <v/>
      </c>
      <c r="D1375" s="8" t="str">
        <f>IF(B1375="","",VLOOKUP(B1375,经纬!B:G,6,FALSE))</f>
        <v/>
      </c>
      <c r="F1375" s="8" t="str">
        <f>IF(B1375="","",VLOOKUP(B1375,小圆机汇总表!A:AP,5,FALSE))</f>
        <v/>
      </c>
      <c r="G1375" s="8" t="str">
        <f>IF(B1375="","",VLOOKUP(B1375,小圆机汇总表!A:AP,8,FALSE))</f>
        <v/>
      </c>
      <c r="P1375" s="8" t="str">
        <f t="shared" si="75"/>
        <v/>
      </c>
      <c r="R1375" s="250" t="str">
        <f t="shared" si="74"/>
        <v/>
      </c>
    </row>
    <row r="1376" spans="1:18">
      <c r="A1376" s="4">
        <v>1385</v>
      </c>
      <c r="C1376" s="8" t="str">
        <f>IF(B1376="","",VLOOKUP(B1376,经纬!B:C,2,FALSE))</f>
        <v/>
      </c>
      <c r="D1376" s="8" t="str">
        <f>IF(B1376="","",VLOOKUP(B1376,经纬!B:G,6,FALSE))</f>
        <v/>
      </c>
      <c r="F1376" s="8" t="str">
        <f>IF(B1376="","",VLOOKUP(B1376,小圆机汇总表!A:AP,5,FALSE))</f>
        <v/>
      </c>
      <c r="G1376" s="8" t="str">
        <f>IF(B1376="","",VLOOKUP(B1376,小圆机汇总表!A:AP,8,FALSE))</f>
        <v/>
      </c>
      <c r="P1376" s="8" t="str">
        <f t="shared" si="75"/>
        <v/>
      </c>
      <c r="R1376" s="250" t="str">
        <f t="shared" si="74"/>
        <v/>
      </c>
    </row>
    <row r="1377" spans="1:18">
      <c r="A1377" s="4">
        <v>1386</v>
      </c>
      <c r="C1377" s="8" t="str">
        <f>IF(B1377="","",VLOOKUP(B1377,经纬!B:C,2,FALSE))</f>
        <v/>
      </c>
      <c r="D1377" s="8" t="str">
        <f>IF(B1377="","",VLOOKUP(B1377,经纬!B:G,6,FALSE))</f>
        <v/>
      </c>
      <c r="F1377" s="8" t="str">
        <f>IF(B1377="","",VLOOKUP(B1377,小圆机汇总表!A:AP,5,FALSE))</f>
        <v/>
      </c>
      <c r="G1377" s="8" t="str">
        <f>IF(B1377="","",VLOOKUP(B1377,小圆机汇总表!A:AP,8,FALSE))</f>
        <v/>
      </c>
      <c r="P1377" s="8" t="str">
        <f t="shared" si="75"/>
        <v/>
      </c>
      <c r="R1377" s="250" t="str">
        <f t="shared" si="74"/>
        <v/>
      </c>
    </row>
    <row r="1378" spans="1:18">
      <c r="A1378" s="4">
        <v>1387</v>
      </c>
      <c r="C1378" s="8" t="str">
        <f>IF(B1378="","",VLOOKUP(B1378,经纬!B:C,2,FALSE))</f>
        <v/>
      </c>
      <c r="D1378" s="8" t="str">
        <f>IF(B1378="","",VLOOKUP(B1378,经纬!B:G,6,FALSE))</f>
        <v/>
      </c>
      <c r="F1378" s="8" t="str">
        <f>IF(B1378="","",VLOOKUP(B1378,小圆机汇总表!A:AP,5,FALSE))</f>
        <v/>
      </c>
      <c r="G1378" s="8" t="str">
        <f>IF(B1378="","",VLOOKUP(B1378,小圆机汇总表!A:AP,8,FALSE))</f>
        <v/>
      </c>
      <c r="P1378" s="8" t="str">
        <f t="shared" si="75"/>
        <v/>
      </c>
      <c r="R1378" s="250" t="str">
        <f t="shared" si="74"/>
        <v/>
      </c>
    </row>
    <row r="1379" spans="1:18">
      <c r="A1379" s="4">
        <v>1388</v>
      </c>
      <c r="C1379" s="8" t="str">
        <f>IF(B1379="","",VLOOKUP(B1379,经纬!B:C,2,FALSE))</f>
        <v/>
      </c>
      <c r="D1379" s="8" t="str">
        <f>IF(B1379="","",VLOOKUP(B1379,经纬!B:G,6,FALSE))</f>
        <v/>
      </c>
      <c r="F1379" s="8" t="str">
        <f>IF(B1379="","",VLOOKUP(B1379,小圆机汇总表!A:AP,5,FALSE))</f>
        <v/>
      </c>
      <c r="G1379" s="8" t="str">
        <f>IF(B1379="","",VLOOKUP(B1379,小圆机汇总表!A:AP,8,FALSE))</f>
        <v/>
      </c>
      <c r="P1379" s="8" t="str">
        <f t="shared" si="75"/>
        <v/>
      </c>
      <c r="R1379" s="250" t="str">
        <f t="shared" si="74"/>
        <v/>
      </c>
    </row>
    <row r="1380" spans="1:18">
      <c r="A1380" s="4">
        <v>1389</v>
      </c>
      <c r="C1380" s="8" t="str">
        <f>IF(B1380="","",VLOOKUP(B1380,经纬!B:C,2,FALSE))</f>
        <v/>
      </c>
      <c r="D1380" s="8" t="str">
        <f>IF(B1380="","",VLOOKUP(B1380,经纬!B:G,6,FALSE))</f>
        <v/>
      </c>
      <c r="F1380" s="8" t="str">
        <f>IF(B1380="","",VLOOKUP(B1380,小圆机汇总表!A:AP,5,FALSE))</f>
        <v/>
      </c>
      <c r="G1380" s="8" t="str">
        <f>IF(B1380="","",VLOOKUP(B1380,小圆机汇总表!A:AP,8,FALSE))</f>
        <v/>
      </c>
      <c r="P1380" s="8" t="str">
        <f t="shared" si="75"/>
        <v/>
      </c>
      <c r="R1380" s="250" t="str">
        <f t="shared" si="74"/>
        <v/>
      </c>
    </row>
    <row r="1381" spans="1:18">
      <c r="A1381" s="4">
        <v>1390</v>
      </c>
      <c r="C1381" s="8" t="str">
        <f>IF(B1381="","",VLOOKUP(B1381,经纬!B:C,2,FALSE))</f>
        <v/>
      </c>
      <c r="D1381" s="8" t="str">
        <f>IF(B1381="","",VLOOKUP(B1381,经纬!B:G,6,FALSE))</f>
        <v/>
      </c>
      <c r="F1381" s="8" t="str">
        <f>IF(B1381="","",VLOOKUP(B1381,小圆机汇总表!A:AP,5,FALSE))</f>
        <v/>
      </c>
      <c r="G1381" s="8" t="str">
        <f>IF(B1381="","",VLOOKUP(B1381,小圆机汇总表!A:AP,8,FALSE))</f>
        <v/>
      </c>
      <c r="P1381" s="8" t="str">
        <f t="shared" si="75"/>
        <v/>
      </c>
      <c r="R1381" s="250" t="str">
        <f t="shared" si="74"/>
        <v/>
      </c>
    </row>
    <row r="1382" spans="1:18">
      <c r="A1382" s="4">
        <v>1391</v>
      </c>
      <c r="C1382" s="8" t="str">
        <f>IF(B1382="","",VLOOKUP(B1382,经纬!B:C,2,FALSE))</f>
        <v/>
      </c>
      <c r="D1382" s="8" t="str">
        <f>IF(B1382="","",VLOOKUP(B1382,经纬!B:G,6,FALSE))</f>
        <v/>
      </c>
      <c r="F1382" s="8" t="str">
        <f>IF(B1382="","",VLOOKUP(B1382,小圆机汇总表!A:AP,5,FALSE))</f>
        <v/>
      </c>
      <c r="G1382" s="8" t="str">
        <f>IF(B1382="","",VLOOKUP(B1382,小圆机汇总表!A:AP,8,FALSE))</f>
        <v/>
      </c>
      <c r="P1382" s="8" t="str">
        <f t="shared" si="75"/>
        <v/>
      </c>
      <c r="R1382" s="250" t="str">
        <f t="shared" si="74"/>
        <v/>
      </c>
    </row>
    <row r="1383" spans="1:18">
      <c r="A1383" s="4">
        <v>1392</v>
      </c>
      <c r="C1383" s="8" t="str">
        <f>IF(B1383="","",VLOOKUP(B1383,经纬!B:C,2,FALSE))</f>
        <v/>
      </c>
      <c r="D1383" s="8" t="str">
        <f>IF(B1383="","",VLOOKUP(B1383,经纬!B:G,6,FALSE))</f>
        <v/>
      </c>
      <c r="F1383" s="8" t="str">
        <f>IF(B1383="","",VLOOKUP(B1383,小圆机汇总表!A:AP,5,FALSE))</f>
        <v/>
      </c>
      <c r="G1383" s="8" t="str">
        <f>IF(B1383="","",VLOOKUP(B1383,小圆机汇总表!A:AP,8,FALSE))</f>
        <v/>
      </c>
      <c r="P1383" s="8" t="str">
        <f t="shared" si="75"/>
        <v/>
      </c>
      <c r="R1383" s="250" t="str">
        <f t="shared" si="74"/>
        <v/>
      </c>
    </row>
    <row r="1384" spans="1:18">
      <c r="A1384" s="4">
        <v>1393</v>
      </c>
      <c r="C1384" s="8" t="str">
        <f>IF(B1384="","",VLOOKUP(B1384,经纬!B:C,2,FALSE))</f>
        <v/>
      </c>
      <c r="D1384" s="8" t="str">
        <f>IF(B1384="","",VLOOKUP(B1384,经纬!B:G,6,FALSE))</f>
        <v/>
      </c>
      <c r="F1384" s="8" t="str">
        <f>IF(B1384="","",VLOOKUP(B1384,小圆机汇总表!A:AP,5,FALSE))</f>
        <v/>
      </c>
      <c r="G1384" s="8" t="str">
        <f>IF(B1384="","",VLOOKUP(B1384,小圆机汇总表!A:AP,8,FALSE))</f>
        <v/>
      </c>
      <c r="P1384" s="8" t="str">
        <f t="shared" si="75"/>
        <v/>
      </c>
      <c r="R1384" s="250" t="str">
        <f t="shared" si="74"/>
        <v/>
      </c>
    </row>
    <row r="1385" spans="1:18">
      <c r="A1385" s="4">
        <v>1394</v>
      </c>
      <c r="C1385" s="8" t="str">
        <f>IF(B1385="","",VLOOKUP(B1385,经纬!B:C,2,FALSE))</f>
        <v/>
      </c>
      <c r="D1385" s="8" t="str">
        <f>IF(B1385="","",VLOOKUP(B1385,经纬!B:G,6,FALSE))</f>
        <v/>
      </c>
      <c r="F1385" s="8" t="str">
        <f>IF(B1385="","",VLOOKUP(B1385,小圆机汇总表!A:AP,5,FALSE))</f>
        <v/>
      </c>
      <c r="G1385" s="8" t="str">
        <f>IF(B1385="","",VLOOKUP(B1385,小圆机汇总表!A:AP,8,FALSE))</f>
        <v/>
      </c>
      <c r="P1385" s="8" t="str">
        <f t="shared" si="75"/>
        <v/>
      </c>
      <c r="R1385" s="250" t="str">
        <f t="shared" si="74"/>
        <v/>
      </c>
    </row>
    <row r="1386" spans="1:18">
      <c r="A1386" s="4">
        <v>1395</v>
      </c>
      <c r="C1386" s="8" t="str">
        <f>IF(B1386="","",VLOOKUP(B1386,经纬!B:C,2,FALSE))</f>
        <v/>
      </c>
      <c r="D1386" s="8" t="str">
        <f>IF(B1386="","",VLOOKUP(B1386,经纬!B:G,6,FALSE))</f>
        <v/>
      </c>
      <c r="F1386" s="8" t="str">
        <f>IF(B1386="","",VLOOKUP(B1386,小圆机汇总表!A:AP,5,FALSE))</f>
        <v/>
      </c>
      <c r="G1386" s="8" t="str">
        <f>IF(B1386="","",VLOOKUP(B1386,小圆机汇总表!A:AP,8,FALSE))</f>
        <v/>
      </c>
      <c r="P1386" s="8" t="str">
        <f t="shared" si="75"/>
        <v/>
      </c>
      <c r="R1386" s="250" t="str">
        <f t="shared" si="74"/>
        <v/>
      </c>
    </row>
    <row r="1387" spans="1:18">
      <c r="A1387" s="4">
        <v>1396</v>
      </c>
      <c r="C1387" s="8" t="str">
        <f>IF(B1387="","",VLOOKUP(B1387,经纬!B:C,2,FALSE))</f>
        <v/>
      </c>
      <c r="D1387" s="8" t="str">
        <f>IF(B1387="","",VLOOKUP(B1387,经纬!B:G,6,FALSE))</f>
        <v/>
      </c>
      <c r="F1387" s="8" t="str">
        <f>IF(B1387="","",VLOOKUP(B1387,小圆机汇总表!A:AP,5,FALSE))</f>
        <v/>
      </c>
      <c r="G1387" s="8" t="str">
        <f>IF(B1387="","",VLOOKUP(B1387,小圆机汇总表!A:AP,8,FALSE))</f>
        <v/>
      </c>
      <c r="P1387" s="8" t="str">
        <f t="shared" si="75"/>
        <v/>
      </c>
      <c r="R1387" s="250" t="str">
        <f t="shared" si="74"/>
        <v/>
      </c>
    </row>
    <row r="1388" spans="1:18">
      <c r="A1388" s="4">
        <v>1397</v>
      </c>
      <c r="C1388" s="8" t="str">
        <f>IF(B1388="","",VLOOKUP(B1388,经纬!B:C,2,FALSE))</f>
        <v/>
      </c>
      <c r="D1388" s="8" t="str">
        <f>IF(B1388="","",VLOOKUP(B1388,经纬!B:G,6,FALSE))</f>
        <v/>
      </c>
      <c r="F1388" s="8" t="str">
        <f>IF(B1388="","",VLOOKUP(B1388,小圆机汇总表!A:AP,5,FALSE))</f>
        <v/>
      </c>
      <c r="G1388" s="8" t="str">
        <f>IF(B1388="","",VLOOKUP(B1388,小圆机汇总表!A:AP,8,FALSE))</f>
        <v/>
      </c>
      <c r="P1388" s="8" t="str">
        <f t="shared" si="75"/>
        <v/>
      </c>
      <c r="R1388" s="250" t="str">
        <f t="shared" si="74"/>
        <v/>
      </c>
    </row>
    <row r="1389" spans="1:18">
      <c r="A1389" s="4">
        <v>1398</v>
      </c>
      <c r="C1389" s="8" t="str">
        <f>IF(B1389="","",VLOOKUP(B1389,经纬!B:C,2,FALSE))</f>
        <v/>
      </c>
      <c r="D1389" s="8" t="str">
        <f>IF(B1389="","",VLOOKUP(B1389,经纬!B:G,6,FALSE))</f>
        <v/>
      </c>
      <c r="F1389" s="8" t="str">
        <f>IF(B1389="","",VLOOKUP(B1389,小圆机汇总表!A:AP,5,FALSE))</f>
        <v/>
      </c>
      <c r="G1389" s="8" t="str">
        <f>IF(B1389="","",VLOOKUP(B1389,小圆机汇总表!A:AP,8,FALSE))</f>
        <v/>
      </c>
      <c r="P1389" s="8" t="str">
        <f t="shared" si="75"/>
        <v/>
      </c>
      <c r="R1389" s="250" t="str">
        <f t="shared" si="74"/>
        <v/>
      </c>
    </row>
    <row r="1390" spans="1:18">
      <c r="A1390" s="4">
        <v>1399</v>
      </c>
      <c r="C1390" s="8" t="str">
        <f>IF(B1390="","",VLOOKUP(B1390,经纬!B:C,2,FALSE))</f>
        <v/>
      </c>
      <c r="D1390" s="8" t="str">
        <f>IF(B1390="","",VLOOKUP(B1390,经纬!B:G,6,FALSE))</f>
        <v/>
      </c>
      <c r="F1390" s="8" t="str">
        <f>IF(B1390="","",VLOOKUP(B1390,小圆机汇总表!A:AP,5,FALSE))</f>
        <v/>
      </c>
      <c r="G1390" s="8" t="str">
        <f>IF(B1390="","",VLOOKUP(B1390,小圆机汇总表!A:AP,8,FALSE))</f>
        <v/>
      </c>
      <c r="P1390" s="8" t="str">
        <f t="shared" si="75"/>
        <v/>
      </c>
      <c r="R1390" s="250" t="str">
        <f t="shared" si="74"/>
        <v/>
      </c>
    </row>
    <row r="1391" spans="1:18">
      <c r="A1391" s="4">
        <v>1400</v>
      </c>
      <c r="C1391" s="8" t="str">
        <f>IF(B1391="","",VLOOKUP(B1391,经纬!B:C,2,FALSE))</f>
        <v/>
      </c>
      <c r="D1391" s="8" t="str">
        <f>IF(B1391="","",VLOOKUP(B1391,经纬!B:G,6,FALSE))</f>
        <v/>
      </c>
      <c r="F1391" s="8" t="str">
        <f>IF(B1391="","",VLOOKUP(B1391,小圆机汇总表!A:AP,5,FALSE))</f>
        <v/>
      </c>
      <c r="G1391" s="8" t="str">
        <f>IF(B1391="","",VLOOKUP(B1391,小圆机汇总表!A:AP,8,FALSE))</f>
        <v/>
      </c>
      <c r="P1391" s="8" t="str">
        <f t="shared" si="75"/>
        <v/>
      </c>
      <c r="R1391" s="250" t="str">
        <f t="shared" si="74"/>
        <v/>
      </c>
    </row>
    <row r="1392" spans="1:18">
      <c r="A1392" s="4">
        <v>1401</v>
      </c>
      <c r="C1392" s="8" t="str">
        <f>IF(B1392="","",VLOOKUP(B1392,经纬!B:C,2,FALSE))</f>
        <v/>
      </c>
      <c r="D1392" s="8" t="str">
        <f>IF(B1392="","",VLOOKUP(B1392,经纬!B:G,6,FALSE))</f>
        <v/>
      </c>
      <c r="F1392" s="8" t="str">
        <f>IF(B1392="","",VLOOKUP(B1392,小圆机汇总表!A:AP,5,FALSE))</f>
        <v/>
      </c>
      <c r="G1392" s="8" t="str">
        <f>IF(B1392="","",VLOOKUP(B1392,小圆机汇总表!A:AP,8,FALSE))</f>
        <v/>
      </c>
      <c r="P1392" s="8" t="str">
        <f t="shared" si="75"/>
        <v/>
      </c>
      <c r="R1392" s="250" t="str">
        <f t="shared" si="74"/>
        <v/>
      </c>
    </row>
    <row r="1393" spans="1:18">
      <c r="A1393" s="4">
        <v>1402</v>
      </c>
      <c r="C1393" s="8" t="str">
        <f>IF(B1393="","",VLOOKUP(B1393,经纬!B:C,2,FALSE))</f>
        <v/>
      </c>
      <c r="D1393" s="8" t="str">
        <f>IF(B1393="","",VLOOKUP(B1393,经纬!B:G,6,FALSE))</f>
        <v/>
      </c>
      <c r="F1393" s="8" t="str">
        <f>IF(B1393="","",VLOOKUP(B1393,小圆机汇总表!A:AP,5,FALSE))</f>
        <v/>
      </c>
      <c r="G1393" s="8" t="str">
        <f>IF(B1393="","",VLOOKUP(B1393,小圆机汇总表!A:AP,8,FALSE))</f>
        <v/>
      </c>
      <c r="P1393" s="8" t="str">
        <f t="shared" si="75"/>
        <v/>
      </c>
      <c r="R1393" s="250" t="str">
        <f t="shared" si="74"/>
        <v/>
      </c>
    </row>
    <row r="1394" spans="1:18">
      <c r="A1394" s="4">
        <v>1403</v>
      </c>
      <c r="C1394" s="8" t="str">
        <f>IF(B1394="","",VLOOKUP(B1394,经纬!B:C,2,FALSE))</f>
        <v/>
      </c>
      <c r="D1394" s="8" t="str">
        <f>IF(B1394="","",VLOOKUP(B1394,经纬!B:G,6,FALSE))</f>
        <v/>
      </c>
      <c r="F1394" s="8" t="str">
        <f>IF(B1394="","",VLOOKUP(B1394,小圆机汇总表!A:AP,5,FALSE))</f>
        <v/>
      </c>
      <c r="G1394" s="8" t="str">
        <f>IF(B1394="","",VLOOKUP(B1394,小圆机汇总表!A:AP,8,FALSE))</f>
        <v/>
      </c>
      <c r="P1394" s="8" t="str">
        <f t="shared" si="75"/>
        <v/>
      </c>
      <c r="R1394" s="250" t="str">
        <f t="shared" si="74"/>
        <v/>
      </c>
    </row>
    <row r="1395" spans="1:18">
      <c r="A1395" s="4">
        <v>1404</v>
      </c>
      <c r="C1395" s="8" t="str">
        <f>IF(B1395="","",VLOOKUP(B1395,经纬!B:C,2,FALSE))</f>
        <v/>
      </c>
      <c r="D1395" s="8" t="str">
        <f>IF(B1395="","",VLOOKUP(B1395,经纬!B:G,6,FALSE))</f>
        <v/>
      </c>
      <c r="F1395" s="8" t="str">
        <f>IF(B1395="","",VLOOKUP(B1395,小圆机汇总表!A:AP,5,FALSE))</f>
        <v/>
      </c>
      <c r="G1395" s="8" t="str">
        <f>IF(B1395="","",VLOOKUP(B1395,小圆机汇总表!A:AP,8,FALSE))</f>
        <v/>
      </c>
      <c r="P1395" s="8" t="str">
        <f t="shared" si="75"/>
        <v/>
      </c>
      <c r="R1395" s="250" t="str">
        <f t="shared" si="74"/>
        <v/>
      </c>
    </row>
    <row r="1396" spans="1:18">
      <c r="A1396" s="4">
        <v>1405</v>
      </c>
      <c r="C1396" s="8" t="str">
        <f>IF(B1396="","",VLOOKUP(B1396,经纬!B:C,2,FALSE))</f>
        <v/>
      </c>
      <c r="D1396" s="8" t="str">
        <f>IF(B1396="","",VLOOKUP(B1396,经纬!B:G,6,FALSE))</f>
        <v/>
      </c>
      <c r="F1396" s="8" t="str">
        <f>IF(B1396="","",VLOOKUP(B1396,小圆机汇总表!A:AP,5,FALSE))</f>
        <v/>
      </c>
      <c r="G1396" s="8" t="str">
        <f>IF(B1396="","",VLOOKUP(B1396,小圆机汇总表!A:AP,8,FALSE))</f>
        <v/>
      </c>
      <c r="P1396" s="8" t="str">
        <f t="shared" si="75"/>
        <v/>
      </c>
      <c r="R1396" s="250" t="str">
        <f t="shared" si="74"/>
        <v/>
      </c>
    </row>
    <row r="1397" spans="1:18">
      <c r="A1397" s="4">
        <v>1406</v>
      </c>
      <c r="C1397" s="8" t="str">
        <f>IF(B1397="","",VLOOKUP(B1397,经纬!B:C,2,FALSE))</f>
        <v/>
      </c>
      <c r="D1397" s="8" t="str">
        <f>IF(B1397="","",VLOOKUP(B1397,经纬!B:G,6,FALSE))</f>
        <v/>
      </c>
      <c r="F1397" s="8" t="str">
        <f>IF(B1397="","",VLOOKUP(B1397,小圆机汇总表!A:AP,5,FALSE))</f>
        <v/>
      </c>
      <c r="G1397" s="8" t="str">
        <f>IF(B1397="","",VLOOKUP(B1397,小圆机汇总表!A:AP,8,FALSE))</f>
        <v/>
      </c>
      <c r="P1397" s="8" t="str">
        <f t="shared" si="75"/>
        <v/>
      </c>
      <c r="R1397" s="250" t="str">
        <f t="shared" si="74"/>
        <v/>
      </c>
    </row>
    <row r="1398" spans="1:18">
      <c r="A1398" s="4">
        <v>1407</v>
      </c>
      <c r="C1398" s="8" t="str">
        <f>IF(B1398="","",VLOOKUP(B1398,经纬!B:C,2,FALSE))</f>
        <v/>
      </c>
      <c r="D1398" s="8" t="str">
        <f>IF(B1398="","",VLOOKUP(B1398,经纬!B:G,6,FALSE))</f>
        <v/>
      </c>
      <c r="F1398" s="8" t="str">
        <f>IF(B1398="","",VLOOKUP(B1398,小圆机汇总表!A:AP,5,FALSE))</f>
        <v/>
      </c>
      <c r="G1398" s="8" t="str">
        <f>IF(B1398="","",VLOOKUP(B1398,小圆机汇总表!A:AP,8,FALSE))</f>
        <v/>
      </c>
      <c r="P1398" s="8" t="str">
        <f t="shared" si="75"/>
        <v/>
      </c>
      <c r="R1398" s="250" t="str">
        <f t="shared" si="74"/>
        <v/>
      </c>
    </row>
    <row r="1399" spans="1:18">
      <c r="A1399" s="4">
        <v>1408</v>
      </c>
      <c r="C1399" s="8" t="str">
        <f>IF(B1399="","",VLOOKUP(B1399,经纬!B:C,2,FALSE))</f>
        <v/>
      </c>
      <c r="D1399" s="8" t="str">
        <f>IF(B1399="","",VLOOKUP(B1399,经纬!B:G,6,FALSE))</f>
        <v/>
      </c>
      <c r="F1399" s="8" t="str">
        <f>IF(B1399="","",VLOOKUP(B1399,小圆机汇总表!A:AP,5,FALSE))</f>
        <v/>
      </c>
      <c r="G1399" s="8" t="str">
        <f>IF(B1399="","",VLOOKUP(B1399,小圆机汇总表!A:AP,8,FALSE))</f>
        <v/>
      </c>
      <c r="P1399" s="8" t="str">
        <f t="shared" si="75"/>
        <v/>
      </c>
      <c r="R1399" s="250" t="str">
        <f t="shared" si="74"/>
        <v/>
      </c>
    </row>
    <row r="1400" spans="1:18">
      <c r="A1400" s="4">
        <v>1409</v>
      </c>
      <c r="C1400" s="8" t="str">
        <f>IF(B1400="","",VLOOKUP(B1400,经纬!B:C,2,FALSE))</f>
        <v/>
      </c>
      <c r="D1400" s="8" t="str">
        <f>IF(B1400="","",VLOOKUP(B1400,经纬!B:G,6,FALSE))</f>
        <v/>
      </c>
      <c r="F1400" s="8" t="str">
        <f>IF(B1400="","",VLOOKUP(B1400,小圆机汇总表!A:AP,5,FALSE))</f>
        <v/>
      </c>
      <c r="G1400" s="8" t="str">
        <f>IF(B1400="","",VLOOKUP(B1400,小圆机汇总表!A:AP,8,FALSE))</f>
        <v/>
      </c>
      <c r="P1400" s="8" t="str">
        <f t="shared" si="75"/>
        <v/>
      </c>
      <c r="R1400" s="250" t="str">
        <f t="shared" si="74"/>
        <v/>
      </c>
    </row>
    <row r="1401" spans="1:18">
      <c r="A1401" s="4">
        <v>1410</v>
      </c>
      <c r="C1401" s="8" t="str">
        <f>IF(B1401="","",VLOOKUP(B1401,经纬!B:C,2,FALSE))</f>
        <v/>
      </c>
      <c r="D1401" s="8" t="str">
        <f>IF(B1401="","",VLOOKUP(B1401,经纬!B:G,6,FALSE))</f>
        <v/>
      </c>
      <c r="F1401" s="8" t="str">
        <f>IF(B1401="","",VLOOKUP(B1401,小圆机汇总表!A:AP,5,FALSE))</f>
        <v/>
      </c>
      <c r="G1401" s="8" t="str">
        <f>IF(B1401="","",VLOOKUP(B1401,小圆机汇总表!A:AP,8,FALSE))</f>
        <v/>
      </c>
      <c r="P1401" s="8" t="str">
        <f t="shared" si="75"/>
        <v/>
      </c>
      <c r="R1401" s="250" t="str">
        <f t="shared" si="74"/>
        <v/>
      </c>
    </row>
    <row r="1402" spans="1:18">
      <c r="A1402" s="4">
        <v>1411</v>
      </c>
      <c r="C1402" s="8" t="str">
        <f>IF(B1402="","",VLOOKUP(B1402,经纬!B:C,2,FALSE))</f>
        <v/>
      </c>
      <c r="D1402" s="8" t="str">
        <f>IF(B1402="","",VLOOKUP(B1402,经纬!B:G,6,FALSE))</f>
        <v/>
      </c>
      <c r="F1402" s="8" t="str">
        <f>IF(B1402="","",VLOOKUP(B1402,小圆机汇总表!A:AP,5,FALSE))</f>
        <v/>
      </c>
      <c r="G1402" s="8" t="str">
        <f>IF(B1402="","",VLOOKUP(B1402,小圆机汇总表!A:AP,8,FALSE))</f>
        <v/>
      </c>
      <c r="P1402" s="8" t="str">
        <f t="shared" si="75"/>
        <v/>
      </c>
      <c r="R1402" s="250" t="str">
        <f t="shared" si="74"/>
        <v/>
      </c>
    </row>
    <row r="1403" spans="1:18">
      <c r="A1403" s="4">
        <v>1412</v>
      </c>
      <c r="C1403" s="8" t="str">
        <f>IF(B1403="","",VLOOKUP(B1403,经纬!B:C,2,FALSE))</f>
        <v/>
      </c>
      <c r="D1403" s="8" t="str">
        <f>IF(B1403="","",VLOOKUP(B1403,经纬!B:G,6,FALSE))</f>
        <v/>
      </c>
      <c r="F1403" s="8" t="str">
        <f>IF(B1403="","",VLOOKUP(B1403,小圆机汇总表!A:AP,5,FALSE))</f>
        <v/>
      </c>
      <c r="G1403" s="8" t="str">
        <f>IF(B1403="","",VLOOKUP(B1403,小圆机汇总表!A:AP,8,FALSE))</f>
        <v/>
      </c>
      <c r="P1403" s="8" t="str">
        <f t="shared" si="75"/>
        <v/>
      </c>
      <c r="R1403" s="250" t="str">
        <f t="shared" si="74"/>
        <v/>
      </c>
    </row>
    <row r="1404" spans="1:18">
      <c r="A1404" s="4">
        <v>1413</v>
      </c>
      <c r="C1404" s="8" t="str">
        <f>IF(B1404="","",VLOOKUP(B1404,经纬!B:C,2,FALSE))</f>
        <v/>
      </c>
      <c r="D1404" s="8" t="str">
        <f>IF(B1404="","",VLOOKUP(B1404,经纬!B:G,6,FALSE))</f>
        <v/>
      </c>
      <c r="F1404" s="8" t="str">
        <f>IF(B1404="","",VLOOKUP(B1404,小圆机汇总表!A:AP,5,FALSE))</f>
        <v/>
      </c>
      <c r="G1404" s="8" t="str">
        <f>IF(B1404="","",VLOOKUP(B1404,小圆机汇总表!A:AP,8,FALSE))</f>
        <v/>
      </c>
      <c r="P1404" s="8" t="str">
        <f t="shared" si="75"/>
        <v/>
      </c>
      <c r="R1404" s="250" t="str">
        <f t="shared" si="74"/>
        <v/>
      </c>
    </row>
    <row r="1405" spans="1:18">
      <c r="A1405" s="4">
        <v>1414</v>
      </c>
      <c r="C1405" s="8" t="str">
        <f>IF(B1405="","",VLOOKUP(B1405,经纬!B:C,2,FALSE))</f>
        <v/>
      </c>
      <c r="D1405" s="8" t="str">
        <f>IF(B1405="","",VLOOKUP(B1405,经纬!B:G,6,FALSE))</f>
        <v/>
      </c>
      <c r="F1405" s="8" t="str">
        <f>IF(B1405="","",VLOOKUP(B1405,小圆机汇总表!A:AP,5,FALSE))</f>
        <v/>
      </c>
      <c r="G1405" s="8" t="str">
        <f>IF(B1405="","",VLOOKUP(B1405,小圆机汇总表!A:AP,8,FALSE))</f>
        <v/>
      </c>
      <c r="P1405" s="8" t="str">
        <f t="shared" si="75"/>
        <v/>
      </c>
      <c r="R1405" s="250" t="str">
        <f t="shared" si="74"/>
        <v/>
      </c>
    </row>
    <row r="1406" spans="1:18">
      <c r="A1406" s="4">
        <v>1415</v>
      </c>
      <c r="C1406" s="8" t="str">
        <f>IF(B1406="","",VLOOKUP(B1406,经纬!B:C,2,FALSE))</f>
        <v/>
      </c>
      <c r="D1406" s="8" t="str">
        <f>IF(B1406="","",VLOOKUP(B1406,经纬!B:G,6,FALSE))</f>
        <v/>
      </c>
      <c r="F1406" s="8" t="str">
        <f>IF(B1406="","",VLOOKUP(B1406,小圆机汇总表!A:AP,5,FALSE))</f>
        <v/>
      </c>
      <c r="G1406" s="8" t="str">
        <f>IF(B1406="","",VLOOKUP(B1406,小圆机汇总表!A:AP,8,FALSE))</f>
        <v/>
      </c>
      <c r="P1406" s="8" t="str">
        <f t="shared" si="75"/>
        <v/>
      </c>
      <c r="R1406" s="250" t="str">
        <f t="shared" si="74"/>
        <v/>
      </c>
    </row>
    <row r="1407" spans="1:18">
      <c r="A1407" s="4">
        <v>1416</v>
      </c>
      <c r="C1407" s="8" t="str">
        <f>IF(B1407="","",VLOOKUP(B1407,经纬!B:C,2,FALSE))</f>
        <v/>
      </c>
      <c r="D1407" s="8" t="str">
        <f>IF(B1407="","",VLOOKUP(B1407,经纬!B:G,6,FALSE))</f>
        <v/>
      </c>
      <c r="F1407" s="8" t="str">
        <f>IF(B1407="","",VLOOKUP(B1407,小圆机汇总表!A:AP,5,FALSE))</f>
        <v/>
      </c>
      <c r="G1407" s="8" t="str">
        <f>IF(B1407="","",VLOOKUP(B1407,小圆机汇总表!A:AP,8,FALSE))</f>
        <v/>
      </c>
      <c r="P1407" s="8" t="str">
        <f t="shared" si="75"/>
        <v/>
      </c>
      <c r="R1407" s="250" t="str">
        <f t="shared" si="74"/>
        <v/>
      </c>
    </row>
    <row r="1408" spans="1:18">
      <c r="A1408" s="4">
        <v>1417</v>
      </c>
      <c r="C1408" s="8" t="str">
        <f>IF(B1408="","",VLOOKUP(B1408,经纬!B:C,2,FALSE))</f>
        <v/>
      </c>
      <c r="D1408" s="8" t="str">
        <f>IF(B1408="","",VLOOKUP(B1408,经纬!B:G,6,FALSE))</f>
        <v/>
      </c>
      <c r="F1408" s="8" t="str">
        <f>IF(B1408="","",VLOOKUP(B1408,小圆机汇总表!A:AP,5,FALSE))</f>
        <v/>
      </c>
      <c r="G1408" s="8" t="str">
        <f>IF(B1408="","",VLOOKUP(B1408,小圆机汇总表!A:AP,8,FALSE))</f>
        <v/>
      </c>
      <c r="P1408" s="8" t="str">
        <f t="shared" si="75"/>
        <v/>
      </c>
      <c r="R1408" s="250" t="str">
        <f t="shared" si="74"/>
        <v/>
      </c>
    </row>
    <row r="1409" spans="1:18">
      <c r="A1409" s="4">
        <v>1418</v>
      </c>
      <c r="C1409" s="8" t="str">
        <f>IF(B1409="","",VLOOKUP(B1409,经纬!B:C,2,FALSE))</f>
        <v/>
      </c>
      <c r="D1409" s="8" t="str">
        <f>IF(B1409="","",VLOOKUP(B1409,经纬!B:G,6,FALSE))</f>
        <v/>
      </c>
      <c r="F1409" s="8" t="str">
        <f>IF(B1409="","",VLOOKUP(B1409,小圆机汇总表!A:AP,5,FALSE))</f>
        <v/>
      </c>
      <c r="G1409" s="8" t="str">
        <f>IF(B1409="","",VLOOKUP(B1409,小圆机汇总表!A:AP,8,FALSE))</f>
        <v/>
      </c>
      <c r="P1409" s="8" t="str">
        <f t="shared" si="75"/>
        <v/>
      </c>
      <c r="R1409" s="250" t="str">
        <f t="shared" si="74"/>
        <v/>
      </c>
    </row>
    <row r="1410" spans="1:18">
      <c r="A1410" s="4">
        <v>1419</v>
      </c>
      <c r="C1410" s="8" t="str">
        <f>IF(B1410="","",VLOOKUP(B1410,经纬!B:C,2,FALSE))</f>
        <v/>
      </c>
      <c r="D1410" s="8" t="str">
        <f>IF(B1410="","",VLOOKUP(B1410,经纬!B:G,6,FALSE))</f>
        <v/>
      </c>
      <c r="F1410" s="8" t="str">
        <f>IF(B1410="","",VLOOKUP(B1410,小圆机汇总表!A:AP,5,FALSE))</f>
        <v/>
      </c>
      <c r="G1410" s="8" t="str">
        <f>IF(B1410="","",VLOOKUP(B1410,小圆机汇总表!A:AP,8,FALSE))</f>
        <v/>
      </c>
      <c r="P1410" s="8" t="str">
        <f t="shared" si="75"/>
        <v/>
      </c>
      <c r="R1410" s="250" t="str">
        <f t="shared" si="74"/>
        <v/>
      </c>
    </row>
    <row r="1411" spans="1:18">
      <c r="A1411" s="4">
        <v>1420</v>
      </c>
      <c r="C1411" s="8" t="str">
        <f>IF(B1411="","",VLOOKUP(B1411,经纬!B:C,2,FALSE))</f>
        <v/>
      </c>
      <c r="D1411" s="8" t="str">
        <f>IF(B1411="","",VLOOKUP(B1411,经纬!B:G,6,FALSE))</f>
        <v/>
      </c>
      <c r="F1411" s="8" t="str">
        <f>IF(B1411="","",VLOOKUP(B1411,小圆机汇总表!A:AP,5,FALSE))</f>
        <v/>
      </c>
      <c r="G1411" s="8" t="str">
        <f>IF(B1411="","",VLOOKUP(B1411,小圆机汇总表!A:AP,8,FALSE))</f>
        <v/>
      </c>
      <c r="P1411" s="8" t="str">
        <f t="shared" si="75"/>
        <v/>
      </c>
      <c r="R1411" s="250" t="str">
        <f t="shared" ref="R1411:R1474" si="76">IF(B1411="","",MONTH(I1411))</f>
        <v/>
      </c>
    </row>
    <row r="1412" spans="1:18">
      <c r="A1412" s="4">
        <v>1421</v>
      </c>
      <c r="C1412" s="8" t="str">
        <f>IF(B1412="","",VLOOKUP(B1412,经纬!B:C,2,FALSE))</f>
        <v/>
      </c>
      <c r="D1412" s="8" t="str">
        <f>IF(B1412="","",VLOOKUP(B1412,经纬!B:G,6,FALSE))</f>
        <v/>
      </c>
      <c r="F1412" s="8" t="str">
        <f>IF(B1412="","",VLOOKUP(B1412,小圆机汇总表!A:AP,5,FALSE))</f>
        <v/>
      </c>
      <c r="G1412" s="8" t="str">
        <f>IF(B1412="","",VLOOKUP(B1412,小圆机汇总表!A:AP,8,FALSE))</f>
        <v/>
      </c>
      <c r="P1412" s="8" t="str">
        <f t="shared" si="75"/>
        <v/>
      </c>
      <c r="R1412" s="250" t="str">
        <f t="shared" si="76"/>
        <v/>
      </c>
    </row>
    <row r="1413" spans="1:18">
      <c r="A1413" s="4">
        <v>1422</v>
      </c>
      <c r="C1413" s="8" t="str">
        <f>IF(B1413="","",VLOOKUP(B1413,经纬!B:C,2,FALSE))</f>
        <v/>
      </c>
      <c r="D1413" s="8" t="str">
        <f>IF(B1413="","",VLOOKUP(B1413,经纬!B:G,6,FALSE))</f>
        <v/>
      </c>
      <c r="F1413" s="8" t="str">
        <f>IF(B1413="","",VLOOKUP(B1413,小圆机汇总表!A:AP,5,FALSE))</f>
        <v/>
      </c>
      <c r="G1413" s="8" t="str">
        <f>IF(B1413="","",VLOOKUP(B1413,小圆机汇总表!A:AP,8,FALSE))</f>
        <v/>
      </c>
      <c r="P1413" s="8" t="str">
        <f t="shared" si="75"/>
        <v/>
      </c>
      <c r="R1413" s="250" t="str">
        <f t="shared" si="76"/>
        <v/>
      </c>
    </row>
    <row r="1414" spans="1:18">
      <c r="A1414" s="4">
        <v>1423</v>
      </c>
      <c r="C1414" s="8" t="str">
        <f>IF(B1414="","",VLOOKUP(B1414,经纬!B:C,2,FALSE))</f>
        <v/>
      </c>
      <c r="D1414" s="8" t="str">
        <f>IF(B1414="","",VLOOKUP(B1414,经纬!B:G,6,FALSE))</f>
        <v/>
      </c>
      <c r="F1414" s="8" t="str">
        <f>IF(B1414="","",VLOOKUP(B1414,小圆机汇总表!A:AP,5,FALSE))</f>
        <v/>
      </c>
      <c r="G1414" s="8" t="str">
        <f>IF(B1414="","",VLOOKUP(B1414,小圆机汇总表!A:AP,8,FALSE))</f>
        <v/>
      </c>
      <c r="P1414" s="8" t="str">
        <f t="shared" si="75"/>
        <v/>
      </c>
      <c r="R1414" s="250" t="str">
        <f t="shared" si="76"/>
        <v/>
      </c>
    </row>
    <row r="1415" spans="1:18">
      <c r="A1415" s="4">
        <v>1424</v>
      </c>
      <c r="C1415" s="8" t="str">
        <f>IF(B1415="","",VLOOKUP(B1415,经纬!B:C,2,FALSE))</f>
        <v/>
      </c>
      <c r="D1415" s="8" t="str">
        <f>IF(B1415="","",VLOOKUP(B1415,经纬!B:G,6,FALSE))</f>
        <v/>
      </c>
      <c r="F1415" s="8" t="str">
        <f>IF(B1415="","",VLOOKUP(B1415,小圆机汇总表!A:AP,5,FALSE))</f>
        <v/>
      </c>
      <c r="G1415" s="8" t="str">
        <f>IF(B1415="","",VLOOKUP(B1415,小圆机汇总表!A:AP,8,FALSE))</f>
        <v/>
      </c>
      <c r="P1415" s="8" t="str">
        <f t="shared" si="75"/>
        <v/>
      </c>
      <c r="R1415" s="250" t="str">
        <f t="shared" si="76"/>
        <v/>
      </c>
    </row>
    <row r="1416" spans="1:18">
      <c r="A1416" s="4">
        <v>1425</v>
      </c>
      <c r="C1416" s="8" t="str">
        <f>IF(B1416="","",VLOOKUP(B1416,经纬!B:C,2,FALSE))</f>
        <v/>
      </c>
      <c r="D1416" s="8" t="str">
        <f>IF(B1416="","",VLOOKUP(B1416,经纬!B:G,6,FALSE))</f>
        <v/>
      </c>
      <c r="F1416" s="8" t="str">
        <f>IF(B1416="","",VLOOKUP(B1416,小圆机汇总表!A:AP,5,FALSE))</f>
        <v/>
      </c>
      <c r="G1416" s="8" t="str">
        <f>IF(B1416="","",VLOOKUP(B1416,小圆机汇总表!A:AP,8,FALSE))</f>
        <v/>
      </c>
      <c r="P1416" s="8" t="str">
        <f t="shared" si="75"/>
        <v/>
      </c>
      <c r="R1416" s="250" t="str">
        <f t="shared" si="76"/>
        <v/>
      </c>
    </row>
    <row r="1417" spans="1:18">
      <c r="A1417" s="4">
        <v>1426</v>
      </c>
      <c r="C1417" s="8" t="str">
        <f>IF(B1417="","",VLOOKUP(B1417,经纬!B:C,2,FALSE))</f>
        <v/>
      </c>
      <c r="D1417" s="8" t="str">
        <f>IF(B1417="","",VLOOKUP(B1417,经纬!B:G,6,FALSE))</f>
        <v/>
      </c>
      <c r="F1417" s="8" t="str">
        <f>IF(B1417="","",VLOOKUP(B1417,小圆机汇总表!A:AP,5,FALSE))</f>
        <v/>
      </c>
      <c r="G1417" s="8" t="str">
        <f>IF(B1417="","",VLOOKUP(B1417,小圆机汇总表!A:AP,8,FALSE))</f>
        <v/>
      </c>
      <c r="P1417" s="8" t="str">
        <f t="shared" si="75"/>
        <v/>
      </c>
      <c r="R1417" s="250" t="str">
        <f t="shared" si="76"/>
        <v/>
      </c>
    </row>
    <row r="1418" spans="1:18">
      <c r="A1418" s="4">
        <v>1427</v>
      </c>
      <c r="C1418" s="8" t="str">
        <f>IF(B1418="","",VLOOKUP(B1418,经纬!B:C,2,FALSE))</f>
        <v/>
      </c>
      <c r="D1418" s="8" t="str">
        <f>IF(B1418="","",VLOOKUP(B1418,经纬!B:G,6,FALSE))</f>
        <v/>
      </c>
      <c r="F1418" s="8" t="str">
        <f>IF(B1418="","",VLOOKUP(B1418,小圆机汇总表!A:AP,5,FALSE))</f>
        <v/>
      </c>
      <c r="G1418" s="8" t="str">
        <f>IF(B1418="","",VLOOKUP(B1418,小圆机汇总表!A:AP,8,FALSE))</f>
        <v/>
      </c>
      <c r="P1418" s="8" t="str">
        <f t="shared" si="75"/>
        <v/>
      </c>
      <c r="R1418" s="250" t="str">
        <f t="shared" si="76"/>
        <v/>
      </c>
    </row>
    <row r="1419" spans="1:18">
      <c r="A1419" s="4">
        <v>1428</v>
      </c>
      <c r="C1419" s="8" t="str">
        <f>IF(B1419="","",VLOOKUP(B1419,经纬!B:C,2,FALSE))</f>
        <v/>
      </c>
      <c r="D1419" s="8" t="str">
        <f>IF(B1419="","",VLOOKUP(B1419,经纬!B:G,6,FALSE))</f>
        <v/>
      </c>
      <c r="F1419" s="8" t="str">
        <f>IF(B1419="","",VLOOKUP(B1419,小圆机汇总表!A:AP,5,FALSE))</f>
        <v/>
      </c>
      <c r="G1419" s="8" t="str">
        <f>IF(B1419="","",VLOOKUP(B1419,小圆机汇总表!A:AP,8,FALSE))</f>
        <v/>
      </c>
      <c r="P1419" s="8" t="str">
        <f t="shared" si="75"/>
        <v/>
      </c>
      <c r="R1419" s="250" t="str">
        <f t="shared" si="76"/>
        <v/>
      </c>
    </row>
    <row r="1420" spans="1:18">
      <c r="A1420" s="4">
        <v>1429</v>
      </c>
      <c r="C1420" s="8" t="str">
        <f>IF(B1420="","",VLOOKUP(B1420,经纬!B:C,2,FALSE))</f>
        <v/>
      </c>
      <c r="D1420" s="8" t="str">
        <f>IF(B1420="","",VLOOKUP(B1420,经纬!B:G,6,FALSE))</f>
        <v/>
      </c>
      <c r="F1420" s="8" t="str">
        <f>IF(B1420="","",VLOOKUP(B1420,小圆机汇总表!A:AP,5,FALSE))</f>
        <v/>
      </c>
      <c r="G1420" s="8" t="str">
        <f>IF(B1420="","",VLOOKUP(B1420,小圆机汇总表!A:AP,8,FALSE))</f>
        <v/>
      </c>
      <c r="P1420" s="8" t="str">
        <f t="shared" si="75"/>
        <v/>
      </c>
      <c r="R1420" s="250" t="str">
        <f t="shared" si="76"/>
        <v/>
      </c>
    </row>
    <row r="1421" spans="1:18">
      <c r="A1421" s="4">
        <v>1430</v>
      </c>
      <c r="C1421" s="8" t="str">
        <f>IF(B1421="","",VLOOKUP(B1421,经纬!B:C,2,FALSE))</f>
        <v/>
      </c>
      <c r="D1421" s="8" t="str">
        <f>IF(B1421="","",VLOOKUP(B1421,经纬!B:G,6,FALSE))</f>
        <v/>
      </c>
      <c r="F1421" s="8" t="str">
        <f>IF(B1421="","",VLOOKUP(B1421,小圆机汇总表!A:AP,5,FALSE))</f>
        <v/>
      </c>
      <c r="G1421" s="8" t="str">
        <f>IF(B1421="","",VLOOKUP(B1421,小圆机汇总表!A:AP,8,FALSE))</f>
        <v/>
      </c>
      <c r="P1421" s="8" t="str">
        <f t="shared" si="75"/>
        <v/>
      </c>
      <c r="R1421" s="250" t="str">
        <f t="shared" si="76"/>
        <v/>
      </c>
    </row>
    <row r="1422" spans="1:18">
      <c r="A1422" s="4">
        <v>1431</v>
      </c>
      <c r="C1422" s="8" t="str">
        <f>IF(B1422="","",VLOOKUP(B1422,经纬!B:C,2,FALSE))</f>
        <v/>
      </c>
      <c r="D1422" s="8" t="str">
        <f>IF(B1422="","",VLOOKUP(B1422,经纬!B:G,6,FALSE))</f>
        <v/>
      </c>
      <c r="F1422" s="8" t="str">
        <f>IF(B1422="","",VLOOKUP(B1422,小圆机汇总表!A:AP,5,FALSE))</f>
        <v/>
      </c>
      <c r="G1422" s="8" t="str">
        <f>IF(B1422="","",VLOOKUP(B1422,小圆机汇总表!A:AP,8,FALSE))</f>
        <v/>
      </c>
      <c r="P1422" s="8" t="str">
        <f t="shared" si="75"/>
        <v/>
      </c>
      <c r="R1422" s="250" t="str">
        <f t="shared" si="76"/>
        <v/>
      </c>
    </row>
    <row r="1423" spans="1:18">
      <c r="A1423" s="4">
        <v>1432</v>
      </c>
      <c r="C1423" s="8" t="str">
        <f>IF(B1423="","",VLOOKUP(B1423,经纬!B:C,2,FALSE))</f>
        <v/>
      </c>
      <c r="D1423" s="8" t="str">
        <f>IF(B1423="","",VLOOKUP(B1423,经纬!B:G,6,FALSE))</f>
        <v/>
      </c>
      <c r="F1423" s="8" t="str">
        <f>IF(B1423="","",VLOOKUP(B1423,小圆机汇总表!A:AP,5,FALSE))</f>
        <v/>
      </c>
      <c r="G1423" s="8" t="str">
        <f>IF(B1423="","",VLOOKUP(B1423,小圆机汇总表!A:AP,8,FALSE))</f>
        <v/>
      </c>
      <c r="P1423" s="8" t="str">
        <f t="shared" si="75"/>
        <v/>
      </c>
      <c r="R1423" s="250" t="str">
        <f t="shared" si="76"/>
        <v/>
      </c>
    </row>
    <row r="1424" spans="1:18">
      <c r="A1424" s="4">
        <v>1433</v>
      </c>
      <c r="C1424" s="8" t="str">
        <f>IF(B1424="","",VLOOKUP(B1424,经纬!B:C,2,FALSE))</f>
        <v/>
      </c>
      <c r="D1424" s="8" t="str">
        <f>IF(B1424="","",VLOOKUP(B1424,经纬!B:G,6,FALSE))</f>
        <v/>
      </c>
      <c r="F1424" s="8" t="str">
        <f>IF(B1424="","",VLOOKUP(B1424,小圆机汇总表!A:AP,5,FALSE))</f>
        <v/>
      </c>
      <c r="G1424" s="8" t="str">
        <f>IF(B1424="","",VLOOKUP(B1424,小圆机汇总表!A:AP,8,FALSE))</f>
        <v/>
      </c>
      <c r="P1424" s="8" t="str">
        <f t="shared" si="75"/>
        <v/>
      </c>
      <c r="R1424" s="250" t="str">
        <f t="shared" si="76"/>
        <v/>
      </c>
    </row>
    <row r="1425" spans="1:18">
      <c r="A1425" s="4">
        <v>1434</v>
      </c>
      <c r="C1425" s="8" t="str">
        <f>IF(B1425="","",VLOOKUP(B1425,经纬!B:C,2,FALSE))</f>
        <v/>
      </c>
      <c r="D1425" s="8" t="str">
        <f>IF(B1425="","",VLOOKUP(B1425,经纬!B:G,6,FALSE))</f>
        <v/>
      </c>
      <c r="F1425" s="8" t="str">
        <f>IF(B1425="","",VLOOKUP(B1425,小圆机汇总表!A:AP,5,FALSE))</f>
        <v/>
      </c>
      <c r="G1425" s="8" t="str">
        <f>IF(B1425="","",VLOOKUP(B1425,小圆机汇总表!A:AP,8,FALSE))</f>
        <v/>
      </c>
      <c r="P1425" s="8" t="str">
        <f t="shared" si="75"/>
        <v/>
      </c>
      <c r="R1425" s="250" t="str">
        <f t="shared" si="76"/>
        <v/>
      </c>
    </row>
    <row r="1426" spans="1:18">
      <c r="A1426" s="4">
        <v>1435</v>
      </c>
      <c r="C1426" s="8" t="str">
        <f>IF(B1426="","",VLOOKUP(B1426,经纬!B:C,2,FALSE))</f>
        <v/>
      </c>
      <c r="D1426" s="8" t="str">
        <f>IF(B1426="","",VLOOKUP(B1426,经纬!B:G,6,FALSE))</f>
        <v/>
      </c>
      <c r="F1426" s="8" t="str">
        <f>IF(B1426="","",VLOOKUP(B1426,小圆机汇总表!A:AP,5,FALSE))</f>
        <v/>
      </c>
      <c r="G1426" s="8" t="str">
        <f>IF(B1426="","",VLOOKUP(B1426,小圆机汇总表!A:AP,8,FALSE))</f>
        <v/>
      </c>
      <c r="P1426" s="8" t="str">
        <f t="shared" si="75"/>
        <v/>
      </c>
      <c r="R1426" s="250" t="str">
        <f t="shared" si="76"/>
        <v/>
      </c>
    </row>
    <row r="1427" spans="1:18">
      <c r="A1427" s="4">
        <v>1436</v>
      </c>
      <c r="C1427" s="8" t="str">
        <f>IF(B1427="","",VLOOKUP(B1427,经纬!B:C,2,FALSE))</f>
        <v/>
      </c>
      <c r="D1427" s="8" t="str">
        <f>IF(B1427="","",VLOOKUP(B1427,经纬!B:G,6,FALSE))</f>
        <v/>
      </c>
      <c r="F1427" s="8" t="str">
        <f>IF(B1427="","",VLOOKUP(B1427,小圆机汇总表!A:AP,5,FALSE))</f>
        <v/>
      </c>
      <c r="G1427" s="8" t="str">
        <f>IF(B1427="","",VLOOKUP(B1427,小圆机汇总表!A:AP,8,FALSE))</f>
        <v/>
      </c>
      <c r="P1427" s="8" t="str">
        <f t="shared" si="75"/>
        <v/>
      </c>
      <c r="R1427" s="250" t="str">
        <f t="shared" si="76"/>
        <v/>
      </c>
    </row>
    <row r="1428" spans="1:18">
      <c r="A1428" s="4">
        <v>1437</v>
      </c>
      <c r="C1428" s="8" t="str">
        <f>IF(B1428="","",VLOOKUP(B1428,经纬!B:C,2,FALSE))</f>
        <v/>
      </c>
      <c r="D1428" s="8" t="str">
        <f>IF(B1428="","",VLOOKUP(B1428,经纬!B:G,6,FALSE))</f>
        <v/>
      </c>
      <c r="F1428" s="8" t="str">
        <f>IF(B1428="","",VLOOKUP(B1428,小圆机汇总表!A:AP,5,FALSE))</f>
        <v/>
      </c>
      <c r="G1428" s="8" t="str">
        <f>IF(B1428="","",VLOOKUP(B1428,小圆机汇总表!A:AP,8,FALSE))</f>
        <v/>
      </c>
      <c r="P1428" s="8" t="str">
        <f t="shared" si="75"/>
        <v/>
      </c>
      <c r="R1428" s="250" t="str">
        <f t="shared" si="76"/>
        <v/>
      </c>
    </row>
    <row r="1429" spans="1:18">
      <c r="A1429" s="4">
        <v>1438</v>
      </c>
      <c r="C1429" s="8" t="str">
        <f>IF(B1429="","",VLOOKUP(B1429,经纬!B:C,2,FALSE))</f>
        <v/>
      </c>
      <c r="D1429" s="8" t="str">
        <f>IF(B1429="","",VLOOKUP(B1429,经纬!B:G,6,FALSE))</f>
        <v/>
      </c>
      <c r="F1429" s="8" t="str">
        <f>IF(B1429="","",VLOOKUP(B1429,小圆机汇总表!A:AP,5,FALSE))</f>
        <v/>
      </c>
      <c r="G1429" s="8" t="str">
        <f>IF(B1429="","",VLOOKUP(B1429,小圆机汇总表!A:AP,8,FALSE))</f>
        <v/>
      </c>
      <c r="P1429" s="8" t="str">
        <f t="shared" si="75"/>
        <v/>
      </c>
      <c r="R1429" s="250" t="str">
        <f t="shared" si="76"/>
        <v/>
      </c>
    </row>
    <row r="1430" spans="1:18">
      <c r="A1430" s="4">
        <v>1439</v>
      </c>
      <c r="C1430" s="8" t="str">
        <f>IF(B1430="","",VLOOKUP(B1430,经纬!B:C,2,FALSE))</f>
        <v/>
      </c>
      <c r="D1430" s="8" t="str">
        <f>IF(B1430="","",VLOOKUP(B1430,经纬!B:G,6,FALSE))</f>
        <v/>
      </c>
      <c r="F1430" s="8" t="str">
        <f>IF(B1430="","",VLOOKUP(B1430,小圆机汇总表!A:AP,5,FALSE))</f>
        <v/>
      </c>
      <c r="G1430" s="8" t="str">
        <f>IF(B1430="","",VLOOKUP(B1430,小圆机汇总表!A:AP,8,FALSE))</f>
        <v/>
      </c>
      <c r="P1430" s="8" t="str">
        <f t="shared" si="75"/>
        <v/>
      </c>
      <c r="R1430" s="250" t="str">
        <f t="shared" si="76"/>
        <v/>
      </c>
    </row>
    <row r="1431" spans="1:18">
      <c r="A1431" s="4">
        <v>1440</v>
      </c>
      <c r="C1431" s="8" t="str">
        <f>IF(B1431="","",VLOOKUP(B1431,经纬!B:C,2,FALSE))</f>
        <v/>
      </c>
      <c r="D1431" s="8" t="str">
        <f>IF(B1431="","",VLOOKUP(B1431,经纬!B:G,6,FALSE))</f>
        <v/>
      </c>
      <c r="F1431" s="8" t="str">
        <f>IF(B1431="","",VLOOKUP(B1431,小圆机汇总表!A:AP,5,FALSE))</f>
        <v/>
      </c>
      <c r="G1431" s="8" t="str">
        <f>IF(B1431="","",VLOOKUP(B1431,小圆机汇总表!A:AP,8,FALSE))</f>
        <v/>
      </c>
      <c r="P1431" s="8" t="str">
        <f t="shared" si="75"/>
        <v/>
      </c>
      <c r="R1431" s="250" t="str">
        <f t="shared" si="76"/>
        <v/>
      </c>
    </row>
    <row r="1432" spans="1:18">
      <c r="A1432" s="4">
        <v>1441</v>
      </c>
      <c r="C1432" s="8" t="str">
        <f>IF(B1432="","",VLOOKUP(B1432,经纬!B:C,2,FALSE))</f>
        <v/>
      </c>
      <c r="D1432" s="8" t="str">
        <f>IF(B1432="","",VLOOKUP(B1432,经纬!B:G,6,FALSE))</f>
        <v/>
      </c>
      <c r="F1432" s="8" t="str">
        <f>IF(B1432="","",VLOOKUP(B1432,小圆机汇总表!A:AP,5,FALSE))</f>
        <v/>
      </c>
      <c r="G1432" s="8" t="str">
        <f>IF(B1432="","",VLOOKUP(B1432,小圆机汇总表!A:AP,8,FALSE))</f>
        <v/>
      </c>
      <c r="P1432" s="8" t="str">
        <f t="shared" si="75"/>
        <v/>
      </c>
      <c r="R1432" s="250" t="str">
        <f t="shared" si="76"/>
        <v/>
      </c>
    </row>
    <row r="1433" spans="1:18">
      <c r="A1433" s="4">
        <v>1442</v>
      </c>
      <c r="C1433" s="8" t="str">
        <f>IF(B1433="","",VLOOKUP(B1433,经纬!B:C,2,FALSE))</f>
        <v/>
      </c>
      <c r="D1433" s="8" t="str">
        <f>IF(B1433="","",VLOOKUP(B1433,经纬!B:G,6,FALSE))</f>
        <v/>
      </c>
      <c r="F1433" s="8" t="str">
        <f>IF(B1433="","",VLOOKUP(B1433,小圆机汇总表!A:AP,5,FALSE))</f>
        <v/>
      </c>
      <c r="G1433" s="8" t="str">
        <f>IF(B1433="","",VLOOKUP(B1433,小圆机汇总表!A:AP,8,FALSE))</f>
        <v/>
      </c>
      <c r="P1433" s="8" t="str">
        <f t="shared" si="75"/>
        <v/>
      </c>
      <c r="R1433" s="250" t="str">
        <f t="shared" si="76"/>
        <v/>
      </c>
    </row>
    <row r="1434" spans="1:18">
      <c r="A1434" s="4">
        <v>1443</v>
      </c>
      <c r="C1434" s="8" t="str">
        <f>IF(B1434="","",VLOOKUP(B1434,经纬!B:C,2,FALSE))</f>
        <v/>
      </c>
      <c r="D1434" s="8" t="str">
        <f>IF(B1434="","",VLOOKUP(B1434,经纬!B:G,6,FALSE))</f>
        <v/>
      </c>
      <c r="F1434" s="8" t="str">
        <f>IF(B1434="","",VLOOKUP(B1434,小圆机汇总表!A:AP,5,FALSE))</f>
        <v/>
      </c>
      <c r="G1434" s="8" t="str">
        <f>IF(B1434="","",VLOOKUP(B1434,小圆机汇总表!A:AP,8,FALSE))</f>
        <v/>
      </c>
      <c r="P1434" s="8" t="str">
        <f t="shared" ref="P1434:P1497" si="77">IF(B1434="","",MONTH(I1434))</f>
        <v/>
      </c>
      <c r="R1434" s="250" t="str">
        <f t="shared" si="76"/>
        <v/>
      </c>
    </row>
    <row r="1435" spans="1:18">
      <c r="A1435" s="4">
        <v>1444</v>
      </c>
      <c r="C1435" s="8" t="str">
        <f>IF(B1435="","",VLOOKUP(B1435,经纬!B:C,2,FALSE))</f>
        <v/>
      </c>
      <c r="D1435" s="8" t="str">
        <f>IF(B1435="","",VLOOKUP(B1435,经纬!B:G,6,FALSE))</f>
        <v/>
      </c>
      <c r="F1435" s="8" t="str">
        <f>IF(B1435="","",VLOOKUP(B1435,小圆机汇总表!A:AP,5,FALSE))</f>
        <v/>
      </c>
      <c r="G1435" s="8" t="str">
        <f>IF(B1435="","",VLOOKUP(B1435,小圆机汇总表!A:AP,8,FALSE))</f>
        <v/>
      </c>
      <c r="P1435" s="8" t="str">
        <f t="shared" si="77"/>
        <v/>
      </c>
      <c r="R1435" s="250" t="str">
        <f t="shared" si="76"/>
        <v/>
      </c>
    </row>
    <row r="1436" spans="1:18">
      <c r="A1436" s="4">
        <v>1445</v>
      </c>
      <c r="C1436" s="8" t="str">
        <f>IF(B1436="","",VLOOKUP(B1436,经纬!B:C,2,FALSE))</f>
        <v/>
      </c>
      <c r="D1436" s="8" t="str">
        <f>IF(B1436="","",VLOOKUP(B1436,经纬!B:G,6,FALSE))</f>
        <v/>
      </c>
      <c r="F1436" s="8" t="str">
        <f>IF(B1436="","",VLOOKUP(B1436,小圆机汇总表!A:AP,5,FALSE))</f>
        <v/>
      </c>
      <c r="G1436" s="8" t="str">
        <f>IF(B1436="","",VLOOKUP(B1436,小圆机汇总表!A:AP,8,FALSE))</f>
        <v/>
      </c>
      <c r="P1436" s="8" t="str">
        <f t="shared" si="77"/>
        <v/>
      </c>
      <c r="R1436" s="250" t="str">
        <f t="shared" si="76"/>
        <v/>
      </c>
    </row>
    <row r="1437" spans="1:18">
      <c r="A1437" s="4">
        <v>1446</v>
      </c>
      <c r="C1437" s="8" t="str">
        <f>IF(B1437="","",VLOOKUP(B1437,经纬!B:C,2,FALSE))</f>
        <v/>
      </c>
      <c r="D1437" s="8" t="str">
        <f>IF(B1437="","",VLOOKUP(B1437,经纬!B:G,6,FALSE))</f>
        <v/>
      </c>
      <c r="F1437" s="8" t="str">
        <f>IF(B1437="","",VLOOKUP(B1437,小圆机汇总表!A:AP,5,FALSE))</f>
        <v/>
      </c>
      <c r="G1437" s="8" t="str">
        <f>IF(B1437="","",VLOOKUP(B1437,小圆机汇总表!A:AP,8,FALSE))</f>
        <v/>
      </c>
      <c r="P1437" s="8" t="str">
        <f t="shared" si="77"/>
        <v/>
      </c>
      <c r="R1437" s="250" t="str">
        <f t="shared" si="76"/>
        <v/>
      </c>
    </row>
    <row r="1438" spans="1:18">
      <c r="A1438" s="4">
        <v>1447</v>
      </c>
      <c r="C1438" s="8" t="str">
        <f>IF(B1438="","",VLOOKUP(B1438,经纬!B:C,2,FALSE))</f>
        <v/>
      </c>
      <c r="D1438" s="8" t="str">
        <f>IF(B1438="","",VLOOKUP(B1438,经纬!B:G,6,FALSE))</f>
        <v/>
      </c>
      <c r="F1438" s="8" t="str">
        <f>IF(B1438="","",VLOOKUP(B1438,小圆机汇总表!A:AP,5,FALSE))</f>
        <v/>
      </c>
      <c r="G1438" s="8" t="str">
        <f>IF(B1438="","",VLOOKUP(B1438,小圆机汇总表!A:AP,8,FALSE))</f>
        <v/>
      </c>
      <c r="P1438" s="8" t="str">
        <f t="shared" si="77"/>
        <v/>
      </c>
      <c r="R1438" s="250" t="str">
        <f t="shared" si="76"/>
        <v/>
      </c>
    </row>
    <row r="1439" spans="1:18">
      <c r="A1439" s="4">
        <v>1448</v>
      </c>
      <c r="C1439" s="8" t="str">
        <f>IF(B1439="","",VLOOKUP(B1439,经纬!B:C,2,FALSE))</f>
        <v/>
      </c>
      <c r="D1439" s="8" t="str">
        <f>IF(B1439="","",VLOOKUP(B1439,经纬!B:G,6,FALSE))</f>
        <v/>
      </c>
      <c r="F1439" s="8" t="str">
        <f>IF(B1439="","",VLOOKUP(B1439,小圆机汇总表!A:AP,5,FALSE))</f>
        <v/>
      </c>
      <c r="G1439" s="8" t="str">
        <f>IF(B1439="","",VLOOKUP(B1439,小圆机汇总表!A:AP,8,FALSE))</f>
        <v/>
      </c>
      <c r="P1439" s="8" t="str">
        <f t="shared" si="77"/>
        <v/>
      </c>
      <c r="R1439" s="250" t="str">
        <f t="shared" si="76"/>
        <v/>
      </c>
    </row>
    <row r="1440" spans="1:18">
      <c r="A1440" s="4">
        <v>1449</v>
      </c>
      <c r="C1440" s="8" t="str">
        <f>IF(B1440="","",VLOOKUP(B1440,经纬!B:C,2,FALSE))</f>
        <v/>
      </c>
      <c r="D1440" s="8" t="str">
        <f>IF(B1440="","",VLOOKUP(B1440,经纬!B:G,6,FALSE))</f>
        <v/>
      </c>
      <c r="F1440" s="8" t="str">
        <f>IF(B1440="","",VLOOKUP(B1440,小圆机汇总表!A:AP,5,FALSE))</f>
        <v/>
      </c>
      <c r="G1440" s="8" t="str">
        <f>IF(B1440="","",VLOOKUP(B1440,小圆机汇总表!A:AP,8,FALSE))</f>
        <v/>
      </c>
      <c r="P1440" s="8" t="str">
        <f t="shared" si="77"/>
        <v/>
      </c>
      <c r="R1440" s="250" t="str">
        <f t="shared" si="76"/>
        <v/>
      </c>
    </row>
    <row r="1441" spans="1:18">
      <c r="A1441" s="4">
        <v>1450</v>
      </c>
      <c r="C1441" s="8" t="str">
        <f>IF(B1441="","",VLOOKUP(B1441,经纬!B:C,2,FALSE))</f>
        <v/>
      </c>
      <c r="D1441" s="8" t="str">
        <f>IF(B1441="","",VLOOKUP(B1441,经纬!B:G,6,FALSE))</f>
        <v/>
      </c>
      <c r="F1441" s="8" t="str">
        <f>IF(B1441="","",VLOOKUP(B1441,小圆机汇总表!A:AP,5,FALSE))</f>
        <v/>
      </c>
      <c r="G1441" s="8" t="str">
        <f>IF(B1441="","",VLOOKUP(B1441,小圆机汇总表!A:AP,8,FALSE))</f>
        <v/>
      </c>
      <c r="P1441" s="8" t="str">
        <f t="shared" si="77"/>
        <v/>
      </c>
      <c r="R1441" s="250" t="str">
        <f t="shared" si="76"/>
        <v/>
      </c>
    </row>
    <row r="1442" spans="1:18">
      <c r="A1442" s="4">
        <v>1451</v>
      </c>
      <c r="C1442" s="8" t="str">
        <f>IF(B1442="","",VLOOKUP(B1442,经纬!B:C,2,FALSE))</f>
        <v/>
      </c>
      <c r="D1442" s="8" t="str">
        <f>IF(B1442="","",VLOOKUP(B1442,经纬!B:G,6,FALSE))</f>
        <v/>
      </c>
      <c r="F1442" s="8" t="str">
        <f>IF(B1442="","",VLOOKUP(B1442,小圆机汇总表!A:AP,5,FALSE))</f>
        <v/>
      </c>
      <c r="G1442" s="8" t="str">
        <f>IF(B1442="","",VLOOKUP(B1442,小圆机汇总表!A:AP,8,FALSE))</f>
        <v/>
      </c>
      <c r="P1442" s="8" t="str">
        <f t="shared" si="77"/>
        <v/>
      </c>
      <c r="R1442" s="250" t="str">
        <f t="shared" si="76"/>
        <v/>
      </c>
    </row>
    <row r="1443" spans="1:18">
      <c r="A1443" s="4">
        <v>1452</v>
      </c>
      <c r="C1443" s="8" t="str">
        <f>IF(B1443="","",VLOOKUP(B1443,经纬!B:C,2,FALSE))</f>
        <v/>
      </c>
      <c r="D1443" s="8" t="str">
        <f>IF(B1443="","",VLOOKUP(B1443,经纬!B:G,6,FALSE))</f>
        <v/>
      </c>
      <c r="F1443" s="8" t="str">
        <f>IF(B1443="","",VLOOKUP(B1443,小圆机汇总表!A:AP,5,FALSE))</f>
        <v/>
      </c>
      <c r="G1443" s="8" t="str">
        <f>IF(B1443="","",VLOOKUP(B1443,小圆机汇总表!A:AP,8,FALSE))</f>
        <v/>
      </c>
      <c r="P1443" s="8" t="str">
        <f t="shared" si="77"/>
        <v/>
      </c>
      <c r="R1443" s="250" t="str">
        <f t="shared" si="76"/>
        <v/>
      </c>
    </row>
    <row r="1444" spans="1:18">
      <c r="A1444" s="4">
        <v>1453</v>
      </c>
      <c r="C1444" s="8" t="str">
        <f>IF(B1444="","",VLOOKUP(B1444,经纬!B:C,2,FALSE))</f>
        <v/>
      </c>
      <c r="D1444" s="8" t="str">
        <f>IF(B1444="","",VLOOKUP(B1444,经纬!B:G,6,FALSE))</f>
        <v/>
      </c>
      <c r="F1444" s="8" t="str">
        <f>IF(B1444="","",VLOOKUP(B1444,小圆机汇总表!A:AP,5,FALSE))</f>
        <v/>
      </c>
      <c r="G1444" s="8" t="str">
        <f>IF(B1444="","",VLOOKUP(B1444,小圆机汇总表!A:AP,8,FALSE))</f>
        <v/>
      </c>
      <c r="P1444" s="8" t="str">
        <f t="shared" si="77"/>
        <v/>
      </c>
      <c r="R1444" s="250" t="str">
        <f t="shared" si="76"/>
        <v/>
      </c>
    </row>
    <row r="1445" spans="1:18">
      <c r="A1445" s="4">
        <v>1454</v>
      </c>
      <c r="C1445" s="8" t="str">
        <f>IF(B1445="","",VLOOKUP(B1445,经纬!B:C,2,FALSE))</f>
        <v/>
      </c>
      <c r="D1445" s="8" t="str">
        <f>IF(B1445="","",VLOOKUP(B1445,经纬!B:G,6,FALSE))</f>
        <v/>
      </c>
      <c r="F1445" s="8" t="str">
        <f>IF(B1445="","",VLOOKUP(B1445,小圆机汇总表!A:AP,5,FALSE))</f>
        <v/>
      </c>
      <c r="G1445" s="8" t="str">
        <f>IF(B1445="","",VLOOKUP(B1445,小圆机汇总表!A:AP,8,FALSE))</f>
        <v/>
      </c>
      <c r="P1445" s="8" t="str">
        <f t="shared" si="77"/>
        <v/>
      </c>
      <c r="R1445" s="250" t="str">
        <f t="shared" si="76"/>
        <v/>
      </c>
    </row>
    <row r="1446" spans="1:18">
      <c r="A1446" s="4">
        <v>1455</v>
      </c>
      <c r="C1446" s="8" t="str">
        <f>IF(B1446="","",VLOOKUP(B1446,经纬!B:C,2,FALSE))</f>
        <v/>
      </c>
      <c r="D1446" s="8" t="str">
        <f>IF(B1446="","",VLOOKUP(B1446,经纬!B:G,6,FALSE))</f>
        <v/>
      </c>
      <c r="F1446" s="8" t="str">
        <f>IF(B1446="","",VLOOKUP(B1446,小圆机汇总表!A:AP,5,FALSE))</f>
        <v/>
      </c>
      <c r="G1446" s="8" t="str">
        <f>IF(B1446="","",VLOOKUP(B1446,小圆机汇总表!A:AP,8,FALSE))</f>
        <v/>
      </c>
      <c r="P1446" s="8" t="str">
        <f t="shared" si="77"/>
        <v/>
      </c>
      <c r="R1446" s="250" t="str">
        <f t="shared" si="76"/>
        <v/>
      </c>
    </row>
    <row r="1447" spans="1:18">
      <c r="A1447" s="4">
        <v>1456</v>
      </c>
      <c r="C1447" s="8" t="str">
        <f>IF(B1447="","",VLOOKUP(B1447,经纬!B:C,2,FALSE))</f>
        <v/>
      </c>
      <c r="D1447" s="8" t="str">
        <f>IF(B1447="","",VLOOKUP(B1447,经纬!B:G,6,FALSE))</f>
        <v/>
      </c>
      <c r="F1447" s="8" t="str">
        <f>IF(B1447="","",VLOOKUP(B1447,小圆机汇总表!A:AP,5,FALSE))</f>
        <v/>
      </c>
      <c r="G1447" s="8" t="str">
        <f>IF(B1447="","",VLOOKUP(B1447,小圆机汇总表!A:AP,8,FALSE))</f>
        <v/>
      </c>
      <c r="P1447" s="8" t="str">
        <f t="shared" si="77"/>
        <v/>
      </c>
      <c r="R1447" s="250" t="str">
        <f t="shared" si="76"/>
        <v/>
      </c>
    </row>
    <row r="1448" spans="1:18">
      <c r="A1448" s="4">
        <v>1457</v>
      </c>
      <c r="C1448" s="8" t="str">
        <f>IF(B1448="","",VLOOKUP(B1448,经纬!B:C,2,FALSE))</f>
        <v/>
      </c>
      <c r="D1448" s="8" t="str">
        <f>IF(B1448="","",VLOOKUP(B1448,经纬!B:G,6,FALSE))</f>
        <v/>
      </c>
      <c r="F1448" s="8" t="str">
        <f>IF(B1448="","",VLOOKUP(B1448,小圆机汇总表!A:AP,5,FALSE))</f>
        <v/>
      </c>
      <c r="G1448" s="8" t="str">
        <f>IF(B1448="","",VLOOKUP(B1448,小圆机汇总表!A:AP,8,FALSE))</f>
        <v/>
      </c>
      <c r="P1448" s="8" t="str">
        <f t="shared" si="77"/>
        <v/>
      </c>
      <c r="R1448" s="250" t="str">
        <f t="shared" si="76"/>
        <v/>
      </c>
    </row>
    <row r="1449" spans="1:18">
      <c r="A1449" s="4">
        <v>1458</v>
      </c>
      <c r="C1449" s="8" t="str">
        <f>IF(B1449="","",VLOOKUP(B1449,经纬!B:C,2,FALSE))</f>
        <v/>
      </c>
      <c r="D1449" s="8" t="str">
        <f>IF(B1449="","",VLOOKUP(B1449,经纬!B:G,6,FALSE))</f>
        <v/>
      </c>
      <c r="F1449" s="8" t="str">
        <f>IF(B1449="","",VLOOKUP(B1449,小圆机汇总表!A:AP,5,FALSE))</f>
        <v/>
      </c>
      <c r="G1449" s="8" t="str">
        <f>IF(B1449="","",VLOOKUP(B1449,小圆机汇总表!A:AP,8,FALSE))</f>
        <v/>
      </c>
      <c r="P1449" s="8" t="str">
        <f t="shared" si="77"/>
        <v/>
      </c>
      <c r="R1449" s="250" t="str">
        <f t="shared" si="76"/>
        <v/>
      </c>
    </row>
    <row r="1450" spans="1:18">
      <c r="A1450" s="4">
        <v>1459</v>
      </c>
      <c r="C1450" s="8" t="str">
        <f>IF(B1450="","",VLOOKUP(B1450,经纬!B:C,2,FALSE))</f>
        <v/>
      </c>
      <c r="D1450" s="8" t="str">
        <f>IF(B1450="","",VLOOKUP(B1450,经纬!B:G,6,FALSE))</f>
        <v/>
      </c>
      <c r="F1450" s="8" t="str">
        <f>IF(B1450="","",VLOOKUP(B1450,小圆机汇总表!A:AP,5,FALSE))</f>
        <v/>
      </c>
      <c r="G1450" s="8" t="str">
        <f>IF(B1450="","",VLOOKUP(B1450,小圆机汇总表!A:AP,8,FALSE))</f>
        <v/>
      </c>
      <c r="P1450" s="8" t="str">
        <f t="shared" si="77"/>
        <v/>
      </c>
      <c r="R1450" s="250" t="str">
        <f t="shared" si="76"/>
        <v/>
      </c>
    </row>
    <row r="1451" spans="1:18">
      <c r="A1451" s="4">
        <v>1460</v>
      </c>
      <c r="C1451" s="8" t="str">
        <f>IF(B1451="","",VLOOKUP(B1451,经纬!B:C,2,FALSE))</f>
        <v/>
      </c>
      <c r="D1451" s="8" t="str">
        <f>IF(B1451="","",VLOOKUP(B1451,经纬!B:G,6,FALSE))</f>
        <v/>
      </c>
      <c r="F1451" s="8" t="str">
        <f>IF(B1451="","",VLOOKUP(B1451,小圆机汇总表!A:AP,5,FALSE))</f>
        <v/>
      </c>
      <c r="G1451" s="8" t="str">
        <f>IF(B1451="","",VLOOKUP(B1451,小圆机汇总表!A:AP,8,FALSE))</f>
        <v/>
      </c>
      <c r="P1451" s="8" t="str">
        <f t="shared" si="77"/>
        <v/>
      </c>
      <c r="R1451" s="250" t="str">
        <f t="shared" si="76"/>
        <v/>
      </c>
    </row>
    <row r="1452" spans="1:18">
      <c r="A1452" s="4">
        <v>1461</v>
      </c>
      <c r="C1452" s="8" t="str">
        <f>IF(B1452="","",VLOOKUP(B1452,经纬!B:C,2,FALSE))</f>
        <v/>
      </c>
      <c r="D1452" s="8" t="str">
        <f>IF(B1452="","",VLOOKUP(B1452,经纬!B:G,6,FALSE))</f>
        <v/>
      </c>
      <c r="F1452" s="8" t="str">
        <f>IF(B1452="","",VLOOKUP(B1452,小圆机汇总表!A:AP,5,FALSE))</f>
        <v/>
      </c>
      <c r="G1452" s="8" t="str">
        <f>IF(B1452="","",VLOOKUP(B1452,小圆机汇总表!A:AP,8,FALSE))</f>
        <v/>
      </c>
      <c r="P1452" s="8" t="str">
        <f t="shared" si="77"/>
        <v/>
      </c>
      <c r="R1452" s="250" t="str">
        <f t="shared" si="76"/>
        <v/>
      </c>
    </row>
    <row r="1453" spans="1:18">
      <c r="A1453" s="4">
        <v>1462</v>
      </c>
      <c r="C1453" s="8" t="str">
        <f>IF(B1453="","",VLOOKUP(B1453,经纬!B:C,2,FALSE))</f>
        <v/>
      </c>
      <c r="D1453" s="8" t="str">
        <f>IF(B1453="","",VLOOKUP(B1453,经纬!B:G,6,FALSE))</f>
        <v/>
      </c>
      <c r="F1453" s="8" t="str">
        <f>IF(B1453="","",VLOOKUP(B1453,小圆机汇总表!A:AP,5,FALSE))</f>
        <v/>
      </c>
      <c r="G1453" s="8" t="str">
        <f>IF(B1453="","",VLOOKUP(B1453,小圆机汇总表!A:AP,8,FALSE))</f>
        <v/>
      </c>
      <c r="P1453" s="8" t="str">
        <f t="shared" si="77"/>
        <v/>
      </c>
      <c r="R1453" s="250" t="str">
        <f t="shared" si="76"/>
        <v/>
      </c>
    </row>
    <row r="1454" spans="1:18">
      <c r="A1454" s="4">
        <v>1463</v>
      </c>
      <c r="C1454" s="8" t="str">
        <f>IF(B1454="","",VLOOKUP(B1454,经纬!B:C,2,FALSE))</f>
        <v/>
      </c>
      <c r="D1454" s="8" t="str">
        <f>IF(B1454="","",VLOOKUP(B1454,经纬!B:G,6,FALSE))</f>
        <v/>
      </c>
      <c r="F1454" s="8" t="str">
        <f>IF(B1454="","",VLOOKUP(B1454,小圆机汇总表!A:AP,5,FALSE))</f>
        <v/>
      </c>
      <c r="G1454" s="8" t="str">
        <f>IF(B1454="","",VLOOKUP(B1454,小圆机汇总表!A:AP,8,FALSE))</f>
        <v/>
      </c>
      <c r="P1454" s="8" t="str">
        <f t="shared" si="77"/>
        <v/>
      </c>
      <c r="R1454" s="250" t="str">
        <f t="shared" si="76"/>
        <v/>
      </c>
    </row>
    <row r="1455" spans="1:18">
      <c r="A1455" s="4">
        <v>1464</v>
      </c>
      <c r="C1455" s="8" t="str">
        <f>IF(B1455="","",VLOOKUP(B1455,经纬!B:C,2,FALSE))</f>
        <v/>
      </c>
      <c r="D1455" s="8" t="str">
        <f>IF(B1455="","",VLOOKUP(B1455,经纬!B:G,6,FALSE))</f>
        <v/>
      </c>
      <c r="F1455" s="8" t="str">
        <f>IF(B1455="","",VLOOKUP(B1455,小圆机汇总表!A:AP,5,FALSE))</f>
        <v/>
      </c>
      <c r="G1455" s="8" t="str">
        <f>IF(B1455="","",VLOOKUP(B1455,小圆机汇总表!A:AP,8,FALSE))</f>
        <v/>
      </c>
      <c r="P1455" s="8" t="str">
        <f t="shared" si="77"/>
        <v/>
      </c>
      <c r="R1455" s="250" t="str">
        <f t="shared" si="76"/>
        <v/>
      </c>
    </row>
    <row r="1456" spans="1:18">
      <c r="A1456" s="4">
        <v>1465</v>
      </c>
      <c r="C1456" s="8" t="str">
        <f>IF(B1456="","",VLOOKUP(B1456,经纬!B:C,2,FALSE))</f>
        <v/>
      </c>
      <c r="D1456" s="8" t="str">
        <f>IF(B1456="","",VLOOKUP(B1456,经纬!B:G,6,FALSE))</f>
        <v/>
      </c>
      <c r="F1456" s="8" t="str">
        <f>IF(B1456="","",VLOOKUP(B1456,小圆机汇总表!A:AP,5,FALSE))</f>
        <v/>
      </c>
      <c r="G1456" s="8" t="str">
        <f>IF(B1456="","",VLOOKUP(B1456,小圆机汇总表!A:AP,8,FALSE))</f>
        <v/>
      </c>
      <c r="P1456" s="8" t="str">
        <f t="shared" si="77"/>
        <v/>
      </c>
      <c r="R1456" s="250" t="str">
        <f t="shared" si="76"/>
        <v/>
      </c>
    </row>
    <row r="1457" spans="1:18">
      <c r="A1457" s="4">
        <v>1466</v>
      </c>
      <c r="C1457" s="8" t="str">
        <f>IF(B1457="","",VLOOKUP(B1457,经纬!B:C,2,FALSE))</f>
        <v/>
      </c>
      <c r="D1457" s="8" t="str">
        <f>IF(B1457="","",VLOOKUP(B1457,经纬!B:G,6,FALSE))</f>
        <v/>
      </c>
      <c r="F1457" s="8" t="str">
        <f>IF(B1457="","",VLOOKUP(B1457,小圆机汇总表!A:AP,5,FALSE))</f>
        <v/>
      </c>
      <c r="G1457" s="8" t="str">
        <f>IF(B1457="","",VLOOKUP(B1457,小圆机汇总表!A:AP,8,FALSE))</f>
        <v/>
      </c>
      <c r="P1457" s="8" t="str">
        <f t="shared" si="77"/>
        <v/>
      </c>
      <c r="R1457" s="250" t="str">
        <f t="shared" si="76"/>
        <v/>
      </c>
    </row>
    <row r="1458" spans="1:18">
      <c r="A1458" s="4">
        <v>1467</v>
      </c>
      <c r="C1458" s="8" t="str">
        <f>IF(B1458="","",VLOOKUP(B1458,经纬!B:C,2,FALSE))</f>
        <v/>
      </c>
      <c r="D1458" s="8" t="str">
        <f>IF(B1458="","",VLOOKUP(B1458,经纬!B:G,6,FALSE))</f>
        <v/>
      </c>
      <c r="F1458" s="8" t="str">
        <f>IF(B1458="","",VLOOKUP(B1458,小圆机汇总表!A:AP,5,FALSE))</f>
        <v/>
      </c>
      <c r="G1458" s="8" t="str">
        <f>IF(B1458="","",VLOOKUP(B1458,小圆机汇总表!A:AP,8,FALSE))</f>
        <v/>
      </c>
      <c r="P1458" s="8" t="str">
        <f t="shared" si="77"/>
        <v/>
      </c>
      <c r="R1458" s="250" t="str">
        <f t="shared" si="76"/>
        <v/>
      </c>
    </row>
    <row r="1459" spans="1:18">
      <c r="A1459" s="4">
        <v>1468</v>
      </c>
      <c r="C1459" s="8" t="str">
        <f>IF(B1459="","",VLOOKUP(B1459,经纬!B:C,2,FALSE))</f>
        <v/>
      </c>
      <c r="D1459" s="8" t="str">
        <f>IF(B1459="","",VLOOKUP(B1459,经纬!B:G,6,FALSE))</f>
        <v/>
      </c>
      <c r="F1459" s="8" t="str">
        <f>IF(B1459="","",VLOOKUP(B1459,小圆机汇总表!A:AP,5,FALSE))</f>
        <v/>
      </c>
      <c r="G1459" s="8" t="str">
        <f>IF(B1459="","",VLOOKUP(B1459,小圆机汇总表!A:AP,8,FALSE))</f>
        <v/>
      </c>
      <c r="P1459" s="8" t="str">
        <f t="shared" si="77"/>
        <v/>
      </c>
      <c r="R1459" s="250" t="str">
        <f t="shared" si="76"/>
        <v/>
      </c>
    </row>
    <row r="1460" spans="1:18">
      <c r="A1460" s="4">
        <v>1469</v>
      </c>
      <c r="C1460" s="8" t="str">
        <f>IF(B1460="","",VLOOKUP(B1460,经纬!B:C,2,FALSE))</f>
        <v/>
      </c>
      <c r="D1460" s="8" t="str">
        <f>IF(B1460="","",VLOOKUP(B1460,经纬!B:G,6,FALSE))</f>
        <v/>
      </c>
      <c r="F1460" s="8" t="str">
        <f>IF(B1460="","",VLOOKUP(B1460,小圆机汇总表!A:AP,5,FALSE))</f>
        <v/>
      </c>
      <c r="G1460" s="8" t="str">
        <f>IF(B1460="","",VLOOKUP(B1460,小圆机汇总表!A:AP,8,FALSE))</f>
        <v/>
      </c>
      <c r="P1460" s="8" t="str">
        <f t="shared" si="77"/>
        <v/>
      </c>
      <c r="R1460" s="250" t="str">
        <f t="shared" si="76"/>
        <v/>
      </c>
    </row>
    <row r="1461" spans="1:18">
      <c r="A1461" s="4">
        <v>1470</v>
      </c>
      <c r="C1461" s="8" t="str">
        <f>IF(B1461="","",VLOOKUP(B1461,经纬!B:C,2,FALSE))</f>
        <v/>
      </c>
      <c r="D1461" s="8" t="str">
        <f>IF(B1461="","",VLOOKUP(B1461,经纬!B:G,6,FALSE))</f>
        <v/>
      </c>
      <c r="F1461" s="8" t="str">
        <f>IF(B1461="","",VLOOKUP(B1461,小圆机汇总表!A:AP,5,FALSE))</f>
        <v/>
      </c>
      <c r="G1461" s="8" t="str">
        <f>IF(B1461="","",VLOOKUP(B1461,小圆机汇总表!A:AP,8,FALSE))</f>
        <v/>
      </c>
      <c r="P1461" s="8" t="str">
        <f t="shared" si="77"/>
        <v/>
      </c>
      <c r="R1461" s="250" t="str">
        <f t="shared" si="76"/>
        <v/>
      </c>
    </row>
    <row r="1462" spans="1:18">
      <c r="A1462" s="4">
        <v>1471</v>
      </c>
      <c r="C1462" s="8" t="str">
        <f>IF(B1462="","",VLOOKUP(B1462,经纬!B:C,2,FALSE))</f>
        <v/>
      </c>
      <c r="D1462" s="8" t="str">
        <f>IF(B1462="","",VLOOKUP(B1462,经纬!B:G,6,FALSE))</f>
        <v/>
      </c>
      <c r="F1462" s="8" t="str">
        <f>IF(B1462="","",VLOOKUP(B1462,小圆机汇总表!A:AP,5,FALSE))</f>
        <v/>
      </c>
      <c r="G1462" s="8" t="str">
        <f>IF(B1462="","",VLOOKUP(B1462,小圆机汇总表!A:AP,8,FALSE))</f>
        <v/>
      </c>
      <c r="P1462" s="8" t="str">
        <f t="shared" si="77"/>
        <v/>
      </c>
      <c r="R1462" s="250" t="str">
        <f t="shared" si="76"/>
        <v/>
      </c>
    </row>
    <row r="1463" spans="1:18">
      <c r="A1463" s="4">
        <v>1472</v>
      </c>
      <c r="C1463" s="8" t="str">
        <f>IF(B1463="","",VLOOKUP(B1463,经纬!B:C,2,FALSE))</f>
        <v/>
      </c>
      <c r="D1463" s="8" t="str">
        <f>IF(B1463="","",VLOOKUP(B1463,经纬!B:G,6,FALSE))</f>
        <v/>
      </c>
      <c r="F1463" s="8" t="str">
        <f>IF(B1463="","",VLOOKUP(B1463,小圆机汇总表!A:AP,5,FALSE))</f>
        <v/>
      </c>
      <c r="G1463" s="8" t="str">
        <f>IF(B1463="","",VLOOKUP(B1463,小圆机汇总表!A:AP,8,FALSE))</f>
        <v/>
      </c>
      <c r="P1463" s="8" t="str">
        <f t="shared" si="77"/>
        <v/>
      </c>
      <c r="R1463" s="250" t="str">
        <f t="shared" si="76"/>
        <v/>
      </c>
    </row>
    <row r="1464" spans="1:18">
      <c r="A1464" s="4">
        <v>1473</v>
      </c>
      <c r="C1464" s="8" t="str">
        <f>IF(B1464="","",VLOOKUP(B1464,经纬!B:C,2,FALSE))</f>
        <v/>
      </c>
      <c r="D1464" s="8" t="str">
        <f>IF(B1464="","",VLOOKUP(B1464,经纬!B:G,6,FALSE))</f>
        <v/>
      </c>
      <c r="F1464" s="8" t="str">
        <f>IF(B1464="","",VLOOKUP(B1464,小圆机汇总表!A:AP,5,FALSE))</f>
        <v/>
      </c>
      <c r="G1464" s="8" t="str">
        <f>IF(B1464="","",VLOOKUP(B1464,小圆机汇总表!A:AP,8,FALSE))</f>
        <v/>
      </c>
      <c r="P1464" s="8" t="str">
        <f t="shared" si="77"/>
        <v/>
      </c>
      <c r="R1464" s="250" t="str">
        <f t="shared" si="76"/>
        <v/>
      </c>
    </row>
    <row r="1465" spans="1:18">
      <c r="A1465" s="4">
        <v>1474</v>
      </c>
      <c r="C1465" s="8" t="str">
        <f>IF(B1465="","",VLOOKUP(B1465,经纬!B:C,2,FALSE))</f>
        <v/>
      </c>
      <c r="D1465" s="8" t="str">
        <f>IF(B1465="","",VLOOKUP(B1465,经纬!B:G,6,FALSE))</f>
        <v/>
      </c>
      <c r="F1465" s="8" t="str">
        <f>IF(B1465="","",VLOOKUP(B1465,小圆机汇总表!A:AP,5,FALSE))</f>
        <v/>
      </c>
      <c r="G1465" s="8" t="str">
        <f>IF(B1465="","",VLOOKUP(B1465,小圆机汇总表!A:AP,8,FALSE))</f>
        <v/>
      </c>
      <c r="P1465" s="8" t="str">
        <f t="shared" si="77"/>
        <v/>
      </c>
      <c r="R1465" s="250" t="str">
        <f t="shared" si="76"/>
        <v/>
      </c>
    </row>
    <row r="1466" spans="1:18">
      <c r="A1466" s="4">
        <v>1475</v>
      </c>
      <c r="C1466" s="8" t="str">
        <f>IF(B1466="","",VLOOKUP(B1466,经纬!B:C,2,FALSE))</f>
        <v/>
      </c>
      <c r="D1466" s="8" t="str">
        <f>IF(B1466="","",VLOOKUP(B1466,经纬!B:G,6,FALSE))</f>
        <v/>
      </c>
      <c r="F1466" s="8" t="str">
        <f>IF(B1466="","",VLOOKUP(B1466,小圆机汇总表!A:AP,5,FALSE))</f>
        <v/>
      </c>
      <c r="G1466" s="8" t="str">
        <f>IF(B1466="","",VLOOKUP(B1466,小圆机汇总表!A:AP,8,FALSE))</f>
        <v/>
      </c>
      <c r="P1466" s="8" t="str">
        <f t="shared" si="77"/>
        <v/>
      </c>
      <c r="R1466" s="250" t="str">
        <f t="shared" si="76"/>
        <v/>
      </c>
    </row>
    <row r="1467" spans="1:18">
      <c r="A1467" s="4">
        <v>1476</v>
      </c>
      <c r="C1467" s="8" t="str">
        <f>IF(B1467="","",VLOOKUP(B1467,经纬!B:C,2,FALSE))</f>
        <v/>
      </c>
      <c r="D1467" s="8" t="str">
        <f>IF(B1467="","",VLOOKUP(B1467,经纬!B:G,6,FALSE))</f>
        <v/>
      </c>
      <c r="F1467" s="8" t="str">
        <f>IF(B1467="","",VLOOKUP(B1467,小圆机汇总表!A:AP,5,FALSE))</f>
        <v/>
      </c>
      <c r="G1467" s="8" t="str">
        <f>IF(B1467="","",VLOOKUP(B1467,小圆机汇总表!A:AP,8,FALSE))</f>
        <v/>
      </c>
      <c r="P1467" s="8" t="str">
        <f t="shared" si="77"/>
        <v/>
      </c>
      <c r="R1467" s="250" t="str">
        <f t="shared" si="76"/>
        <v/>
      </c>
    </row>
    <row r="1468" spans="1:18">
      <c r="A1468" s="4">
        <v>1477</v>
      </c>
      <c r="C1468" s="8" t="str">
        <f>IF(B1468="","",VLOOKUP(B1468,经纬!B:C,2,FALSE))</f>
        <v/>
      </c>
      <c r="D1468" s="8" t="str">
        <f>IF(B1468="","",VLOOKUP(B1468,经纬!B:G,6,FALSE))</f>
        <v/>
      </c>
      <c r="F1468" s="8" t="str">
        <f>IF(B1468="","",VLOOKUP(B1468,小圆机汇总表!A:AP,5,FALSE))</f>
        <v/>
      </c>
      <c r="G1468" s="8" t="str">
        <f>IF(B1468="","",VLOOKUP(B1468,小圆机汇总表!A:AP,8,FALSE))</f>
        <v/>
      </c>
      <c r="P1468" s="8" t="str">
        <f t="shared" si="77"/>
        <v/>
      </c>
      <c r="R1468" s="250" t="str">
        <f t="shared" si="76"/>
        <v/>
      </c>
    </row>
    <row r="1469" spans="1:18">
      <c r="A1469" s="4">
        <v>1478</v>
      </c>
      <c r="C1469" s="8" t="str">
        <f>IF(B1469="","",VLOOKUP(B1469,经纬!B:C,2,FALSE))</f>
        <v/>
      </c>
      <c r="D1469" s="8" t="str">
        <f>IF(B1469="","",VLOOKUP(B1469,经纬!B:G,6,FALSE))</f>
        <v/>
      </c>
      <c r="F1469" s="8" t="str">
        <f>IF(B1469="","",VLOOKUP(B1469,小圆机汇总表!A:AP,5,FALSE))</f>
        <v/>
      </c>
      <c r="G1469" s="8" t="str">
        <f>IF(B1469="","",VLOOKUP(B1469,小圆机汇总表!A:AP,8,FALSE))</f>
        <v/>
      </c>
      <c r="P1469" s="8" t="str">
        <f t="shared" si="77"/>
        <v/>
      </c>
      <c r="R1469" s="250" t="str">
        <f t="shared" si="76"/>
        <v/>
      </c>
    </row>
    <row r="1470" spans="1:18">
      <c r="A1470" s="4">
        <v>1479</v>
      </c>
      <c r="C1470" s="8" t="str">
        <f>IF(B1470="","",VLOOKUP(B1470,经纬!B:C,2,FALSE))</f>
        <v/>
      </c>
      <c r="D1470" s="8" t="str">
        <f>IF(B1470="","",VLOOKUP(B1470,经纬!B:G,6,FALSE))</f>
        <v/>
      </c>
      <c r="F1470" s="8" t="str">
        <f>IF(B1470="","",VLOOKUP(B1470,小圆机汇总表!A:AP,5,FALSE))</f>
        <v/>
      </c>
      <c r="G1470" s="8" t="str">
        <f>IF(B1470="","",VLOOKUP(B1470,小圆机汇总表!A:AP,8,FALSE))</f>
        <v/>
      </c>
      <c r="P1470" s="8" t="str">
        <f t="shared" si="77"/>
        <v/>
      </c>
      <c r="R1470" s="250" t="str">
        <f t="shared" si="76"/>
        <v/>
      </c>
    </row>
    <row r="1471" spans="1:18">
      <c r="A1471" s="4">
        <v>1480</v>
      </c>
      <c r="C1471" s="8" t="str">
        <f>IF(B1471="","",VLOOKUP(B1471,经纬!B:C,2,FALSE))</f>
        <v/>
      </c>
      <c r="D1471" s="8" t="str">
        <f>IF(B1471="","",VLOOKUP(B1471,经纬!B:G,6,FALSE))</f>
        <v/>
      </c>
      <c r="F1471" s="8" t="str">
        <f>IF(B1471="","",VLOOKUP(B1471,小圆机汇总表!A:AP,5,FALSE))</f>
        <v/>
      </c>
      <c r="G1471" s="8" t="str">
        <f>IF(B1471="","",VLOOKUP(B1471,小圆机汇总表!A:AP,8,FALSE))</f>
        <v/>
      </c>
      <c r="P1471" s="8" t="str">
        <f t="shared" si="77"/>
        <v/>
      </c>
      <c r="R1471" s="250" t="str">
        <f t="shared" si="76"/>
        <v/>
      </c>
    </row>
    <row r="1472" spans="1:18">
      <c r="A1472" s="4">
        <v>1481</v>
      </c>
      <c r="C1472" s="8" t="str">
        <f>IF(B1472="","",VLOOKUP(B1472,经纬!B:C,2,FALSE))</f>
        <v/>
      </c>
      <c r="D1472" s="8" t="str">
        <f>IF(B1472="","",VLOOKUP(B1472,经纬!B:G,6,FALSE))</f>
        <v/>
      </c>
      <c r="F1472" s="8" t="str">
        <f>IF(B1472="","",VLOOKUP(B1472,小圆机汇总表!A:AP,5,FALSE))</f>
        <v/>
      </c>
      <c r="G1472" s="8" t="str">
        <f>IF(B1472="","",VLOOKUP(B1472,小圆机汇总表!A:AP,8,FALSE))</f>
        <v/>
      </c>
      <c r="P1472" s="8" t="str">
        <f t="shared" si="77"/>
        <v/>
      </c>
      <c r="R1472" s="250" t="str">
        <f t="shared" si="76"/>
        <v/>
      </c>
    </row>
    <row r="1473" spans="1:18">
      <c r="A1473" s="4">
        <v>1482</v>
      </c>
      <c r="C1473" s="8" t="str">
        <f>IF(B1473="","",VLOOKUP(B1473,经纬!B:C,2,FALSE))</f>
        <v/>
      </c>
      <c r="D1473" s="8" t="str">
        <f>IF(B1473="","",VLOOKUP(B1473,经纬!B:G,6,FALSE))</f>
        <v/>
      </c>
      <c r="F1473" s="8" t="str">
        <f>IF(B1473="","",VLOOKUP(B1473,小圆机汇总表!A:AP,5,FALSE))</f>
        <v/>
      </c>
      <c r="G1473" s="8" t="str">
        <f>IF(B1473="","",VLOOKUP(B1473,小圆机汇总表!A:AP,8,FALSE))</f>
        <v/>
      </c>
      <c r="P1473" s="8" t="str">
        <f t="shared" si="77"/>
        <v/>
      </c>
      <c r="R1473" s="250" t="str">
        <f t="shared" si="76"/>
        <v/>
      </c>
    </row>
    <row r="1474" spans="1:18">
      <c r="A1474" s="4">
        <v>1483</v>
      </c>
      <c r="C1474" s="8" t="str">
        <f>IF(B1474="","",VLOOKUP(B1474,经纬!B:C,2,FALSE))</f>
        <v/>
      </c>
      <c r="D1474" s="8" t="str">
        <f>IF(B1474="","",VLOOKUP(B1474,经纬!B:G,6,FALSE))</f>
        <v/>
      </c>
      <c r="F1474" s="8" t="str">
        <f>IF(B1474="","",VLOOKUP(B1474,小圆机汇总表!A:AP,5,FALSE))</f>
        <v/>
      </c>
      <c r="G1474" s="8" t="str">
        <f>IF(B1474="","",VLOOKUP(B1474,小圆机汇总表!A:AP,8,FALSE))</f>
        <v/>
      </c>
      <c r="P1474" s="8" t="str">
        <f t="shared" si="77"/>
        <v/>
      </c>
      <c r="R1474" s="250" t="str">
        <f t="shared" si="76"/>
        <v/>
      </c>
    </row>
    <row r="1475" spans="1:18">
      <c r="A1475" s="4">
        <v>1484</v>
      </c>
      <c r="C1475" s="8" t="str">
        <f>IF(B1475="","",VLOOKUP(B1475,经纬!B:C,2,FALSE))</f>
        <v/>
      </c>
      <c r="D1475" s="8" t="str">
        <f>IF(B1475="","",VLOOKUP(B1475,经纬!B:G,6,FALSE))</f>
        <v/>
      </c>
      <c r="F1475" s="8" t="str">
        <f>IF(B1475="","",VLOOKUP(B1475,小圆机汇总表!A:AP,5,FALSE))</f>
        <v/>
      </c>
      <c r="G1475" s="8" t="str">
        <f>IF(B1475="","",VLOOKUP(B1475,小圆机汇总表!A:AP,8,FALSE))</f>
        <v/>
      </c>
      <c r="P1475" s="8" t="str">
        <f t="shared" si="77"/>
        <v/>
      </c>
      <c r="R1475" s="250" t="str">
        <f t="shared" ref="R1475:R1538" si="78">IF(B1475="","",MONTH(I1475))</f>
        <v/>
      </c>
    </row>
    <row r="1476" spans="1:18">
      <c r="A1476" s="4">
        <v>1485</v>
      </c>
      <c r="C1476" s="8" t="str">
        <f>IF(B1476="","",VLOOKUP(B1476,经纬!B:C,2,FALSE))</f>
        <v/>
      </c>
      <c r="D1476" s="8" t="str">
        <f>IF(B1476="","",VLOOKUP(B1476,经纬!B:G,6,FALSE))</f>
        <v/>
      </c>
      <c r="F1476" s="8" t="str">
        <f>IF(B1476="","",VLOOKUP(B1476,小圆机汇总表!A:AP,5,FALSE))</f>
        <v/>
      </c>
      <c r="G1476" s="8" t="str">
        <f>IF(B1476="","",VLOOKUP(B1476,小圆机汇总表!A:AP,8,FALSE))</f>
        <v/>
      </c>
      <c r="P1476" s="8" t="str">
        <f t="shared" si="77"/>
        <v/>
      </c>
      <c r="R1476" s="250" t="str">
        <f t="shared" si="78"/>
        <v/>
      </c>
    </row>
    <row r="1477" spans="1:18">
      <c r="A1477" s="4">
        <v>1486</v>
      </c>
      <c r="C1477" s="8" t="str">
        <f>IF(B1477="","",VLOOKUP(B1477,经纬!B:C,2,FALSE))</f>
        <v/>
      </c>
      <c r="D1477" s="8" t="str">
        <f>IF(B1477="","",VLOOKUP(B1477,经纬!B:G,6,FALSE))</f>
        <v/>
      </c>
      <c r="F1477" s="8" t="str">
        <f>IF(B1477="","",VLOOKUP(B1477,小圆机汇总表!A:AP,5,FALSE))</f>
        <v/>
      </c>
      <c r="G1477" s="8" t="str">
        <f>IF(B1477="","",VLOOKUP(B1477,小圆机汇总表!A:AP,8,FALSE))</f>
        <v/>
      </c>
      <c r="P1477" s="8" t="str">
        <f t="shared" si="77"/>
        <v/>
      </c>
      <c r="R1477" s="250" t="str">
        <f t="shared" si="78"/>
        <v/>
      </c>
    </row>
    <row r="1478" spans="1:18">
      <c r="A1478" s="4">
        <v>1487</v>
      </c>
      <c r="C1478" s="8" t="str">
        <f>IF(B1478="","",VLOOKUP(B1478,经纬!B:C,2,FALSE))</f>
        <v/>
      </c>
      <c r="D1478" s="8" t="str">
        <f>IF(B1478="","",VLOOKUP(B1478,经纬!B:G,6,FALSE))</f>
        <v/>
      </c>
      <c r="F1478" s="8" t="str">
        <f>IF(B1478="","",VLOOKUP(B1478,小圆机汇总表!A:AP,5,FALSE))</f>
        <v/>
      </c>
      <c r="G1478" s="8" t="str">
        <f>IF(B1478="","",VLOOKUP(B1478,小圆机汇总表!A:AP,8,FALSE))</f>
        <v/>
      </c>
      <c r="P1478" s="8" t="str">
        <f t="shared" si="77"/>
        <v/>
      </c>
      <c r="R1478" s="250" t="str">
        <f t="shared" si="78"/>
        <v/>
      </c>
    </row>
    <row r="1479" spans="1:18">
      <c r="A1479" s="4">
        <v>1488</v>
      </c>
      <c r="C1479" s="8" t="str">
        <f>IF(B1479="","",VLOOKUP(B1479,经纬!B:C,2,FALSE))</f>
        <v/>
      </c>
      <c r="D1479" s="8" t="str">
        <f>IF(B1479="","",VLOOKUP(B1479,经纬!B:G,6,FALSE))</f>
        <v/>
      </c>
      <c r="F1479" s="8" t="str">
        <f>IF(B1479="","",VLOOKUP(B1479,小圆机汇总表!A:AP,5,FALSE))</f>
        <v/>
      </c>
      <c r="G1479" s="8" t="str">
        <f>IF(B1479="","",VLOOKUP(B1479,小圆机汇总表!A:AP,8,FALSE))</f>
        <v/>
      </c>
      <c r="P1479" s="8" t="str">
        <f t="shared" si="77"/>
        <v/>
      </c>
      <c r="R1479" s="250" t="str">
        <f t="shared" si="78"/>
        <v/>
      </c>
    </row>
    <row r="1480" spans="1:18">
      <c r="A1480" s="4">
        <v>1489</v>
      </c>
      <c r="C1480" s="8" t="str">
        <f>IF(B1480="","",VLOOKUP(B1480,经纬!B:C,2,FALSE))</f>
        <v/>
      </c>
      <c r="D1480" s="8" t="str">
        <f>IF(B1480="","",VLOOKUP(B1480,经纬!B:G,6,FALSE))</f>
        <v/>
      </c>
      <c r="F1480" s="8" t="str">
        <f>IF(B1480="","",VLOOKUP(B1480,小圆机汇总表!A:AP,5,FALSE))</f>
        <v/>
      </c>
      <c r="G1480" s="8" t="str">
        <f>IF(B1480="","",VLOOKUP(B1480,小圆机汇总表!A:AP,8,FALSE))</f>
        <v/>
      </c>
      <c r="P1480" s="8" t="str">
        <f t="shared" si="77"/>
        <v/>
      </c>
      <c r="R1480" s="250" t="str">
        <f t="shared" si="78"/>
        <v/>
      </c>
    </row>
    <row r="1481" spans="1:18">
      <c r="A1481" s="4">
        <v>1490</v>
      </c>
      <c r="C1481" s="8" t="str">
        <f>IF(B1481="","",VLOOKUP(B1481,经纬!B:C,2,FALSE))</f>
        <v/>
      </c>
      <c r="D1481" s="8" t="str">
        <f>IF(B1481="","",VLOOKUP(B1481,经纬!B:G,6,FALSE))</f>
        <v/>
      </c>
      <c r="F1481" s="8" t="str">
        <f>IF(B1481="","",VLOOKUP(B1481,小圆机汇总表!A:AP,5,FALSE))</f>
        <v/>
      </c>
      <c r="G1481" s="8" t="str">
        <f>IF(B1481="","",VLOOKUP(B1481,小圆机汇总表!A:AP,8,FALSE))</f>
        <v/>
      </c>
      <c r="P1481" s="8" t="str">
        <f t="shared" si="77"/>
        <v/>
      </c>
      <c r="R1481" s="250" t="str">
        <f t="shared" si="78"/>
        <v/>
      </c>
    </row>
    <row r="1482" spans="1:18">
      <c r="A1482" s="4">
        <v>1491</v>
      </c>
      <c r="C1482" s="8" t="str">
        <f>IF(B1482="","",VLOOKUP(B1482,经纬!B:C,2,FALSE))</f>
        <v/>
      </c>
      <c r="D1482" s="8" t="str">
        <f>IF(B1482="","",VLOOKUP(B1482,经纬!B:G,6,FALSE))</f>
        <v/>
      </c>
      <c r="F1482" s="8" t="str">
        <f>IF(B1482="","",VLOOKUP(B1482,小圆机汇总表!A:AP,5,FALSE))</f>
        <v/>
      </c>
      <c r="G1482" s="8" t="str">
        <f>IF(B1482="","",VLOOKUP(B1482,小圆机汇总表!A:AP,8,FALSE))</f>
        <v/>
      </c>
      <c r="P1482" s="8" t="str">
        <f t="shared" si="77"/>
        <v/>
      </c>
      <c r="R1482" s="250" t="str">
        <f t="shared" si="78"/>
        <v/>
      </c>
    </row>
    <row r="1483" spans="1:18">
      <c r="A1483" s="4">
        <v>1492</v>
      </c>
      <c r="C1483" s="8" t="str">
        <f>IF(B1483="","",VLOOKUP(B1483,经纬!B:C,2,FALSE))</f>
        <v/>
      </c>
      <c r="D1483" s="8" t="str">
        <f>IF(B1483="","",VLOOKUP(B1483,经纬!B:G,6,FALSE))</f>
        <v/>
      </c>
      <c r="F1483" s="8" t="str">
        <f>IF(B1483="","",VLOOKUP(B1483,小圆机汇总表!A:AP,5,FALSE))</f>
        <v/>
      </c>
      <c r="G1483" s="8" t="str">
        <f>IF(B1483="","",VLOOKUP(B1483,小圆机汇总表!A:AP,8,FALSE))</f>
        <v/>
      </c>
      <c r="P1483" s="8" t="str">
        <f t="shared" si="77"/>
        <v/>
      </c>
      <c r="R1483" s="250" t="str">
        <f t="shared" si="78"/>
        <v/>
      </c>
    </row>
    <row r="1484" spans="1:18">
      <c r="A1484" s="4">
        <v>1493</v>
      </c>
      <c r="C1484" s="8" t="str">
        <f>IF(B1484="","",VLOOKUP(B1484,经纬!B:C,2,FALSE))</f>
        <v/>
      </c>
      <c r="D1484" s="8" t="str">
        <f>IF(B1484="","",VLOOKUP(B1484,经纬!B:G,6,FALSE))</f>
        <v/>
      </c>
      <c r="F1484" s="8" t="str">
        <f>IF(B1484="","",VLOOKUP(B1484,小圆机汇总表!A:AP,5,FALSE))</f>
        <v/>
      </c>
      <c r="G1484" s="8" t="str">
        <f>IF(B1484="","",VLOOKUP(B1484,小圆机汇总表!A:AP,8,FALSE))</f>
        <v/>
      </c>
      <c r="P1484" s="8" t="str">
        <f t="shared" si="77"/>
        <v/>
      </c>
      <c r="R1484" s="250" t="str">
        <f t="shared" si="78"/>
        <v/>
      </c>
    </row>
    <row r="1485" spans="1:18">
      <c r="A1485" s="4">
        <v>1494</v>
      </c>
      <c r="C1485" s="8" t="str">
        <f>IF(B1485="","",VLOOKUP(B1485,经纬!B:C,2,FALSE))</f>
        <v/>
      </c>
      <c r="D1485" s="8" t="str">
        <f>IF(B1485="","",VLOOKUP(B1485,经纬!B:G,6,FALSE))</f>
        <v/>
      </c>
      <c r="F1485" s="8" t="str">
        <f>IF(B1485="","",VLOOKUP(B1485,小圆机汇总表!A:AP,5,FALSE))</f>
        <v/>
      </c>
      <c r="G1485" s="8" t="str">
        <f>IF(B1485="","",VLOOKUP(B1485,小圆机汇总表!A:AP,8,FALSE))</f>
        <v/>
      </c>
      <c r="P1485" s="8" t="str">
        <f t="shared" si="77"/>
        <v/>
      </c>
      <c r="R1485" s="250" t="str">
        <f t="shared" si="78"/>
        <v/>
      </c>
    </row>
    <row r="1486" spans="1:18">
      <c r="A1486" s="4">
        <v>1495</v>
      </c>
      <c r="C1486" s="8" t="str">
        <f>IF(B1486="","",VLOOKUP(B1486,经纬!B:C,2,FALSE))</f>
        <v/>
      </c>
      <c r="D1486" s="8" t="str">
        <f>IF(B1486="","",VLOOKUP(B1486,经纬!B:G,6,FALSE))</f>
        <v/>
      </c>
      <c r="F1486" s="8" t="str">
        <f>IF(B1486="","",VLOOKUP(B1486,小圆机汇总表!A:AP,5,FALSE))</f>
        <v/>
      </c>
      <c r="G1486" s="8" t="str">
        <f>IF(B1486="","",VLOOKUP(B1486,小圆机汇总表!A:AP,8,FALSE))</f>
        <v/>
      </c>
      <c r="P1486" s="8" t="str">
        <f t="shared" si="77"/>
        <v/>
      </c>
      <c r="R1486" s="250" t="str">
        <f t="shared" si="78"/>
        <v/>
      </c>
    </row>
    <row r="1487" spans="1:18">
      <c r="A1487" s="4">
        <v>1496</v>
      </c>
      <c r="C1487" s="8" t="str">
        <f>IF(B1487="","",VLOOKUP(B1487,经纬!B:C,2,FALSE))</f>
        <v/>
      </c>
      <c r="D1487" s="8" t="str">
        <f>IF(B1487="","",VLOOKUP(B1487,经纬!B:G,6,FALSE))</f>
        <v/>
      </c>
      <c r="F1487" s="8" t="str">
        <f>IF(B1487="","",VLOOKUP(B1487,小圆机汇总表!A:AP,5,FALSE))</f>
        <v/>
      </c>
      <c r="G1487" s="8" t="str">
        <f>IF(B1487="","",VLOOKUP(B1487,小圆机汇总表!A:AP,8,FALSE))</f>
        <v/>
      </c>
      <c r="P1487" s="8" t="str">
        <f t="shared" si="77"/>
        <v/>
      </c>
      <c r="R1487" s="250" t="str">
        <f t="shared" si="78"/>
        <v/>
      </c>
    </row>
    <row r="1488" spans="1:18">
      <c r="A1488" s="4">
        <v>1497</v>
      </c>
      <c r="C1488" s="8" t="str">
        <f>IF(B1488="","",VLOOKUP(B1488,经纬!B:C,2,FALSE))</f>
        <v/>
      </c>
      <c r="D1488" s="8" t="str">
        <f>IF(B1488="","",VLOOKUP(B1488,经纬!B:G,6,FALSE))</f>
        <v/>
      </c>
      <c r="F1488" s="8" t="str">
        <f>IF(B1488="","",VLOOKUP(B1488,小圆机汇总表!A:AP,5,FALSE))</f>
        <v/>
      </c>
      <c r="G1488" s="8" t="str">
        <f>IF(B1488="","",VLOOKUP(B1488,小圆机汇总表!A:AP,8,FALSE))</f>
        <v/>
      </c>
      <c r="P1488" s="8" t="str">
        <f t="shared" si="77"/>
        <v/>
      </c>
      <c r="R1488" s="250" t="str">
        <f t="shared" si="78"/>
        <v/>
      </c>
    </row>
    <row r="1489" spans="1:18">
      <c r="A1489" s="4">
        <v>1498</v>
      </c>
      <c r="C1489" s="8" t="str">
        <f>IF(B1489="","",VLOOKUP(B1489,经纬!B:C,2,FALSE))</f>
        <v/>
      </c>
      <c r="D1489" s="8" t="str">
        <f>IF(B1489="","",VLOOKUP(B1489,经纬!B:G,6,FALSE))</f>
        <v/>
      </c>
      <c r="F1489" s="8" t="str">
        <f>IF(B1489="","",VLOOKUP(B1489,小圆机汇总表!A:AP,5,FALSE))</f>
        <v/>
      </c>
      <c r="G1489" s="8" t="str">
        <f>IF(B1489="","",VLOOKUP(B1489,小圆机汇总表!A:AP,8,FALSE))</f>
        <v/>
      </c>
      <c r="P1489" s="8" t="str">
        <f t="shared" si="77"/>
        <v/>
      </c>
      <c r="R1489" s="250" t="str">
        <f t="shared" si="78"/>
        <v/>
      </c>
    </row>
    <row r="1490" spans="1:18">
      <c r="A1490" s="4">
        <v>1499</v>
      </c>
      <c r="C1490" s="8" t="str">
        <f>IF(B1490="","",VLOOKUP(B1490,经纬!B:C,2,FALSE))</f>
        <v/>
      </c>
      <c r="D1490" s="8" t="str">
        <f>IF(B1490="","",VLOOKUP(B1490,经纬!B:G,6,FALSE))</f>
        <v/>
      </c>
      <c r="F1490" s="8" t="str">
        <f>IF(B1490="","",VLOOKUP(B1490,小圆机汇总表!A:AP,5,FALSE))</f>
        <v/>
      </c>
      <c r="G1490" s="8" t="str">
        <f>IF(B1490="","",VLOOKUP(B1490,小圆机汇总表!A:AP,8,FALSE))</f>
        <v/>
      </c>
      <c r="P1490" s="8" t="str">
        <f t="shared" si="77"/>
        <v/>
      </c>
      <c r="R1490" s="250" t="str">
        <f t="shared" si="78"/>
        <v/>
      </c>
    </row>
    <row r="1491" spans="1:18">
      <c r="A1491" s="4">
        <v>1500</v>
      </c>
      <c r="C1491" s="8" t="str">
        <f>IF(B1491="","",VLOOKUP(B1491,经纬!B:C,2,FALSE))</f>
        <v/>
      </c>
      <c r="D1491" s="8" t="str">
        <f>IF(B1491="","",VLOOKUP(B1491,经纬!B:G,6,FALSE))</f>
        <v/>
      </c>
      <c r="F1491" s="8" t="str">
        <f>IF(B1491="","",VLOOKUP(B1491,小圆机汇总表!A:AP,5,FALSE))</f>
        <v/>
      </c>
      <c r="G1491" s="8" t="str">
        <f>IF(B1491="","",VLOOKUP(B1491,小圆机汇总表!A:AP,8,FALSE))</f>
        <v/>
      </c>
      <c r="P1491" s="8" t="str">
        <f t="shared" si="77"/>
        <v/>
      </c>
      <c r="R1491" s="250" t="str">
        <f t="shared" si="78"/>
        <v/>
      </c>
    </row>
    <row r="1492" spans="1:18">
      <c r="A1492" s="4">
        <v>1501</v>
      </c>
      <c r="C1492" s="8" t="str">
        <f>IF(B1492="","",VLOOKUP(B1492,经纬!B:C,2,FALSE))</f>
        <v/>
      </c>
      <c r="D1492" s="8" t="str">
        <f>IF(B1492="","",VLOOKUP(B1492,经纬!B:G,6,FALSE))</f>
        <v/>
      </c>
      <c r="F1492" s="8" t="str">
        <f>IF(B1492="","",VLOOKUP(B1492,小圆机汇总表!A:AP,5,FALSE))</f>
        <v/>
      </c>
      <c r="G1492" s="8" t="str">
        <f>IF(B1492="","",VLOOKUP(B1492,小圆机汇总表!A:AP,8,FALSE))</f>
        <v/>
      </c>
      <c r="P1492" s="8" t="str">
        <f t="shared" si="77"/>
        <v/>
      </c>
      <c r="R1492" s="250" t="str">
        <f t="shared" si="78"/>
        <v/>
      </c>
    </row>
    <row r="1493" spans="1:18">
      <c r="A1493" s="4">
        <v>1502</v>
      </c>
      <c r="C1493" s="8" t="str">
        <f>IF(B1493="","",VLOOKUP(B1493,经纬!B:C,2,FALSE))</f>
        <v/>
      </c>
      <c r="D1493" s="8" t="str">
        <f>IF(B1493="","",VLOOKUP(B1493,经纬!B:G,6,FALSE))</f>
        <v/>
      </c>
      <c r="F1493" s="8" t="str">
        <f>IF(B1493="","",VLOOKUP(B1493,小圆机汇总表!A:AP,5,FALSE))</f>
        <v/>
      </c>
      <c r="G1493" s="8" t="str">
        <f>IF(B1493="","",VLOOKUP(B1493,小圆机汇总表!A:AP,8,FALSE))</f>
        <v/>
      </c>
      <c r="P1493" s="8" t="str">
        <f t="shared" si="77"/>
        <v/>
      </c>
      <c r="R1493" s="250" t="str">
        <f t="shared" si="78"/>
        <v/>
      </c>
    </row>
    <row r="1494" spans="1:18">
      <c r="A1494" s="4">
        <v>1503</v>
      </c>
      <c r="C1494" s="8" t="str">
        <f>IF(B1494="","",VLOOKUP(B1494,经纬!B:C,2,FALSE))</f>
        <v/>
      </c>
      <c r="D1494" s="8" t="str">
        <f>IF(B1494="","",VLOOKUP(B1494,经纬!B:G,6,FALSE))</f>
        <v/>
      </c>
      <c r="F1494" s="8" t="str">
        <f>IF(B1494="","",VLOOKUP(B1494,小圆机汇总表!A:AP,5,FALSE))</f>
        <v/>
      </c>
      <c r="G1494" s="8" t="str">
        <f>IF(B1494="","",VLOOKUP(B1494,小圆机汇总表!A:AP,8,FALSE))</f>
        <v/>
      </c>
      <c r="P1494" s="8" t="str">
        <f t="shared" si="77"/>
        <v/>
      </c>
      <c r="R1494" s="250" t="str">
        <f t="shared" si="78"/>
        <v/>
      </c>
    </row>
    <row r="1495" spans="1:18">
      <c r="A1495" s="4">
        <v>1504</v>
      </c>
      <c r="C1495" s="8" t="str">
        <f>IF(B1495="","",VLOOKUP(B1495,经纬!B:C,2,FALSE))</f>
        <v/>
      </c>
      <c r="D1495" s="8" t="str">
        <f>IF(B1495="","",VLOOKUP(B1495,经纬!B:G,6,FALSE))</f>
        <v/>
      </c>
      <c r="F1495" s="8" t="str">
        <f>IF(B1495="","",VLOOKUP(B1495,小圆机汇总表!A:AP,5,FALSE))</f>
        <v/>
      </c>
      <c r="G1495" s="8" t="str">
        <f>IF(B1495="","",VLOOKUP(B1495,小圆机汇总表!A:AP,8,FALSE))</f>
        <v/>
      </c>
      <c r="P1495" s="8" t="str">
        <f t="shared" si="77"/>
        <v/>
      </c>
      <c r="R1495" s="250" t="str">
        <f t="shared" si="78"/>
        <v/>
      </c>
    </row>
    <row r="1496" spans="1:18">
      <c r="A1496" s="4">
        <v>1505</v>
      </c>
      <c r="C1496" s="8" t="str">
        <f>IF(B1496="","",VLOOKUP(B1496,经纬!B:C,2,FALSE))</f>
        <v/>
      </c>
      <c r="D1496" s="8" t="str">
        <f>IF(B1496="","",VLOOKUP(B1496,经纬!B:G,6,FALSE))</f>
        <v/>
      </c>
      <c r="F1496" s="8" t="str">
        <f>IF(B1496="","",VLOOKUP(B1496,小圆机汇总表!A:AP,5,FALSE))</f>
        <v/>
      </c>
      <c r="G1496" s="8" t="str">
        <f>IF(B1496="","",VLOOKUP(B1496,小圆机汇总表!A:AP,8,FALSE))</f>
        <v/>
      </c>
      <c r="P1496" s="8" t="str">
        <f t="shared" si="77"/>
        <v/>
      </c>
      <c r="R1496" s="250" t="str">
        <f t="shared" si="78"/>
        <v/>
      </c>
    </row>
    <row r="1497" spans="1:18">
      <c r="A1497" s="4">
        <v>1506</v>
      </c>
      <c r="C1497" s="8" t="str">
        <f>IF(B1497="","",VLOOKUP(B1497,经纬!B:C,2,FALSE))</f>
        <v/>
      </c>
      <c r="D1497" s="8" t="str">
        <f>IF(B1497="","",VLOOKUP(B1497,经纬!B:G,6,FALSE))</f>
        <v/>
      </c>
      <c r="F1497" s="8" t="str">
        <f>IF(B1497="","",VLOOKUP(B1497,小圆机汇总表!A:AP,5,FALSE))</f>
        <v/>
      </c>
      <c r="G1497" s="8" t="str">
        <f>IF(B1497="","",VLOOKUP(B1497,小圆机汇总表!A:AP,8,FALSE))</f>
        <v/>
      </c>
      <c r="P1497" s="8" t="str">
        <f t="shared" si="77"/>
        <v/>
      </c>
      <c r="R1497" s="250" t="str">
        <f t="shared" si="78"/>
        <v/>
      </c>
    </row>
    <row r="1498" spans="1:18">
      <c r="A1498" s="4">
        <v>1507</v>
      </c>
      <c r="C1498" s="8" t="str">
        <f>IF(B1498="","",VLOOKUP(B1498,经纬!B:C,2,FALSE))</f>
        <v/>
      </c>
      <c r="D1498" s="8" t="str">
        <f>IF(B1498="","",VLOOKUP(B1498,经纬!B:G,6,FALSE))</f>
        <v/>
      </c>
      <c r="F1498" s="8" t="str">
        <f>IF(B1498="","",VLOOKUP(B1498,小圆机汇总表!A:AP,5,FALSE))</f>
        <v/>
      </c>
      <c r="G1498" s="8" t="str">
        <f>IF(B1498="","",VLOOKUP(B1498,小圆机汇总表!A:AP,8,FALSE))</f>
        <v/>
      </c>
      <c r="P1498" s="8" t="str">
        <f t="shared" ref="P1498:P1561" si="79">IF(B1498="","",MONTH(I1498))</f>
        <v/>
      </c>
      <c r="R1498" s="250" t="str">
        <f t="shared" si="78"/>
        <v/>
      </c>
    </row>
    <row r="1499" spans="1:18">
      <c r="A1499" s="4">
        <v>1508</v>
      </c>
      <c r="C1499" s="8" t="str">
        <f>IF(B1499="","",VLOOKUP(B1499,经纬!B:C,2,FALSE))</f>
        <v/>
      </c>
      <c r="D1499" s="8" t="str">
        <f>IF(B1499="","",VLOOKUP(B1499,经纬!B:G,6,FALSE))</f>
        <v/>
      </c>
      <c r="F1499" s="8" t="str">
        <f>IF(B1499="","",VLOOKUP(B1499,小圆机汇总表!A:AP,5,FALSE))</f>
        <v/>
      </c>
      <c r="G1499" s="8" t="str">
        <f>IF(B1499="","",VLOOKUP(B1499,小圆机汇总表!A:AP,8,FALSE))</f>
        <v/>
      </c>
      <c r="P1499" s="8" t="str">
        <f t="shared" si="79"/>
        <v/>
      </c>
      <c r="R1499" s="250" t="str">
        <f t="shared" si="78"/>
        <v/>
      </c>
    </row>
    <row r="1500" spans="1:18">
      <c r="A1500" s="4">
        <v>1509</v>
      </c>
      <c r="C1500" s="8" t="str">
        <f>IF(B1500="","",VLOOKUP(B1500,经纬!B:C,2,FALSE))</f>
        <v/>
      </c>
      <c r="D1500" s="8" t="str">
        <f>IF(B1500="","",VLOOKUP(B1500,经纬!B:G,6,FALSE))</f>
        <v/>
      </c>
      <c r="F1500" s="8" t="str">
        <f>IF(B1500="","",VLOOKUP(B1500,小圆机汇总表!A:AP,5,FALSE))</f>
        <v/>
      </c>
      <c r="G1500" s="8" t="str">
        <f>IF(B1500="","",VLOOKUP(B1500,小圆机汇总表!A:AP,8,FALSE))</f>
        <v/>
      </c>
      <c r="P1500" s="8" t="str">
        <f t="shared" si="79"/>
        <v/>
      </c>
      <c r="R1500" s="250" t="str">
        <f t="shared" si="78"/>
        <v/>
      </c>
    </row>
    <row r="1501" spans="1:18">
      <c r="A1501" s="4">
        <v>1510</v>
      </c>
      <c r="C1501" s="8" t="str">
        <f>IF(B1501="","",VLOOKUP(B1501,经纬!B:C,2,FALSE))</f>
        <v/>
      </c>
      <c r="D1501" s="8" t="str">
        <f>IF(B1501="","",VLOOKUP(B1501,经纬!B:G,6,FALSE))</f>
        <v/>
      </c>
      <c r="F1501" s="8" t="str">
        <f>IF(B1501="","",VLOOKUP(B1501,小圆机汇总表!A:AP,5,FALSE))</f>
        <v/>
      </c>
      <c r="G1501" s="8" t="str">
        <f>IF(B1501="","",VLOOKUP(B1501,小圆机汇总表!A:AP,8,FALSE))</f>
        <v/>
      </c>
      <c r="P1501" s="8" t="str">
        <f t="shared" si="79"/>
        <v/>
      </c>
      <c r="R1501" s="250" t="str">
        <f t="shared" si="78"/>
        <v/>
      </c>
    </row>
    <row r="1502" spans="1:18">
      <c r="A1502" s="4">
        <v>1511</v>
      </c>
      <c r="C1502" s="8" t="str">
        <f>IF(B1502="","",VLOOKUP(B1502,经纬!B:C,2,FALSE))</f>
        <v/>
      </c>
      <c r="D1502" s="8" t="str">
        <f>IF(B1502="","",VLOOKUP(B1502,经纬!B:G,6,FALSE))</f>
        <v/>
      </c>
      <c r="F1502" s="8" t="str">
        <f>IF(B1502="","",VLOOKUP(B1502,小圆机汇总表!A:AP,5,FALSE))</f>
        <v/>
      </c>
      <c r="G1502" s="8" t="str">
        <f>IF(B1502="","",VLOOKUP(B1502,小圆机汇总表!A:AP,8,FALSE))</f>
        <v/>
      </c>
      <c r="P1502" s="8" t="str">
        <f t="shared" si="79"/>
        <v/>
      </c>
      <c r="R1502" s="250" t="str">
        <f t="shared" si="78"/>
        <v/>
      </c>
    </row>
    <row r="1503" spans="1:18">
      <c r="A1503" s="4">
        <v>1512</v>
      </c>
      <c r="C1503" s="8" t="str">
        <f>IF(B1503="","",VLOOKUP(B1503,经纬!B:C,2,FALSE))</f>
        <v/>
      </c>
      <c r="D1503" s="8" t="str">
        <f>IF(B1503="","",VLOOKUP(B1503,经纬!B:G,6,FALSE))</f>
        <v/>
      </c>
      <c r="F1503" s="8" t="str">
        <f>IF(B1503="","",VLOOKUP(B1503,小圆机汇总表!A:AP,5,FALSE))</f>
        <v/>
      </c>
      <c r="G1503" s="8" t="str">
        <f>IF(B1503="","",VLOOKUP(B1503,小圆机汇总表!A:AP,8,FALSE))</f>
        <v/>
      </c>
      <c r="P1503" s="8" t="str">
        <f t="shared" si="79"/>
        <v/>
      </c>
      <c r="R1503" s="250" t="str">
        <f t="shared" si="78"/>
        <v/>
      </c>
    </row>
    <row r="1504" spans="1:18">
      <c r="A1504" s="4">
        <v>1513</v>
      </c>
      <c r="C1504" s="8" t="str">
        <f>IF(B1504="","",VLOOKUP(B1504,经纬!B:C,2,FALSE))</f>
        <v/>
      </c>
      <c r="D1504" s="8" t="str">
        <f>IF(B1504="","",VLOOKUP(B1504,经纬!B:G,6,FALSE))</f>
        <v/>
      </c>
      <c r="F1504" s="8" t="str">
        <f>IF(B1504="","",VLOOKUP(B1504,小圆机汇总表!A:AP,5,FALSE))</f>
        <v/>
      </c>
      <c r="G1504" s="8" t="str">
        <f>IF(B1504="","",VLOOKUP(B1504,小圆机汇总表!A:AP,8,FALSE))</f>
        <v/>
      </c>
      <c r="P1504" s="8" t="str">
        <f t="shared" si="79"/>
        <v/>
      </c>
      <c r="R1504" s="250" t="str">
        <f t="shared" si="78"/>
        <v/>
      </c>
    </row>
    <row r="1505" spans="1:18">
      <c r="A1505" s="4">
        <v>1514</v>
      </c>
      <c r="C1505" s="8" t="str">
        <f>IF(B1505="","",VLOOKUP(B1505,经纬!B:C,2,FALSE))</f>
        <v/>
      </c>
      <c r="D1505" s="8" t="str">
        <f>IF(B1505="","",VLOOKUP(B1505,经纬!B:G,6,FALSE))</f>
        <v/>
      </c>
      <c r="F1505" s="8" t="str">
        <f>IF(B1505="","",VLOOKUP(B1505,小圆机汇总表!A:AP,5,FALSE))</f>
        <v/>
      </c>
      <c r="G1505" s="8" t="str">
        <f>IF(B1505="","",VLOOKUP(B1505,小圆机汇总表!A:AP,8,FALSE))</f>
        <v/>
      </c>
      <c r="P1505" s="8" t="str">
        <f t="shared" si="79"/>
        <v/>
      </c>
      <c r="R1505" s="250" t="str">
        <f t="shared" si="78"/>
        <v/>
      </c>
    </row>
    <row r="1506" spans="1:18">
      <c r="A1506" s="4">
        <v>1515</v>
      </c>
      <c r="C1506" s="8" t="str">
        <f>IF(B1506="","",VLOOKUP(B1506,经纬!B:C,2,FALSE))</f>
        <v/>
      </c>
      <c r="D1506" s="8" t="str">
        <f>IF(B1506="","",VLOOKUP(B1506,经纬!B:G,6,FALSE))</f>
        <v/>
      </c>
      <c r="F1506" s="8" t="str">
        <f>IF(B1506="","",VLOOKUP(B1506,小圆机汇总表!A:AP,5,FALSE))</f>
        <v/>
      </c>
      <c r="G1506" s="8" t="str">
        <f>IF(B1506="","",VLOOKUP(B1506,小圆机汇总表!A:AP,8,FALSE))</f>
        <v/>
      </c>
      <c r="P1506" s="8" t="str">
        <f t="shared" si="79"/>
        <v/>
      </c>
      <c r="R1506" s="250" t="str">
        <f t="shared" si="78"/>
        <v/>
      </c>
    </row>
    <row r="1507" spans="1:18">
      <c r="A1507" s="4">
        <v>1516</v>
      </c>
      <c r="C1507" s="8" t="str">
        <f>IF(B1507="","",VLOOKUP(B1507,经纬!B:C,2,FALSE))</f>
        <v/>
      </c>
      <c r="D1507" s="8" t="str">
        <f>IF(B1507="","",VLOOKUP(B1507,经纬!B:G,6,FALSE))</f>
        <v/>
      </c>
      <c r="F1507" s="8" t="str">
        <f>IF(B1507="","",VLOOKUP(B1507,小圆机汇总表!A:AP,5,FALSE))</f>
        <v/>
      </c>
      <c r="G1507" s="8" t="str">
        <f>IF(B1507="","",VLOOKUP(B1507,小圆机汇总表!A:AP,8,FALSE))</f>
        <v/>
      </c>
      <c r="P1507" s="8" t="str">
        <f t="shared" si="79"/>
        <v/>
      </c>
      <c r="R1507" s="250" t="str">
        <f t="shared" si="78"/>
        <v/>
      </c>
    </row>
    <row r="1508" spans="1:18">
      <c r="A1508" s="4">
        <v>1517</v>
      </c>
      <c r="C1508" s="8" t="str">
        <f>IF(B1508="","",VLOOKUP(B1508,经纬!B:C,2,FALSE))</f>
        <v/>
      </c>
      <c r="D1508" s="8" t="str">
        <f>IF(B1508="","",VLOOKUP(B1508,经纬!B:G,6,FALSE))</f>
        <v/>
      </c>
      <c r="F1508" s="8" t="str">
        <f>IF(B1508="","",VLOOKUP(B1508,小圆机汇总表!A:AP,5,FALSE))</f>
        <v/>
      </c>
      <c r="G1508" s="8" t="str">
        <f>IF(B1508="","",VLOOKUP(B1508,小圆机汇总表!A:AP,8,FALSE))</f>
        <v/>
      </c>
      <c r="P1508" s="8" t="str">
        <f t="shared" si="79"/>
        <v/>
      </c>
      <c r="R1508" s="250" t="str">
        <f t="shared" si="78"/>
        <v/>
      </c>
    </row>
    <row r="1509" spans="1:18">
      <c r="A1509" s="4">
        <v>1518</v>
      </c>
      <c r="C1509" s="8" t="str">
        <f>IF(B1509="","",VLOOKUP(B1509,经纬!B:C,2,FALSE))</f>
        <v/>
      </c>
      <c r="D1509" s="8" t="str">
        <f>IF(B1509="","",VLOOKUP(B1509,经纬!B:G,6,FALSE))</f>
        <v/>
      </c>
      <c r="F1509" s="8" t="str">
        <f>IF(B1509="","",VLOOKUP(B1509,小圆机汇总表!A:AP,5,FALSE))</f>
        <v/>
      </c>
      <c r="G1509" s="8" t="str">
        <f>IF(B1509="","",VLOOKUP(B1509,小圆机汇总表!A:AP,8,FALSE))</f>
        <v/>
      </c>
      <c r="P1509" s="8" t="str">
        <f t="shared" si="79"/>
        <v/>
      </c>
      <c r="R1509" s="250" t="str">
        <f t="shared" si="78"/>
        <v/>
      </c>
    </row>
    <row r="1510" spans="1:18">
      <c r="A1510" s="4">
        <v>1519</v>
      </c>
      <c r="C1510" s="8" t="str">
        <f>IF(B1510="","",VLOOKUP(B1510,经纬!B:C,2,FALSE))</f>
        <v/>
      </c>
      <c r="D1510" s="8" t="str">
        <f>IF(B1510="","",VLOOKUP(B1510,经纬!B:G,6,FALSE))</f>
        <v/>
      </c>
      <c r="F1510" s="8" t="str">
        <f>IF(B1510="","",VLOOKUP(B1510,小圆机汇总表!A:AP,5,FALSE))</f>
        <v/>
      </c>
      <c r="G1510" s="8" t="str">
        <f>IF(B1510="","",VLOOKUP(B1510,小圆机汇总表!A:AP,8,FALSE))</f>
        <v/>
      </c>
      <c r="P1510" s="8" t="str">
        <f t="shared" si="79"/>
        <v/>
      </c>
      <c r="R1510" s="250" t="str">
        <f t="shared" si="78"/>
        <v/>
      </c>
    </row>
    <row r="1511" spans="1:18">
      <c r="A1511" s="4">
        <v>1520</v>
      </c>
      <c r="C1511" s="8" t="str">
        <f>IF(B1511="","",VLOOKUP(B1511,经纬!B:C,2,FALSE))</f>
        <v/>
      </c>
      <c r="D1511" s="8" t="str">
        <f>IF(B1511="","",VLOOKUP(B1511,经纬!B:G,6,FALSE))</f>
        <v/>
      </c>
      <c r="F1511" s="8" t="str">
        <f>IF(B1511="","",VLOOKUP(B1511,小圆机汇总表!A:AP,5,FALSE))</f>
        <v/>
      </c>
      <c r="G1511" s="8" t="str">
        <f>IF(B1511="","",VLOOKUP(B1511,小圆机汇总表!A:AP,8,FALSE))</f>
        <v/>
      </c>
      <c r="P1511" s="8" t="str">
        <f t="shared" si="79"/>
        <v/>
      </c>
      <c r="R1511" s="250" t="str">
        <f t="shared" si="78"/>
        <v/>
      </c>
    </row>
    <row r="1512" spans="1:18">
      <c r="A1512" s="4">
        <v>1521</v>
      </c>
      <c r="C1512" s="8" t="str">
        <f>IF(B1512="","",VLOOKUP(B1512,经纬!B:C,2,FALSE))</f>
        <v/>
      </c>
      <c r="D1512" s="8" t="str">
        <f>IF(B1512="","",VLOOKUP(B1512,经纬!B:G,6,FALSE))</f>
        <v/>
      </c>
      <c r="F1512" s="8" t="str">
        <f>IF(B1512="","",VLOOKUP(B1512,小圆机汇总表!A:AP,5,FALSE))</f>
        <v/>
      </c>
      <c r="G1512" s="8" t="str">
        <f>IF(B1512="","",VLOOKUP(B1512,小圆机汇总表!A:AP,8,FALSE))</f>
        <v/>
      </c>
      <c r="P1512" s="8" t="str">
        <f t="shared" si="79"/>
        <v/>
      </c>
      <c r="R1512" s="250" t="str">
        <f t="shared" si="78"/>
        <v/>
      </c>
    </row>
    <row r="1513" spans="1:18">
      <c r="A1513" s="4">
        <v>1522</v>
      </c>
      <c r="C1513" s="8" t="str">
        <f>IF(B1513="","",VLOOKUP(B1513,经纬!B:C,2,FALSE))</f>
        <v/>
      </c>
      <c r="D1513" s="8" t="str">
        <f>IF(B1513="","",VLOOKUP(B1513,经纬!B:G,6,FALSE))</f>
        <v/>
      </c>
      <c r="F1513" s="8" t="str">
        <f>IF(B1513="","",VLOOKUP(B1513,小圆机汇总表!A:AP,5,FALSE))</f>
        <v/>
      </c>
      <c r="G1513" s="8" t="str">
        <f>IF(B1513="","",VLOOKUP(B1513,小圆机汇总表!A:AP,8,FALSE))</f>
        <v/>
      </c>
      <c r="P1513" s="8" t="str">
        <f t="shared" si="79"/>
        <v/>
      </c>
      <c r="R1513" s="250" t="str">
        <f t="shared" si="78"/>
        <v/>
      </c>
    </row>
    <row r="1514" spans="1:18">
      <c r="A1514" s="4">
        <v>1523</v>
      </c>
      <c r="C1514" s="8" t="str">
        <f>IF(B1514="","",VLOOKUP(B1514,经纬!B:C,2,FALSE))</f>
        <v/>
      </c>
      <c r="D1514" s="8" t="str">
        <f>IF(B1514="","",VLOOKUP(B1514,经纬!B:G,6,FALSE))</f>
        <v/>
      </c>
      <c r="F1514" s="8" t="str">
        <f>IF(B1514="","",VLOOKUP(B1514,小圆机汇总表!A:AP,5,FALSE))</f>
        <v/>
      </c>
      <c r="G1514" s="8" t="str">
        <f>IF(B1514="","",VLOOKUP(B1514,小圆机汇总表!A:AP,8,FALSE))</f>
        <v/>
      </c>
      <c r="P1514" s="8" t="str">
        <f t="shared" si="79"/>
        <v/>
      </c>
      <c r="R1514" s="250" t="str">
        <f t="shared" si="78"/>
        <v/>
      </c>
    </row>
    <row r="1515" spans="1:18">
      <c r="A1515" s="4">
        <v>1524</v>
      </c>
      <c r="C1515" s="8" t="str">
        <f>IF(B1515="","",VLOOKUP(B1515,经纬!B:C,2,FALSE))</f>
        <v/>
      </c>
      <c r="D1515" s="8" t="str">
        <f>IF(B1515="","",VLOOKUP(B1515,经纬!B:G,6,FALSE))</f>
        <v/>
      </c>
      <c r="F1515" s="8" t="str">
        <f>IF(B1515="","",VLOOKUP(B1515,小圆机汇总表!A:AP,5,FALSE))</f>
        <v/>
      </c>
      <c r="G1515" s="8" t="str">
        <f>IF(B1515="","",VLOOKUP(B1515,小圆机汇总表!A:AP,8,FALSE))</f>
        <v/>
      </c>
      <c r="P1515" s="8" t="str">
        <f t="shared" si="79"/>
        <v/>
      </c>
      <c r="R1515" s="250" t="str">
        <f t="shared" si="78"/>
        <v/>
      </c>
    </row>
    <row r="1516" spans="1:18">
      <c r="A1516" s="4">
        <v>1525</v>
      </c>
      <c r="C1516" s="8" t="str">
        <f>IF(B1516="","",VLOOKUP(B1516,经纬!B:C,2,FALSE))</f>
        <v/>
      </c>
      <c r="D1516" s="8" t="str">
        <f>IF(B1516="","",VLOOKUP(B1516,经纬!B:G,6,FALSE))</f>
        <v/>
      </c>
      <c r="F1516" s="8" t="str">
        <f>IF(B1516="","",VLOOKUP(B1516,小圆机汇总表!A:AP,5,FALSE))</f>
        <v/>
      </c>
      <c r="G1516" s="8" t="str">
        <f>IF(B1516="","",VLOOKUP(B1516,小圆机汇总表!A:AP,8,FALSE))</f>
        <v/>
      </c>
      <c r="P1516" s="8" t="str">
        <f t="shared" si="79"/>
        <v/>
      </c>
      <c r="R1516" s="250" t="str">
        <f t="shared" si="78"/>
        <v/>
      </c>
    </row>
    <row r="1517" spans="1:18">
      <c r="A1517" s="4">
        <v>1526</v>
      </c>
      <c r="C1517" s="8" t="str">
        <f>IF(B1517="","",VLOOKUP(B1517,经纬!B:C,2,FALSE))</f>
        <v/>
      </c>
      <c r="D1517" s="8" t="str">
        <f>IF(B1517="","",VLOOKUP(B1517,经纬!B:G,6,FALSE))</f>
        <v/>
      </c>
      <c r="F1517" s="8" t="str">
        <f>IF(B1517="","",VLOOKUP(B1517,小圆机汇总表!A:AP,5,FALSE))</f>
        <v/>
      </c>
      <c r="G1517" s="8" t="str">
        <f>IF(B1517="","",VLOOKUP(B1517,小圆机汇总表!A:AP,8,FALSE))</f>
        <v/>
      </c>
      <c r="P1517" s="8" t="str">
        <f t="shared" si="79"/>
        <v/>
      </c>
      <c r="R1517" s="250" t="str">
        <f t="shared" si="78"/>
        <v/>
      </c>
    </row>
    <row r="1518" spans="1:18">
      <c r="A1518" s="4">
        <v>1527</v>
      </c>
      <c r="C1518" s="8" t="str">
        <f>IF(B1518="","",VLOOKUP(B1518,经纬!B:C,2,FALSE))</f>
        <v/>
      </c>
      <c r="D1518" s="8" t="str">
        <f>IF(B1518="","",VLOOKUP(B1518,经纬!B:G,6,FALSE))</f>
        <v/>
      </c>
      <c r="F1518" s="8" t="str">
        <f>IF(B1518="","",VLOOKUP(B1518,小圆机汇总表!A:AP,5,FALSE))</f>
        <v/>
      </c>
      <c r="G1518" s="8" t="str">
        <f>IF(B1518="","",VLOOKUP(B1518,小圆机汇总表!A:AP,8,FALSE))</f>
        <v/>
      </c>
      <c r="P1518" s="8" t="str">
        <f t="shared" si="79"/>
        <v/>
      </c>
      <c r="R1518" s="250" t="str">
        <f t="shared" si="78"/>
        <v/>
      </c>
    </row>
    <row r="1519" spans="1:18">
      <c r="A1519" s="4">
        <v>1528</v>
      </c>
      <c r="C1519" s="8" t="str">
        <f>IF(B1519="","",VLOOKUP(B1519,经纬!B:C,2,FALSE))</f>
        <v/>
      </c>
      <c r="D1519" s="8" t="str">
        <f>IF(B1519="","",VLOOKUP(B1519,经纬!B:G,6,FALSE))</f>
        <v/>
      </c>
      <c r="F1519" s="8" t="str">
        <f>IF(B1519="","",VLOOKUP(B1519,小圆机汇总表!A:AP,5,FALSE))</f>
        <v/>
      </c>
      <c r="G1519" s="8" t="str">
        <f>IF(B1519="","",VLOOKUP(B1519,小圆机汇总表!A:AP,8,FALSE))</f>
        <v/>
      </c>
      <c r="P1519" s="8" t="str">
        <f t="shared" si="79"/>
        <v/>
      </c>
      <c r="R1519" s="250" t="str">
        <f t="shared" si="78"/>
        <v/>
      </c>
    </row>
    <row r="1520" spans="1:18">
      <c r="A1520" s="4">
        <v>1529</v>
      </c>
      <c r="C1520" s="8" t="str">
        <f>IF(B1520="","",VLOOKUP(B1520,经纬!B:C,2,FALSE))</f>
        <v/>
      </c>
      <c r="D1520" s="8" t="str">
        <f>IF(B1520="","",VLOOKUP(B1520,经纬!B:G,6,FALSE))</f>
        <v/>
      </c>
      <c r="F1520" s="8" t="str">
        <f>IF(B1520="","",VLOOKUP(B1520,小圆机汇总表!A:AP,5,FALSE))</f>
        <v/>
      </c>
      <c r="G1520" s="8" t="str">
        <f>IF(B1520="","",VLOOKUP(B1520,小圆机汇总表!A:AP,8,FALSE))</f>
        <v/>
      </c>
      <c r="P1520" s="8" t="str">
        <f t="shared" si="79"/>
        <v/>
      </c>
      <c r="R1520" s="250" t="str">
        <f t="shared" si="78"/>
        <v/>
      </c>
    </row>
    <row r="1521" spans="1:18">
      <c r="A1521" s="4">
        <v>1530</v>
      </c>
      <c r="C1521" s="8" t="str">
        <f>IF(B1521="","",VLOOKUP(B1521,经纬!B:C,2,FALSE))</f>
        <v/>
      </c>
      <c r="D1521" s="8" t="str">
        <f>IF(B1521="","",VLOOKUP(B1521,经纬!B:G,6,FALSE))</f>
        <v/>
      </c>
      <c r="F1521" s="8" t="str">
        <f>IF(B1521="","",VLOOKUP(B1521,小圆机汇总表!A:AP,5,FALSE))</f>
        <v/>
      </c>
      <c r="G1521" s="8" t="str">
        <f>IF(B1521="","",VLOOKUP(B1521,小圆机汇总表!A:AP,8,FALSE))</f>
        <v/>
      </c>
      <c r="P1521" s="8" t="str">
        <f t="shared" si="79"/>
        <v/>
      </c>
      <c r="R1521" s="250" t="str">
        <f t="shared" si="78"/>
        <v/>
      </c>
    </row>
    <row r="1522" spans="1:18">
      <c r="A1522" s="4">
        <v>1531</v>
      </c>
      <c r="C1522" s="8" t="str">
        <f>IF(B1522="","",VLOOKUP(B1522,经纬!B:C,2,FALSE))</f>
        <v/>
      </c>
      <c r="D1522" s="8" t="str">
        <f>IF(B1522="","",VLOOKUP(B1522,经纬!B:G,6,FALSE))</f>
        <v/>
      </c>
      <c r="F1522" s="8" t="str">
        <f>IF(B1522="","",VLOOKUP(B1522,小圆机汇总表!A:AP,5,FALSE))</f>
        <v/>
      </c>
      <c r="G1522" s="8" t="str">
        <f>IF(B1522="","",VLOOKUP(B1522,小圆机汇总表!A:AP,8,FALSE))</f>
        <v/>
      </c>
      <c r="P1522" s="8" t="str">
        <f t="shared" si="79"/>
        <v/>
      </c>
      <c r="R1522" s="250" t="str">
        <f t="shared" si="78"/>
        <v/>
      </c>
    </row>
    <row r="1523" spans="1:18">
      <c r="A1523" s="4">
        <v>1532</v>
      </c>
      <c r="C1523" s="8" t="str">
        <f>IF(B1523="","",VLOOKUP(B1523,经纬!B:C,2,FALSE))</f>
        <v/>
      </c>
      <c r="D1523" s="8" t="str">
        <f>IF(B1523="","",VLOOKUP(B1523,经纬!B:G,6,FALSE))</f>
        <v/>
      </c>
      <c r="F1523" s="8" t="str">
        <f>IF(B1523="","",VLOOKUP(B1523,小圆机汇总表!A:AP,5,FALSE))</f>
        <v/>
      </c>
      <c r="G1523" s="8" t="str">
        <f>IF(B1523="","",VLOOKUP(B1523,小圆机汇总表!A:AP,8,FALSE))</f>
        <v/>
      </c>
      <c r="P1523" s="8" t="str">
        <f t="shared" si="79"/>
        <v/>
      </c>
      <c r="R1523" s="250" t="str">
        <f t="shared" si="78"/>
        <v/>
      </c>
    </row>
    <row r="1524" spans="1:18">
      <c r="A1524" s="4">
        <v>1533</v>
      </c>
      <c r="C1524" s="8" t="str">
        <f>IF(B1524="","",VLOOKUP(B1524,经纬!B:C,2,FALSE))</f>
        <v/>
      </c>
      <c r="D1524" s="8" t="str">
        <f>IF(B1524="","",VLOOKUP(B1524,经纬!B:G,6,FALSE))</f>
        <v/>
      </c>
      <c r="F1524" s="8" t="str">
        <f>IF(B1524="","",VLOOKUP(B1524,小圆机汇总表!A:AP,5,FALSE))</f>
        <v/>
      </c>
      <c r="G1524" s="8" t="str">
        <f>IF(B1524="","",VLOOKUP(B1524,小圆机汇总表!A:AP,8,FALSE))</f>
        <v/>
      </c>
      <c r="P1524" s="8" t="str">
        <f t="shared" si="79"/>
        <v/>
      </c>
      <c r="R1524" s="250" t="str">
        <f t="shared" si="78"/>
        <v/>
      </c>
    </row>
    <row r="1525" spans="1:18">
      <c r="A1525" s="4">
        <v>1534</v>
      </c>
      <c r="C1525" s="8" t="str">
        <f>IF(B1525="","",VLOOKUP(B1525,经纬!B:C,2,FALSE))</f>
        <v/>
      </c>
      <c r="D1525" s="8" t="str">
        <f>IF(B1525="","",VLOOKUP(B1525,经纬!B:G,6,FALSE))</f>
        <v/>
      </c>
      <c r="F1525" s="8" t="str">
        <f>IF(B1525="","",VLOOKUP(B1525,小圆机汇总表!A:AP,5,FALSE))</f>
        <v/>
      </c>
      <c r="G1525" s="8" t="str">
        <f>IF(B1525="","",VLOOKUP(B1525,小圆机汇总表!A:AP,8,FALSE))</f>
        <v/>
      </c>
      <c r="P1525" s="8" t="str">
        <f t="shared" si="79"/>
        <v/>
      </c>
      <c r="R1525" s="250" t="str">
        <f t="shared" si="78"/>
        <v/>
      </c>
    </row>
    <row r="1526" spans="1:18">
      <c r="A1526" s="4">
        <v>1535</v>
      </c>
      <c r="C1526" s="8" t="str">
        <f>IF(B1526="","",VLOOKUP(B1526,经纬!B:C,2,FALSE))</f>
        <v/>
      </c>
      <c r="D1526" s="8" t="str">
        <f>IF(B1526="","",VLOOKUP(B1526,经纬!B:G,6,FALSE))</f>
        <v/>
      </c>
      <c r="F1526" s="8" t="str">
        <f>IF(B1526="","",VLOOKUP(B1526,小圆机汇总表!A:AP,5,FALSE))</f>
        <v/>
      </c>
      <c r="G1526" s="8" t="str">
        <f>IF(B1526="","",VLOOKUP(B1526,小圆机汇总表!A:AP,8,FALSE))</f>
        <v/>
      </c>
      <c r="P1526" s="8" t="str">
        <f t="shared" si="79"/>
        <v/>
      </c>
      <c r="R1526" s="250" t="str">
        <f t="shared" si="78"/>
        <v/>
      </c>
    </row>
    <row r="1527" spans="1:18">
      <c r="A1527" s="4">
        <v>1536</v>
      </c>
      <c r="C1527" s="8" t="str">
        <f>IF(B1527="","",VLOOKUP(B1527,经纬!B:C,2,FALSE))</f>
        <v/>
      </c>
      <c r="D1527" s="8" t="str">
        <f>IF(B1527="","",VLOOKUP(B1527,经纬!B:G,6,FALSE))</f>
        <v/>
      </c>
      <c r="F1527" s="8" t="str">
        <f>IF(B1527="","",VLOOKUP(B1527,小圆机汇总表!A:AP,5,FALSE))</f>
        <v/>
      </c>
      <c r="G1527" s="8" t="str">
        <f>IF(B1527="","",VLOOKUP(B1527,小圆机汇总表!A:AP,8,FALSE))</f>
        <v/>
      </c>
      <c r="P1527" s="8" t="str">
        <f t="shared" si="79"/>
        <v/>
      </c>
      <c r="R1527" s="250" t="str">
        <f t="shared" si="78"/>
        <v/>
      </c>
    </row>
    <row r="1528" spans="1:18">
      <c r="A1528" s="4">
        <v>1537</v>
      </c>
      <c r="C1528" s="8" t="str">
        <f>IF(B1528="","",VLOOKUP(B1528,经纬!B:C,2,FALSE))</f>
        <v/>
      </c>
      <c r="D1528" s="8" t="str">
        <f>IF(B1528="","",VLOOKUP(B1528,经纬!B:G,6,FALSE))</f>
        <v/>
      </c>
      <c r="F1528" s="8" t="str">
        <f>IF(B1528="","",VLOOKUP(B1528,小圆机汇总表!A:AP,5,FALSE))</f>
        <v/>
      </c>
      <c r="G1528" s="8" t="str">
        <f>IF(B1528="","",VLOOKUP(B1528,小圆机汇总表!A:AP,8,FALSE))</f>
        <v/>
      </c>
      <c r="P1528" s="8" t="str">
        <f t="shared" si="79"/>
        <v/>
      </c>
      <c r="R1528" s="250" t="str">
        <f t="shared" si="78"/>
        <v/>
      </c>
    </row>
    <row r="1529" spans="1:18">
      <c r="A1529" s="4">
        <v>1538</v>
      </c>
      <c r="C1529" s="8" t="str">
        <f>IF(B1529="","",VLOOKUP(B1529,经纬!B:C,2,FALSE))</f>
        <v/>
      </c>
      <c r="D1529" s="8" t="str">
        <f>IF(B1529="","",VLOOKUP(B1529,经纬!B:G,6,FALSE))</f>
        <v/>
      </c>
      <c r="F1529" s="8" t="str">
        <f>IF(B1529="","",VLOOKUP(B1529,小圆机汇总表!A:AP,5,FALSE))</f>
        <v/>
      </c>
      <c r="G1529" s="8" t="str">
        <f>IF(B1529="","",VLOOKUP(B1529,小圆机汇总表!A:AP,8,FALSE))</f>
        <v/>
      </c>
      <c r="P1529" s="8" t="str">
        <f t="shared" si="79"/>
        <v/>
      </c>
      <c r="R1529" s="250" t="str">
        <f t="shared" si="78"/>
        <v/>
      </c>
    </row>
    <row r="1530" spans="1:18">
      <c r="A1530" s="4">
        <v>1539</v>
      </c>
      <c r="C1530" s="8" t="str">
        <f>IF(B1530="","",VLOOKUP(B1530,经纬!B:C,2,FALSE))</f>
        <v/>
      </c>
      <c r="D1530" s="8" t="str">
        <f>IF(B1530="","",VLOOKUP(B1530,经纬!B:G,6,FALSE))</f>
        <v/>
      </c>
      <c r="F1530" s="8" t="str">
        <f>IF(B1530="","",VLOOKUP(B1530,小圆机汇总表!A:AP,5,FALSE))</f>
        <v/>
      </c>
      <c r="G1530" s="8" t="str">
        <f>IF(B1530="","",VLOOKUP(B1530,小圆机汇总表!A:AP,8,FALSE))</f>
        <v/>
      </c>
      <c r="P1530" s="8" t="str">
        <f t="shared" si="79"/>
        <v/>
      </c>
      <c r="R1530" s="250" t="str">
        <f t="shared" si="78"/>
        <v/>
      </c>
    </row>
    <row r="1531" spans="1:18">
      <c r="A1531" s="4">
        <v>1540</v>
      </c>
      <c r="C1531" s="8" t="str">
        <f>IF(B1531="","",VLOOKUP(B1531,经纬!B:C,2,FALSE))</f>
        <v/>
      </c>
      <c r="D1531" s="8" t="str">
        <f>IF(B1531="","",VLOOKUP(B1531,经纬!B:G,6,FALSE))</f>
        <v/>
      </c>
      <c r="F1531" s="8" t="str">
        <f>IF(B1531="","",VLOOKUP(B1531,小圆机汇总表!A:AP,5,FALSE))</f>
        <v/>
      </c>
      <c r="G1531" s="8" t="str">
        <f>IF(B1531="","",VLOOKUP(B1531,小圆机汇总表!A:AP,8,FALSE))</f>
        <v/>
      </c>
      <c r="P1531" s="8" t="str">
        <f t="shared" si="79"/>
        <v/>
      </c>
      <c r="R1531" s="250" t="str">
        <f t="shared" si="78"/>
        <v/>
      </c>
    </row>
    <row r="1532" spans="1:18">
      <c r="A1532" s="4">
        <v>1541</v>
      </c>
      <c r="C1532" s="8" t="str">
        <f>IF(B1532="","",VLOOKUP(B1532,经纬!B:C,2,FALSE))</f>
        <v/>
      </c>
      <c r="D1532" s="8" t="str">
        <f>IF(B1532="","",VLOOKUP(B1532,经纬!B:G,6,FALSE))</f>
        <v/>
      </c>
      <c r="F1532" s="8" t="str">
        <f>IF(B1532="","",VLOOKUP(B1532,小圆机汇总表!A:AP,5,FALSE))</f>
        <v/>
      </c>
      <c r="G1532" s="8" t="str">
        <f>IF(B1532="","",VLOOKUP(B1532,小圆机汇总表!A:AP,8,FALSE))</f>
        <v/>
      </c>
      <c r="P1532" s="8" t="str">
        <f t="shared" si="79"/>
        <v/>
      </c>
      <c r="R1532" s="250" t="str">
        <f t="shared" si="78"/>
        <v/>
      </c>
    </row>
    <row r="1533" spans="1:18">
      <c r="A1533" s="4">
        <v>1542</v>
      </c>
      <c r="C1533" s="8" t="str">
        <f>IF(B1533="","",VLOOKUP(B1533,经纬!B:C,2,FALSE))</f>
        <v/>
      </c>
      <c r="D1533" s="8" t="str">
        <f>IF(B1533="","",VLOOKUP(B1533,经纬!B:G,6,FALSE))</f>
        <v/>
      </c>
      <c r="F1533" s="8" t="str">
        <f>IF(B1533="","",VLOOKUP(B1533,小圆机汇总表!A:AP,5,FALSE))</f>
        <v/>
      </c>
      <c r="G1533" s="8" t="str">
        <f>IF(B1533="","",VLOOKUP(B1533,小圆机汇总表!A:AP,8,FALSE))</f>
        <v/>
      </c>
      <c r="P1533" s="8" t="str">
        <f t="shared" si="79"/>
        <v/>
      </c>
      <c r="R1533" s="250" t="str">
        <f t="shared" si="78"/>
        <v/>
      </c>
    </row>
    <row r="1534" spans="1:18">
      <c r="A1534" s="4">
        <v>1543</v>
      </c>
      <c r="C1534" s="8" t="str">
        <f>IF(B1534="","",VLOOKUP(B1534,经纬!B:C,2,FALSE))</f>
        <v/>
      </c>
      <c r="D1534" s="8" t="str">
        <f>IF(B1534="","",VLOOKUP(B1534,经纬!B:G,6,FALSE))</f>
        <v/>
      </c>
      <c r="F1534" s="8" t="str">
        <f>IF(B1534="","",VLOOKUP(B1534,小圆机汇总表!A:AP,5,FALSE))</f>
        <v/>
      </c>
      <c r="G1534" s="8" t="str">
        <f>IF(B1534="","",VLOOKUP(B1534,小圆机汇总表!A:AP,8,FALSE))</f>
        <v/>
      </c>
      <c r="P1534" s="8" t="str">
        <f t="shared" si="79"/>
        <v/>
      </c>
      <c r="R1534" s="250" t="str">
        <f t="shared" si="78"/>
        <v/>
      </c>
    </row>
    <row r="1535" spans="1:18">
      <c r="A1535" s="4">
        <v>1544</v>
      </c>
      <c r="C1535" s="8" t="str">
        <f>IF(B1535="","",VLOOKUP(B1535,经纬!B:C,2,FALSE))</f>
        <v/>
      </c>
      <c r="D1535" s="8" t="str">
        <f>IF(B1535="","",VLOOKUP(B1535,经纬!B:G,6,FALSE))</f>
        <v/>
      </c>
      <c r="F1535" s="8" t="str">
        <f>IF(B1535="","",VLOOKUP(B1535,小圆机汇总表!A:AP,5,FALSE))</f>
        <v/>
      </c>
      <c r="G1535" s="8" t="str">
        <f>IF(B1535="","",VLOOKUP(B1535,小圆机汇总表!A:AP,8,FALSE))</f>
        <v/>
      </c>
      <c r="P1535" s="8" t="str">
        <f t="shared" si="79"/>
        <v/>
      </c>
      <c r="R1535" s="250" t="str">
        <f t="shared" si="78"/>
        <v/>
      </c>
    </row>
    <row r="1536" spans="1:18">
      <c r="A1536" s="4">
        <v>1545</v>
      </c>
      <c r="C1536" s="8" t="str">
        <f>IF(B1536="","",VLOOKUP(B1536,经纬!B:C,2,FALSE))</f>
        <v/>
      </c>
      <c r="D1536" s="8" t="str">
        <f>IF(B1536="","",VLOOKUP(B1536,经纬!B:G,6,FALSE))</f>
        <v/>
      </c>
      <c r="F1536" s="8" t="str">
        <f>IF(B1536="","",VLOOKUP(B1536,小圆机汇总表!A:AP,5,FALSE))</f>
        <v/>
      </c>
      <c r="G1536" s="8" t="str">
        <f>IF(B1536="","",VLOOKUP(B1536,小圆机汇总表!A:AP,8,FALSE))</f>
        <v/>
      </c>
      <c r="P1536" s="8" t="str">
        <f t="shared" si="79"/>
        <v/>
      </c>
      <c r="R1536" s="250" t="str">
        <f t="shared" si="78"/>
        <v/>
      </c>
    </row>
    <row r="1537" spans="1:18">
      <c r="A1537" s="4">
        <v>1546</v>
      </c>
      <c r="C1537" s="8" t="str">
        <f>IF(B1537="","",VLOOKUP(B1537,经纬!B:C,2,FALSE))</f>
        <v/>
      </c>
      <c r="D1537" s="8" t="str">
        <f>IF(B1537="","",VLOOKUP(B1537,经纬!B:G,6,FALSE))</f>
        <v/>
      </c>
      <c r="F1537" s="8" t="str">
        <f>IF(B1537="","",VLOOKUP(B1537,小圆机汇总表!A:AP,5,FALSE))</f>
        <v/>
      </c>
      <c r="G1537" s="8" t="str">
        <f>IF(B1537="","",VLOOKUP(B1537,小圆机汇总表!A:AP,8,FALSE))</f>
        <v/>
      </c>
      <c r="P1537" s="8" t="str">
        <f t="shared" si="79"/>
        <v/>
      </c>
      <c r="R1537" s="250" t="str">
        <f t="shared" si="78"/>
        <v/>
      </c>
    </row>
    <row r="1538" spans="1:18">
      <c r="A1538" s="4">
        <v>1547</v>
      </c>
      <c r="C1538" s="8" t="str">
        <f>IF(B1538="","",VLOOKUP(B1538,经纬!B:C,2,FALSE))</f>
        <v/>
      </c>
      <c r="D1538" s="8" t="str">
        <f>IF(B1538="","",VLOOKUP(B1538,经纬!B:G,6,FALSE))</f>
        <v/>
      </c>
      <c r="F1538" s="8" t="str">
        <f>IF(B1538="","",VLOOKUP(B1538,小圆机汇总表!A:AP,5,FALSE))</f>
        <v/>
      </c>
      <c r="G1538" s="8" t="str">
        <f>IF(B1538="","",VLOOKUP(B1538,小圆机汇总表!A:AP,8,FALSE))</f>
        <v/>
      </c>
      <c r="P1538" s="8" t="str">
        <f t="shared" si="79"/>
        <v/>
      </c>
      <c r="R1538" s="250" t="str">
        <f t="shared" si="78"/>
        <v/>
      </c>
    </row>
    <row r="1539" spans="1:18">
      <c r="A1539" s="4">
        <v>1548</v>
      </c>
      <c r="C1539" s="8" t="str">
        <f>IF(B1539="","",VLOOKUP(B1539,经纬!B:C,2,FALSE))</f>
        <v/>
      </c>
      <c r="D1539" s="8" t="str">
        <f>IF(B1539="","",VLOOKUP(B1539,经纬!B:G,6,FALSE))</f>
        <v/>
      </c>
      <c r="F1539" s="8" t="str">
        <f>IF(B1539="","",VLOOKUP(B1539,小圆机汇总表!A:AP,5,FALSE))</f>
        <v/>
      </c>
      <c r="G1539" s="8" t="str">
        <f>IF(B1539="","",VLOOKUP(B1539,小圆机汇总表!A:AP,8,FALSE))</f>
        <v/>
      </c>
      <c r="P1539" s="8" t="str">
        <f t="shared" si="79"/>
        <v/>
      </c>
      <c r="R1539" s="250" t="str">
        <f t="shared" ref="R1539:R1602" si="80">IF(B1539="","",MONTH(I1539))</f>
        <v/>
      </c>
    </row>
    <row r="1540" spans="1:18">
      <c r="A1540" s="4">
        <v>1549</v>
      </c>
      <c r="C1540" s="8" t="str">
        <f>IF(B1540="","",VLOOKUP(B1540,经纬!B:C,2,FALSE))</f>
        <v/>
      </c>
      <c r="D1540" s="8" t="str">
        <f>IF(B1540="","",VLOOKUP(B1540,经纬!B:G,6,FALSE))</f>
        <v/>
      </c>
      <c r="F1540" s="8" t="str">
        <f>IF(B1540="","",VLOOKUP(B1540,小圆机汇总表!A:AP,5,FALSE))</f>
        <v/>
      </c>
      <c r="G1540" s="8" t="str">
        <f>IF(B1540="","",VLOOKUP(B1540,小圆机汇总表!A:AP,8,FALSE))</f>
        <v/>
      </c>
      <c r="P1540" s="8" t="str">
        <f t="shared" si="79"/>
        <v/>
      </c>
      <c r="R1540" s="250" t="str">
        <f t="shared" si="80"/>
        <v/>
      </c>
    </row>
    <row r="1541" spans="1:18">
      <c r="A1541" s="4">
        <v>1550</v>
      </c>
      <c r="C1541" s="8" t="str">
        <f>IF(B1541="","",VLOOKUP(B1541,经纬!B:C,2,FALSE))</f>
        <v/>
      </c>
      <c r="D1541" s="8" t="str">
        <f>IF(B1541="","",VLOOKUP(B1541,经纬!B:G,6,FALSE))</f>
        <v/>
      </c>
      <c r="F1541" s="8" t="str">
        <f>IF(B1541="","",VLOOKUP(B1541,小圆机汇总表!A:AP,5,FALSE))</f>
        <v/>
      </c>
      <c r="G1541" s="8" t="str">
        <f>IF(B1541="","",VLOOKUP(B1541,小圆机汇总表!A:AP,8,FALSE))</f>
        <v/>
      </c>
      <c r="P1541" s="8" t="str">
        <f t="shared" si="79"/>
        <v/>
      </c>
      <c r="R1541" s="250" t="str">
        <f t="shared" si="80"/>
        <v/>
      </c>
    </row>
    <row r="1542" spans="1:18">
      <c r="A1542" s="4">
        <v>1551</v>
      </c>
      <c r="C1542" s="8" t="str">
        <f>IF(B1542="","",VLOOKUP(B1542,经纬!B:C,2,FALSE))</f>
        <v/>
      </c>
      <c r="D1542" s="8" t="str">
        <f>IF(B1542="","",VLOOKUP(B1542,经纬!B:G,6,FALSE))</f>
        <v/>
      </c>
      <c r="F1542" s="8" t="str">
        <f>IF(B1542="","",VLOOKUP(B1542,小圆机汇总表!A:AP,5,FALSE))</f>
        <v/>
      </c>
      <c r="G1542" s="8" t="str">
        <f>IF(B1542="","",VLOOKUP(B1542,小圆机汇总表!A:AP,8,FALSE))</f>
        <v/>
      </c>
      <c r="P1542" s="8" t="str">
        <f t="shared" si="79"/>
        <v/>
      </c>
      <c r="R1542" s="250" t="str">
        <f t="shared" si="80"/>
        <v/>
      </c>
    </row>
    <row r="1543" spans="1:18">
      <c r="A1543" s="4">
        <v>1552</v>
      </c>
      <c r="C1543" s="8" t="str">
        <f>IF(B1543="","",VLOOKUP(B1543,经纬!B:C,2,FALSE))</f>
        <v/>
      </c>
      <c r="D1543" s="8" t="str">
        <f>IF(B1543="","",VLOOKUP(B1543,经纬!B:G,6,FALSE))</f>
        <v/>
      </c>
      <c r="F1543" s="8" t="str">
        <f>IF(B1543="","",VLOOKUP(B1543,小圆机汇总表!A:AP,5,FALSE))</f>
        <v/>
      </c>
      <c r="G1543" s="8" t="str">
        <f>IF(B1543="","",VLOOKUP(B1543,小圆机汇总表!A:AP,8,FALSE))</f>
        <v/>
      </c>
      <c r="P1543" s="8" t="str">
        <f t="shared" si="79"/>
        <v/>
      </c>
      <c r="R1543" s="250" t="str">
        <f t="shared" si="80"/>
        <v/>
      </c>
    </row>
    <row r="1544" spans="1:18">
      <c r="A1544" s="4">
        <v>1553</v>
      </c>
      <c r="C1544" s="8" t="str">
        <f>IF(B1544="","",VLOOKUP(B1544,经纬!B:C,2,FALSE))</f>
        <v/>
      </c>
      <c r="D1544" s="8" t="str">
        <f>IF(B1544="","",VLOOKUP(B1544,经纬!B:G,6,FALSE))</f>
        <v/>
      </c>
      <c r="F1544" s="8" t="str">
        <f>IF(B1544="","",VLOOKUP(B1544,小圆机汇总表!A:AP,5,FALSE))</f>
        <v/>
      </c>
      <c r="G1544" s="8" t="str">
        <f>IF(B1544="","",VLOOKUP(B1544,小圆机汇总表!A:AP,8,FALSE))</f>
        <v/>
      </c>
      <c r="P1544" s="8" t="str">
        <f t="shared" si="79"/>
        <v/>
      </c>
      <c r="R1544" s="250" t="str">
        <f t="shared" si="80"/>
        <v/>
      </c>
    </row>
    <row r="1545" spans="1:18">
      <c r="A1545" s="4">
        <v>1554</v>
      </c>
      <c r="C1545" s="8" t="str">
        <f>IF(B1545="","",VLOOKUP(B1545,经纬!B:C,2,FALSE))</f>
        <v/>
      </c>
      <c r="D1545" s="8" t="str">
        <f>IF(B1545="","",VLOOKUP(B1545,经纬!B:G,6,FALSE))</f>
        <v/>
      </c>
      <c r="F1545" s="8" t="str">
        <f>IF(B1545="","",VLOOKUP(B1545,小圆机汇总表!A:AP,5,FALSE))</f>
        <v/>
      </c>
      <c r="G1545" s="8" t="str">
        <f>IF(B1545="","",VLOOKUP(B1545,小圆机汇总表!A:AP,8,FALSE))</f>
        <v/>
      </c>
      <c r="P1545" s="8" t="str">
        <f t="shared" si="79"/>
        <v/>
      </c>
      <c r="R1545" s="250" t="str">
        <f t="shared" si="80"/>
        <v/>
      </c>
    </row>
    <row r="1546" spans="1:18">
      <c r="A1546" s="4">
        <v>1555</v>
      </c>
      <c r="C1546" s="8" t="str">
        <f>IF(B1546="","",VLOOKUP(B1546,经纬!B:C,2,FALSE))</f>
        <v/>
      </c>
      <c r="D1546" s="8" t="str">
        <f>IF(B1546="","",VLOOKUP(B1546,经纬!B:G,6,FALSE))</f>
        <v/>
      </c>
      <c r="F1546" s="8" t="str">
        <f>IF(B1546="","",VLOOKUP(B1546,小圆机汇总表!A:AP,5,FALSE))</f>
        <v/>
      </c>
      <c r="G1546" s="8" t="str">
        <f>IF(B1546="","",VLOOKUP(B1546,小圆机汇总表!A:AP,8,FALSE))</f>
        <v/>
      </c>
      <c r="P1546" s="8" t="str">
        <f t="shared" si="79"/>
        <v/>
      </c>
      <c r="R1546" s="250" t="str">
        <f t="shared" si="80"/>
        <v/>
      </c>
    </row>
    <row r="1547" spans="1:18">
      <c r="A1547" s="4">
        <v>1556</v>
      </c>
      <c r="C1547" s="8" t="str">
        <f>IF(B1547="","",VLOOKUP(B1547,经纬!B:C,2,FALSE))</f>
        <v/>
      </c>
      <c r="D1547" s="8" t="str">
        <f>IF(B1547="","",VLOOKUP(B1547,经纬!B:G,6,FALSE))</f>
        <v/>
      </c>
      <c r="F1547" s="8" t="str">
        <f>IF(B1547="","",VLOOKUP(B1547,小圆机汇总表!A:AP,5,FALSE))</f>
        <v/>
      </c>
      <c r="G1547" s="8" t="str">
        <f>IF(B1547="","",VLOOKUP(B1547,小圆机汇总表!A:AP,8,FALSE))</f>
        <v/>
      </c>
      <c r="P1547" s="8" t="str">
        <f t="shared" si="79"/>
        <v/>
      </c>
      <c r="R1547" s="250" t="str">
        <f t="shared" si="80"/>
        <v/>
      </c>
    </row>
    <row r="1548" spans="1:18">
      <c r="A1548" s="4">
        <v>1557</v>
      </c>
      <c r="C1548" s="8" t="str">
        <f>IF(B1548="","",VLOOKUP(B1548,经纬!B:C,2,FALSE))</f>
        <v/>
      </c>
      <c r="D1548" s="8" t="str">
        <f>IF(B1548="","",VLOOKUP(B1548,经纬!B:G,6,FALSE))</f>
        <v/>
      </c>
      <c r="F1548" s="8" t="str">
        <f>IF(B1548="","",VLOOKUP(B1548,小圆机汇总表!A:AP,5,FALSE))</f>
        <v/>
      </c>
      <c r="G1548" s="8" t="str">
        <f>IF(B1548="","",VLOOKUP(B1548,小圆机汇总表!A:AP,8,FALSE))</f>
        <v/>
      </c>
      <c r="P1548" s="8" t="str">
        <f t="shared" si="79"/>
        <v/>
      </c>
      <c r="R1548" s="250" t="str">
        <f t="shared" si="80"/>
        <v/>
      </c>
    </row>
    <row r="1549" spans="1:18">
      <c r="A1549" s="4">
        <v>1558</v>
      </c>
      <c r="C1549" s="8" t="str">
        <f>IF(B1549="","",VLOOKUP(B1549,经纬!B:C,2,FALSE))</f>
        <v/>
      </c>
      <c r="D1549" s="8" t="str">
        <f>IF(B1549="","",VLOOKUP(B1549,经纬!B:G,6,FALSE))</f>
        <v/>
      </c>
      <c r="F1549" s="8" t="str">
        <f>IF(B1549="","",VLOOKUP(B1549,小圆机汇总表!A:AP,5,FALSE))</f>
        <v/>
      </c>
      <c r="G1549" s="8" t="str">
        <f>IF(B1549="","",VLOOKUP(B1549,小圆机汇总表!A:AP,8,FALSE))</f>
        <v/>
      </c>
      <c r="P1549" s="8" t="str">
        <f t="shared" si="79"/>
        <v/>
      </c>
      <c r="R1549" s="250" t="str">
        <f t="shared" si="80"/>
        <v/>
      </c>
    </row>
    <row r="1550" spans="1:18">
      <c r="A1550" s="4">
        <v>1559</v>
      </c>
      <c r="C1550" s="8" t="str">
        <f>IF(B1550="","",VLOOKUP(B1550,经纬!B:C,2,FALSE))</f>
        <v/>
      </c>
      <c r="D1550" s="8" t="str">
        <f>IF(B1550="","",VLOOKUP(B1550,经纬!B:G,6,FALSE))</f>
        <v/>
      </c>
      <c r="F1550" s="8" t="str">
        <f>IF(B1550="","",VLOOKUP(B1550,小圆机汇总表!A:AP,5,FALSE))</f>
        <v/>
      </c>
      <c r="G1550" s="8" t="str">
        <f>IF(B1550="","",VLOOKUP(B1550,小圆机汇总表!A:AP,8,FALSE))</f>
        <v/>
      </c>
      <c r="P1550" s="8" t="str">
        <f t="shared" si="79"/>
        <v/>
      </c>
      <c r="R1550" s="250" t="str">
        <f t="shared" si="80"/>
        <v/>
      </c>
    </row>
    <row r="1551" spans="1:18">
      <c r="A1551" s="4">
        <v>1560</v>
      </c>
      <c r="C1551" s="8" t="str">
        <f>IF(B1551="","",VLOOKUP(B1551,经纬!B:C,2,FALSE))</f>
        <v/>
      </c>
      <c r="D1551" s="8" t="str">
        <f>IF(B1551="","",VLOOKUP(B1551,经纬!B:G,6,FALSE))</f>
        <v/>
      </c>
      <c r="F1551" s="8" t="str">
        <f>IF(B1551="","",VLOOKUP(B1551,小圆机汇总表!A:AP,5,FALSE))</f>
        <v/>
      </c>
      <c r="G1551" s="8" t="str">
        <f>IF(B1551="","",VLOOKUP(B1551,小圆机汇总表!A:AP,8,FALSE))</f>
        <v/>
      </c>
      <c r="P1551" s="8" t="str">
        <f t="shared" si="79"/>
        <v/>
      </c>
      <c r="R1551" s="250" t="str">
        <f t="shared" si="80"/>
        <v/>
      </c>
    </row>
    <row r="1552" spans="1:18">
      <c r="A1552" s="4">
        <v>1561</v>
      </c>
      <c r="C1552" s="8" t="str">
        <f>IF(B1552="","",VLOOKUP(B1552,经纬!B:C,2,FALSE))</f>
        <v/>
      </c>
      <c r="D1552" s="8" t="str">
        <f>IF(B1552="","",VLOOKUP(B1552,经纬!B:G,6,FALSE))</f>
        <v/>
      </c>
      <c r="F1552" s="8" t="str">
        <f>IF(B1552="","",VLOOKUP(B1552,小圆机汇总表!A:AP,5,FALSE))</f>
        <v/>
      </c>
      <c r="G1552" s="8" t="str">
        <f>IF(B1552="","",VLOOKUP(B1552,小圆机汇总表!A:AP,8,FALSE))</f>
        <v/>
      </c>
      <c r="P1552" s="8" t="str">
        <f t="shared" si="79"/>
        <v/>
      </c>
      <c r="R1552" s="250" t="str">
        <f t="shared" si="80"/>
        <v/>
      </c>
    </row>
    <row r="1553" spans="1:18">
      <c r="A1553" s="4">
        <v>1562</v>
      </c>
      <c r="C1553" s="8" t="str">
        <f>IF(B1553="","",VLOOKUP(B1553,经纬!B:C,2,FALSE))</f>
        <v/>
      </c>
      <c r="D1553" s="8" t="str">
        <f>IF(B1553="","",VLOOKUP(B1553,经纬!B:G,6,FALSE))</f>
        <v/>
      </c>
      <c r="F1553" s="8" t="str">
        <f>IF(B1553="","",VLOOKUP(B1553,小圆机汇总表!A:AP,5,FALSE))</f>
        <v/>
      </c>
      <c r="G1553" s="8" t="str">
        <f>IF(B1553="","",VLOOKUP(B1553,小圆机汇总表!A:AP,8,FALSE))</f>
        <v/>
      </c>
      <c r="P1553" s="8" t="str">
        <f t="shared" si="79"/>
        <v/>
      </c>
      <c r="R1553" s="250" t="str">
        <f t="shared" si="80"/>
        <v/>
      </c>
    </row>
    <row r="1554" spans="1:18">
      <c r="A1554" s="4">
        <v>1563</v>
      </c>
      <c r="C1554" s="8" t="str">
        <f>IF(B1554="","",VLOOKUP(B1554,经纬!B:C,2,FALSE))</f>
        <v/>
      </c>
      <c r="D1554" s="8" t="str">
        <f>IF(B1554="","",VLOOKUP(B1554,经纬!B:G,6,FALSE))</f>
        <v/>
      </c>
      <c r="F1554" s="8" t="str">
        <f>IF(B1554="","",VLOOKUP(B1554,小圆机汇总表!A:AP,5,FALSE))</f>
        <v/>
      </c>
      <c r="G1554" s="8" t="str">
        <f>IF(B1554="","",VLOOKUP(B1554,小圆机汇总表!A:AP,8,FALSE))</f>
        <v/>
      </c>
      <c r="P1554" s="8" t="str">
        <f t="shared" si="79"/>
        <v/>
      </c>
      <c r="R1554" s="250" t="str">
        <f t="shared" si="80"/>
        <v/>
      </c>
    </row>
    <row r="1555" spans="1:18">
      <c r="A1555" s="4">
        <v>1564</v>
      </c>
      <c r="C1555" s="8" t="str">
        <f>IF(B1555="","",VLOOKUP(B1555,经纬!B:C,2,FALSE))</f>
        <v/>
      </c>
      <c r="D1555" s="8" t="str">
        <f>IF(B1555="","",VLOOKUP(B1555,经纬!B:G,6,FALSE))</f>
        <v/>
      </c>
      <c r="F1555" s="8" t="str">
        <f>IF(B1555="","",VLOOKUP(B1555,小圆机汇总表!A:AP,5,FALSE))</f>
        <v/>
      </c>
      <c r="G1555" s="8" t="str">
        <f>IF(B1555="","",VLOOKUP(B1555,小圆机汇总表!A:AP,8,FALSE))</f>
        <v/>
      </c>
      <c r="P1555" s="8" t="str">
        <f t="shared" si="79"/>
        <v/>
      </c>
      <c r="R1555" s="250" t="str">
        <f t="shared" si="80"/>
        <v/>
      </c>
    </row>
    <row r="1556" spans="1:18">
      <c r="A1556" s="4">
        <v>1565</v>
      </c>
      <c r="C1556" s="8" t="str">
        <f>IF(B1556="","",VLOOKUP(B1556,经纬!B:C,2,FALSE))</f>
        <v/>
      </c>
      <c r="D1556" s="8" t="str">
        <f>IF(B1556="","",VLOOKUP(B1556,经纬!B:G,6,FALSE))</f>
        <v/>
      </c>
      <c r="F1556" s="8" t="str">
        <f>IF(B1556="","",VLOOKUP(B1556,小圆机汇总表!A:AP,5,FALSE))</f>
        <v/>
      </c>
      <c r="G1556" s="8" t="str">
        <f>IF(B1556="","",VLOOKUP(B1556,小圆机汇总表!A:AP,8,FALSE))</f>
        <v/>
      </c>
      <c r="P1556" s="8" t="str">
        <f t="shared" si="79"/>
        <v/>
      </c>
      <c r="R1556" s="250" t="str">
        <f t="shared" si="80"/>
        <v/>
      </c>
    </row>
    <row r="1557" spans="1:18">
      <c r="A1557" s="4">
        <v>1566</v>
      </c>
      <c r="C1557" s="8" t="str">
        <f>IF(B1557="","",VLOOKUP(B1557,经纬!B:C,2,FALSE))</f>
        <v/>
      </c>
      <c r="D1557" s="8" t="str">
        <f>IF(B1557="","",VLOOKUP(B1557,经纬!B:G,6,FALSE))</f>
        <v/>
      </c>
      <c r="F1557" s="8" t="str">
        <f>IF(B1557="","",VLOOKUP(B1557,小圆机汇总表!A:AP,5,FALSE))</f>
        <v/>
      </c>
      <c r="G1557" s="8" t="str">
        <f>IF(B1557="","",VLOOKUP(B1557,小圆机汇总表!A:AP,8,FALSE))</f>
        <v/>
      </c>
      <c r="P1557" s="8" t="str">
        <f t="shared" si="79"/>
        <v/>
      </c>
      <c r="R1557" s="250" t="str">
        <f t="shared" si="80"/>
        <v/>
      </c>
    </row>
    <row r="1558" spans="1:18">
      <c r="A1558" s="4">
        <v>1567</v>
      </c>
      <c r="C1558" s="8" t="str">
        <f>IF(B1558="","",VLOOKUP(B1558,经纬!B:C,2,FALSE))</f>
        <v/>
      </c>
      <c r="D1558" s="8" t="str">
        <f>IF(B1558="","",VLOOKUP(B1558,经纬!B:G,6,FALSE))</f>
        <v/>
      </c>
      <c r="F1558" s="8" t="str">
        <f>IF(B1558="","",VLOOKUP(B1558,小圆机汇总表!A:AP,5,FALSE))</f>
        <v/>
      </c>
      <c r="G1558" s="8" t="str">
        <f>IF(B1558="","",VLOOKUP(B1558,小圆机汇总表!A:AP,8,FALSE))</f>
        <v/>
      </c>
      <c r="P1558" s="8" t="str">
        <f t="shared" si="79"/>
        <v/>
      </c>
      <c r="R1558" s="250" t="str">
        <f t="shared" si="80"/>
        <v/>
      </c>
    </row>
    <row r="1559" spans="1:18">
      <c r="A1559" s="4">
        <v>1568</v>
      </c>
      <c r="C1559" s="8" t="str">
        <f>IF(B1559="","",VLOOKUP(B1559,经纬!B:C,2,FALSE))</f>
        <v/>
      </c>
      <c r="D1559" s="8" t="str">
        <f>IF(B1559="","",VLOOKUP(B1559,经纬!B:G,6,FALSE))</f>
        <v/>
      </c>
      <c r="F1559" s="8" t="str">
        <f>IF(B1559="","",VLOOKUP(B1559,小圆机汇总表!A:AP,5,FALSE))</f>
        <v/>
      </c>
      <c r="G1559" s="8" t="str">
        <f>IF(B1559="","",VLOOKUP(B1559,小圆机汇总表!A:AP,8,FALSE))</f>
        <v/>
      </c>
      <c r="P1559" s="8" t="str">
        <f t="shared" si="79"/>
        <v/>
      </c>
      <c r="R1559" s="250" t="str">
        <f t="shared" si="80"/>
        <v/>
      </c>
    </row>
    <row r="1560" spans="1:18">
      <c r="A1560" s="4">
        <v>1569</v>
      </c>
      <c r="C1560" s="8" t="str">
        <f>IF(B1560="","",VLOOKUP(B1560,经纬!B:C,2,FALSE))</f>
        <v/>
      </c>
      <c r="D1560" s="8" t="str">
        <f>IF(B1560="","",VLOOKUP(B1560,经纬!B:G,6,FALSE))</f>
        <v/>
      </c>
      <c r="F1560" s="8" t="str">
        <f>IF(B1560="","",VLOOKUP(B1560,小圆机汇总表!A:AP,5,FALSE))</f>
        <v/>
      </c>
      <c r="G1560" s="8" t="str">
        <f>IF(B1560="","",VLOOKUP(B1560,小圆机汇总表!A:AP,8,FALSE))</f>
        <v/>
      </c>
      <c r="P1560" s="8" t="str">
        <f t="shared" si="79"/>
        <v/>
      </c>
      <c r="R1560" s="250" t="str">
        <f t="shared" si="80"/>
        <v/>
      </c>
    </row>
    <row r="1561" spans="1:18">
      <c r="A1561" s="4">
        <v>1570</v>
      </c>
      <c r="C1561" s="8" t="str">
        <f>IF(B1561="","",VLOOKUP(B1561,经纬!B:C,2,FALSE))</f>
        <v/>
      </c>
      <c r="D1561" s="8" t="str">
        <f>IF(B1561="","",VLOOKUP(B1561,经纬!B:G,6,FALSE))</f>
        <v/>
      </c>
      <c r="F1561" s="8" t="str">
        <f>IF(B1561="","",VLOOKUP(B1561,小圆机汇总表!A:AP,5,FALSE))</f>
        <v/>
      </c>
      <c r="G1561" s="8" t="str">
        <f>IF(B1561="","",VLOOKUP(B1561,小圆机汇总表!A:AP,8,FALSE))</f>
        <v/>
      </c>
      <c r="P1561" s="8" t="str">
        <f t="shared" si="79"/>
        <v/>
      </c>
      <c r="R1561" s="250" t="str">
        <f t="shared" si="80"/>
        <v/>
      </c>
    </row>
    <row r="1562" spans="1:18">
      <c r="A1562" s="4">
        <v>1571</v>
      </c>
      <c r="C1562" s="8" t="str">
        <f>IF(B1562="","",VLOOKUP(B1562,经纬!B:C,2,FALSE))</f>
        <v/>
      </c>
      <c r="D1562" s="8" t="str">
        <f>IF(B1562="","",VLOOKUP(B1562,经纬!B:G,6,FALSE))</f>
        <v/>
      </c>
      <c r="F1562" s="8" t="str">
        <f>IF(B1562="","",VLOOKUP(B1562,小圆机汇总表!A:AP,5,FALSE))</f>
        <v/>
      </c>
      <c r="G1562" s="8" t="str">
        <f>IF(B1562="","",VLOOKUP(B1562,小圆机汇总表!A:AP,8,FALSE))</f>
        <v/>
      </c>
      <c r="P1562" s="8" t="str">
        <f t="shared" ref="P1562:P1625" si="81">IF(B1562="","",MONTH(I1562))</f>
        <v/>
      </c>
      <c r="R1562" s="250" t="str">
        <f t="shared" si="80"/>
        <v/>
      </c>
    </row>
    <row r="1563" spans="1:18">
      <c r="A1563" s="4">
        <v>1572</v>
      </c>
      <c r="C1563" s="8" t="str">
        <f>IF(B1563="","",VLOOKUP(B1563,经纬!B:C,2,FALSE))</f>
        <v/>
      </c>
      <c r="D1563" s="8" t="str">
        <f>IF(B1563="","",VLOOKUP(B1563,经纬!B:G,6,FALSE))</f>
        <v/>
      </c>
      <c r="F1563" s="8" t="str">
        <f>IF(B1563="","",VLOOKUP(B1563,小圆机汇总表!A:AP,5,FALSE))</f>
        <v/>
      </c>
      <c r="G1563" s="8" t="str">
        <f>IF(B1563="","",VLOOKUP(B1563,小圆机汇总表!A:AP,8,FALSE))</f>
        <v/>
      </c>
      <c r="P1563" s="8" t="str">
        <f t="shared" si="81"/>
        <v/>
      </c>
      <c r="R1563" s="250" t="str">
        <f t="shared" si="80"/>
        <v/>
      </c>
    </row>
    <row r="1564" spans="1:18">
      <c r="A1564" s="4">
        <v>1573</v>
      </c>
      <c r="C1564" s="8" t="str">
        <f>IF(B1564="","",VLOOKUP(B1564,经纬!B:C,2,FALSE))</f>
        <v/>
      </c>
      <c r="D1564" s="8" t="str">
        <f>IF(B1564="","",VLOOKUP(B1564,经纬!B:G,6,FALSE))</f>
        <v/>
      </c>
      <c r="F1564" s="8" t="str">
        <f>IF(B1564="","",VLOOKUP(B1564,小圆机汇总表!A:AP,5,FALSE))</f>
        <v/>
      </c>
      <c r="G1564" s="8" t="str">
        <f>IF(B1564="","",VLOOKUP(B1564,小圆机汇总表!A:AP,8,FALSE))</f>
        <v/>
      </c>
      <c r="P1564" s="8" t="str">
        <f t="shared" si="81"/>
        <v/>
      </c>
      <c r="R1564" s="250" t="str">
        <f t="shared" si="80"/>
        <v/>
      </c>
    </row>
    <row r="1565" spans="1:18">
      <c r="A1565" s="4">
        <v>1574</v>
      </c>
      <c r="C1565" s="8" t="str">
        <f>IF(B1565="","",VLOOKUP(B1565,经纬!B:C,2,FALSE))</f>
        <v/>
      </c>
      <c r="D1565" s="8" t="str">
        <f>IF(B1565="","",VLOOKUP(B1565,经纬!B:G,6,FALSE))</f>
        <v/>
      </c>
      <c r="F1565" s="8" t="str">
        <f>IF(B1565="","",VLOOKUP(B1565,小圆机汇总表!A:AP,5,FALSE))</f>
        <v/>
      </c>
      <c r="G1565" s="8" t="str">
        <f>IF(B1565="","",VLOOKUP(B1565,小圆机汇总表!A:AP,8,FALSE))</f>
        <v/>
      </c>
      <c r="P1565" s="8" t="str">
        <f t="shared" si="81"/>
        <v/>
      </c>
      <c r="R1565" s="250" t="str">
        <f t="shared" si="80"/>
        <v/>
      </c>
    </row>
    <row r="1566" spans="1:18">
      <c r="A1566" s="4">
        <v>1575</v>
      </c>
      <c r="C1566" s="8" t="str">
        <f>IF(B1566="","",VLOOKUP(B1566,经纬!B:C,2,FALSE))</f>
        <v/>
      </c>
      <c r="D1566" s="8" t="str">
        <f>IF(B1566="","",VLOOKUP(B1566,经纬!B:G,6,FALSE))</f>
        <v/>
      </c>
      <c r="F1566" s="8" t="str">
        <f>IF(B1566="","",VLOOKUP(B1566,小圆机汇总表!A:AP,5,FALSE))</f>
        <v/>
      </c>
      <c r="G1566" s="8" t="str">
        <f>IF(B1566="","",VLOOKUP(B1566,小圆机汇总表!A:AP,8,FALSE))</f>
        <v/>
      </c>
      <c r="P1566" s="8" t="str">
        <f t="shared" si="81"/>
        <v/>
      </c>
      <c r="R1566" s="250" t="str">
        <f t="shared" si="80"/>
        <v/>
      </c>
    </row>
    <row r="1567" spans="1:18">
      <c r="A1567" s="4">
        <v>1576</v>
      </c>
      <c r="C1567" s="8" t="str">
        <f>IF(B1567="","",VLOOKUP(B1567,经纬!B:C,2,FALSE))</f>
        <v/>
      </c>
      <c r="D1567" s="8" t="str">
        <f>IF(B1567="","",VLOOKUP(B1567,经纬!B:G,6,FALSE))</f>
        <v/>
      </c>
      <c r="F1567" s="8" t="str">
        <f>IF(B1567="","",VLOOKUP(B1567,小圆机汇总表!A:AP,5,FALSE))</f>
        <v/>
      </c>
      <c r="G1567" s="8" t="str">
        <f>IF(B1567="","",VLOOKUP(B1567,小圆机汇总表!A:AP,8,FALSE))</f>
        <v/>
      </c>
      <c r="P1567" s="8" t="str">
        <f t="shared" si="81"/>
        <v/>
      </c>
      <c r="R1567" s="250" t="str">
        <f t="shared" si="80"/>
        <v/>
      </c>
    </row>
    <row r="1568" spans="1:18">
      <c r="A1568" s="4">
        <v>1577</v>
      </c>
      <c r="C1568" s="8" t="str">
        <f>IF(B1568="","",VLOOKUP(B1568,经纬!B:C,2,FALSE))</f>
        <v/>
      </c>
      <c r="D1568" s="8" t="str">
        <f>IF(B1568="","",VLOOKUP(B1568,经纬!B:G,6,FALSE))</f>
        <v/>
      </c>
      <c r="F1568" s="8" t="str">
        <f>IF(B1568="","",VLOOKUP(B1568,小圆机汇总表!A:AP,5,FALSE))</f>
        <v/>
      </c>
      <c r="G1568" s="8" t="str">
        <f>IF(B1568="","",VLOOKUP(B1568,小圆机汇总表!A:AP,8,FALSE))</f>
        <v/>
      </c>
      <c r="P1568" s="8" t="str">
        <f t="shared" si="81"/>
        <v/>
      </c>
      <c r="R1568" s="250" t="str">
        <f t="shared" si="80"/>
        <v/>
      </c>
    </row>
    <row r="1569" spans="1:18">
      <c r="A1569" s="4">
        <v>1578</v>
      </c>
      <c r="C1569" s="8" t="str">
        <f>IF(B1569="","",VLOOKUP(B1569,经纬!B:C,2,FALSE))</f>
        <v/>
      </c>
      <c r="D1569" s="8" t="str">
        <f>IF(B1569="","",VLOOKUP(B1569,经纬!B:G,6,FALSE))</f>
        <v/>
      </c>
      <c r="F1569" s="8" t="str">
        <f>IF(B1569="","",VLOOKUP(B1569,小圆机汇总表!A:AP,5,FALSE))</f>
        <v/>
      </c>
      <c r="G1569" s="8" t="str">
        <f>IF(B1569="","",VLOOKUP(B1569,小圆机汇总表!A:AP,8,FALSE))</f>
        <v/>
      </c>
      <c r="P1569" s="8" t="str">
        <f t="shared" si="81"/>
        <v/>
      </c>
      <c r="R1569" s="250" t="str">
        <f t="shared" si="80"/>
        <v/>
      </c>
    </row>
    <row r="1570" spans="1:18">
      <c r="A1570" s="4">
        <v>1579</v>
      </c>
      <c r="C1570" s="8" t="str">
        <f>IF(B1570="","",VLOOKUP(B1570,经纬!B:C,2,FALSE))</f>
        <v/>
      </c>
      <c r="D1570" s="8" t="str">
        <f>IF(B1570="","",VLOOKUP(B1570,经纬!B:G,6,FALSE))</f>
        <v/>
      </c>
      <c r="F1570" s="8" t="str">
        <f>IF(B1570="","",VLOOKUP(B1570,小圆机汇总表!A:AP,5,FALSE))</f>
        <v/>
      </c>
      <c r="G1570" s="8" t="str">
        <f>IF(B1570="","",VLOOKUP(B1570,小圆机汇总表!A:AP,8,FALSE))</f>
        <v/>
      </c>
      <c r="P1570" s="8" t="str">
        <f t="shared" si="81"/>
        <v/>
      </c>
      <c r="R1570" s="250" t="str">
        <f t="shared" si="80"/>
        <v/>
      </c>
    </row>
    <row r="1571" spans="1:18">
      <c r="A1571" s="4">
        <v>1580</v>
      </c>
      <c r="C1571" s="8" t="str">
        <f>IF(B1571="","",VLOOKUP(B1571,经纬!B:C,2,FALSE))</f>
        <v/>
      </c>
      <c r="D1571" s="8" t="str">
        <f>IF(B1571="","",VLOOKUP(B1571,经纬!B:G,6,FALSE))</f>
        <v/>
      </c>
      <c r="F1571" s="8" t="str">
        <f>IF(B1571="","",VLOOKUP(B1571,小圆机汇总表!A:AP,5,FALSE))</f>
        <v/>
      </c>
      <c r="G1571" s="8" t="str">
        <f>IF(B1571="","",VLOOKUP(B1571,小圆机汇总表!A:AP,8,FALSE))</f>
        <v/>
      </c>
      <c r="P1571" s="8" t="str">
        <f t="shared" si="81"/>
        <v/>
      </c>
      <c r="R1571" s="250" t="str">
        <f t="shared" si="80"/>
        <v/>
      </c>
    </row>
    <row r="1572" spans="1:18">
      <c r="A1572" s="4">
        <v>1581</v>
      </c>
      <c r="C1572" s="8" t="str">
        <f>IF(B1572="","",VLOOKUP(B1572,经纬!B:C,2,FALSE))</f>
        <v/>
      </c>
      <c r="D1572" s="8" t="str">
        <f>IF(B1572="","",VLOOKUP(B1572,经纬!B:G,6,FALSE))</f>
        <v/>
      </c>
      <c r="F1572" s="8" t="str">
        <f>IF(B1572="","",VLOOKUP(B1572,小圆机汇总表!A:AP,5,FALSE))</f>
        <v/>
      </c>
      <c r="G1572" s="8" t="str">
        <f>IF(B1572="","",VLOOKUP(B1572,小圆机汇总表!A:AP,8,FALSE))</f>
        <v/>
      </c>
      <c r="P1572" s="8" t="str">
        <f t="shared" si="81"/>
        <v/>
      </c>
      <c r="R1572" s="250" t="str">
        <f t="shared" si="80"/>
        <v/>
      </c>
    </row>
    <row r="1573" spans="1:18">
      <c r="A1573" s="4">
        <v>1582</v>
      </c>
      <c r="C1573" s="8" t="str">
        <f>IF(B1573="","",VLOOKUP(B1573,经纬!B:C,2,FALSE))</f>
        <v/>
      </c>
      <c r="D1573" s="8" t="str">
        <f>IF(B1573="","",VLOOKUP(B1573,经纬!B:G,6,FALSE))</f>
        <v/>
      </c>
      <c r="F1573" s="8" t="str">
        <f>IF(B1573="","",VLOOKUP(B1573,小圆机汇总表!A:AP,5,FALSE))</f>
        <v/>
      </c>
      <c r="G1573" s="8" t="str">
        <f>IF(B1573="","",VLOOKUP(B1573,小圆机汇总表!A:AP,8,FALSE))</f>
        <v/>
      </c>
      <c r="P1573" s="8" t="str">
        <f t="shared" si="81"/>
        <v/>
      </c>
      <c r="R1573" s="250" t="str">
        <f t="shared" si="80"/>
        <v/>
      </c>
    </row>
    <row r="1574" spans="1:18">
      <c r="A1574" s="4">
        <v>1583</v>
      </c>
      <c r="C1574" s="8" t="str">
        <f>IF(B1574="","",VLOOKUP(B1574,经纬!B:C,2,FALSE))</f>
        <v/>
      </c>
      <c r="D1574" s="8" t="str">
        <f>IF(B1574="","",VLOOKUP(B1574,经纬!B:G,6,FALSE))</f>
        <v/>
      </c>
      <c r="F1574" s="8" t="str">
        <f>IF(B1574="","",VLOOKUP(B1574,小圆机汇总表!A:AP,5,FALSE))</f>
        <v/>
      </c>
      <c r="G1574" s="8" t="str">
        <f>IF(B1574="","",VLOOKUP(B1574,小圆机汇总表!A:AP,8,FALSE))</f>
        <v/>
      </c>
      <c r="P1574" s="8" t="str">
        <f t="shared" si="81"/>
        <v/>
      </c>
      <c r="R1574" s="250" t="str">
        <f t="shared" si="80"/>
        <v/>
      </c>
    </row>
    <row r="1575" spans="1:18">
      <c r="A1575" s="4">
        <v>1584</v>
      </c>
      <c r="C1575" s="8" t="str">
        <f>IF(B1575="","",VLOOKUP(B1575,经纬!B:C,2,FALSE))</f>
        <v/>
      </c>
      <c r="D1575" s="8" t="str">
        <f>IF(B1575="","",VLOOKUP(B1575,经纬!B:G,6,FALSE))</f>
        <v/>
      </c>
      <c r="F1575" s="8" t="str">
        <f>IF(B1575="","",VLOOKUP(B1575,小圆机汇总表!A:AP,5,FALSE))</f>
        <v/>
      </c>
      <c r="G1575" s="8" t="str">
        <f>IF(B1575="","",VLOOKUP(B1575,小圆机汇总表!A:AP,8,FALSE))</f>
        <v/>
      </c>
      <c r="P1575" s="8" t="str">
        <f t="shared" si="81"/>
        <v/>
      </c>
      <c r="R1575" s="250" t="str">
        <f t="shared" si="80"/>
        <v/>
      </c>
    </row>
    <row r="1576" spans="1:18">
      <c r="A1576" s="4">
        <v>1585</v>
      </c>
      <c r="C1576" s="8" t="str">
        <f>IF(B1576="","",VLOOKUP(B1576,经纬!B:C,2,FALSE))</f>
        <v/>
      </c>
      <c r="D1576" s="8" t="str">
        <f>IF(B1576="","",VLOOKUP(B1576,经纬!B:G,6,FALSE))</f>
        <v/>
      </c>
      <c r="F1576" s="8" t="str">
        <f>IF(B1576="","",VLOOKUP(B1576,小圆机汇总表!A:AP,5,FALSE))</f>
        <v/>
      </c>
      <c r="G1576" s="8" t="str">
        <f>IF(B1576="","",VLOOKUP(B1576,小圆机汇总表!A:AP,8,FALSE))</f>
        <v/>
      </c>
      <c r="P1576" s="8" t="str">
        <f t="shared" si="81"/>
        <v/>
      </c>
      <c r="R1576" s="250" t="str">
        <f t="shared" si="80"/>
        <v/>
      </c>
    </row>
    <row r="1577" spans="1:18">
      <c r="A1577" s="4">
        <v>1586</v>
      </c>
      <c r="C1577" s="8" t="str">
        <f>IF(B1577="","",VLOOKUP(B1577,经纬!B:C,2,FALSE))</f>
        <v/>
      </c>
      <c r="D1577" s="8" t="str">
        <f>IF(B1577="","",VLOOKUP(B1577,经纬!B:G,6,FALSE))</f>
        <v/>
      </c>
      <c r="F1577" s="8" t="str">
        <f>IF(B1577="","",VLOOKUP(B1577,小圆机汇总表!A:AP,5,FALSE))</f>
        <v/>
      </c>
      <c r="G1577" s="8" t="str">
        <f>IF(B1577="","",VLOOKUP(B1577,小圆机汇总表!A:AP,8,FALSE))</f>
        <v/>
      </c>
      <c r="P1577" s="8" t="str">
        <f t="shared" si="81"/>
        <v/>
      </c>
      <c r="R1577" s="250" t="str">
        <f t="shared" si="80"/>
        <v/>
      </c>
    </row>
    <row r="1578" spans="1:18">
      <c r="A1578" s="4">
        <v>1587</v>
      </c>
      <c r="C1578" s="8" t="str">
        <f>IF(B1578="","",VLOOKUP(B1578,经纬!B:C,2,FALSE))</f>
        <v/>
      </c>
      <c r="D1578" s="8" t="str">
        <f>IF(B1578="","",VLOOKUP(B1578,经纬!B:G,6,FALSE))</f>
        <v/>
      </c>
      <c r="F1578" s="8" t="str">
        <f>IF(B1578="","",VLOOKUP(B1578,小圆机汇总表!A:AP,5,FALSE))</f>
        <v/>
      </c>
      <c r="G1578" s="8" t="str">
        <f>IF(B1578="","",VLOOKUP(B1578,小圆机汇总表!A:AP,8,FALSE))</f>
        <v/>
      </c>
      <c r="P1578" s="8" t="str">
        <f t="shared" si="81"/>
        <v/>
      </c>
      <c r="R1578" s="250" t="str">
        <f t="shared" si="80"/>
        <v/>
      </c>
    </row>
    <row r="1579" spans="1:18">
      <c r="A1579" s="4">
        <v>1588</v>
      </c>
      <c r="C1579" s="8" t="str">
        <f>IF(B1579="","",VLOOKUP(B1579,经纬!B:C,2,FALSE))</f>
        <v/>
      </c>
      <c r="D1579" s="8" t="str">
        <f>IF(B1579="","",VLOOKUP(B1579,经纬!B:G,6,FALSE))</f>
        <v/>
      </c>
      <c r="F1579" s="8" t="str">
        <f>IF(B1579="","",VLOOKUP(B1579,小圆机汇总表!A:AP,5,FALSE))</f>
        <v/>
      </c>
      <c r="G1579" s="8" t="str">
        <f>IF(B1579="","",VLOOKUP(B1579,小圆机汇总表!A:AP,8,FALSE))</f>
        <v/>
      </c>
      <c r="P1579" s="8" t="str">
        <f t="shared" si="81"/>
        <v/>
      </c>
      <c r="R1579" s="250" t="str">
        <f t="shared" si="80"/>
        <v/>
      </c>
    </row>
    <row r="1580" spans="1:18">
      <c r="A1580" s="4">
        <v>1589</v>
      </c>
      <c r="C1580" s="8" t="str">
        <f>IF(B1580="","",VLOOKUP(B1580,经纬!B:C,2,FALSE))</f>
        <v/>
      </c>
      <c r="D1580" s="8" t="str">
        <f>IF(B1580="","",VLOOKUP(B1580,经纬!B:G,6,FALSE))</f>
        <v/>
      </c>
      <c r="F1580" s="8" t="str">
        <f>IF(B1580="","",VLOOKUP(B1580,小圆机汇总表!A:AP,5,FALSE))</f>
        <v/>
      </c>
      <c r="G1580" s="8" t="str">
        <f>IF(B1580="","",VLOOKUP(B1580,小圆机汇总表!A:AP,8,FALSE))</f>
        <v/>
      </c>
      <c r="P1580" s="8" t="str">
        <f t="shared" si="81"/>
        <v/>
      </c>
      <c r="R1580" s="250" t="str">
        <f t="shared" si="80"/>
        <v/>
      </c>
    </row>
    <row r="1581" spans="1:18">
      <c r="A1581" s="4">
        <v>1590</v>
      </c>
      <c r="C1581" s="8" t="str">
        <f>IF(B1581="","",VLOOKUP(B1581,经纬!B:C,2,FALSE))</f>
        <v/>
      </c>
      <c r="D1581" s="8" t="str">
        <f>IF(B1581="","",VLOOKUP(B1581,经纬!B:G,6,FALSE))</f>
        <v/>
      </c>
      <c r="F1581" s="8" t="str">
        <f>IF(B1581="","",VLOOKUP(B1581,小圆机汇总表!A:AP,5,FALSE))</f>
        <v/>
      </c>
      <c r="G1581" s="8" t="str">
        <f>IF(B1581="","",VLOOKUP(B1581,小圆机汇总表!A:AP,8,FALSE))</f>
        <v/>
      </c>
      <c r="P1581" s="8" t="str">
        <f t="shared" si="81"/>
        <v/>
      </c>
      <c r="R1581" s="250" t="str">
        <f t="shared" si="80"/>
        <v/>
      </c>
    </row>
    <row r="1582" spans="1:18">
      <c r="A1582" s="4">
        <v>1591</v>
      </c>
      <c r="C1582" s="8" t="str">
        <f>IF(B1582="","",VLOOKUP(B1582,经纬!B:C,2,FALSE))</f>
        <v/>
      </c>
      <c r="D1582" s="8" t="str">
        <f>IF(B1582="","",VLOOKUP(B1582,经纬!B:G,6,FALSE))</f>
        <v/>
      </c>
      <c r="F1582" s="8" t="str">
        <f>IF(B1582="","",VLOOKUP(B1582,小圆机汇总表!A:AP,5,FALSE))</f>
        <v/>
      </c>
      <c r="G1582" s="8" t="str">
        <f>IF(B1582="","",VLOOKUP(B1582,小圆机汇总表!A:AP,8,FALSE))</f>
        <v/>
      </c>
      <c r="P1582" s="8" t="str">
        <f t="shared" si="81"/>
        <v/>
      </c>
      <c r="R1582" s="250" t="str">
        <f t="shared" si="80"/>
        <v/>
      </c>
    </row>
    <row r="1583" spans="1:18">
      <c r="A1583" s="4">
        <v>1592</v>
      </c>
      <c r="C1583" s="8" t="str">
        <f>IF(B1583="","",VLOOKUP(B1583,经纬!B:C,2,FALSE))</f>
        <v/>
      </c>
      <c r="D1583" s="8" t="str">
        <f>IF(B1583="","",VLOOKUP(B1583,经纬!B:G,6,FALSE))</f>
        <v/>
      </c>
      <c r="F1583" s="8" t="str">
        <f>IF(B1583="","",VLOOKUP(B1583,小圆机汇总表!A:AP,5,FALSE))</f>
        <v/>
      </c>
      <c r="G1583" s="8" t="str">
        <f>IF(B1583="","",VLOOKUP(B1583,小圆机汇总表!A:AP,8,FALSE))</f>
        <v/>
      </c>
      <c r="P1583" s="8" t="str">
        <f t="shared" si="81"/>
        <v/>
      </c>
      <c r="R1583" s="250" t="str">
        <f t="shared" si="80"/>
        <v/>
      </c>
    </row>
    <row r="1584" spans="1:18">
      <c r="A1584" s="4">
        <v>1593</v>
      </c>
      <c r="C1584" s="8" t="str">
        <f>IF(B1584="","",VLOOKUP(B1584,经纬!B:C,2,FALSE))</f>
        <v/>
      </c>
      <c r="D1584" s="8" t="str">
        <f>IF(B1584="","",VLOOKUP(B1584,经纬!B:G,6,FALSE))</f>
        <v/>
      </c>
      <c r="F1584" s="8" t="str">
        <f>IF(B1584="","",VLOOKUP(B1584,小圆机汇总表!A:AP,5,FALSE))</f>
        <v/>
      </c>
      <c r="G1584" s="8" t="str">
        <f>IF(B1584="","",VLOOKUP(B1584,小圆机汇总表!A:AP,8,FALSE))</f>
        <v/>
      </c>
      <c r="P1584" s="8" t="str">
        <f t="shared" si="81"/>
        <v/>
      </c>
      <c r="R1584" s="250" t="str">
        <f t="shared" si="80"/>
        <v/>
      </c>
    </row>
    <row r="1585" spans="1:18">
      <c r="A1585" s="4">
        <v>1594</v>
      </c>
      <c r="C1585" s="8" t="str">
        <f>IF(B1585="","",VLOOKUP(B1585,经纬!B:C,2,FALSE))</f>
        <v/>
      </c>
      <c r="D1585" s="8" t="str">
        <f>IF(B1585="","",VLOOKUP(B1585,经纬!B:G,6,FALSE))</f>
        <v/>
      </c>
      <c r="F1585" s="8" t="str">
        <f>IF(B1585="","",VLOOKUP(B1585,小圆机汇总表!A:AP,5,FALSE))</f>
        <v/>
      </c>
      <c r="G1585" s="8" t="str">
        <f>IF(B1585="","",VLOOKUP(B1585,小圆机汇总表!A:AP,8,FALSE))</f>
        <v/>
      </c>
      <c r="P1585" s="8" t="str">
        <f t="shared" si="81"/>
        <v/>
      </c>
      <c r="R1585" s="250" t="str">
        <f t="shared" si="80"/>
        <v/>
      </c>
    </row>
    <row r="1586" spans="1:18">
      <c r="A1586" s="4">
        <v>1595</v>
      </c>
      <c r="C1586" s="8" t="str">
        <f>IF(B1586="","",VLOOKUP(B1586,经纬!B:C,2,FALSE))</f>
        <v/>
      </c>
      <c r="D1586" s="8" t="str">
        <f>IF(B1586="","",VLOOKUP(B1586,经纬!B:G,6,FALSE))</f>
        <v/>
      </c>
      <c r="F1586" s="8" t="str">
        <f>IF(B1586="","",VLOOKUP(B1586,小圆机汇总表!A:AP,5,FALSE))</f>
        <v/>
      </c>
      <c r="G1586" s="8" t="str">
        <f>IF(B1586="","",VLOOKUP(B1586,小圆机汇总表!A:AP,8,FALSE))</f>
        <v/>
      </c>
      <c r="P1586" s="8" t="str">
        <f t="shared" si="81"/>
        <v/>
      </c>
      <c r="R1586" s="250" t="str">
        <f t="shared" si="80"/>
        <v/>
      </c>
    </row>
    <row r="1587" spans="1:18">
      <c r="A1587" s="4">
        <v>1596</v>
      </c>
      <c r="C1587" s="8" t="str">
        <f>IF(B1587="","",VLOOKUP(B1587,经纬!B:C,2,FALSE))</f>
        <v/>
      </c>
      <c r="D1587" s="8" t="str">
        <f>IF(B1587="","",VLOOKUP(B1587,经纬!B:G,6,FALSE))</f>
        <v/>
      </c>
      <c r="F1587" s="8" t="str">
        <f>IF(B1587="","",VLOOKUP(B1587,小圆机汇总表!A:AP,5,FALSE))</f>
        <v/>
      </c>
      <c r="G1587" s="8" t="str">
        <f>IF(B1587="","",VLOOKUP(B1587,小圆机汇总表!A:AP,8,FALSE))</f>
        <v/>
      </c>
      <c r="P1587" s="8" t="str">
        <f t="shared" si="81"/>
        <v/>
      </c>
      <c r="R1587" s="250" t="str">
        <f t="shared" si="80"/>
        <v/>
      </c>
    </row>
    <row r="1588" spans="1:18">
      <c r="A1588" s="4">
        <v>1597</v>
      </c>
      <c r="C1588" s="8" t="str">
        <f>IF(B1588="","",VLOOKUP(B1588,经纬!B:C,2,FALSE))</f>
        <v/>
      </c>
      <c r="D1588" s="8" t="str">
        <f>IF(B1588="","",VLOOKUP(B1588,经纬!B:G,6,FALSE))</f>
        <v/>
      </c>
      <c r="F1588" s="8" t="str">
        <f>IF(B1588="","",VLOOKUP(B1588,小圆机汇总表!A:AP,5,FALSE))</f>
        <v/>
      </c>
      <c r="G1588" s="8" t="str">
        <f>IF(B1588="","",VLOOKUP(B1588,小圆机汇总表!A:AP,8,FALSE))</f>
        <v/>
      </c>
      <c r="P1588" s="8" t="str">
        <f t="shared" si="81"/>
        <v/>
      </c>
      <c r="R1588" s="250" t="str">
        <f t="shared" si="80"/>
        <v/>
      </c>
    </row>
    <row r="1589" spans="1:18">
      <c r="A1589" s="4">
        <v>1598</v>
      </c>
      <c r="C1589" s="8" t="str">
        <f>IF(B1589="","",VLOOKUP(B1589,经纬!B:C,2,FALSE))</f>
        <v/>
      </c>
      <c r="D1589" s="8" t="str">
        <f>IF(B1589="","",VLOOKUP(B1589,经纬!B:G,6,FALSE))</f>
        <v/>
      </c>
      <c r="F1589" s="8" t="str">
        <f>IF(B1589="","",VLOOKUP(B1589,小圆机汇总表!A:AP,5,FALSE))</f>
        <v/>
      </c>
      <c r="G1589" s="8" t="str">
        <f>IF(B1589="","",VLOOKUP(B1589,小圆机汇总表!A:AP,8,FALSE))</f>
        <v/>
      </c>
      <c r="P1589" s="8" t="str">
        <f t="shared" si="81"/>
        <v/>
      </c>
      <c r="R1589" s="250" t="str">
        <f t="shared" si="80"/>
        <v/>
      </c>
    </row>
    <row r="1590" spans="1:18">
      <c r="A1590" s="4">
        <v>1599</v>
      </c>
      <c r="C1590" s="8" t="str">
        <f>IF(B1590="","",VLOOKUP(B1590,经纬!B:C,2,FALSE))</f>
        <v/>
      </c>
      <c r="D1590" s="8" t="str">
        <f>IF(B1590="","",VLOOKUP(B1590,经纬!B:G,6,FALSE))</f>
        <v/>
      </c>
      <c r="F1590" s="8" t="str">
        <f>IF(B1590="","",VLOOKUP(B1590,小圆机汇总表!A:AP,5,FALSE))</f>
        <v/>
      </c>
      <c r="G1590" s="8" t="str">
        <f>IF(B1590="","",VLOOKUP(B1590,小圆机汇总表!A:AP,8,FALSE))</f>
        <v/>
      </c>
      <c r="P1590" s="8" t="str">
        <f t="shared" si="81"/>
        <v/>
      </c>
      <c r="R1590" s="250" t="str">
        <f t="shared" si="80"/>
        <v/>
      </c>
    </row>
    <row r="1591" spans="1:18">
      <c r="A1591" s="4">
        <v>1600</v>
      </c>
      <c r="C1591" s="8" t="str">
        <f>IF(B1591="","",VLOOKUP(B1591,经纬!B:C,2,FALSE))</f>
        <v/>
      </c>
      <c r="D1591" s="8" t="str">
        <f>IF(B1591="","",VLOOKUP(B1591,经纬!B:G,6,FALSE))</f>
        <v/>
      </c>
      <c r="F1591" s="8" t="str">
        <f>IF(B1591="","",VLOOKUP(B1591,小圆机汇总表!A:AP,5,FALSE))</f>
        <v/>
      </c>
      <c r="G1591" s="8" t="str">
        <f>IF(B1591="","",VLOOKUP(B1591,小圆机汇总表!A:AP,8,FALSE))</f>
        <v/>
      </c>
      <c r="P1591" s="8" t="str">
        <f t="shared" si="81"/>
        <v/>
      </c>
      <c r="R1591" s="250" t="str">
        <f t="shared" si="80"/>
        <v/>
      </c>
    </row>
    <row r="1592" spans="1:18">
      <c r="A1592" s="4">
        <v>1601</v>
      </c>
      <c r="C1592" s="8" t="str">
        <f>IF(B1592="","",VLOOKUP(B1592,经纬!B:C,2,FALSE))</f>
        <v/>
      </c>
      <c r="D1592" s="8" t="str">
        <f>IF(B1592="","",VLOOKUP(B1592,经纬!B:G,6,FALSE))</f>
        <v/>
      </c>
      <c r="F1592" s="8" t="str">
        <f>IF(B1592="","",VLOOKUP(B1592,小圆机汇总表!A:AP,5,FALSE))</f>
        <v/>
      </c>
      <c r="G1592" s="8" t="str">
        <f>IF(B1592="","",VLOOKUP(B1592,小圆机汇总表!A:AP,8,FALSE))</f>
        <v/>
      </c>
      <c r="P1592" s="8" t="str">
        <f t="shared" si="81"/>
        <v/>
      </c>
      <c r="R1592" s="250" t="str">
        <f t="shared" si="80"/>
        <v/>
      </c>
    </row>
    <row r="1593" spans="1:18">
      <c r="A1593" s="4">
        <v>1602</v>
      </c>
      <c r="C1593" s="8" t="str">
        <f>IF(B1593="","",VLOOKUP(B1593,经纬!B:C,2,FALSE))</f>
        <v/>
      </c>
      <c r="D1593" s="8" t="str">
        <f>IF(B1593="","",VLOOKUP(B1593,经纬!B:G,6,FALSE))</f>
        <v/>
      </c>
      <c r="F1593" s="8" t="str">
        <f>IF(B1593="","",VLOOKUP(B1593,小圆机汇总表!A:AP,5,FALSE))</f>
        <v/>
      </c>
      <c r="G1593" s="8" t="str">
        <f>IF(B1593="","",VLOOKUP(B1593,小圆机汇总表!A:AP,8,FALSE))</f>
        <v/>
      </c>
      <c r="P1593" s="8" t="str">
        <f t="shared" si="81"/>
        <v/>
      </c>
      <c r="R1593" s="250" t="str">
        <f t="shared" si="80"/>
        <v/>
      </c>
    </row>
    <row r="1594" spans="1:18">
      <c r="A1594" s="4">
        <v>1603</v>
      </c>
      <c r="C1594" s="8" t="str">
        <f>IF(B1594="","",VLOOKUP(B1594,经纬!B:C,2,FALSE))</f>
        <v/>
      </c>
      <c r="D1594" s="8" t="str">
        <f>IF(B1594="","",VLOOKUP(B1594,经纬!B:G,6,FALSE))</f>
        <v/>
      </c>
      <c r="F1594" s="8" t="str">
        <f>IF(B1594="","",VLOOKUP(B1594,小圆机汇总表!A:AP,5,FALSE))</f>
        <v/>
      </c>
      <c r="G1594" s="8" t="str">
        <f>IF(B1594="","",VLOOKUP(B1594,小圆机汇总表!A:AP,8,FALSE))</f>
        <v/>
      </c>
      <c r="P1594" s="8" t="str">
        <f t="shared" si="81"/>
        <v/>
      </c>
      <c r="R1594" s="250" t="str">
        <f t="shared" si="80"/>
        <v/>
      </c>
    </row>
    <row r="1595" spans="1:18">
      <c r="A1595" s="4">
        <v>1604</v>
      </c>
      <c r="C1595" s="8" t="str">
        <f>IF(B1595="","",VLOOKUP(B1595,经纬!B:C,2,FALSE))</f>
        <v/>
      </c>
      <c r="D1595" s="8" t="str">
        <f>IF(B1595="","",VLOOKUP(B1595,经纬!B:G,6,FALSE))</f>
        <v/>
      </c>
      <c r="F1595" s="8" t="str">
        <f>IF(B1595="","",VLOOKUP(B1595,小圆机汇总表!A:AP,5,FALSE))</f>
        <v/>
      </c>
      <c r="G1595" s="8" t="str">
        <f>IF(B1595="","",VLOOKUP(B1595,小圆机汇总表!A:AP,8,FALSE))</f>
        <v/>
      </c>
      <c r="P1595" s="8" t="str">
        <f t="shared" si="81"/>
        <v/>
      </c>
      <c r="R1595" s="250" t="str">
        <f t="shared" si="80"/>
        <v/>
      </c>
    </row>
    <row r="1596" spans="1:18">
      <c r="A1596" s="4">
        <v>1605</v>
      </c>
      <c r="C1596" s="8" t="str">
        <f>IF(B1596="","",VLOOKUP(B1596,经纬!B:C,2,FALSE))</f>
        <v/>
      </c>
      <c r="D1596" s="8" t="str">
        <f>IF(B1596="","",VLOOKUP(B1596,经纬!B:G,6,FALSE))</f>
        <v/>
      </c>
      <c r="F1596" s="8" t="str">
        <f>IF(B1596="","",VLOOKUP(B1596,小圆机汇总表!A:AP,5,FALSE))</f>
        <v/>
      </c>
      <c r="G1596" s="8" t="str">
        <f>IF(B1596="","",VLOOKUP(B1596,小圆机汇总表!A:AP,8,FALSE))</f>
        <v/>
      </c>
      <c r="P1596" s="8" t="str">
        <f t="shared" si="81"/>
        <v/>
      </c>
      <c r="R1596" s="250" t="str">
        <f t="shared" si="80"/>
        <v/>
      </c>
    </row>
    <row r="1597" spans="1:18">
      <c r="A1597" s="4">
        <v>1606</v>
      </c>
      <c r="C1597" s="8" t="str">
        <f>IF(B1597="","",VLOOKUP(B1597,经纬!B:C,2,FALSE))</f>
        <v/>
      </c>
      <c r="D1597" s="8" t="str">
        <f>IF(B1597="","",VLOOKUP(B1597,经纬!B:G,6,FALSE))</f>
        <v/>
      </c>
      <c r="F1597" s="8" t="str">
        <f>IF(B1597="","",VLOOKUP(B1597,小圆机汇总表!A:AP,5,FALSE))</f>
        <v/>
      </c>
      <c r="G1597" s="8" t="str">
        <f>IF(B1597="","",VLOOKUP(B1597,小圆机汇总表!A:AP,8,FALSE))</f>
        <v/>
      </c>
      <c r="P1597" s="8" t="str">
        <f t="shared" si="81"/>
        <v/>
      </c>
      <c r="R1597" s="250" t="str">
        <f t="shared" si="80"/>
        <v/>
      </c>
    </row>
    <row r="1598" spans="1:18">
      <c r="A1598" s="4">
        <v>1607</v>
      </c>
      <c r="C1598" s="8" t="str">
        <f>IF(B1598="","",VLOOKUP(B1598,经纬!B:C,2,FALSE))</f>
        <v/>
      </c>
      <c r="D1598" s="8" t="str">
        <f>IF(B1598="","",VLOOKUP(B1598,经纬!B:G,6,FALSE))</f>
        <v/>
      </c>
      <c r="F1598" s="8" t="str">
        <f>IF(B1598="","",VLOOKUP(B1598,小圆机汇总表!A:AP,5,FALSE))</f>
        <v/>
      </c>
      <c r="G1598" s="8" t="str">
        <f>IF(B1598="","",VLOOKUP(B1598,小圆机汇总表!A:AP,8,FALSE))</f>
        <v/>
      </c>
      <c r="P1598" s="8" t="str">
        <f t="shared" si="81"/>
        <v/>
      </c>
      <c r="R1598" s="250" t="str">
        <f t="shared" si="80"/>
        <v/>
      </c>
    </row>
    <row r="1599" spans="1:18">
      <c r="A1599" s="4">
        <v>1608</v>
      </c>
      <c r="C1599" s="8" t="str">
        <f>IF(B1599="","",VLOOKUP(B1599,经纬!B:C,2,FALSE))</f>
        <v/>
      </c>
      <c r="D1599" s="8" t="str">
        <f>IF(B1599="","",VLOOKUP(B1599,经纬!B:G,6,FALSE))</f>
        <v/>
      </c>
      <c r="F1599" s="8" t="str">
        <f>IF(B1599="","",VLOOKUP(B1599,小圆机汇总表!A:AP,5,FALSE))</f>
        <v/>
      </c>
      <c r="G1599" s="8" t="str">
        <f>IF(B1599="","",VLOOKUP(B1599,小圆机汇总表!A:AP,8,FALSE))</f>
        <v/>
      </c>
      <c r="P1599" s="8" t="str">
        <f t="shared" si="81"/>
        <v/>
      </c>
      <c r="R1599" s="250" t="str">
        <f t="shared" si="80"/>
        <v/>
      </c>
    </row>
    <row r="1600" spans="1:18">
      <c r="A1600" s="4">
        <v>1609</v>
      </c>
      <c r="C1600" s="8" t="str">
        <f>IF(B1600="","",VLOOKUP(B1600,经纬!B:C,2,FALSE))</f>
        <v/>
      </c>
      <c r="D1600" s="8" t="str">
        <f>IF(B1600="","",VLOOKUP(B1600,经纬!B:G,6,FALSE))</f>
        <v/>
      </c>
      <c r="F1600" s="8" t="str">
        <f>IF(B1600="","",VLOOKUP(B1600,小圆机汇总表!A:AP,5,FALSE))</f>
        <v/>
      </c>
      <c r="G1600" s="8" t="str">
        <f>IF(B1600="","",VLOOKUP(B1600,小圆机汇总表!A:AP,8,FALSE))</f>
        <v/>
      </c>
      <c r="P1600" s="8" t="str">
        <f t="shared" si="81"/>
        <v/>
      </c>
      <c r="R1600" s="250" t="str">
        <f t="shared" si="80"/>
        <v/>
      </c>
    </row>
    <row r="1601" spans="1:18">
      <c r="A1601" s="4">
        <v>1610</v>
      </c>
      <c r="C1601" s="8" t="str">
        <f>IF(B1601="","",VLOOKUP(B1601,经纬!B:C,2,FALSE))</f>
        <v/>
      </c>
      <c r="D1601" s="8" t="str">
        <f>IF(B1601="","",VLOOKUP(B1601,经纬!B:G,6,FALSE))</f>
        <v/>
      </c>
      <c r="F1601" s="8" t="str">
        <f>IF(B1601="","",VLOOKUP(B1601,小圆机汇总表!A:AP,5,FALSE))</f>
        <v/>
      </c>
      <c r="G1601" s="8" t="str">
        <f>IF(B1601="","",VLOOKUP(B1601,小圆机汇总表!A:AP,8,FALSE))</f>
        <v/>
      </c>
      <c r="P1601" s="8" t="str">
        <f t="shared" si="81"/>
        <v/>
      </c>
      <c r="R1601" s="250" t="str">
        <f t="shared" si="80"/>
        <v/>
      </c>
    </row>
    <row r="1602" spans="1:18">
      <c r="A1602" s="4">
        <v>1611</v>
      </c>
      <c r="C1602" s="8" t="str">
        <f>IF(B1602="","",VLOOKUP(B1602,经纬!B:C,2,FALSE))</f>
        <v/>
      </c>
      <c r="D1602" s="8" t="str">
        <f>IF(B1602="","",VLOOKUP(B1602,经纬!B:G,6,FALSE))</f>
        <v/>
      </c>
      <c r="F1602" s="8" t="str">
        <f>IF(B1602="","",VLOOKUP(B1602,小圆机汇总表!A:AP,5,FALSE))</f>
        <v/>
      </c>
      <c r="G1602" s="8" t="str">
        <f>IF(B1602="","",VLOOKUP(B1602,小圆机汇总表!A:AP,8,FALSE))</f>
        <v/>
      </c>
      <c r="P1602" s="8" t="str">
        <f t="shared" si="81"/>
        <v/>
      </c>
      <c r="R1602" s="250" t="str">
        <f t="shared" si="80"/>
        <v/>
      </c>
    </row>
    <row r="1603" spans="1:18">
      <c r="A1603" s="4">
        <v>1612</v>
      </c>
      <c r="C1603" s="8" t="str">
        <f>IF(B1603="","",VLOOKUP(B1603,经纬!B:C,2,FALSE))</f>
        <v/>
      </c>
      <c r="D1603" s="8" t="str">
        <f>IF(B1603="","",VLOOKUP(B1603,经纬!B:G,6,FALSE))</f>
        <v/>
      </c>
      <c r="F1603" s="8" t="str">
        <f>IF(B1603="","",VLOOKUP(B1603,小圆机汇总表!A:AP,5,FALSE))</f>
        <v/>
      </c>
      <c r="G1603" s="8" t="str">
        <f>IF(B1603="","",VLOOKUP(B1603,小圆机汇总表!A:AP,8,FALSE))</f>
        <v/>
      </c>
      <c r="P1603" s="8" t="str">
        <f t="shared" si="81"/>
        <v/>
      </c>
      <c r="R1603" s="250" t="str">
        <f t="shared" ref="R1603:R1666" si="82">IF(B1603="","",MONTH(I1603))</f>
        <v/>
      </c>
    </row>
    <row r="1604" spans="1:18">
      <c r="A1604" s="4">
        <v>1613</v>
      </c>
      <c r="C1604" s="8" t="str">
        <f>IF(B1604="","",VLOOKUP(B1604,经纬!B:C,2,FALSE))</f>
        <v/>
      </c>
      <c r="D1604" s="8" t="str">
        <f>IF(B1604="","",VLOOKUP(B1604,经纬!B:G,6,FALSE))</f>
        <v/>
      </c>
      <c r="F1604" s="8" t="str">
        <f>IF(B1604="","",VLOOKUP(B1604,小圆机汇总表!A:AP,5,FALSE))</f>
        <v/>
      </c>
      <c r="G1604" s="8" t="str">
        <f>IF(B1604="","",VLOOKUP(B1604,小圆机汇总表!A:AP,8,FALSE))</f>
        <v/>
      </c>
      <c r="P1604" s="8" t="str">
        <f t="shared" si="81"/>
        <v/>
      </c>
      <c r="R1604" s="250" t="str">
        <f t="shared" si="82"/>
        <v/>
      </c>
    </row>
    <row r="1605" spans="1:18">
      <c r="A1605" s="4">
        <v>1614</v>
      </c>
      <c r="C1605" s="8" t="str">
        <f>IF(B1605="","",VLOOKUP(B1605,经纬!B:C,2,FALSE))</f>
        <v/>
      </c>
      <c r="D1605" s="8" t="str">
        <f>IF(B1605="","",VLOOKUP(B1605,经纬!B:G,6,FALSE))</f>
        <v/>
      </c>
      <c r="F1605" s="8" t="str">
        <f>IF(B1605="","",VLOOKUP(B1605,小圆机汇总表!A:AP,5,FALSE))</f>
        <v/>
      </c>
      <c r="G1605" s="8" t="str">
        <f>IF(B1605="","",VLOOKUP(B1605,小圆机汇总表!A:AP,8,FALSE))</f>
        <v/>
      </c>
      <c r="P1605" s="8" t="str">
        <f t="shared" si="81"/>
        <v/>
      </c>
      <c r="R1605" s="250" t="str">
        <f t="shared" si="82"/>
        <v/>
      </c>
    </row>
    <row r="1606" spans="1:18">
      <c r="A1606" s="4">
        <v>1615</v>
      </c>
      <c r="C1606" s="8" t="str">
        <f>IF(B1606="","",VLOOKUP(B1606,经纬!B:C,2,FALSE))</f>
        <v/>
      </c>
      <c r="D1606" s="8" t="str">
        <f>IF(B1606="","",VLOOKUP(B1606,经纬!B:G,6,FALSE))</f>
        <v/>
      </c>
      <c r="F1606" s="8" t="str">
        <f>IF(B1606="","",VLOOKUP(B1606,小圆机汇总表!A:AP,5,FALSE))</f>
        <v/>
      </c>
      <c r="G1606" s="8" t="str">
        <f>IF(B1606="","",VLOOKUP(B1606,小圆机汇总表!A:AP,8,FALSE))</f>
        <v/>
      </c>
      <c r="P1606" s="8" t="str">
        <f t="shared" si="81"/>
        <v/>
      </c>
      <c r="R1606" s="250" t="str">
        <f t="shared" si="82"/>
        <v/>
      </c>
    </row>
    <row r="1607" spans="1:18">
      <c r="A1607" s="4">
        <v>1616</v>
      </c>
      <c r="C1607" s="8" t="str">
        <f>IF(B1607="","",VLOOKUP(B1607,经纬!B:C,2,FALSE))</f>
        <v/>
      </c>
      <c r="D1607" s="8" t="str">
        <f>IF(B1607="","",VLOOKUP(B1607,经纬!B:G,6,FALSE))</f>
        <v/>
      </c>
      <c r="F1607" s="8" t="str">
        <f>IF(B1607="","",VLOOKUP(B1607,小圆机汇总表!A:AP,5,FALSE))</f>
        <v/>
      </c>
      <c r="G1607" s="8" t="str">
        <f>IF(B1607="","",VLOOKUP(B1607,小圆机汇总表!A:AP,8,FALSE))</f>
        <v/>
      </c>
      <c r="P1607" s="8" t="str">
        <f t="shared" si="81"/>
        <v/>
      </c>
      <c r="R1607" s="250" t="str">
        <f t="shared" si="82"/>
        <v/>
      </c>
    </row>
    <row r="1608" spans="1:18">
      <c r="A1608" s="4">
        <v>1617</v>
      </c>
      <c r="C1608" s="8" t="str">
        <f>IF(B1608="","",VLOOKUP(B1608,经纬!B:C,2,FALSE))</f>
        <v/>
      </c>
      <c r="D1608" s="8" t="str">
        <f>IF(B1608="","",VLOOKUP(B1608,经纬!B:G,6,FALSE))</f>
        <v/>
      </c>
      <c r="F1608" s="8" t="str">
        <f>IF(B1608="","",VLOOKUP(B1608,小圆机汇总表!A:AP,5,FALSE))</f>
        <v/>
      </c>
      <c r="G1608" s="8" t="str">
        <f>IF(B1608="","",VLOOKUP(B1608,小圆机汇总表!A:AP,8,FALSE))</f>
        <v/>
      </c>
      <c r="P1608" s="8" t="str">
        <f t="shared" si="81"/>
        <v/>
      </c>
      <c r="R1608" s="250" t="str">
        <f t="shared" si="82"/>
        <v/>
      </c>
    </row>
    <row r="1609" spans="1:18">
      <c r="A1609" s="4">
        <v>1618</v>
      </c>
      <c r="C1609" s="8" t="str">
        <f>IF(B1609="","",VLOOKUP(B1609,经纬!B:C,2,FALSE))</f>
        <v/>
      </c>
      <c r="D1609" s="8" t="str">
        <f>IF(B1609="","",VLOOKUP(B1609,经纬!B:G,6,FALSE))</f>
        <v/>
      </c>
      <c r="F1609" s="8" t="str">
        <f>IF(B1609="","",VLOOKUP(B1609,小圆机汇总表!A:AP,5,FALSE))</f>
        <v/>
      </c>
      <c r="G1609" s="8" t="str">
        <f>IF(B1609="","",VLOOKUP(B1609,小圆机汇总表!A:AP,8,FALSE))</f>
        <v/>
      </c>
      <c r="P1609" s="8" t="str">
        <f t="shared" si="81"/>
        <v/>
      </c>
      <c r="R1609" s="250" t="str">
        <f t="shared" si="82"/>
        <v/>
      </c>
    </row>
    <row r="1610" spans="1:18">
      <c r="A1610" s="4">
        <v>1619</v>
      </c>
      <c r="C1610" s="8" t="str">
        <f>IF(B1610="","",VLOOKUP(B1610,经纬!B:C,2,FALSE))</f>
        <v/>
      </c>
      <c r="D1610" s="8" t="str">
        <f>IF(B1610="","",VLOOKUP(B1610,经纬!B:G,6,FALSE))</f>
        <v/>
      </c>
      <c r="F1610" s="8" t="str">
        <f>IF(B1610="","",VLOOKUP(B1610,小圆机汇总表!A:AP,5,FALSE))</f>
        <v/>
      </c>
      <c r="G1610" s="8" t="str">
        <f>IF(B1610="","",VLOOKUP(B1610,小圆机汇总表!A:AP,8,FALSE))</f>
        <v/>
      </c>
      <c r="P1610" s="8" t="str">
        <f t="shared" si="81"/>
        <v/>
      </c>
      <c r="R1610" s="250" t="str">
        <f t="shared" si="82"/>
        <v/>
      </c>
    </row>
    <row r="1611" spans="1:18">
      <c r="A1611" s="4">
        <v>1620</v>
      </c>
      <c r="C1611" s="8" t="str">
        <f>IF(B1611="","",VLOOKUP(B1611,经纬!B:C,2,FALSE))</f>
        <v/>
      </c>
      <c r="D1611" s="8" t="str">
        <f>IF(B1611="","",VLOOKUP(B1611,经纬!B:G,6,FALSE))</f>
        <v/>
      </c>
      <c r="F1611" s="8" t="str">
        <f>IF(B1611="","",VLOOKUP(B1611,小圆机汇总表!A:AP,5,FALSE))</f>
        <v/>
      </c>
      <c r="G1611" s="8" t="str">
        <f>IF(B1611="","",VLOOKUP(B1611,小圆机汇总表!A:AP,8,FALSE))</f>
        <v/>
      </c>
      <c r="P1611" s="8" t="str">
        <f t="shared" si="81"/>
        <v/>
      </c>
      <c r="R1611" s="250" t="str">
        <f t="shared" si="82"/>
        <v/>
      </c>
    </row>
    <row r="1612" spans="1:18">
      <c r="A1612" s="4">
        <v>1621</v>
      </c>
      <c r="C1612" s="8" t="str">
        <f>IF(B1612="","",VLOOKUP(B1612,经纬!B:C,2,FALSE))</f>
        <v/>
      </c>
      <c r="D1612" s="8" t="str">
        <f>IF(B1612="","",VLOOKUP(B1612,经纬!B:G,6,FALSE))</f>
        <v/>
      </c>
      <c r="F1612" s="8" t="str">
        <f>IF(B1612="","",VLOOKUP(B1612,小圆机汇总表!A:AP,5,FALSE))</f>
        <v/>
      </c>
      <c r="G1612" s="8" t="str">
        <f>IF(B1612="","",VLOOKUP(B1612,小圆机汇总表!A:AP,8,FALSE))</f>
        <v/>
      </c>
      <c r="P1612" s="8" t="str">
        <f t="shared" si="81"/>
        <v/>
      </c>
      <c r="R1612" s="250" t="str">
        <f t="shared" si="82"/>
        <v/>
      </c>
    </row>
    <row r="1613" spans="1:18">
      <c r="A1613" s="4">
        <v>1622</v>
      </c>
      <c r="C1613" s="8" t="str">
        <f>IF(B1613="","",VLOOKUP(B1613,经纬!B:C,2,FALSE))</f>
        <v/>
      </c>
      <c r="D1613" s="8" t="str">
        <f>IF(B1613="","",VLOOKUP(B1613,经纬!B:G,6,FALSE))</f>
        <v/>
      </c>
      <c r="F1613" s="8" t="str">
        <f>IF(B1613="","",VLOOKUP(B1613,小圆机汇总表!A:AP,5,FALSE))</f>
        <v/>
      </c>
      <c r="G1613" s="8" t="str">
        <f>IF(B1613="","",VLOOKUP(B1613,小圆机汇总表!A:AP,8,FALSE))</f>
        <v/>
      </c>
      <c r="P1613" s="8" t="str">
        <f t="shared" si="81"/>
        <v/>
      </c>
      <c r="R1613" s="250" t="str">
        <f t="shared" si="82"/>
        <v/>
      </c>
    </row>
    <row r="1614" spans="1:18">
      <c r="A1614" s="4">
        <v>1623</v>
      </c>
      <c r="C1614" s="8" t="str">
        <f>IF(B1614="","",VLOOKUP(B1614,经纬!B:C,2,FALSE))</f>
        <v/>
      </c>
      <c r="D1614" s="8" t="str">
        <f>IF(B1614="","",VLOOKUP(B1614,经纬!B:G,6,FALSE))</f>
        <v/>
      </c>
      <c r="F1614" s="8" t="str">
        <f>IF(B1614="","",VLOOKUP(B1614,小圆机汇总表!A:AP,5,FALSE))</f>
        <v/>
      </c>
      <c r="G1614" s="8" t="str">
        <f>IF(B1614="","",VLOOKUP(B1614,小圆机汇总表!A:AP,8,FALSE))</f>
        <v/>
      </c>
      <c r="P1614" s="8" t="str">
        <f t="shared" si="81"/>
        <v/>
      </c>
      <c r="R1614" s="250" t="str">
        <f t="shared" si="82"/>
        <v/>
      </c>
    </row>
    <row r="1615" spans="1:18">
      <c r="A1615" s="4">
        <v>1624</v>
      </c>
      <c r="C1615" s="8" t="str">
        <f>IF(B1615="","",VLOOKUP(B1615,经纬!B:C,2,FALSE))</f>
        <v/>
      </c>
      <c r="D1615" s="8" t="str">
        <f>IF(B1615="","",VLOOKUP(B1615,经纬!B:G,6,FALSE))</f>
        <v/>
      </c>
      <c r="F1615" s="8" t="str">
        <f>IF(B1615="","",VLOOKUP(B1615,小圆机汇总表!A:AP,5,FALSE))</f>
        <v/>
      </c>
      <c r="G1615" s="8" t="str">
        <f>IF(B1615="","",VLOOKUP(B1615,小圆机汇总表!A:AP,8,FALSE))</f>
        <v/>
      </c>
      <c r="P1615" s="8" t="str">
        <f t="shared" si="81"/>
        <v/>
      </c>
      <c r="R1615" s="250" t="str">
        <f t="shared" si="82"/>
        <v/>
      </c>
    </row>
    <row r="1616" spans="1:18">
      <c r="A1616" s="4">
        <v>1625</v>
      </c>
      <c r="C1616" s="8" t="str">
        <f>IF(B1616="","",VLOOKUP(B1616,经纬!B:C,2,FALSE))</f>
        <v/>
      </c>
      <c r="D1616" s="8" t="str">
        <f>IF(B1616="","",VLOOKUP(B1616,经纬!B:G,6,FALSE))</f>
        <v/>
      </c>
      <c r="F1616" s="8" t="str">
        <f>IF(B1616="","",VLOOKUP(B1616,小圆机汇总表!A:AP,5,FALSE))</f>
        <v/>
      </c>
      <c r="G1616" s="8" t="str">
        <f>IF(B1616="","",VLOOKUP(B1616,小圆机汇总表!A:AP,8,FALSE))</f>
        <v/>
      </c>
      <c r="P1616" s="8" t="str">
        <f t="shared" si="81"/>
        <v/>
      </c>
      <c r="R1616" s="250" t="str">
        <f t="shared" si="82"/>
        <v/>
      </c>
    </row>
    <row r="1617" spans="1:18">
      <c r="A1617" s="4">
        <v>1626</v>
      </c>
      <c r="C1617" s="8" t="str">
        <f>IF(B1617="","",VLOOKUP(B1617,经纬!B:C,2,FALSE))</f>
        <v/>
      </c>
      <c r="D1617" s="8" t="str">
        <f>IF(B1617="","",VLOOKUP(B1617,经纬!B:G,6,FALSE))</f>
        <v/>
      </c>
      <c r="F1617" s="8" t="str">
        <f>IF(B1617="","",VLOOKUP(B1617,小圆机汇总表!A:AP,5,FALSE))</f>
        <v/>
      </c>
      <c r="G1617" s="8" t="str">
        <f>IF(B1617="","",VLOOKUP(B1617,小圆机汇总表!A:AP,8,FALSE))</f>
        <v/>
      </c>
      <c r="P1617" s="8" t="str">
        <f t="shared" si="81"/>
        <v/>
      </c>
      <c r="R1617" s="250" t="str">
        <f t="shared" si="82"/>
        <v/>
      </c>
    </row>
    <row r="1618" spans="1:18">
      <c r="A1618" s="4">
        <v>1627</v>
      </c>
      <c r="C1618" s="8" t="str">
        <f>IF(B1618="","",VLOOKUP(B1618,经纬!B:C,2,FALSE))</f>
        <v/>
      </c>
      <c r="D1618" s="8" t="str">
        <f>IF(B1618="","",VLOOKUP(B1618,经纬!B:G,6,FALSE))</f>
        <v/>
      </c>
      <c r="F1618" s="8" t="str">
        <f>IF(B1618="","",VLOOKUP(B1618,小圆机汇总表!A:AP,5,FALSE))</f>
        <v/>
      </c>
      <c r="G1618" s="8" t="str">
        <f>IF(B1618="","",VLOOKUP(B1618,小圆机汇总表!A:AP,8,FALSE))</f>
        <v/>
      </c>
      <c r="P1618" s="8" t="str">
        <f t="shared" si="81"/>
        <v/>
      </c>
      <c r="R1618" s="250" t="str">
        <f t="shared" si="82"/>
        <v/>
      </c>
    </row>
    <row r="1619" spans="1:18">
      <c r="A1619" s="4">
        <v>1628</v>
      </c>
      <c r="C1619" s="8" t="str">
        <f>IF(B1619="","",VLOOKUP(B1619,经纬!B:C,2,FALSE))</f>
        <v/>
      </c>
      <c r="D1619" s="8" t="str">
        <f>IF(B1619="","",VLOOKUP(B1619,经纬!B:G,6,FALSE))</f>
        <v/>
      </c>
      <c r="F1619" s="8" t="str">
        <f>IF(B1619="","",VLOOKUP(B1619,小圆机汇总表!A:AP,5,FALSE))</f>
        <v/>
      </c>
      <c r="G1619" s="8" t="str">
        <f>IF(B1619="","",VLOOKUP(B1619,小圆机汇总表!A:AP,8,FALSE))</f>
        <v/>
      </c>
      <c r="P1619" s="8" t="str">
        <f t="shared" si="81"/>
        <v/>
      </c>
      <c r="R1619" s="250" t="str">
        <f t="shared" si="82"/>
        <v/>
      </c>
    </row>
    <row r="1620" spans="1:18">
      <c r="A1620" s="4">
        <v>1629</v>
      </c>
      <c r="C1620" s="8" t="str">
        <f>IF(B1620="","",VLOOKUP(B1620,经纬!B:C,2,FALSE))</f>
        <v/>
      </c>
      <c r="D1620" s="8" t="str">
        <f>IF(B1620="","",VLOOKUP(B1620,经纬!B:G,6,FALSE))</f>
        <v/>
      </c>
      <c r="F1620" s="8" t="str">
        <f>IF(B1620="","",VLOOKUP(B1620,小圆机汇总表!A:AP,5,FALSE))</f>
        <v/>
      </c>
      <c r="G1620" s="8" t="str">
        <f>IF(B1620="","",VLOOKUP(B1620,小圆机汇总表!A:AP,8,FALSE))</f>
        <v/>
      </c>
      <c r="P1620" s="8" t="str">
        <f t="shared" si="81"/>
        <v/>
      </c>
      <c r="R1620" s="250" t="str">
        <f t="shared" si="82"/>
        <v/>
      </c>
    </row>
    <row r="1621" spans="1:18">
      <c r="A1621" s="4">
        <v>1630</v>
      </c>
      <c r="C1621" s="8" t="str">
        <f>IF(B1621="","",VLOOKUP(B1621,经纬!B:C,2,FALSE))</f>
        <v/>
      </c>
      <c r="D1621" s="8" t="str">
        <f>IF(B1621="","",VLOOKUP(B1621,经纬!B:G,6,FALSE))</f>
        <v/>
      </c>
      <c r="F1621" s="8" t="str">
        <f>IF(B1621="","",VLOOKUP(B1621,小圆机汇总表!A:AP,5,FALSE))</f>
        <v/>
      </c>
      <c r="G1621" s="8" t="str">
        <f>IF(B1621="","",VLOOKUP(B1621,小圆机汇总表!A:AP,8,FALSE))</f>
        <v/>
      </c>
      <c r="P1621" s="8" t="str">
        <f t="shared" si="81"/>
        <v/>
      </c>
      <c r="R1621" s="250" t="str">
        <f t="shared" si="82"/>
        <v/>
      </c>
    </row>
    <row r="1622" spans="1:18">
      <c r="A1622" s="4">
        <v>1631</v>
      </c>
      <c r="C1622" s="8" t="str">
        <f>IF(B1622="","",VLOOKUP(B1622,经纬!B:C,2,FALSE))</f>
        <v/>
      </c>
      <c r="D1622" s="8" t="str">
        <f>IF(B1622="","",VLOOKUP(B1622,经纬!B:G,6,FALSE))</f>
        <v/>
      </c>
      <c r="F1622" s="8" t="str">
        <f>IF(B1622="","",VLOOKUP(B1622,小圆机汇总表!A:AP,5,FALSE))</f>
        <v/>
      </c>
      <c r="G1622" s="8" t="str">
        <f>IF(B1622="","",VLOOKUP(B1622,小圆机汇总表!A:AP,8,FALSE))</f>
        <v/>
      </c>
      <c r="P1622" s="8" t="str">
        <f t="shared" si="81"/>
        <v/>
      </c>
      <c r="R1622" s="250" t="str">
        <f t="shared" si="82"/>
        <v/>
      </c>
    </row>
    <row r="1623" spans="1:18">
      <c r="A1623" s="4">
        <v>1632</v>
      </c>
      <c r="C1623" s="8" t="str">
        <f>IF(B1623="","",VLOOKUP(B1623,经纬!B:C,2,FALSE))</f>
        <v/>
      </c>
      <c r="D1623" s="8" t="str">
        <f>IF(B1623="","",VLOOKUP(B1623,经纬!B:G,6,FALSE))</f>
        <v/>
      </c>
      <c r="F1623" s="8" t="str">
        <f>IF(B1623="","",VLOOKUP(B1623,小圆机汇总表!A:AP,5,FALSE))</f>
        <v/>
      </c>
      <c r="G1623" s="8" t="str">
        <f>IF(B1623="","",VLOOKUP(B1623,小圆机汇总表!A:AP,8,FALSE))</f>
        <v/>
      </c>
      <c r="P1623" s="8" t="str">
        <f t="shared" si="81"/>
        <v/>
      </c>
      <c r="R1623" s="250" t="str">
        <f t="shared" si="82"/>
        <v/>
      </c>
    </row>
    <row r="1624" spans="1:18">
      <c r="A1624" s="4">
        <v>1633</v>
      </c>
      <c r="C1624" s="8" t="str">
        <f>IF(B1624="","",VLOOKUP(B1624,经纬!B:C,2,FALSE))</f>
        <v/>
      </c>
      <c r="D1624" s="8" t="str">
        <f>IF(B1624="","",VLOOKUP(B1624,经纬!B:G,6,FALSE))</f>
        <v/>
      </c>
      <c r="F1624" s="8" t="str">
        <f>IF(B1624="","",VLOOKUP(B1624,小圆机汇总表!A:AP,5,FALSE))</f>
        <v/>
      </c>
      <c r="G1624" s="8" t="str">
        <f>IF(B1624="","",VLOOKUP(B1624,小圆机汇总表!A:AP,8,FALSE))</f>
        <v/>
      </c>
      <c r="P1624" s="8" t="str">
        <f t="shared" si="81"/>
        <v/>
      </c>
      <c r="R1624" s="250" t="str">
        <f t="shared" si="82"/>
        <v/>
      </c>
    </row>
    <row r="1625" spans="1:18">
      <c r="A1625" s="4">
        <v>1634</v>
      </c>
      <c r="C1625" s="8" t="str">
        <f>IF(B1625="","",VLOOKUP(B1625,经纬!B:C,2,FALSE))</f>
        <v/>
      </c>
      <c r="D1625" s="8" t="str">
        <f>IF(B1625="","",VLOOKUP(B1625,经纬!B:G,6,FALSE))</f>
        <v/>
      </c>
      <c r="F1625" s="8" t="str">
        <f>IF(B1625="","",VLOOKUP(B1625,小圆机汇总表!A:AP,5,FALSE))</f>
        <v/>
      </c>
      <c r="G1625" s="8" t="str">
        <f>IF(B1625="","",VLOOKUP(B1625,小圆机汇总表!A:AP,8,FALSE))</f>
        <v/>
      </c>
      <c r="P1625" s="8" t="str">
        <f t="shared" si="81"/>
        <v/>
      </c>
      <c r="R1625" s="250" t="str">
        <f t="shared" si="82"/>
        <v/>
      </c>
    </row>
    <row r="1626" spans="1:18">
      <c r="A1626" s="4">
        <v>1635</v>
      </c>
      <c r="C1626" s="8" t="str">
        <f>IF(B1626="","",VLOOKUP(B1626,经纬!B:C,2,FALSE))</f>
        <v/>
      </c>
      <c r="D1626" s="8" t="str">
        <f>IF(B1626="","",VLOOKUP(B1626,经纬!B:G,6,FALSE))</f>
        <v/>
      </c>
      <c r="F1626" s="8" t="str">
        <f>IF(B1626="","",VLOOKUP(B1626,小圆机汇总表!A:AP,5,FALSE))</f>
        <v/>
      </c>
      <c r="G1626" s="8" t="str">
        <f>IF(B1626="","",VLOOKUP(B1626,小圆机汇总表!A:AP,8,FALSE))</f>
        <v/>
      </c>
      <c r="P1626" s="8" t="str">
        <f t="shared" ref="P1626:P1689" si="83">IF(B1626="","",MONTH(I1626))</f>
        <v/>
      </c>
      <c r="R1626" s="250" t="str">
        <f t="shared" si="82"/>
        <v/>
      </c>
    </row>
    <row r="1627" spans="1:18">
      <c r="A1627" s="4">
        <v>1636</v>
      </c>
      <c r="C1627" s="8" t="str">
        <f>IF(B1627="","",VLOOKUP(B1627,经纬!B:C,2,FALSE))</f>
        <v/>
      </c>
      <c r="D1627" s="8" t="str">
        <f>IF(B1627="","",VLOOKUP(B1627,经纬!B:G,6,FALSE))</f>
        <v/>
      </c>
      <c r="F1627" s="8" t="str">
        <f>IF(B1627="","",VLOOKUP(B1627,小圆机汇总表!A:AP,5,FALSE))</f>
        <v/>
      </c>
      <c r="G1627" s="8" t="str">
        <f>IF(B1627="","",VLOOKUP(B1627,小圆机汇总表!A:AP,8,FALSE))</f>
        <v/>
      </c>
      <c r="P1627" s="8" t="str">
        <f t="shared" si="83"/>
        <v/>
      </c>
      <c r="R1627" s="250" t="str">
        <f t="shared" si="82"/>
        <v/>
      </c>
    </row>
    <row r="1628" spans="1:18">
      <c r="A1628" s="4">
        <v>1637</v>
      </c>
      <c r="C1628" s="8" t="str">
        <f>IF(B1628="","",VLOOKUP(B1628,经纬!B:C,2,FALSE))</f>
        <v/>
      </c>
      <c r="D1628" s="8" t="str">
        <f>IF(B1628="","",VLOOKUP(B1628,经纬!B:G,6,FALSE))</f>
        <v/>
      </c>
      <c r="F1628" s="8" t="str">
        <f>IF(B1628="","",VLOOKUP(B1628,小圆机汇总表!A:AP,5,FALSE))</f>
        <v/>
      </c>
      <c r="G1628" s="8" t="str">
        <f>IF(B1628="","",VLOOKUP(B1628,小圆机汇总表!A:AP,8,FALSE))</f>
        <v/>
      </c>
      <c r="P1628" s="8" t="str">
        <f t="shared" si="83"/>
        <v/>
      </c>
      <c r="R1628" s="250" t="str">
        <f t="shared" si="82"/>
        <v/>
      </c>
    </row>
    <row r="1629" spans="1:18">
      <c r="A1629" s="4">
        <v>1638</v>
      </c>
      <c r="C1629" s="8" t="str">
        <f>IF(B1629="","",VLOOKUP(B1629,经纬!B:C,2,FALSE))</f>
        <v/>
      </c>
      <c r="D1629" s="8" t="str">
        <f>IF(B1629="","",VLOOKUP(B1629,经纬!B:G,6,FALSE))</f>
        <v/>
      </c>
      <c r="F1629" s="8" t="str">
        <f>IF(B1629="","",VLOOKUP(B1629,小圆机汇总表!A:AP,5,FALSE))</f>
        <v/>
      </c>
      <c r="G1629" s="8" t="str">
        <f>IF(B1629="","",VLOOKUP(B1629,小圆机汇总表!A:AP,8,FALSE))</f>
        <v/>
      </c>
      <c r="P1629" s="8" t="str">
        <f t="shared" si="83"/>
        <v/>
      </c>
      <c r="R1629" s="250" t="str">
        <f t="shared" si="82"/>
        <v/>
      </c>
    </row>
    <row r="1630" spans="1:18">
      <c r="A1630" s="4">
        <v>1639</v>
      </c>
      <c r="C1630" s="8" t="str">
        <f>IF(B1630="","",VLOOKUP(B1630,经纬!B:C,2,FALSE))</f>
        <v/>
      </c>
      <c r="D1630" s="8" t="str">
        <f>IF(B1630="","",VLOOKUP(B1630,经纬!B:G,6,FALSE))</f>
        <v/>
      </c>
      <c r="F1630" s="8" t="str">
        <f>IF(B1630="","",VLOOKUP(B1630,小圆机汇总表!A:AP,5,FALSE))</f>
        <v/>
      </c>
      <c r="G1630" s="8" t="str">
        <f>IF(B1630="","",VLOOKUP(B1630,小圆机汇总表!A:AP,8,FALSE))</f>
        <v/>
      </c>
      <c r="P1630" s="8" t="str">
        <f t="shared" si="83"/>
        <v/>
      </c>
      <c r="R1630" s="250" t="str">
        <f t="shared" si="82"/>
        <v/>
      </c>
    </row>
    <row r="1631" spans="1:18">
      <c r="A1631" s="4">
        <v>1640</v>
      </c>
      <c r="C1631" s="8" t="str">
        <f>IF(B1631="","",VLOOKUP(B1631,经纬!B:C,2,FALSE))</f>
        <v/>
      </c>
      <c r="D1631" s="8" t="str">
        <f>IF(B1631="","",VLOOKUP(B1631,经纬!B:G,6,FALSE))</f>
        <v/>
      </c>
      <c r="F1631" s="8" t="str">
        <f>IF(B1631="","",VLOOKUP(B1631,小圆机汇总表!A:AP,5,FALSE))</f>
        <v/>
      </c>
      <c r="G1631" s="8" t="str">
        <f>IF(B1631="","",VLOOKUP(B1631,小圆机汇总表!A:AP,8,FALSE))</f>
        <v/>
      </c>
      <c r="P1631" s="8" t="str">
        <f t="shared" si="83"/>
        <v/>
      </c>
      <c r="R1631" s="250" t="str">
        <f t="shared" si="82"/>
        <v/>
      </c>
    </row>
    <row r="1632" spans="1:18">
      <c r="A1632" s="4">
        <v>1641</v>
      </c>
      <c r="C1632" s="8" t="str">
        <f>IF(B1632="","",VLOOKUP(B1632,经纬!B:C,2,FALSE))</f>
        <v/>
      </c>
      <c r="D1632" s="8" t="str">
        <f>IF(B1632="","",VLOOKUP(B1632,经纬!B:G,6,FALSE))</f>
        <v/>
      </c>
      <c r="F1632" s="8" t="str">
        <f>IF(B1632="","",VLOOKUP(B1632,小圆机汇总表!A:AP,5,FALSE))</f>
        <v/>
      </c>
      <c r="G1632" s="8" t="str">
        <f>IF(B1632="","",VLOOKUP(B1632,小圆机汇总表!A:AP,8,FALSE))</f>
        <v/>
      </c>
      <c r="P1632" s="8" t="str">
        <f t="shared" si="83"/>
        <v/>
      </c>
      <c r="R1632" s="250" t="str">
        <f t="shared" si="82"/>
        <v/>
      </c>
    </row>
    <row r="1633" spans="1:18">
      <c r="A1633" s="4">
        <v>1642</v>
      </c>
      <c r="C1633" s="8" t="str">
        <f>IF(B1633="","",VLOOKUP(B1633,经纬!B:C,2,FALSE))</f>
        <v/>
      </c>
      <c r="D1633" s="8" t="str">
        <f>IF(B1633="","",VLOOKUP(B1633,经纬!B:G,6,FALSE))</f>
        <v/>
      </c>
      <c r="F1633" s="8" t="str">
        <f>IF(B1633="","",VLOOKUP(B1633,小圆机汇总表!A:AP,5,FALSE))</f>
        <v/>
      </c>
      <c r="G1633" s="8" t="str">
        <f>IF(B1633="","",VLOOKUP(B1633,小圆机汇总表!A:AP,8,FALSE))</f>
        <v/>
      </c>
      <c r="P1633" s="8" t="str">
        <f t="shared" si="83"/>
        <v/>
      </c>
      <c r="R1633" s="250" t="str">
        <f t="shared" si="82"/>
        <v/>
      </c>
    </row>
    <row r="1634" spans="1:18">
      <c r="A1634" s="4">
        <v>1643</v>
      </c>
      <c r="C1634" s="8" t="str">
        <f>IF(B1634="","",VLOOKUP(B1634,经纬!B:C,2,FALSE))</f>
        <v/>
      </c>
      <c r="D1634" s="8" t="str">
        <f>IF(B1634="","",VLOOKUP(B1634,经纬!B:G,6,FALSE))</f>
        <v/>
      </c>
      <c r="F1634" s="8" t="str">
        <f>IF(B1634="","",VLOOKUP(B1634,小圆机汇总表!A:AP,5,FALSE))</f>
        <v/>
      </c>
      <c r="G1634" s="8" t="str">
        <f>IF(B1634="","",VLOOKUP(B1634,小圆机汇总表!A:AP,8,FALSE))</f>
        <v/>
      </c>
      <c r="P1634" s="8" t="str">
        <f t="shared" si="83"/>
        <v/>
      </c>
      <c r="R1634" s="250" t="str">
        <f t="shared" si="82"/>
        <v/>
      </c>
    </row>
    <row r="1635" spans="1:18">
      <c r="A1635" s="4">
        <v>1644</v>
      </c>
      <c r="C1635" s="8" t="str">
        <f>IF(B1635="","",VLOOKUP(B1635,经纬!B:C,2,FALSE))</f>
        <v/>
      </c>
      <c r="D1635" s="8" t="str">
        <f>IF(B1635="","",VLOOKUP(B1635,经纬!B:G,6,FALSE))</f>
        <v/>
      </c>
      <c r="F1635" s="8" t="str">
        <f>IF(B1635="","",VLOOKUP(B1635,小圆机汇总表!A:AP,5,FALSE))</f>
        <v/>
      </c>
      <c r="G1635" s="8" t="str">
        <f>IF(B1635="","",VLOOKUP(B1635,小圆机汇总表!A:AP,8,FALSE))</f>
        <v/>
      </c>
      <c r="P1635" s="8" t="str">
        <f t="shared" si="83"/>
        <v/>
      </c>
      <c r="R1635" s="250" t="str">
        <f t="shared" si="82"/>
        <v/>
      </c>
    </row>
    <row r="1636" spans="1:18">
      <c r="A1636" s="4">
        <v>1645</v>
      </c>
      <c r="C1636" s="8" t="str">
        <f>IF(B1636="","",VLOOKUP(B1636,经纬!B:C,2,FALSE))</f>
        <v/>
      </c>
      <c r="D1636" s="8" t="str">
        <f>IF(B1636="","",VLOOKUP(B1636,经纬!B:G,6,FALSE))</f>
        <v/>
      </c>
      <c r="F1636" s="8" t="str">
        <f>IF(B1636="","",VLOOKUP(B1636,小圆机汇总表!A:AP,5,FALSE))</f>
        <v/>
      </c>
      <c r="G1636" s="8" t="str">
        <f>IF(B1636="","",VLOOKUP(B1636,小圆机汇总表!A:AP,8,FALSE))</f>
        <v/>
      </c>
      <c r="P1636" s="8" t="str">
        <f t="shared" si="83"/>
        <v/>
      </c>
      <c r="R1636" s="250" t="str">
        <f t="shared" si="82"/>
        <v/>
      </c>
    </row>
    <row r="1637" spans="1:18">
      <c r="A1637" s="4">
        <v>1646</v>
      </c>
      <c r="C1637" s="8" t="str">
        <f>IF(B1637="","",VLOOKUP(B1637,经纬!B:C,2,FALSE))</f>
        <v/>
      </c>
      <c r="D1637" s="8" t="str">
        <f>IF(B1637="","",VLOOKUP(B1637,经纬!B:G,6,FALSE))</f>
        <v/>
      </c>
      <c r="F1637" s="8" t="str">
        <f>IF(B1637="","",VLOOKUP(B1637,小圆机汇总表!A:AP,5,FALSE))</f>
        <v/>
      </c>
      <c r="G1637" s="8" t="str">
        <f>IF(B1637="","",VLOOKUP(B1637,小圆机汇总表!A:AP,8,FALSE))</f>
        <v/>
      </c>
      <c r="P1637" s="8" t="str">
        <f t="shared" si="83"/>
        <v/>
      </c>
      <c r="R1637" s="250" t="str">
        <f t="shared" si="82"/>
        <v/>
      </c>
    </row>
    <row r="1638" spans="1:18">
      <c r="A1638" s="4">
        <v>1647</v>
      </c>
      <c r="C1638" s="8" t="str">
        <f>IF(B1638="","",VLOOKUP(B1638,经纬!B:C,2,FALSE))</f>
        <v/>
      </c>
      <c r="D1638" s="8" t="str">
        <f>IF(B1638="","",VLOOKUP(B1638,经纬!B:G,6,FALSE))</f>
        <v/>
      </c>
      <c r="F1638" s="8" t="str">
        <f>IF(B1638="","",VLOOKUP(B1638,小圆机汇总表!A:AP,5,FALSE))</f>
        <v/>
      </c>
      <c r="G1638" s="8" t="str">
        <f>IF(B1638="","",VLOOKUP(B1638,小圆机汇总表!A:AP,8,FALSE))</f>
        <v/>
      </c>
      <c r="P1638" s="8" t="str">
        <f t="shared" si="83"/>
        <v/>
      </c>
      <c r="R1638" s="250" t="str">
        <f t="shared" si="82"/>
        <v/>
      </c>
    </row>
    <row r="1639" spans="1:18">
      <c r="A1639" s="4">
        <v>1648</v>
      </c>
      <c r="C1639" s="8" t="str">
        <f>IF(B1639="","",VLOOKUP(B1639,经纬!B:C,2,FALSE))</f>
        <v/>
      </c>
      <c r="D1639" s="8" t="str">
        <f>IF(B1639="","",VLOOKUP(B1639,经纬!B:G,6,FALSE))</f>
        <v/>
      </c>
      <c r="F1639" s="8" t="str">
        <f>IF(B1639="","",VLOOKUP(B1639,小圆机汇总表!A:AP,5,FALSE))</f>
        <v/>
      </c>
      <c r="G1639" s="8" t="str">
        <f>IF(B1639="","",VLOOKUP(B1639,小圆机汇总表!A:AP,8,FALSE))</f>
        <v/>
      </c>
      <c r="P1639" s="8" t="str">
        <f t="shared" si="83"/>
        <v/>
      </c>
      <c r="R1639" s="250" t="str">
        <f t="shared" si="82"/>
        <v/>
      </c>
    </row>
    <row r="1640" spans="1:18">
      <c r="A1640" s="4">
        <v>1649</v>
      </c>
      <c r="C1640" s="8" t="str">
        <f>IF(B1640="","",VLOOKUP(B1640,经纬!B:C,2,FALSE))</f>
        <v/>
      </c>
      <c r="D1640" s="8" t="str">
        <f>IF(B1640="","",VLOOKUP(B1640,经纬!B:G,6,FALSE))</f>
        <v/>
      </c>
      <c r="F1640" s="8" t="str">
        <f>IF(B1640="","",VLOOKUP(B1640,小圆机汇总表!A:AP,5,FALSE))</f>
        <v/>
      </c>
      <c r="G1640" s="8" t="str">
        <f>IF(B1640="","",VLOOKUP(B1640,小圆机汇总表!A:AP,8,FALSE))</f>
        <v/>
      </c>
      <c r="P1640" s="8" t="str">
        <f t="shared" si="83"/>
        <v/>
      </c>
      <c r="R1640" s="250" t="str">
        <f t="shared" si="82"/>
        <v/>
      </c>
    </row>
    <row r="1641" spans="1:18">
      <c r="A1641" s="4">
        <v>1650</v>
      </c>
      <c r="C1641" s="8" t="str">
        <f>IF(B1641="","",VLOOKUP(B1641,经纬!B:C,2,FALSE))</f>
        <v/>
      </c>
      <c r="D1641" s="8" t="str">
        <f>IF(B1641="","",VLOOKUP(B1641,经纬!B:G,6,FALSE))</f>
        <v/>
      </c>
      <c r="F1641" s="8" t="str">
        <f>IF(B1641="","",VLOOKUP(B1641,小圆机汇总表!A:AP,5,FALSE))</f>
        <v/>
      </c>
      <c r="G1641" s="8" t="str">
        <f>IF(B1641="","",VLOOKUP(B1641,小圆机汇总表!A:AP,8,FALSE))</f>
        <v/>
      </c>
      <c r="P1641" s="8" t="str">
        <f t="shared" si="83"/>
        <v/>
      </c>
      <c r="R1641" s="250" t="str">
        <f t="shared" si="82"/>
        <v/>
      </c>
    </row>
    <row r="1642" spans="1:18">
      <c r="A1642" s="4">
        <v>1651</v>
      </c>
      <c r="C1642" s="8" t="str">
        <f>IF(B1642="","",VLOOKUP(B1642,经纬!B:C,2,FALSE))</f>
        <v/>
      </c>
      <c r="D1642" s="8" t="str">
        <f>IF(B1642="","",VLOOKUP(B1642,经纬!B:G,6,FALSE))</f>
        <v/>
      </c>
      <c r="F1642" s="8" t="str">
        <f>IF(B1642="","",VLOOKUP(B1642,小圆机汇总表!A:AP,5,FALSE))</f>
        <v/>
      </c>
      <c r="G1642" s="8" t="str">
        <f>IF(B1642="","",VLOOKUP(B1642,小圆机汇总表!A:AP,8,FALSE))</f>
        <v/>
      </c>
      <c r="P1642" s="8" t="str">
        <f t="shared" si="83"/>
        <v/>
      </c>
      <c r="R1642" s="250" t="str">
        <f t="shared" si="82"/>
        <v/>
      </c>
    </row>
    <row r="1643" spans="1:18">
      <c r="A1643" s="4">
        <v>1652</v>
      </c>
      <c r="C1643" s="8" t="str">
        <f>IF(B1643="","",VLOOKUP(B1643,经纬!B:C,2,FALSE))</f>
        <v/>
      </c>
      <c r="D1643" s="8" t="str">
        <f>IF(B1643="","",VLOOKUP(B1643,经纬!B:G,6,FALSE))</f>
        <v/>
      </c>
      <c r="F1643" s="8" t="str">
        <f>IF(B1643="","",VLOOKUP(B1643,小圆机汇总表!A:AP,5,FALSE))</f>
        <v/>
      </c>
      <c r="G1643" s="8" t="str">
        <f>IF(B1643="","",VLOOKUP(B1643,小圆机汇总表!A:AP,8,FALSE))</f>
        <v/>
      </c>
      <c r="P1643" s="8" t="str">
        <f t="shared" si="83"/>
        <v/>
      </c>
      <c r="R1643" s="250" t="str">
        <f t="shared" si="82"/>
        <v/>
      </c>
    </row>
    <row r="1644" spans="1:18">
      <c r="A1644" s="4">
        <v>1653</v>
      </c>
      <c r="C1644" s="8" t="str">
        <f>IF(B1644="","",VLOOKUP(B1644,经纬!B:C,2,FALSE))</f>
        <v/>
      </c>
      <c r="D1644" s="8" t="str">
        <f>IF(B1644="","",VLOOKUP(B1644,经纬!B:G,6,FALSE))</f>
        <v/>
      </c>
      <c r="F1644" s="8" t="str">
        <f>IF(B1644="","",VLOOKUP(B1644,小圆机汇总表!A:AP,5,FALSE))</f>
        <v/>
      </c>
      <c r="G1644" s="8" t="str">
        <f>IF(B1644="","",VLOOKUP(B1644,小圆机汇总表!A:AP,8,FALSE))</f>
        <v/>
      </c>
      <c r="P1644" s="8" t="str">
        <f t="shared" si="83"/>
        <v/>
      </c>
      <c r="R1644" s="250" t="str">
        <f t="shared" si="82"/>
        <v/>
      </c>
    </row>
    <row r="1645" spans="1:18">
      <c r="A1645" s="4">
        <v>1654</v>
      </c>
      <c r="C1645" s="8" t="str">
        <f>IF(B1645="","",VLOOKUP(B1645,经纬!B:C,2,FALSE))</f>
        <v/>
      </c>
      <c r="D1645" s="8" t="str">
        <f>IF(B1645="","",VLOOKUP(B1645,经纬!B:G,6,FALSE))</f>
        <v/>
      </c>
      <c r="F1645" s="8" t="str">
        <f>IF(B1645="","",VLOOKUP(B1645,小圆机汇总表!A:AP,5,FALSE))</f>
        <v/>
      </c>
      <c r="G1645" s="8" t="str">
        <f>IF(B1645="","",VLOOKUP(B1645,小圆机汇总表!A:AP,8,FALSE))</f>
        <v/>
      </c>
      <c r="P1645" s="8" t="str">
        <f t="shared" si="83"/>
        <v/>
      </c>
      <c r="R1645" s="250" t="str">
        <f t="shared" si="82"/>
        <v/>
      </c>
    </row>
    <row r="1646" spans="1:18">
      <c r="A1646" s="4">
        <v>1655</v>
      </c>
      <c r="C1646" s="8" t="str">
        <f>IF(B1646="","",VLOOKUP(B1646,经纬!B:C,2,FALSE))</f>
        <v/>
      </c>
      <c r="D1646" s="8" t="str">
        <f>IF(B1646="","",VLOOKUP(B1646,经纬!B:G,6,FALSE))</f>
        <v/>
      </c>
      <c r="F1646" s="8" t="str">
        <f>IF(B1646="","",VLOOKUP(B1646,小圆机汇总表!A:AP,5,FALSE))</f>
        <v/>
      </c>
      <c r="G1646" s="8" t="str">
        <f>IF(B1646="","",VLOOKUP(B1646,小圆机汇总表!A:AP,8,FALSE))</f>
        <v/>
      </c>
      <c r="P1646" s="8" t="str">
        <f t="shared" si="83"/>
        <v/>
      </c>
      <c r="R1646" s="250" t="str">
        <f t="shared" si="82"/>
        <v/>
      </c>
    </row>
    <row r="1647" spans="1:18">
      <c r="A1647" s="4">
        <v>1656</v>
      </c>
      <c r="C1647" s="8" t="str">
        <f>IF(B1647="","",VLOOKUP(B1647,经纬!B:C,2,FALSE))</f>
        <v/>
      </c>
      <c r="D1647" s="8" t="str">
        <f>IF(B1647="","",VLOOKUP(B1647,经纬!B:G,6,FALSE))</f>
        <v/>
      </c>
      <c r="F1647" s="8" t="str">
        <f>IF(B1647="","",VLOOKUP(B1647,小圆机汇总表!A:AP,5,FALSE))</f>
        <v/>
      </c>
      <c r="G1647" s="8" t="str">
        <f>IF(B1647="","",VLOOKUP(B1647,小圆机汇总表!A:AP,8,FALSE))</f>
        <v/>
      </c>
      <c r="P1647" s="8" t="str">
        <f t="shared" si="83"/>
        <v/>
      </c>
      <c r="R1647" s="250" t="str">
        <f t="shared" si="82"/>
        <v/>
      </c>
    </row>
    <row r="1648" spans="1:18">
      <c r="A1648" s="4">
        <v>1657</v>
      </c>
      <c r="C1648" s="8" t="str">
        <f>IF(B1648="","",VLOOKUP(B1648,经纬!B:C,2,FALSE))</f>
        <v/>
      </c>
      <c r="D1648" s="8" t="str">
        <f>IF(B1648="","",VLOOKUP(B1648,经纬!B:G,6,FALSE))</f>
        <v/>
      </c>
      <c r="F1648" s="8" t="str">
        <f>IF(B1648="","",VLOOKUP(B1648,小圆机汇总表!A:AP,5,FALSE))</f>
        <v/>
      </c>
      <c r="G1648" s="8" t="str">
        <f>IF(B1648="","",VLOOKUP(B1648,小圆机汇总表!A:AP,8,FALSE))</f>
        <v/>
      </c>
      <c r="P1648" s="8" t="str">
        <f t="shared" si="83"/>
        <v/>
      </c>
      <c r="R1648" s="250" t="str">
        <f t="shared" si="82"/>
        <v/>
      </c>
    </row>
    <row r="1649" spans="1:18">
      <c r="A1649" s="4">
        <v>1658</v>
      </c>
      <c r="C1649" s="8" t="str">
        <f>IF(B1649="","",VLOOKUP(B1649,经纬!B:C,2,FALSE))</f>
        <v/>
      </c>
      <c r="D1649" s="8" t="str">
        <f>IF(B1649="","",VLOOKUP(B1649,经纬!B:G,6,FALSE))</f>
        <v/>
      </c>
      <c r="F1649" s="8" t="str">
        <f>IF(B1649="","",VLOOKUP(B1649,小圆机汇总表!A:AP,5,FALSE))</f>
        <v/>
      </c>
      <c r="G1649" s="8" t="str">
        <f>IF(B1649="","",VLOOKUP(B1649,小圆机汇总表!A:AP,8,FALSE))</f>
        <v/>
      </c>
      <c r="P1649" s="8" t="str">
        <f t="shared" si="83"/>
        <v/>
      </c>
      <c r="R1649" s="250" t="str">
        <f t="shared" si="82"/>
        <v/>
      </c>
    </row>
    <row r="1650" spans="1:18">
      <c r="A1650" s="4">
        <v>1659</v>
      </c>
      <c r="C1650" s="8" t="str">
        <f>IF(B1650="","",VLOOKUP(B1650,经纬!B:C,2,FALSE))</f>
        <v/>
      </c>
      <c r="D1650" s="8" t="str">
        <f>IF(B1650="","",VLOOKUP(B1650,经纬!B:G,6,FALSE))</f>
        <v/>
      </c>
      <c r="F1650" s="8" t="str">
        <f>IF(B1650="","",VLOOKUP(B1650,小圆机汇总表!A:AP,5,FALSE))</f>
        <v/>
      </c>
      <c r="G1650" s="8" t="str">
        <f>IF(B1650="","",VLOOKUP(B1650,小圆机汇总表!A:AP,8,FALSE))</f>
        <v/>
      </c>
      <c r="P1650" s="8" t="str">
        <f t="shared" si="83"/>
        <v/>
      </c>
      <c r="R1650" s="250" t="str">
        <f t="shared" si="82"/>
        <v/>
      </c>
    </row>
    <row r="1651" spans="1:18">
      <c r="A1651" s="4">
        <v>1660</v>
      </c>
      <c r="C1651" s="8" t="str">
        <f>IF(B1651="","",VLOOKUP(B1651,经纬!B:C,2,FALSE))</f>
        <v/>
      </c>
      <c r="D1651" s="8" t="str">
        <f>IF(B1651="","",VLOOKUP(B1651,经纬!B:G,6,FALSE))</f>
        <v/>
      </c>
      <c r="F1651" s="8" t="str">
        <f>IF(B1651="","",VLOOKUP(B1651,小圆机汇总表!A:AP,5,FALSE))</f>
        <v/>
      </c>
      <c r="G1651" s="8" t="str">
        <f>IF(B1651="","",VLOOKUP(B1651,小圆机汇总表!A:AP,8,FALSE))</f>
        <v/>
      </c>
      <c r="P1651" s="8" t="str">
        <f t="shared" si="83"/>
        <v/>
      </c>
      <c r="R1651" s="250" t="str">
        <f t="shared" si="82"/>
        <v/>
      </c>
    </row>
    <row r="1652" spans="1:18">
      <c r="A1652" s="4">
        <v>1661</v>
      </c>
      <c r="C1652" s="8" t="str">
        <f>IF(B1652="","",VLOOKUP(B1652,经纬!B:C,2,FALSE))</f>
        <v/>
      </c>
      <c r="D1652" s="8" t="str">
        <f>IF(B1652="","",VLOOKUP(B1652,经纬!B:G,6,FALSE))</f>
        <v/>
      </c>
      <c r="F1652" s="8" t="str">
        <f>IF(B1652="","",VLOOKUP(B1652,小圆机汇总表!A:AP,5,FALSE))</f>
        <v/>
      </c>
      <c r="G1652" s="8" t="str">
        <f>IF(B1652="","",VLOOKUP(B1652,小圆机汇总表!A:AP,8,FALSE))</f>
        <v/>
      </c>
      <c r="P1652" s="8" t="str">
        <f t="shared" si="83"/>
        <v/>
      </c>
      <c r="R1652" s="250" t="str">
        <f t="shared" si="82"/>
        <v/>
      </c>
    </row>
    <row r="1653" spans="1:18">
      <c r="A1653" s="4">
        <v>1662</v>
      </c>
      <c r="C1653" s="8" t="str">
        <f>IF(B1653="","",VLOOKUP(B1653,经纬!B:C,2,FALSE))</f>
        <v/>
      </c>
      <c r="D1653" s="8" t="str">
        <f>IF(B1653="","",VLOOKUP(B1653,经纬!B:G,6,FALSE))</f>
        <v/>
      </c>
      <c r="F1653" s="8" t="str">
        <f>IF(B1653="","",VLOOKUP(B1653,小圆机汇总表!A:AP,5,FALSE))</f>
        <v/>
      </c>
      <c r="G1653" s="8" t="str">
        <f>IF(B1653="","",VLOOKUP(B1653,小圆机汇总表!A:AP,8,FALSE))</f>
        <v/>
      </c>
      <c r="P1653" s="8" t="str">
        <f t="shared" si="83"/>
        <v/>
      </c>
      <c r="R1653" s="250" t="str">
        <f t="shared" si="82"/>
        <v/>
      </c>
    </row>
    <row r="1654" spans="1:18">
      <c r="A1654" s="4">
        <v>1663</v>
      </c>
      <c r="C1654" s="8" t="str">
        <f>IF(B1654="","",VLOOKUP(B1654,经纬!B:C,2,FALSE))</f>
        <v/>
      </c>
      <c r="D1654" s="8" t="str">
        <f>IF(B1654="","",VLOOKUP(B1654,经纬!B:G,6,FALSE))</f>
        <v/>
      </c>
      <c r="F1654" s="8" t="str">
        <f>IF(B1654="","",VLOOKUP(B1654,小圆机汇总表!A:AP,5,FALSE))</f>
        <v/>
      </c>
      <c r="G1654" s="8" t="str">
        <f>IF(B1654="","",VLOOKUP(B1654,小圆机汇总表!A:AP,8,FALSE))</f>
        <v/>
      </c>
      <c r="P1654" s="8" t="str">
        <f t="shared" si="83"/>
        <v/>
      </c>
      <c r="R1654" s="250" t="str">
        <f t="shared" si="82"/>
        <v/>
      </c>
    </row>
    <row r="1655" spans="1:18">
      <c r="A1655" s="4">
        <v>1664</v>
      </c>
      <c r="C1655" s="8" t="str">
        <f>IF(B1655="","",VLOOKUP(B1655,经纬!B:C,2,FALSE))</f>
        <v/>
      </c>
      <c r="D1655" s="8" t="str">
        <f>IF(B1655="","",VLOOKUP(B1655,经纬!B:G,6,FALSE))</f>
        <v/>
      </c>
      <c r="F1655" s="8" t="str">
        <f>IF(B1655="","",VLOOKUP(B1655,小圆机汇总表!A:AP,5,FALSE))</f>
        <v/>
      </c>
      <c r="G1655" s="8" t="str">
        <f>IF(B1655="","",VLOOKUP(B1655,小圆机汇总表!A:AP,8,FALSE))</f>
        <v/>
      </c>
      <c r="P1655" s="8" t="str">
        <f t="shared" si="83"/>
        <v/>
      </c>
      <c r="R1655" s="250" t="str">
        <f t="shared" si="82"/>
        <v/>
      </c>
    </row>
    <row r="1656" spans="1:18">
      <c r="A1656" s="4">
        <v>1665</v>
      </c>
      <c r="C1656" s="8" t="str">
        <f>IF(B1656="","",VLOOKUP(B1656,经纬!B:C,2,FALSE))</f>
        <v/>
      </c>
      <c r="D1656" s="8" t="str">
        <f>IF(B1656="","",VLOOKUP(B1656,经纬!B:G,6,FALSE))</f>
        <v/>
      </c>
      <c r="F1656" s="8" t="str">
        <f>IF(B1656="","",VLOOKUP(B1656,小圆机汇总表!A:AP,5,FALSE))</f>
        <v/>
      </c>
      <c r="G1656" s="8" t="str">
        <f>IF(B1656="","",VLOOKUP(B1656,小圆机汇总表!A:AP,8,FALSE))</f>
        <v/>
      </c>
      <c r="P1656" s="8" t="str">
        <f t="shared" si="83"/>
        <v/>
      </c>
      <c r="R1656" s="250" t="str">
        <f t="shared" si="82"/>
        <v/>
      </c>
    </row>
    <row r="1657" spans="1:18">
      <c r="A1657" s="4">
        <v>1666</v>
      </c>
      <c r="C1657" s="8" t="str">
        <f>IF(B1657="","",VLOOKUP(B1657,经纬!B:C,2,FALSE))</f>
        <v/>
      </c>
      <c r="D1657" s="8" t="str">
        <f>IF(B1657="","",VLOOKUP(B1657,经纬!B:G,6,FALSE))</f>
        <v/>
      </c>
      <c r="F1657" s="8" t="str">
        <f>IF(B1657="","",VLOOKUP(B1657,小圆机汇总表!A:AP,5,FALSE))</f>
        <v/>
      </c>
      <c r="G1657" s="8" t="str">
        <f>IF(B1657="","",VLOOKUP(B1657,小圆机汇总表!A:AP,8,FALSE))</f>
        <v/>
      </c>
      <c r="P1657" s="8" t="str">
        <f t="shared" si="83"/>
        <v/>
      </c>
      <c r="R1657" s="250" t="str">
        <f t="shared" si="82"/>
        <v/>
      </c>
    </row>
    <row r="1658" spans="1:18">
      <c r="A1658" s="4">
        <v>1667</v>
      </c>
      <c r="C1658" s="8" t="str">
        <f>IF(B1658="","",VLOOKUP(B1658,经纬!B:C,2,FALSE))</f>
        <v/>
      </c>
      <c r="D1658" s="8" t="str">
        <f>IF(B1658="","",VLOOKUP(B1658,经纬!B:G,6,FALSE))</f>
        <v/>
      </c>
      <c r="F1658" s="8" t="str">
        <f>IF(B1658="","",VLOOKUP(B1658,小圆机汇总表!A:AP,5,FALSE))</f>
        <v/>
      </c>
      <c r="G1658" s="8" t="str">
        <f>IF(B1658="","",VLOOKUP(B1658,小圆机汇总表!A:AP,8,FALSE))</f>
        <v/>
      </c>
      <c r="P1658" s="8" t="str">
        <f t="shared" si="83"/>
        <v/>
      </c>
      <c r="R1658" s="250" t="str">
        <f t="shared" si="82"/>
        <v/>
      </c>
    </row>
    <row r="1659" spans="1:18">
      <c r="A1659" s="4">
        <v>1668</v>
      </c>
      <c r="C1659" s="8" t="str">
        <f>IF(B1659="","",VLOOKUP(B1659,经纬!B:C,2,FALSE))</f>
        <v/>
      </c>
      <c r="D1659" s="8" t="str">
        <f>IF(B1659="","",VLOOKUP(B1659,经纬!B:G,6,FALSE))</f>
        <v/>
      </c>
      <c r="F1659" s="8" t="str">
        <f>IF(B1659="","",VLOOKUP(B1659,小圆机汇总表!A:AP,5,FALSE))</f>
        <v/>
      </c>
      <c r="G1659" s="8" t="str">
        <f>IF(B1659="","",VLOOKUP(B1659,小圆机汇总表!A:AP,8,FALSE))</f>
        <v/>
      </c>
      <c r="P1659" s="8" t="str">
        <f t="shared" si="83"/>
        <v/>
      </c>
      <c r="R1659" s="250" t="str">
        <f t="shared" si="82"/>
        <v/>
      </c>
    </row>
    <row r="1660" spans="1:18">
      <c r="A1660" s="4">
        <v>1669</v>
      </c>
      <c r="C1660" s="8" t="str">
        <f>IF(B1660="","",VLOOKUP(B1660,经纬!B:C,2,FALSE))</f>
        <v/>
      </c>
      <c r="D1660" s="8" t="str">
        <f>IF(B1660="","",VLOOKUP(B1660,经纬!B:G,6,FALSE))</f>
        <v/>
      </c>
      <c r="F1660" s="8" t="str">
        <f>IF(B1660="","",VLOOKUP(B1660,小圆机汇总表!A:AP,5,FALSE))</f>
        <v/>
      </c>
      <c r="G1660" s="8" t="str">
        <f>IF(B1660="","",VLOOKUP(B1660,小圆机汇总表!A:AP,8,FALSE))</f>
        <v/>
      </c>
      <c r="P1660" s="8" t="str">
        <f t="shared" si="83"/>
        <v/>
      </c>
      <c r="R1660" s="250" t="str">
        <f t="shared" si="82"/>
        <v/>
      </c>
    </row>
    <row r="1661" spans="1:18">
      <c r="A1661" s="4">
        <v>1670</v>
      </c>
      <c r="C1661" s="8" t="str">
        <f>IF(B1661="","",VLOOKUP(B1661,经纬!B:C,2,FALSE))</f>
        <v/>
      </c>
      <c r="D1661" s="8" t="str">
        <f>IF(B1661="","",VLOOKUP(B1661,经纬!B:G,6,FALSE))</f>
        <v/>
      </c>
      <c r="F1661" s="8" t="str">
        <f>IF(B1661="","",VLOOKUP(B1661,小圆机汇总表!A:AP,5,FALSE))</f>
        <v/>
      </c>
      <c r="G1661" s="8" t="str">
        <f>IF(B1661="","",VLOOKUP(B1661,小圆机汇总表!A:AP,8,FALSE))</f>
        <v/>
      </c>
      <c r="P1661" s="8" t="str">
        <f t="shared" si="83"/>
        <v/>
      </c>
      <c r="R1661" s="250" t="str">
        <f t="shared" si="82"/>
        <v/>
      </c>
    </row>
    <row r="1662" spans="1:18">
      <c r="A1662" s="4">
        <v>1671</v>
      </c>
      <c r="C1662" s="8" t="str">
        <f>IF(B1662="","",VLOOKUP(B1662,经纬!B:C,2,FALSE))</f>
        <v/>
      </c>
      <c r="D1662" s="8" t="str">
        <f>IF(B1662="","",VLOOKUP(B1662,经纬!B:G,6,FALSE))</f>
        <v/>
      </c>
      <c r="F1662" s="8" t="str">
        <f>IF(B1662="","",VLOOKUP(B1662,小圆机汇总表!A:AP,5,FALSE))</f>
        <v/>
      </c>
      <c r="G1662" s="8" t="str">
        <f>IF(B1662="","",VLOOKUP(B1662,小圆机汇总表!A:AP,8,FALSE))</f>
        <v/>
      </c>
      <c r="P1662" s="8" t="str">
        <f t="shared" si="83"/>
        <v/>
      </c>
      <c r="R1662" s="250" t="str">
        <f t="shared" si="82"/>
        <v/>
      </c>
    </row>
    <row r="1663" spans="1:18">
      <c r="A1663" s="4">
        <v>1672</v>
      </c>
      <c r="C1663" s="8" t="str">
        <f>IF(B1663="","",VLOOKUP(B1663,经纬!B:C,2,FALSE))</f>
        <v/>
      </c>
      <c r="D1663" s="8" t="str">
        <f>IF(B1663="","",VLOOKUP(B1663,经纬!B:G,6,FALSE))</f>
        <v/>
      </c>
      <c r="F1663" s="8" t="str">
        <f>IF(B1663="","",VLOOKUP(B1663,小圆机汇总表!A:AP,5,FALSE))</f>
        <v/>
      </c>
      <c r="G1663" s="8" t="str">
        <f>IF(B1663="","",VLOOKUP(B1663,小圆机汇总表!A:AP,8,FALSE))</f>
        <v/>
      </c>
      <c r="P1663" s="8" t="str">
        <f t="shared" si="83"/>
        <v/>
      </c>
      <c r="R1663" s="250" t="str">
        <f t="shared" si="82"/>
        <v/>
      </c>
    </row>
    <row r="1664" spans="1:18">
      <c r="A1664" s="4">
        <v>1673</v>
      </c>
      <c r="C1664" s="8" t="str">
        <f>IF(B1664="","",VLOOKUP(B1664,经纬!B:C,2,FALSE))</f>
        <v/>
      </c>
      <c r="D1664" s="8" t="str">
        <f>IF(B1664="","",VLOOKUP(B1664,经纬!B:G,6,FALSE))</f>
        <v/>
      </c>
      <c r="F1664" s="8" t="str">
        <f>IF(B1664="","",VLOOKUP(B1664,小圆机汇总表!A:AP,5,FALSE))</f>
        <v/>
      </c>
      <c r="G1664" s="8" t="str">
        <f>IF(B1664="","",VLOOKUP(B1664,小圆机汇总表!A:AP,8,FALSE))</f>
        <v/>
      </c>
      <c r="P1664" s="8" t="str">
        <f t="shared" si="83"/>
        <v/>
      </c>
      <c r="R1664" s="250" t="str">
        <f t="shared" si="82"/>
        <v/>
      </c>
    </row>
    <row r="1665" spans="1:18">
      <c r="A1665" s="4">
        <v>1674</v>
      </c>
      <c r="C1665" s="8" t="str">
        <f>IF(B1665="","",VLOOKUP(B1665,经纬!B:C,2,FALSE))</f>
        <v/>
      </c>
      <c r="D1665" s="8" t="str">
        <f>IF(B1665="","",VLOOKUP(B1665,经纬!B:G,6,FALSE))</f>
        <v/>
      </c>
      <c r="F1665" s="8" t="str">
        <f>IF(B1665="","",VLOOKUP(B1665,小圆机汇总表!A:AP,5,FALSE))</f>
        <v/>
      </c>
      <c r="G1665" s="8" t="str">
        <f>IF(B1665="","",VLOOKUP(B1665,小圆机汇总表!A:AP,8,FALSE))</f>
        <v/>
      </c>
      <c r="P1665" s="8" t="str">
        <f t="shared" si="83"/>
        <v/>
      </c>
      <c r="R1665" s="250" t="str">
        <f t="shared" si="82"/>
        <v/>
      </c>
    </row>
    <row r="1666" spans="1:18">
      <c r="A1666" s="4">
        <v>1675</v>
      </c>
      <c r="C1666" s="8" t="str">
        <f>IF(B1666="","",VLOOKUP(B1666,经纬!B:C,2,FALSE))</f>
        <v/>
      </c>
      <c r="D1666" s="8" t="str">
        <f>IF(B1666="","",VLOOKUP(B1666,经纬!B:G,6,FALSE))</f>
        <v/>
      </c>
      <c r="F1666" s="8" t="str">
        <f>IF(B1666="","",VLOOKUP(B1666,小圆机汇总表!A:AP,5,FALSE))</f>
        <v/>
      </c>
      <c r="G1666" s="8" t="str">
        <f>IF(B1666="","",VLOOKUP(B1666,小圆机汇总表!A:AP,8,FALSE))</f>
        <v/>
      </c>
      <c r="P1666" s="8" t="str">
        <f t="shared" si="83"/>
        <v/>
      </c>
      <c r="R1666" s="250" t="str">
        <f t="shared" si="82"/>
        <v/>
      </c>
    </row>
    <row r="1667" spans="1:18">
      <c r="A1667" s="4">
        <v>1676</v>
      </c>
      <c r="C1667" s="8" t="str">
        <f>IF(B1667="","",VLOOKUP(B1667,经纬!B:C,2,FALSE))</f>
        <v/>
      </c>
      <c r="D1667" s="8" t="str">
        <f>IF(B1667="","",VLOOKUP(B1667,经纬!B:G,6,FALSE))</f>
        <v/>
      </c>
      <c r="F1667" s="8" t="str">
        <f>IF(B1667="","",VLOOKUP(B1667,小圆机汇总表!A:AP,5,FALSE))</f>
        <v/>
      </c>
      <c r="G1667" s="8" t="str">
        <f>IF(B1667="","",VLOOKUP(B1667,小圆机汇总表!A:AP,8,FALSE))</f>
        <v/>
      </c>
      <c r="P1667" s="8" t="str">
        <f t="shared" si="83"/>
        <v/>
      </c>
      <c r="R1667" s="250" t="str">
        <f t="shared" ref="R1667:R1676" si="84">IF(B1667="","",MONTH(I1667))</f>
        <v/>
      </c>
    </row>
    <row r="1668" spans="1:18">
      <c r="A1668" s="4">
        <v>1677</v>
      </c>
      <c r="C1668" s="8" t="str">
        <f>IF(B1668="","",VLOOKUP(B1668,经纬!B:C,2,FALSE))</f>
        <v/>
      </c>
      <c r="D1668" s="8" t="str">
        <f>IF(B1668="","",VLOOKUP(B1668,经纬!B:G,6,FALSE))</f>
        <v/>
      </c>
      <c r="F1668" s="8" t="str">
        <f>IF(B1668="","",VLOOKUP(B1668,小圆机汇总表!A:AP,5,FALSE))</f>
        <v/>
      </c>
      <c r="G1668" s="8" t="str">
        <f>IF(B1668="","",VLOOKUP(B1668,小圆机汇总表!A:AP,8,FALSE))</f>
        <v/>
      </c>
      <c r="P1668" s="8" t="str">
        <f t="shared" si="83"/>
        <v/>
      </c>
      <c r="R1668" s="250" t="str">
        <f t="shared" si="84"/>
        <v/>
      </c>
    </row>
    <row r="1669" spans="1:18">
      <c r="A1669" s="4">
        <v>1678</v>
      </c>
      <c r="C1669" s="8" t="str">
        <f>IF(B1669="","",VLOOKUP(B1669,经纬!B:C,2,FALSE))</f>
        <v/>
      </c>
      <c r="D1669" s="8" t="str">
        <f>IF(B1669="","",VLOOKUP(B1669,经纬!B:G,6,FALSE))</f>
        <v/>
      </c>
      <c r="F1669" s="8" t="str">
        <f>IF(B1669="","",VLOOKUP(B1669,小圆机汇总表!A:AP,5,FALSE))</f>
        <v/>
      </c>
      <c r="G1669" s="8" t="str">
        <f>IF(B1669="","",VLOOKUP(B1669,小圆机汇总表!A:AP,8,FALSE))</f>
        <v/>
      </c>
      <c r="P1669" s="8" t="str">
        <f t="shared" si="83"/>
        <v/>
      </c>
      <c r="R1669" s="250" t="str">
        <f t="shared" si="84"/>
        <v/>
      </c>
    </row>
    <row r="1670" spans="1:18">
      <c r="A1670" s="4">
        <v>1679</v>
      </c>
      <c r="C1670" s="8" t="str">
        <f>IF(B1670="","",VLOOKUP(B1670,经纬!B:C,2,FALSE))</f>
        <v/>
      </c>
      <c r="D1670" s="8" t="str">
        <f>IF(B1670="","",VLOOKUP(B1670,经纬!B:G,6,FALSE))</f>
        <v/>
      </c>
      <c r="F1670" s="8" t="str">
        <f>IF(B1670="","",VLOOKUP(B1670,小圆机汇总表!A:AP,5,FALSE))</f>
        <v/>
      </c>
      <c r="G1670" s="8" t="str">
        <f>IF(B1670="","",VLOOKUP(B1670,小圆机汇总表!A:AP,8,FALSE))</f>
        <v/>
      </c>
      <c r="P1670" s="8" t="str">
        <f t="shared" si="83"/>
        <v/>
      </c>
      <c r="R1670" s="250" t="str">
        <f t="shared" si="84"/>
        <v/>
      </c>
    </row>
    <row r="1671" spans="1:18">
      <c r="A1671" s="4">
        <v>1680</v>
      </c>
      <c r="C1671" s="8" t="str">
        <f>IF(B1671="","",VLOOKUP(B1671,经纬!B:C,2,FALSE))</f>
        <v/>
      </c>
      <c r="D1671" s="8" t="str">
        <f>IF(B1671="","",VLOOKUP(B1671,经纬!B:G,6,FALSE))</f>
        <v/>
      </c>
      <c r="F1671" s="8" t="str">
        <f>IF(B1671="","",VLOOKUP(B1671,小圆机汇总表!A:AP,5,FALSE))</f>
        <v/>
      </c>
      <c r="G1671" s="8" t="str">
        <f>IF(B1671="","",VLOOKUP(B1671,小圆机汇总表!A:AP,8,FALSE))</f>
        <v/>
      </c>
      <c r="P1671" s="8" t="str">
        <f t="shared" si="83"/>
        <v/>
      </c>
      <c r="R1671" s="250" t="str">
        <f t="shared" si="84"/>
        <v/>
      </c>
    </row>
    <row r="1672" spans="1:18">
      <c r="A1672" s="4">
        <v>1681</v>
      </c>
      <c r="C1672" s="8" t="str">
        <f>IF(B1672="","",VLOOKUP(B1672,经纬!B:C,2,FALSE))</f>
        <v/>
      </c>
      <c r="D1672" s="8" t="str">
        <f>IF(B1672="","",VLOOKUP(B1672,经纬!B:G,6,FALSE))</f>
        <v/>
      </c>
      <c r="F1672" s="8" t="str">
        <f>IF(B1672="","",VLOOKUP(B1672,小圆机汇总表!A:AP,5,FALSE))</f>
        <v/>
      </c>
      <c r="G1672" s="8" t="str">
        <f>IF(B1672="","",VLOOKUP(B1672,小圆机汇总表!A:AP,8,FALSE))</f>
        <v/>
      </c>
      <c r="P1672" s="8" t="str">
        <f t="shared" si="83"/>
        <v/>
      </c>
      <c r="R1672" s="250" t="str">
        <f t="shared" si="84"/>
        <v/>
      </c>
    </row>
    <row r="1673" spans="1:18">
      <c r="A1673" s="4">
        <v>1682</v>
      </c>
      <c r="C1673" s="8" t="str">
        <f>IF(B1673="","",VLOOKUP(B1673,经纬!B:C,2,FALSE))</f>
        <v/>
      </c>
      <c r="D1673" s="8" t="str">
        <f>IF(B1673="","",VLOOKUP(B1673,经纬!B:G,6,FALSE))</f>
        <v/>
      </c>
      <c r="F1673" s="8" t="str">
        <f>IF(B1673="","",VLOOKUP(B1673,小圆机汇总表!A:AP,5,FALSE))</f>
        <v/>
      </c>
      <c r="G1673" s="8" t="str">
        <f>IF(B1673="","",VLOOKUP(B1673,小圆机汇总表!A:AP,8,FALSE))</f>
        <v/>
      </c>
      <c r="P1673" s="8" t="str">
        <f t="shared" si="83"/>
        <v/>
      </c>
      <c r="R1673" s="250" t="str">
        <f t="shared" si="84"/>
        <v/>
      </c>
    </row>
    <row r="1674" spans="1:18">
      <c r="A1674" s="4">
        <v>1683</v>
      </c>
      <c r="C1674" s="8" t="str">
        <f>IF(B1674="","",VLOOKUP(B1674,经纬!B:C,2,FALSE))</f>
        <v/>
      </c>
      <c r="D1674" s="8" t="str">
        <f>IF(B1674="","",VLOOKUP(B1674,经纬!B:G,6,FALSE))</f>
        <v/>
      </c>
      <c r="F1674" s="8" t="str">
        <f>IF(B1674="","",VLOOKUP(B1674,小圆机汇总表!A:AP,5,FALSE))</f>
        <v/>
      </c>
      <c r="G1674" s="8" t="str">
        <f>IF(B1674="","",VLOOKUP(B1674,小圆机汇总表!A:AP,8,FALSE))</f>
        <v/>
      </c>
      <c r="P1674" s="8" t="str">
        <f t="shared" si="83"/>
        <v/>
      </c>
      <c r="R1674" s="250" t="str">
        <f t="shared" si="84"/>
        <v/>
      </c>
    </row>
    <row r="1675" spans="1:18">
      <c r="A1675" s="4">
        <v>1684</v>
      </c>
      <c r="C1675" s="8" t="str">
        <f>IF(B1675="","",VLOOKUP(B1675,经纬!B:C,2,FALSE))</f>
        <v/>
      </c>
      <c r="D1675" s="8" t="str">
        <f>IF(B1675="","",VLOOKUP(B1675,经纬!B:G,6,FALSE))</f>
        <v/>
      </c>
      <c r="F1675" s="8" t="str">
        <f>IF(B1675="","",VLOOKUP(B1675,小圆机汇总表!A:AP,5,FALSE))</f>
        <v/>
      </c>
      <c r="G1675" s="8" t="str">
        <f>IF(B1675="","",VLOOKUP(B1675,小圆机汇总表!A:AP,8,FALSE))</f>
        <v/>
      </c>
      <c r="P1675" s="8" t="str">
        <f t="shared" si="83"/>
        <v/>
      </c>
      <c r="R1675" s="250" t="str">
        <f t="shared" si="84"/>
        <v/>
      </c>
    </row>
    <row r="1676" spans="1:18">
      <c r="A1676" s="4">
        <v>1685</v>
      </c>
      <c r="C1676" s="8" t="str">
        <f>IF(B1676="","",VLOOKUP(B1676,经纬!B:C,2,FALSE))</f>
        <v/>
      </c>
      <c r="D1676" s="8" t="str">
        <f>IF(B1676="","",VLOOKUP(B1676,经纬!B:G,6,FALSE))</f>
        <v/>
      </c>
      <c r="F1676" s="8" t="str">
        <f>IF(B1676="","",VLOOKUP(B1676,小圆机汇总表!A:AP,5,FALSE))</f>
        <v/>
      </c>
      <c r="G1676" s="8" t="str">
        <f>IF(B1676="","",VLOOKUP(B1676,小圆机汇总表!A:AP,8,FALSE))</f>
        <v/>
      </c>
      <c r="P1676" s="8" t="str">
        <f t="shared" si="83"/>
        <v/>
      </c>
      <c r="R1676" s="250" t="str">
        <f t="shared" si="84"/>
        <v/>
      </c>
    </row>
    <row r="1677" spans="1:18">
      <c r="A1677" s="4">
        <v>1686</v>
      </c>
      <c r="C1677" s="8" t="str">
        <f>IF(B1677="","",VLOOKUP(B1677,经纬!B:C,2,FALSE))</f>
        <v/>
      </c>
      <c r="D1677" s="8" t="str">
        <f>IF(B1677="","",VLOOKUP(B1677,经纬!B:G,6,FALSE))</f>
        <v/>
      </c>
      <c r="F1677" s="8" t="str">
        <f>IF(B1677="","",VLOOKUP(B1677,小圆机汇总表!A:AP,5,FALSE))</f>
        <v/>
      </c>
      <c r="G1677" s="8" t="str">
        <f>IF(B1677="","",VLOOKUP(B1677,小圆机汇总表!A:AP,8,FALSE))</f>
        <v/>
      </c>
      <c r="P1677" s="8" t="str">
        <f t="shared" si="83"/>
        <v/>
      </c>
    </row>
    <row r="1678" spans="1:18">
      <c r="A1678" s="4">
        <v>1687</v>
      </c>
      <c r="C1678" s="8" t="str">
        <f>IF(B1678="","",VLOOKUP(B1678,经纬!B:C,2,FALSE))</f>
        <v/>
      </c>
      <c r="D1678" s="8" t="str">
        <f>IF(B1678="","",VLOOKUP(B1678,经纬!B:G,6,FALSE))</f>
        <v/>
      </c>
      <c r="F1678" s="8" t="str">
        <f>IF(B1678="","",VLOOKUP(B1678,小圆机汇总表!A:AP,5,FALSE))</f>
        <v/>
      </c>
      <c r="G1678" s="8" t="str">
        <f>IF(B1678="","",VLOOKUP(B1678,小圆机汇总表!A:AP,8,FALSE))</f>
        <v/>
      </c>
      <c r="P1678" s="8" t="str">
        <f t="shared" si="83"/>
        <v/>
      </c>
    </row>
    <row r="1679" spans="1:18">
      <c r="A1679" s="4">
        <v>1688</v>
      </c>
      <c r="C1679" s="8" t="str">
        <f>IF(B1679="","",VLOOKUP(B1679,经纬!B:C,2,FALSE))</f>
        <v/>
      </c>
      <c r="D1679" s="8" t="str">
        <f>IF(B1679="","",VLOOKUP(B1679,经纬!B:G,6,FALSE))</f>
        <v/>
      </c>
      <c r="F1679" s="8" t="str">
        <f>IF(B1679="","",VLOOKUP(B1679,小圆机汇总表!A:AP,5,FALSE))</f>
        <v/>
      </c>
      <c r="G1679" s="8" t="str">
        <f>IF(B1679="","",VLOOKUP(B1679,小圆机汇总表!A:AP,8,FALSE))</f>
        <v/>
      </c>
      <c r="P1679" s="8" t="str">
        <f t="shared" si="83"/>
        <v/>
      </c>
    </row>
    <row r="1680" spans="1:18">
      <c r="A1680" s="4">
        <v>1689</v>
      </c>
      <c r="C1680" s="8" t="str">
        <f>IF(B1680="","",VLOOKUP(B1680,经纬!B:C,2,FALSE))</f>
        <v/>
      </c>
      <c r="D1680" s="8" t="str">
        <f>IF(B1680="","",VLOOKUP(B1680,经纬!B:G,6,FALSE))</f>
        <v/>
      </c>
      <c r="F1680" s="8" t="str">
        <f>IF(B1680="","",VLOOKUP(B1680,小圆机汇总表!A:AP,5,FALSE))</f>
        <v/>
      </c>
      <c r="G1680" s="8" t="str">
        <f>IF(B1680="","",VLOOKUP(B1680,小圆机汇总表!A:AP,8,FALSE))</f>
        <v/>
      </c>
      <c r="P1680" s="8" t="str">
        <f t="shared" si="83"/>
        <v/>
      </c>
    </row>
    <row r="1681" spans="1:16">
      <c r="A1681" s="4">
        <v>1690</v>
      </c>
      <c r="C1681" s="8" t="str">
        <f>IF(B1681="","",VLOOKUP(B1681,经纬!B:C,2,FALSE))</f>
        <v/>
      </c>
      <c r="D1681" s="8" t="str">
        <f>IF(B1681="","",VLOOKUP(B1681,经纬!B:G,6,FALSE))</f>
        <v/>
      </c>
      <c r="F1681" s="8" t="str">
        <f>IF(B1681="","",VLOOKUP(B1681,小圆机汇总表!A:AP,5,FALSE))</f>
        <v/>
      </c>
      <c r="G1681" s="8" t="str">
        <f>IF(B1681="","",VLOOKUP(B1681,小圆机汇总表!A:AP,8,FALSE))</f>
        <v/>
      </c>
      <c r="P1681" s="8" t="str">
        <f t="shared" si="83"/>
        <v/>
      </c>
    </row>
    <row r="1682" spans="1:16">
      <c r="A1682" s="4">
        <v>1691</v>
      </c>
      <c r="C1682" s="8" t="str">
        <f>IF(B1682="","",VLOOKUP(B1682,经纬!B:C,2,FALSE))</f>
        <v/>
      </c>
      <c r="D1682" s="8" t="str">
        <f>IF(B1682="","",VLOOKUP(B1682,经纬!B:G,6,FALSE))</f>
        <v/>
      </c>
      <c r="F1682" s="8" t="str">
        <f>IF(B1682="","",VLOOKUP(B1682,小圆机汇总表!A:AP,5,FALSE))</f>
        <v/>
      </c>
      <c r="G1682" s="8" t="str">
        <f>IF(B1682="","",VLOOKUP(B1682,小圆机汇总表!A:AP,8,FALSE))</f>
        <v/>
      </c>
      <c r="P1682" s="8" t="str">
        <f t="shared" si="83"/>
        <v/>
      </c>
    </row>
    <row r="1683" spans="1:16">
      <c r="A1683" s="4">
        <v>1692</v>
      </c>
      <c r="C1683" s="8" t="str">
        <f>IF(B1683="","",VLOOKUP(B1683,经纬!B:C,2,FALSE))</f>
        <v/>
      </c>
      <c r="D1683" s="8" t="str">
        <f>IF(B1683="","",VLOOKUP(B1683,经纬!B:G,6,FALSE))</f>
        <v/>
      </c>
      <c r="F1683" s="8" t="str">
        <f>IF(B1683="","",VLOOKUP(B1683,小圆机汇总表!A:AP,5,FALSE))</f>
        <v/>
      </c>
      <c r="G1683" s="8" t="str">
        <f>IF(B1683="","",VLOOKUP(B1683,小圆机汇总表!A:AP,8,FALSE))</f>
        <v/>
      </c>
      <c r="P1683" s="8" t="str">
        <f t="shared" si="83"/>
        <v/>
      </c>
    </row>
    <row r="1684" spans="1:16">
      <c r="A1684" s="4">
        <v>1693</v>
      </c>
      <c r="C1684" s="8" t="str">
        <f>IF(B1684="","",VLOOKUP(B1684,经纬!B:C,2,FALSE))</f>
        <v/>
      </c>
      <c r="D1684" s="8" t="str">
        <f>IF(B1684="","",VLOOKUP(B1684,经纬!B:G,6,FALSE))</f>
        <v/>
      </c>
      <c r="F1684" s="8" t="str">
        <f>IF(B1684="","",VLOOKUP(B1684,小圆机汇总表!A:AP,5,FALSE))</f>
        <v/>
      </c>
      <c r="G1684" s="8" t="str">
        <f>IF(B1684="","",VLOOKUP(B1684,小圆机汇总表!A:AP,8,FALSE))</f>
        <v/>
      </c>
      <c r="P1684" s="8" t="str">
        <f t="shared" si="83"/>
        <v/>
      </c>
    </row>
    <row r="1685" spans="1:16">
      <c r="A1685" s="4">
        <v>1694</v>
      </c>
      <c r="C1685" s="8" t="str">
        <f>IF(B1685="","",VLOOKUP(B1685,经纬!B:C,2,FALSE))</f>
        <v/>
      </c>
      <c r="D1685" s="8" t="str">
        <f>IF(B1685="","",VLOOKUP(B1685,经纬!B:G,6,FALSE))</f>
        <v/>
      </c>
      <c r="F1685" s="8" t="str">
        <f>IF(B1685="","",VLOOKUP(B1685,小圆机汇总表!A:AP,5,FALSE))</f>
        <v/>
      </c>
      <c r="G1685" s="8" t="str">
        <f>IF(B1685="","",VLOOKUP(B1685,小圆机汇总表!A:AP,8,FALSE))</f>
        <v/>
      </c>
      <c r="P1685" s="8" t="str">
        <f t="shared" si="83"/>
        <v/>
      </c>
    </row>
    <row r="1686" spans="1:16">
      <c r="A1686" s="4">
        <v>1695</v>
      </c>
      <c r="C1686" s="8" t="str">
        <f>IF(B1686="","",VLOOKUP(B1686,经纬!B:C,2,FALSE))</f>
        <v/>
      </c>
      <c r="D1686" s="8" t="str">
        <f>IF(B1686="","",VLOOKUP(B1686,经纬!B:G,6,FALSE))</f>
        <v/>
      </c>
      <c r="F1686" s="8" t="str">
        <f>IF(B1686="","",VLOOKUP(B1686,小圆机汇总表!A:AP,5,FALSE))</f>
        <v/>
      </c>
      <c r="G1686" s="8" t="str">
        <f>IF(B1686="","",VLOOKUP(B1686,小圆机汇总表!A:AP,8,FALSE))</f>
        <v/>
      </c>
      <c r="P1686" s="8" t="str">
        <f t="shared" si="83"/>
        <v/>
      </c>
    </row>
    <row r="1687" spans="1:16">
      <c r="A1687" s="4">
        <v>1696</v>
      </c>
      <c r="C1687" s="8" t="str">
        <f>IF(B1687="","",VLOOKUP(B1687,经纬!B:C,2,FALSE))</f>
        <v/>
      </c>
      <c r="D1687" s="8" t="str">
        <f>IF(B1687="","",VLOOKUP(B1687,经纬!B:G,6,FALSE))</f>
        <v/>
      </c>
      <c r="F1687" s="8" t="str">
        <f>IF(B1687="","",VLOOKUP(B1687,小圆机汇总表!A:AP,5,FALSE))</f>
        <v/>
      </c>
      <c r="G1687" s="8" t="str">
        <f>IF(B1687="","",VLOOKUP(B1687,小圆机汇总表!A:AP,8,FALSE))</f>
        <v/>
      </c>
      <c r="P1687" s="8" t="str">
        <f t="shared" si="83"/>
        <v/>
      </c>
    </row>
    <row r="1688" spans="1:16">
      <c r="A1688" s="4">
        <v>1697</v>
      </c>
      <c r="C1688" s="8" t="str">
        <f>IF(B1688="","",VLOOKUP(B1688,经纬!B:C,2,FALSE))</f>
        <v/>
      </c>
      <c r="D1688" s="8" t="str">
        <f>IF(B1688="","",VLOOKUP(B1688,经纬!B:G,6,FALSE))</f>
        <v/>
      </c>
      <c r="F1688" s="8" t="str">
        <f>IF(B1688="","",VLOOKUP(B1688,小圆机汇总表!A:AP,5,FALSE))</f>
        <v/>
      </c>
      <c r="G1688" s="8" t="str">
        <f>IF(B1688="","",VLOOKUP(B1688,小圆机汇总表!A:AP,8,FALSE))</f>
        <v/>
      </c>
      <c r="P1688" s="8" t="str">
        <f t="shared" si="83"/>
        <v/>
      </c>
    </row>
    <row r="1689" spans="1:16">
      <c r="A1689" s="4">
        <v>1698</v>
      </c>
      <c r="C1689" s="8" t="str">
        <f>IF(B1689="","",VLOOKUP(B1689,经纬!B:C,2,FALSE))</f>
        <v/>
      </c>
      <c r="D1689" s="8" t="str">
        <f>IF(B1689="","",VLOOKUP(B1689,经纬!B:G,6,FALSE))</f>
        <v/>
      </c>
      <c r="F1689" s="8" t="str">
        <f>IF(B1689="","",VLOOKUP(B1689,小圆机汇总表!A:AP,5,FALSE))</f>
        <v/>
      </c>
      <c r="G1689" s="8" t="str">
        <f>IF(B1689="","",VLOOKUP(B1689,小圆机汇总表!A:AP,8,FALSE))</f>
        <v/>
      </c>
      <c r="P1689" s="8" t="str">
        <f t="shared" si="83"/>
        <v/>
      </c>
    </row>
    <row r="1690" spans="1:16">
      <c r="A1690" s="4">
        <v>1699</v>
      </c>
      <c r="C1690" s="8" t="str">
        <f>IF(B1690="","",VLOOKUP(B1690,经纬!B:C,2,FALSE))</f>
        <v/>
      </c>
      <c r="D1690" s="8" t="str">
        <f>IF(B1690="","",VLOOKUP(B1690,经纬!B:G,6,FALSE))</f>
        <v/>
      </c>
      <c r="F1690" s="8" t="str">
        <f>IF(B1690="","",VLOOKUP(B1690,小圆机汇总表!A:AP,5,FALSE))</f>
        <v/>
      </c>
      <c r="G1690" s="8" t="str">
        <f>IF(B1690="","",VLOOKUP(B1690,小圆机汇总表!A:AP,8,FALSE))</f>
        <v/>
      </c>
      <c r="P1690" s="8" t="str">
        <f t="shared" ref="P1690:P1753" si="85">IF(B1690="","",MONTH(I1690))</f>
        <v/>
      </c>
    </row>
    <row r="1691" spans="1:16">
      <c r="A1691" s="4">
        <v>1700</v>
      </c>
      <c r="C1691" s="8" t="str">
        <f>IF(B1691="","",VLOOKUP(B1691,经纬!B:C,2,FALSE))</f>
        <v/>
      </c>
      <c r="D1691" s="8" t="str">
        <f>IF(B1691="","",VLOOKUP(B1691,经纬!B:G,6,FALSE))</f>
        <v/>
      </c>
      <c r="F1691" s="8" t="str">
        <f>IF(B1691="","",VLOOKUP(B1691,小圆机汇总表!A:AP,5,FALSE))</f>
        <v/>
      </c>
      <c r="G1691" s="8" t="str">
        <f>IF(B1691="","",VLOOKUP(B1691,小圆机汇总表!A:AP,8,FALSE))</f>
        <v/>
      </c>
      <c r="P1691" s="8" t="str">
        <f t="shared" si="85"/>
        <v/>
      </c>
    </row>
    <row r="1692" spans="1:16">
      <c r="A1692" s="4">
        <v>1701</v>
      </c>
      <c r="C1692" s="8" t="str">
        <f>IF(B1692="","",VLOOKUP(B1692,经纬!B:C,2,FALSE))</f>
        <v/>
      </c>
      <c r="D1692" s="8" t="str">
        <f>IF(B1692="","",VLOOKUP(B1692,经纬!B:G,6,FALSE))</f>
        <v/>
      </c>
      <c r="F1692" s="8" t="str">
        <f>IF(B1692="","",VLOOKUP(B1692,小圆机汇总表!A:AP,5,FALSE))</f>
        <v/>
      </c>
      <c r="G1692" s="8" t="str">
        <f>IF(B1692="","",VLOOKUP(B1692,小圆机汇总表!A:AP,8,FALSE))</f>
        <v/>
      </c>
      <c r="P1692" s="8" t="str">
        <f t="shared" si="85"/>
        <v/>
      </c>
    </row>
    <row r="1693" spans="1:16">
      <c r="A1693" s="4">
        <v>1702</v>
      </c>
      <c r="C1693" s="8" t="str">
        <f>IF(B1693="","",VLOOKUP(B1693,经纬!B:C,2,FALSE))</f>
        <v/>
      </c>
      <c r="D1693" s="8" t="str">
        <f>IF(B1693="","",VLOOKUP(B1693,经纬!B:G,6,FALSE))</f>
        <v/>
      </c>
      <c r="F1693" s="8" t="str">
        <f>IF(B1693="","",VLOOKUP(B1693,小圆机汇总表!A:AP,5,FALSE))</f>
        <v/>
      </c>
      <c r="G1693" s="8" t="str">
        <f>IF(B1693="","",VLOOKUP(B1693,小圆机汇总表!A:AP,8,FALSE))</f>
        <v/>
      </c>
      <c r="P1693" s="8" t="str">
        <f t="shared" si="85"/>
        <v/>
      </c>
    </row>
    <row r="1694" spans="1:16">
      <c r="A1694" s="4">
        <v>1703</v>
      </c>
      <c r="C1694" s="8" t="str">
        <f>IF(B1694="","",VLOOKUP(B1694,经纬!B:C,2,FALSE))</f>
        <v/>
      </c>
      <c r="D1694" s="8" t="str">
        <f>IF(B1694="","",VLOOKUP(B1694,经纬!B:G,6,FALSE))</f>
        <v/>
      </c>
      <c r="F1694" s="8" t="str">
        <f>IF(B1694="","",VLOOKUP(B1694,小圆机汇总表!A:AP,5,FALSE))</f>
        <v/>
      </c>
      <c r="G1694" s="8" t="str">
        <f>IF(B1694="","",VLOOKUP(B1694,小圆机汇总表!A:AP,8,FALSE))</f>
        <v/>
      </c>
      <c r="P1694" s="8" t="str">
        <f t="shared" si="85"/>
        <v/>
      </c>
    </row>
    <row r="1695" spans="1:16">
      <c r="A1695" s="4">
        <v>1704</v>
      </c>
      <c r="C1695" s="8" t="str">
        <f>IF(B1695="","",VLOOKUP(B1695,经纬!B:C,2,FALSE))</f>
        <v/>
      </c>
      <c r="D1695" s="8" t="str">
        <f>IF(B1695="","",VLOOKUP(B1695,经纬!B:G,6,FALSE))</f>
        <v/>
      </c>
      <c r="F1695" s="8" t="str">
        <f>IF(B1695="","",VLOOKUP(B1695,小圆机汇总表!A:AP,5,FALSE))</f>
        <v/>
      </c>
      <c r="G1695" s="8" t="str">
        <f>IF(B1695="","",VLOOKUP(B1695,小圆机汇总表!A:AP,8,FALSE))</f>
        <v/>
      </c>
      <c r="P1695" s="8" t="str">
        <f t="shared" si="85"/>
        <v/>
      </c>
    </row>
    <row r="1696" spans="1:16">
      <c r="A1696" s="4">
        <v>1705</v>
      </c>
      <c r="C1696" s="8" t="str">
        <f>IF(B1696="","",VLOOKUP(B1696,经纬!B:C,2,FALSE))</f>
        <v/>
      </c>
      <c r="D1696" s="8" t="str">
        <f>IF(B1696="","",VLOOKUP(B1696,经纬!B:G,6,FALSE))</f>
        <v/>
      </c>
      <c r="F1696" s="8" t="str">
        <f>IF(B1696="","",VLOOKUP(B1696,小圆机汇总表!A:AP,5,FALSE))</f>
        <v/>
      </c>
      <c r="G1696" s="8" t="str">
        <f>IF(B1696="","",VLOOKUP(B1696,小圆机汇总表!A:AP,8,FALSE))</f>
        <v/>
      </c>
      <c r="P1696" s="8" t="str">
        <f t="shared" si="85"/>
        <v/>
      </c>
    </row>
    <row r="1697" spans="1:16">
      <c r="A1697" s="4">
        <v>1706</v>
      </c>
      <c r="C1697" s="8" t="str">
        <f>IF(B1697="","",VLOOKUP(B1697,经纬!B:C,2,FALSE))</f>
        <v/>
      </c>
      <c r="D1697" s="8" t="str">
        <f>IF(B1697="","",VLOOKUP(B1697,经纬!B:G,6,FALSE))</f>
        <v/>
      </c>
      <c r="F1697" s="8" t="str">
        <f>IF(B1697="","",VLOOKUP(B1697,小圆机汇总表!A:AP,5,FALSE))</f>
        <v/>
      </c>
      <c r="G1697" s="8" t="str">
        <f>IF(B1697="","",VLOOKUP(B1697,小圆机汇总表!A:AP,8,FALSE))</f>
        <v/>
      </c>
      <c r="P1697" s="8" t="str">
        <f t="shared" si="85"/>
        <v/>
      </c>
    </row>
    <row r="1698" spans="1:16">
      <c r="A1698" s="4">
        <v>1707</v>
      </c>
      <c r="C1698" s="8" t="str">
        <f>IF(B1698="","",VLOOKUP(B1698,经纬!B:C,2,FALSE))</f>
        <v/>
      </c>
      <c r="D1698" s="8" t="str">
        <f>IF(B1698="","",VLOOKUP(B1698,经纬!B:G,6,FALSE))</f>
        <v/>
      </c>
      <c r="F1698" s="8" t="str">
        <f>IF(B1698="","",VLOOKUP(B1698,小圆机汇总表!A:AP,5,FALSE))</f>
        <v/>
      </c>
      <c r="G1698" s="8" t="str">
        <f>IF(B1698="","",VLOOKUP(B1698,小圆机汇总表!A:AP,8,FALSE))</f>
        <v/>
      </c>
      <c r="P1698" s="8" t="str">
        <f t="shared" si="85"/>
        <v/>
      </c>
    </row>
    <row r="1699" spans="1:16">
      <c r="A1699" s="4">
        <v>1708</v>
      </c>
      <c r="C1699" s="8" t="str">
        <f>IF(B1699="","",VLOOKUP(B1699,经纬!B:C,2,FALSE))</f>
        <v/>
      </c>
      <c r="D1699" s="8" t="str">
        <f>IF(B1699="","",VLOOKUP(B1699,经纬!B:G,6,FALSE))</f>
        <v/>
      </c>
      <c r="F1699" s="8" t="str">
        <f>IF(B1699="","",VLOOKUP(B1699,小圆机汇总表!A:AP,5,FALSE))</f>
        <v/>
      </c>
      <c r="G1699" s="8" t="str">
        <f>IF(B1699="","",VLOOKUP(B1699,小圆机汇总表!A:AP,8,FALSE))</f>
        <v/>
      </c>
      <c r="P1699" s="8" t="str">
        <f t="shared" si="85"/>
        <v/>
      </c>
    </row>
    <row r="1700" spans="1:16">
      <c r="A1700" s="4">
        <v>1709</v>
      </c>
      <c r="C1700" s="8" t="str">
        <f>IF(B1700="","",VLOOKUP(B1700,经纬!B:C,2,FALSE))</f>
        <v/>
      </c>
      <c r="D1700" s="8" t="str">
        <f>IF(B1700="","",VLOOKUP(B1700,经纬!B:G,6,FALSE))</f>
        <v/>
      </c>
      <c r="F1700" s="8" t="str">
        <f>IF(B1700="","",VLOOKUP(B1700,小圆机汇总表!A:AP,5,FALSE))</f>
        <v/>
      </c>
      <c r="G1700" s="8" t="str">
        <f>IF(B1700="","",VLOOKUP(B1700,小圆机汇总表!A:AP,8,FALSE))</f>
        <v/>
      </c>
      <c r="P1700" s="8" t="str">
        <f t="shared" si="85"/>
        <v/>
      </c>
    </row>
    <row r="1701" spans="1:16">
      <c r="A1701" s="4">
        <v>1710</v>
      </c>
      <c r="C1701" s="8" t="str">
        <f>IF(B1701="","",VLOOKUP(B1701,经纬!B:C,2,FALSE))</f>
        <v/>
      </c>
      <c r="D1701" s="8" t="str">
        <f>IF(B1701="","",VLOOKUP(B1701,经纬!B:G,6,FALSE))</f>
        <v/>
      </c>
      <c r="F1701" s="8" t="str">
        <f>IF(B1701="","",VLOOKUP(B1701,小圆机汇总表!A:AP,5,FALSE))</f>
        <v/>
      </c>
      <c r="G1701" s="8" t="str">
        <f>IF(B1701="","",VLOOKUP(B1701,小圆机汇总表!A:AP,8,FALSE))</f>
        <v/>
      </c>
      <c r="P1701" s="8" t="str">
        <f t="shared" si="85"/>
        <v/>
      </c>
    </row>
    <row r="1702" spans="1:16">
      <c r="A1702" s="4">
        <v>1711</v>
      </c>
      <c r="C1702" s="8" t="str">
        <f>IF(B1702="","",VLOOKUP(B1702,经纬!B:C,2,FALSE))</f>
        <v/>
      </c>
      <c r="D1702" s="8" t="str">
        <f>IF(B1702="","",VLOOKUP(B1702,经纬!B:G,6,FALSE))</f>
        <v/>
      </c>
      <c r="F1702" s="8" t="str">
        <f>IF(B1702="","",VLOOKUP(B1702,小圆机汇总表!A:AP,5,FALSE))</f>
        <v/>
      </c>
      <c r="G1702" s="8" t="str">
        <f>IF(B1702="","",VLOOKUP(B1702,小圆机汇总表!A:AP,8,FALSE))</f>
        <v/>
      </c>
      <c r="P1702" s="8" t="str">
        <f t="shared" si="85"/>
        <v/>
      </c>
    </row>
    <row r="1703" spans="1:16">
      <c r="A1703" s="4">
        <v>1712</v>
      </c>
      <c r="C1703" s="8" t="str">
        <f>IF(B1703="","",VLOOKUP(B1703,经纬!B:C,2,FALSE))</f>
        <v/>
      </c>
      <c r="D1703" s="8" t="str">
        <f>IF(B1703="","",VLOOKUP(B1703,经纬!B:G,6,FALSE))</f>
        <v/>
      </c>
      <c r="F1703" s="8" t="str">
        <f>IF(B1703="","",VLOOKUP(B1703,小圆机汇总表!A:AP,5,FALSE))</f>
        <v/>
      </c>
      <c r="G1703" s="8" t="str">
        <f>IF(B1703="","",VLOOKUP(B1703,小圆机汇总表!A:AP,8,FALSE))</f>
        <v/>
      </c>
      <c r="P1703" s="8" t="str">
        <f t="shared" si="85"/>
        <v/>
      </c>
    </row>
    <row r="1704" spans="1:16">
      <c r="A1704" s="4">
        <v>1713</v>
      </c>
      <c r="C1704" s="8" t="str">
        <f>IF(B1704="","",VLOOKUP(B1704,经纬!B:C,2,FALSE))</f>
        <v/>
      </c>
      <c r="D1704" s="8" t="str">
        <f>IF(B1704="","",VLOOKUP(B1704,经纬!B:G,6,FALSE))</f>
        <v/>
      </c>
      <c r="F1704" s="8" t="str">
        <f>IF(B1704="","",VLOOKUP(B1704,小圆机汇总表!A:AP,5,FALSE))</f>
        <v/>
      </c>
      <c r="G1704" s="8" t="str">
        <f>IF(B1704="","",VLOOKUP(B1704,小圆机汇总表!A:AP,8,FALSE))</f>
        <v/>
      </c>
      <c r="P1704" s="8" t="str">
        <f t="shared" si="85"/>
        <v/>
      </c>
    </row>
    <row r="1705" spans="1:16">
      <c r="A1705" s="4">
        <v>1714</v>
      </c>
      <c r="C1705" s="8" t="str">
        <f>IF(B1705="","",VLOOKUP(B1705,经纬!B:C,2,FALSE))</f>
        <v/>
      </c>
      <c r="D1705" s="8" t="str">
        <f>IF(B1705="","",VLOOKUP(B1705,经纬!B:G,6,FALSE))</f>
        <v/>
      </c>
      <c r="F1705" s="8" t="str">
        <f>IF(B1705="","",VLOOKUP(B1705,小圆机汇总表!A:AP,5,FALSE))</f>
        <v/>
      </c>
      <c r="G1705" s="8" t="str">
        <f>IF(B1705="","",VLOOKUP(B1705,小圆机汇总表!A:AP,8,FALSE))</f>
        <v/>
      </c>
      <c r="P1705" s="8" t="str">
        <f t="shared" si="85"/>
        <v/>
      </c>
    </row>
    <row r="1706" spans="1:16">
      <c r="A1706" s="4">
        <v>1715</v>
      </c>
      <c r="C1706" s="8" t="str">
        <f>IF(B1706="","",VLOOKUP(B1706,经纬!B:C,2,FALSE))</f>
        <v/>
      </c>
      <c r="D1706" s="8" t="str">
        <f>IF(B1706="","",VLOOKUP(B1706,经纬!B:G,6,FALSE))</f>
        <v/>
      </c>
      <c r="F1706" s="8" t="str">
        <f>IF(B1706="","",VLOOKUP(B1706,小圆机汇总表!A:AP,5,FALSE))</f>
        <v/>
      </c>
      <c r="G1706" s="8" t="str">
        <f>IF(B1706="","",VLOOKUP(B1706,小圆机汇总表!A:AP,8,FALSE))</f>
        <v/>
      </c>
      <c r="P1706" s="8" t="str">
        <f t="shared" si="85"/>
        <v/>
      </c>
    </row>
    <row r="1707" spans="1:16">
      <c r="A1707" s="4">
        <v>1716</v>
      </c>
      <c r="C1707" s="8" t="str">
        <f>IF(B1707="","",VLOOKUP(B1707,经纬!B:C,2,FALSE))</f>
        <v/>
      </c>
      <c r="D1707" s="8" t="str">
        <f>IF(B1707="","",VLOOKUP(B1707,经纬!B:G,6,FALSE))</f>
        <v/>
      </c>
      <c r="F1707" s="8" t="str">
        <f>IF(B1707="","",VLOOKUP(B1707,小圆机汇总表!A:AP,5,FALSE))</f>
        <v/>
      </c>
      <c r="G1707" s="8" t="str">
        <f>IF(B1707="","",VLOOKUP(B1707,小圆机汇总表!A:AP,8,FALSE))</f>
        <v/>
      </c>
      <c r="P1707" s="8" t="str">
        <f t="shared" si="85"/>
        <v/>
      </c>
    </row>
    <row r="1708" spans="1:16">
      <c r="A1708" s="4">
        <v>1717</v>
      </c>
      <c r="C1708" s="8" t="str">
        <f>IF(B1708="","",VLOOKUP(B1708,经纬!B:C,2,FALSE))</f>
        <v/>
      </c>
      <c r="D1708" s="8" t="str">
        <f>IF(B1708="","",VLOOKUP(B1708,经纬!B:G,6,FALSE))</f>
        <v/>
      </c>
      <c r="F1708" s="8" t="str">
        <f>IF(B1708="","",VLOOKUP(B1708,小圆机汇总表!A:AP,5,FALSE))</f>
        <v/>
      </c>
      <c r="G1708" s="8" t="str">
        <f>IF(B1708="","",VLOOKUP(B1708,小圆机汇总表!A:AP,8,FALSE))</f>
        <v/>
      </c>
      <c r="P1708" s="8" t="str">
        <f t="shared" si="85"/>
        <v/>
      </c>
    </row>
    <row r="1709" spans="1:16">
      <c r="A1709" s="4">
        <v>1718</v>
      </c>
      <c r="C1709" s="8" t="str">
        <f>IF(B1709="","",VLOOKUP(B1709,经纬!B:C,2,FALSE))</f>
        <v/>
      </c>
      <c r="D1709" s="8" t="str">
        <f>IF(B1709="","",VLOOKUP(B1709,经纬!B:G,6,FALSE))</f>
        <v/>
      </c>
      <c r="F1709" s="8" t="str">
        <f>IF(B1709="","",VLOOKUP(B1709,小圆机汇总表!A:AP,5,FALSE))</f>
        <v/>
      </c>
      <c r="G1709" s="8" t="str">
        <f>IF(B1709="","",VLOOKUP(B1709,小圆机汇总表!A:AP,8,FALSE))</f>
        <v/>
      </c>
      <c r="P1709" s="8" t="str">
        <f t="shared" si="85"/>
        <v/>
      </c>
    </row>
    <row r="1710" spans="1:16">
      <c r="A1710" s="4">
        <v>1719</v>
      </c>
      <c r="C1710" s="8" t="str">
        <f>IF(B1710="","",VLOOKUP(B1710,经纬!B:C,2,FALSE))</f>
        <v/>
      </c>
      <c r="D1710" s="8" t="str">
        <f>IF(B1710="","",VLOOKUP(B1710,经纬!B:G,6,FALSE))</f>
        <v/>
      </c>
      <c r="F1710" s="8" t="str">
        <f>IF(B1710="","",VLOOKUP(B1710,小圆机汇总表!A:AP,5,FALSE))</f>
        <v/>
      </c>
      <c r="G1710" s="8" t="str">
        <f>IF(B1710="","",VLOOKUP(B1710,小圆机汇总表!A:AP,8,FALSE))</f>
        <v/>
      </c>
      <c r="P1710" s="8" t="str">
        <f t="shared" si="85"/>
        <v/>
      </c>
    </row>
    <row r="1711" spans="1:16">
      <c r="A1711" s="4">
        <v>1720</v>
      </c>
      <c r="C1711" s="8" t="str">
        <f>IF(B1711="","",VLOOKUP(B1711,经纬!B:C,2,FALSE))</f>
        <v/>
      </c>
      <c r="D1711" s="8" t="str">
        <f>IF(B1711="","",VLOOKUP(B1711,经纬!B:G,6,FALSE))</f>
        <v/>
      </c>
      <c r="F1711" s="8" t="str">
        <f>IF(B1711="","",VLOOKUP(B1711,小圆机汇总表!A:AP,5,FALSE))</f>
        <v/>
      </c>
      <c r="G1711" s="8" t="str">
        <f>IF(B1711="","",VLOOKUP(B1711,小圆机汇总表!A:AP,8,FALSE))</f>
        <v/>
      </c>
      <c r="P1711" s="8" t="str">
        <f t="shared" si="85"/>
        <v/>
      </c>
    </row>
    <row r="1712" spans="1:16">
      <c r="A1712" s="4">
        <v>1721</v>
      </c>
      <c r="C1712" s="8" t="str">
        <f>IF(B1712="","",VLOOKUP(B1712,经纬!B:C,2,FALSE))</f>
        <v/>
      </c>
      <c r="D1712" s="8" t="str">
        <f>IF(B1712="","",VLOOKUP(B1712,经纬!B:G,6,FALSE))</f>
        <v/>
      </c>
      <c r="F1712" s="8" t="str">
        <f>IF(B1712="","",VLOOKUP(B1712,小圆机汇总表!A:AP,5,FALSE))</f>
        <v/>
      </c>
      <c r="G1712" s="8" t="str">
        <f>IF(B1712="","",VLOOKUP(B1712,小圆机汇总表!A:AP,8,FALSE))</f>
        <v/>
      </c>
      <c r="P1712" s="8" t="str">
        <f t="shared" si="85"/>
        <v/>
      </c>
    </row>
    <row r="1713" spans="1:16">
      <c r="A1713" s="4">
        <v>1722</v>
      </c>
      <c r="C1713" s="8" t="str">
        <f>IF(B1713="","",VLOOKUP(B1713,经纬!B:C,2,FALSE))</f>
        <v/>
      </c>
      <c r="D1713" s="8" t="str">
        <f>IF(B1713="","",VLOOKUP(B1713,经纬!B:G,6,FALSE))</f>
        <v/>
      </c>
      <c r="F1713" s="8" t="str">
        <f>IF(B1713="","",VLOOKUP(B1713,小圆机汇总表!A:AP,5,FALSE))</f>
        <v/>
      </c>
      <c r="G1713" s="8" t="str">
        <f>IF(B1713="","",VLOOKUP(B1713,小圆机汇总表!A:AP,8,FALSE))</f>
        <v/>
      </c>
      <c r="P1713" s="8" t="str">
        <f t="shared" si="85"/>
        <v/>
      </c>
    </row>
    <row r="1714" spans="1:16">
      <c r="A1714" s="4">
        <v>1723</v>
      </c>
      <c r="C1714" s="8" t="str">
        <f>IF(B1714="","",VLOOKUP(B1714,经纬!B:C,2,FALSE))</f>
        <v/>
      </c>
      <c r="D1714" s="8" t="str">
        <f>IF(B1714="","",VLOOKUP(B1714,经纬!B:G,6,FALSE))</f>
        <v/>
      </c>
      <c r="F1714" s="8" t="str">
        <f>IF(B1714="","",VLOOKUP(B1714,小圆机汇总表!A:AP,5,FALSE))</f>
        <v/>
      </c>
      <c r="G1714" s="8" t="str">
        <f>IF(B1714="","",VLOOKUP(B1714,小圆机汇总表!A:AP,8,FALSE))</f>
        <v/>
      </c>
      <c r="P1714" s="8" t="str">
        <f t="shared" si="85"/>
        <v/>
      </c>
    </row>
    <row r="1715" spans="1:16">
      <c r="A1715" s="4">
        <v>1724</v>
      </c>
      <c r="C1715" s="8" t="str">
        <f>IF(B1715="","",VLOOKUP(B1715,经纬!B:C,2,FALSE))</f>
        <v/>
      </c>
      <c r="D1715" s="8" t="str">
        <f>IF(B1715="","",VLOOKUP(B1715,经纬!B:G,6,FALSE))</f>
        <v/>
      </c>
      <c r="F1715" s="8" t="str">
        <f>IF(B1715="","",VLOOKUP(B1715,小圆机汇总表!A:AP,5,FALSE))</f>
        <v/>
      </c>
      <c r="G1715" s="8" t="str">
        <f>IF(B1715="","",VLOOKUP(B1715,小圆机汇总表!A:AP,8,FALSE))</f>
        <v/>
      </c>
      <c r="P1715" s="8" t="str">
        <f t="shared" si="85"/>
        <v/>
      </c>
    </row>
    <row r="1716" spans="1:16">
      <c r="A1716" s="4">
        <v>1725</v>
      </c>
      <c r="C1716" s="8" t="str">
        <f>IF(B1716="","",VLOOKUP(B1716,经纬!B:C,2,FALSE))</f>
        <v/>
      </c>
      <c r="D1716" s="8" t="str">
        <f>IF(B1716="","",VLOOKUP(B1716,经纬!B:G,6,FALSE))</f>
        <v/>
      </c>
      <c r="F1716" s="8" t="str">
        <f>IF(B1716="","",VLOOKUP(B1716,小圆机汇总表!A:AP,5,FALSE))</f>
        <v/>
      </c>
      <c r="G1716" s="8" t="str">
        <f>IF(B1716="","",VLOOKUP(B1716,小圆机汇总表!A:AP,8,FALSE))</f>
        <v/>
      </c>
      <c r="P1716" s="8" t="str">
        <f t="shared" si="85"/>
        <v/>
      </c>
    </row>
    <row r="1717" spans="1:16">
      <c r="A1717" s="4">
        <v>1726</v>
      </c>
      <c r="C1717" s="8" t="str">
        <f>IF(B1717="","",VLOOKUP(B1717,经纬!B:C,2,FALSE))</f>
        <v/>
      </c>
      <c r="D1717" s="8" t="str">
        <f>IF(B1717="","",VLOOKUP(B1717,经纬!B:G,6,FALSE))</f>
        <v/>
      </c>
      <c r="F1717" s="8" t="str">
        <f>IF(B1717="","",VLOOKUP(B1717,小圆机汇总表!A:AP,5,FALSE))</f>
        <v/>
      </c>
      <c r="G1717" s="8" t="str">
        <f>IF(B1717="","",VLOOKUP(B1717,小圆机汇总表!A:AP,8,FALSE))</f>
        <v/>
      </c>
      <c r="P1717" s="8" t="str">
        <f t="shared" si="85"/>
        <v/>
      </c>
    </row>
    <row r="1718" spans="1:16">
      <c r="A1718" s="4">
        <v>1727</v>
      </c>
      <c r="C1718" s="8" t="str">
        <f>IF(B1718="","",VLOOKUP(B1718,经纬!B:C,2,FALSE))</f>
        <v/>
      </c>
      <c r="D1718" s="8" t="str">
        <f>IF(B1718="","",VLOOKUP(B1718,经纬!B:G,6,FALSE))</f>
        <v/>
      </c>
      <c r="F1718" s="8" t="str">
        <f>IF(B1718="","",VLOOKUP(B1718,小圆机汇总表!A:AP,5,FALSE))</f>
        <v/>
      </c>
      <c r="G1718" s="8" t="str">
        <f>IF(B1718="","",VLOOKUP(B1718,小圆机汇总表!A:AP,8,FALSE))</f>
        <v/>
      </c>
      <c r="P1718" s="8" t="str">
        <f t="shared" si="85"/>
        <v/>
      </c>
    </row>
    <row r="1719" spans="1:16">
      <c r="A1719" s="4">
        <v>1728</v>
      </c>
      <c r="C1719" s="8" t="str">
        <f>IF(B1719="","",VLOOKUP(B1719,经纬!B:C,2,FALSE))</f>
        <v/>
      </c>
      <c r="D1719" s="8" t="str">
        <f>IF(B1719="","",VLOOKUP(B1719,经纬!B:G,6,FALSE))</f>
        <v/>
      </c>
      <c r="F1719" s="8" t="str">
        <f>IF(B1719="","",VLOOKUP(B1719,小圆机汇总表!A:AP,5,FALSE))</f>
        <v/>
      </c>
      <c r="G1719" s="8" t="str">
        <f>IF(B1719="","",VLOOKUP(B1719,小圆机汇总表!A:AP,8,FALSE))</f>
        <v/>
      </c>
      <c r="P1719" s="8" t="str">
        <f t="shared" si="85"/>
        <v/>
      </c>
    </row>
    <row r="1720" spans="1:16">
      <c r="A1720" s="4">
        <v>1729</v>
      </c>
      <c r="C1720" s="8" t="str">
        <f>IF(B1720="","",VLOOKUP(B1720,经纬!B:C,2,FALSE))</f>
        <v/>
      </c>
      <c r="D1720" s="8" t="str">
        <f>IF(B1720="","",VLOOKUP(B1720,经纬!B:G,6,FALSE))</f>
        <v/>
      </c>
      <c r="F1720" s="8" t="str">
        <f>IF(B1720="","",VLOOKUP(B1720,小圆机汇总表!A:AP,5,FALSE))</f>
        <v/>
      </c>
      <c r="G1720" s="8" t="str">
        <f>IF(B1720="","",VLOOKUP(B1720,小圆机汇总表!A:AP,8,FALSE))</f>
        <v/>
      </c>
      <c r="P1720" s="8" t="str">
        <f t="shared" si="85"/>
        <v/>
      </c>
    </row>
    <row r="1721" spans="1:16">
      <c r="A1721" s="4">
        <v>1730</v>
      </c>
      <c r="C1721" s="8" t="str">
        <f>IF(B1721="","",VLOOKUP(B1721,经纬!B:C,2,FALSE))</f>
        <v/>
      </c>
      <c r="D1721" s="8" t="str">
        <f>IF(B1721="","",VLOOKUP(B1721,经纬!B:G,6,FALSE))</f>
        <v/>
      </c>
      <c r="F1721" s="8" t="str">
        <f>IF(B1721="","",VLOOKUP(B1721,小圆机汇总表!A:AP,5,FALSE))</f>
        <v/>
      </c>
      <c r="G1721" s="8" t="str">
        <f>IF(B1721="","",VLOOKUP(B1721,小圆机汇总表!A:AP,8,FALSE))</f>
        <v/>
      </c>
      <c r="P1721" s="8" t="str">
        <f t="shared" si="85"/>
        <v/>
      </c>
    </row>
    <row r="1722" spans="1:16">
      <c r="A1722" s="4">
        <v>1731</v>
      </c>
      <c r="C1722" s="8" t="str">
        <f>IF(B1722="","",VLOOKUP(B1722,经纬!B:C,2,FALSE))</f>
        <v/>
      </c>
      <c r="D1722" s="8" t="str">
        <f>IF(B1722="","",VLOOKUP(B1722,经纬!B:G,6,FALSE))</f>
        <v/>
      </c>
      <c r="F1722" s="8" t="str">
        <f>IF(B1722="","",VLOOKUP(B1722,小圆机汇总表!A:AP,5,FALSE))</f>
        <v/>
      </c>
      <c r="G1722" s="8" t="str">
        <f>IF(B1722="","",VLOOKUP(B1722,小圆机汇总表!A:AP,8,FALSE))</f>
        <v/>
      </c>
      <c r="P1722" s="8" t="str">
        <f t="shared" si="85"/>
        <v/>
      </c>
    </row>
    <row r="1723" spans="1:16">
      <c r="A1723" s="4">
        <v>1732</v>
      </c>
      <c r="C1723" s="8" t="str">
        <f>IF(B1723="","",VLOOKUP(B1723,经纬!B:C,2,FALSE))</f>
        <v/>
      </c>
      <c r="D1723" s="8" t="str">
        <f>IF(B1723="","",VLOOKUP(B1723,经纬!B:G,6,FALSE))</f>
        <v/>
      </c>
      <c r="F1723" s="8" t="str">
        <f>IF(B1723="","",VLOOKUP(B1723,小圆机汇总表!A:AP,5,FALSE))</f>
        <v/>
      </c>
      <c r="G1723" s="8" t="str">
        <f>IF(B1723="","",VLOOKUP(B1723,小圆机汇总表!A:AP,8,FALSE))</f>
        <v/>
      </c>
      <c r="P1723" s="8" t="str">
        <f t="shared" si="85"/>
        <v/>
      </c>
    </row>
    <row r="1724" spans="1:16">
      <c r="A1724" s="4">
        <v>1733</v>
      </c>
      <c r="C1724" s="8" t="str">
        <f>IF(B1724="","",VLOOKUP(B1724,经纬!B:C,2,FALSE))</f>
        <v/>
      </c>
      <c r="D1724" s="8" t="str">
        <f>IF(B1724="","",VLOOKUP(B1724,经纬!B:G,6,FALSE))</f>
        <v/>
      </c>
      <c r="F1724" s="8" t="str">
        <f>IF(B1724="","",VLOOKUP(B1724,小圆机汇总表!A:AP,5,FALSE))</f>
        <v/>
      </c>
      <c r="G1724" s="8" t="str">
        <f>IF(B1724="","",VLOOKUP(B1724,小圆机汇总表!A:AP,8,FALSE))</f>
        <v/>
      </c>
      <c r="P1724" s="8" t="str">
        <f t="shared" si="85"/>
        <v/>
      </c>
    </row>
    <row r="1725" spans="1:16">
      <c r="A1725" s="4">
        <v>1734</v>
      </c>
      <c r="C1725" s="8" t="str">
        <f>IF(B1725="","",VLOOKUP(B1725,经纬!B:C,2,FALSE))</f>
        <v/>
      </c>
      <c r="D1725" s="8" t="str">
        <f>IF(B1725="","",VLOOKUP(B1725,经纬!B:G,6,FALSE))</f>
        <v/>
      </c>
      <c r="F1725" s="8" t="str">
        <f>IF(B1725="","",VLOOKUP(B1725,小圆机汇总表!A:AP,5,FALSE))</f>
        <v/>
      </c>
      <c r="G1725" s="8" t="str">
        <f>IF(B1725="","",VLOOKUP(B1725,小圆机汇总表!A:AP,8,FALSE))</f>
        <v/>
      </c>
      <c r="P1725" s="8" t="str">
        <f t="shared" si="85"/>
        <v/>
      </c>
    </row>
    <row r="1726" spans="1:16">
      <c r="A1726" s="4">
        <v>1735</v>
      </c>
      <c r="C1726" s="8" t="str">
        <f>IF(B1726="","",VLOOKUP(B1726,经纬!B:C,2,FALSE))</f>
        <v/>
      </c>
      <c r="D1726" s="8" t="str">
        <f>IF(B1726="","",VLOOKUP(B1726,经纬!B:G,6,FALSE))</f>
        <v/>
      </c>
      <c r="F1726" s="8" t="str">
        <f>IF(B1726="","",VLOOKUP(B1726,小圆机汇总表!A:AP,5,FALSE))</f>
        <v/>
      </c>
      <c r="G1726" s="8" t="str">
        <f>IF(B1726="","",VLOOKUP(B1726,小圆机汇总表!A:AP,8,FALSE))</f>
        <v/>
      </c>
      <c r="P1726" s="8" t="str">
        <f t="shared" si="85"/>
        <v/>
      </c>
    </row>
    <row r="1727" spans="1:16">
      <c r="A1727" s="4">
        <v>1736</v>
      </c>
      <c r="C1727" s="8" t="str">
        <f>IF(B1727="","",VLOOKUP(B1727,经纬!B:C,2,FALSE))</f>
        <v/>
      </c>
      <c r="D1727" s="8" t="str">
        <f>IF(B1727="","",VLOOKUP(B1727,经纬!B:G,6,FALSE))</f>
        <v/>
      </c>
      <c r="F1727" s="8" t="str">
        <f>IF(B1727="","",VLOOKUP(B1727,小圆机汇总表!A:AP,5,FALSE))</f>
        <v/>
      </c>
      <c r="G1727" s="8" t="str">
        <f>IF(B1727="","",VLOOKUP(B1727,小圆机汇总表!A:AP,8,FALSE))</f>
        <v/>
      </c>
      <c r="P1727" s="8" t="str">
        <f t="shared" si="85"/>
        <v/>
      </c>
    </row>
    <row r="1728" spans="1:16">
      <c r="A1728" s="4">
        <v>1737</v>
      </c>
      <c r="C1728" s="8" t="str">
        <f>IF(B1728="","",VLOOKUP(B1728,经纬!B:C,2,FALSE))</f>
        <v/>
      </c>
      <c r="D1728" s="8" t="str">
        <f>IF(B1728="","",VLOOKUP(B1728,经纬!B:G,6,FALSE))</f>
        <v/>
      </c>
      <c r="F1728" s="8" t="str">
        <f>IF(B1728="","",VLOOKUP(B1728,小圆机汇总表!A:AP,5,FALSE))</f>
        <v/>
      </c>
      <c r="G1728" s="8" t="str">
        <f>IF(B1728="","",VLOOKUP(B1728,小圆机汇总表!A:AP,8,FALSE))</f>
        <v/>
      </c>
      <c r="P1728" s="8" t="str">
        <f t="shared" si="85"/>
        <v/>
      </c>
    </row>
    <row r="1729" spans="1:16">
      <c r="A1729" s="4">
        <v>1738</v>
      </c>
      <c r="C1729" s="8" t="str">
        <f>IF(B1729="","",VLOOKUP(B1729,经纬!B:C,2,FALSE))</f>
        <v/>
      </c>
      <c r="D1729" s="8" t="str">
        <f>IF(B1729="","",VLOOKUP(B1729,经纬!B:G,6,FALSE))</f>
        <v/>
      </c>
      <c r="F1729" s="8" t="str">
        <f>IF(B1729="","",VLOOKUP(B1729,小圆机汇总表!A:AP,5,FALSE))</f>
        <v/>
      </c>
      <c r="G1729" s="8" t="str">
        <f>IF(B1729="","",VLOOKUP(B1729,小圆机汇总表!A:AP,8,FALSE))</f>
        <v/>
      </c>
      <c r="P1729" s="8" t="str">
        <f t="shared" si="85"/>
        <v/>
      </c>
    </row>
    <row r="1730" spans="1:16">
      <c r="A1730" s="4">
        <v>1739</v>
      </c>
      <c r="C1730" s="8" t="str">
        <f>IF(B1730="","",VLOOKUP(B1730,经纬!B:C,2,FALSE))</f>
        <v/>
      </c>
      <c r="D1730" s="8" t="str">
        <f>IF(B1730="","",VLOOKUP(B1730,经纬!B:G,6,FALSE))</f>
        <v/>
      </c>
      <c r="F1730" s="8" t="str">
        <f>IF(B1730="","",VLOOKUP(B1730,小圆机汇总表!A:AP,5,FALSE))</f>
        <v/>
      </c>
      <c r="G1730" s="8" t="str">
        <f>IF(B1730="","",VLOOKUP(B1730,小圆机汇总表!A:AP,8,FALSE))</f>
        <v/>
      </c>
      <c r="P1730" s="8" t="str">
        <f t="shared" si="85"/>
        <v/>
      </c>
    </row>
    <row r="1731" spans="1:16">
      <c r="A1731" s="4">
        <v>1740</v>
      </c>
      <c r="C1731" s="8" t="str">
        <f>IF(B1731="","",VLOOKUP(B1731,经纬!B:C,2,FALSE))</f>
        <v/>
      </c>
      <c r="D1731" s="8" t="str">
        <f>IF(B1731="","",VLOOKUP(B1731,经纬!B:G,6,FALSE))</f>
        <v/>
      </c>
      <c r="F1731" s="8" t="str">
        <f>IF(B1731="","",VLOOKUP(B1731,小圆机汇总表!A:AP,5,FALSE))</f>
        <v/>
      </c>
      <c r="G1731" s="8" t="str">
        <f>IF(B1731="","",VLOOKUP(B1731,小圆机汇总表!A:AP,8,FALSE))</f>
        <v/>
      </c>
      <c r="P1731" s="8" t="str">
        <f t="shared" si="85"/>
        <v/>
      </c>
    </row>
    <row r="1732" spans="1:16">
      <c r="A1732" s="4">
        <v>1741</v>
      </c>
      <c r="C1732" s="8" t="str">
        <f>IF(B1732="","",VLOOKUP(B1732,经纬!B:C,2,FALSE))</f>
        <v/>
      </c>
      <c r="D1732" s="8" t="str">
        <f>IF(B1732="","",VLOOKUP(B1732,经纬!B:G,6,FALSE))</f>
        <v/>
      </c>
      <c r="F1732" s="8" t="str">
        <f>IF(B1732="","",VLOOKUP(B1732,小圆机汇总表!A:AP,5,FALSE))</f>
        <v/>
      </c>
      <c r="G1732" s="8" t="str">
        <f>IF(B1732="","",VLOOKUP(B1732,小圆机汇总表!A:AP,8,FALSE))</f>
        <v/>
      </c>
      <c r="P1732" s="8" t="str">
        <f t="shared" si="85"/>
        <v/>
      </c>
    </row>
    <row r="1733" spans="1:16">
      <c r="A1733" s="4">
        <v>1742</v>
      </c>
      <c r="C1733" s="8" t="str">
        <f>IF(B1733="","",VLOOKUP(B1733,经纬!B:C,2,FALSE))</f>
        <v/>
      </c>
      <c r="D1733" s="8" t="str">
        <f>IF(B1733="","",VLOOKUP(B1733,经纬!B:G,6,FALSE))</f>
        <v/>
      </c>
      <c r="F1733" s="8" t="str">
        <f>IF(B1733="","",VLOOKUP(B1733,小圆机汇总表!A:AP,5,FALSE))</f>
        <v/>
      </c>
      <c r="G1733" s="8" t="str">
        <f>IF(B1733="","",VLOOKUP(B1733,小圆机汇总表!A:AP,8,FALSE))</f>
        <v/>
      </c>
      <c r="P1733" s="8" t="str">
        <f t="shared" si="85"/>
        <v/>
      </c>
    </row>
    <row r="1734" spans="1:16">
      <c r="A1734" s="4">
        <v>1743</v>
      </c>
      <c r="C1734" s="8" t="str">
        <f>IF(B1734="","",VLOOKUP(B1734,经纬!B:C,2,FALSE))</f>
        <v/>
      </c>
      <c r="D1734" s="8" t="str">
        <f>IF(B1734="","",VLOOKUP(B1734,经纬!B:G,6,FALSE))</f>
        <v/>
      </c>
      <c r="F1734" s="8" t="str">
        <f>IF(B1734="","",VLOOKUP(B1734,小圆机汇总表!A:AP,5,FALSE))</f>
        <v/>
      </c>
      <c r="G1734" s="8" t="str">
        <f>IF(B1734="","",VLOOKUP(B1734,小圆机汇总表!A:AP,8,FALSE))</f>
        <v/>
      </c>
      <c r="P1734" s="8" t="str">
        <f t="shared" si="85"/>
        <v/>
      </c>
    </row>
    <row r="1735" spans="1:16">
      <c r="A1735" s="4">
        <v>1744</v>
      </c>
      <c r="C1735" s="8" t="str">
        <f>IF(B1735="","",VLOOKUP(B1735,经纬!B:C,2,FALSE))</f>
        <v/>
      </c>
      <c r="D1735" s="8" t="str">
        <f>IF(B1735="","",VLOOKUP(B1735,经纬!B:G,6,FALSE))</f>
        <v/>
      </c>
      <c r="F1735" s="8" t="str">
        <f>IF(B1735="","",VLOOKUP(B1735,小圆机汇总表!A:AP,5,FALSE))</f>
        <v/>
      </c>
      <c r="G1735" s="8" t="str">
        <f>IF(B1735="","",VLOOKUP(B1735,小圆机汇总表!A:AP,8,FALSE))</f>
        <v/>
      </c>
      <c r="P1735" s="8" t="str">
        <f t="shared" si="85"/>
        <v/>
      </c>
    </row>
    <row r="1736" spans="1:16">
      <c r="A1736" s="4">
        <v>1745</v>
      </c>
      <c r="C1736" s="8" t="str">
        <f>IF(B1736="","",VLOOKUP(B1736,经纬!B:C,2,FALSE))</f>
        <v/>
      </c>
      <c r="D1736" s="8" t="str">
        <f>IF(B1736="","",VLOOKUP(B1736,经纬!B:G,6,FALSE))</f>
        <v/>
      </c>
      <c r="F1736" s="8" t="str">
        <f>IF(B1736="","",VLOOKUP(B1736,小圆机汇总表!A:AP,5,FALSE))</f>
        <v/>
      </c>
      <c r="G1736" s="8" t="str">
        <f>IF(B1736="","",VLOOKUP(B1736,小圆机汇总表!A:AP,8,FALSE))</f>
        <v/>
      </c>
      <c r="P1736" s="8" t="str">
        <f t="shared" si="85"/>
        <v/>
      </c>
    </row>
    <row r="1737" spans="1:16">
      <c r="A1737" s="4">
        <v>1746</v>
      </c>
      <c r="C1737" s="8" t="str">
        <f>IF(B1737="","",VLOOKUP(B1737,经纬!B:C,2,FALSE))</f>
        <v/>
      </c>
      <c r="D1737" s="8" t="str">
        <f>IF(B1737="","",VLOOKUP(B1737,经纬!B:G,6,FALSE))</f>
        <v/>
      </c>
      <c r="F1737" s="8" t="str">
        <f>IF(B1737="","",VLOOKUP(B1737,小圆机汇总表!A:AP,5,FALSE))</f>
        <v/>
      </c>
      <c r="G1737" s="8" t="str">
        <f>IF(B1737="","",VLOOKUP(B1737,小圆机汇总表!A:AP,8,FALSE))</f>
        <v/>
      </c>
      <c r="P1737" s="8" t="str">
        <f t="shared" si="85"/>
        <v/>
      </c>
    </row>
    <row r="1738" spans="1:16">
      <c r="A1738" s="4">
        <v>1747</v>
      </c>
      <c r="C1738" s="8" t="str">
        <f>IF(B1738="","",VLOOKUP(B1738,经纬!B:C,2,FALSE))</f>
        <v/>
      </c>
      <c r="D1738" s="8" t="str">
        <f>IF(B1738="","",VLOOKUP(B1738,经纬!B:G,6,FALSE))</f>
        <v/>
      </c>
      <c r="F1738" s="8" t="str">
        <f>IF(B1738="","",VLOOKUP(B1738,小圆机汇总表!A:AP,5,FALSE))</f>
        <v/>
      </c>
      <c r="G1738" s="8" t="str">
        <f>IF(B1738="","",VLOOKUP(B1738,小圆机汇总表!A:AP,8,FALSE))</f>
        <v/>
      </c>
      <c r="P1738" s="8" t="str">
        <f t="shared" si="85"/>
        <v/>
      </c>
    </row>
    <row r="1739" spans="1:16">
      <c r="A1739" s="4">
        <v>1748</v>
      </c>
      <c r="C1739" s="8" t="str">
        <f>IF(B1739="","",VLOOKUP(B1739,经纬!B:C,2,FALSE))</f>
        <v/>
      </c>
      <c r="D1739" s="8" t="str">
        <f>IF(B1739="","",VLOOKUP(B1739,经纬!B:G,6,FALSE))</f>
        <v/>
      </c>
      <c r="F1739" s="8" t="str">
        <f>IF(B1739="","",VLOOKUP(B1739,小圆机汇总表!A:AP,5,FALSE))</f>
        <v/>
      </c>
      <c r="G1739" s="8" t="str">
        <f>IF(B1739="","",VLOOKUP(B1739,小圆机汇总表!A:AP,8,FALSE))</f>
        <v/>
      </c>
      <c r="P1739" s="8" t="str">
        <f t="shared" si="85"/>
        <v/>
      </c>
    </row>
    <row r="1740" spans="1:16">
      <c r="A1740" s="4">
        <v>1749</v>
      </c>
      <c r="C1740" s="8" t="str">
        <f>IF(B1740="","",VLOOKUP(B1740,经纬!B:C,2,FALSE))</f>
        <v/>
      </c>
      <c r="D1740" s="8" t="str">
        <f>IF(B1740="","",VLOOKUP(B1740,经纬!B:G,6,FALSE))</f>
        <v/>
      </c>
      <c r="F1740" s="8" t="str">
        <f>IF(B1740="","",VLOOKUP(B1740,小圆机汇总表!A:AP,5,FALSE))</f>
        <v/>
      </c>
      <c r="G1740" s="8" t="str">
        <f>IF(B1740="","",VLOOKUP(B1740,小圆机汇总表!A:AP,8,FALSE))</f>
        <v/>
      </c>
      <c r="P1740" s="8" t="str">
        <f t="shared" si="85"/>
        <v/>
      </c>
    </row>
    <row r="1741" spans="1:16">
      <c r="A1741" s="4">
        <v>1750</v>
      </c>
      <c r="C1741" s="8" t="str">
        <f>IF(B1741="","",VLOOKUP(B1741,经纬!B:C,2,FALSE))</f>
        <v/>
      </c>
      <c r="D1741" s="8" t="str">
        <f>IF(B1741="","",VLOOKUP(B1741,经纬!B:G,6,FALSE))</f>
        <v/>
      </c>
      <c r="F1741" s="8" t="str">
        <f>IF(B1741="","",VLOOKUP(B1741,小圆机汇总表!A:AP,5,FALSE))</f>
        <v/>
      </c>
      <c r="G1741" s="8" t="str">
        <f>IF(B1741="","",VLOOKUP(B1741,小圆机汇总表!A:AP,8,FALSE))</f>
        <v/>
      </c>
      <c r="P1741" s="8" t="str">
        <f t="shared" si="85"/>
        <v/>
      </c>
    </row>
    <row r="1742" spans="1:16">
      <c r="A1742" s="4">
        <v>1751</v>
      </c>
      <c r="C1742" s="8" t="str">
        <f>IF(B1742="","",VLOOKUP(B1742,经纬!B:C,2,FALSE))</f>
        <v/>
      </c>
      <c r="D1742" s="8" t="str">
        <f>IF(B1742="","",VLOOKUP(B1742,经纬!B:G,6,FALSE))</f>
        <v/>
      </c>
      <c r="F1742" s="8" t="str">
        <f>IF(B1742="","",VLOOKUP(B1742,小圆机汇总表!A:AP,5,FALSE))</f>
        <v/>
      </c>
      <c r="G1742" s="8" t="str">
        <f>IF(B1742="","",VLOOKUP(B1742,小圆机汇总表!A:AP,8,FALSE))</f>
        <v/>
      </c>
      <c r="P1742" s="8" t="str">
        <f t="shared" si="85"/>
        <v/>
      </c>
    </row>
    <row r="1743" spans="1:16">
      <c r="A1743" s="4">
        <v>1752</v>
      </c>
      <c r="C1743" s="8" t="str">
        <f>IF(B1743="","",VLOOKUP(B1743,经纬!B:C,2,FALSE))</f>
        <v/>
      </c>
      <c r="D1743" s="8" t="str">
        <f>IF(B1743="","",VLOOKUP(B1743,经纬!B:G,6,FALSE))</f>
        <v/>
      </c>
      <c r="F1743" s="8" t="str">
        <f>IF(B1743="","",VLOOKUP(B1743,小圆机汇总表!A:AP,5,FALSE))</f>
        <v/>
      </c>
      <c r="G1743" s="8" t="str">
        <f>IF(B1743="","",VLOOKUP(B1743,小圆机汇总表!A:AP,8,FALSE))</f>
        <v/>
      </c>
      <c r="P1743" s="8" t="str">
        <f t="shared" si="85"/>
        <v/>
      </c>
    </row>
    <row r="1744" spans="1:16">
      <c r="A1744" s="4">
        <v>1753</v>
      </c>
      <c r="C1744" s="8" t="str">
        <f>IF(B1744="","",VLOOKUP(B1744,经纬!B:C,2,FALSE))</f>
        <v/>
      </c>
      <c r="D1744" s="8" t="str">
        <f>IF(B1744="","",VLOOKUP(B1744,经纬!B:G,6,FALSE))</f>
        <v/>
      </c>
      <c r="F1744" s="8" t="str">
        <f>IF(B1744="","",VLOOKUP(B1744,小圆机汇总表!A:AP,5,FALSE))</f>
        <v/>
      </c>
      <c r="G1744" s="8" t="str">
        <f>IF(B1744="","",VLOOKUP(B1744,小圆机汇总表!A:AP,8,FALSE))</f>
        <v/>
      </c>
      <c r="P1744" s="8" t="str">
        <f t="shared" si="85"/>
        <v/>
      </c>
    </row>
    <row r="1745" spans="1:16">
      <c r="A1745" s="4">
        <v>1754</v>
      </c>
      <c r="C1745" s="8" t="str">
        <f>IF(B1745="","",VLOOKUP(B1745,经纬!B:C,2,FALSE))</f>
        <v/>
      </c>
      <c r="D1745" s="8" t="str">
        <f>IF(B1745="","",VLOOKUP(B1745,经纬!B:G,6,FALSE))</f>
        <v/>
      </c>
      <c r="F1745" s="8" t="str">
        <f>IF(B1745="","",VLOOKUP(B1745,小圆机汇总表!A:AP,5,FALSE))</f>
        <v/>
      </c>
      <c r="G1745" s="8" t="str">
        <f>IF(B1745="","",VLOOKUP(B1745,小圆机汇总表!A:AP,8,FALSE))</f>
        <v/>
      </c>
      <c r="P1745" s="8" t="str">
        <f t="shared" si="85"/>
        <v/>
      </c>
    </row>
    <row r="1746" spans="1:16">
      <c r="A1746" s="4">
        <v>1755</v>
      </c>
      <c r="C1746" s="8" t="str">
        <f>IF(B1746="","",VLOOKUP(B1746,经纬!B:C,2,FALSE))</f>
        <v/>
      </c>
      <c r="D1746" s="8" t="str">
        <f>IF(B1746="","",VLOOKUP(B1746,经纬!B:G,6,FALSE))</f>
        <v/>
      </c>
      <c r="F1746" s="8" t="str">
        <f>IF(B1746="","",VLOOKUP(B1746,小圆机汇总表!A:AP,5,FALSE))</f>
        <v/>
      </c>
      <c r="G1746" s="8" t="str">
        <f>IF(B1746="","",VLOOKUP(B1746,小圆机汇总表!A:AP,8,FALSE))</f>
        <v/>
      </c>
      <c r="P1746" s="8" t="str">
        <f t="shared" si="85"/>
        <v/>
      </c>
    </row>
    <row r="1747" spans="1:16">
      <c r="A1747" s="4">
        <v>1756</v>
      </c>
      <c r="C1747" s="8" t="str">
        <f>IF(B1747="","",VLOOKUP(B1747,经纬!B:C,2,FALSE))</f>
        <v/>
      </c>
      <c r="D1747" s="8" t="str">
        <f>IF(B1747="","",VLOOKUP(B1747,经纬!B:G,6,FALSE))</f>
        <v/>
      </c>
      <c r="F1747" s="8" t="str">
        <f>IF(B1747="","",VLOOKUP(B1747,小圆机汇总表!A:AP,5,FALSE))</f>
        <v/>
      </c>
      <c r="G1747" s="8" t="str">
        <f>IF(B1747="","",VLOOKUP(B1747,小圆机汇总表!A:AP,8,FALSE))</f>
        <v/>
      </c>
      <c r="P1747" s="8" t="str">
        <f t="shared" si="85"/>
        <v/>
      </c>
    </row>
    <row r="1748" spans="1:16">
      <c r="A1748" s="4">
        <v>1757</v>
      </c>
      <c r="C1748" s="8" t="str">
        <f>IF(B1748="","",VLOOKUP(B1748,经纬!B:C,2,FALSE))</f>
        <v/>
      </c>
      <c r="D1748" s="8" t="str">
        <f>IF(B1748="","",VLOOKUP(B1748,经纬!B:G,6,FALSE))</f>
        <v/>
      </c>
      <c r="F1748" s="8" t="str">
        <f>IF(B1748="","",VLOOKUP(B1748,小圆机汇总表!A:AP,5,FALSE))</f>
        <v/>
      </c>
      <c r="G1748" s="8" t="str">
        <f>IF(B1748="","",VLOOKUP(B1748,小圆机汇总表!A:AP,8,FALSE))</f>
        <v/>
      </c>
      <c r="P1748" s="8" t="str">
        <f t="shared" si="85"/>
        <v/>
      </c>
    </row>
    <row r="1749" spans="1:16">
      <c r="A1749" s="4">
        <v>1758</v>
      </c>
      <c r="C1749" s="8" t="str">
        <f>IF(B1749="","",VLOOKUP(B1749,经纬!B:C,2,FALSE))</f>
        <v/>
      </c>
      <c r="D1749" s="8" t="str">
        <f>IF(B1749="","",VLOOKUP(B1749,经纬!B:G,6,FALSE))</f>
        <v/>
      </c>
      <c r="F1749" s="8" t="str">
        <f>IF(B1749="","",VLOOKUP(B1749,小圆机汇总表!A:AP,5,FALSE))</f>
        <v/>
      </c>
      <c r="G1749" s="8" t="str">
        <f>IF(B1749="","",VLOOKUP(B1749,小圆机汇总表!A:AP,8,FALSE))</f>
        <v/>
      </c>
      <c r="P1749" s="8" t="str">
        <f t="shared" si="85"/>
        <v/>
      </c>
    </row>
    <row r="1750" spans="1:16">
      <c r="A1750" s="4">
        <v>1759</v>
      </c>
      <c r="C1750" s="8" t="str">
        <f>IF(B1750="","",VLOOKUP(B1750,经纬!B:C,2,FALSE))</f>
        <v/>
      </c>
      <c r="D1750" s="8" t="str">
        <f>IF(B1750="","",VLOOKUP(B1750,经纬!B:G,6,FALSE))</f>
        <v/>
      </c>
      <c r="F1750" s="8" t="str">
        <f>IF(B1750="","",VLOOKUP(B1750,小圆机汇总表!A:AP,5,FALSE))</f>
        <v/>
      </c>
      <c r="G1750" s="8" t="str">
        <f>IF(B1750="","",VLOOKUP(B1750,小圆机汇总表!A:AP,8,FALSE))</f>
        <v/>
      </c>
      <c r="P1750" s="8" t="str">
        <f t="shared" si="85"/>
        <v/>
      </c>
    </row>
    <row r="1751" spans="1:16">
      <c r="A1751" s="4">
        <v>1760</v>
      </c>
      <c r="C1751" s="8" t="str">
        <f>IF(B1751="","",VLOOKUP(B1751,经纬!B:C,2,FALSE))</f>
        <v/>
      </c>
      <c r="D1751" s="8" t="str">
        <f>IF(B1751="","",VLOOKUP(B1751,经纬!B:G,6,FALSE))</f>
        <v/>
      </c>
      <c r="F1751" s="8" t="str">
        <f>IF(B1751="","",VLOOKUP(B1751,小圆机汇总表!A:AP,5,FALSE))</f>
        <v/>
      </c>
      <c r="G1751" s="8" t="str">
        <f>IF(B1751="","",VLOOKUP(B1751,小圆机汇总表!A:AP,8,FALSE))</f>
        <v/>
      </c>
      <c r="P1751" s="8" t="str">
        <f t="shared" si="85"/>
        <v/>
      </c>
    </row>
    <row r="1752" spans="1:16">
      <c r="A1752" s="4">
        <v>1761</v>
      </c>
      <c r="C1752" s="8" t="str">
        <f>IF(B1752="","",VLOOKUP(B1752,经纬!B:C,2,FALSE))</f>
        <v/>
      </c>
      <c r="D1752" s="8" t="str">
        <f>IF(B1752="","",VLOOKUP(B1752,经纬!B:G,6,FALSE))</f>
        <v/>
      </c>
      <c r="F1752" s="8" t="str">
        <f>IF(B1752="","",VLOOKUP(B1752,小圆机汇总表!A:AP,5,FALSE))</f>
        <v/>
      </c>
      <c r="G1752" s="8" t="str">
        <f>IF(B1752="","",VLOOKUP(B1752,小圆机汇总表!A:AP,8,FALSE))</f>
        <v/>
      </c>
      <c r="P1752" s="8" t="str">
        <f t="shared" si="85"/>
        <v/>
      </c>
    </row>
    <row r="1753" spans="1:16">
      <c r="A1753" s="4">
        <v>1762</v>
      </c>
      <c r="C1753" s="8" t="str">
        <f>IF(B1753="","",VLOOKUP(B1753,经纬!B:C,2,FALSE))</f>
        <v/>
      </c>
      <c r="D1753" s="8" t="str">
        <f>IF(B1753="","",VLOOKUP(B1753,经纬!B:G,6,FALSE))</f>
        <v/>
      </c>
      <c r="F1753" s="8" t="str">
        <f>IF(B1753="","",VLOOKUP(B1753,小圆机汇总表!A:AP,5,FALSE))</f>
        <v/>
      </c>
      <c r="G1753" s="8" t="str">
        <f>IF(B1753="","",VLOOKUP(B1753,小圆机汇总表!A:AP,8,FALSE))</f>
        <v/>
      </c>
      <c r="P1753" s="8" t="str">
        <f t="shared" si="85"/>
        <v/>
      </c>
    </row>
    <row r="1754" spans="1:16">
      <c r="A1754" s="4">
        <v>1763</v>
      </c>
      <c r="C1754" s="8" t="str">
        <f>IF(B1754="","",VLOOKUP(B1754,经纬!B:C,2,FALSE))</f>
        <v/>
      </c>
      <c r="D1754" s="8" t="str">
        <f>IF(B1754="","",VLOOKUP(B1754,经纬!B:G,6,FALSE))</f>
        <v/>
      </c>
      <c r="F1754" s="8" t="str">
        <f>IF(B1754="","",VLOOKUP(B1754,小圆机汇总表!A:AP,5,FALSE))</f>
        <v/>
      </c>
      <c r="G1754" s="8" t="str">
        <f>IF(B1754="","",VLOOKUP(B1754,小圆机汇总表!A:AP,8,FALSE))</f>
        <v/>
      </c>
      <c r="P1754" s="8" t="str">
        <f t="shared" ref="P1754:P1817" si="86">IF(B1754="","",MONTH(I1754))</f>
        <v/>
      </c>
    </row>
    <row r="1755" spans="1:16">
      <c r="A1755" s="4">
        <v>1764</v>
      </c>
      <c r="C1755" s="8" t="str">
        <f>IF(B1755="","",VLOOKUP(B1755,经纬!B:C,2,FALSE))</f>
        <v/>
      </c>
      <c r="D1755" s="8" t="str">
        <f>IF(B1755="","",VLOOKUP(B1755,经纬!B:G,6,FALSE))</f>
        <v/>
      </c>
      <c r="F1755" s="8" t="str">
        <f>IF(B1755="","",VLOOKUP(B1755,小圆机汇总表!A:AP,5,FALSE))</f>
        <v/>
      </c>
      <c r="G1755" s="8" t="str">
        <f>IF(B1755="","",VLOOKUP(B1755,小圆机汇总表!A:AP,8,FALSE))</f>
        <v/>
      </c>
      <c r="P1755" s="8" t="str">
        <f t="shared" si="86"/>
        <v/>
      </c>
    </row>
    <row r="1756" spans="1:16">
      <c r="A1756" s="4">
        <v>1765</v>
      </c>
      <c r="C1756" s="8" t="str">
        <f>IF(B1756="","",VLOOKUP(B1756,经纬!B:C,2,FALSE))</f>
        <v/>
      </c>
      <c r="D1756" s="8" t="str">
        <f>IF(B1756="","",VLOOKUP(B1756,经纬!B:G,6,FALSE))</f>
        <v/>
      </c>
      <c r="F1756" s="8" t="str">
        <f>IF(B1756="","",VLOOKUP(B1756,小圆机汇总表!A:AP,5,FALSE))</f>
        <v/>
      </c>
      <c r="G1756" s="8" t="str">
        <f>IF(B1756="","",VLOOKUP(B1756,小圆机汇总表!A:AP,8,FALSE))</f>
        <v/>
      </c>
      <c r="P1756" s="8" t="str">
        <f t="shared" si="86"/>
        <v/>
      </c>
    </row>
    <row r="1757" spans="1:16">
      <c r="A1757" s="4">
        <v>1766</v>
      </c>
      <c r="C1757" s="8" t="str">
        <f>IF(B1757="","",VLOOKUP(B1757,经纬!B:C,2,FALSE))</f>
        <v/>
      </c>
      <c r="D1757" s="8" t="str">
        <f>IF(B1757="","",VLOOKUP(B1757,经纬!B:G,6,FALSE))</f>
        <v/>
      </c>
      <c r="F1757" s="8" t="str">
        <f>IF(B1757="","",VLOOKUP(B1757,小圆机汇总表!A:AP,5,FALSE))</f>
        <v/>
      </c>
      <c r="G1757" s="8" t="str">
        <f>IF(B1757="","",VLOOKUP(B1757,小圆机汇总表!A:AP,8,FALSE))</f>
        <v/>
      </c>
      <c r="P1757" s="8" t="str">
        <f t="shared" si="86"/>
        <v/>
      </c>
    </row>
    <row r="1758" spans="1:16">
      <c r="A1758" s="4">
        <v>1767</v>
      </c>
      <c r="C1758" s="8" t="str">
        <f>IF(B1758="","",VLOOKUP(B1758,经纬!B:C,2,FALSE))</f>
        <v/>
      </c>
      <c r="D1758" s="8" t="str">
        <f>IF(B1758="","",VLOOKUP(B1758,经纬!B:G,6,FALSE))</f>
        <v/>
      </c>
      <c r="F1758" s="8" t="str">
        <f>IF(B1758="","",VLOOKUP(B1758,小圆机汇总表!A:AP,5,FALSE))</f>
        <v/>
      </c>
      <c r="G1758" s="8" t="str">
        <f>IF(B1758="","",VLOOKUP(B1758,小圆机汇总表!A:AP,8,FALSE))</f>
        <v/>
      </c>
      <c r="P1758" s="8" t="str">
        <f t="shared" si="86"/>
        <v/>
      </c>
    </row>
    <row r="1759" spans="1:16">
      <c r="A1759" s="4">
        <v>1768</v>
      </c>
      <c r="C1759" s="8" t="str">
        <f>IF(B1759="","",VLOOKUP(B1759,经纬!B:C,2,FALSE))</f>
        <v/>
      </c>
      <c r="D1759" s="8" t="str">
        <f>IF(B1759="","",VLOOKUP(B1759,经纬!B:G,6,FALSE))</f>
        <v/>
      </c>
      <c r="F1759" s="8" t="str">
        <f>IF(B1759="","",VLOOKUP(B1759,小圆机汇总表!A:AP,5,FALSE))</f>
        <v/>
      </c>
      <c r="G1759" s="8" t="str">
        <f>IF(B1759="","",VLOOKUP(B1759,小圆机汇总表!A:AP,8,FALSE))</f>
        <v/>
      </c>
      <c r="P1759" s="8" t="str">
        <f t="shared" si="86"/>
        <v/>
      </c>
    </row>
    <row r="1760" spans="1:16">
      <c r="A1760" s="4">
        <v>1769</v>
      </c>
      <c r="C1760" s="8" t="str">
        <f>IF(B1760="","",VLOOKUP(B1760,经纬!B:C,2,FALSE))</f>
        <v/>
      </c>
      <c r="D1760" s="8" t="str">
        <f>IF(B1760="","",VLOOKUP(B1760,经纬!B:G,6,FALSE))</f>
        <v/>
      </c>
      <c r="F1760" s="8" t="str">
        <f>IF(B1760="","",VLOOKUP(B1760,小圆机汇总表!A:AP,5,FALSE))</f>
        <v/>
      </c>
      <c r="G1760" s="8" t="str">
        <f>IF(B1760="","",VLOOKUP(B1760,小圆机汇总表!A:AP,8,FALSE))</f>
        <v/>
      </c>
      <c r="P1760" s="8" t="str">
        <f t="shared" si="86"/>
        <v/>
      </c>
    </row>
    <row r="1761" spans="1:16">
      <c r="A1761" s="4">
        <v>1770</v>
      </c>
      <c r="C1761" s="8" t="str">
        <f>IF(B1761="","",VLOOKUP(B1761,经纬!B:C,2,FALSE))</f>
        <v/>
      </c>
      <c r="D1761" s="8" t="str">
        <f>IF(B1761="","",VLOOKUP(B1761,经纬!B:G,6,FALSE))</f>
        <v/>
      </c>
      <c r="F1761" s="8" t="str">
        <f>IF(B1761="","",VLOOKUP(B1761,小圆机汇总表!A:AP,5,FALSE))</f>
        <v/>
      </c>
      <c r="G1761" s="8" t="str">
        <f>IF(B1761="","",VLOOKUP(B1761,小圆机汇总表!A:AP,8,FALSE))</f>
        <v/>
      </c>
      <c r="P1761" s="8" t="str">
        <f t="shared" si="86"/>
        <v/>
      </c>
    </row>
    <row r="1762" spans="1:16">
      <c r="A1762" s="4">
        <v>1771</v>
      </c>
      <c r="C1762" s="8" t="str">
        <f>IF(B1762="","",VLOOKUP(B1762,经纬!B:C,2,FALSE))</f>
        <v/>
      </c>
      <c r="D1762" s="8" t="str">
        <f>IF(B1762="","",VLOOKUP(B1762,经纬!B:G,6,FALSE))</f>
        <v/>
      </c>
      <c r="F1762" s="8" t="str">
        <f>IF(B1762="","",VLOOKUP(B1762,小圆机汇总表!A:AP,5,FALSE))</f>
        <v/>
      </c>
      <c r="G1762" s="8" t="str">
        <f>IF(B1762="","",VLOOKUP(B1762,小圆机汇总表!A:AP,8,FALSE))</f>
        <v/>
      </c>
      <c r="P1762" s="8" t="str">
        <f t="shared" si="86"/>
        <v/>
      </c>
    </row>
    <row r="1763" spans="1:16">
      <c r="A1763" s="4">
        <v>1772</v>
      </c>
      <c r="C1763" s="8" t="str">
        <f>IF(B1763="","",VLOOKUP(B1763,经纬!B:C,2,FALSE))</f>
        <v/>
      </c>
      <c r="D1763" s="8" t="str">
        <f>IF(B1763="","",VLOOKUP(B1763,经纬!B:G,6,FALSE))</f>
        <v/>
      </c>
      <c r="F1763" s="8" t="str">
        <f>IF(B1763="","",VLOOKUP(B1763,小圆机汇总表!A:AP,5,FALSE))</f>
        <v/>
      </c>
      <c r="G1763" s="8" t="str">
        <f>IF(B1763="","",VLOOKUP(B1763,小圆机汇总表!A:AP,8,FALSE))</f>
        <v/>
      </c>
      <c r="P1763" s="8" t="str">
        <f t="shared" si="86"/>
        <v/>
      </c>
    </row>
    <row r="1764" spans="1:16">
      <c r="A1764" s="4">
        <v>1773</v>
      </c>
      <c r="C1764" s="8" t="str">
        <f>IF(B1764="","",VLOOKUP(B1764,经纬!B:C,2,FALSE))</f>
        <v/>
      </c>
      <c r="D1764" s="8" t="str">
        <f>IF(B1764="","",VLOOKUP(B1764,经纬!B:G,6,FALSE))</f>
        <v/>
      </c>
      <c r="F1764" s="8" t="str">
        <f>IF(B1764="","",VLOOKUP(B1764,小圆机汇总表!A:AP,5,FALSE))</f>
        <v/>
      </c>
      <c r="G1764" s="8" t="str">
        <f>IF(B1764="","",VLOOKUP(B1764,小圆机汇总表!A:AP,8,FALSE))</f>
        <v/>
      </c>
      <c r="P1764" s="8" t="str">
        <f t="shared" si="86"/>
        <v/>
      </c>
    </row>
    <row r="1765" spans="1:16">
      <c r="A1765" s="4">
        <v>1774</v>
      </c>
      <c r="C1765" s="8" t="str">
        <f>IF(B1765="","",VLOOKUP(B1765,经纬!B:C,2,FALSE))</f>
        <v/>
      </c>
      <c r="D1765" s="8" t="str">
        <f>IF(B1765="","",VLOOKUP(B1765,经纬!B:G,6,FALSE))</f>
        <v/>
      </c>
      <c r="F1765" s="8" t="str">
        <f>IF(B1765="","",VLOOKUP(B1765,小圆机汇总表!A:AP,5,FALSE))</f>
        <v/>
      </c>
      <c r="G1765" s="8" t="str">
        <f>IF(B1765="","",VLOOKUP(B1765,小圆机汇总表!A:AP,8,FALSE))</f>
        <v/>
      </c>
      <c r="P1765" s="8" t="str">
        <f t="shared" si="86"/>
        <v/>
      </c>
    </row>
    <row r="1766" spans="1:16">
      <c r="A1766" s="4">
        <v>1775</v>
      </c>
      <c r="C1766" s="8" t="str">
        <f>IF(B1766="","",VLOOKUP(B1766,经纬!B:C,2,FALSE))</f>
        <v/>
      </c>
      <c r="D1766" s="8" t="str">
        <f>IF(B1766="","",VLOOKUP(B1766,经纬!B:G,6,FALSE))</f>
        <v/>
      </c>
      <c r="F1766" s="8" t="str">
        <f>IF(B1766="","",VLOOKUP(B1766,小圆机汇总表!A:AP,5,FALSE))</f>
        <v/>
      </c>
      <c r="G1766" s="8" t="str">
        <f>IF(B1766="","",VLOOKUP(B1766,小圆机汇总表!A:AP,8,FALSE))</f>
        <v/>
      </c>
      <c r="P1766" s="8" t="str">
        <f t="shared" si="86"/>
        <v/>
      </c>
    </row>
    <row r="1767" spans="1:16">
      <c r="A1767" s="4">
        <v>1776</v>
      </c>
      <c r="C1767" s="8" t="str">
        <f>IF(B1767="","",VLOOKUP(B1767,经纬!B:C,2,FALSE))</f>
        <v/>
      </c>
      <c r="D1767" s="8" t="str">
        <f>IF(B1767="","",VLOOKUP(B1767,经纬!B:G,6,FALSE))</f>
        <v/>
      </c>
      <c r="F1767" s="8" t="str">
        <f>IF(B1767="","",VLOOKUP(B1767,小圆机汇总表!A:AP,5,FALSE))</f>
        <v/>
      </c>
      <c r="G1767" s="8" t="str">
        <f>IF(B1767="","",VLOOKUP(B1767,小圆机汇总表!A:AP,8,FALSE))</f>
        <v/>
      </c>
      <c r="P1767" s="8" t="str">
        <f t="shared" si="86"/>
        <v/>
      </c>
    </row>
    <row r="1768" spans="1:16">
      <c r="A1768" s="4">
        <v>1777</v>
      </c>
      <c r="C1768" s="8" t="str">
        <f>IF(B1768="","",VLOOKUP(B1768,经纬!B:C,2,FALSE))</f>
        <v/>
      </c>
      <c r="D1768" s="8" t="str">
        <f>IF(B1768="","",VLOOKUP(B1768,经纬!B:G,6,FALSE))</f>
        <v/>
      </c>
      <c r="F1768" s="8" t="str">
        <f>IF(B1768="","",VLOOKUP(B1768,小圆机汇总表!A:AP,5,FALSE))</f>
        <v/>
      </c>
      <c r="G1768" s="8" t="str">
        <f>IF(B1768="","",VLOOKUP(B1768,小圆机汇总表!A:AP,8,FALSE))</f>
        <v/>
      </c>
      <c r="P1768" s="8" t="str">
        <f t="shared" si="86"/>
        <v/>
      </c>
    </row>
    <row r="1769" spans="1:16">
      <c r="A1769" s="4">
        <v>1778</v>
      </c>
      <c r="C1769" s="8" t="str">
        <f>IF(B1769="","",VLOOKUP(B1769,经纬!B:C,2,FALSE))</f>
        <v/>
      </c>
      <c r="D1769" s="8" t="str">
        <f>IF(B1769="","",VLOOKUP(B1769,经纬!B:G,6,FALSE))</f>
        <v/>
      </c>
      <c r="F1769" s="8" t="str">
        <f>IF(B1769="","",VLOOKUP(B1769,小圆机汇总表!A:AP,5,FALSE))</f>
        <v/>
      </c>
      <c r="G1769" s="8" t="str">
        <f>IF(B1769="","",VLOOKUP(B1769,小圆机汇总表!A:AP,8,FALSE))</f>
        <v/>
      </c>
      <c r="P1769" s="8" t="str">
        <f t="shared" si="86"/>
        <v/>
      </c>
    </row>
    <row r="1770" spans="1:16">
      <c r="A1770" s="4">
        <v>1779</v>
      </c>
      <c r="C1770" s="8" t="str">
        <f>IF(B1770="","",VLOOKUP(B1770,经纬!B:C,2,FALSE))</f>
        <v/>
      </c>
      <c r="D1770" s="8" t="str">
        <f>IF(B1770="","",VLOOKUP(B1770,经纬!B:G,6,FALSE))</f>
        <v/>
      </c>
      <c r="F1770" s="8" t="str">
        <f>IF(B1770="","",VLOOKUP(B1770,小圆机汇总表!A:AP,5,FALSE))</f>
        <v/>
      </c>
      <c r="G1770" s="8" t="str">
        <f>IF(B1770="","",VLOOKUP(B1770,小圆机汇总表!A:AP,8,FALSE))</f>
        <v/>
      </c>
      <c r="P1770" s="8" t="str">
        <f t="shared" si="86"/>
        <v/>
      </c>
    </row>
    <row r="1771" spans="1:16">
      <c r="A1771" s="4">
        <v>1780</v>
      </c>
      <c r="C1771" s="8" t="str">
        <f>IF(B1771="","",VLOOKUP(B1771,经纬!B:C,2,FALSE))</f>
        <v/>
      </c>
      <c r="D1771" s="8" t="str">
        <f>IF(B1771="","",VLOOKUP(B1771,经纬!B:G,6,FALSE))</f>
        <v/>
      </c>
      <c r="F1771" s="8" t="str">
        <f>IF(B1771="","",VLOOKUP(B1771,小圆机汇总表!A:AP,5,FALSE))</f>
        <v/>
      </c>
      <c r="G1771" s="8" t="str">
        <f>IF(B1771="","",VLOOKUP(B1771,小圆机汇总表!A:AP,8,FALSE))</f>
        <v/>
      </c>
      <c r="P1771" s="8" t="str">
        <f t="shared" si="86"/>
        <v/>
      </c>
    </row>
    <row r="1772" spans="1:16">
      <c r="A1772" s="4">
        <v>1781</v>
      </c>
      <c r="C1772" s="8" t="str">
        <f>IF(B1772="","",VLOOKUP(B1772,经纬!B:C,2,FALSE))</f>
        <v/>
      </c>
      <c r="D1772" s="8" t="str">
        <f>IF(B1772="","",VLOOKUP(B1772,经纬!B:G,6,FALSE))</f>
        <v/>
      </c>
      <c r="F1772" s="8" t="str">
        <f>IF(B1772="","",VLOOKUP(B1772,小圆机汇总表!A:AP,5,FALSE))</f>
        <v/>
      </c>
      <c r="G1772" s="8" t="str">
        <f>IF(B1772="","",VLOOKUP(B1772,小圆机汇总表!A:AP,8,FALSE))</f>
        <v/>
      </c>
      <c r="P1772" s="8" t="str">
        <f t="shared" si="86"/>
        <v/>
      </c>
    </row>
    <row r="1773" spans="1:16">
      <c r="A1773" s="4">
        <v>1782</v>
      </c>
      <c r="C1773" s="8" t="str">
        <f>IF(B1773="","",VLOOKUP(B1773,经纬!B:C,2,FALSE))</f>
        <v/>
      </c>
      <c r="D1773" s="8" t="str">
        <f>IF(B1773="","",VLOOKUP(B1773,经纬!B:G,6,FALSE))</f>
        <v/>
      </c>
      <c r="F1773" s="8" t="str">
        <f>IF(B1773="","",VLOOKUP(B1773,小圆机汇总表!A:AP,5,FALSE))</f>
        <v/>
      </c>
      <c r="G1773" s="8" t="str">
        <f>IF(B1773="","",VLOOKUP(B1773,小圆机汇总表!A:AP,8,FALSE))</f>
        <v/>
      </c>
      <c r="P1773" s="8" t="str">
        <f t="shared" si="86"/>
        <v/>
      </c>
    </row>
    <row r="1774" spans="1:16">
      <c r="A1774" s="4">
        <v>1783</v>
      </c>
      <c r="C1774" s="8" t="str">
        <f>IF(B1774="","",VLOOKUP(B1774,经纬!B:C,2,FALSE))</f>
        <v/>
      </c>
      <c r="D1774" s="8" t="str">
        <f>IF(B1774="","",VLOOKUP(B1774,经纬!B:G,6,FALSE))</f>
        <v/>
      </c>
      <c r="F1774" s="8" t="str">
        <f>IF(B1774="","",VLOOKUP(B1774,小圆机汇总表!A:AP,5,FALSE))</f>
        <v/>
      </c>
      <c r="G1774" s="8" t="str">
        <f>IF(B1774="","",VLOOKUP(B1774,小圆机汇总表!A:AP,8,FALSE))</f>
        <v/>
      </c>
      <c r="P1774" s="8" t="str">
        <f t="shared" si="86"/>
        <v/>
      </c>
    </row>
    <row r="1775" spans="1:16">
      <c r="A1775" s="4">
        <v>1784</v>
      </c>
      <c r="C1775" s="8" t="str">
        <f>IF(B1775="","",VLOOKUP(B1775,经纬!B:C,2,FALSE))</f>
        <v/>
      </c>
      <c r="D1775" s="8" t="str">
        <f>IF(B1775="","",VLOOKUP(B1775,经纬!B:G,6,FALSE))</f>
        <v/>
      </c>
      <c r="F1775" s="8" t="str">
        <f>IF(B1775="","",VLOOKUP(B1775,小圆机汇总表!A:AP,5,FALSE))</f>
        <v/>
      </c>
      <c r="G1775" s="8" t="str">
        <f>IF(B1775="","",VLOOKUP(B1775,小圆机汇总表!A:AP,8,FALSE))</f>
        <v/>
      </c>
      <c r="P1775" s="8" t="str">
        <f t="shared" si="86"/>
        <v/>
      </c>
    </row>
    <row r="1776" spans="1:16">
      <c r="A1776" s="4">
        <v>1785</v>
      </c>
      <c r="C1776" s="8" t="str">
        <f>IF(B1776="","",VLOOKUP(B1776,经纬!B:C,2,FALSE))</f>
        <v/>
      </c>
      <c r="D1776" s="8" t="str">
        <f>IF(B1776="","",VLOOKUP(B1776,经纬!B:G,6,FALSE))</f>
        <v/>
      </c>
      <c r="F1776" s="8" t="str">
        <f>IF(B1776="","",VLOOKUP(B1776,小圆机汇总表!A:AP,5,FALSE))</f>
        <v/>
      </c>
      <c r="G1776" s="8" t="str">
        <f>IF(B1776="","",VLOOKUP(B1776,小圆机汇总表!A:AP,8,FALSE))</f>
        <v/>
      </c>
      <c r="P1776" s="8" t="str">
        <f t="shared" si="86"/>
        <v/>
      </c>
    </row>
    <row r="1777" spans="1:16">
      <c r="A1777" s="4">
        <v>1786</v>
      </c>
      <c r="C1777" s="8" t="str">
        <f>IF(B1777="","",VLOOKUP(B1777,经纬!B:C,2,FALSE))</f>
        <v/>
      </c>
      <c r="D1777" s="8" t="str">
        <f>IF(B1777="","",VLOOKUP(B1777,经纬!B:G,6,FALSE))</f>
        <v/>
      </c>
      <c r="F1777" s="8" t="str">
        <f>IF(B1777="","",VLOOKUP(B1777,小圆机汇总表!A:AP,5,FALSE))</f>
        <v/>
      </c>
      <c r="G1777" s="8" t="str">
        <f>IF(B1777="","",VLOOKUP(B1777,小圆机汇总表!A:AP,8,FALSE))</f>
        <v/>
      </c>
      <c r="P1777" s="8" t="str">
        <f t="shared" si="86"/>
        <v/>
      </c>
    </row>
    <row r="1778" spans="1:16">
      <c r="A1778" s="4">
        <v>1787</v>
      </c>
      <c r="C1778" s="8" t="str">
        <f>IF(B1778="","",VLOOKUP(B1778,经纬!B:C,2,FALSE))</f>
        <v/>
      </c>
      <c r="D1778" s="8" t="str">
        <f>IF(B1778="","",VLOOKUP(B1778,经纬!B:G,6,FALSE))</f>
        <v/>
      </c>
      <c r="F1778" s="8" t="str">
        <f>IF(B1778="","",VLOOKUP(B1778,小圆机汇总表!A:AP,5,FALSE))</f>
        <v/>
      </c>
      <c r="G1778" s="8" t="str">
        <f>IF(B1778="","",VLOOKUP(B1778,小圆机汇总表!A:AP,8,FALSE))</f>
        <v/>
      </c>
      <c r="P1778" s="8" t="str">
        <f t="shared" si="86"/>
        <v/>
      </c>
    </row>
    <row r="1779" spans="1:16">
      <c r="A1779" s="4">
        <v>1788</v>
      </c>
      <c r="C1779" s="8" t="str">
        <f>IF(B1779="","",VLOOKUP(B1779,经纬!B:C,2,FALSE))</f>
        <v/>
      </c>
      <c r="D1779" s="8" t="str">
        <f>IF(B1779="","",VLOOKUP(B1779,经纬!B:G,6,FALSE))</f>
        <v/>
      </c>
      <c r="F1779" s="8" t="str">
        <f>IF(B1779="","",VLOOKUP(B1779,小圆机汇总表!A:AP,5,FALSE))</f>
        <v/>
      </c>
      <c r="G1779" s="8" t="str">
        <f>IF(B1779="","",VLOOKUP(B1779,小圆机汇总表!A:AP,8,FALSE))</f>
        <v/>
      </c>
      <c r="P1779" s="8" t="str">
        <f t="shared" si="86"/>
        <v/>
      </c>
    </row>
    <row r="1780" spans="1:16">
      <c r="A1780" s="4">
        <v>1789</v>
      </c>
      <c r="C1780" s="8" t="str">
        <f>IF(B1780="","",VLOOKUP(B1780,经纬!B:C,2,FALSE))</f>
        <v/>
      </c>
      <c r="D1780" s="8" t="str">
        <f>IF(B1780="","",VLOOKUP(B1780,经纬!B:G,6,FALSE))</f>
        <v/>
      </c>
      <c r="F1780" s="8" t="str">
        <f>IF(B1780="","",VLOOKUP(B1780,小圆机汇总表!A:AP,5,FALSE))</f>
        <v/>
      </c>
      <c r="G1780" s="8" t="str">
        <f>IF(B1780="","",VLOOKUP(B1780,小圆机汇总表!A:AP,8,FALSE))</f>
        <v/>
      </c>
      <c r="P1780" s="8" t="str">
        <f t="shared" si="86"/>
        <v/>
      </c>
    </row>
    <row r="1781" spans="1:16">
      <c r="A1781" s="4">
        <v>1790</v>
      </c>
      <c r="C1781" s="8" t="str">
        <f>IF(B1781="","",VLOOKUP(B1781,经纬!B:C,2,FALSE))</f>
        <v/>
      </c>
      <c r="D1781" s="8" t="str">
        <f>IF(B1781="","",VLOOKUP(B1781,经纬!B:G,6,FALSE))</f>
        <v/>
      </c>
      <c r="F1781" s="8" t="str">
        <f>IF(B1781="","",VLOOKUP(B1781,小圆机汇总表!A:AP,5,FALSE))</f>
        <v/>
      </c>
      <c r="G1781" s="8" t="str">
        <f>IF(B1781="","",VLOOKUP(B1781,小圆机汇总表!A:AP,8,FALSE))</f>
        <v/>
      </c>
      <c r="P1781" s="8" t="str">
        <f t="shared" si="86"/>
        <v/>
      </c>
    </row>
    <row r="1782" spans="1:16">
      <c r="A1782" s="4">
        <v>1791</v>
      </c>
      <c r="C1782" s="8" t="str">
        <f>IF(B1782="","",VLOOKUP(B1782,经纬!B:C,2,FALSE))</f>
        <v/>
      </c>
      <c r="D1782" s="8" t="str">
        <f>IF(B1782="","",VLOOKUP(B1782,经纬!B:G,6,FALSE))</f>
        <v/>
      </c>
      <c r="F1782" s="8" t="str">
        <f>IF(B1782="","",VLOOKUP(B1782,小圆机汇总表!A:AP,5,FALSE))</f>
        <v/>
      </c>
      <c r="G1782" s="8" t="str">
        <f>IF(B1782="","",VLOOKUP(B1782,小圆机汇总表!A:AP,8,FALSE))</f>
        <v/>
      </c>
      <c r="P1782" s="8" t="str">
        <f t="shared" si="86"/>
        <v/>
      </c>
    </row>
    <row r="1783" spans="1:16">
      <c r="A1783" s="4">
        <v>1792</v>
      </c>
      <c r="C1783" s="8" t="str">
        <f>IF(B1783="","",VLOOKUP(B1783,经纬!B:C,2,FALSE))</f>
        <v/>
      </c>
      <c r="D1783" s="8" t="str">
        <f>IF(B1783="","",VLOOKUP(B1783,经纬!B:G,6,FALSE))</f>
        <v/>
      </c>
      <c r="F1783" s="8" t="str">
        <f>IF(B1783="","",VLOOKUP(B1783,小圆机汇总表!A:AP,5,FALSE))</f>
        <v/>
      </c>
      <c r="G1783" s="8" t="str">
        <f>IF(B1783="","",VLOOKUP(B1783,小圆机汇总表!A:AP,8,FALSE))</f>
        <v/>
      </c>
      <c r="P1783" s="8" t="str">
        <f t="shared" si="86"/>
        <v/>
      </c>
    </row>
    <row r="1784" spans="1:16">
      <c r="A1784" s="4">
        <v>1793</v>
      </c>
      <c r="C1784" s="8" t="str">
        <f>IF(B1784="","",VLOOKUP(B1784,经纬!B:C,2,FALSE))</f>
        <v/>
      </c>
      <c r="D1784" s="8" t="str">
        <f>IF(B1784="","",VLOOKUP(B1784,经纬!B:G,6,FALSE))</f>
        <v/>
      </c>
      <c r="F1784" s="8" t="str">
        <f>IF(B1784="","",VLOOKUP(B1784,小圆机汇总表!A:AP,5,FALSE))</f>
        <v/>
      </c>
      <c r="G1784" s="8" t="str">
        <f>IF(B1784="","",VLOOKUP(B1784,小圆机汇总表!A:AP,8,FALSE))</f>
        <v/>
      </c>
      <c r="P1784" s="8" t="str">
        <f t="shared" si="86"/>
        <v/>
      </c>
    </row>
    <row r="1785" spans="1:16">
      <c r="A1785" s="4">
        <v>1794</v>
      </c>
      <c r="C1785" s="8" t="str">
        <f>IF(B1785="","",VLOOKUP(B1785,经纬!B:C,2,FALSE))</f>
        <v/>
      </c>
      <c r="D1785" s="8" t="str">
        <f>IF(B1785="","",VLOOKUP(B1785,经纬!B:G,6,FALSE))</f>
        <v/>
      </c>
      <c r="F1785" s="8" t="str">
        <f>IF(B1785="","",VLOOKUP(B1785,小圆机汇总表!A:AP,5,FALSE))</f>
        <v/>
      </c>
      <c r="G1785" s="8" t="str">
        <f>IF(B1785="","",VLOOKUP(B1785,小圆机汇总表!A:AP,8,FALSE))</f>
        <v/>
      </c>
      <c r="P1785" s="8" t="str">
        <f t="shared" si="86"/>
        <v/>
      </c>
    </row>
    <row r="1786" spans="1:16">
      <c r="A1786" s="4">
        <v>1795</v>
      </c>
      <c r="C1786" s="8" t="str">
        <f>IF(B1786="","",VLOOKUP(B1786,经纬!B:C,2,FALSE))</f>
        <v/>
      </c>
      <c r="D1786" s="8" t="str">
        <f>IF(B1786="","",VLOOKUP(B1786,经纬!B:G,6,FALSE))</f>
        <v/>
      </c>
      <c r="F1786" s="8" t="str">
        <f>IF(B1786="","",VLOOKUP(B1786,小圆机汇总表!A:AP,5,FALSE))</f>
        <v/>
      </c>
      <c r="G1786" s="8" t="str">
        <f>IF(B1786="","",VLOOKUP(B1786,小圆机汇总表!A:AP,8,FALSE))</f>
        <v/>
      </c>
      <c r="P1786" s="8" t="str">
        <f t="shared" si="86"/>
        <v/>
      </c>
    </row>
    <row r="1787" spans="1:16">
      <c r="A1787" s="4">
        <v>1796</v>
      </c>
      <c r="C1787" s="8" t="str">
        <f>IF(B1787="","",VLOOKUP(B1787,经纬!B:C,2,FALSE))</f>
        <v/>
      </c>
      <c r="D1787" s="8" t="str">
        <f>IF(B1787="","",VLOOKUP(B1787,经纬!B:G,6,FALSE))</f>
        <v/>
      </c>
      <c r="F1787" s="8" t="str">
        <f>IF(B1787="","",VLOOKUP(B1787,小圆机汇总表!A:AP,5,FALSE))</f>
        <v/>
      </c>
      <c r="G1787" s="8" t="str">
        <f>IF(B1787="","",VLOOKUP(B1787,小圆机汇总表!A:AP,8,FALSE))</f>
        <v/>
      </c>
      <c r="P1787" s="8" t="str">
        <f t="shared" si="86"/>
        <v/>
      </c>
    </row>
    <row r="1788" spans="1:16">
      <c r="A1788" s="4">
        <v>1797</v>
      </c>
      <c r="C1788" s="8" t="str">
        <f>IF(B1788="","",VLOOKUP(B1788,经纬!B:C,2,FALSE))</f>
        <v/>
      </c>
      <c r="D1788" s="8" t="str">
        <f>IF(B1788="","",VLOOKUP(B1788,经纬!B:G,6,FALSE))</f>
        <v/>
      </c>
      <c r="F1788" s="8" t="str">
        <f>IF(B1788="","",VLOOKUP(B1788,小圆机汇总表!A:AP,5,FALSE))</f>
        <v/>
      </c>
      <c r="G1788" s="8" t="str">
        <f>IF(B1788="","",VLOOKUP(B1788,小圆机汇总表!A:AP,8,FALSE))</f>
        <v/>
      </c>
      <c r="P1788" s="8" t="str">
        <f t="shared" si="86"/>
        <v/>
      </c>
    </row>
    <row r="1789" spans="1:16">
      <c r="A1789" s="4">
        <v>1798</v>
      </c>
      <c r="C1789" s="8" t="str">
        <f>IF(B1789="","",VLOOKUP(B1789,经纬!B:C,2,FALSE))</f>
        <v/>
      </c>
      <c r="D1789" s="8" t="str">
        <f>IF(B1789="","",VLOOKUP(B1789,经纬!B:G,6,FALSE))</f>
        <v/>
      </c>
      <c r="F1789" s="8" t="str">
        <f>IF(B1789="","",VLOOKUP(B1789,小圆机汇总表!A:AP,5,FALSE))</f>
        <v/>
      </c>
      <c r="G1789" s="8" t="str">
        <f>IF(B1789="","",VLOOKUP(B1789,小圆机汇总表!A:AP,8,FALSE))</f>
        <v/>
      </c>
      <c r="P1789" s="8" t="str">
        <f t="shared" si="86"/>
        <v/>
      </c>
    </row>
    <row r="1790" spans="1:16">
      <c r="A1790" s="4">
        <v>1799</v>
      </c>
      <c r="C1790" s="8" t="str">
        <f>IF(B1790="","",VLOOKUP(B1790,经纬!B:C,2,FALSE))</f>
        <v/>
      </c>
      <c r="D1790" s="8" t="str">
        <f>IF(B1790="","",VLOOKUP(B1790,经纬!B:G,6,FALSE))</f>
        <v/>
      </c>
      <c r="F1790" s="8" t="str">
        <f>IF(B1790="","",VLOOKUP(B1790,小圆机汇总表!A:AP,5,FALSE))</f>
        <v/>
      </c>
      <c r="G1790" s="8" t="str">
        <f>IF(B1790="","",VLOOKUP(B1790,小圆机汇总表!A:AP,8,FALSE))</f>
        <v/>
      </c>
      <c r="P1790" s="8" t="str">
        <f t="shared" si="86"/>
        <v/>
      </c>
    </row>
    <row r="1791" spans="1:16">
      <c r="A1791" s="4">
        <v>1800</v>
      </c>
      <c r="C1791" s="8" t="str">
        <f>IF(B1791="","",VLOOKUP(B1791,经纬!B:C,2,FALSE))</f>
        <v/>
      </c>
      <c r="D1791" s="8" t="str">
        <f>IF(B1791="","",VLOOKUP(B1791,经纬!B:G,6,FALSE))</f>
        <v/>
      </c>
      <c r="F1791" s="8" t="str">
        <f>IF(B1791="","",VLOOKUP(B1791,小圆机汇总表!A:AP,5,FALSE))</f>
        <v/>
      </c>
      <c r="G1791" s="8" t="str">
        <f>IF(B1791="","",VLOOKUP(B1791,小圆机汇总表!A:AP,8,FALSE))</f>
        <v/>
      </c>
      <c r="P1791" s="8" t="str">
        <f t="shared" si="86"/>
        <v/>
      </c>
    </row>
    <row r="1792" spans="1:16">
      <c r="A1792" s="4">
        <v>1801</v>
      </c>
      <c r="C1792" s="8" t="str">
        <f>IF(B1792="","",VLOOKUP(B1792,经纬!B:C,2,FALSE))</f>
        <v/>
      </c>
      <c r="D1792" s="8" t="str">
        <f>IF(B1792="","",VLOOKUP(B1792,经纬!B:G,6,FALSE))</f>
        <v/>
      </c>
      <c r="F1792" s="8" t="str">
        <f>IF(B1792="","",VLOOKUP(B1792,小圆机汇总表!A:AP,5,FALSE))</f>
        <v/>
      </c>
      <c r="G1792" s="8" t="str">
        <f>IF(B1792="","",VLOOKUP(B1792,小圆机汇总表!A:AP,8,FALSE))</f>
        <v/>
      </c>
      <c r="P1792" s="8" t="str">
        <f t="shared" si="86"/>
        <v/>
      </c>
    </row>
    <row r="1793" spans="1:16">
      <c r="A1793" s="4">
        <v>1802</v>
      </c>
      <c r="C1793" s="8" t="str">
        <f>IF(B1793="","",VLOOKUP(B1793,经纬!B:C,2,FALSE))</f>
        <v/>
      </c>
      <c r="D1793" s="8" t="str">
        <f>IF(B1793="","",VLOOKUP(B1793,经纬!B:G,6,FALSE))</f>
        <v/>
      </c>
      <c r="F1793" s="8" t="str">
        <f>IF(B1793="","",VLOOKUP(B1793,小圆机汇总表!A:AP,5,FALSE))</f>
        <v/>
      </c>
      <c r="G1793" s="8" t="str">
        <f>IF(B1793="","",VLOOKUP(B1793,小圆机汇总表!A:AP,8,FALSE))</f>
        <v/>
      </c>
      <c r="P1793" s="8" t="str">
        <f t="shared" si="86"/>
        <v/>
      </c>
    </row>
    <row r="1794" spans="1:16">
      <c r="A1794" s="4">
        <v>1803</v>
      </c>
      <c r="C1794" s="8" t="str">
        <f>IF(B1794="","",VLOOKUP(B1794,经纬!B:C,2,FALSE))</f>
        <v/>
      </c>
      <c r="D1794" s="8" t="str">
        <f>IF(B1794="","",VLOOKUP(B1794,经纬!B:G,6,FALSE))</f>
        <v/>
      </c>
      <c r="F1794" s="8" t="str">
        <f>IF(B1794="","",VLOOKUP(B1794,小圆机汇总表!A:AP,5,FALSE))</f>
        <v/>
      </c>
      <c r="G1794" s="8" t="str">
        <f>IF(B1794="","",VLOOKUP(B1794,小圆机汇总表!A:AP,8,FALSE))</f>
        <v/>
      </c>
      <c r="P1794" s="8" t="str">
        <f t="shared" si="86"/>
        <v/>
      </c>
    </row>
    <row r="1795" spans="1:16">
      <c r="A1795" s="4">
        <v>1804</v>
      </c>
      <c r="C1795" s="8" t="str">
        <f>IF(B1795="","",VLOOKUP(B1795,经纬!B:C,2,FALSE))</f>
        <v/>
      </c>
      <c r="D1795" s="8" t="str">
        <f>IF(B1795="","",VLOOKUP(B1795,经纬!B:G,6,FALSE))</f>
        <v/>
      </c>
      <c r="F1795" s="8" t="str">
        <f>IF(B1795="","",VLOOKUP(B1795,小圆机汇总表!A:AP,5,FALSE))</f>
        <v/>
      </c>
      <c r="G1795" s="8" t="str">
        <f>IF(B1795="","",VLOOKUP(B1795,小圆机汇总表!A:AP,8,FALSE))</f>
        <v/>
      </c>
      <c r="P1795" s="8" t="str">
        <f t="shared" si="86"/>
        <v/>
      </c>
    </row>
    <row r="1796" spans="1:16">
      <c r="A1796" s="4">
        <v>1805</v>
      </c>
      <c r="C1796" s="8" t="str">
        <f>IF(B1796="","",VLOOKUP(B1796,经纬!B:C,2,FALSE))</f>
        <v/>
      </c>
      <c r="D1796" s="8" t="str">
        <f>IF(B1796="","",VLOOKUP(B1796,经纬!B:G,6,FALSE))</f>
        <v/>
      </c>
      <c r="F1796" s="8" t="str">
        <f>IF(B1796="","",VLOOKUP(B1796,小圆机汇总表!A:AP,5,FALSE))</f>
        <v/>
      </c>
      <c r="G1796" s="8" t="str">
        <f>IF(B1796="","",VLOOKUP(B1796,小圆机汇总表!A:AP,8,FALSE))</f>
        <v/>
      </c>
      <c r="P1796" s="8" t="str">
        <f t="shared" si="86"/>
        <v/>
      </c>
    </row>
    <row r="1797" spans="1:16">
      <c r="A1797" s="4">
        <v>1806</v>
      </c>
      <c r="C1797" s="8" t="str">
        <f>IF(B1797="","",VLOOKUP(B1797,经纬!B:C,2,FALSE))</f>
        <v/>
      </c>
      <c r="D1797" s="8" t="str">
        <f>IF(B1797="","",VLOOKUP(B1797,经纬!B:G,6,FALSE))</f>
        <v/>
      </c>
      <c r="F1797" s="8" t="str">
        <f>IF(B1797="","",VLOOKUP(B1797,小圆机汇总表!A:AP,5,FALSE))</f>
        <v/>
      </c>
      <c r="G1797" s="8" t="str">
        <f>IF(B1797="","",VLOOKUP(B1797,小圆机汇总表!A:AP,8,FALSE))</f>
        <v/>
      </c>
      <c r="P1797" s="8" t="str">
        <f t="shared" si="86"/>
        <v/>
      </c>
    </row>
    <row r="1798" spans="1:16">
      <c r="A1798" s="4">
        <v>1807</v>
      </c>
      <c r="C1798" s="8" t="str">
        <f>IF(B1798="","",VLOOKUP(B1798,经纬!B:C,2,FALSE))</f>
        <v/>
      </c>
      <c r="D1798" s="8" t="str">
        <f>IF(B1798="","",VLOOKUP(B1798,经纬!B:G,6,FALSE))</f>
        <v/>
      </c>
      <c r="F1798" s="8" t="str">
        <f>IF(B1798="","",VLOOKUP(B1798,小圆机汇总表!A:AP,5,FALSE))</f>
        <v/>
      </c>
      <c r="G1798" s="8" t="str">
        <f>IF(B1798="","",VLOOKUP(B1798,小圆机汇总表!A:AP,8,FALSE))</f>
        <v/>
      </c>
      <c r="P1798" s="8" t="str">
        <f t="shared" si="86"/>
        <v/>
      </c>
    </row>
    <row r="1799" spans="1:16">
      <c r="A1799" s="4">
        <v>1808</v>
      </c>
      <c r="C1799" s="8" t="str">
        <f>IF(B1799="","",VLOOKUP(B1799,经纬!B:C,2,FALSE))</f>
        <v/>
      </c>
      <c r="D1799" s="8" t="str">
        <f>IF(B1799="","",VLOOKUP(B1799,经纬!B:G,6,FALSE))</f>
        <v/>
      </c>
      <c r="F1799" s="8" t="str">
        <f>IF(B1799="","",VLOOKUP(B1799,小圆机汇总表!A:AP,5,FALSE))</f>
        <v/>
      </c>
      <c r="G1799" s="8" t="str">
        <f>IF(B1799="","",VLOOKUP(B1799,小圆机汇总表!A:AP,8,FALSE))</f>
        <v/>
      </c>
      <c r="P1799" s="8" t="str">
        <f t="shared" si="86"/>
        <v/>
      </c>
    </row>
    <row r="1800" spans="1:16">
      <c r="A1800" s="4">
        <v>1809</v>
      </c>
      <c r="C1800" s="8" t="str">
        <f>IF(B1800="","",VLOOKUP(B1800,经纬!B:C,2,FALSE))</f>
        <v/>
      </c>
      <c r="D1800" s="8" t="str">
        <f>IF(B1800="","",VLOOKUP(B1800,经纬!B:G,6,FALSE))</f>
        <v/>
      </c>
      <c r="F1800" s="8" t="str">
        <f>IF(B1800="","",VLOOKUP(B1800,小圆机汇总表!A:AP,5,FALSE))</f>
        <v/>
      </c>
      <c r="G1800" s="8" t="str">
        <f>IF(B1800="","",VLOOKUP(B1800,小圆机汇总表!A:AP,8,FALSE))</f>
        <v/>
      </c>
      <c r="P1800" s="8" t="str">
        <f t="shared" si="86"/>
        <v/>
      </c>
    </row>
    <row r="1801" spans="1:16">
      <c r="A1801" s="4">
        <v>1810</v>
      </c>
      <c r="C1801" s="8" t="str">
        <f>IF(B1801="","",VLOOKUP(B1801,经纬!B:C,2,FALSE))</f>
        <v/>
      </c>
      <c r="D1801" s="8" t="str">
        <f>IF(B1801="","",VLOOKUP(B1801,经纬!B:G,6,FALSE))</f>
        <v/>
      </c>
      <c r="F1801" s="8" t="str">
        <f>IF(B1801="","",VLOOKUP(B1801,小圆机汇总表!A:AP,5,FALSE))</f>
        <v/>
      </c>
      <c r="G1801" s="8" t="str">
        <f>IF(B1801="","",VLOOKUP(B1801,小圆机汇总表!A:AP,8,FALSE))</f>
        <v/>
      </c>
      <c r="P1801" s="8" t="str">
        <f t="shared" si="86"/>
        <v/>
      </c>
    </row>
    <row r="1802" spans="1:16">
      <c r="A1802" s="4">
        <v>1811</v>
      </c>
      <c r="C1802" s="8" t="str">
        <f>IF(B1802="","",VLOOKUP(B1802,经纬!B:C,2,FALSE))</f>
        <v/>
      </c>
      <c r="D1802" s="8" t="str">
        <f>IF(B1802="","",VLOOKUP(B1802,经纬!B:G,6,FALSE))</f>
        <v/>
      </c>
      <c r="F1802" s="8" t="str">
        <f>IF(B1802="","",VLOOKUP(B1802,小圆机汇总表!A:AP,5,FALSE))</f>
        <v/>
      </c>
      <c r="G1802" s="8" t="str">
        <f>IF(B1802="","",VLOOKUP(B1802,小圆机汇总表!A:AP,8,FALSE))</f>
        <v/>
      </c>
      <c r="P1802" s="8" t="str">
        <f t="shared" si="86"/>
        <v/>
      </c>
    </row>
    <row r="1803" spans="1:16">
      <c r="A1803" s="4">
        <v>1812</v>
      </c>
      <c r="C1803" s="8" t="str">
        <f>IF(B1803="","",VLOOKUP(B1803,经纬!B:C,2,FALSE))</f>
        <v/>
      </c>
      <c r="D1803" s="8" t="str">
        <f>IF(B1803="","",VLOOKUP(B1803,经纬!B:G,6,FALSE))</f>
        <v/>
      </c>
      <c r="F1803" s="8" t="str">
        <f>IF(B1803="","",VLOOKUP(B1803,小圆机汇总表!A:AP,5,FALSE))</f>
        <v/>
      </c>
      <c r="G1803" s="8" t="str">
        <f>IF(B1803="","",VLOOKUP(B1803,小圆机汇总表!A:AP,8,FALSE))</f>
        <v/>
      </c>
      <c r="P1803" s="8" t="str">
        <f t="shared" si="86"/>
        <v/>
      </c>
    </row>
    <row r="1804" spans="1:16">
      <c r="A1804" s="4">
        <v>1813</v>
      </c>
      <c r="C1804" s="8" t="str">
        <f>IF(B1804="","",VLOOKUP(B1804,经纬!B:C,2,FALSE))</f>
        <v/>
      </c>
      <c r="D1804" s="8" t="str">
        <f>IF(B1804="","",VLOOKUP(B1804,经纬!B:G,6,FALSE))</f>
        <v/>
      </c>
      <c r="F1804" s="8" t="str">
        <f>IF(B1804="","",VLOOKUP(B1804,小圆机汇总表!A:AP,5,FALSE))</f>
        <v/>
      </c>
      <c r="G1804" s="8" t="str">
        <f>IF(B1804="","",VLOOKUP(B1804,小圆机汇总表!A:AP,8,FALSE))</f>
        <v/>
      </c>
      <c r="P1804" s="8" t="str">
        <f t="shared" si="86"/>
        <v/>
      </c>
    </row>
    <row r="1805" spans="1:16">
      <c r="A1805" s="4">
        <v>1814</v>
      </c>
      <c r="C1805" s="8" t="str">
        <f>IF(B1805="","",VLOOKUP(B1805,经纬!B:C,2,FALSE))</f>
        <v/>
      </c>
      <c r="D1805" s="8" t="str">
        <f>IF(B1805="","",VLOOKUP(B1805,经纬!B:G,6,FALSE))</f>
        <v/>
      </c>
      <c r="F1805" s="8" t="str">
        <f>IF(B1805="","",VLOOKUP(B1805,小圆机汇总表!A:AP,5,FALSE))</f>
        <v/>
      </c>
      <c r="G1805" s="8" t="str">
        <f>IF(B1805="","",VLOOKUP(B1805,小圆机汇总表!A:AP,8,FALSE))</f>
        <v/>
      </c>
      <c r="P1805" s="8" t="str">
        <f t="shared" si="86"/>
        <v/>
      </c>
    </row>
    <row r="1806" spans="1:16">
      <c r="A1806" s="4">
        <v>1815</v>
      </c>
      <c r="C1806" s="8" t="str">
        <f>IF(B1806="","",VLOOKUP(B1806,经纬!B:C,2,FALSE))</f>
        <v/>
      </c>
      <c r="D1806" s="8" t="str">
        <f>IF(B1806="","",VLOOKUP(B1806,经纬!B:G,6,FALSE))</f>
        <v/>
      </c>
      <c r="F1806" s="8" t="str">
        <f>IF(B1806="","",VLOOKUP(B1806,小圆机汇总表!A:AP,5,FALSE))</f>
        <v/>
      </c>
      <c r="G1806" s="8" t="str">
        <f>IF(B1806="","",VLOOKUP(B1806,小圆机汇总表!A:AP,8,FALSE))</f>
        <v/>
      </c>
      <c r="P1806" s="8" t="str">
        <f t="shared" si="86"/>
        <v/>
      </c>
    </row>
    <row r="1807" spans="1:16">
      <c r="A1807" s="4">
        <v>1816</v>
      </c>
      <c r="C1807" s="8" t="str">
        <f>IF(B1807="","",VLOOKUP(B1807,经纬!B:C,2,FALSE))</f>
        <v/>
      </c>
      <c r="D1807" s="8" t="str">
        <f>IF(B1807="","",VLOOKUP(B1807,经纬!B:G,6,FALSE))</f>
        <v/>
      </c>
      <c r="F1807" s="8" t="str">
        <f>IF(B1807="","",VLOOKUP(B1807,小圆机汇总表!A:AP,5,FALSE))</f>
        <v/>
      </c>
      <c r="G1807" s="8" t="str">
        <f>IF(B1807="","",VLOOKUP(B1807,小圆机汇总表!A:AP,8,FALSE))</f>
        <v/>
      </c>
      <c r="P1807" s="8" t="str">
        <f t="shared" si="86"/>
        <v/>
      </c>
    </row>
    <row r="1808" spans="1:16">
      <c r="A1808" s="4">
        <v>1817</v>
      </c>
      <c r="C1808" s="8" t="str">
        <f>IF(B1808="","",VLOOKUP(B1808,经纬!B:C,2,FALSE))</f>
        <v/>
      </c>
      <c r="D1808" s="8" t="str">
        <f>IF(B1808="","",VLOOKUP(B1808,经纬!B:G,6,FALSE))</f>
        <v/>
      </c>
      <c r="F1808" s="8" t="str">
        <f>IF(B1808="","",VLOOKUP(B1808,小圆机汇总表!A:AP,5,FALSE))</f>
        <v/>
      </c>
      <c r="G1808" s="8" t="str">
        <f>IF(B1808="","",VLOOKUP(B1808,小圆机汇总表!A:AP,8,FALSE))</f>
        <v/>
      </c>
      <c r="P1808" s="8" t="str">
        <f t="shared" si="86"/>
        <v/>
      </c>
    </row>
    <row r="1809" spans="1:16">
      <c r="A1809" s="4">
        <v>1818</v>
      </c>
      <c r="C1809" s="8" t="str">
        <f>IF(B1809="","",VLOOKUP(B1809,经纬!B:C,2,FALSE))</f>
        <v/>
      </c>
      <c r="D1809" s="8" t="str">
        <f>IF(B1809="","",VLOOKUP(B1809,经纬!B:G,6,FALSE))</f>
        <v/>
      </c>
      <c r="F1809" s="8" t="str">
        <f>IF(B1809="","",VLOOKUP(B1809,小圆机汇总表!A:AP,5,FALSE))</f>
        <v/>
      </c>
      <c r="G1809" s="8" t="str">
        <f>IF(B1809="","",VLOOKUP(B1809,小圆机汇总表!A:AP,8,FALSE))</f>
        <v/>
      </c>
      <c r="P1809" s="8" t="str">
        <f t="shared" si="86"/>
        <v/>
      </c>
    </row>
    <row r="1810" spans="1:16">
      <c r="A1810" s="4">
        <v>1819</v>
      </c>
      <c r="C1810" s="8" t="str">
        <f>IF(B1810="","",VLOOKUP(B1810,经纬!B:C,2,FALSE))</f>
        <v/>
      </c>
      <c r="D1810" s="8" t="str">
        <f>IF(B1810="","",VLOOKUP(B1810,经纬!B:G,6,FALSE))</f>
        <v/>
      </c>
      <c r="F1810" s="8" t="str">
        <f>IF(B1810="","",VLOOKUP(B1810,小圆机汇总表!A:AP,5,FALSE))</f>
        <v/>
      </c>
      <c r="G1810" s="8" t="str">
        <f>IF(B1810="","",VLOOKUP(B1810,小圆机汇总表!A:AP,8,FALSE))</f>
        <v/>
      </c>
      <c r="P1810" s="8" t="str">
        <f t="shared" si="86"/>
        <v/>
      </c>
    </row>
    <row r="1811" spans="1:16">
      <c r="A1811" s="4">
        <v>1820</v>
      </c>
      <c r="C1811" s="8" t="str">
        <f>IF(B1811="","",VLOOKUP(B1811,经纬!B:C,2,FALSE))</f>
        <v/>
      </c>
      <c r="D1811" s="8" t="str">
        <f>IF(B1811="","",VLOOKUP(B1811,经纬!B:G,6,FALSE))</f>
        <v/>
      </c>
      <c r="F1811" s="8" t="str">
        <f>IF(B1811="","",VLOOKUP(B1811,小圆机汇总表!A:AP,5,FALSE))</f>
        <v/>
      </c>
      <c r="G1811" s="8" t="str">
        <f>IF(B1811="","",VLOOKUP(B1811,小圆机汇总表!A:AP,8,FALSE))</f>
        <v/>
      </c>
      <c r="P1811" s="8" t="str">
        <f t="shared" si="86"/>
        <v/>
      </c>
    </row>
    <row r="1812" spans="1:16">
      <c r="A1812" s="4">
        <v>1821</v>
      </c>
      <c r="C1812" s="8" t="str">
        <f>IF(B1812="","",VLOOKUP(B1812,经纬!B:C,2,FALSE))</f>
        <v/>
      </c>
      <c r="D1812" s="8" t="str">
        <f>IF(B1812="","",VLOOKUP(B1812,经纬!B:G,6,FALSE))</f>
        <v/>
      </c>
      <c r="F1812" s="8" t="str">
        <f>IF(B1812="","",VLOOKUP(B1812,小圆机汇总表!A:AP,5,FALSE))</f>
        <v/>
      </c>
      <c r="G1812" s="8" t="str">
        <f>IF(B1812="","",VLOOKUP(B1812,小圆机汇总表!A:AP,8,FALSE))</f>
        <v/>
      </c>
      <c r="P1812" s="8" t="str">
        <f t="shared" si="86"/>
        <v/>
      </c>
    </row>
    <row r="1813" spans="1:16">
      <c r="A1813" s="4">
        <v>1822</v>
      </c>
      <c r="C1813" s="8" t="str">
        <f>IF(B1813="","",VLOOKUP(B1813,经纬!B:C,2,FALSE))</f>
        <v/>
      </c>
      <c r="D1813" s="8" t="str">
        <f>IF(B1813="","",VLOOKUP(B1813,经纬!B:G,6,FALSE))</f>
        <v/>
      </c>
      <c r="F1813" s="8" t="str">
        <f>IF(B1813="","",VLOOKUP(B1813,小圆机汇总表!A:AP,5,FALSE))</f>
        <v/>
      </c>
      <c r="G1813" s="8" t="str">
        <f>IF(B1813="","",VLOOKUP(B1813,小圆机汇总表!A:AP,8,FALSE))</f>
        <v/>
      </c>
      <c r="P1813" s="8" t="str">
        <f t="shared" si="86"/>
        <v/>
      </c>
    </row>
    <row r="1814" spans="1:16">
      <c r="A1814" s="4">
        <v>1823</v>
      </c>
      <c r="C1814" s="8" t="str">
        <f>IF(B1814="","",VLOOKUP(B1814,经纬!B:C,2,FALSE))</f>
        <v/>
      </c>
      <c r="D1814" s="8" t="str">
        <f>IF(B1814="","",VLOOKUP(B1814,经纬!B:G,6,FALSE))</f>
        <v/>
      </c>
      <c r="F1814" s="8" t="str">
        <f>IF(B1814="","",VLOOKUP(B1814,小圆机汇总表!A:AP,5,FALSE))</f>
        <v/>
      </c>
      <c r="G1814" s="8" t="str">
        <f>IF(B1814="","",VLOOKUP(B1814,小圆机汇总表!A:AP,8,FALSE))</f>
        <v/>
      </c>
      <c r="P1814" s="8" t="str">
        <f t="shared" si="86"/>
        <v/>
      </c>
    </row>
    <row r="1815" spans="1:16">
      <c r="A1815" s="4">
        <v>1824</v>
      </c>
      <c r="C1815" s="8" t="str">
        <f>IF(B1815="","",VLOOKUP(B1815,经纬!B:C,2,FALSE))</f>
        <v/>
      </c>
      <c r="D1815" s="8" t="str">
        <f>IF(B1815="","",VLOOKUP(B1815,经纬!B:G,6,FALSE))</f>
        <v/>
      </c>
      <c r="F1815" s="8" t="str">
        <f>IF(B1815="","",VLOOKUP(B1815,小圆机汇总表!A:AP,5,FALSE))</f>
        <v/>
      </c>
      <c r="G1815" s="8" t="str">
        <f>IF(B1815="","",VLOOKUP(B1815,小圆机汇总表!A:AP,8,FALSE))</f>
        <v/>
      </c>
      <c r="P1815" s="8" t="str">
        <f t="shared" si="86"/>
        <v/>
      </c>
    </row>
    <row r="1816" spans="1:16">
      <c r="A1816" s="4">
        <v>1825</v>
      </c>
      <c r="C1816" s="8" t="str">
        <f>IF(B1816="","",VLOOKUP(B1816,经纬!B:C,2,FALSE))</f>
        <v/>
      </c>
      <c r="D1816" s="8" t="str">
        <f>IF(B1816="","",VLOOKUP(B1816,经纬!B:G,6,FALSE))</f>
        <v/>
      </c>
      <c r="F1816" s="8" t="str">
        <f>IF(B1816="","",VLOOKUP(B1816,小圆机汇总表!A:AP,5,FALSE))</f>
        <v/>
      </c>
      <c r="G1816" s="8" t="str">
        <f>IF(B1816="","",VLOOKUP(B1816,小圆机汇总表!A:AP,8,FALSE))</f>
        <v/>
      </c>
      <c r="P1816" s="8" t="str">
        <f t="shared" si="86"/>
        <v/>
      </c>
    </row>
    <row r="1817" spans="1:16">
      <c r="A1817" s="4">
        <v>1826</v>
      </c>
      <c r="C1817" s="8" t="str">
        <f>IF(B1817="","",VLOOKUP(B1817,经纬!B:C,2,FALSE))</f>
        <v/>
      </c>
      <c r="D1817" s="8" t="str">
        <f>IF(B1817="","",VLOOKUP(B1817,经纬!B:G,6,FALSE))</f>
        <v/>
      </c>
      <c r="F1817" s="8" t="str">
        <f>IF(B1817="","",VLOOKUP(B1817,小圆机汇总表!A:AP,5,FALSE))</f>
        <v/>
      </c>
      <c r="G1817" s="8" t="str">
        <f>IF(B1817="","",VLOOKUP(B1817,小圆机汇总表!A:AP,8,FALSE))</f>
        <v/>
      </c>
      <c r="P1817" s="8" t="str">
        <f t="shared" si="86"/>
        <v/>
      </c>
    </row>
    <row r="1818" spans="1:16">
      <c r="A1818" s="4">
        <v>1827</v>
      </c>
      <c r="C1818" s="8" t="str">
        <f>IF(B1818="","",VLOOKUP(B1818,经纬!B:C,2,FALSE))</f>
        <v/>
      </c>
      <c r="D1818" s="8" t="str">
        <f>IF(B1818="","",VLOOKUP(B1818,经纬!B:G,6,FALSE))</f>
        <v/>
      </c>
      <c r="F1818" s="8" t="str">
        <f>IF(B1818="","",VLOOKUP(B1818,小圆机汇总表!A:AP,5,FALSE))</f>
        <v/>
      </c>
      <c r="G1818" s="8" t="str">
        <f>IF(B1818="","",VLOOKUP(B1818,小圆机汇总表!A:AP,8,FALSE))</f>
        <v/>
      </c>
      <c r="P1818" s="8" t="str">
        <f t="shared" ref="P1818:P1881" si="87">IF(B1818="","",MONTH(I1818))</f>
        <v/>
      </c>
    </row>
    <row r="1819" spans="1:16">
      <c r="A1819" s="4">
        <v>1828</v>
      </c>
      <c r="C1819" s="8" t="str">
        <f>IF(B1819="","",VLOOKUP(B1819,经纬!B:C,2,FALSE))</f>
        <v/>
      </c>
      <c r="D1819" s="8" t="str">
        <f>IF(B1819="","",VLOOKUP(B1819,经纬!B:G,6,FALSE))</f>
        <v/>
      </c>
      <c r="F1819" s="8" t="str">
        <f>IF(B1819="","",VLOOKUP(B1819,小圆机汇总表!A:AP,5,FALSE))</f>
        <v/>
      </c>
      <c r="G1819" s="8" t="str">
        <f>IF(B1819="","",VLOOKUP(B1819,小圆机汇总表!A:AP,8,FALSE))</f>
        <v/>
      </c>
      <c r="P1819" s="8" t="str">
        <f t="shared" si="87"/>
        <v/>
      </c>
    </row>
    <row r="1820" spans="1:16">
      <c r="A1820" s="4">
        <v>1829</v>
      </c>
      <c r="C1820" s="8" t="str">
        <f>IF(B1820="","",VLOOKUP(B1820,经纬!B:C,2,FALSE))</f>
        <v/>
      </c>
      <c r="D1820" s="8" t="str">
        <f>IF(B1820="","",VLOOKUP(B1820,经纬!B:G,6,FALSE))</f>
        <v/>
      </c>
      <c r="F1820" s="8" t="str">
        <f>IF(B1820="","",VLOOKUP(B1820,小圆机汇总表!A:AP,5,FALSE))</f>
        <v/>
      </c>
      <c r="G1820" s="8" t="str">
        <f>IF(B1820="","",VLOOKUP(B1820,小圆机汇总表!A:AP,8,FALSE))</f>
        <v/>
      </c>
      <c r="P1820" s="8" t="str">
        <f t="shared" si="87"/>
        <v/>
      </c>
    </row>
    <row r="1821" spans="1:16">
      <c r="A1821" s="4">
        <v>1830</v>
      </c>
      <c r="C1821" s="8" t="str">
        <f>IF(B1821="","",VLOOKUP(B1821,经纬!B:C,2,FALSE))</f>
        <v/>
      </c>
      <c r="D1821" s="8" t="str">
        <f>IF(B1821="","",VLOOKUP(B1821,经纬!B:G,6,FALSE))</f>
        <v/>
      </c>
      <c r="F1821" s="8" t="str">
        <f>IF(B1821="","",VLOOKUP(B1821,小圆机汇总表!A:AP,5,FALSE))</f>
        <v/>
      </c>
      <c r="G1821" s="8" t="str">
        <f>IF(B1821="","",VLOOKUP(B1821,小圆机汇总表!A:AP,8,FALSE))</f>
        <v/>
      </c>
      <c r="P1821" s="8" t="str">
        <f t="shared" si="87"/>
        <v/>
      </c>
    </row>
    <row r="1822" spans="1:16">
      <c r="A1822" s="4">
        <v>1831</v>
      </c>
      <c r="C1822" s="8" t="str">
        <f>IF(B1822="","",VLOOKUP(B1822,经纬!B:C,2,FALSE))</f>
        <v/>
      </c>
      <c r="D1822" s="8" t="str">
        <f>IF(B1822="","",VLOOKUP(B1822,经纬!B:G,6,FALSE))</f>
        <v/>
      </c>
      <c r="F1822" s="8" t="str">
        <f>IF(B1822="","",VLOOKUP(B1822,小圆机汇总表!A:AP,5,FALSE))</f>
        <v/>
      </c>
      <c r="G1822" s="8" t="str">
        <f>IF(B1822="","",VLOOKUP(B1822,小圆机汇总表!A:AP,8,FALSE))</f>
        <v/>
      </c>
      <c r="P1822" s="8" t="str">
        <f t="shared" si="87"/>
        <v/>
      </c>
    </row>
    <row r="1823" spans="1:16">
      <c r="A1823" s="4">
        <v>1832</v>
      </c>
      <c r="C1823" s="8" t="str">
        <f>IF(B1823="","",VLOOKUP(B1823,经纬!B:C,2,FALSE))</f>
        <v/>
      </c>
      <c r="D1823" s="8" t="str">
        <f>IF(B1823="","",VLOOKUP(B1823,经纬!B:G,6,FALSE))</f>
        <v/>
      </c>
      <c r="F1823" s="8" t="str">
        <f>IF(B1823="","",VLOOKUP(B1823,小圆机汇总表!A:AP,5,FALSE))</f>
        <v/>
      </c>
      <c r="G1823" s="8" t="str">
        <f>IF(B1823="","",VLOOKUP(B1823,小圆机汇总表!A:AP,8,FALSE))</f>
        <v/>
      </c>
      <c r="P1823" s="8" t="str">
        <f t="shared" si="87"/>
        <v/>
      </c>
    </row>
    <row r="1824" spans="1:16">
      <c r="A1824" s="4">
        <v>1833</v>
      </c>
      <c r="C1824" s="8" t="str">
        <f>IF(B1824="","",VLOOKUP(B1824,经纬!B:C,2,FALSE))</f>
        <v/>
      </c>
      <c r="D1824" s="8" t="str">
        <f>IF(B1824="","",VLOOKUP(B1824,经纬!B:G,6,FALSE))</f>
        <v/>
      </c>
      <c r="F1824" s="8" t="str">
        <f>IF(B1824="","",VLOOKUP(B1824,小圆机汇总表!A:AP,5,FALSE))</f>
        <v/>
      </c>
      <c r="G1824" s="8" t="str">
        <f>IF(B1824="","",VLOOKUP(B1824,小圆机汇总表!A:AP,8,FALSE))</f>
        <v/>
      </c>
      <c r="P1824" s="8" t="str">
        <f t="shared" si="87"/>
        <v/>
      </c>
    </row>
    <row r="1825" spans="1:16">
      <c r="A1825" s="4">
        <v>1834</v>
      </c>
      <c r="C1825" s="8" t="str">
        <f>IF(B1825="","",VLOOKUP(B1825,经纬!B:C,2,FALSE))</f>
        <v/>
      </c>
      <c r="D1825" s="8" t="str">
        <f>IF(B1825="","",VLOOKUP(B1825,经纬!B:G,6,FALSE))</f>
        <v/>
      </c>
      <c r="F1825" s="8" t="str">
        <f>IF(B1825="","",VLOOKUP(B1825,小圆机汇总表!A:AP,5,FALSE))</f>
        <v/>
      </c>
      <c r="G1825" s="8" t="str">
        <f>IF(B1825="","",VLOOKUP(B1825,小圆机汇总表!A:AP,8,FALSE))</f>
        <v/>
      </c>
      <c r="P1825" s="8" t="str">
        <f t="shared" si="87"/>
        <v/>
      </c>
    </row>
    <row r="1826" spans="1:16">
      <c r="A1826" s="4">
        <v>1835</v>
      </c>
      <c r="C1826" s="8" t="str">
        <f>IF(B1826="","",VLOOKUP(B1826,经纬!B:C,2,FALSE))</f>
        <v/>
      </c>
      <c r="D1826" s="8" t="str">
        <f>IF(B1826="","",VLOOKUP(B1826,经纬!B:G,6,FALSE))</f>
        <v/>
      </c>
      <c r="F1826" s="8" t="str">
        <f>IF(B1826="","",VLOOKUP(B1826,小圆机汇总表!A:AP,5,FALSE))</f>
        <v/>
      </c>
      <c r="G1826" s="8" t="str">
        <f>IF(B1826="","",VLOOKUP(B1826,小圆机汇总表!A:AP,8,FALSE))</f>
        <v/>
      </c>
      <c r="P1826" s="8" t="str">
        <f t="shared" si="87"/>
        <v/>
      </c>
    </row>
    <row r="1827" spans="1:16">
      <c r="A1827" s="4">
        <v>1836</v>
      </c>
      <c r="C1827" s="8" t="str">
        <f>IF(B1827="","",VLOOKUP(B1827,经纬!B:C,2,FALSE))</f>
        <v/>
      </c>
      <c r="D1827" s="8" t="str">
        <f>IF(B1827="","",VLOOKUP(B1827,经纬!B:G,6,FALSE))</f>
        <v/>
      </c>
      <c r="F1827" s="8" t="str">
        <f>IF(B1827="","",VLOOKUP(B1827,小圆机汇总表!A:AP,5,FALSE))</f>
        <v/>
      </c>
      <c r="G1827" s="8" t="str">
        <f>IF(B1827="","",VLOOKUP(B1827,小圆机汇总表!A:AP,8,FALSE))</f>
        <v/>
      </c>
      <c r="P1827" s="8" t="str">
        <f t="shared" si="87"/>
        <v/>
      </c>
    </row>
    <row r="1828" spans="1:16">
      <c r="A1828" s="4">
        <v>1837</v>
      </c>
      <c r="C1828" s="8" t="str">
        <f>IF(B1828="","",VLOOKUP(B1828,经纬!B:C,2,FALSE))</f>
        <v/>
      </c>
      <c r="D1828" s="8" t="str">
        <f>IF(B1828="","",VLOOKUP(B1828,经纬!B:G,6,FALSE))</f>
        <v/>
      </c>
      <c r="F1828" s="8" t="str">
        <f>IF(B1828="","",VLOOKUP(B1828,小圆机汇总表!A:AP,5,FALSE))</f>
        <v/>
      </c>
      <c r="G1828" s="8" t="str">
        <f>IF(B1828="","",VLOOKUP(B1828,小圆机汇总表!A:AP,8,FALSE))</f>
        <v/>
      </c>
      <c r="P1828" s="8" t="str">
        <f t="shared" si="87"/>
        <v/>
      </c>
    </row>
    <row r="1829" spans="1:16">
      <c r="A1829" s="4">
        <v>1838</v>
      </c>
      <c r="C1829" s="8" t="str">
        <f>IF(B1829="","",VLOOKUP(B1829,经纬!B:C,2,FALSE))</f>
        <v/>
      </c>
      <c r="D1829" s="8" t="str">
        <f>IF(B1829="","",VLOOKUP(B1829,经纬!B:G,6,FALSE))</f>
        <v/>
      </c>
      <c r="F1829" s="8" t="str">
        <f>IF(B1829="","",VLOOKUP(B1829,小圆机汇总表!A:AP,5,FALSE))</f>
        <v/>
      </c>
      <c r="G1829" s="8" t="str">
        <f>IF(B1829="","",VLOOKUP(B1829,小圆机汇总表!A:AP,8,FALSE))</f>
        <v/>
      </c>
      <c r="P1829" s="8" t="str">
        <f t="shared" si="87"/>
        <v/>
      </c>
    </row>
    <row r="1830" spans="1:16">
      <c r="A1830" s="4">
        <v>1839</v>
      </c>
      <c r="C1830" s="8" t="str">
        <f>IF(B1830="","",VLOOKUP(B1830,经纬!B:C,2,FALSE))</f>
        <v/>
      </c>
      <c r="D1830" s="8" t="str">
        <f>IF(B1830="","",VLOOKUP(B1830,经纬!B:G,6,FALSE))</f>
        <v/>
      </c>
      <c r="F1830" s="8" t="str">
        <f>IF(B1830="","",VLOOKUP(B1830,小圆机汇总表!A:AP,5,FALSE))</f>
        <v/>
      </c>
      <c r="G1830" s="8" t="str">
        <f>IF(B1830="","",VLOOKUP(B1830,小圆机汇总表!A:AP,8,FALSE))</f>
        <v/>
      </c>
      <c r="P1830" s="8" t="str">
        <f t="shared" si="87"/>
        <v/>
      </c>
    </row>
    <row r="1831" spans="1:16">
      <c r="A1831" s="4">
        <v>1840</v>
      </c>
      <c r="C1831" s="8" t="str">
        <f>IF(B1831="","",VLOOKUP(B1831,经纬!B:C,2,FALSE))</f>
        <v/>
      </c>
      <c r="D1831" s="8" t="str">
        <f>IF(B1831="","",VLOOKUP(B1831,经纬!B:G,6,FALSE))</f>
        <v/>
      </c>
      <c r="F1831" s="8" t="str">
        <f>IF(B1831="","",VLOOKUP(B1831,小圆机汇总表!A:AP,5,FALSE))</f>
        <v/>
      </c>
      <c r="G1831" s="8" t="str">
        <f>IF(B1831="","",VLOOKUP(B1831,小圆机汇总表!A:AP,8,FALSE))</f>
        <v/>
      </c>
      <c r="P1831" s="8" t="str">
        <f t="shared" si="87"/>
        <v/>
      </c>
    </row>
    <row r="1832" spans="1:16">
      <c r="A1832" s="4">
        <v>1841</v>
      </c>
      <c r="C1832" s="8" t="str">
        <f>IF(B1832="","",VLOOKUP(B1832,经纬!B:C,2,FALSE))</f>
        <v/>
      </c>
      <c r="D1832" s="8" t="str">
        <f>IF(B1832="","",VLOOKUP(B1832,经纬!B:G,6,FALSE))</f>
        <v/>
      </c>
      <c r="F1832" s="8" t="str">
        <f>IF(B1832="","",VLOOKUP(B1832,小圆机汇总表!A:AP,5,FALSE))</f>
        <v/>
      </c>
      <c r="G1832" s="8" t="str">
        <f>IF(B1832="","",VLOOKUP(B1832,小圆机汇总表!A:AP,8,FALSE))</f>
        <v/>
      </c>
      <c r="P1832" s="8" t="str">
        <f t="shared" si="87"/>
        <v/>
      </c>
    </row>
    <row r="1833" spans="1:16">
      <c r="A1833" s="4">
        <v>1842</v>
      </c>
      <c r="C1833" s="8" t="str">
        <f>IF(B1833="","",VLOOKUP(B1833,经纬!B:C,2,FALSE))</f>
        <v/>
      </c>
      <c r="D1833" s="8" t="str">
        <f>IF(B1833="","",VLOOKUP(B1833,经纬!B:G,6,FALSE))</f>
        <v/>
      </c>
      <c r="F1833" s="8" t="str">
        <f>IF(B1833="","",VLOOKUP(B1833,小圆机汇总表!A:AP,5,FALSE))</f>
        <v/>
      </c>
      <c r="G1833" s="8" t="str">
        <f>IF(B1833="","",VLOOKUP(B1833,小圆机汇总表!A:AP,8,FALSE))</f>
        <v/>
      </c>
      <c r="P1833" s="8" t="str">
        <f t="shared" si="87"/>
        <v/>
      </c>
    </row>
    <row r="1834" spans="1:16">
      <c r="A1834" s="4">
        <v>1843</v>
      </c>
      <c r="C1834" s="8" t="str">
        <f>IF(B1834="","",VLOOKUP(B1834,经纬!B:C,2,FALSE))</f>
        <v/>
      </c>
      <c r="D1834" s="8" t="str">
        <f>IF(B1834="","",VLOOKUP(B1834,经纬!B:G,6,FALSE))</f>
        <v/>
      </c>
      <c r="F1834" s="8" t="str">
        <f>IF(B1834="","",VLOOKUP(B1834,小圆机汇总表!A:AP,5,FALSE))</f>
        <v/>
      </c>
      <c r="G1834" s="8" t="str">
        <f>IF(B1834="","",VLOOKUP(B1834,小圆机汇总表!A:AP,8,FALSE))</f>
        <v/>
      </c>
      <c r="P1834" s="8" t="str">
        <f t="shared" si="87"/>
        <v/>
      </c>
    </row>
    <row r="1835" spans="1:16">
      <c r="A1835" s="4">
        <v>1844</v>
      </c>
      <c r="C1835" s="8" t="str">
        <f>IF(B1835="","",VLOOKUP(B1835,经纬!B:C,2,FALSE))</f>
        <v/>
      </c>
      <c r="D1835" s="8" t="str">
        <f>IF(B1835="","",VLOOKUP(B1835,经纬!B:G,6,FALSE))</f>
        <v/>
      </c>
      <c r="F1835" s="8" t="str">
        <f>IF(B1835="","",VLOOKUP(B1835,小圆机汇总表!A:AP,5,FALSE))</f>
        <v/>
      </c>
      <c r="G1835" s="8" t="str">
        <f>IF(B1835="","",VLOOKUP(B1835,小圆机汇总表!A:AP,8,FALSE))</f>
        <v/>
      </c>
      <c r="P1835" s="8" t="str">
        <f t="shared" si="87"/>
        <v/>
      </c>
    </row>
    <row r="1836" spans="1:16">
      <c r="A1836" s="4">
        <v>1845</v>
      </c>
      <c r="C1836" s="8" t="str">
        <f>IF(B1836="","",VLOOKUP(B1836,经纬!B:C,2,FALSE))</f>
        <v/>
      </c>
      <c r="D1836" s="8" t="str">
        <f>IF(B1836="","",VLOOKUP(B1836,经纬!B:G,6,FALSE))</f>
        <v/>
      </c>
      <c r="F1836" s="8" t="str">
        <f>IF(B1836="","",VLOOKUP(B1836,小圆机汇总表!A:AP,5,FALSE))</f>
        <v/>
      </c>
      <c r="G1836" s="8" t="str">
        <f>IF(B1836="","",VLOOKUP(B1836,小圆机汇总表!A:AP,8,FALSE))</f>
        <v/>
      </c>
      <c r="P1836" s="8" t="str">
        <f t="shared" si="87"/>
        <v/>
      </c>
    </row>
    <row r="1837" spans="1:16">
      <c r="A1837" s="4">
        <v>1846</v>
      </c>
      <c r="C1837" s="8" t="str">
        <f>IF(B1837="","",VLOOKUP(B1837,经纬!B:C,2,FALSE))</f>
        <v/>
      </c>
      <c r="D1837" s="8" t="str">
        <f>IF(B1837="","",VLOOKUP(B1837,经纬!B:G,6,FALSE))</f>
        <v/>
      </c>
      <c r="F1837" s="8" t="str">
        <f>IF(B1837="","",VLOOKUP(B1837,小圆机汇总表!A:AP,5,FALSE))</f>
        <v/>
      </c>
      <c r="G1837" s="8" t="str">
        <f>IF(B1837="","",VLOOKUP(B1837,小圆机汇总表!A:AP,8,FALSE))</f>
        <v/>
      </c>
      <c r="P1837" s="8" t="str">
        <f t="shared" si="87"/>
        <v/>
      </c>
    </row>
    <row r="1838" spans="1:16">
      <c r="A1838" s="4">
        <v>1847</v>
      </c>
      <c r="C1838" s="8" t="str">
        <f>IF(B1838="","",VLOOKUP(B1838,经纬!B:C,2,FALSE))</f>
        <v/>
      </c>
      <c r="D1838" s="8" t="str">
        <f>IF(B1838="","",VLOOKUP(B1838,经纬!B:G,6,FALSE))</f>
        <v/>
      </c>
      <c r="F1838" s="8" t="str">
        <f>IF(B1838="","",VLOOKUP(B1838,小圆机汇总表!A:AP,5,FALSE))</f>
        <v/>
      </c>
      <c r="G1838" s="8" t="str">
        <f>IF(B1838="","",VLOOKUP(B1838,小圆机汇总表!A:AP,8,FALSE))</f>
        <v/>
      </c>
      <c r="P1838" s="8" t="str">
        <f t="shared" si="87"/>
        <v/>
      </c>
    </row>
    <row r="1839" spans="1:16">
      <c r="A1839" s="4">
        <v>1848</v>
      </c>
      <c r="C1839" s="8" t="str">
        <f>IF(B1839="","",VLOOKUP(B1839,经纬!B:C,2,FALSE))</f>
        <v/>
      </c>
      <c r="D1839" s="8" t="str">
        <f>IF(B1839="","",VLOOKUP(B1839,经纬!B:G,6,FALSE))</f>
        <v/>
      </c>
      <c r="F1839" s="8" t="str">
        <f>IF(B1839="","",VLOOKUP(B1839,小圆机汇总表!A:AP,5,FALSE))</f>
        <v/>
      </c>
      <c r="G1839" s="8" t="str">
        <f>IF(B1839="","",VLOOKUP(B1839,小圆机汇总表!A:AP,8,FALSE))</f>
        <v/>
      </c>
      <c r="P1839" s="8" t="str">
        <f t="shared" si="87"/>
        <v/>
      </c>
    </row>
    <row r="1840" spans="1:16">
      <c r="A1840" s="4">
        <v>1849</v>
      </c>
      <c r="C1840" s="8" t="str">
        <f>IF(B1840="","",VLOOKUP(B1840,经纬!B:C,2,FALSE))</f>
        <v/>
      </c>
      <c r="D1840" s="8" t="str">
        <f>IF(B1840="","",VLOOKUP(B1840,经纬!B:G,6,FALSE))</f>
        <v/>
      </c>
      <c r="F1840" s="8" t="str">
        <f>IF(B1840="","",VLOOKUP(B1840,小圆机汇总表!A:AP,5,FALSE))</f>
        <v/>
      </c>
      <c r="G1840" s="8" t="str">
        <f>IF(B1840="","",VLOOKUP(B1840,小圆机汇总表!A:AP,8,FALSE))</f>
        <v/>
      </c>
      <c r="P1840" s="8" t="str">
        <f t="shared" si="87"/>
        <v/>
      </c>
    </row>
    <row r="1841" spans="1:16">
      <c r="A1841" s="4">
        <v>1850</v>
      </c>
      <c r="C1841" s="8" t="str">
        <f>IF(B1841="","",VLOOKUP(B1841,经纬!B:C,2,FALSE))</f>
        <v/>
      </c>
      <c r="D1841" s="8" t="str">
        <f>IF(B1841="","",VLOOKUP(B1841,经纬!B:G,6,FALSE))</f>
        <v/>
      </c>
      <c r="F1841" s="8" t="str">
        <f>IF(B1841="","",VLOOKUP(B1841,小圆机汇总表!A:AP,5,FALSE))</f>
        <v/>
      </c>
      <c r="G1841" s="8" t="str">
        <f>IF(B1841="","",VLOOKUP(B1841,小圆机汇总表!A:AP,8,FALSE))</f>
        <v/>
      </c>
      <c r="P1841" s="8" t="str">
        <f t="shared" si="87"/>
        <v/>
      </c>
    </row>
    <row r="1842" spans="1:16">
      <c r="A1842" s="4">
        <v>1851</v>
      </c>
      <c r="C1842" s="8" t="str">
        <f>IF(B1842="","",VLOOKUP(B1842,经纬!B:C,2,FALSE))</f>
        <v/>
      </c>
      <c r="D1842" s="8" t="str">
        <f>IF(B1842="","",VLOOKUP(B1842,经纬!B:G,6,FALSE))</f>
        <v/>
      </c>
      <c r="F1842" s="8" t="str">
        <f>IF(B1842="","",VLOOKUP(B1842,小圆机汇总表!A:AP,5,FALSE))</f>
        <v/>
      </c>
      <c r="G1842" s="8" t="str">
        <f>IF(B1842="","",VLOOKUP(B1842,小圆机汇总表!A:AP,8,FALSE))</f>
        <v/>
      </c>
      <c r="P1842" s="8" t="str">
        <f t="shared" si="87"/>
        <v/>
      </c>
    </row>
    <row r="1843" spans="1:16">
      <c r="A1843" s="4">
        <v>1852</v>
      </c>
      <c r="C1843" s="8" t="str">
        <f>IF(B1843="","",VLOOKUP(B1843,经纬!B:C,2,FALSE))</f>
        <v/>
      </c>
      <c r="D1843" s="8" t="str">
        <f>IF(B1843="","",VLOOKUP(B1843,经纬!B:G,6,FALSE))</f>
        <v/>
      </c>
      <c r="F1843" s="8" t="str">
        <f>IF(B1843="","",VLOOKUP(B1843,小圆机汇总表!A:AP,5,FALSE))</f>
        <v/>
      </c>
      <c r="G1843" s="8" t="str">
        <f>IF(B1843="","",VLOOKUP(B1843,小圆机汇总表!A:AP,8,FALSE))</f>
        <v/>
      </c>
      <c r="P1843" s="8" t="str">
        <f t="shared" si="87"/>
        <v/>
      </c>
    </row>
    <row r="1844" spans="1:16">
      <c r="A1844" s="4">
        <v>1853</v>
      </c>
      <c r="C1844" s="8" t="str">
        <f>IF(B1844="","",VLOOKUP(B1844,经纬!B:C,2,FALSE))</f>
        <v/>
      </c>
      <c r="D1844" s="8" t="str">
        <f>IF(B1844="","",VLOOKUP(B1844,经纬!B:G,6,FALSE))</f>
        <v/>
      </c>
      <c r="F1844" s="8" t="str">
        <f>IF(B1844="","",VLOOKUP(B1844,小圆机汇总表!A:AP,5,FALSE))</f>
        <v/>
      </c>
      <c r="G1844" s="8" t="str">
        <f>IF(B1844="","",VLOOKUP(B1844,小圆机汇总表!A:AP,8,FALSE))</f>
        <v/>
      </c>
      <c r="P1844" s="8" t="str">
        <f t="shared" si="87"/>
        <v/>
      </c>
    </row>
    <row r="1845" spans="1:16">
      <c r="A1845" s="4">
        <v>1854</v>
      </c>
      <c r="C1845" s="8" t="str">
        <f>IF(B1845="","",VLOOKUP(B1845,经纬!B:C,2,FALSE))</f>
        <v/>
      </c>
      <c r="D1845" s="8" t="str">
        <f>IF(B1845="","",VLOOKUP(B1845,经纬!B:G,6,FALSE))</f>
        <v/>
      </c>
      <c r="F1845" s="8" t="str">
        <f>IF(B1845="","",VLOOKUP(B1845,小圆机汇总表!A:AP,5,FALSE))</f>
        <v/>
      </c>
      <c r="G1845" s="8" t="str">
        <f>IF(B1845="","",VLOOKUP(B1845,小圆机汇总表!A:AP,8,FALSE))</f>
        <v/>
      </c>
      <c r="P1845" s="8" t="str">
        <f t="shared" si="87"/>
        <v/>
      </c>
    </row>
    <row r="1846" spans="1:16">
      <c r="A1846" s="4">
        <v>1855</v>
      </c>
      <c r="C1846" s="8" t="str">
        <f>IF(B1846="","",VLOOKUP(B1846,经纬!B:C,2,FALSE))</f>
        <v/>
      </c>
      <c r="D1846" s="8" t="str">
        <f>IF(B1846="","",VLOOKUP(B1846,经纬!B:G,6,FALSE))</f>
        <v/>
      </c>
      <c r="F1846" s="8" t="str">
        <f>IF(B1846="","",VLOOKUP(B1846,小圆机汇总表!A:AP,5,FALSE))</f>
        <v/>
      </c>
      <c r="G1846" s="8" t="str">
        <f>IF(B1846="","",VLOOKUP(B1846,小圆机汇总表!A:AP,8,FALSE))</f>
        <v/>
      </c>
      <c r="P1846" s="8" t="str">
        <f t="shared" si="87"/>
        <v/>
      </c>
    </row>
    <row r="1847" spans="1:16">
      <c r="A1847" s="4">
        <v>1856</v>
      </c>
      <c r="C1847" s="8" t="str">
        <f>IF(B1847="","",VLOOKUP(B1847,经纬!B:C,2,FALSE))</f>
        <v/>
      </c>
      <c r="D1847" s="8" t="str">
        <f>IF(B1847="","",VLOOKUP(B1847,经纬!B:G,6,FALSE))</f>
        <v/>
      </c>
      <c r="F1847" s="8" t="str">
        <f>IF(B1847="","",VLOOKUP(B1847,小圆机汇总表!A:AP,5,FALSE))</f>
        <v/>
      </c>
      <c r="G1847" s="8" t="str">
        <f>IF(B1847="","",VLOOKUP(B1847,小圆机汇总表!A:AP,8,FALSE))</f>
        <v/>
      </c>
      <c r="P1847" s="8" t="str">
        <f t="shared" si="87"/>
        <v/>
      </c>
    </row>
    <row r="1848" spans="1:16">
      <c r="A1848" s="4">
        <v>1857</v>
      </c>
      <c r="C1848" s="8" t="str">
        <f>IF(B1848="","",VLOOKUP(B1848,经纬!B:C,2,FALSE))</f>
        <v/>
      </c>
      <c r="D1848" s="8" t="str">
        <f>IF(B1848="","",VLOOKUP(B1848,经纬!B:G,6,FALSE))</f>
        <v/>
      </c>
      <c r="F1848" s="8" t="str">
        <f>IF(B1848="","",VLOOKUP(B1848,小圆机汇总表!A:AP,5,FALSE))</f>
        <v/>
      </c>
      <c r="G1848" s="8" t="str">
        <f>IF(B1848="","",VLOOKUP(B1848,小圆机汇总表!A:AP,8,FALSE))</f>
        <v/>
      </c>
      <c r="P1848" s="8" t="str">
        <f t="shared" si="87"/>
        <v/>
      </c>
    </row>
    <row r="1849" spans="1:16">
      <c r="A1849" s="4">
        <v>1858</v>
      </c>
      <c r="C1849" s="8" t="str">
        <f>IF(B1849="","",VLOOKUP(B1849,经纬!B:C,2,FALSE))</f>
        <v/>
      </c>
      <c r="D1849" s="8" t="str">
        <f>IF(B1849="","",VLOOKUP(B1849,经纬!B:G,6,FALSE))</f>
        <v/>
      </c>
      <c r="F1849" s="8" t="str">
        <f>IF(B1849="","",VLOOKUP(B1849,小圆机汇总表!A:AP,5,FALSE))</f>
        <v/>
      </c>
      <c r="G1849" s="8" t="str">
        <f>IF(B1849="","",VLOOKUP(B1849,小圆机汇总表!A:AP,8,FALSE))</f>
        <v/>
      </c>
      <c r="P1849" s="8" t="str">
        <f t="shared" si="87"/>
        <v/>
      </c>
    </row>
    <row r="1850" spans="1:16">
      <c r="A1850" s="4">
        <v>1859</v>
      </c>
      <c r="C1850" s="8" t="str">
        <f>IF(B1850="","",VLOOKUP(B1850,经纬!B:C,2,FALSE))</f>
        <v/>
      </c>
      <c r="D1850" s="8" t="str">
        <f>IF(B1850="","",VLOOKUP(B1850,经纬!B:G,6,FALSE))</f>
        <v/>
      </c>
      <c r="F1850" s="8" t="str">
        <f>IF(B1850="","",VLOOKUP(B1850,小圆机汇总表!A:AP,5,FALSE))</f>
        <v/>
      </c>
      <c r="G1850" s="8" t="str">
        <f>IF(B1850="","",VLOOKUP(B1850,小圆机汇总表!A:AP,8,FALSE))</f>
        <v/>
      </c>
      <c r="P1850" s="8" t="str">
        <f t="shared" si="87"/>
        <v/>
      </c>
    </row>
    <row r="1851" spans="1:16">
      <c r="A1851" s="4">
        <v>1860</v>
      </c>
      <c r="C1851" s="8" t="str">
        <f>IF(B1851="","",VLOOKUP(B1851,经纬!B:C,2,FALSE))</f>
        <v/>
      </c>
      <c r="D1851" s="8" t="str">
        <f>IF(B1851="","",VLOOKUP(B1851,经纬!B:G,6,FALSE))</f>
        <v/>
      </c>
      <c r="F1851" s="8" t="str">
        <f>IF(B1851="","",VLOOKUP(B1851,小圆机汇总表!A:AP,5,FALSE))</f>
        <v/>
      </c>
      <c r="G1851" s="8" t="str">
        <f>IF(B1851="","",VLOOKUP(B1851,小圆机汇总表!A:AP,8,FALSE))</f>
        <v/>
      </c>
      <c r="P1851" s="8" t="str">
        <f t="shared" si="87"/>
        <v/>
      </c>
    </row>
    <row r="1852" spans="1:16">
      <c r="A1852" s="4">
        <v>1861</v>
      </c>
      <c r="C1852" s="8" t="str">
        <f>IF(B1852="","",VLOOKUP(B1852,经纬!B:C,2,FALSE))</f>
        <v/>
      </c>
      <c r="D1852" s="8" t="str">
        <f>IF(B1852="","",VLOOKUP(B1852,经纬!B:G,6,FALSE))</f>
        <v/>
      </c>
      <c r="F1852" s="8" t="str">
        <f>IF(B1852="","",VLOOKUP(B1852,小圆机汇总表!A:AP,5,FALSE))</f>
        <v/>
      </c>
      <c r="G1852" s="8" t="str">
        <f>IF(B1852="","",VLOOKUP(B1852,小圆机汇总表!A:AP,8,FALSE))</f>
        <v/>
      </c>
      <c r="P1852" s="8" t="str">
        <f t="shared" si="87"/>
        <v/>
      </c>
    </row>
    <row r="1853" spans="1:16">
      <c r="A1853" s="4">
        <v>1862</v>
      </c>
      <c r="C1853" s="8" t="str">
        <f>IF(B1853="","",VLOOKUP(B1853,经纬!B:C,2,FALSE))</f>
        <v/>
      </c>
      <c r="D1853" s="8" t="str">
        <f>IF(B1853="","",VLOOKUP(B1853,经纬!B:G,6,FALSE))</f>
        <v/>
      </c>
      <c r="F1853" s="8" t="str">
        <f>IF(B1853="","",VLOOKUP(B1853,小圆机汇总表!A:AP,5,FALSE))</f>
        <v/>
      </c>
      <c r="G1853" s="8" t="str">
        <f>IF(B1853="","",VLOOKUP(B1853,小圆机汇总表!A:AP,8,FALSE))</f>
        <v/>
      </c>
      <c r="P1853" s="8" t="str">
        <f t="shared" si="87"/>
        <v/>
      </c>
    </row>
    <row r="1854" spans="1:16">
      <c r="A1854" s="4">
        <v>1863</v>
      </c>
      <c r="C1854" s="8" t="str">
        <f>IF(B1854="","",VLOOKUP(B1854,经纬!B:C,2,FALSE))</f>
        <v/>
      </c>
      <c r="D1854" s="8" t="str">
        <f>IF(B1854="","",VLOOKUP(B1854,经纬!B:G,6,FALSE))</f>
        <v/>
      </c>
      <c r="F1854" s="8" t="str">
        <f>IF(B1854="","",VLOOKUP(B1854,小圆机汇总表!A:AP,5,FALSE))</f>
        <v/>
      </c>
      <c r="G1854" s="8" t="str">
        <f>IF(B1854="","",VLOOKUP(B1854,小圆机汇总表!A:AP,8,FALSE))</f>
        <v/>
      </c>
      <c r="P1854" s="8" t="str">
        <f t="shared" si="87"/>
        <v/>
      </c>
    </row>
    <row r="1855" spans="1:16">
      <c r="A1855" s="4">
        <v>1864</v>
      </c>
      <c r="C1855" s="8" t="str">
        <f>IF(B1855="","",VLOOKUP(B1855,经纬!B:C,2,FALSE))</f>
        <v/>
      </c>
      <c r="D1855" s="8" t="str">
        <f>IF(B1855="","",VLOOKUP(B1855,经纬!B:G,6,FALSE))</f>
        <v/>
      </c>
      <c r="F1855" s="8" t="str">
        <f>IF(B1855="","",VLOOKUP(B1855,小圆机汇总表!A:AP,5,FALSE))</f>
        <v/>
      </c>
      <c r="G1855" s="8" t="str">
        <f>IF(B1855="","",VLOOKUP(B1855,小圆机汇总表!A:AP,8,FALSE))</f>
        <v/>
      </c>
      <c r="P1855" s="8" t="str">
        <f t="shared" si="87"/>
        <v/>
      </c>
    </row>
    <row r="1856" spans="1:16">
      <c r="A1856" s="4">
        <v>1865</v>
      </c>
      <c r="C1856" s="8" t="str">
        <f>IF(B1856="","",VLOOKUP(B1856,经纬!B:C,2,FALSE))</f>
        <v/>
      </c>
      <c r="D1856" s="8" t="str">
        <f>IF(B1856="","",VLOOKUP(B1856,经纬!B:G,6,FALSE))</f>
        <v/>
      </c>
      <c r="F1856" s="8" t="str">
        <f>IF(B1856="","",VLOOKUP(B1856,小圆机汇总表!A:AP,5,FALSE))</f>
        <v/>
      </c>
      <c r="G1856" s="8" t="str">
        <f>IF(B1856="","",VLOOKUP(B1856,小圆机汇总表!A:AP,8,FALSE))</f>
        <v/>
      </c>
      <c r="P1856" s="8" t="str">
        <f t="shared" si="87"/>
        <v/>
      </c>
    </row>
    <row r="1857" spans="1:16">
      <c r="A1857" s="4">
        <v>1866</v>
      </c>
      <c r="C1857" s="8" t="str">
        <f>IF(B1857="","",VLOOKUP(B1857,经纬!B:C,2,FALSE))</f>
        <v/>
      </c>
      <c r="D1857" s="8" t="str">
        <f>IF(B1857="","",VLOOKUP(B1857,经纬!B:G,6,FALSE))</f>
        <v/>
      </c>
      <c r="F1857" s="8" t="str">
        <f>IF(B1857="","",VLOOKUP(B1857,小圆机汇总表!A:AP,5,FALSE))</f>
        <v/>
      </c>
      <c r="G1857" s="8" t="str">
        <f>IF(B1857="","",VLOOKUP(B1857,小圆机汇总表!A:AP,8,FALSE))</f>
        <v/>
      </c>
      <c r="P1857" s="8" t="str">
        <f t="shared" si="87"/>
        <v/>
      </c>
    </row>
    <row r="1858" spans="1:16">
      <c r="A1858" s="4">
        <v>1867</v>
      </c>
      <c r="C1858" s="8" t="str">
        <f>IF(B1858="","",VLOOKUP(B1858,经纬!B:C,2,FALSE))</f>
        <v/>
      </c>
      <c r="D1858" s="8" t="str">
        <f>IF(B1858="","",VLOOKUP(B1858,经纬!B:G,6,FALSE))</f>
        <v/>
      </c>
      <c r="F1858" s="8" t="str">
        <f>IF(B1858="","",VLOOKUP(B1858,小圆机汇总表!A:AP,5,FALSE))</f>
        <v/>
      </c>
      <c r="G1858" s="8" t="str">
        <f>IF(B1858="","",VLOOKUP(B1858,小圆机汇总表!A:AP,8,FALSE))</f>
        <v/>
      </c>
      <c r="P1858" s="8" t="str">
        <f t="shared" si="87"/>
        <v/>
      </c>
    </row>
    <row r="1859" spans="1:16">
      <c r="A1859" s="4">
        <v>1868</v>
      </c>
      <c r="C1859" s="8" t="str">
        <f>IF(B1859="","",VLOOKUP(B1859,经纬!B:C,2,FALSE))</f>
        <v/>
      </c>
      <c r="D1859" s="8" t="str">
        <f>IF(B1859="","",VLOOKUP(B1859,经纬!B:G,6,FALSE))</f>
        <v/>
      </c>
      <c r="F1859" s="8" t="str">
        <f>IF(B1859="","",VLOOKUP(B1859,小圆机汇总表!A:AP,5,FALSE))</f>
        <v/>
      </c>
      <c r="G1859" s="8" t="str">
        <f>IF(B1859="","",VLOOKUP(B1859,小圆机汇总表!A:AP,8,FALSE))</f>
        <v/>
      </c>
      <c r="P1859" s="8" t="str">
        <f t="shared" si="87"/>
        <v/>
      </c>
    </row>
    <row r="1860" spans="1:16">
      <c r="A1860" s="4">
        <v>1869</v>
      </c>
      <c r="C1860" s="8" t="str">
        <f>IF(B1860="","",VLOOKUP(B1860,经纬!B:C,2,FALSE))</f>
        <v/>
      </c>
      <c r="D1860" s="8" t="str">
        <f>IF(B1860="","",VLOOKUP(B1860,经纬!B:G,6,FALSE))</f>
        <v/>
      </c>
      <c r="F1860" s="8" t="str">
        <f>IF(B1860="","",VLOOKUP(B1860,小圆机汇总表!A:AP,5,FALSE))</f>
        <v/>
      </c>
      <c r="G1860" s="8" t="str">
        <f>IF(B1860="","",VLOOKUP(B1860,小圆机汇总表!A:AP,8,FALSE))</f>
        <v/>
      </c>
      <c r="P1860" s="8" t="str">
        <f t="shared" si="87"/>
        <v/>
      </c>
    </row>
    <row r="1861" spans="1:16">
      <c r="A1861" s="4">
        <v>1870</v>
      </c>
      <c r="C1861" s="8" t="str">
        <f>IF(B1861="","",VLOOKUP(B1861,经纬!B:C,2,FALSE))</f>
        <v/>
      </c>
      <c r="D1861" s="8" t="str">
        <f>IF(B1861="","",VLOOKUP(B1861,经纬!B:G,6,FALSE))</f>
        <v/>
      </c>
      <c r="F1861" s="8" t="str">
        <f>IF(B1861="","",VLOOKUP(B1861,小圆机汇总表!A:AP,5,FALSE))</f>
        <v/>
      </c>
      <c r="G1861" s="8" t="str">
        <f>IF(B1861="","",VLOOKUP(B1861,小圆机汇总表!A:AP,8,FALSE))</f>
        <v/>
      </c>
      <c r="P1861" s="8" t="str">
        <f t="shared" si="87"/>
        <v/>
      </c>
    </row>
    <row r="1862" spans="1:16">
      <c r="A1862" s="4">
        <v>1871</v>
      </c>
      <c r="C1862" s="8" t="str">
        <f>IF(B1862="","",VLOOKUP(B1862,经纬!B:C,2,FALSE))</f>
        <v/>
      </c>
      <c r="D1862" s="8" t="str">
        <f>IF(B1862="","",VLOOKUP(B1862,经纬!B:G,6,FALSE))</f>
        <v/>
      </c>
      <c r="F1862" s="8" t="str">
        <f>IF(B1862="","",VLOOKUP(B1862,小圆机汇总表!A:AP,5,FALSE))</f>
        <v/>
      </c>
      <c r="G1862" s="8" t="str">
        <f>IF(B1862="","",VLOOKUP(B1862,小圆机汇总表!A:AP,8,FALSE))</f>
        <v/>
      </c>
      <c r="P1862" s="8" t="str">
        <f t="shared" si="87"/>
        <v/>
      </c>
    </row>
    <row r="1863" spans="1:16">
      <c r="A1863" s="4">
        <v>1872</v>
      </c>
      <c r="C1863" s="8" t="str">
        <f>IF(B1863="","",VLOOKUP(B1863,经纬!B:C,2,FALSE))</f>
        <v/>
      </c>
      <c r="D1863" s="8" t="str">
        <f>IF(B1863="","",VLOOKUP(B1863,经纬!B:G,6,FALSE))</f>
        <v/>
      </c>
      <c r="F1863" s="8" t="str">
        <f>IF(B1863="","",VLOOKUP(B1863,小圆机汇总表!A:AP,5,FALSE))</f>
        <v/>
      </c>
      <c r="G1863" s="8" t="str">
        <f>IF(B1863="","",VLOOKUP(B1863,小圆机汇总表!A:AP,8,FALSE))</f>
        <v/>
      </c>
      <c r="P1863" s="8" t="str">
        <f t="shared" si="87"/>
        <v/>
      </c>
    </row>
    <row r="1864" spans="1:16">
      <c r="A1864" s="4">
        <v>1873</v>
      </c>
      <c r="C1864" s="8" t="str">
        <f>IF(B1864="","",VLOOKUP(B1864,经纬!B:C,2,FALSE))</f>
        <v/>
      </c>
      <c r="D1864" s="8" t="str">
        <f>IF(B1864="","",VLOOKUP(B1864,经纬!B:G,6,FALSE))</f>
        <v/>
      </c>
      <c r="F1864" s="8" t="str">
        <f>IF(B1864="","",VLOOKUP(B1864,小圆机汇总表!A:AP,5,FALSE))</f>
        <v/>
      </c>
      <c r="G1864" s="8" t="str">
        <f>IF(B1864="","",VLOOKUP(B1864,小圆机汇总表!A:AP,8,FALSE))</f>
        <v/>
      </c>
      <c r="P1864" s="8" t="str">
        <f t="shared" si="87"/>
        <v/>
      </c>
    </row>
    <row r="1865" spans="1:16">
      <c r="A1865" s="4">
        <v>1874</v>
      </c>
      <c r="C1865" s="8" t="str">
        <f>IF(B1865="","",VLOOKUP(B1865,经纬!B:C,2,FALSE))</f>
        <v/>
      </c>
      <c r="D1865" s="8" t="str">
        <f>IF(B1865="","",VLOOKUP(B1865,经纬!B:G,6,FALSE))</f>
        <v/>
      </c>
      <c r="F1865" s="8" t="str">
        <f>IF(B1865="","",VLOOKUP(B1865,小圆机汇总表!A:AP,5,FALSE))</f>
        <v/>
      </c>
      <c r="G1865" s="8" t="str">
        <f>IF(B1865="","",VLOOKUP(B1865,小圆机汇总表!A:AP,8,FALSE))</f>
        <v/>
      </c>
      <c r="P1865" s="8" t="str">
        <f t="shared" si="87"/>
        <v/>
      </c>
    </row>
    <row r="1866" spans="1:16">
      <c r="A1866" s="4">
        <v>1875</v>
      </c>
      <c r="C1866" s="8" t="str">
        <f>IF(B1866="","",VLOOKUP(B1866,经纬!B:C,2,FALSE))</f>
        <v/>
      </c>
      <c r="D1866" s="8" t="str">
        <f>IF(B1866="","",VLOOKUP(B1866,经纬!B:G,6,FALSE))</f>
        <v/>
      </c>
      <c r="F1866" s="8" t="str">
        <f>IF(B1866="","",VLOOKUP(B1866,小圆机汇总表!A:AP,5,FALSE))</f>
        <v/>
      </c>
      <c r="G1866" s="8" t="str">
        <f>IF(B1866="","",VLOOKUP(B1866,小圆机汇总表!A:AP,8,FALSE))</f>
        <v/>
      </c>
      <c r="P1866" s="8" t="str">
        <f t="shared" si="87"/>
        <v/>
      </c>
    </row>
    <row r="1867" spans="1:16">
      <c r="A1867" s="4">
        <v>1876</v>
      </c>
      <c r="C1867" s="8" t="str">
        <f>IF(B1867="","",VLOOKUP(B1867,经纬!B:C,2,FALSE))</f>
        <v/>
      </c>
      <c r="D1867" s="8" t="str">
        <f>IF(B1867="","",VLOOKUP(B1867,经纬!B:G,6,FALSE))</f>
        <v/>
      </c>
      <c r="F1867" s="8" t="str">
        <f>IF(B1867="","",VLOOKUP(B1867,小圆机汇总表!A:AP,5,FALSE))</f>
        <v/>
      </c>
      <c r="G1867" s="8" t="str">
        <f>IF(B1867="","",VLOOKUP(B1867,小圆机汇总表!A:AP,8,FALSE))</f>
        <v/>
      </c>
      <c r="P1867" s="8" t="str">
        <f t="shared" si="87"/>
        <v/>
      </c>
    </row>
    <row r="1868" spans="1:16">
      <c r="A1868" s="4">
        <v>1877</v>
      </c>
      <c r="C1868" s="8" t="str">
        <f>IF(B1868="","",VLOOKUP(B1868,经纬!B:C,2,FALSE))</f>
        <v/>
      </c>
      <c r="D1868" s="8" t="str">
        <f>IF(B1868="","",VLOOKUP(B1868,经纬!B:G,6,FALSE))</f>
        <v/>
      </c>
      <c r="F1868" s="8" t="str">
        <f>IF(B1868="","",VLOOKUP(B1868,小圆机汇总表!A:AP,5,FALSE))</f>
        <v/>
      </c>
      <c r="G1868" s="8" t="str">
        <f>IF(B1868="","",VLOOKUP(B1868,小圆机汇总表!A:AP,8,FALSE))</f>
        <v/>
      </c>
      <c r="P1868" s="8" t="str">
        <f t="shared" si="87"/>
        <v/>
      </c>
    </row>
    <row r="1869" spans="1:16">
      <c r="A1869" s="4">
        <v>1878</v>
      </c>
      <c r="C1869" s="8" t="str">
        <f>IF(B1869="","",VLOOKUP(B1869,经纬!B:C,2,FALSE))</f>
        <v/>
      </c>
      <c r="D1869" s="8" t="str">
        <f>IF(B1869="","",VLOOKUP(B1869,经纬!B:G,6,FALSE))</f>
        <v/>
      </c>
      <c r="F1869" s="8" t="str">
        <f>IF(B1869="","",VLOOKUP(B1869,小圆机汇总表!A:AP,5,FALSE))</f>
        <v/>
      </c>
      <c r="G1869" s="8" t="str">
        <f>IF(B1869="","",VLOOKUP(B1869,小圆机汇总表!A:AP,8,FALSE))</f>
        <v/>
      </c>
      <c r="P1869" s="8" t="str">
        <f t="shared" si="87"/>
        <v/>
      </c>
    </row>
    <row r="1870" spans="1:16">
      <c r="A1870" s="4">
        <v>1879</v>
      </c>
      <c r="C1870" s="8" t="str">
        <f>IF(B1870="","",VLOOKUP(B1870,经纬!B:C,2,FALSE))</f>
        <v/>
      </c>
      <c r="D1870" s="8" t="str">
        <f>IF(B1870="","",VLOOKUP(B1870,经纬!B:G,6,FALSE))</f>
        <v/>
      </c>
      <c r="F1870" s="8" t="str">
        <f>IF(B1870="","",VLOOKUP(B1870,小圆机汇总表!A:AP,5,FALSE))</f>
        <v/>
      </c>
      <c r="G1870" s="8" t="str">
        <f>IF(B1870="","",VLOOKUP(B1870,小圆机汇总表!A:AP,8,FALSE))</f>
        <v/>
      </c>
      <c r="P1870" s="8" t="str">
        <f t="shared" si="87"/>
        <v/>
      </c>
    </row>
    <row r="1871" spans="1:16">
      <c r="A1871" s="4">
        <v>1880</v>
      </c>
      <c r="C1871" s="8" t="str">
        <f>IF(B1871="","",VLOOKUP(B1871,经纬!B:C,2,FALSE))</f>
        <v/>
      </c>
      <c r="D1871" s="8" t="str">
        <f>IF(B1871="","",VLOOKUP(B1871,经纬!B:G,6,FALSE))</f>
        <v/>
      </c>
      <c r="F1871" s="8" t="str">
        <f>IF(B1871="","",VLOOKUP(B1871,小圆机汇总表!A:AP,5,FALSE))</f>
        <v/>
      </c>
      <c r="G1871" s="8" t="str">
        <f>IF(B1871="","",VLOOKUP(B1871,小圆机汇总表!A:AP,8,FALSE))</f>
        <v/>
      </c>
      <c r="P1871" s="8" t="str">
        <f t="shared" si="87"/>
        <v/>
      </c>
    </row>
    <row r="1872" spans="1:16">
      <c r="A1872" s="4">
        <v>1881</v>
      </c>
      <c r="C1872" s="8" t="str">
        <f>IF(B1872="","",VLOOKUP(B1872,经纬!B:C,2,FALSE))</f>
        <v/>
      </c>
      <c r="D1872" s="8" t="str">
        <f>IF(B1872="","",VLOOKUP(B1872,经纬!B:G,6,FALSE))</f>
        <v/>
      </c>
      <c r="F1872" s="8" t="str">
        <f>IF(B1872="","",VLOOKUP(B1872,小圆机汇总表!A:AP,5,FALSE))</f>
        <v/>
      </c>
      <c r="G1872" s="8" t="str">
        <f>IF(B1872="","",VLOOKUP(B1872,小圆机汇总表!A:AP,8,FALSE))</f>
        <v/>
      </c>
      <c r="P1872" s="8" t="str">
        <f t="shared" si="87"/>
        <v/>
      </c>
    </row>
    <row r="1873" spans="1:16">
      <c r="A1873" s="4">
        <v>1882</v>
      </c>
      <c r="C1873" s="8" t="str">
        <f>IF(B1873="","",VLOOKUP(B1873,经纬!B:C,2,FALSE))</f>
        <v/>
      </c>
      <c r="D1873" s="8" t="str">
        <f>IF(B1873="","",VLOOKUP(B1873,经纬!B:G,6,FALSE))</f>
        <v/>
      </c>
      <c r="F1873" s="8" t="str">
        <f>IF(B1873="","",VLOOKUP(B1873,小圆机汇总表!A:AP,5,FALSE))</f>
        <v/>
      </c>
      <c r="G1873" s="8" t="str">
        <f>IF(B1873="","",VLOOKUP(B1873,小圆机汇总表!A:AP,8,FALSE))</f>
        <v/>
      </c>
      <c r="P1873" s="8" t="str">
        <f t="shared" si="87"/>
        <v/>
      </c>
    </row>
    <row r="1874" spans="1:16">
      <c r="A1874" s="4">
        <v>1883</v>
      </c>
      <c r="C1874" s="8" t="str">
        <f>IF(B1874="","",VLOOKUP(B1874,经纬!B:C,2,FALSE))</f>
        <v/>
      </c>
      <c r="D1874" s="8" t="str">
        <f>IF(B1874="","",VLOOKUP(B1874,经纬!B:G,6,FALSE))</f>
        <v/>
      </c>
      <c r="F1874" s="8" t="str">
        <f>IF(B1874="","",VLOOKUP(B1874,小圆机汇总表!A:AP,5,FALSE))</f>
        <v/>
      </c>
      <c r="G1874" s="8" t="str">
        <f>IF(B1874="","",VLOOKUP(B1874,小圆机汇总表!A:AP,8,FALSE))</f>
        <v/>
      </c>
      <c r="P1874" s="8" t="str">
        <f t="shared" si="87"/>
        <v/>
      </c>
    </row>
    <row r="1875" spans="1:16">
      <c r="A1875" s="4">
        <v>1884</v>
      </c>
      <c r="C1875" s="8" t="str">
        <f>IF(B1875="","",VLOOKUP(B1875,经纬!B:C,2,FALSE))</f>
        <v/>
      </c>
      <c r="D1875" s="8" t="str">
        <f>IF(B1875="","",VLOOKUP(B1875,经纬!B:G,6,FALSE))</f>
        <v/>
      </c>
      <c r="F1875" s="8" t="str">
        <f>IF(B1875="","",VLOOKUP(B1875,小圆机汇总表!A:AP,5,FALSE))</f>
        <v/>
      </c>
      <c r="G1875" s="8" t="str">
        <f>IF(B1875="","",VLOOKUP(B1875,小圆机汇总表!A:AP,8,FALSE))</f>
        <v/>
      </c>
      <c r="P1875" s="8" t="str">
        <f t="shared" si="87"/>
        <v/>
      </c>
    </row>
    <row r="1876" spans="1:16">
      <c r="A1876" s="4">
        <v>1885</v>
      </c>
      <c r="C1876" s="8" t="str">
        <f>IF(B1876="","",VLOOKUP(B1876,经纬!B:C,2,FALSE))</f>
        <v/>
      </c>
      <c r="D1876" s="8" t="str">
        <f>IF(B1876="","",VLOOKUP(B1876,经纬!B:G,6,FALSE))</f>
        <v/>
      </c>
      <c r="F1876" s="8" t="str">
        <f>IF(B1876="","",VLOOKUP(B1876,小圆机汇总表!A:AP,5,FALSE))</f>
        <v/>
      </c>
      <c r="G1876" s="8" t="str">
        <f>IF(B1876="","",VLOOKUP(B1876,小圆机汇总表!A:AP,8,FALSE))</f>
        <v/>
      </c>
      <c r="P1876" s="8" t="str">
        <f t="shared" si="87"/>
        <v/>
      </c>
    </row>
    <row r="1877" spans="1:16">
      <c r="A1877" s="4">
        <v>1886</v>
      </c>
      <c r="C1877" s="8" t="str">
        <f>IF(B1877="","",VLOOKUP(B1877,经纬!B:C,2,FALSE))</f>
        <v/>
      </c>
      <c r="D1877" s="8" t="str">
        <f>IF(B1877="","",VLOOKUP(B1877,经纬!B:G,6,FALSE))</f>
        <v/>
      </c>
      <c r="F1877" s="8" t="str">
        <f>IF(B1877="","",VLOOKUP(B1877,小圆机汇总表!A:AP,5,FALSE))</f>
        <v/>
      </c>
      <c r="G1877" s="8" t="str">
        <f>IF(B1877="","",VLOOKUP(B1877,小圆机汇总表!A:AP,8,FALSE))</f>
        <v/>
      </c>
      <c r="P1877" s="8" t="str">
        <f t="shared" si="87"/>
        <v/>
      </c>
    </row>
    <row r="1878" spans="1:16">
      <c r="A1878" s="4">
        <v>1887</v>
      </c>
      <c r="C1878" s="8" t="str">
        <f>IF(B1878="","",VLOOKUP(B1878,经纬!B:C,2,FALSE))</f>
        <v/>
      </c>
      <c r="D1878" s="8" t="str">
        <f>IF(B1878="","",VLOOKUP(B1878,经纬!B:G,6,FALSE))</f>
        <v/>
      </c>
      <c r="F1878" s="8" t="str">
        <f>IF(B1878="","",VLOOKUP(B1878,小圆机汇总表!A:AP,5,FALSE))</f>
        <v/>
      </c>
      <c r="G1878" s="8" t="str">
        <f>IF(B1878="","",VLOOKUP(B1878,小圆机汇总表!A:AP,8,FALSE))</f>
        <v/>
      </c>
      <c r="P1878" s="8" t="str">
        <f t="shared" si="87"/>
        <v/>
      </c>
    </row>
    <row r="1879" spans="1:16">
      <c r="A1879" s="4">
        <v>1888</v>
      </c>
      <c r="C1879" s="8" t="str">
        <f>IF(B1879="","",VLOOKUP(B1879,经纬!B:C,2,FALSE))</f>
        <v/>
      </c>
      <c r="D1879" s="8" t="str">
        <f>IF(B1879="","",VLOOKUP(B1879,经纬!B:G,6,FALSE))</f>
        <v/>
      </c>
      <c r="F1879" s="8" t="str">
        <f>IF(B1879="","",VLOOKUP(B1879,小圆机汇总表!A:AP,5,FALSE))</f>
        <v/>
      </c>
      <c r="G1879" s="8" t="str">
        <f>IF(B1879="","",VLOOKUP(B1879,小圆机汇总表!A:AP,8,FALSE))</f>
        <v/>
      </c>
      <c r="P1879" s="8" t="str">
        <f t="shared" si="87"/>
        <v/>
      </c>
    </row>
    <row r="1880" spans="1:16">
      <c r="A1880" s="4">
        <v>1889</v>
      </c>
      <c r="C1880" s="8" t="str">
        <f>IF(B1880="","",VLOOKUP(B1880,经纬!B:C,2,FALSE))</f>
        <v/>
      </c>
      <c r="D1880" s="8" t="str">
        <f>IF(B1880="","",VLOOKUP(B1880,经纬!B:G,6,FALSE))</f>
        <v/>
      </c>
      <c r="F1880" s="8" t="str">
        <f>IF(B1880="","",VLOOKUP(B1880,小圆机汇总表!A:AP,5,FALSE))</f>
        <v/>
      </c>
      <c r="G1880" s="8" t="str">
        <f>IF(B1880="","",VLOOKUP(B1880,小圆机汇总表!A:AP,8,FALSE))</f>
        <v/>
      </c>
      <c r="P1880" s="8" t="str">
        <f t="shared" si="87"/>
        <v/>
      </c>
    </row>
    <row r="1881" spans="1:16">
      <c r="A1881" s="4">
        <v>1890</v>
      </c>
      <c r="C1881" s="8" t="str">
        <f>IF(B1881="","",VLOOKUP(B1881,经纬!B:C,2,FALSE))</f>
        <v/>
      </c>
      <c r="D1881" s="8" t="str">
        <f>IF(B1881="","",VLOOKUP(B1881,经纬!B:G,6,FALSE))</f>
        <v/>
      </c>
      <c r="F1881" s="8" t="str">
        <f>IF(B1881="","",VLOOKUP(B1881,小圆机汇总表!A:AP,5,FALSE))</f>
        <v/>
      </c>
      <c r="G1881" s="8" t="str">
        <f>IF(B1881="","",VLOOKUP(B1881,小圆机汇总表!A:AP,8,FALSE))</f>
        <v/>
      </c>
      <c r="P1881" s="8" t="str">
        <f t="shared" si="87"/>
        <v/>
      </c>
    </row>
    <row r="1882" spans="1:16">
      <c r="A1882" s="4">
        <v>1891</v>
      </c>
      <c r="C1882" s="8" t="str">
        <f>IF(B1882="","",VLOOKUP(B1882,经纬!B:C,2,FALSE))</f>
        <v/>
      </c>
      <c r="D1882" s="8" t="str">
        <f>IF(B1882="","",VLOOKUP(B1882,经纬!B:G,6,FALSE))</f>
        <v/>
      </c>
      <c r="F1882" s="8" t="str">
        <f>IF(B1882="","",VLOOKUP(B1882,小圆机汇总表!A:AP,5,FALSE))</f>
        <v/>
      </c>
      <c r="G1882" s="8" t="str">
        <f>IF(B1882="","",VLOOKUP(B1882,小圆机汇总表!A:AP,8,FALSE))</f>
        <v/>
      </c>
      <c r="P1882" s="8" t="str">
        <f t="shared" ref="P1882:P1906" si="88">IF(B1882="","",MONTH(I1882))</f>
        <v/>
      </c>
    </row>
    <row r="1883" spans="1:16">
      <c r="A1883" s="4">
        <v>1892</v>
      </c>
      <c r="C1883" s="8" t="str">
        <f>IF(B1883="","",VLOOKUP(B1883,经纬!B:C,2,FALSE))</f>
        <v/>
      </c>
      <c r="D1883" s="8" t="str">
        <f>IF(B1883="","",VLOOKUP(B1883,经纬!B:G,6,FALSE))</f>
        <v/>
      </c>
      <c r="F1883" s="8" t="str">
        <f>IF(B1883="","",VLOOKUP(B1883,小圆机汇总表!A:AP,5,FALSE))</f>
        <v/>
      </c>
      <c r="G1883" s="8" t="str">
        <f>IF(B1883="","",VLOOKUP(B1883,小圆机汇总表!A:AP,8,FALSE))</f>
        <v/>
      </c>
      <c r="P1883" s="8" t="str">
        <f t="shared" si="88"/>
        <v/>
      </c>
    </row>
    <row r="1884" spans="1:16">
      <c r="A1884" s="4">
        <v>1893</v>
      </c>
      <c r="C1884" s="8" t="str">
        <f>IF(B1884="","",VLOOKUP(B1884,经纬!B:C,2,FALSE))</f>
        <v/>
      </c>
      <c r="D1884" s="8" t="str">
        <f>IF(B1884="","",VLOOKUP(B1884,经纬!B:G,6,FALSE))</f>
        <v/>
      </c>
      <c r="F1884" s="8" t="str">
        <f>IF(B1884="","",VLOOKUP(B1884,小圆机汇总表!A:AP,5,FALSE))</f>
        <v/>
      </c>
      <c r="G1884" s="8" t="str">
        <f>IF(B1884="","",VLOOKUP(B1884,小圆机汇总表!A:AP,8,FALSE))</f>
        <v/>
      </c>
      <c r="P1884" s="8" t="str">
        <f t="shared" si="88"/>
        <v/>
      </c>
    </row>
    <row r="1885" spans="1:16">
      <c r="A1885" s="4">
        <v>1894</v>
      </c>
      <c r="C1885" s="8" t="str">
        <f>IF(B1885="","",VLOOKUP(B1885,经纬!B:C,2,FALSE))</f>
        <v/>
      </c>
      <c r="D1885" s="8" t="str">
        <f>IF(B1885="","",VLOOKUP(B1885,经纬!B:G,6,FALSE))</f>
        <v/>
      </c>
      <c r="F1885" s="8" t="str">
        <f>IF(B1885="","",VLOOKUP(B1885,小圆机汇总表!A:AP,5,FALSE))</f>
        <v/>
      </c>
      <c r="G1885" s="8" t="str">
        <f>IF(B1885="","",VLOOKUP(B1885,小圆机汇总表!A:AP,8,FALSE))</f>
        <v/>
      </c>
      <c r="P1885" s="8" t="str">
        <f t="shared" si="88"/>
        <v/>
      </c>
    </row>
    <row r="1886" spans="1:16">
      <c r="A1886" s="4">
        <v>1895</v>
      </c>
      <c r="C1886" s="8" t="str">
        <f>IF(B1886="","",VLOOKUP(B1886,经纬!B:C,2,FALSE))</f>
        <v/>
      </c>
      <c r="D1886" s="8" t="str">
        <f>IF(B1886="","",VLOOKUP(B1886,经纬!B:G,6,FALSE))</f>
        <v/>
      </c>
      <c r="F1886" s="8" t="str">
        <f>IF(B1886="","",VLOOKUP(B1886,小圆机汇总表!A:AP,5,FALSE))</f>
        <v/>
      </c>
      <c r="G1886" s="8" t="str">
        <f>IF(B1886="","",VLOOKUP(B1886,小圆机汇总表!A:AP,8,FALSE))</f>
        <v/>
      </c>
      <c r="P1886" s="8" t="str">
        <f t="shared" si="88"/>
        <v/>
      </c>
    </row>
    <row r="1887" spans="1:16">
      <c r="A1887" s="4">
        <v>1896</v>
      </c>
      <c r="C1887" s="8" t="str">
        <f>IF(B1887="","",VLOOKUP(B1887,经纬!B:C,2,FALSE))</f>
        <v/>
      </c>
      <c r="D1887" s="8" t="str">
        <f>IF(B1887="","",VLOOKUP(B1887,经纬!B:G,6,FALSE))</f>
        <v/>
      </c>
      <c r="F1887" s="8" t="str">
        <f>IF(B1887="","",VLOOKUP(B1887,小圆机汇总表!A:AP,5,FALSE))</f>
        <v/>
      </c>
      <c r="G1887" s="8" t="str">
        <f>IF(B1887="","",VLOOKUP(B1887,小圆机汇总表!A:AP,8,FALSE))</f>
        <v/>
      </c>
      <c r="P1887" s="8" t="str">
        <f t="shared" si="88"/>
        <v/>
      </c>
    </row>
    <row r="1888" spans="1:16">
      <c r="A1888" s="4">
        <v>1897</v>
      </c>
      <c r="C1888" s="8" t="str">
        <f>IF(B1888="","",VLOOKUP(B1888,经纬!B:C,2,FALSE))</f>
        <v/>
      </c>
      <c r="D1888" s="8" t="str">
        <f>IF(B1888="","",VLOOKUP(B1888,经纬!B:G,6,FALSE))</f>
        <v/>
      </c>
      <c r="F1888" s="8" t="str">
        <f>IF(B1888="","",VLOOKUP(B1888,小圆机汇总表!A:AP,5,FALSE))</f>
        <v/>
      </c>
      <c r="G1888" s="8" t="str">
        <f>IF(B1888="","",VLOOKUP(B1888,小圆机汇总表!A:AP,8,FALSE))</f>
        <v/>
      </c>
      <c r="P1888" s="8" t="str">
        <f t="shared" si="88"/>
        <v/>
      </c>
    </row>
    <row r="1889" spans="1:16">
      <c r="A1889" s="4">
        <v>1898</v>
      </c>
      <c r="C1889" s="8" t="str">
        <f>IF(B1889="","",VLOOKUP(B1889,经纬!B:C,2,FALSE))</f>
        <v/>
      </c>
      <c r="D1889" s="8" t="str">
        <f>IF(B1889="","",VLOOKUP(B1889,经纬!B:G,6,FALSE))</f>
        <v/>
      </c>
      <c r="F1889" s="8" t="str">
        <f>IF(B1889="","",VLOOKUP(B1889,小圆机汇总表!A:AP,5,FALSE))</f>
        <v/>
      </c>
      <c r="G1889" s="8" t="str">
        <f>IF(B1889="","",VLOOKUP(B1889,小圆机汇总表!A:AP,8,FALSE))</f>
        <v/>
      </c>
      <c r="P1889" s="8" t="str">
        <f t="shared" si="88"/>
        <v/>
      </c>
    </row>
    <row r="1890" spans="1:16">
      <c r="A1890" s="4">
        <v>1899</v>
      </c>
      <c r="C1890" s="8" t="str">
        <f>IF(B1890="","",VLOOKUP(B1890,经纬!B:C,2,FALSE))</f>
        <v/>
      </c>
      <c r="D1890" s="8" t="str">
        <f>IF(B1890="","",VLOOKUP(B1890,经纬!B:G,6,FALSE))</f>
        <v/>
      </c>
      <c r="F1890" s="8" t="str">
        <f>IF(B1890="","",VLOOKUP(B1890,小圆机汇总表!A:AP,5,FALSE))</f>
        <v/>
      </c>
      <c r="G1890" s="8" t="str">
        <f>IF(B1890="","",VLOOKUP(B1890,小圆机汇总表!A:AP,8,FALSE))</f>
        <v/>
      </c>
      <c r="P1890" s="8" t="str">
        <f t="shared" si="88"/>
        <v/>
      </c>
    </row>
    <row r="1891" spans="1:16">
      <c r="A1891" s="4">
        <v>1900</v>
      </c>
      <c r="C1891" s="8" t="str">
        <f>IF(B1891="","",VLOOKUP(B1891,经纬!B:C,2,FALSE))</f>
        <v/>
      </c>
      <c r="D1891" s="8" t="str">
        <f>IF(B1891="","",VLOOKUP(B1891,经纬!B:G,6,FALSE))</f>
        <v/>
      </c>
      <c r="F1891" s="8" t="str">
        <f>IF(B1891="","",VLOOKUP(B1891,小圆机汇总表!A:AP,5,FALSE))</f>
        <v/>
      </c>
      <c r="G1891" s="8" t="str">
        <f>IF(B1891="","",VLOOKUP(B1891,小圆机汇总表!A:AP,8,FALSE))</f>
        <v/>
      </c>
      <c r="P1891" s="8" t="str">
        <f t="shared" si="88"/>
        <v/>
      </c>
    </row>
    <row r="1892" spans="1:16">
      <c r="A1892" s="4">
        <v>1901</v>
      </c>
      <c r="C1892" s="8" t="str">
        <f>IF(B1892="","",VLOOKUP(B1892,经纬!B:C,2,FALSE))</f>
        <v/>
      </c>
      <c r="D1892" s="8" t="str">
        <f>IF(B1892="","",VLOOKUP(B1892,经纬!B:G,6,FALSE))</f>
        <v/>
      </c>
      <c r="F1892" s="8" t="str">
        <f>IF(B1892="","",VLOOKUP(B1892,小圆机汇总表!A:AP,5,FALSE))</f>
        <v/>
      </c>
      <c r="G1892" s="8" t="str">
        <f>IF(B1892="","",VLOOKUP(B1892,小圆机汇总表!A:AP,8,FALSE))</f>
        <v/>
      </c>
      <c r="P1892" s="8" t="str">
        <f t="shared" si="88"/>
        <v/>
      </c>
    </row>
    <row r="1893" spans="1:16">
      <c r="A1893" s="4">
        <v>1902</v>
      </c>
      <c r="C1893" s="8" t="str">
        <f>IF(B1893="","",VLOOKUP(B1893,经纬!B:C,2,FALSE))</f>
        <v/>
      </c>
      <c r="D1893" s="8" t="str">
        <f>IF(B1893="","",VLOOKUP(B1893,经纬!B:G,6,FALSE))</f>
        <v/>
      </c>
      <c r="F1893" s="8" t="str">
        <f>IF(B1893="","",VLOOKUP(B1893,小圆机汇总表!A:AP,5,FALSE))</f>
        <v/>
      </c>
      <c r="G1893" s="8" t="str">
        <f>IF(B1893="","",VLOOKUP(B1893,小圆机汇总表!A:AP,8,FALSE))</f>
        <v/>
      </c>
      <c r="P1893" s="8" t="str">
        <f t="shared" si="88"/>
        <v/>
      </c>
    </row>
    <row r="1894" spans="1:16">
      <c r="A1894" s="4">
        <v>1903</v>
      </c>
      <c r="C1894" s="8" t="str">
        <f>IF(B1894="","",VLOOKUP(B1894,经纬!B:C,2,FALSE))</f>
        <v/>
      </c>
      <c r="D1894" s="8" t="str">
        <f>IF(B1894="","",VLOOKUP(B1894,经纬!B:G,6,FALSE))</f>
        <v/>
      </c>
      <c r="F1894" s="8" t="str">
        <f>IF(B1894="","",VLOOKUP(B1894,小圆机汇总表!A:AP,5,FALSE))</f>
        <v/>
      </c>
      <c r="G1894" s="8" t="str">
        <f>IF(B1894="","",VLOOKUP(B1894,小圆机汇总表!A:AP,8,FALSE))</f>
        <v/>
      </c>
      <c r="P1894" s="8" t="str">
        <f t="shared" si="88"/>
        <v/>
      </c>
    </row>
    <row r="1895" spans="1:16">
      <c r="P1895" s="8" t="str">
        <f t="shared" si="88"/>
        <v/>
      </c>
    </row>
    <row r="1896" spans="1:16">
      <c r="P1896" s="8" t="str">
        <f t="shared" si="88"/>
        <v/>
      </c>
    </row>
    <row r="1897" spans="1:16">
      <c r="P1897" s="8" t="str">
        <f t="shared" si="88"/>
        <v/>
      </c>
    </row>
    <row r="1898" spans="1:16">
      <c r="P1898" s="8" t="str">
        <f t="shared" si="88"/>
        <v/>
      </c>
    </row>
    <row r="1899" spans="1:16">
      <c r="P1899" s="8" t="str">
        <f t="shared" si="88"/>
        <v/>
      </c>
    </row>
    <row r="1900" spans="1:16">
      <c r="P1900" s="8" t="str">
        <f t="shared" si="88"/>
        <v/>
      </c>
    </row>
    <row r="1901" spans="1:16">
      <c r="P1901" s="8" t="str">
        <f t="shared" si="88"/>
        <v/>
      </c>
    </row>
    <row r="1902" spans="1:16">
      <c r="P1902" s="8" t="str">
        <f t="shared" si="88"/>
        <v/>
      </c>
    </row>
    <row r="1903" spans="1:16">
      <c r="P1903" s="8" t="str">
        <f t="shared" si="88"/>
        <v/>
      </c>
    </row>
    <row r="1904" spans="1:16">
      <c r="P1904" s="8" t="str">
        <f t="shared" si="88"/>
        <v/>
      </c>
    </row>
    <row r="1905" spans="16:16">
      <c r="P1905" s="8" t="str">
        <f t="shared" si="88"/>
        <v/>
      </c>
    </row>
    <row r="1906" spans="16:16">
      <c r="P1906" s="8" t="str">
        <f t="shared" si="88"/>
        <v/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7"/>
  <dimension ref="A1:AE2596"/>
  <sheetViews>
    <sheetView zoomScale="90" zoomScaleNormal="90" workbookViewId="0">
      <pane xSplit="1" ySplit="1" topLeftCell="B153" activePane="bottomRight" state="frozen"/>
      <selection pane="topRight" activeCell="B1" sqref="B1"/>
      <selection pane="bottomLeft" activeCell="A2" sqref="A2"/>
      <selection pane="bottomRight" activeCell="J168" sqref="J168"/>
    </sheetView>
  </sheetViews>
  <sheetFormatPr defaultRowHeight="13.5" outlineLevelRow="1"/>
  <cols>
    <col min="1" max="1" width="13.875" style="233" bestFit="1" customWidth="1"/>
    <col min="2" max="2" width="15.375" style="8" bestFit="1" customWidth="1"/>
    <col min="3" max="3" width="8.5" style="8" bestFit="1" customWidth="1"/>
    <col min="4" max="4" width="6.875" style="8" bestFit="1" customWidth="1"/>
    <col min="5" max="6" width="9" style="89"/>
    <col min="7" max="7" width="15.375" style="8" bestFit="1" customWidth="1"/>
    <col min="8" max="8" width="5.75" style="8" bestFit="1" customWidth="1"/>
    <col min="9" max="9" width="7.5" style="8" bestFit="1" customWidth="1"/>
    <col min="10" max="11" width="9.75" style="8" bestFit="1" customWidth="1"/>
    <col min="12" max="13" width="15.875" style="8" bestFit="1" customWidth="1"/>
    <col min="14" max="14" width="7.25" style="8" bestFit="1" customWidth="1"/>
    <col min="15" max="15" width="11.625" style="23" bestFit="1" customWidth="1"/>
    <col min="16" max="16" width="8.75" style="4" hidden="1" customWidth="1"/>
    <col min="17" max="17" width="9.625" style="389" customWidth="1"/>
    <col min="18" max="18" width="8.875" style="389" customWidth="1"/>
    <col min="19" max="19" width="11.625" style="23" customWidth="1"/>
    <col min="20" max="20" width="9.75" style="105" bestFit="1" customWidth="1"/>
    <col min="21" max="21" width="9.75" style="105" customWidth="1"/>
    <col min="22" max="22" width="8" style="105" customWidth="1"/>
    <col min="23" max="23" width="9.75" style="391" bestFit="1" customWidth="1"/>
    <col min="24" max="24" width="9.5" style="258" bestFit="1" customWidth="1"/>
    <col min="25" max="25" width="8.5" style="8" bestFit="1" customWidth="1"/>
    <col min="26" max="26" width="8.5" style="8" customWidth="1"/>
    <col min="27" max="27" width="8.125" style="8" customWidth="1"/>
    <col min="28" max="28" width="6.75" style="8" customWidth="1"/>
    <col min="29" max="29" width="27.75" style="4" customWidth="1"/>
    <col min="30" max="30" width="11.125" style="4" customWidth="1"/>
    <col min="31" max="31" width="18.125" style="177" hidden="1" customWidth="1"/>
    <col min="32" max="16384" width="9" style="177"/>
  </cols>
  <sheetData>
    <row r="1" spans="1:31">
      <c r="A1" s="334" t="s">
        <v>757</v>
      </c>
      <c r="B1" s="33" t="s">
        <v>255</v>
      </c>
      <c r="C1" s="33" t="s">
        <v>1208</v>
      </c>
      <c r="D1" s="33" t="s">
        <v>1207</v>
      </c>
      <c r="E1" s="232" t="s">
        <v>6</v>
      </c>
      <c r="F1" s="232" t="s">
        <v>2584</v>
      </c>
      <c r="G1" s="33" t="s">
        <v>1200</v>
      </c>
      <c r="H1" s="33" t="s">
        <v>8</v>
      </c>
      <c r="I1" s="33" t="s">
        <v>256</v>
      </c>
      <c r="J1" s="33" t="s">
        <v>165</v>
      </c>
      <c r="K1" s="33" t="s">
        <v>166</v>
      </c>
      <c r="L1" s="33" t="s">
        <v>257</v>
      </c>
      <c r="M1" s="33" t="s">
        <v>254</v>
      </c>
      <c r="N1" s="33" t="s">
        <v>241</v>
      </c>
      <c r="O1" s="112" t="s">
        <v>258</v>
      </c>
      <c r="P1" s="335" t="s">
        <v>259</v>
      </c>
      <c r="Q1" s="335" t="s">
        <v>2263</v>
      </c>
      <c r="R1" s="335" t="s">
        <v>2494</v>
      </c>
      <c r="S1" s="112" t="s">
        <v>2262</v>
      </c>
      <c r="T1" s="263" t="s">
        <v>2488</v>
      </c>
      <c r="U1" s="263" t="s">
        <v>2533</v>
      </c>
      <c r="V1" s="263" t="s">
        <v>2933</v>
      </c>
      <c r="W1" s="265" t="s">
        <v>2934</v>
      </c>
      <c r="X1" s="258" t="s">
        <v>237</v>
      </c>
      <c r="Y1" s="34" t="s">
        <v>130</v>
      </c>
      <c r="Z1" s="34" t="s">
        <v>1764</v>
      </c>
      <c r="AA1" s="34" t="s">
        <v>1765</v>
      </c>
      <c r="AB1" s="33" t="s">
        <v>2233</v>
      </c>
      <c r="AC1" s="42" t="s">
        <v>2884</v>
      </c>
      <c r="AD1" s="42" t="s">
        <v>2993</v>
      </c>
      <c r="AE1" s="250" t="s">
        <v>2967</v>
      </c>
    </row>
    <row r="2" spans="1:31" outlineLevel="1">
      <c r="A2" s="233" t="s">
        <v>1170</v>
      </c>
      <c r="B2" s="24" t="str">
        <f>IF(A2="","",IF(LEFT(A2)&gt;"9",VLOOKUP(A2,yuanjidaimachichun,2,FALSE),VLOOKUP(A2,经纬!B:C,2,FALSE)))</f>
        <v>A50-30-28</v>
      </c>
      <c r="C2" s="24" t="str">
        <f>IF(ISERROR(FIND("*",B2)),MID(B2,2,FIND("-",B2)-2),LEFT(B2,FIND("*",B2)-1))</f>
        <v>50</v>
      </c>
      <c r="D2" s="24" t="str">
        <f>IF(ISERROR(FIND("*",B2)),"",RIGHT(B2,LEN(B2)-FIND("*",B2)))</f>
        <v/>
      </c>
      <c r="E2" s="233" t="s">
        <v>177</v>
      </c>
      <c r="F2" s="264" t="s">
        <v>2617</v>
      </c>
      <c r="G2" s="24">
        <v>160</v>
      </c>
      <c r="H2" s="24" t="s">
        <v>1519</v>
      </c>
      <c r="I2" s="24">
        <v>20000</v>
      </c>
      <c r="J2" s="24">
        <v>35</v>
      </c>
      <c r="K2" s="24">
        <v>33</v>
      </c>
      <c r="L2" s="24" t="s">
        <v>972</v>
      </c>
      <c r="M2" s="24" t="str">
        <f t="array" ref="M2">LEFT(L2,MIN(FIND({"A","B","C"},MID(L2,2,LEN(L2))&amp;"ABC")))</f>
        <v>XSD</v>
      </c>
      <c r="N2" s="24" t="str">
        <f t="array" ref="N2">SUBSTITUTE(L2,M2,"")</f>
        <v>C384</v>
      </c>
      <c r="O2" s="113">
        <v>43749</v>
      </c>
      <c r="P2" s="336"/>
      <c r="Q2" s="336"/>
      <c r="R2" s="336"/>
      <c r="S2" s="113">
        <v>43749</v>
      </c>
      <c r="T2" s="264">
        <f>IF(AND(C2&gt;0,D2=""),SUMIFS(yj!I:I,yj!B:B,plan!A2,yj!G:G,"&gt;="&amp;Q2,yj!G:G,"&lt;="&amp;S2),"")</f>
        <v>0</v>
      </c>
      <c r="U2" s="264">
        <f>SUMIFS(四面弹库存!F:F,四面弹库存!B:B,plan!A2,四面弹库存!O:O,IF(H2&lt;&gt;"黑丝","白","黑"))</f>
        <v>172</v>
      </c>
      <c r="V2" s="264"/>
      <c r="W2" s="369" t="str">
        <f>IF(A2="","",IF(S2&lt;&gt;"","",IF(D2&lt;&gt;"",(I2-AB2),Y2*IF(H2="黑丝",22,20)*0.9144/((K2/1000)*((G2+2)/100)))))</f>
        <v/>
      </c>
      <c r="X2" s="258" t="str">
        <f>IF(B2="","",IF(S2&lt;&gt;"","",IF(AND(Z2&lt;&gt;"",AA2&lt;&gt;""),SUM(Z2:AA2),IF(AB2&lt;&gt;"",(I2/((1/((G2+2)/100*K2/1000))*0.9144)/IF(H2="黑丝",22,20)-AB2)*(IF(H2="黑丝",22,20)),I2/((1/((G2+2)/100*K2/1000))*0.9144)))))</f>
        <v/>
      </c>
      <c r="Y2" s="36" t="str">
        <f>IF(OR(B2="",D2&lt;&gt;""),"",IF(S2&lt;&gt;"","",I2/((1/((G2+2)/100*K2/1000))*0.9144)/IF(H2="黑丝",22,20)-AB2))</f>
        <v/>
      </c>
      <c r="Z2" s="340" t="str">
        <f>IF(AND(C2&gt;0,D2&lt;&gt;"",S2=""),VLOOKUP(A2&amp;IF(H2="黑丝","黑","白")&amp;E2,经纬!A:M,13,FALSE)*(I2-AB2),"")</f>
        <v/>
      </c>
      <c r="AA2" s="340" t="str">
        <f>IF(AND(C2&gt;0,D2&lt;&gt;"",S2=""),VLOOKUP(A2&amp;IF(H2="黑丝","黑","白")&amp;E2,经纬!A:N,14,FALSE)*(I2-AB2),"")</f>
        <v/>
      </c>
      <c r="AB2" s="89" t="s">
        <v>2760</v>
      </c>
      <c r="AC2" s="8" t="s">
        <v>2761</v>
      </c>
      <c r="AD2" s="8"/>
      <c r="AE2" s="177" t="str">
        <f>IF(COUNTIF(A$2:A2,A2)=1,M2,LOOKUP(1,0/(A$1:A1=A2),AE$1:AE1)&amp;" "&amp;M2)</f>
        <v>XSD</v>
      </c>
    </row>
    <row r="3" spans="1:31" outlineLevel="1">
      <c r="A3" s="233" t="s">
        <v>1506</v>
      </c>
      <c r="B3" s="24" t="str">
        <f>IF(A3="","",IF(LEFT(A3)&gt;"9",VLOOKUP(A3,yuanjidaimachichun,2,FALSE),VLOOKUP(A3,经纬!B:C,2,FALSE)))</f>
        <v>A50-30-28</v>
      </c>
      <c r="C3" s="8" t="str">
        <f>IF(ISERROR(FIND("*",B3)),MID(B3,2,FIND("-",B3)-2),LEFT(B3,FIND("*",B3)-1))</f>
        <v>50</v>
      </c>
      <c r="D3" s="8" t="str">
        <f>IF(ISERROR(FIND("*",B3)),"",RIGHT(B3,LEN(B3)-FIND("*",B3)))</f>
        <v/>
      </c>
      <c r="E3" s="89" t="s">
        <v>177</v>
      </c>
      <c r="F3" s="264" t="s">
        <v>2617</v>
      </c>
      <c r="G3" s="8">
        <v>160</v>
      </c>
      <c r="H3" s="8" t="s">
        <v>1520</v>
      </c>
      <c r="I3" s="8">
        <v>20000</v>
      </c>
      <c r="J3" s="8">
        <v>35</v>
      </c>
      <c r="K3" s="8">
        <v>33</v>
      </c>
      <c r="L3" s="8" t="s">
        <v>972</v>
      </c>
      <c r="M3" s="24" t="str">
        <f t="array" ref="M3">LEFT(L3,MIN(FIND({"A","B","C"},MID(L3,2,LEN(L3))&amp;"ABC")))</f>
        <v>XSD</v>
      </c>
      <c r="N3" s="24" t="str">
        <f t="array" ref="N3">SUBSTITUTE(L3,M3,"")</f>
        <v>C384</v>
      </c>
      <c r="O3" s="113">
        <v>43749</v>
      </c>
      <c r="P3" s="336"/>
      <c r="Q3" s="336"/>
      <c r="R3" s="336"/>
      <c r="S3" s="113"/>
      <c r="T3" s="264">
        <f>IF(AND(C3&gt;0,D3=""),SUMIFS(yj!I:I,yj!B:B,plan!A3,yj!G:G,"&gt;="&amp;Q3,yj!G:G,"&lt;="&amp;S3),"")</f>
        <v>0</v>
      </c>
      <c r="U3" s="264">
        <f>SUMIFS(四面弹库存!F:F,四面弹库存!B:B,plan!A3,四面弹库存!O:O,IF(H3&lt;&gt;"黑丝","白","黑"))</f>
        <v>26</v>
      </c>
      <c r="V3" s="264"/>
      <c r="W3" s="369">
        <f t="shared" ref="W3:W66" si="0">IF(A3="","",IF(S3&lt;&gt;"","",IF(D3&lt;&gt;"",(I3-AB3),Y3*IF(H3="黑丝",22,20)*0.9144/((K3/1000)*((G3+2)/100)))))</f>
        <v>13979.259259259257</v>
      </c>
      <c r="X3" s="258">
        <f>IF(B3="","",IF(S3&lt;&gt;"","",IF(AND(Z3&lt;&gt;"",AA3&lt;&gt;""),SUM(Z3:AA3),IF(AB3&lt;&gt;"",(I3/((1/((G3+2)/100*K3/1000))*0.9144)/IF(H3="黑丝",22,20)-AB3)*(IF(H3="黑丝",22,20)),I3/((1/((G3+2)/100*K3/1000))*0.9144)))))</f>
        <v>817.2913385826771</v>
      </c>
      <c r="Y3" s="36">
        <f>IF(OR(B3="",D3&lt;&gt;""),"",IF(S3&lt;&gt;"","",I3/((1/((G3+2)/100*K3/1000))*0.9144)/IF(H3="黑丝",22,20)-AB3))</f>
        <v>37.149606299212593</v>
      </c>
      <c r="Z3" s="340" t="str">
        <f>IF(AND(C3&gt;0,D3&lt;&gt;"",S3=""),VLOOKUP(A3&amp;IF(H3="黑丝","黑","白")&amp;E3,经纬!A:M,13,FALSE)*(I3-AB3),"")</f>
        <v/>
      </c>
      <c r="AA3" s="340" t="str">
        <f>IF(AND(C3&gt;0,D3&lt;&gt;"",S3=""),VLOOKUP(A3&amp;IF(H3="黑丝","黑","白")&amp;E3,经纬!A:N,14,FALSE)*(I3-AB3),"")</f>
        <v/>
      </c>
      <c r="AB3" s="8">
        <v>16</v>
      </c>
      <c r="AC3" s="4" t="s">
        <v>2762</v>
      </c>
      <c r="AE3" s="250" t="str">
        <f>IF(COUNTIF(A$2:A3,A3)=1,M3,LOOKUP(1,0/(A$1:A2=A3),AE$1:AE2)&amp;" "&amp;M3)</f>
        <v>XSD</v>
      </c>
    </row>
    <row r="4" spans="1:31" outlineLevel="1">
      <c r="A4" s="233" t="s">
        <v>749</v>
      </c>
      <c r="B4" s="24" t="str">
        <f>IF(A4="","",IF(LEFT(A4)&gt;"9",VLOOKUP(A4,yuanjidaimachichun,2,FALSE),VLOOKUP(A4,经纬!B:C,2,FALSE)))</f>
        <v>C75-30-20</v>
      </c>
      <c r="C4" s="8" t="str">
        <f>IF(ISERROR(FIND("*",B4)),MID(B4,2,FIND("-",B4)-2),LEFT(B4,FIND("*",B4)-1))</f>
        <v>75</v>
      </c>
      <c r="D4" s="8" t="str">
        <f>IF(ISERROR(FIND("*",B4)),"",RIGHT(B4,LEN(B4)-FIND("*",B4)))</f>
        <v/>
      </c>
      <c r="E4" s="89" t="s">
        <v>168</v>
      </c>
      <c r="F4" s="264"/>
      <c r="G4" s="8">
        <v>162</v>
      </c>
      <c r="H4" s="8" t="s">
        <v>1521</v>
      </c>
      <c r="I4" s="8">
        <v>100000</v>
      </c>
      <c r="J4" s="8">
        <v>42</v>
      </c>
      <c r="K4" s="8">
        <v>38</v>
      </c>
      <c r="L4" s="8" t="s">
        <v>973</v>
      </c>
      <c r="M4" s="24" t="str">
        <f t="array" ref="M4">LEFT(L4,MIN(FIND({"A","B","C"},MID(L4,2,LEN(L4))&amp;"ABC")))</f>
        <v>A35</v>
      </c>
      <c r="N4" s="24" t="str">
        <f t="array" ref="N4">SUBSTITUTE(L4,M4,"")</f>
        <v>C385</v>
      </c>
      <c r="O4" s="113">
        <v>43749</v>
      </c>
      <c r="P4" s="336"/>
      <c r="Q4" s="336">
        <v>43752</v>
      </c>
      <c r="R4" s="336"/>
      <c r="S4" s="113">
        <v>43757</v>
      </c>
      <c r="T4" s="264">
        <f>IF(AND(C4&gt;0,D4=""),SUMIFS(yj!I:I,yj!B:B,plan!A4,yj!G:G,"&gt;="&amp;Q4,yj!G:G,"&lt;="&amp;S4),"")</f>
        <v>58</v>
      </c>
      <c r="U4" s="264">
        <f>SUMIFS(四面弹库存!F:F,四面弹库存!B:B,plan!A4,四面弹库存!O:O,IF(H4&lt;&gt;"黑丝","白","黑"))</f>
        <v>67</v>
      </c>
      <c r="V4" s="264"/>
      <c r="W4" s="369" t="str">
        <f t="shared" si="0"/>
        <v/>
      </c>
      <c r="X4" s="258" t="str">
        <f>IF(B4="","",IF(S4&lt;&gt;"","",IF(AND(Z4&lt;&gt;"",AA4&lt;&gt;""),SUM(Z4:AA4),IF(AB4&lt;&gt;"",(I4/((1/((G4+2)/100*K4/1000))*0.9144)/IF(H4="黑丝",22,20)-AB4)*(IF(H4="黑丝",22,20)),I4/((1/((G4+2)/100*K4/1000))*0.9144)))))</f>
        <v/>
      </c>
      <c r="Y4" s="36" t="str">
        <f>IF(OR(B4="",D4&lt;&gt;""),"",IF(S4&lt;&gt;"","",I4/((1/((G4+2)/100*K4/1000))*0.9144)/IF(H4="黑丝",22,20)-AB4))</f>
        <v/>
      </c>
      <c r="Z4" s="340" t="str">
        <f>IF(AND(C4&gt;0,D4&lt;&gt;"",S4=""),VLOOKUP(A4&amp;IF(H4="黑丝","黑","白")&amp;E4,经纬!A:M,13,FALSE)*(I4-AB4),"")</f>
        <v/>
      </c>
      <c r="AA4" s="340" t="str">
        <f>IF(AND(C4&gt;0,D4&lt;&gt;"",S4=""),VLOOKUP(A4&amp;IF(H4="黑丝","黑","白")&amp;E4,经纬!A:N,14,FALSE)*(I4-AB4),"")</f>
        <v/>
      </c>
      <c r="AC4" s="8" t="s">
        <v>974</v>
      </c>
      <c r="AD4" s="8"/>
      <c r="AE4" s="250" t="str">
        <f>IF(COUNTIF(A$2:A4,A4)=1,M4,LOOKUP(1,0/(A$1:A3=A4),AE$1:AE3)&amp;" "&amp;M4)</f>
        <v>A35</v>
      </c>
    </row>
    <row r="5" spans="1:31" outlineLevel="1">
      <c r="A5" s="233" t="s">
        <v>1170</v>
      </c>
      <c r="B5" s="24" t="str">
        <f>IF(A5="","",IF(LEFT(A5)&gt;"9",VLOOKUP(A5,yuanjidaimachichun,2,FALSE),VLOOKUP(A5,经纬!B:C,2,FALSE)))</f>
        <v>A50-30-28</v>
      </c>
      <c r="C5" s="8" t="str">
        <f>IF(ISERROR(FIND("*",B5)),MID(B5,2,FIND("-",B5)-2),LEFT(B5,FIND("*",B5)-1))</f>
        <v>50</v>
      </c>
      <c r="D5" s="8" t="str">
        <f>IF(ISERROR(FIND("*",B5)),"",RIGHT(B5,LEN(B5)-FIND("*",B5)))</f>
        <v/>
      </c>
      <c r="E5" s="89" t="s">
        <v>177</v>
      </c>
      <c r="F5" s="264" t="s">
        <v>2611</v>
      </c>
      <c r="G5" s="8">
        <v>159</v>
      </c>
      <c r="H5" s="8" t="s">
        <v>1522</v>
      </c>
      <c r="I5" s="8">
        <v>65000</v>
      </c>
      <c r="J5" s="8">
        <v>35</v>
      </c>
      <c r="K5" s="8">
        <v>33</v>
      </c>
      <c r="L5" s="8" t="s">
        <v>1511</v>
      </c>
      <c r="M5" s="24" t="str">
        <f t="array" ref="M5">LEFT(L5,MIN(FIND({"A","B","C"},MID(L5,2,LEN(L5))&amp;"ABC")))</f>
        <v>A21</v>
      </c>
      <c r="N5" s="24" t="str">
        <f t="array" ref="N5">SUBSTITUTE(L5,M5,"")</f>
        <v>B518</v>
      </c>
      <c r="O5" s="113">
        <v>43752</v>
      </c>
      <c r="P5" s="336"/>
      <c r="Q5" s="336"/>
      <c r="R5" s="336"/>
      <c r="S5" s="113">
        <v>43772</v>
      </c>
      <c r="T5" s="264">
        <f>IF(AND(C5&gt;0,D5=""),SUMIFS(yj!I:I,yj!B:B,plan!A5,yj!G:G,"&gt;="&amp;Q5,yj!G:G,"&lt;="&amp;S5),"")</f>
        <v>0</v>
      </c>
      <c r="U5" s="264">
        <f>SUMIFS(四面弹库存!F:F,四面弹库存!B:B,plan!A5,四面弹库存!O:O,IF(H5&lt;&gt;"黑丝","白","黑"))</f>
        <v>172</v>
      </c>
      <c r="V5" s="264"/>
      <c r="W5" s="369" t="str">
        <f t="shared" si="0"/>
        <v/>
      </c>
      <c r="X5" s="258" t="str">
        <f>IF(B5="","",IF(S5&lt;&gt;"","",IF(AND(Z5&lt;&gt;"",AA5&lt;&gt;""),SUM(Z5:AA5),IF(AB5&lt;&gt;"",(I5/((1/((G5+2)/100*K5/1000))*0.9144)/IF(H5="黑丝",22,20)-AB5)*(IF(H5="黑丝",22,20)),I5/((1/((G5+2)/100*K5/1000))*0.9144)))))</f>
        <v/>
      </c>
      <c r="Y5" s="36" t="str">
        <f>IF(OR(B5="",D5&lt;&gt;""),"",IF(S5&lt;&gt;"","",I5/((1/((G5+2)/100*K5/1000))*0.9144)/IF(H5="黑丝",22,20)-AB5))</f>
        <v/>
      </c>
      <c r="Z5" s="340" t="str">
        <f>IF(AND(C5&gt;0,D5&lt;&gt;"",S5=""),VLOOKUP(A5&amp;IF(H5="黑丝","黑","白")&amp;E5,经纬!A:M,13,FALSE)*(I5-AB5),"")</f>
        <v/>
      </c>
      <c r="AA5" s="340" t="str">
        <f>IF(AND(C5&gt;0,D5&lt;&gt;"",S5=""),VLOOKUP(A5&amp;IF(H5="黑丝","黑","白")&amp;E5,经纬!A:N,14,FALSE)*(I5-AB5),"")</f>
        <v/>
      </c>
      <c r="AB5" s="8">
        <v>210</v>
      </c>
      <c r="AC5" s="8" t="s">
        <v>2789</v>
      </c>
      <c r="AD5" s="8"/>
      <c r="AE5" s="250" t="str">
        <f>IF(COUNTIF(A$2:A5,A5)=1,M5,LOOKUP(1,0/(A$1:A4=A5),AE$1:AE4)&amp;" "&amp;M5)</f>
        <v>XSD A21</v>
      </c>
    </row>
    <row r="6" spans="1:31" ht="14.25" customHeight="1" outlineLevel="1">
      <c r="A6" s="233" t="s">
        <v>1512</v>
      </c>
      <c r="B6" s="24" t="str">
        <f>IF(A6="","",IF(LEFT(A6)&gt;"9",VLOOKUP(A6,yuanjidaimachichun,2,FALSE),VLOOKUP(A6,经纬!B:C,2,FALSE)))</f>
        <v>A50-30-28</v>
      </c>
      <c r="C6" s="8" t="str">
        <f>IF(ISERROR(FIND("*",B6)),MID(B6,2,FIND("-",B6)-2),LEFT(B6,FIND("*",B6)-1))</f>
        <v>50</v>
      </c>
      <c r="D6" s="8" t="str">
        <f>IF(ISERROR(FIND("*",B6)),"",RIGHT(B6,LEN(B6)-FIND("*",B6)))</f>
        <v/>
      </c>
      <c r="E6" s="89" t="s">
        <v>177</v>
      </c>
      <c r="F6" s="264" t="s">
        <v>2611</v>
      </c>
      <c r="G6" s="8">
        <v>159</v>
      </c>
      <c r="H6" s="8" t="s">
        <v>1523</v>
      </c>
      <c r="I6" s="8">
        <v>10000</v>
      </c>
      <c r="J6" s="8">
        <v>32</v>
      </c>
      <c r="K6" s="8">
        <v>33</v>
      </c>
      <c r="L6" s="8" t="s">
        <v>1511</v>
      </c>
      <c r="M6" s="24" t="str">
        <f t="array" ref="M6">LEFT(L6,MIN(FIND({"A","B","C"},MID(L6,2,LEN(L6))&amp;"ABC")))</f>
        <v>A21</v>
      </c>
      <c r="N6" s="24" t="str">
        <f t="array" ref="N6">SUBSTITUTE(L6,M6,"")</f>
        <v>B518</v>
      </c>
      <c r="O6" s="113">
        <v>43752</v>
      </c>
      <c r="P6" s="336"/>
      <c r="Q6" s="336"/>
      <c r="R6" s="336"/>
      <c r="S6" s="113">
        <v>43765</v>
      </c>
      <c r="T6" s="264">
        <f>IF(AND(C6&gt;0,D6=""),SUMIFS(yj!I:I,yj!B:B,plan!A6,yj!G:G,"&gt;="&amp;Q6,yj!G:G,"&lt;="&amp;S6),"")</f>
        <v>0</v>
      </c>
      <c r="U6" s="264">
        <f>SUMIFS(四面弹库存!F:F,四面弹库存!B:B,plan!A6,四面弹库存!O:O,IF(H6&lt;&gt;"黑丝","白","黑"))</f>
        <v>143</v>
      </c>
      <c r="V6" s="264"/>
      <c r="W6" s="369" t="str">
        <f t="shared" si="0"/>
        <v/>
      </c>
      <c r="X6" s="258" t="str">
        <f>IF(B6="","",IF(S6&lt;&gt;"","",IF(AND(Z6&lt;&gt;"",AA6&lt;&gt;""),SUM(Z6:AA6),IF(AB6&lt;&gt;"",(I6/((1/((G6+2)/100*K6/1000))*0.9144)/IF(H6="黑丝",22,20)-AB6)*(IF(H6="黑丝",22,20)),I6/((1/((G6+2)/100*K6/1000))*0.9144)))))</f>
        <v/>
      </c>
      <c r="Y6" s="36" t="str">
        <f>IF(OR(B6="",D6&lt;&gt;""),"",IF(S6&lt;&gt;"","",I6/((1/((G6+2)/100*K6/1000))*0.9144)/IF(H6="黑丝",22,20)-AB6))</f>
        <v/>
      </c>
      <c r="Z6" s="340" t="str">
        <f>IF(AND(C6&gt;0,D6&lt;&gt;"",S6=""),VLOOKUP(A6&amp;IF(H6="黑丝","黑","白")&amp;E6,经纬!A:M,13,FALSE)*(I6-AB6),"")</f>
        <v/>
      </c>
      <c r="AA6" s="340" t="str">
        <f>IF(AND(C6&gt;0,D6&lt;&gt;"",S6=""),VLOOKUP(A6&amp;IF(H6="黑丝","黑","白")&amp;E6,经纬!A:N,14,FALSE)*(I6-AB6),"")</f>
        <v/>
      </c>
      <c r="AB6" s="105">
        <v>28</v>
      </c>
      <c r="AC6" s="8" t="s">
        <v>2771</v>
      </c>
      <c r="AD6" s="8"/>
      <c r="AE6" s="250" t="str">
        <f>IF(COUNTIF(A$2:A6,A6)=1,M6,LOOKUP(1,0/(A$1:A5=A6),AE$1:AE5)&amp;" "&amp;M6)</f>
        <v>A21</v>
      </c>
    </row>
    <row r="7" spans="1:31" ht="12.75" customHeight="1" outlineLevel="1">
      <c r="A7" s="233" t="s">
        <v>1514</v>
      </c>
      <c r="B7" s="24" t="str">
        <f>IF(A7="","",IF(LEFT(A7)&gt;"9",VLOOKUP(A7,yuanjidaimachichun,2,FALSE),VLOOKUP(A7,经纬!B:C,2,FALSE)))</f>
        <v>A50-30-28</v>
      </c>
      <c r="C7" s="8" t="str">
        <f>IF(ISERROR(FIND("*",B7)),MID(B7,2,FIND("-",B7)-2),LEFT(B7,FIND("*",B7)-1))</f>
        <v>50</v>
      </c>
      <c r="D7" s="8" t="str">
        <f>IF(ISERROR(FIND("*",B7)),"",RIGHT(B7,LEN(B7)-FIND("*",B7)))</f>
        <v/>
      </c>
      <c r="E7" s="89" t="s">
        <v>177</v>
      </c>
      <c r="F7" s="264" t="s">
        <v>2611</v>
      </c>
      <c r="G7" s="8">
        <v>159</v>
      </c>
      <c r="H7" s="8" t="s">
        <v>1515</v>
      </c>
      <c r="I7" s="8">
        <v>40000</v>
      </c>
      <c r="J7" s="8">
        <v>35</v>
      </c>
      <c r="K7" s="8">
        <v>33</v>
      </c>
      <c r="L7" s="8" t="s">
        <v>1055</v>
      </c>
      <c r="M7" s="24" t="str">
        <f t="array" ref="M7">LEFT(L7,MIN(FIND({"A","B","C"},MID(L7,2,LEN(L7))&amp;"ABC")))</f>
        <v>A21</v>
      </c>
      <c r="N7" s="24" t="str">
        <f t="array" ref="N7">SUBSTITUTE(L7,M7,"")</f>
        <v>B518</v>
      </c>
      <c r="O7" s="113">
        <v>43752</v>
      </c>
      <c r="P7" s="336"/>
      <c r="Q7" s="336"/>
      <c r="R7" s="336"/>
      <c r="S7" s="113"/>
      <c r="T7" s="264">
        <f>IF(AND(C7&gt;0,D7=""),SUMIFS(yj!I:I,yj!B:B,plan!A7,yj!G:G,"&gt;="&amp;Q7,yj!G:G,"&lt;="&amp;S7),"")</f>
        <v>0</v>
      </c>
      <c r="U7" s="264">
        <f>SUMIFS(四面弹库存!F:F,四面弹库存!B:B,plan!A7,四面弹库存!O:O,IF(H7&lt;&gt;"黑丝","白","黑"))</f>
        <v>26</v>
      </c>
      <c r="V7" s="264"/>
      <c r="W7" s="369">
        <f t="shared" si="0"/>
        <v>5544.3478260869651</v>
      </c>
      <c r="X7" s="258">
        <f>IF(B7="","",IF(S7&lt;&gt;"","",IF(AND(Z7&lt;&gt;"",AA7&lt;&gt;""),SUM(Z7:AA7),IF(AB7&lt;&gt;"",(I7/((1/((G7+2)/100*K7/1000))*0.9144)/IF(H7="黑丝",22,20)-AB7)*(IF(H7="黑丝",22,20)),I7/((1/((G7+2)/100*K7/1000))*0.9144)))))</f>
        <v>322.14698162729712</v>
      </c>
      <c r="Y7" s="36">
        <f>IF(OR(B7="",D7&lt;&gt;""),"",IF(S7&lt;&gt;"","",I7/((1/((G7+2)/100*K7/1000))*0.9144)/IF(H7="黑丝",22,20)-AB7))</f>
        <v>14.643044619422596</v>
      </c>
      <c r="Z7" s="340" t="str">
        <f>IF(AND(C7&gt;0,D7&lt;&gt;"",S7=""),VLOOKUP(A7&amp;IF(H7="黑丝","黑","白")&amp;E7,经纬!A:M,13,FALSE)*(I7-AB7),"")</f>
        <v/>
      </c>
      <c r="AA7" s="340" t="str">
        <f>IF(AND(C7&gt;0,D7&lt;&gt;"",S7=""),VLOOKUP(A7&amp;IF(H7="黑丝","黑","白")&amp;E7,经纬!A:N,14,FALSE)*(I7-AB7),"")</f>
        <v/>
      </c>
      <c r="AB7" s="8">
        <f>26+65</f>
        <v>91</v>
      </c>
      <c r="AC7" s="4" t="s">
        <v>2790</v>
      </c>
      <c r="AE7" s="250" t="str">
        <f>IF(COUNTIF(A$2:A7,A7)=1,M7,LOOKUP(1,0/(A$1:A6=A7),AE$1:AE6)&amp;" "&amp;M7)</f>
        <v>XSD A21</v>
      </c>
    </row>
    <row r="8" spans="1:31" outlineLevel="1">
      <c r="A8" s="233" t="s">
        <v>1517</v>
      </c>
      <c r="B8" s="24" t="str">
        <f>IF(A8="","",IF(LEFT(A8)&gt;"9",VLOOKUP(A8,yuanjidaimachichun,2,FALSE),VLOOKUP(A8,经纬!B:C,2,FALSE)))</f>
        <v>A50-30-28</v>
      </c>
      <c r="C8" s="8" t="str">
        <f>IF(ISERROR(FIND("*",B8)),MID(B8,2,FIND("-",B8)-2),LEFT(B8,FIND("*",B8)-1))</f>
        <v>50</v>
      </c>
      <c r="D8" s="8" t="str">
        <f>IF(ISERROR(FIND("*",B8)),"",RIGHT(B8,LEN(B8)-FIND("*",B8)))</f>
        <v/>
      </c>
      <c r="E8" s="89" t="s">
        <v>177</v>
      </c>
      <c r="F8" s="264" t="s">
        <v>2611</v>
      </c>
      <c r="G8" s="8">
        <v>158</v>
      </c>
      <c r="H8" s="8" t="s">
        <v>1516</v>
      </c>
      <c r="I8" s="8">
        <v>40000</v>
      </c>
      <c r="J8" s="8">
        <v>38</v>
      </c>
      <c r="K8" s="8">
        <v>38</v>
      </c>
      <c r="L8" s="8" t="s">
        <v>1055</v>
      </c>
      <c r="M8" s="24" t="str">
        <f t="array" ref="M8">LEFT(L8,MIN(FIND({"A","B","C"},MID(L8,2,LEN(L8))&amp;"ABC")))</f>
        <v>A21</v>
      </c>
      <c r="N8" s="24" t="str">
        <f t="array" ref="N8">SUBSTITUTE(L8,M8,"")</f>
        <v>B518</v>
      </c>
      <c r="O8" s="113">
        <v>43752</v>
      </c>
      <c r="P8" s="336"/>
      <c r="Q8" s="336">
        <v>43758</v>
      </c>
      <c r="R8" s="336"/>
      <c r="S8" s="113">
        <v>43767</v>
      </c>
      <c r="T8" s="264">
        <f>IF(AND(C8&gt;0,D8=""),SUMIFS(yj!I:I,yj!B:B,plan!A8,yj!G:G,"&gt;="&amp;Q8,yj!G:G,"&lt;="&amp;S8),"")</f>
        <v>194</v>
      </c>
      <c r="U8" s="264">
        <f>SUMIFS(四面弹库存!F:F,四面弹库存!B:B,plan!A8,四面弹库存!O:O,IF(H8&lt;&gt;"黑丝","白","黑"))</f>
        <v>54</v>
      </c>
      <c r="V8" s="264"/>
      <c r="W8" s="369" t="str">
        <f t="shared" si="0"/>
        <v/>
      </c>
      <c r="X8" s="258" t="str">
        <f>IF(B8="","",IF(S8&lt;&gt;"","",IF(AND(Z8&lt;&gt;"",AA8&lt;&gt;""),SUM(Z8:AA8),IF(AB8&lt;&gt;"",(I8/((1/((G8+2)/100*K8/1000))*0.9144)/IF(H8="黑丝",22,20)-AB8)*(IF(H8="黑丝",22,20)),I8/((1/((G8+2)/100*K8/1000))*0.9144)))))</f>
        <v/>
      </c>
      <c r="Y8" s="36" t="str">
        <f>IF(OR(B8="",D8&lt;&gt;""),"",IF(S8&lt;&gt;"","",I8/((1/((G8+2)/100*K8/1000))*0.9144)/IF(H8="黑丝",22,20)-AB8))</f>
        <v/>
      </c>
      <c r="Z8" s="340" t="str">
        <f>IF(AND(C8&gt;0,D8&lt;&gt;"",S8=""),VLOOKUP(A8&amp;IF(H8="黑丝","黑","白")&amp;E8,经纬!A:M,13,FALSE)*(I8-AB8),"")</f>
        <v/>
      </c>
      <c r="AA8" s="340" t="str">
        <f>IF(AND(C8&gt;0,D8&lt;&gt;"",S8=""),VLOOKUP(A8&amp;IF(H8="黑丝","黑","白")&amp;E8,经纬!A:N,14,FALSE)*(I8-AB8),"")</f>
        <v/>
      </c>
      <c r="AB8" s="8">
        <v>124</v>
      </c>
      <c r="AC8" s="8" t="s">
        <v>2752</v>
      </c>
      <c r="AD8" s="8"/>
      <c r="AE8" s="250" t="str">
        <f>IF(COUNTIF(A$2:A8,A8)=1,M8,LOOKUP(1,0/(A$1:A7=A8),AE$1:AE7)&amp;" "&amp;M8)</f>
        <v>A21</v>
      </c>
    </row>
    <row r="9" spans="1:31" outlineLevel="1">
      <c r="A9" s="233" t="s">
        <v>1517</v>
      </c>
      <c r="B9" s="24" t="str">
        <f>IF(A9="","",IF(LEFT(A9)&gt;"9",VLOOKUP(A9,yuanjidaimachichun,2,FALSE),VLOOKUP(A9,经纬!B:C,2,FALSE)))</f>
        <v>A50-30-28</v>
      </c>
      <c r="C9" s="8" t="str">
        <f>IF(ISERROR(FIND("*",B9)),MID(B9,2,FIND("-",B9)-2),LEFT(B9,FIND("*",B9)-1))</f>
        <v>50</v>
      </c>
      <c r="D9" s="8" t="str">
        <f>IF(ISERROR(FIND("*",B9)),"",RIGHT(B9,LEN(B9)-FIND("*",B9)))</f>
        <v/>
      </c>
      <c r="E9" s="89" t="s">
        <v>177</v>
      </c>
      <c r="F9" s="264" t="s">
        <v>2611</v>
      </c>
      <c r="G9" s="8">
        <v>158</v>
      </c>
      <c r="H9" s="8" t="s">
        <v>1519</v>
      </c>
      <c r="I9" s="8">
        <v>20000</v>
      </c>
      <c r="J9" s="8">
        <v>38</v>
      </c>
      <c r="K9" s="8">
        <v>38</v>
      </c>
      <c r="L9" s="8" t="s">
        <v>1055</v>
      </c>
      <c r="M9" s="24" t="str">
        <f t="array" ref="M9">LEFT(L9,MIN(FIND({"A","B","C"},MID(L9,2,LEN(L9))&amp;"ABC")))</f>
        <v>A21</v>
      </c>
      <c r="N9" s="24" t="str">
        <f t="array" ref="N9">SUBSTITUTE(L9,M9,"")</f>
        <v>B518</v>
      </c>
      <c r="O9" s="113">
        <v>43752</v>
      </c>
      <c r="P9" s="336"/>
      <c r="Q9" s="336">
        <v>43758</v>
      </c>
      <c r="R9" s="336"/>
      <c r="S9" s="113">
        <v>43766</v>
      </c>
      <c r="T9" s="264">
        <f>IF(AND(C9&gt;0,D9=""),SUMIFS(yj!I:I,yj!B:B,plan!A9,yj!G:G,"&gt;="&amp;Q9,yj!G:G,"&lt;="&amp;S9),"")</f>
        <v>187</v>
      </c>
      <c r="U9" s="264">
        <f>SUMIFS(四面弹库存!F:F,四面弹库存!B:B,plan!A9,四面弹库存!O:O,IF(H9&lt;&gt;"黑丝","白","黑"))</f>
        <v>54</v>
      </c>
      <c r="V9" s="264"/>
      <c r="W9" s="369" t="str">
        <f t="shared" si="0"/>
        <v/>
      </c>
      <c r="X9" s="258" t="str">
        <f>IF(B9="","",IF(S9&lt;&gt;"","",IF(AND(Z9&lt;&gt;"",AA9&lt;&gt;""),SUM(Z9:AA9),IF(AB9&lt;&gt;"",(I9/((1/((G9+2)/100*K9/1000))*0.9144)/IF(H9="黑丝",22,20)-AB9)*(IF(H9="黑丝",22,20)),I9/((1/((G9+2)/100*K9/1000))*0.9144)))))</f>
        <v/>
      </c>
      <c r="Y9" s="36" t="str">
        <f>IF(OR(B9="",D9&lt;&gt;""),"",IF(S9&lt;&gt;"","",I9/((1/((G9+2)/100*K9/1000))*0.9144)/IF(H9="黑丝",22,20)-AB9))</f>
        <v/>
      </c>
      <c r="Z9" s="340" t="str">
        <f>IF(AND(C9&gt;0,D9&lt;&gt;"",S9=""),VLOOKUP(A9&amp;IF(H9="黑丝","黑","白")&amp;E9,经纬!A:M,13,FALSE)*(I9-AB9),"")</f>
        <v/>
      </c>
      <c r="AA9" s="340" t="str">
        <f>IF(AND(C9&gt;0,D9&lt;&gt;"",S9=""),VLOOKUP(A9&amp;IF(H9="黑丝","黑","白")&amp;E9,经纬!A:N,14,FALSE)*(I9-AB9),"")</f>
        <v/>
      </c>
      <c r="AC9" s="8"/>
      <c r="AD9" s="8"/>
      <c r="AE9" s="250" t="str">
        <f>IF(COUNTIF(A$2:A9,A9)=1,M9,LOOKUP(1,0/(A$1:A8=A9),AE$1:AE8)&amp;" "&amp;M9)</f>
        <v>A21 A21</v>
      </c>
    </row>
    <row r="10" spans="1:31" s="206" customFormat="1" outlineLevel="1">
      <c r="A10" s="233" t="s">
        <v>2479</v>
      </c>
      <c r="B10" s="24" t="str">
        <f>IF(A10="","",IF(LEFT(A10)&gt;"9",VLOOKUP(A10,yuanjidaimachichun,2,FALSE),VLOOKUP(A10,经纬!B:C,2,FALSE)))</f>
        <v>50*50</v>
      </c>
      <c r="C10" s="8" t="str">
        <f>IF(ISERROR(FIND("*",B10)),MID(B10,2,FIND("-",B10)-2),LEFT(B10,FIND("*",B10)-1))</f>
        <v>50</v>
      </c>
      <c r="D10" s="8" t="str">
        <f>IF(ISERROR(FIND("*",B10)),"",RIGHT(B10,LEN(B10)-FIND("*",B10)))</f>
        <v>50</v>
      </c>
      <c r="E10" s="89" t="s">
        <v>2482</v>
      </c>
      <c r="F10" s="264" t="s">
        <v>2611</v>
      </c>
      <c r="G10" s="8">
        <v>190</v>
      </c>
      <c r="H10" s="8" t="s">
        <v>1521</v>
      </c>
      <c r="I10" s="8">
        <v>10000</v>
      </c>
      <c r="J10" s="8">
        <v>35</v>
      </c>
      <c r="K10" s="8">
        <v>36</v>
      </c>
      <c r="L10" s="8" t="s">
        <v>1055</v>
      </c>
      <c r="M10" s="24" t="str">
        <f t="array" ref="M10">LEFT(L10,MIN(FIND({"A","B","C"},MID(L10,2,LEN(L10))&amp;"ABC")))</f>
        <v>A21</v>
      </c>
      <c r="N10" s="24" t="str">
        <f t="array" ref="N10">SUBSTITUTE(L10,M10,"")</f>
        <v>B518</v>
      </c>
      <c r="O10" s="113">
        <v>43752</v>
      </c>
      <c r="P10" s="336"/>
      <c r="Q10" s="336"/>
      <c r="R10" s="336"/>
      <c r="S10" s="113">
        <v>43767</v>
      </c>
      <c r="T10" s="264" t="str">
        <f>IF(AND(C10&gt;0,D10=""),SUMIFS(yj!I:I,yj!B:B,plan!A10,yj!G:G,"&gt;="&amp;Q10,yj!G:G,"&lt;="&amp;S10),"")</f>
        <v/>
      </c>
      <c r="U10" s="264">
        <f>SUMIFS(四面弹库存!F:F,四面弹库存!B:B,plan!A10,四面弹库存!O:O,IF(H10&lt;&gt;"黑丝","白","黑"))</f>
        <v>0</v>
      </c>
      <c r="V10" s="264"/>
      <c r="W10" s="369" t="str">
        <f t="shared" si="0"/>
        <v/>
      </c>
      <c r="X10" s="258" t="str">
        <f>IF(B10="","",IF(S10&lt;&gt;"","",IF(AND(Z10&lt;&gt;"",AA10&lt;&gt;""),SUM(Z10:AA10),IF(AB10&lt;&gt;"",(I10/((1/((G10+2)/100*K10/1000))*0.9144)/IF(H10="黑丝",22,20)-AB10)*(IF(H10="黑丝",22,20)),I10/((1/((G10+2)/100*K10/1000))*0.9144)))))</f>
        <v/>
      </c>
      <c r="Y10" s="36" t="str">
        <f>IF(OR(B10="",D10&lt;&gt;""),"",IF(S10&lt;&gt;"","",I10/((1/((G10+2)/100*K10/1000))*0.9144)/IF(H10="黑丝",22,20)-AB10))</f>
        <v/>
      </c>
      <c r="Z10" s="340" t="str">
        <f>IF(AND(C10&gt;0,D10&lt;&gt;"",S10=""),VLOOKUP(A10&amp;IF(H10="黑丝","黑","白")&amp;E10,经纬!A:M,13,FALSE)*(I10-AB10),"")</f>
        <v/>
      </c>
      <c r="AA10" s="340" t="str">
        <f>IF(AND(C10&gt;0,D10&lt;&gt;"",S10=""),VLOOKUP(A10&amp;IF(H10="黑丝","黑","白")&amp;E10,经纬!A:N,14,FALSE)*(I10-AB10),"")</f>
        <v/>
      </c>
      <c r="AB10" s="8">
        <v>12000</v>
      </c>
      <c r="AC10" s="8" t="s">
        <v>2758</v>
      </c>
      <c r="AD10" s="8"/>
      <c r="AE10" s="250" t="str">
        <f>IF(COUNTIF(A$2:A10,A10)=1,M10,LOOKUP(1,0/(A$1:A9=A10),AE$1:AE9)&amp;" "&amp;M10)</f>
        <v>A21</v>
      </c>
    </row>
    <row r="11" spans="1:31" outlineLevel="1">
      <c r="A11" s="233" t="s">
        <v>1514</v>
      </c>
      <c r="B11" s="24" t="str">
        <f>IF(A11="","",IF(LEFT(A11)&gt;"9",VLOOKUP(A11,yuanjidaimachichun,2,FALSE),VLOOKUP(A11,经纬!B:C,2,FALSE)))</f>
        <v>A50-30-28</v>
      </c>
      <c r="C11" s="8" t="str">
        <f>IF(ISERROR(FIND("*",B11)),MID(B11,2,FIND("-",B11)-2),LEFT(B11,FIND("*",B11)-1))</f>
        <v>50</v>
      </c>
      <c r="D11" s="8" t="str">
        <f>IF(ISERROR(FIND("*",B11)),"",RIGHT(B11,LEN(B11)-FIND("*",B11)))</f>
        <v/>
      </c>
      <c r="E11" s="89" t="s">
        <v>177</v>
      </c>
      <c r="G11" s="8">
        <v>158</v>
      </c>
      <c r="H11" s="8" t="s">
        <v>1515</v>
      </c>
      <c r="I11" s="8">
        <v>10000</v>
      </c>
      <c r="J11" s="8">
        <v>35</v>
      </c>
      <c r="K11" s="8">
        <v>33</v>
      </c>
      <c r="L11" s="8" t="s">
        <v>1068</v>
      </c>
      <c r="M11" s="24" t="str">
        <f t="array" ref="M11">LEFT(L11,MIN(FIND({"A","B","C"},MID(L11,2,LEN(L11))&amp;"ABC")))</f>
        <v>A12</v>
      </c>
      <c r="N11" s="24" t="str">
        <f t="array" ref="N11">SUBSTITUTE(L11,M11,"")</f>
        <v>B523</v>
      </c>
      <c r="O11" s="113">
        <v>43752</v>
      </c>
      <c r="P11" s="336"/>
      <c r="Q11" s="336"/>
      <c r="R11" s="336"/>
      <c r="S11" s="113">
        <v>43758</v>
      </c>
      <c r="T11" s="264">
        <f>IF(AND(C11&gt;0,D11=""),SUMIFS(yj!I:I,yj!B:B,plan!A11,yj!G:G,"&gt;="&amp;Q11,yj!G:G,"&lt;="&amp;S11),"")</f>
        <v>0</v>
      </c>
      <c r="U11" s="264">
        <f>SUMIFS(四面弹库存!F:F,四面弹库存!B:B,plan!A11,四面弹库存!O:O,IF(H11&lt;&gt;"黑丝","白","黑"))</f>
        <v>26</v>
      </c>
      <c r="V11" s="264"/>
      <c r="W11" s="369" t="str">
        <f t="shared" si="0"/>
        <v/>
      </c>
      <c r="X11" s="258" t="str">
        <f>IF(B11="","",IF(S11&lt;&gt;"","",IF(AND(Z11&lt;&gt;"",AA11&lt;&gt;""),SUM(Z11:AA11),IF(AB11&lt;&gt;"",(I11/((1/((G11+2)/100*K11/1000))*0.9144)/IF(H11="黑丝",22,20)-AB11)*(IF(H11="黑丝",22,20)),I11/((1/((G11+2)/100*K11/1000))*0.9144)))))</f>
        <v/>
      </c>
      <c r="Y11" s="36" t="str">
        <f>IF(OR(B11="",D11&lt;&gt;""),"",IF(S11&lt;&gt;"","",I11/((1/((G11+2)/100*K11/1000))*0.9144)/IF(H11="黑丝",22,20)-AB11))</f>
        <v/>
      </c>
      <c r="Z11" s="340" t="str">
        <f>IF(AND(C11&gt;0,D11&lt;&gt;"",S11=""),VLOOKUP(A11&amp;IF(H11="黑丝","黑","白")&amp;E11,经纬!A:M,13,FALSE)*(I11-AB11),"")</f>
        <v/>
      </c>
      <c r="AA11" s="340" t="str">
        <f>IF(AND(C11&gt;0,D11&lt;&gt;"",S11=""),VLOOKUP(A11&amp;IF(H11="黑丝","黑","白")&amp;E11,经纬!A:N,14,FALSE)*(I11-AB11),"")</f>
        <v/>
      </c>
      <c r="AC11" s="8"/>
      <c r="AD11" s="8"/>
      <c r="AE11" s="250" t="str">
        <f>IF(COUNTIF(A$2:A11,A11)=1,M11,LOOKUP(1,0/(A$1:A10=A11),AE$1:AE10)&amp;" "&amp;M11)</f>
        <v>XSD A21 A12</v>
      </c>
    </row>
    <row r="12" spans="1:31" outlineLevel="1">
      <c r="A12" s="233" t="s">
        <v>1170</v>
      </c>
      <c r="B12" s="24" t="str">
        <f>IF(A12="","",IF(LEFT(A12)&gt;"9",VLOOKUP(A12,yuanjidaimachichun,2,FALSE),VLOOKUP(A12,经纬!B:C,2,FALSE)))</f>
        <v>A50-30-28</v>
      </c>
      <c r="C12" s="8" t="str">
        <f>IF(ISERROR(FIND("*",B12)),MID(B12,2,FIND("-",B12)-2),LEFT(B12,FIND("*",B12)-1))</f>
        <v>50</v>
      </c>
      <c r="D12" s="8" t="str">
        <f>IF(ISERROR(FIND("*",B12)),"",RIGHT(B12,LEN(B12)-FIND("*",B12)))</f>
        <v/>
      </c>
      <c r="E12" s="89" t="s">
        <v>177</v>
      </c>
      <c r="G12" s="8">
        <v>158</v>
      </c>
      <c r="H12" s="8" t="s">
        <v>1519</v>
      </c>
      <c r="I12" s="8">
        <v>10000</v>
      </c>
      <c r="J12" s="8">
        <v>35</v>
      </c>
      <c r="K12" s="8">
        <v>33</v>
      </c>
      <c r="L12" s="8" t="s">
        <v>1068</v>
      </c>
      <c r="M12" s="24" t="str">
        <f t="array" ref="M12">LEFT(L12,MIN(FIND({"A","B","C"},MID(L12,2,LEN(L12))&amp;"ABC")))</f>
        <v>A12</v>
      </c>
      <c r="N12" s="24" t="str">
        <f t="array" ref="N12">SUBSTITUTE(L12,M12,"")</f>
        <v>B523</v>
      </c>
      <c r="O12" s="113">
        <v>43752</v>
      </c>
      <c r="P12" s="336"/>
      <c r="Q12" s="336"/>
      <c r="R12" s="336"/>
      <c r="S12" s="113">
        <v>43758</v>
      </c>
      <c r="T12" s="264">
        <f>IF(AND(C12&gt;0,D12=""),SUMIFS(yj!I:I,yj!B:B,plan!A12,yj!G:G,"&gt;="&amp;Q12,yj!G:G,"&lt;="&amp;S12),"")</f>
        <v>0</v>
      </c>
      <c r="U12" s="264">
        <f>SUMIFS(四面弹库存!F:F,四面弹库存!B:B,plan!A12,四面弹库存!O:O,IF(H12&lt;&gt;"黑丝","白","黑"))</f>
        <v>172</v>
      </c>
      <c r="V12" s="264"/>
      <c r="W12" s="369" t="str">
        <f t="shared" si="0"/>
        <v/>
      </c>
      <c r="X12" s="258" t="str">
        <f>IF(B12="","",IF(S12&lt;&gt;"","",IF(AND(Z12&lt;&gt;"",AA12&lt;&gt;""),SUM(Z12:AA12),IF(AB12&lt;&gt;"",(I12/((1/((G12+2)/100*K12/1000))*0.9144)/IF(H12="黑丝",22,20)-AB12)*(IF(H12="黑丝",22,20)),I12/((1/((G12+2)/100*K12/1000))*0.9144)))))</f>
        <v/>
      </c>
      <c r="Y12" s="36" t="str">
        <f>IF(OR(B12="",D12&lt;&gt;""),"",IF(S12&lt;&gt;"","",I12/((1/((G12+2)/100*K12/1000))*0.9144)/IF(H12="黑丝",22,20)-AB12))</f>
        <v/>
      </c>
      <c r="Z12" s="340" t="str">
        <f>IF(AND(C12&gt;0,D12&lt;&gt;"",S12=""),VLOOKUP(A12&amp;IF(H12="黑丝","黑","白")&amp;E12,经纬!A:M,13,FALSE)*(I12-AB12),"")</f>
        <v/>
      </c>
      <c r="AA12" s="340" t="str">
        <f>IF(AND(C12&gt;0,D12&lt;&gt;"",S12=""),VLOOKUP(A12&amp;IF(H12="黑丝","黑","白")&amp;E12,经纬!A:N,14,FALSE)*(I12-AB12),"")</f>
        <v/>
      </c>
      <c r="AC12" s="8"/>
      <c r="AD12" s="8"/>
      <c r="AE12" s="250" t="str">
        <f>IF(COUNTIF(A$2:A12,A12)=1,M12,LOOKUP(1,0/(A$1:A11=A12),AE$1:AE11)&amp;" "&amp;M12)</f>
        <v>XSD A21 A12</v>
      </c>
    </row>
    <row r="13" spans="1:31" ht="14.25" customHeight="1" outlineLevel="1">
      <c r="A13" s="233" t="s">
        <v>1524</v>
      </c>
      <c r="B13" s="24" t="str">
        <f>IF(A13="","",IF(LEFT(A13)&gt;"9",VLOOKUP(A13,yuanjidaimachichun,2,FALSE),VLOOKUP(A13,经纬!B:C,2,FALSE)))</f>
        <v>B100-30-24</v>
      </c>
      <c r="C13" s="8" t="str">
        <f>IF(ISERROR(FIND("*",B13)),MID(B13,2,FIND("-",B13)-2),LEFT(B13,FIND("*",B13)-1))</f>
        <v>100</v>
      </c>
      <c r="D13" s="8" t="str">
        <f>IF(ISERROR(FIND("*",B13)),"",RIGHT(B13,LEN(B13)-FIND("*",B13)))</f>
        <v/>
      </c>
      <c r="E13" s="89" t="s">
        <v>168</v>
      </c>
      <c r="G13" s="8">
        <v>157</v>
      </c>
      <c r="H13" s="8" t="s">
        <v>1516</v>
      </c>
      <c r="I13" s="8">
        <v>3000</v>
      </c>
      <c r="J13" s="8">
        <v>63</v>
      </c>
      <c r="K13" s="8">
        <v>65</v>
      </c>
      <c r="L13" s="8" t="s">
        <v>1080</v>
      </c>
      <c r="M13" s="24" t="str">
        <f t="array" ref="M13">LEFT(L13,MIN(FIND({"A","B","C"},MID(L13,2,LEN(L13))&amp;"ABC")))</f>
        <v>A88</v>
      </c>
      <c r="N13" s="24" t="str">
        <f t="array" ref="N13">SUBSTITUTE(L13,M13,"")</f>
        <v>C388</v>
      </c>
      <c r="O13" s="113">
        <v>43753</v>
      </c>
      <c r="P13" s="336"/>
      <c r="Q13" s="336">
        <v>43755</v>
      </c>
      <c r="R13" s="336"/>
      <c r="S13" s="113">
        <v>43757</v>
      </c>
      <c r="T13" s="264">
        <f>IF(AND(C13&gt;0,D13=""),SUMIFS(yj!I:I,yj!B:B,plan!A13,yj!G:G,"&gt;="&amp;Q13,yj!G:G,"&lt;="&amp;S13),"")</f>
        <v>18</v>
      </c>
      <c r="U13" s="264">
        <f>SUMIFS(四面弹库存!F:F,四面弹库存!B:B,plan!A13,四面弹库存!O:O,IF(H13&lt;&gt;"黑丝","白","黑"))</f>
        <v>0</v>
      </c>
      <c r="V13" s="264"/>
      <c r="W13" s="369" t="str">
        <f t="shared" si="0"/>
        <v/>
      </c>
      <c r="X13" s="258" t="str">
        <f>IF(B13="","",IF(S13&lt;&gt;"","",IF(AND(Z13&lt;&gt;"",AA13&lt;&gt;""),SUM(Z13:AA13),IF(AB13&lt;&gt;"",(I13/((1/((G13+2)/100*K13/1000))*0.9144)/IF(H13="黑丝",22,20)-AB13)*(IF(H13="黑丝",22,20)),I13/((1/((G13+2)/100*K13/1000))*0.9144)))))</f>
        <v/>
      </c>
      <c r="Y13" s="36" t="str">
        <f>IF(OR(B13="",D13&lt;&gt;""),"",IF(S13&lt;&gt;"","",I13/((1/((G13+2)/100*K13/1000))*0.9144)/IF(H13="黑丝",22,20)-AB13))</f>
        <v/>
      </c>
      <c r="Z13" s="340" t="str">
        <f>IF(AND(C13&gt;0,D13&lt;&gt;"",S13=""),VLOOKUP(A13&amp;IF(H13="黑丝","黑","白")&amp;E13,经纬!A:M,13,FALSE)*(I13-AB13),"")</f>
        <v/>
      </c>
      <c r="AA13" s="340" t="str">
        <f>IF(AND(C13&gt;0,D13&lt;&gt;"",S13=""),VLOOKUP(A13&amp;IF(H13="黑丝","黑","白")&amp;E13,经纬!A:N,14,FALSE)*(I13-AB13),"")</f>
        <v/>
      </c>
      <c r="AC13" s="8" t="s">
        <v>1081</v>
      </c>
      <c r="AD13" s="8"/>
      <c r="AE13" s="250" t="str">
        <f>IF(COUNTIF(A$2:A13,A13)=1,M13,LOOKUP(1,0/(A$1:A12=A13),AE$1:AE12)&amp;" "&amp;M13)</f>
        <v>A88</v>
      </c>
    </row>
    <row r="14" spans="1:31" outlineLevel="1">
      <c r="A14" s="233" t="s">
        <v>1525</v>
      </c>
      <c r="B14" s="24" t="str">
        <f>IF(A14="","",IF(LEFT(A14)&gt;"9",VLOOKUP(A14,yuanjidaimachichun,2,FALSE),VLOOKUP(A14,经纬!B:C,2,FALSE)))</f>
        <v>A50-30-28</v>
      </c>
      <c r="C14" s="8" t="str">
        <f>IF(ISERROR(FIND("*",B14)),MID(B14,2,FIND("-",B14)-2),LEFT(B14,FIND("*",B14)-1))</f>
        <v>50</v>
      </c>
      <c r="D14" s="8" t="str">
        <f>IF(ISERROR(FIND("*",B14)),"",RIGHT(B14,LEN(B14)-FIND("*",B14)))</f>
        <v/>
      </c>
      <c r="E14" s="89" t="s">
        <v>177</v>
      </c>
      <c r="F14" s="89" t="s">
        <v>2611</v>
      </c>
      <c r="G14" s="8">
        <v>158</v>
      </c>
      <c r="H14" s="8" t="s">
        <v>1516</v>
      </c>
      <c r="I14" s="8">
        <v>30000</v>
      </c>
      <c r="J14" s="8">
        <v>35</v>
      </c>
      <c r="K14" s="8">
        <v>33</v>
      </c>
      <c r="L14" s="8" t="s">
        <v>1083</v>
      </c>
      <c r="M14" s="24" t="str">
        <f t="array" ref="M14">LEFT(L14,MIN(FIND({"A","B","C"},MID(L14,2,LEN(L14))&amp;"ABC")))</f>
        <v>A10</v>
      </c>
      <c r="N14" s="24" t="str">
        <f t="array" ref="N14">SUBSTITUTE(L14,M14,"")</f>
        <v>B499</v>
      </c>
      <c r="O14" s="113">
        <v>43753</v>
      </c>
      <c r="P14" s="336"/>
      <c r="Q14" s="336"/>
      <c r="R14" s="336"/>
      <c r="S14" s="113"/>
      <c r="T14" s="264">
        <f>IF(AND(C14&gt;0,D14=""),SUMIFS(yj!I:I,yj!B:B,plan!A14,yj!G:G,"&gt;="&amp;Q14,yj!G:G,"&lt;="&amp;S14),"")</f>
        <v>0</v>
      </c>
      <c r="U14" s="264">
        <f>SUMIFS(四面弹库存!F:F,四面弹库存!B:B,plan!A14,四面弹库存!O:O,IF(H14&lt;&gt;"黑丝","白","黑"))</f>
        <v>172</v>
      </c>
      <c r="V14" s="264"/>
      <c r="W14" s="369">
        <f t="shared" si="0"/>
        <v>29999.999999999996</v>
      </c>
      <c r="X14" s="258">
        <f>IF(B14="","",IF(S14&lt;&gt;"","",IF(AND(Z14&lt;&gt;"",AA14&lt;&gt;""),SUM(Z14:AA14),IF(AB14&lt;&gt;"",(I14/((1/((G14+2)/100*K14/1000))*0.9144)/IF(H14="黑丝",22,20)-AB14)*(IF(H14="黑丝",22,20)),I14/((1/((G14+2)/100*K14/1000))*0.9144)))))</f>
        <v>1732.2834645669293</v>
      </c>
      <c r="Y14" s="36">
        <f>IF(OR(B14="",D14&lt;&gt;""),"",IF(S14&lt;&gt;"","",I14/((1/((G14+2)/100*K14/1000))*0.9144)/IF(H14="黑丝",22,20)-AB14))</f>
        <v>86.614173228346459</v>
      </c>
      <c r="Z14" s="340" t="str">
        <f>IF(AND(C14&gt;0,D14&lt;&gt;"",S14=""),VLOOKUP(A14&amp;IF(H14="黑丝","黑","白")&amp;E14,经纬!A:M,13,FALSE)*(I14-AB14),"")</f>
        <v/>
      </c>
      <c r="AA14" s="340" t="str">
        <f>IF(AND(C14&gt;0,D14&lt;&gt;"",S14=""),VLOOKUP(A14&amp;IF(H14="黑丝","黑","白")&amp;E14,经纬!A:N,14,FALSE)*(I14-AB14),"")</f>
        <v/>
      </c>
      <c r="AE14" s="250" t="str">
        <f>IF(COUNTIF(A$2:A14,A14)=1,M14,LOOKUP(1,0/(A$1:A13=A14),AE$1:AE13)&amp;" "&amp;M14)</f>
        <v>XSD A21 A12 A10</v>
      </c>
    </row>
    <row r="15" spans="1:31" ht="12.75" customHeight="1" outlineLevel="1">
      <c r="A15" s="233" t="s">
        <v>1526</v>
      </c>
      <c r="B15" s="24" t="str">
        <f>IF(A15="","",IF(LEFT(A15)&gt;"9",VLOOKUP(A15,yuanjidaimachichun,2,FALSE),VLOOKUP(A15,经纬!B:C,2,FALSE)))</f>
        <v>A50-30-28</v>
      </c>
      <c r="C15" s="8" t="str">
        <f>IF(ISERROR(FIND("*",B15)),MID(B15,2,FIND("-",B15)-2),LEFT(B15,FIND("*",B15)-1))</f>
        <v>50</v>
      </c>
      <c r="D15" s="8" t="str">
        <f>IF(ISERROR(FIND("*",B15)),"",RIGHT(B15,LEN(B15)-FIND("*",B15)))</f>
        <v/>
      </c>
      <c r="E15" s="89" t="s">
        <v>177</v>
      </c>
      <c r="F15" s="89" t="s">
        <v>2611</v>
      </c>
      <c r="G15" s="8">
        <v>158</v>
      </c>
      <c r="H15" s="8" t="s">
        <v>1515</v>
      </c>
      <c r="I15" s="8">
        <v>50000</v>
      </c>
      <c r="J15" s="8">
        <v>35</v>
      </c>
      <c r="K15" s="8">
        <v>33</v>
      </c>
      <c r="L15" s="8" t="s">
        <v>1083</v>
      </c>
      <c r="M15" s="24" t="str">
        <f t="array" ref="M15">LEFT(L15,MIN(FIND({"A","B","C"},MID(L15,2,LEN(L15))&amp;"ABC")))</f>
        <v>A10</v>
      </c>
      <c r="N15" s="24" t="str">
        <f t="array" ref="N15">SUBSTITUTE(L15,M15,"")</f>
        <v>B499</v>
      </c>
      <c r="O15" s="113">
        <v>43753</v>
      </c>
      <c r="P15" s="336"/>
      <c r="Q15" s="336"/>
      <c r="R15" s="336"/>
      <c r="S15" s="113">
        <v>43758</v>
      </c>
      <c r="T15" s="264">
        <f>IF(AND(C15&gt;0,D15=""),SUMIFS(yj!I:I,yj!B:B,plan!A15,yj!G:G,"&gt;="&amp;Q15,yj!G:G,"&lt;="&amp;S15),"")</f>
        <v>0</v>
      </c>
      <c r="U15" s="264">
        <f>SUMIFS(四面弹库存!F:F,四面弹库存!B:B,plan!A15,四面弹库存!O:O,IF(H15&lt;&gt;"黑丝","白","黑"))</f>
        <v>26</v>
      </c>
      <c r="V15" s="264"/>
      <c r="W15" s="369" t="str">
        <f t="shared" si="0"/>
        <v/>
      </c>
      <c r="X15" s="258" t="str">
        <f>IF(B15="","",IF(S15&lt;&gt;"","",IF(AND(Z15&lt;&gt;"",AA15&lt;&gt;""),SUM(Z15:AA15),IF(AB15&lt;&gt;"",(I15/((1/((G15+2)/100*K15/1000))*0.9144)/IF(H15="黑丝",22,20)-AB15)*(IF(H15="黑丝",22,20)),I15/((1/((G15+2)/100*K15/1000))*0.9144)))))</f>
        <v/>
      </c>
      <c r="Y15" s="36" t="str">
        <f>IF(OR(B15="",D15&lt;&gt;""),"",IF(S15&lt;&gt;"","",I15/((1/((G15+2)/100*K15/1000))*0.9144)/IF(H15="黑丝",22,20)-AB15))</f>
        <v/>
      </c>
      <c r="Z15" s="340" t="str">
        <f>IF(AND(C15&gt;0,D15&lt;&gt;"",S15=""),VLOOKUP(A15&amp;IF(H15="黑丝","黑","白")&amp;E15,经纬!A:M,13,FALSE)*(I15-AB15),"")</f>
        <v/>
      </c>
      <c r="AA15" s="340" t="str">
        <f>IF(AND(C15&gt;0,D15&lt;&gt;"",S15=""),VLOOKUP(A15&amp;IF(H15="黑丝","黑","白")&amp;E15,经纬!A:N,14,FALSE)*(I15-AB15),"")</f>
        <v/>
      </c>
      <c r="AC15" s="8"/>
      <c r="AD15" s="8"/>
      <c r="AE15" s="250" t="str">
        <f>IF(COUNTIF(A$2:A15,A15)=1,M15,LOOKUP(1,0/(A$1:A14=A15),AE$1:AE14)&amp;" "&amp;M15)</f>
        <v>XSD A21 A12 A10</v>
      </c>
    </row>
    <row r="16" spans="1:31" outlineLevel="1">
      <c r="A16" s="233" t="s">
        <v>746</v>
      </c>
      <c r="B16" s="24" t="str">
        <f>IF(A16="","",IF(LEFT(A16)&gt;"9",VLOOKUP(A16,yuanjidaimachichun,2,FALSE),VLOOKUP(A16,经纬!B:C,2,FALSE)))</f>
        <v>A75-30-28</v>
      </c>
      <c r="C16" s="8" t="str">
        <f>IF(ISERROR(FIND("*",B16)),MID(B16,2,FIND("-",B16)-2),LEFT(B16,FIND("*",B16)-1))</f>
        <v>75</v>
      </c>
      <c r="D16" s="8" t="str">
        <f>IF(ISERROR(FIND("*",B16)),"",RIGHT(B16,LEN(B16)-FIND("*",B16)))</f>
        <v/>
      </c>
      <c r="E16" s="89" t="s">
        <v>44</v>
      </c>
      <c r="G16" s="8">
        <v>158</v>
      </c>
      <c r="H16" s="8" t="s">
        <v>1519</v>
      </c>
      <c r="I16" s="8">
        <v>3000</v>
      </c>
      <c r="J16" s="8">
        <v>49</v>
      </c>
      <c r="K16" s="8">
        <v>54</v>
      </c>
      <c r="L16" s="8" t="s">
        <v>1148</v>
      </c>
      <c r="M16" s="24" t="str">
        <f t="array" ref="M16">LEFT(L16,MIN(FIND({"A","B","C"},MID(L16,2,LEN(L16))&amp;"ABC")))</f>
        <v>A90</v>
      </c>
      <c r="N16" s="24" t="str">
        <f t="array" ref="N16">SUBSTITUTE(L16,M16,"")</f>
        <v>C389</v>
      </c>
      <c r="O16" s="113">
        <v>43754</v>
      </c>
      <c r="P16" s="336"/>
      <c r="Q16" s="336"/>
      <c r="R16" s="336"/>
      <c r="S16" s="113">
        <v>43763</v>
      </c>
      <c r="T16" s="264">
        <f>IF(AND(C16&gt;0,D16=""),SUMIFS(yj!I:I,yj!B:B,plan!A16,yj!G:G,"&gt;="&amp;Q16,yj!G:G,"&lt;="&amp;S16),"")</f>
        <v>0</v>
      </c>
      <c r="U16" s="264">
        <f>SUMIFS(四面弹库存!F:F,四面弹库存!B:B,plan!A16,四面弹库存!O:O,IF(H16&lt;&gt;"黑丝","白","黑"))</f>
        <v>10</v>
      </c>
      <c r="V16" s="264"/>
      <c r="W16" s="369" t="str">
        <f t="shared" si="0"/>
        <v/>
      </c>
      <c r="X16" s="258" t="str">
        <f>IF(B16="","",IF(S16&lt;&gt;"","",IF(AND(Z16&lt;&gt;"",AA16&lt;&gt;""),SUM(Z16:AA16),IF(AB16&lt;&gt;"",(I16/((1/((G16+2)/100*K16/1000))*0.9144)/IF(H16="黑丝",22,20)-AB16)*(IF(H16="黑丝",22,20)),I16/((1/((G16+2)/100*K16/1000))*0.9144)))))</f>
        <v/>
      </c>
      <c r="Y16" s="36" t="str">
        <f>IF(OR(B16="",D16&lt;&gt;""),"",IF(S16&lt;&gt;"","",I16/((1/((G16+2)/100*K16/1000))*0.9144)/IF(H16="黑丝",22,20)-AB16))</f>
        <v/>
      </c>
      <c r="Z16" s="340" t="str">
        <f>IF(AND(C16&gt;0,D16&lt;&gt;"",S16=""),VLOOKUP(A16&amp;IF(H16="黑丝","黑","白")&amp;E16,经纬!A:M,13,FALSE)*(I16-AB16),"")</f>
        <v/>
      </c>
      <c r="AA16" s="340" t="str">
        <f>IF(AND(C16&gt;0,D16&lt;&gt;"",S16=""),VLOOKUP(A16&amp;IF(H16="黑丝","黑","白")&amp;E16,经纬!A:N,14,FALSE)*(I16-AB16),"")</f>
        <v/>
      </c>
      <c r="AC16" s="8"/>
      <c r="AD16" s="8"/>
      <c r="AE16" s="250" t="str">
        <f>IF(COUNTIF(A$2:A16,A16)=1,M16,LOOKUP(1,0/(A$1:A15=A16),AE$1:AE15)&amp;" "&amp;M16)</f>
        <v>A90</v>
      </c>
    </row>
    <row r="17" spans="1:31" outlineLevel="1">
      <c r="A17" s="233" t="s">
        <v>1514</v>
      </c>
      <c r="B17" s="24" t="str">
        <f>IF(A17="","",IF(LEFT(A17)&gt;"9",VLOOKUP(A17,yuanjidaimachichun,2,FALSE),VLOOKUP(A17,经纬!B:C,2,FALSE)))</f>
        <v>A50-30-28</v>
      </c>
      <c r="C17" s="8" t="str">
        <f>IF(ISERROR(FIND("*",B17)),MID(B17,2,FIND("-",B17)-2),LEFT(B17,FIND("*",B17)-1))</f>
        <v>50</v>
      </c>
      <c r="D17" s="8" t="str">
        <f>IF(ISERROR(FIND("*",B17)),"",RIGHT(B17,LEN(B17)-FIND("*",B17)))</f>
        <v/>
      </c>
      <c r="E17" s="89" t="s">
        <v>177</v>
      </c>
      <c r="G17" s="8">
        <v>156</v>
      </c>
      <c r="H17" s="8" t="s">
        <v>1515</v>
      </c>
      <c r="I17" s="8">
        <v>30000</v>
      </c>
      <c r="J17" s="8">
        <v>35</v>
      </c>
      <c r="K17" s="8">
        <v>33</v>
      </c>
      <c r="L17" s="8" t="s">
        <v>1149</v>
      </c>
      <c r="M17" s="24" t="str">
        <f t="array" ref="M17">LEFT(L17,MIN(FIND({"A","B","C"},MID(L17,2,LEN(L17))&amp;"ABC")))</f>
        <v>A70</v>
      </c>
      <c r="N17" s="24" t="str">
        <f t="array" ref="N17">SUBSTITUTE(L17,M17,"")</f>
        <v>C390</v>
      </c>
      <c r="O17" s="113">
        <v>43754</v>
      </c>
      <c r="P17" s="336"/>
      <c r="Q17" s="336"/>
      <c r="R17" s="336"/>
      <c r="S17" s="113">
        <v>43759</v>
      </c>
      <c r="T17" s="264">
        <f>IF(AND(C17&gt;0,D17=""),SUMIFS(yj!I:I,yj!B:B,plan!A17,yj!G:G,"&gt;="&amp;Q17,yj!G:G,"&lt;="&amp;S17),"")</f>
        <v>0</v>
      </c>
      <c r="U17" s="264">
        <f>SUMIFS(四面弹库存!F:F,四面弹库存!B:B,plan!A17,四面弹库存!O:O,IF(H17&lt;&gt;"黑丝","白","黑"))</f>
        <v>26</v>
      </c>
      <c r="V17" s="264"/>
      <c r="W17" s="369" t="str">
        <f t="shared" si="0"/>
        <v/>
      </c>
      <c r="X17" s="258" t="str">
        <f>IF(B17="","",IF(S17&lt;&gt;"","",IF(AND(Z17&lt;&gt;"",AA17&lt;&gt;""),SUM(Z17:AA17),IF(AB17&lt;&gt;"",(I17/((1/((G17+2)/100*K17/1000))*0.9144)/IF(H17="黑丝",22,20)-AB17)*(IF(H17="黑丝",22,20)),I17/((1/((G17+2)/100*K17/1000))*0.9144)))))</f>
        <v/>
      </c>
      <c r="Y17" s="36" t="str">
        <f>IF(OR(B17="",D17&lt;&gt;""),"",IF(S17&lt;&gt;"","",I17/((1/((G17+2)/100*K17/1000))*0.9144)/IF(H17="黑丝",22,20)-AB17))</f>
        <v/>
      </c>
      <c r="Z17" s="340" t="str">
        <f>IF(AND(C17&gt;0,D17&lt;&gt;"",S17=""),VLOOKUP(A17&amp;IF(H17="黑丝","黑","白")&amp;E17,经纬!A:M,13,FALSE)*(I17-AB17),"")</f>
        <v/>
      </c>
      <c r="AA17" s="340" t="str">
        <f>IF(AND(C17&gt;0,D17&lt;&gt;"",S17=""),VLOOKUP(A17&amp;IF(H17="黑丝","黑","白")&amp;E17,经纬!A:N,14,FALSE)*(I17-AB17),"")</f>
        <v/>
      </c>
      <c r="AC17" s="8"/>
      <c r="AD17" s="8"/>
      <c r="AE17" s="250" t="str">
        <f>IF(COUNTIF(A$2:A17,A17)=1,M17,LOOKUP(1,0/(A$1:A16=A17),AE$1:AE16)&amp;" "&amp;M17)</f>
        <v>XSD A21 A12 A10 A70</v>
      </c>
    </row>
    <row r="18" spans="1:31" s="3" customFormat="1" outlineLevel="1">
      <c r="A18" s="233" t="s">
        <v>1527</v>
      </c>
      <c r="B18" s="24" t="str">
        <f>IF(A18="","",IF(LEFT(A18)&gt;"9",VLOOKUP(A18,yuanjidaimachichun,2,FALSE),VLOOKUP(A18,经纬!B:C,2,FALSE)))</f>
        <v>B50-30-24</v>
      </c>
      <c r="C18" s="24" t="str">
        <f>IF(ISERROR(FIND("*",B18)),MID(B18,2,FIND("-",B18)-2),LEFT(B18,FIND("*",B18)-1))</f>
        <v>50</v>
      </c>
      <c r="D18" s="24" t="str">
        <f>IF(ISERROR(FIND("*",B18)),"",RIGHT(B18,LEN(B18)-FIND("*",B18)))</f>
        <v/>
      </c>
      <c r="E18" s="233" t="s">
        <v>168</v>
      </c>
      <c r="F18" s="233" t="s">
        <v>2612</v>
      </c>
      <c r="G18" s="24">
        <v>157.5</v>
      </c>
      <c r="H18" s="24" t="s">
        <v>1519</v>
      </c>
      <c r="I18" s="24">
        <v>120000</v>
      </c>
      <c r="J18" s="24">
        <v>36</v>
      </c>
      <c r="K18" s="24">
        <v>36</v>
      </c>
      <c r="L18" s="24" t="s">
        <v>1158</v>
      </c>
      <c r="M18" s="24" t="str">
        <f t="array" ref="M18">LEFT(L18,MIN(FIND({"A","B","C"},MID(L18,2,LEN(L18))&amp;"ABC")))</f>
        <v>A35</v>
      </c>
      <c r="N18" s="24" t="str">
        <f t="array" ref="N18">SUBSTITUTE(L18,M18,"")</f>
        <v>C392</v>
      </c>
      <c r="O18" s="113">
        <v>43754</v>
      </c>
      <c r="P18" s="336"/>
      <c r="Q18" s="336"/>
      <c r="R18" s="336"/>
      <c r="S18" s="113">
        <v>43774</v>
      </c>
      <c r="T18" s="264">
        <f>IF(AND(C18&gt;0,D18=""),SUMIFS(yj!I:I,yj!B:B,plan!A18,yj!G:G,"&gt;="&amp;Q18,yj!G:G,"&lt;="&amp;S18),"")</f>
        <v>0</v>
      </c>
      <c r="U18" s="264">
        <f>SUMIFS(四面弹库存!F:F,四面弹库存!B:B,plan!A18,四面弹库存!O:O,IF(H18&lt;&gt;"黑丝","白","黑"))</f>
        <v>77</v>
      </c>
      <c r="V18" s="264"/>
      <c r="W18" s="369" t="str">
        <f t="shared" si="0"/>
        <v/>
      </c>
      <c r="X18" s="258" t="str">
        <f>IF(B18="","",IF(S18&lt;&gt;"","",IF(AND(Z18&lt;&gt;"",AA18&lt;&gt;""),SUM(Z18:AA18),IF(AB18&lt;&gt;"",(I18/((1/((G18+2)/100*K18/1000))*0.9144)/IF(H18="黑丝",22,20)-AB18)*(IF(H18="黑丝",22,20)),I18/((1/((G18+2)/100*K18/1000))*0.9144)))))</f>
        <v/>
      </c>
      <c r="Y18" s="36" t="str">
        <f>IF(OR(B18="",D18&lt;&gt;""),"",IF(S18&lt;&gt;"","",I18/((1/((G18+2)/100*K18/1000))*0.9144)/IF(H18="黑丝",22,20)-AB18))</f>
        <v/>
      </c>
      <c r="Z18" s="340" t="str">
        <f>IF(AND(C18&gt;0,D18&lt;&gt;"",S18=""),VLOOKUP(A18&amp;IF(H18="黑丝","黑","白")&amp;E18,经纬!A:M,13,FALSE)*(I18-AB18),"")</f>
        <v/>
      </c>
      <c r="AA18" s="340" t="str">
        <f>IF(AND(C18&gt;0,D18&lt;&gt;"",S18=""),VLOOKUP(A18&amp;IF(H18="黑丝","黑","白")&amp;E18,经纬!A:N,14,FALSE)*(I18-AB18),"")</f>
        <v/>
      </c>
      <c r="AB18" s="24">
        <f>96+48+36+96+120</f>
        <v>396</v>
      </c>
      <c r="AC18" s="388" t="s">
        <v>2979</v>
      </c>
      <c r="AD18" s="388"/>
      <c r="AE18" s="250" t="str">
        <f>IF(COUNTIF(A$2:A18,A18)=1,M18,LOOKUP(1,0/(A$1:A17=A18),AE$1:AE17)&amp;" "&amp;M18)</f>
        <v>A35</v>
      </c>
    </row>
    <row r="19" spans="1:31" outlineLevel="1">
      <c r="A19" s="233" t="s">
        <v>1525</v>
      </c>
      <c r="B19" s="24" t="str">
        <f>IF(A19="","",IF(LEFT(A19)&gt;"9",VLOOKUP(A19,yuanjidaimachichun,2,FALSE),VLOOKUP(A19,经纬!B:C,2,FALSE)))</f>
        <v>A50-30-28</v>
      </c>
      <c r="C19" s="8" t="str">
        <f>IF(ISERROR(FIND("*",B19)),MID(B19,2,FIND("-",B19)-2),LEFT(B19,FIND("*",B19)-1))</f>
        <v>50</v>
      </c>
      <c r="D19" s="8" t="str">
        <f>IF(ISERROR(FIND("*",B19)),"",RIGHT(B19,LEN(B19)-FIND("*",B19)))</f>
        <v/>
      </c>
      <c r="E19" s="89" t="s">
        <v>177</v>
      </c>
      <c r="F19" s="89" t="s">
        <v>2611</v>
      </c>
      <c r="G19" s="8">
        <v>158</v>
      </c>
      <c r="H19" s="8" t="s">
        <v>1516</v>
      </c>
      <c r="I19" s="8">
        <v>40000</v>
      </c>
      <c r="J19" s="8">
        <v>35</v>
      </c>
      <c r="K19" s="8">
        <v>33</v>
      </c>
      <c r="L19" s="8" t="s">
        <v>1195</v>
      </c>
      <c r="M19" s="24" t="str">
        <f t="array" ref="M19">LEFT(L19,MIN(FIND({"A","B","C"},MID(L19,2,LEN(L19))&amp;"ABC")))</f>
        <v>A10</v>
      </c>
      <c r="N19" s="24" t="str">
        <f t="array" ref="N19">SUBSTITUTE(L19,M19,"")</f>
        <v>B532</v>
      </c>
      <c r="O19" s="113">
        <v>43755</v>
      </c>
      <c r="P19" s="336"/>
      <c r="Q19" s="336"/>
      <c r="R19" s="336"/>
      <c r="S19" s="113"/>
      <c r="T19" s="264">
        <f>IF(AND(C19&gt;0,D19=""),SUMIFS(yj!I:I,yj!B:B,plan!A19,yj!G:G,"&gt;="&amp;Q19,yj!G:G,"&lt;="&amp;S19),"")</f>
        <v>0</v>
      </c>
      <c r="U19" s="264">
        <f>SUMIFS(四面弹库存!F:F,四面弹库存!B:B,plan!A19,四面弹库存!O:O,IF(H19&lt;&gt;"黑丝","白","黑"))</f>
        <v>172</v>
      </c>
      <c r="V19" s="264"/>
      <c r="W19" s="369">
        <f t="shared" si="0"/>
        <v>23374.545454545456</v>
      </c>
      <c r="X19" s="258">
        <f>IF(B19="","",IF(S19&lt;&gt;"","",IF(AND(Z19&lt;&gt;"",AA19&lt;&gt;""),SUM(Z19:AA19),IF(AB19&lt;&gt;"",(I19/((1/((G19+2)/100*K19/1000))*0.9144)/IF(H19="黑丝",22,20)-AB19)*(IF(H19="黑丝",22,20)),I19/((1/((G19+2)/100*K19/1000))*0.9144)))))</f>
        <v>1349.7112860892389</v>
      </c>
      <c r="Y19" s="36">
        <f>IF(OR(B19="",D19&lt;&gt;""),"",IF(S19&lt;&gt;"","",I19/((1/((G19+2)/100*K19/1000))*0.9144)/IF(H19="黑丝",22,20)-AB19))</f>
        <v>67.485564304461946</v>
      </c>
      <c r="Z19" s="340" t="str">
        <f>IF(AND(C19&gt;0,D19&lt;&gt;"",S19=""),VLOOKUP(A19&amp;IF(H19="黑丝","黑","白")&amp;E19,经纬!A:M,13,FALSE)*(I19-AB19),"")</f>
        <v/>
      </c>
      <c r="AA19" s="340" t="str">
        <f>IF(AND(C19&gt;0,D19&lt;&gt;"",S19=""),VLOOKUP(A19&amp;IF(H19="黑丝","黑","白")&amp;E19,经纬!A:N,14,FALSE)*(I19-AB19),"")</f>
        <v/>
      </c>
      <c r="AB19" s="8">
        <v>48</v>
      </c>
      <c r="AC19" s="4" t="s">
        <v>2749</v>
      </c>
      <c r="AE19" s="250" t="str">
        <f>IF(COUNTIF(A$2:A19,A19)=1,M19,LOOKUP(1,0/(A$1:A18=A19),AE$1:AE18)&amp;" "&amp;M19)</f>
        <v>XSD A21 A12 A10 A10</v>
      </c>
    </row>
    <row r="20" spans="1:31" outlineLevel="1">
      <c r="A20" s="233" t="s">
        <v>112</v>
      </c>
      <c r="B20" s="24" t="str">
        <f>IF(A20="","",IF(LEFT(A20)&gt;"9",VLOOKUP(A20,yuanjidaimachichun,2,FALSE),VLOOKUP(A20,经纬!B:C,2,FALSE)))</f>
        <v>A50-30-28</v>
      </c>
      <c r="C20" s="8" t="str">
        <f>IF(ISERROR(FIND("*",B20)),MID(B20,2,FIND("-",B20)-2),LEFT(B20,FIND("*",B20)-1))</f>
        <v>50</v>
      </c>
      <c r="D20" s="8" t="str">
        <f>IF(ISERROR(FIND("*",B20)),"",RIGHT(B20,LEN(B20)-FIND("*",B20)))</f>
        <v/>
      </c>
      <c r="E20" s="89" t="s">
        <v>1202</v>
      </c>
      <c r="F20" s="89" t="s">
        <v>2611</v>
      </c>
      <c r="G20" s="8">
        <v>158</v>
      </c>
      <c r="H20" s="8" t="s">
        <v>1515</v>
      </c>
      <c r="I20" s="8">
        <v>40000</v>
      </c>
      <c r="J20" s="8">
        <v>35</v>
      </c>
      <c r="K20" s="8">
        <v>33</v>
      </c>
      <c r="L20" s="8" t="s">
        <v>1195</v>
      </c>
      <c r="M20" s="24" t="str">
        <f t="array" ref="M20">LEFT(L20,MIN(FIND({"A","B","C"},MID(L20,2,LEN(L20))&amp;"ABC")))</f>
        <v>A10</v>
      </c>
      <c r="N20" s="24" t="str">
        <f t="array" ref="N20">SUBSTITUTE(L20,M20,"")</f>
        <v>B532</v>
      </c>
      <c r="O20" s="113">
        <v>43755</v>
      </c>
      <c r="P20" s="336"/>
      <c r="Q20" s="336"/>
      <c r="R20" s="336"/>
      <c r="S20" s="113">
        <v>43770</v>
      </c>
      <c r="T20" s="264">
        <f>IF(AND(C20&gt;0,D20=""),SUMIFS(yj!I:I,yj!B:B,plan!A20,yj!G:G,"&gt;="&amp;Q20,yj!G:G,"&lt;="&amp;S20),"")</f>
        <v>0</v>
      </c>
      <c r="U20" s="264">
        <f>SUMIFS(四面弹库存!F:F,四面弹库存!B:B,plan!A20,四面弹库存!O:O,IF(H20&lt;&gt;"黑丝","白","黑"))</f>
        <v>26</v>
      </c>
      <c r="V20" s="264"/>
      <c r="W20" s="369" t="str">
        <f t="shared" si="0"/>
        <v/>
      </c>
      <c r="X20" s="258" t="str">
        <f>IF(B20="","",IF(S20&lt;&gt;"","",IF(AND(Z20&lt;&gt;"",AA20&lt;&gt;""),SUM(Z20:AA20),IF(AB20&lt;&gt;"",(I20/((1/((G20+2)/100*K20/1000))*0.9144)/IF(H20="黑丝",22,20)-AB20)*(IF(H20="黑丝",22,20)),I20/((1/((G20+2)/100*K20/1000))*0.9144)))))</f>
        <v/>
      </c>
      <c r="Y20" s="36" t="str">
        <f>IF(OR(B20="",D20&lt;&gt;""),"",IF(S20&lt;&gt;"","",I20/((1/((G20+2)/100*K20/1000))*0.9144)/IF(H20="黑丝",22,20)-AB20))</f>
        <v/>
      </c>
      <c r="Z20" s="340" t="str">
        <f>IF(AND(C20&gt;0,D20&lt;&gt;"",S20=""),VLOOKUP(A20&amp;IF(H20="黑丝","黑","白")&amp;E20,经纬!A:M,13,FALSE)*(I20-AB20),"")</f>
        <v/>
      </c>
      <c r="AA20" s="340" t="str">
        <f>IF(AND(C20&gt;0,D20&lt;&gt;"",S20=""),VLOOKUP(A20&amp;IF(H20="黑丝","黑","白")&amp;E20,经纬!A:N,14,FALSE)*(I20-AB20),"")</f>
        <v/>
      </c>
      <c r="AB20" s="8">
        <v>102</v>
      </c>
      <c r="AC20" s="8"/>
      <c r="AD20" s="8"/>
      <c r="AE20" s="250" t="str">
        <f>IF(COUNTIF(A$2:A20,A20)=1,M20,LOOKUP(1,0/(A$1:A19=A20),AE$1:AE19)&amp;" "&amp;M20)</f>
        <v>XSD A21 A12 A10 A70 A10</v>
      </c>
    </row>
    <row r="21" spans="1:31" outlineLevel="1">
      <c r="A21" s="233" t="s">
        <v>1529</v>
      </c>
      <c r="B21" s="24" t="str">
        <f>IF(A21="","",IF(LEFT(A21)&gt;"9",VLOOKUP(A21,yuanjidaimachichun,2,FALSE),VLOOKUP(A21,经纬!B:C,2,FALSE)))</f>
        <v>C75-30-20</v>
      </c>
      <c r="C21" s="8" t="str">
        <f>IF(ISERROR(FIND("*",B21)),MID(B21,2,FIND("-",B21)-2),LEFT(B21,FIND("*",B21)-1))</f>
        <v>75</v>
      </c>
      <c r="D21" s="8" t="str">
        <f>IF(ISERROR(FIND("*",B21)),"",RIGHT(B21,LEN(B21)-FIND("*",B21)))</f>
        <v/>
      </c>
      <c r="E21" s="89" t="s">
        <v>168</v>
      </c>
      <c r="G21" s="8">
        <v>162</v>
      </c>
      <c r="H21" s="8" t="s">
        <v>1519</v>
      </c>
      <c r="I21" s="8">
        <v>15000</v>
      </c>
      <c r="J21" s="8">
        <v>42</v>
      </c>
      <c r="K21" s="8">
        <v>38</v>
      </c>
      <c r="L21" s="8" t="s">
        <v>1196</v>
      </c>
      <c r="M21" s="24" t="str">
        <f t="array" ref="M21">LEFT(L21,MIN(FIND({"A","B","C"},MID(L21,2,LEN(L21))&amp;"ABC")))</f>
        <v>A35</v>
      </c>
      <c r="N21" s="24" t="str">
        <f t="array" ref="N21">SUBSTITUTE(L21,M21,"")</f>
        <v>C393</v>
      </c>
      <c r="O21" s="113">
        <v>43755</v>
      </c>
      <c r="P21" s="336"/>
      <c r="Q21" s="336"/>
      <c r="R21" s="336"/>
      <c r="S21" s="113">
        <v>43761</v>
      </c>
      <c r="T21" s="264">
        <f>IF(AND(C21&gt;0,D21=""),SUMIFS(yj!I:I,yj!B:B,plan!A21,yj!G:G,"&gt;="&amp;Q21,yj!G:G,"&lt;="&amp;S21),"")</f>
        <v>0</v>
      </c>
      <c r="U21" s="264">
        <f>SUMIFS(四面弹库存!F:F,四面弹库存!B:B,plan!A21,四面弹库存!O:O,IF(H21&lt;&gt;"黑丝","白","黑"))</f>
        <v>67</v>
      </c>
      <c r="V21" s="264"/>
      <c r="W21" s="369" t="str">
        <f t="shared" si="0"/>
        <v/>
      </c>
      <c r="X21" s="258" t="str">
        <f>IF(B21="","",IF(S21&lt;&gt;"","",IF(AND(Z21&lt;&gt;"",AA21&lt;&gt;""),SUM(Z21:AA21),IF(AB21&lt;&gt;"",(I21/((1/((G21+2)/100*K21/1000))*0.9144)/IF(H21="黑丝",22,20)-AB21)*(IF(H21="黑丝",22,20)),I21/((1/((G21+2)/100*K21/1000))*0.9144)))))</f>
        <v/>
      </c>
      <c r="Y21" s="36" t="str">
        <f>IF(OR(B21="",D21&lt;&gt;""),"",IF(S21&lt;&gt;"","",I21/((1/((G21+2)/100*K21/1000))*0.9144)/IF(H21="黑丝",22,20)-AB21))</f>
        <v/>
      </c>
      <c r="Z21" s="340" t="str">
        <f>IF(AND(C21&gt;0,D21&lt;&gt;"",S21=""),VLOOKUP(A21&amp;IF(H21="黑丝","黑","白")&amp;E21,经纬!A:M,13,FALSE)*(I21-AB21),"")</f>
        <v/>
      </c>
      <c r="AA21" s="340" t="str">
        <f>IF(AND(C21&gt;0,D21&lt;&gt;"",S21=""),VLOOKUP(A21&amp;IF(H21="黑丝","黑","白")&amp;E21,经纬!A:N,14,FALSE)*(I21-AB21),"")</f>
        <v/>
      </c>
      <c r="AC21" s="8"/>
      <c r="AD21" s="8"/>
      <c r="AE21" s="250" t="str">
        <f>IF(COUNTIF(A$2:A21,A21)=1,M21,LOOKUP(1,0/(A$1:A20=A21),AE$1:AE20)&amp;" "&amp;M21)</f>
        <v>A35 A35</v>
      </c>
    </row>
    <row r="22" spans="1:31" outlineLevel="1">
      <c r="A22" s="233" t="s">
        <v>1229</v>
      </c>
      <c r="B22" s="24" t="str">
        <f>IF(A22="","",IF(LEFT(A22)&gt;"9",VLOOKUP(A22,yuanjidaimachichun,2,FALSE),VLOOKUP(A22,经纬!B:C,2,FALSE)))</f>
        <v>A50-30-28</v>
      </c>
      <c r="C22" s="8" t="str">
        <f>IF(ISERROR(FIND("*",B22)),MID(B22,2,FIND("-",B22)-2),LEFT(B22,FIND("*",B22)-1))</f>
        <v>50</v>
      </c>
      <c r="D22" s="8" t="str">
        <f>IF(ISERROR(FIND("*",B22)),"",RIGHT(B22,LEN(B22)-FIND("*",B22)))</f>
        <v/>
      </c>
      <c r="E22" s="89" t="s">
        <v>168</v>
      </c>
      <c r="G22" s="8">
        <v>158</v>
      </c>
      <c r="H22" s="8" t="s">
        <v>1519</v>
      </c>
      <c r="I22" s="8">
        <v>50000</v>
      </c>
      <c r="J22" s="8">
        <v>35</v>
      </c>
      <c r="K22" s="8">
        <v>36</v>
      </c>
      <c r="L22" s="8" t="s">
        <v>1197</v>
      </c>
      <c r="M22" s="24" t="str">
        <f t="array" ref="M22">LEFT(L22,MIN(FIND({"A","B","C"},MID(L22,2,LEN(L22))&amp;"ABC")))</f>
        <v>A90</v>
      </c>
      <c r="N22" s="24" t="str">
        <f t="array" ref="N22">SUBSTITUTE(L22,M22,"")</f>
        <v>C391</v>
      </c>
      <c r="O22" s="113">
        <v>43755</v>
      </c>
      <c r="P22" s="336"/>
      <c r="Q22" s="336">
        <v>43759</v>
      </c>
      <c r="R22" s="336"/>
      <c r="S22" s="113">
        <v>43772</v>
      </c>
      <c r="T22" s="264">
        <f>IF(AND(C22&gt;0,D22=""),SUMIFS(yj!I:I,yj!B:B,plan!A22,yj!G:G,"&gt;="&amp;Q22,yj!G:G,"&lt;="&amp;S22),"")</f>
        <v>189</v>
      </c>
      <c r="U22" s="264">
        <f>SUMIFS(四面弹库存!F:F,四面弹库存!B:B,plan!A22,四面弹库存!O:O,IF(H22&lt;&gt;"黑丝","白","黑"))</f>
        <v>29</v>
      </c>
      <c r="V22" s="264"/>
      <c r="W22" s="369" t="str">
        <f t="shared" si="0"/>
        <v/>
      </c>
      <c r="X22" s="258" t="str">
        <f>IF(B22="","",IF(S22&lt;&gt;"","",IF(AND(Z22&lt;&gt;"",AA22&lt;&gt;""),SUM(Z22:AA22),IF(AB22&lt;&gt;"",(I22/((1/((G22+2)/100*K22/1000))*0.9144)/IF(H22="黑丝",22,20)-AB22)*(IF(H22="黑丝",22,20)),I22/((1/((G22+2)/100*K22/1000))*0.9144)))))</f>
        <v/>
      </c>
      <c r="Y22" s="36" t="str">
        <f>IF(OR(B22="",D22&lt;&gt;""),"",IF(S22&lt;&gt;"","",I22/((1/((G22+2)/100*K22/1000))*0.9144)/IF(H22="黑丝",22,20)-AB22))</f>
        <v/>
      </c>
      <c r="Z22" s="340" t="str">
        <f>IF(AND(C22&gt;0,D22&lt;&gt;"",S22=""),VLOOKUP(A22&amp;IF(H22="黑丝","黑","白")&amp;E22,经纬!A:M,13,FALSE)*(I22-AB22),"")</f>
        <v/>
      </c>
      <c r="AA22" s="340" t="str">
        <f>IF(AND(C22&gt;0,D22&lt;&gt;"",S22=""),VLOOKUP(A22&amp;IF(H22="黑丝","黑","白")&amp;E22,经纬!A:N,14,FALSE)*(I22-AB22),"")</f>
        <v/>
      </c>
      <c r="AB22" s="8">
        <f>48+120</f>
        <v>168</v>
      </c>
      <c r="AC22" s="8" t="s">
        <v>2783</v>
      </c>
      <c r="AD22" s="8"/>
      <c r="AE22" s="250" t="str">
        <f>IF(COUNTIF(A$2:A22,A22)=1,M22,LOOKUP(1,0/(A$1:A21=A22),AE$1:AE21)&amp;" "&amp;M22)</f>
        <v>A90</v>
      </c>
    </row>
    <row r="23" spans="1:31" outlineLevel="1">
      <c r="A23" s="233" t="s">
        <v>1645</v>
      </c>
      <c r="B23" s="24" t="str">
        <f>IF(A23="","",IF(LEFT(A23)&gt;"9",VLOOKUP(A23,yuanjidaimachichun,2,FALSE),VLOOKUP(A23,经纬!B:C,2,FALSE)))</f>
        <v>B75-30-24</v>
      </c>
      <c r="C23" s="8" t="str">
        <f>IF(ISERROR(FIND("*",B23)),MID(B23,2,FIND("-",B23)-2),LEFT(B23,FIND("*",B23)-1))</f>
        <v>75</v>
      </c>
      <c r="D23" s="8" t="str">
        <f>IF(ISERROR(FIND("*",B23)),"",RIGHT(B23,LEN(B23)-FIND("*",B23)))</f>
        <v/>
      </c>
      <c r="E23" s="89" t="s">
        <v>168</v>
      </c>
      <c r="G23" s="8">
        <v>158</v>
      </c>
      <c r="H23" s="8" t="s">
        <v>1519</v>
      </c>
      <c r="I23" s="8">
        <v>5000</v>
      </c>
      <c r="J23" s="8">
        <v>50</v>
      </c>
      <c r="K23" s="8">
        <v>50</v>
      </c>
      <c r="L23" s="8" t="s">
        <v>1197</v>
      </c>
      <c r="M23" s="24" t="str">
        <f t="array" ref="M23">LEFT(L23,MIN(FIND({"A","B","C"},MID(L23,2,LEN(L23))&amp;"ABC")))</f>
        <v>A90</v>
      </c>
      <c r="N23" s="24" t="str">
        <f t="array" ref="N23">SUBSTITUTE(L23,M23,"")</f>
        <v>C391</v>
      </c>
      <c r="O23" s="113">
        <v>43755</v>
      </c>
      <c r="P23" s="336"/>
      <c r="Q23" s="336">
        <v>43759</v>
      </c>
      <c r="R23" s="336"/>
      <c r="S23" s="113">
        <v>43764</v>
      </c>
      <c r="T23" s="264">
        <f>IF(AND(C23&gt;0,D23=""),SUMIFS(yj!I:I,yj!B:B,plan!A23,yj!G:G,"&gt;="&amp;Q23,yj!G:G,"&lt;="&amp;S23),"")</f>
        <v>26</v>
      </c>
      <c r="U23" s="264">
        <f>SUMIFS(四面弹库存!F:F,四面弹库存!B:B,plan!A23,四面弹库存!O:O,IF(H23&lt;&gt;"黑丝","白","黑"))</f>
        <v>0</v>
      </c>
      <c r="V23" s="264"/>
      <c r="W23" s="369" t="str">
        <f t="shared" si="0"/>
        <v/>
      </c>
      <c r="X23" s="258" t="str">
        <f>IF(B23="","",IF(S23&lt;&gt;"","",IF(AND(Z23&lt;&gt;"",AA23&lt;&gt;""),SUM(Z23:AA23),IF(AB23&lt;&gt;"",(I23/((1/((G23+2)/100*K23/1000))*0.9144)/IF(H23="黑丝",22,20)-AB23)*(IF(H23="黑丝",22,20)),I23/((1/((G23+2)/100*K23/1000))*0.9144)))))</f>
        <v/>
      </c>
      <c r="Y23" s="36" t="str">
        <f>IF(OR(B23="",D23&lt;&gt;""),"",IF(S23&lt;&gt;"","",I23/((1/((G23+2)/100*K23/1000))*0.9144)/IF(H23="黑丝",22,20)-AB23))</f>
        <v/>
      </c>
      <c r="Z23" s="340" t="str">
        <f>IF(AND(C23&gt;0,D23&lt;&gt;"",S23=""),VLOOKUP(A23&amp;IF(H23="黑丝","黑","白")&amp;E23,经纬!A:M,13,FALSE)*(I23-AB23),"")</f>
        <v/>
      </c>
      <c r="AA23" s="340" t="str">
        <f>IF(AND(C23&gt;0,D23&lt;&gt;"",S23=""),VLOOKUP(A23&amp;IF(H23="黑丝","黑","白")&amp;E23,经纬!A:N,14,FALSE)*(I23-AB23),"")</f>
        <v/>
      </c>
      <c r="AC23" s="8"/>
      <c r="AD23" s="8"/>
      <c r="AE23" s="250" t="str">
        <f>IF(COUNTIF(A$2:A23,A23)=1,M23,LOOKUP(1,0/(A$1:A22=A23),AE$1:AE22)&amp;" "&amp;M23)</f>
        <v>A90</v>
      </c>
    </row>
    <row r="24" spans="1:31" outlineLevel="1">
      <c r="A24" s="233" t="s">
        <v>1229</v>
      </c>
      <c r="B24" s="24" t="str">
        <f>IF(A24="","",IF(LEFT(A24)&gt;"9",VLOOKUP(A24,yuanjidaimachichun,2,FALSE),VLOOKUP(A24,经纬!B:C,2,FALSE)))</f>
        <v>A50-30-28</v>
      </c>
      <c r="C24" s="8" t="str">
        <f>IF(ISERROR(FIND("*",B24)),MID(B24,2,FIND("-",B24)-2),LEFT(B24,FIND("*",B24)-1))</f>
        <v>50</v>
      </c>
      <c r="D24" s="8" t="str">
        <f>IF(ISERROR(FIND("*",B24)),"",RIGHT(B24,LEN(B24)-FIND("*",B24)))</f>
        <v/>
      </c>
      <c r="E24" s="89" t="s">
        <v>168</v>
      </c>
      <c r="G24" s="8">
        <v>155</v>
      </c>
      <c r="H24" s="8" t="s">
        <v>1521</v>
      </c>
      <c r="I24" s="8">
        <v>5000</v>
      </c>
      <c r="J24" s="8">
        <v>35</v>
      </c>
      <c r="K24" s="8">
        <v>36</v>
      </c>
      <c r="L24" s="8" t="s">
        <v>1197</v>
      </c>
      <c r="M24" s="24" t="str">
        <f t="array" ref="M24">LEFT(L24,MIN(FIND({"A","B","C"},MID(L24,2,LEN(L24))&amp;"ABC")))</f>
        <v>A90</v>
      </c>
      <c r="N24" s="24" t="str">
        <f t="array" ref="N24">SUBSTITUTE(L24,M24,"")</f>
        <v>C391</v>
      </c>
      <c r="O24" s="113">
        <v>43755</v>
      </c>
      <c r="P24" s="336"/>
      <c r="Q24" s="336"/>
      <c r="R24" s="336"/>
      <c r="S24" s="113">
        <v>43768</v>
      </c>
      <c r="T24" s="264">
        <f>IF(AND(C24&gt;0,D24=""),SUMIFS(yj!I:I,yj!B:B,plan!A24,yj!G:G,"&gt;="&amp;Q24,yj!G:G,"&lt;="&amp;S24),"")</f>
        <v>0</v>
      </c>
      <c r="U24" s="264">
        <f>SUMIFS(四面弹库存!F:F,四面弹库存!B:B,plan!A24,四面弹库存!O:O,IF(H24&lt;&gt;"黑丝","白","黑"))</f>
        <v>29</v>
      </c>
      <c r="V24" s="264"/>
      <c r="W24" s="369" t="str">
        <f t="shared" si="0"/>
        <v/>
      </c>
      <c r="X24" s="258" t="str">
        <f>IF(B24="","",IF(S24&lt;&gt;"","",IF(AND(Z24&lt;&gt;"",AA24&lt;&gt;""),SUM(Z24:AA24),IF(AB24&lt;&gt;"",(I24/((1/((G24+2)/100*K24/1000))*0.9144)/IF(H24="黑丝",22,20)-AB24)*(IF(H24="黑丝",22,20)),I24/((1/((G24+2)/100*K24/1000))*0.9144)))))</f>
        <v/>
      </c>
      <c r="Y24" s="36" t="str">
        <f>IF(OR(B24="",D24&lt;&gt;""),"",IF(S24&lt;&gt;"","",I24/((1/((G24+2)/100*K24/1000))*0.9144)/IF(H24="黑丝",22,20)-AB24))</f>
        <v/>
      </c>
      <c r="Z24" s="340" t="str">
        <f>IF(AND(C24&gt;0,D24&lt;&gt;"",S24=""),VLOOKUP(A24&amp;IF(H24="黑丝","黑","白")&amp;E24,经纬!A:M,13,FALSE)*(I24-AB24),"")</f>
        <v/>
      </c>
      <c r="AA24" s="340" t="str">
        <f>IF(AND(C24&gt;0,D24&lt;&gt;"",S24=""),VLOOKUP(A24&amp;IF(H24="黑丝","黑","白")&amp;E24,经纬!A:N,14,FALSE)*(I24-AB24),"")</f>
        <v/>
      </c>
      <c r="AB24" s="8">
        <v>18</v>
      </c>
      <c r="AC24" s="8" t="s">
        <v>2747</v>
      </c>
      <c r="AD24" s="8"/>
      <c r="AE24" s="250" t="str">
        <f>IF(COUNTIF(A$2:A24,A24)=1,M24,LOOKUP(1,0/(A$1:A23=A24),AE$1:AE23)&amp;" "&amp;M24)</f>
        <v>A90 A90</v>
      </c>
    </row>
    <row r="25" spans="1:31" outlineLevel="1">
      <c r="A25" s="233" t="s">
        <v>1229</v>
      </c>
      <c r="B25" s="24" t="str">
        <f>IF(A25="","",IF(LEFT(A25)&gt;"9",VLOOKUP(A25,yuanjidaimachichun,2,FALSE),VLOOKUP(A25,经纬!B:C,2,FALSE)))</f>
        <v>A50-30-28</v>
      </c>
      <c r="C25" s="8" t="str">
        <f>IF(ISERROR(FIND("*",B25)),MID(B25,2,FIND("-",B25)-2),LEFT(B25,FIND("*",B25)-1))</f>
        <v>50</v>
      </c>
      <c r="D25" s="8" t="str">
        <f>IF(ISERROR(FIND("*",B25)),"",RIGHT(B25,LEN(B25)-FIND("*",B25)))</f>
        <v/>
      </c>
      <c r="E25" s="89" t="s">
        <v>168</v>
      </c>
      <c r="F25" s="89" t="s">
        <v>2612</v>
      </c>
      <c r="G25" s="8">
        <v>158</v>
      </c>
      <c r="H25" s="8" t="s">
        <v>1519</v>
      </c>
      <c r="I25" s="8">
        <v>13000</v>
      </c>
      <c r="J25" s="8">
        <v>35</v>
      </c>
      <c r="K25" s="8">
        <v>36</v>
      </c>
      <c r="L25" s="8" t="s">
        <v>1492</v>
      </c>
      <c r="M25" s="24" t="str">
        <f t="array" ref="M25">LEFT(L25,MIN(FIND({"A","B","C"},MID(L25,2,LEN(L25))&amp;"ABC")))</f>
        <v>A90</v>
      </c>
      <c r="N25" s="24" t="str">
        <f t="array" ref="N25">SUBSTITUTE(L25,M25,"")</f>
        <v>C395</v>
      </c>
      <c r="O25" s="113">
        <v>43755</v>
      </c>
      <c r="P25" s="336"/>
      <c r="Q25" s="336">
        <v>43757</v>
      </c>
      <c r="R25" s="336"/>
      <c r="S25" s="113">
        <v>43759</v>
      </c>
      <c r="T25" s="264">
        <f>IF(AND(C25&gt;0,D25=""),SUMIFS(yj!I:I,yj!B:B,plan!A25,yj!G:G,"&gt;="&amp;Q25,yj!G:G,"&lt;="&amp;S25),"")</f>
        <v>33</v>
      </c>
      <c r="U25" s="264">
        <f>SUMIFS(四面弹库存!F:F,四面弹库存!B:B,plan!A25,四面弹库存!O:O,IF(H25&lt;&gt;"黑丝","白","黑"))</f>
        <v>29</v>
      </c>
      <c r="V25" s="264"/>
      <c r="W25" s="369" t="str">
        <f t="shared" si="0"/>
        <v/>
      </c>
      <c r="X25" s="258" t="str">
        <f>IF(B25="","",IF(S25&lt;&gt;"","",IF(AND(Z25&lt;&gt;"",AA25&lt;&gt;""),SUM(Z25:AA25),IF(AB25&lt;&gt;"",(I25/((1/((G25+2)/100*K25/1000))*0.9144)/IF(H25="黑丝",22,20)-AB25)*(IF(H25="黑丝",22,20)),I25/((1/((G25+2)/100*K25/1000))*0.9144)))))</f>
        <v/>
      </c>
      <c r="Y25" s="36" t="str">
        <f>IF(OR(B25="",D25&lt;&gt;""),"",IF(S25&lt;&gt;"","",I25/((1/((G25+2)/100*K25/1000))*0.9144)/IF(H25="黑丝",22,20)-AB25))</f>
        <v/>
      </c>
      <c r="Z25" s="340" t="str">
        <f>IF(AND(C25&gt;0,D25&lt;&gt;"",S25=""),VLOOKUP(A25&amp;IF(H25="黑丝","黑","白")&amp;E25,经纬!A:M,13,FALSE)*(I25-AB25),"")</f>
        <v/>
      </c>
      <c r="AA25" s="340" t="str">
        <f>IF(AND(C25&gt;0,D25&lt;&gt;"",S25=""),VLOOKUP(A25&amp;IF(H25="黑丝","黑","白")&amp;E25,经纬!A:N,14,FALSE)*(I25-AB25),"")</f>
        <v/>
      </c>
      <c r="AC25" s="8"/>
      <c r="AD25" s="8"/>
      <c r="AE25" s="250" t="str">
        <f>IF(COUNTIF(A$2:A25,A25)=1,M25,LOOKUP(1,0/(A$1:A24=A25),AE$1:AE24)&amp;" "&amp;M25)</f>
        <v>A90 A90 A90</v>
      </c>
    </row>
    <row r="26" spans="1:31" outlineLevel="1">
      <c r="A26" s="233" t="s">
        <v>1203</v>
      </c>
      <c r="B26" s="24" t="str">
        <f>IF(A26="","",IF(LEFT(A26)&gt;"9",VLOOKUP(A26,yuanjidaimachichun,2,FALSE),VLOOKUP(A26,经纬!B:C,2,FALSE)))</f>
        <v>A50-30-28</v>
      </c>
      <c r="C26" s="8" t="str">
        <f>IF(ISERROR(FIND("*",B26)),MID(B26,2,FIND("-",B26)-2),LEFT(B26,FIND("*",B26)-1))</f>
        <v>50</v>
      </c>
      <c r="D26" s="8" t="str">
        <f>IF(ISERROR(FIND("*",B26)),"",RIGHT(B26,LEN(B26)-FIND("*",B26)))</f>
        <v/>
      </c>
      <c r="E26" s="89" t="s">
        <v>1202</v>
      </c>
      <c r="F26" s="89" t="s">
        <v>2611</v>
      </c>
      <c r="G26" s="8">
        <v>158</v>
      </c>
      <c r="H26" s="8" t="s">
        <v>1519</v>
      </c>
      <c r="I26" s="8">
        <v>10000</v>
      </c>
      <c r="J26" s="8">
        <v>35</v>
      </c>
      <c r="K26" s="8">
        <v>33</v>
      </c>
      <c r="L26" s="8" t="s">
        <v>1492</v>
      </c>
      <c r="M26" s="24" t="str">
        <f t="array" ref="M26">LEFT(L26,MIN(FIND({"A","B","C"},MID(L26,2,LEN(L26))&amp;"ABC")))</f>
        <v>A90</v>
      </c>
      <c r="N26" s="24" t="str">
        <f t="array" ref="N26">SUBSTITUTE(L26,M26,"")</f>
        <v>C395</v>
      </c>
      <c r="O26" s="113">
        <v>43755</v>
      </c>
      <c r="T26" s="264">
        <f>IF(AND(C26&gt;0,D26=""),SUMIFS(yj!I:I,yj!B:B,plan!A26,yj!G:G,"&gt;="&amp;Q26,yj!G:G,"&lt;="&amp;S26),"")</f>
        <v>0</v>
      </c>
      <c r="U26" s="264">
        <f>SUMIFS(四面弹库存!F:F,四面弹库存!B:B,plan!A26,四面弹库存!O:O,IF(H26&lt;&gt;"黑丝","白","黑"))</f>
        <v>172</v>
      </c>
      <c r="V26" s="264"/>
      <c r="W26" s="369">
        <f t="shared" si="0"/>
        <v>9999.9999999999982</v>
      </c>
      <c r="X26" s="258">
        <f>IF(B26="","",IF(S26&lt;&gt;"","",IF(AND(Z26&lt;&gt;"",AA26&lt;&gt;""),SUM(Z26:AA26),IF(AB26&lt;&gt;"",(I26/((1/((G26+2)/100*K26/1000))*0.9144)/IF(H26="黑丝",22,20)-AB26)*(IF(H26="黑丝",22,20)),I26/((1/((G26+2)/100*K26/1000))*0.9144)))))</f>
        <v>577.42782152230973</v>
      </c>
      <c r="Y26" s="36">
        <f>IF(OR(B26="",D26&lt;&gt;""),"",IF(S26&lt;&gt;"","",I26/((1/((G26+2)/100*K26/1000))*0.9144)/IF(H26="黑丝",22,20)-AB26))</f>
        <v>28.871391076115486</v>
      </c>
      <c r="Z26" s="340" t="str">
        <f>IF(AND(C26&gt;0,D26&lt;&gt;"",S26=""),VLOOKUP(A26&amp;IF(H26="黑丝","黑","白")&amp;E26,经纬!A:M,13,FALSE)*(I26-AB26),"")</f>
        <v/>
      </c>
      <c r="AA26" s="340" t="str">
        <f>IF(AND(C26&gt;0,D26&lt;&gt;"",S26=""),VLOOKUP(A26&amp;IF(H26="黑丝","黑","白")&amp;E26,经纬!A:N,14,FALSE)*(I26-AB26),"")</f>
        <v/>
      </c>
      <c r="AE26" s="250" t="str">
        <f>IF(COUNTIF(A$2:A26,A26)=1,M26,LOOKUP(1,0/(A$1:A25=A26),AE$1:AE25)&amp;" "&amp;M26)</f>
        <v>XSD A21 A12 A10 A10 A90</v>
      </c>
    </row>
    <row r="27" spans="1:31" outlineLevel="1">
      <c r="A27" s="233" t="s">
        <v>1230</v>
      </c>
      <c r="B27" s="24" t="str">
        <f>IF(A27="","",IF(LEFT(A27)&gt;"9",VLOOKUP(A27,yuanjidaimachichun,2,FALSE),VLOOKUP(A27,经纬!B:C,2,FALSE)))</f>
        <v>A50-30-28</v>
      </c>
      <c r="C27" s="8" t="str">
        <f>IF(ISERROR(FIND("*",B27)),MID(B27,2,FIND("-",B27)-2),LEFT(B27,FIND("*",B27)-1))</f>
        <v>50</v>
      </c>
      <c r="D27" s="8" t="str">
        <f>IF(ISERROR(FIND("*",B27)),"",RIGHT(B27,LEN(B27)-FIND("*",B27)))</f>
        <v/>
      </c>
      <c r="E27" s="89" t="s">
        <v>1202</v>
      </c>
      <c r="F27" s="89" t="s">
        <v>2611</v>
      </c>
      <c r="G27" s="8">
        <v>158</v>
      </c>
      <c r="H27" s="8" t="s">
        <v>967</v>
      </c>
      <c r="I27" s="8">
        <v>20000</v>
      </c>
      <c r="J27" s="8">
        <v>35</v>
      </c>
      <c r="K27" s="8">
        <v>33</v>
      </c>
      <c r="L27" s="8" t="s">
        <v>1492</v>
      </c>
      <c r="M27" s="24" t="str">
        <f t="array" ref="M27">LEFT(L27,MIN(FIND({"A","B","C"},MID(L27,2,LEN(L27))&amp;"ABC")))</f>
        <v>A90</v>
      </c>
      <c r="N27" s="24" t="str">
        <f t="array" ref="N27">SUBSTITUTE(L27,M27,"")</f>
        <v>C395</v>
      </c>
      <c r="O27" s="113">
        <v>43755</v>
      </c>
      <c r="S27" s="23">
        <v>43769</v>
      </c>
      <c r="T27" s="264">
        <f>IF(AND(C27&gt;0,D27=""),SUMIFS(yj!I:I,yj!B:B,plan!A27,yj!G:G,"&gt;="&amp;Q27,yj!G:G,"&lt;="&amp;S27),"")</f>
        <v>0</v>
      </c>
      <c r="U27" s="264">
        <f>SUMIFS(四面弹库存!F:F,四面弹库存!B:B,plan!A27,四面弹库存!O:O,IF(H27&lt;&gt;"黑丝","白","黑"))</f>
        <v>26</v>
      </c>
      <c r="V27" s="264"/>
      <c r="W27" s="369" t="str">
        <f t="shared" si="0"/>
        <v/>
      </c>
      <c r="X27" s="258" t="str">
        <f>IF(B27="","",IF(S27&lt;&gt;"","",IF(AND(Z27&lt;&gt;"",AA27&lt;&gt;""),SUM(Z27:AA27),IF(AB27&lt;&gt;"",(I27/((1/((G27+2)/100*K27/1000))*0.9144)/IF(H27="黑丝",22,20)-AB27)*(IF(H27="黑丝",22,20)),I27/((1/((G27+2)/100*K27/1000))*0.9144)))))</f>
        <v/>
      </c>
      <c r="Y27" s="36" t="str">
        <f>IF(OR(B27="",D27&lt;&gt;""),"",IF(S27&lt;&gt;"","",I27/((1/((G27+2)/100*K27/1000))*0.9144)/IF(H27="黑丝",22,20)-AB27))</f>
        <v/>
      </c>
      <c r="Z27" s="340" t="str">
        <f>IF(AND(C27&gt;0,D27&lt;&gt;"",S27=""),VLOOKUP(A27&amp;IF(H27="黑丝","黑","白")&amp;E27,经纬!A:M,13,FALSE)*(I27-AB27),"")</f>
        <v/>
      </c>
      <c r="AA27" s="340" t="str">
        <f>IF(AND(C27&gt;0,D27&lt;&gt;"",S27=""),VLOOKUP(A27&amp;IF(H27="黑丝","黑","白")&amp;E27,经纬!A:N,14,FALSE)*(I27-AB27),"")</f>
        <v/>
      </c>
      <c r="AB27" s="8">
        <v>60</v>
      </c>
      <c r="AC27" s="8" t="s">
        <v>2725</v>
      </c>
      <c r="AD27" s="8"/>
      <c r="AE27" s="250" t="str">
        <f>IF(COUNTIF(A$2:A27,A27)=1,M27,LOOKUP(1,0/(A$1:A26=A27),AE$1:AE26)&amp;" "&amp;M27)</f>
        <v>XSD A21 A12 A10 A70 A10 A90</v>
      </c>
    </row>
    <row r="28" spans="1:31" outlineLevel="1">
      <c r="A28" s="233" t="s">
        <v>128</v>
      </c>
      <c r="B28" s="24" t="str">
        <f>IF(A28="","",IF(LEFT(A28)&gt;"9",VLOOKUP(A28,yuanjidaimachichun,2,FALSE),VLOOKUP(A28,经纬!B:C,2,FALSE)))</f>
        <v>A50-30-28</v>
      </c>
      <c r="C28" s="8" t="str">
        <f>IF(ISERROR(FIND("*",B28)),MID(B28,2,FIND("-",B28)-2),LEFT(B28,FIND("*",B28)-1))</f>
        <v>50</v>
      </c>
      <c r="D28" s="8" t="str">
        <f>IF(ISERROR(FIND("*",B28)),"",RIGHT(B28,LEN(B28)-FIND("*",B28)))</f>
        <v/>
      </c>
      <c r="E28" s="89" t="s">
        <v>44</v>
      </c>
      <c r="F28" s="89" t="s">
        <v>2612</v>
      </c>
      <c r="G28" s="8">
        <v>158</v>
      </c>
      <c r="H28" s="8" t="s">
        <v>1516</v>
      </c>
      <c r="I28" s="8">
        <f>40000</f>
        <v>40000</v>
      </c>
      <c r="J28" s="8">
        <v>45</v>
      </c>
      <c r="K28" s="8">
        <v>49</v>
      </c>
      <c r="L28" s="8" t="s">
        <v>1232</v>
      </c>
      <c r="M28" s="24" t="str">
        <f t="array" ref="M28">LEFT(L28,MIN(FIND({"A","B","C"},MID(L28,2,LEN(L28))&amp;"ABC")))</f>
        <v>A88</v>
      </c>
      <c r="N28" s="24" t="str">
        <f t="array" ref="N28">SUBSTITUTE(L28,M28,"")</f>
        <v>C394</v>
      </c>
      <c r="O28" s="113">
        <v>43755</v>
      </c>
      <c r="Q28" s="389">
        <v>43765</v>
      </c>
      <c r="T28" s="264">
        <f>IF(AND(C28&gt;0,D28=""),SUMIFS(yj!I:I,yj!B:B,plan!A28,yj!G:G,"&gt;="&amp;Q28,yj!G:G,"&lt;="&amp;S28),"")</f>
        <v>0</v>
      </c>
      <c r="U28" s="264">
        <f>SUMIFS(四面弹库存!F:F,四面弹库存!B:B,plan!A28,四面弹库存!O:O,IF(H28&lt;&gt;"黑丝","白","黑"))</f>
        <v>25</v>
      </c>
      <c r="V28" s="264"/>
      <c r="W28" s="369">
        <f t="shared" si="0"/>
        <v>20405.71428571429</v>
      </c>
      <c r="X28" s="258">
        <f>IF(B28="","",IF(S28&lt;&gt;"","",IF(AND(Z28&lt;&gt;"",AA28&lt;&gt;""),SUM(Z28:AA28),IF(AB28&lt;&gt;"",(I28/((1/((G28+2)/100*K28/1000))*0.9144)/IF(H28="黑丝",22,20)-AB28)*(IF(H28="黑丝",22,20)),I28/((1/((G28+2)/100*K28/1000))*0.9144)))))</f>
        <v>1749.5713035870522</v>
      </c>
      <c r="Y28" s="36">
        <f>IF(OR(B28="",D28&lt;&gt;""),"",IF(S28&lt;&gt;"","",I28/((1/((G28+2)/100*K28/1000))*0.9144)/IF(H28="黑丝",22,20)-AB28))</f>
        <v>87.478565179352614</v>
      </c>
      <c r="Z28" s="340" t="str">
        <f>IF(AND(C28&gt;0,D28&lt;&gt;"",S28=""),VLOOKUP(A28&amp;IF(H28="黑丝","黑","白")&amp;E28,经纬!A:M,13,FALSE)*(I28-AB28),"")</f>
        <v/>
      </c>
      <c r="AA28" s="340" t="str">
        <f>IF(AND(C28&gt;0,D28&lt;&gt;"",S28=""),VLOOKUP(A28&amp;IF(H28="黑丝","黑","白")&amp;E28,经纬!A:N,14,FALSE)*(I28-AB28),"")</f>
        <v/>
      </c>
      <c r="AB28" s="8">
        <v>84</v>
      </c>
      <c r="AC28" s="4" t="s">
        <v>2932</v>
      </c>
      <c r="AE28" s="250" t="str">
        <f>IF(COUNTIF(A$2:A28,A28)=1,M28,LOOKUP(1,0/(A$1:A27=A28),AE$1:AE27)&amp;" "&amp;M28)</f>
        <v>A88</v>
      </c>
    </row>
    <row r="29" spans="1:31" outlineLevel="1">
      <c r="A29" s="233" t="s">
        <v>128</v>
      </c>
      <c r="B29" s="24" t="str">
        <f>IF(A29="","",IF(LEFT(A29)&gt;"9",VLOOKUP(A29,yuanjidaimachichun,2,FALSE),VLOOKUP(A29,经纬!B:C,2,FALSE)))</f>
        <v>A50-30-28</v>
      </c>
      <c r="C29" s="8" t="str">
        <f>IF(ISERROR(FIND("*",B29)),MID(B29,2,FIND("-",B29)-2),LEFT(B29,FIND("*",B29)-1))</f>
        <v>50</v>
      </c>
      <c r="D29" s="8" t="str">
        <f>IF(ISERROR(FIND("*",B29)),"",RIGHT(B29,LEN(B29)-FIND("*",B29)))</f>
        <v/>
      </c>
      <c r="E29" s="89" t="s">
        <v>44</v>
      </c>
      <c r="F29" s="89" t="s">
        <v>2612</v>
      </c>
      <c r="G29" s="8">
        <v>158</v>
      </c>
      <c r="H29" s="8" t="s">
        <v>1519</v>
      </c>
      <c r="I29" s="8">
        <v>10000</v>
      </c>
      <c r="J29" s="8">
        <v>45</v>
      </c>
      <c r="K29" s="8">
        <v>49</v>
      </c>
      <c r="L29" s="8" t="s">
        <v>1232</v>
      </c>
      <c r="M29" s="24" t="str">
        <f t="array" ref="M29">LEFT(L29,MIN(FIND({"A","B","C"},MID(L29,2,LEN(L29))&amp;"ABC")))</f>
        <v>A88</v>
      </c>
      <c r="N29" s="24" t="str">
        <f t="array" ref="N29">SUBSTITUTE(L29,M29,"")</f>
        <v>C394</v>
      </c>
      <c r="O29" s="113">
        <v>43755</v>
      </c>
      <c r="P29" s="337"/>
      <c r="Q29" s="389">
        <v>43755</v>
      </c>
      <c r="R29" s="336"/>
      <c r="S29" s="113">
        <v>43759</v>
      </c>
      <c r="T29" s="264">
        <f>IF(AND(C29&gt;0,D29=""),SUMIFS(yj!I:I,yj!B:B,plan!A29,yj!G:G,"&gt;="&amp;Q29,yj!G:G,"&lt;="&amp;S29),"")</f>
        <v>196</v>
      </c>
      <c r="U29" s="264">
        <f>SUMIFS(四面弹库存!F:F,四面弹库存!B:B,plan!A29,四面弹库存!O:O,IF(H29&lt;&gt;"黑丝","白","黑"))</f>
        <v>25</v>
      </c>
      <c r="V29" s="264"/>
      <c r="W29" s="369" t="str">
        <f t="shared" si="0"/>
        <v/>
      </c>
      <c r="X29" s="258" t="str">
        <f>IF(B29="","",IF(S29&lt;&gt;"","",IF(AND(Z29&lt;&gt;"",AA29&lt;&gt;""),SUM(Z29:AA29),IF(AB29&lt;&gt;"",(I29/((1/((G29+2)/100*K29/1000))*0.9144)/IF(H29="黑丝",22,20)-AB29)*(IF(H29="黑丝",22,20)),I29/((1/((G29+2)/100*K29/1000))*0.9144)))))</f>
        <v/>
      </c>
      <c r="Y29" s="36" t="str">
        <f>IF(OR(B29="",D29&lt;&gt;""),"",IF(S29&lt;&gt;"","",I29/((1/((G29+2)/100*K29/1000))*0.9144)/IF(H29="黑丝",22,20)-AB29))</f>
        <v/>
      </c>
      <c r="Z29" s="340" t="str">
        <f>IF(AND(C29&gt;0,D29&lt;&gt;"",S29=""),VLOOKUP(A29&amp;IF(H29="黑丝","黑","白")&amp;E29,经纬!A:M,13,FALSE)*(I29-AB29),"")</f>
        <v/>
      </c>
      <c r="AA29" s="340" t="str">
        <f>IF(AND(C29&gt;0,D29&lt;&gt;"",S29=""),VLOOKUP(A29&amp;IF(H29="黑丝","黑","白")&amp;E29,经纬!A:N,14,FALSE)*(I29-AB29),"")</f>
        <v/>
      </c>
      <c r="AB29" s="8">
        <v>44</v>
      </c>
      <c r="AC29" s="8" t="s">
        <v>2931</v>
      </c>
      <c r="AD29" s="8"/>
      <c r="AE29" s="250" t="str">
        <f>IF(COUNTIF(A$2:A29,A29)=1,M29,LOOKUP(1,0/(A$1:A28=A29),AE$1:AE28)&amp;" "&amp;M29)</f>
        <v>A88 A88</v>
      </c>
    </row>
    <row r="30" spans="1:31" outlineLevel="1">
      <c r="A30" s="233" t="s">
        <v>128</v>
      </c>
      <c r="B30" s="24" t="str">
        <f>IF(A30="","",IF(LEFT(A30)&gt;"9",VLOOKUP(A30,yuanjidaimachichun,2,FALSE),VLOOKUP(A30,经纬!B:C,2,FALSE)))</f>
        <v>A50-30-28</v>
      </c>
      <c r="C30" s="8" t="str">
        <f>IF(ISERROR(FIND("*",B30)),MID(B30,2,FIND("-",B30)-2),LEFT(B30,FIND("*",B30)-1))</f>
        <v>50</v>
      </c>
      <c r="D30" s="8" t="str">
        <f>IF(ISERROR(FIND("*",B30)),"",RIGHT(B30,LEN(B30)-FIND("*",B30)))</f>
        <v/>
      </c>
      <c r="E30" s="89" t="s">
        <v>44</v>
      </c>
      <c r="F30" s="89" t="s">
        <v>2612</v>
      </c>
      <c r="G30" s="8">
        <v>158</v>
      </c>
      <c r="H30" s="8" t="s">
        <v>1521</v>
      </c>
      <c r="I30" s="8">
        <v>10000</v>
      </c>
      <c r="J30" s="8">
        <v>45</v>
      </c>
      <c r="K30" s="8">
        <v>49</v>
      </c>
      <c r="L30" s="8" t="s">
        <v>1232</v>
      </c>
      <c r="M30" s="24" t="str">
        <f t="array" ref="M30">LEFT(L30,MIN(FIND({"A","B","C"},MID(L30,2,LEN(L30))&amp;"ABC")))</f>
        <v>A88</v>
      </c>
      <c r="N30" s="24" t="str">
        <f t="array" ref="N30">SUBSTITUTE(L30,M30,"")</f>
        <v>C394</v>
      </c>
      <c r="O30" s="113">
        <v>43755</v>
      </c>
      <c r="P30" s="337"/>
      <c r="Q30" s="389">
        <v>43765</v>
      </c>
      <c r="R30" s="336"/>
      <c r="S30" s="113"/>
      <c r="T30" s="264">
        <f>IF(AND(C30&gt;0,D30=""),SUMIFS(yj!I:I,yj!B:B,plan!A30,yj!G:G,"&gt;="&amp;Q30,yj!G:G,"&lt;="&amp;S30),"")</f>
        <v>0</v>
      </c>
      <c r="U30" s="264">
        <f>SUMIFS(四面弹库存!F:F,四面弹库存!B:B,plan!A30,四面弹库存!O:O,IF(H30&lt;&gt;"黑丝","白","黑"))</f>
        <v>25</v>
      </c>
      <c r="V30" s="264"/>
      <c r="W30" s="369">
        <f t="shared" si="0"/>
        <v>10000</v>
      </c>
      <c r="X30" s="258">
        <f>IF(B30="","",IF(S30&lt;&gt;"","",IF(AND(Z30&lt;&gt;"",AA30&lt;&gt;""),SUM(Z30:AA30),IF(AB30&lt;&gt;"",(I30/((1/((G30+2)/100*K30/1000))*0.9144)/IF(H30="黑丝",22,20)-AB30)*(IF(H30="黑丝",22,20)),I30/((1/((G30+2)/100*K30/1000))*0.9144)))))</f>
        <v>857.39282589676304</v>
      </c>
      <c r="Y30" s="36">
        <f>IF(OR(B30="",D30&lt;&gt;""),"",IF(S30&lt;&gt;"","",I30/((1/((G30+2)/100*K30/1000))*0.9144)/IF(H30="黑丝",22,20)-AB30))</f>
        <v>42.869641294838154</v>
      </c>
      <c r="Z30" s="340" t="str">
        <f>IF(AND(C30&gt;0,D30&lt;&gt;"",S30=""),VLOOKUP(A30&amp;IF(H30="黑丝","黑","白")&amp;E30,经纬!A:M,13,FALSE)*(I30-AB30),"")</f>
        <v/>
      </c>
      <c r="AA30" s="340" t="str">
        <f>IF(AND(C30&gt;0,D30&lt;&gt;"",S30=""),VLOOKUP(A30&amp;IF(H30="黑丝","黑","白")&amp;E30,经纬!A:N,14,FALSE)*(I30-AB30),"")</f>
        <v/>
      </c>
      <c r="AE30" s="250" t="str">
        <f>IF(COUNTIF(A$2:A30,A30)=1,M30,LOOKUP(1,0/(A$1:A29=A30),AE$1:AE29)&amp;" "&amp;M30)</f>
        <v>A88 A88 A88</v>
      </c>
    </row>
    <row r="31" spans="1:31" outlineLevel="1">
      <c r="A31" s="233" t="s">
        <v>1203</v>
      </c>
      <c r="B31" s="24" t="str">
        <f>IF(A31="","",IF(LEFT(A31)&gt;"9",VLOOKUP(A31,yuanjidaimachichun,2,FALSE),VLOOKUP(A31,经纬!B:C,2,FALSE)))</f>
        <v>A50-30-28</v>
      </c>
      <c r="C31" s="8" t="str">
        <f>IF(ISERROR(FIND("*",B31)),MID(B31,2,FIND("-",B31)-2),LEFT(B31,FIND("*",B31)-1))</f>
        <v>50</v>
      </c>
      <c r="D31" s="8" t="str">
        <f>IF(ISERROR(FIND("*",B31)),"",RIGHT(B31,LEN(B31)-FIND("*",B31)))</f>
        <v/>
      </c>
      <c r="E31" s="89" t="s">
        <v>177</v>
      </c>
      <c r="F31" s="89" t="s">
        <v>2612</v>
      </c>
      <c r="G31" s="8">
        <v>158</v>
      </c>
      <c r="H31" s="8" t="s">
        <v>1519</v>
      </c>
      <c r="I31" s="8">
        <f>50000</f>
        <v>50000</v>
      </c>
      <c r="J31" s="8">
        <v>35</v>
      </c>
      <c r="K31" s="8">
        <v>36</v>
      </c>
      <c r="L31" s="8" t="s">
        <v>1232</v>
      </c>
      <c r="M31" s="24" t="str">
        <f t="array" ref="M31">LEFT(L31,MIN(FIND({"A","B","C"},MID(L31,2,LEN(L31))&amp;"ABC")))</f>
        <v>A88</v>
      </c>
      <c r="N31" s="24" t="str">
        <f t="array" ref="N31">SUBSTITUTE(L31,M31,"")</f>
        <v>C394</v>
      </c>
      <c r="O31" s="113">
        <v>43755</v>
      </c>
      <c r="S31" s="23">
        <v>43760</v>
      </c>
      <c r="T31" s="264">
        <f>IF(AND(C31&gt;0,D31=""),SUMIFS(yj!I:I,yj!B:B,plan!A31,yj!G:G,"&gt;="&amp;Q31,yj!G:G,"&lt;="&amp;S31),"")</f>
        <v>0</v>
      </c>
      <c r="U31" s="264">
        <f>SUMIFS(四面弹库存!F:F,四面弹库存!B:B,plan!A31,四面弹库存!O:O,IF(H31&lt;&gt;"黑丝","白","黑"))</f>
        <v>172</v>
      </c>
      <c r="V31" s="264"/>
      <c r="W31" s="369" t="str">
        <f t="shared" si="0"/>
        <v/>
      </c>
      <c r="X31" s="258" t="str">
        <f>IF(B31="","",IF(S31&lt;&gt;"","",IF(AND(Z31&lt;&gt;"",AA31&lt;&gt;""),SUM(Z31:AA31),IF(AB31&lt;&gt;"",(I31/((1/((G31+2)/100*K31/1000))*0.9144)/IF(H31="黑丝",22,20)-AB31)*(IF(H31="黑丝",22,20)),I31/((1/((G31+2)/100*K31/1000))*0.9144)))))</f>
        <v/>
      </c>
      <c r="Y31" s="36" t="str">
        <f>IF(OR(B31="",D31&lt;&gt;""),"",IF(S31&lt;&gt;"","",I31/((1/((G31+2)/100*K31/1000))*0.9144)/IF(H31="黑丝",22,20)-AB31))</f>
        <v/>
      </c>
      <c r="Z31" s="340" t="str">
        <f>IF(AND(C31&gt;0,D31&lt;&gt;"",S31=""),VLOOKUP(A31&amp;IF(H31="黑丝","黑","白")&amp;E31,经纬!A:M,13,FALSE)*(I31-AB31),"")</f>
        <v/>
      </c>
      <c r="AA31" s="340" t="str">
        <f>IF(AND(C31&gt;0,D31&lt;&gt;"",S31=""),VLOOKUP(A31&amp;IF(H31="黑丝","黑","白")&amp;E31,经纬!A:N,14,FALSE)*(I31-AB31),"")</f>
        <v/>
      </c>
      <c r="AC31" s="8"/>
      <c r="AD31" s="8"/>
      <c r="AE31" s="250" t="str">
        <f>IF(COUNTIF(A$2:A31,A31)=1,M31,LOOKUP(1,0/(A$1:A30=A31),AE$1:AE30)&amp;" "&amp;M31)</f>
        <v>XSD A21 A12 A10 A10 A90 A88</v>
      </c>
    </row>
    <row r="32" spans="1:31" outlineLevel="1">
      <c r="A32" s="233" t="s">
        <v>1170</v>
      </c>
      <c r="B32" s="24" t="str">
        <f>IF(A32="","",IF(LEFT(A32)&gt;"9",VLOOKUP(A32,yuanjidaimachichun,2,FALSE),VLOOKUP(A32,经纬!B:C,2,FALSE)))</f>
        <v>A50-30-28</v>
      </c>
      <c r="C32" s="8" t="str">
        <f>IF(ISERROR(FIND("*",B32)),MID(B32,2,FIND("-",B32)-2),LEFT(B32,FIND("*",B32)-1))</f>
        <v>50</v>
      </c>
      <c r="D32" s="8" t="str">
        <f>IF(ISERROR(FIND("*",B32)),"",RIGHT(B32,LEN(B32)-FIND("*",B32)))</f>
        <v/>
      </c>
      <c r="E32" s="89" t="s">
        <v>177</v>
      </c>
      <c r="F32" s="89" t="s">
        <v>2612</v>
      </c>
      <c r="G32" s="8">
        <v>158</v>
      </c>
      <c r="H32" s="8" t="s">
        <v>1521</v>
      </c>
      <c r="I32" s="8">
        <v>10000</v>
      </c>
      <c r="J32" s="8">
        <v>35</v>
      </c>
      <c r="K32" s="8">
        <v>36</v>
      </c>
      <c r="L32" s="8" t="s">
        <v>1232</v>
      </c>
      <c r="M32" s="24" t="str">
        <f t="array" ref="M32">LEFT(L32,MIN(FIND({"A","B","C"},MID(L32,2,LEN(L32))&amp;"ABC")))</f>
        <v>A88</v>
      </c>
      <c r="N32" s="24" t="str">
        <f t="array" ref="N32">SUBSTITUTE(L32,M32,"")</f>
        <v>C394</v>
      </c>
      <c r="O32" s="113">
        <v>43755</v>
      </c>
      <c r="P32" s="337"/>
      <c r="Q32" s="336"/>
      <c r="R32" s="336"/>
      <c r="S32" s="113">
        <v>43768</v>
      </c>
      <c r="T32" s="264">
        <f>IF(AND(C32&gt;0,D32=""),SUMIFS(yj!I:I,yj!B:B,plan!A32,yj!G:G,"&gt;="&amp;Q32,yj!G:G,"&lt;="&amp;S32),"")</f>
        <v>0</v>
      </c>
      <c r="U32" s="264">
        <f>SUMIFS(四面弹库存!F:F,四面弹库存!B:B,plan!A32,四面弹库存!O:O,IF(H32&lt;&gt;"黑丝","白","黑"))</f>
        <v>172</v>
      </c>
      <c r="V32" s="264"/>
      <c r="W32" s="369" t="str">
        <f t="shared" si="0"/>
        <v/>
      </c>
      <c r="X32" s="258" t="str">
        <f>IF(B32="","",IF(S32&lt;&gt;"","",IF(AND(Z32&lt;&gt;"",AA32&lt;&gt;""),SUM(Z32:AA32),IF(AB32&lt;&gt;"",(I32/((1/((G32+2)/100*K32/1000))*0.9144)/IF(H32="黑丝",22,20)-AB32)*(IF(H32="黑丝",22,20)),I32/((1/((G32+2)/100*K32/1000))*0.9144)))))</f>
        <v/>
      </c>
      <c r="Y32" s="36" t="str">
        <f>IF(OR(B32="",D32&lt;&gt;""),"",IF(S32&lt;&gt;"","",I32/((1/((G32+2)/100*K32/1000))*0.9144)/IF(H32="黑丝",22,20)-AB32))</f>
        <v/>
      </c>
      <c r="Z32" s="340" t="str">
        <f>IF(AND(C32&gt;0,D32&lt;&gt;"",S32=""),VLOOKUP(A32&amp;IF(H32="黑丝","黑","白")&amp;E32,经纬!A:M,13,FALSE)*(I32-AB32),"")</f>
        <v/>
      </c>
      <c r="AA32" s="340" t="str">
        <f>IF(AND(C32&gt;0,D32&lt;&gt;"",S32=""),VLOOKUP(A32&amp;IF(H32="黑丝","黑","白")&amp;E32,经纬!A:N,14,FALSE)*(I32-AB32),"")</f>
        <v/>
      </c>
      <c r="AB32" s="8">
        <v>32</v>
      </c>
      <c r="AC32" s="8" t="s">
        <v>2745</v>
      </c>
      <c r="AD32" s="8"/>
      <c r="AE32" s="250" t="str">
        <f>IF(COUNTIF(A$2:A32,A32)=1,M32,LOOKUP(1,0/(A$1:A31=A32),AE$1:AE31)&amp;" "&amp;M32)</f>
        <v>XSD A21 A12 A10 A10 A90 A88 A88</v>
      </c>
    </row>
    <row r="33" spans="1:31" outlineLevel="1">
      <c r="A33" s="233" t="s">
        <v>1170</v>
      </c>
      <c r="B33" s="24" t="str">
        <f>IF(A33="","",IF(LEFT(A33)&gt;"9",VLOOKUP(A33,yuanjidaimachichun,2,FALSE),VLOOKUP(A33,经纬!B:C,2,FALSE)))</f>
        <v>A50-30-28</v>
      </c>
      <c r="C33" s="8" t="str">
        <f>IF(ISERROR(FIND("*",B33)),MID(B33,2,FIND("-",B33)-2),LEFT(B33,FIND("*",B33)-1))</f>
        <v>50</v>
      </c>
      <c r="D33" s="8" t="str">
        <f>IF(ISERROR(FIND("*",B33)),"",RIGHT(B33,LEN(B33)-FIND("*",B33)))</f>
        <v/>
      </c>
      <c r="E33" s="89" t="s">
        <v>177</v>
      </c>
      <c r="F33" s="89" t="s">
        <v>2612</v>
      </c>
      <c r="G33" s="8">
        <v>158</v>
      </c>
      <c r="H33" s="8" t="s">
        <v>1519</v>
      </c>
      <c r="I33" s="8">
        <v>10000</v>
      </c>
      <c r="J33" s="8">
        <v>35</v>
      </c>
      <c r="K33" s="8">
        <v>33</v>
      </c>
      <c r="L33" s="8" t="s">
        <v>1232</v>
      </c>
      <c r="M33" s="24" t="str">
        <f t="array" ref="M33">LEFT(L33,MIN(FIND({"A","B","C"},MID(L33,2,LEN(L33))&amp;"ABC")))</f>
        <v>A88</v>
      </c>
      <c r="N33" s="24" t="str">
        <f t="array" ref="N33">SUBSTITUTE(L33,M33,"")</f>
        <v>C394</v>
      </c>
      <c r="O33" s="113">
        <v>43755</v>
      </c>
      <c r="P33" s="337"/>
      <c r="Q33" s="336"/>
      <c r="R33" s="336"/>
      <c r="S33" s="113">
        <v>43761</v>
      </c>
      <c r="T33" s="264">
        <f>IF(AND(C33&gt;0,D33=""),SUMIFS(yj!I:I,yj!B:B,plan!A33,yj!G:G,"&gt;="&amp;Q33,yj!G:G,"&lt;="&amp;S33),"")</f>
        <v>0</v>
      </c>
      <c r="U33" s="264">
        <f>SUMIFS(四面弹库存!F:F,四面弹库存!B:B,plan!A33,四面弹库存!O:O,IF(H33&lt;&gt;"黑丝","白","黑"))</f>
        <v>172</v>
      </c>
      <c r="V33" s="264"/>
      <c r="W33" s="369" t="str">
        <f t="shared" si="0"/>
        <v/>
      </c>
      <c r="X33" s="258" t="str">
        <f>IF(B33="","",IF(S33&lt;&gt;"","",IF(AND(Z33&lt;&gt;"",AA33&lt;&gt;""),SUM(Z33:AA33),IF(AB33&lt;&gt;"",(I33/((1/((G33+2)/100*K33/1000))*0.9144)/IF(H33="黑丝",22,20)-AB33)*(IF(H33="黑丝",22,20)),I33/((1/((G33+2)/100*K33/1000))*0.9144)))))</f>
        <v/>
      </c>
      <c r="Y33" s="36" t="str">
        <f>IF(OR(B33="",D33&lt;&gt;""),"",IF(S33&lt;&gt;"","",I33/((1/((G33+2)/100*K33/1000))*0.9144)/IF(H33="黑丝",22,20)-AB33))</f>
        <v/>
      </c>
      <c r="Z33" s="340" t="str">
        <f>IF(AND(C33&gt;0,D33&lt;&gt;"",S33=""),VLOOKUP(A33&amp;IF(H33="黑丝","黑","白")&amp;E33,经纬!A:M,13,FALSE)*(I33-AB33),"")</f>
        <v/>
      </c>
      <c r="AA33" s="340" t="str">
        <f>IF(AND(C33&gt;0,D33&lt;&gt;"",S33=""),VLOOKUP(A33&amp;IF(H33="黑丝","黑","白")&amp;E33,经纬!A:N,14,FALSE)*(I33-AB33),"")</f>
        <v/>
      </c>
      <c r="AC33" s="8"/>
      <c r="AD33" s="8"/>
      <c r="AE33" s="250" t="str">
        <f>IF(COUNTIF(A$2:A33,A33)=1,M33,LOOKUP(1,0/(A$1:A32=A33),AE$1:AE32)&amp;" "&amp;M33)</f>
        <v>XSD A21 A12 A10 A10 A90 A88 A88 A88</v>
      </c>
    </row>
    <row r="34" spans="1:31" outlineLevel="1">
      <c r="A34" s="233" t="s">
        <v>1233</v>
      </c>
      <c r="B34" s="24" t="str">
        <f>IF(A34="","",IF(LEFT(A34)&gt;"9",VLOOKUP(A34,yuanjidaimachichun,2,FALSE),VLOOKUP(A34,经纬!B:C,2,FALSE)))</f>
        <v>B30-30-32</v>
      </c>
      <c r="C34" s="8" t="str">
        <f>IF(ISERROR(FIND("*",B34)),MID(B34,2,FIND("-",B34)-2),LEFT(B34,FIND("*",B34)-1))</f>
        <v>30</v>
      </c>
      <c r="D34" s="8" t="str">
        <f>IF(ISERROR(FIND("*",B34)),"",RIGHT(B34,LEN(B34)-FIND("*",B34)))</f>
        <v/>
      </c>
      <c r="E34" s="89" t="s">
        <v>168</v>
      </c>
      <c r="F34" s="89" t="s">
        <v>2612</v>
      </c>
      <c r="G34" s="8">
        <v>160</v>
      </c>
      <c r="H34" s="8" t="s">
        <v>1516</v>
      </c>
      <c r="I34" s="8">
        <v>3000</v>
      </c>
      <c r="J34" s="8">
        <v>23</v>
      </c>
      <c r="K34" s="8">
        <v>23</v>
      </c>
      <c r="L34" s="8" t="s">
        <v>1232</v>
      </c>
      <c r="M34" s="24" t="str">
        <f t="array" ref="M34">LEFT(L34,MIN(FIND({"A","B","C"},MID(L34,2,LEN(L34))&amp;"ABC")))</f>
        <v>A88</v>
      </c>
      <c r="N34" s="24" t="str">
        <f t="array" ref="N34">SUBSTITUTE(L34,M34,"")</f>
        <v>C394</v>
      </c>
      <c r="O34" s="113">
        <v>43755</v>
      </c>
      <c r="Q34" s="389">
        <v>43760</v>
      </c>
      <c r="S34" s="23">
        <v>43762</v>
      </c>
      <c r="T34" s="264">
        <f>IF(AND(C34&gt;0,D34=""),SUMIFS(yj!I:I,yj!B:B,plan!A34,yj!G:G,"&gt;="&amp;Q34,yj!G:G,"&lt;="&amp;S34),"")</f>
        <v>0</v>
      </c>
      <c r="U34" s="264">
        <f>SUMIFS(四面弹库存!F:F,四面弹库存!B:B,plan!A34,四面弹库存!O:O,IF(H34&lt;&gt;"黑丝","白","黑"))</f>
        <v>3</v>
      </c>
      <c r="V34" s="264"/>
      <c r="W34" s="369" t="str">
        <f t="shared" si="0"/>
        <v/>
      </c>
      <c r="X34" s="258" t="str">
        <f>IF(B34="","",IF(S34&lt;&gt;"","",IF(AND(Z34&lt;&gt;"",AA34&lt;&gt;""),SUM(Z34:AA34),IF(AB34&lt;&gt;"",(I34/((1/((G34+2)/100*K34/1000))*0.9144)/IF(H34="黑丝",22,20)-AB34)*(IF(H34="黑丝",22,20)),I34/((1/((G34+2)/100*K34/1000))*0.9144)))))</f>
        <v/>
      </c>
      <c r="Y34" s="36" t="str">
        <f>IF(OR(B34="",D34&lt;&gt;""),"",IF(S34&lt;&gt;"","",I34/((1/((G34+2)/100*K34/1000))*0.9144)/IF(H34="黑丝",22,20)-AB34))</f>
        <v/>
      </c>
      <c r="Z34" s="340" t="str">
        <f>IF(AND(C34&gt;0,D34&lt;&gt;"",S34=""),VLOOKUP(A34&amp;IF(H34="黑丝","黑","白")&amp;E34,经纬!A:M,13,FALSE)*(I34-AB34),"")</f>
        <v/>
      </c>
      <c r="AA34" s="340" t="str">
        <f>IF(AND(C34&gt;0,D34&lt;&gt;"",S34=""),VLOOKUP(A34&amp;IF(H34="黑丝","黑","白")&amp;E34,经纬!A:N,14,FALSE)*(I34-AB34),"")</f>
        <v/>
      </c>
      <c r="AC34" s="8"/>
      <c r="AD34" s="8"/>
      <c r="AE34" s="250" t="str">
        <f>IF(COUNTIF(A$2:A34,A34)=1,M34,LOOKUP(1,0/(A$1:A33=A34),AE$1:AE33)&amp;" "&amp;M34)</f>
        <v>A88</v>
      </c>
    </row>
    <row r="35" spans="1:31" outlineLevel="1">
      <c r="A35" s="233" t="s">
        <v>1203</v>
      </c>
      <c r="B35" s="24" t="str">
        <f>IF(A35="","",IF(LEFT(A35)&gt;"9",VLOOKUP(A35,yuanjidaimachichun,2,FALSE),VLOOKUP(A35,经纬!B:C,2,FALSE)))</f>
        <v>A50-30-28</v>
      </c>
      <c r="C35" s="8" t="str">
        <f>IF(ISERROR(FIND("*",B35)),MID(B35,2,FIND("-",B35)-2),LEFT(B35,FIND("*",B35)-1))</f>
        <v>50</v>
      </c>
      <c r="D35" s="8" t="str">
        <f>IF(ISERROR(FIND("*",B35)),"",RIGHT(B35,LEN(B35)-FIND("*",B35)))</f>
        <v/>
      </c>
      <c r="E35" s="89" t="s">
        <v>177</v>
      </c>
      <c r="G35" s="8">
        <v>158</v>
      </c>
      <c r="H35" s="8" t="s">
        <v>1519</v>
      </c>
      <c r="I35" s="8">
        <v>20000</v>
      </c>
      <c r="J35" s="8">
        <v>35</v>
      </c>
      <c r="K35" s="8">
        <v>33</v>
      </c>
      <c r="L35" s="8" t="s">
        <v>1477</v>
      </c>
      <c r="M35" s="24" t="str">
        <f t="array" ref="M35">LEFT(L35,MIN(FIND({"A","B","C"},MID(L35,2,LEN(L35))&amp;"ABC")))</f>
        <v>A90</v>
      </c>
      <c r="N35" s="24" t="str">
        <f t="array" ref="N35">SUBSTITUTE(L35,M35,"")</f>
        <v>C341</v>
      </c>
      <c r="O35" s="113">
        <v>43756</v>
      </c>
      <c r="S35" s="23">
        <v>43756</v>
      </c>
      <c r="T35" s="264">
        <f>IF(AND(C35&gt;0,D35=""),SUMIFS(yj!I:I,yj!B:B,plan!A35,yj!G:G,"&gt;="&amp;Q35,yj!G:G,"&lt;="&amp;S35),"")</f>
        <v>0</v>
      </c>
      <c r="U35" s="264">
        <f>SUMIFS(四面弹库存!F:F,四面弹库存!B:B,plan!A35,四面弹库存!O:O,IF(H35&lt;&gt;"黑丝","白","黑"))</f>
        <v>172</v>
      </c>
      <c r="V35" s="264"/>
      <c r="W35" s="369" t="str">
        <f t="shared" si="0"/>
        <v/>
      </c>
      <c r="X35" s="258" t="str">
        <f>IF(B35="","",IF(S35&lt;&gt;"","",IF(AND(Z35&lt;&gt;"",AA35&lt;&gt;""),SUM(Z35:AA35),IF(AB35&lt;&gt;"",(I35/((1/((G35+2)/100*K35/1000))*0.9144)/IF(H35="黑丝",22,20)-AB35)*(IF(H35="黑丝",22,20)),I35/((1/((G35+2)/100*K35/1000))*0.9144)))))</f>
        <v/>
      </c>
      <c r="Y35" s="36" t="str">
        <f>IF(OR(B35="",D35&lt;&gt;""),"",IF(S35&lt;&gt;"","",I35/((1/((G35+2)/100*K35/1000))*0.9144)/IF(H35="黑丝",22,20)-AB35))</f>
        <v/>
      </c>
      <c r="Z35" s="340" t="str">
        <f>IF(AND(C35&gt;0,D35&lt;&gt;"",S35=""),VLOOKUP(A35&amp;IF(H35="黑丝","黑","白")&amp;E35,经纬!A:M,13,FALSE)*(I35-AB35),"")</f>
        <v/>
      </c>
      <c r="AA35" s="340" t="str">
        <f>IF(AND(C35&gt;0,D35&lt;&gt;"",S35=""),VLOOKUP(A35&amp;IF(H35="黑丝","黑","白")&amp;E35,经纬!A:N,14,FALSE)*(I35-AB35),"")</f>
        <v/>
      </c>
      <c r="AC35" s="8"/>
      <c r="AD35" s="8"/>
      <c r="AE35" s="250" t="str">
        <f>IF(COUNTIF(A$2:A35,A35)=1,M35,LOOKUP(1,0/(A$1:A34=A35),AE$1:AE34)&amp;" "&amp;M35)</f>
        <v>XSD A21 A12 A10 A10 A90 A88 A88 A88 A90</v>
      </c>
    </row>
    <row r="36" spans="1:31" outlineLevel="1">
      <c r="A36" s="233" t="s">
        <v>1535</v>
      </c>
      <c r="B36" s="24" t="str">
        <f>IF(A36="","",IF(LEFT(A36)&gt;"9",VLOOKUP(A36,yuanjidaimachichun,2,FALSE),VLOOKUP(A36,经纬!B:C,2,FALSE)))</f>
        <v>A50-30-28</v>
      </c>
      <c r="C36" s="8" t="str">
        <f>IF(ISERROR(FIND("*",B36)),MID(B36,2,FIND("-",B36)-2),LEFT(B36,FIND("*",B36)-1))</f>
        <v>50</v>
      </c>
      <c r="D36" s="8" t="str">
        <f>IF(ISERROR(FIND("*",B36)),"",RIGHT(B36,LEN(B36)-FIND("*",B36)))</f>
        <v/>
      </c>
      <c r="E36" s="89" t="s">
        <v>44</v>
      </c>
      <c r="G36" s="8">
        <v>158</v>
      </c>
      <c r="H36" s="8" t="s">
        <v>1519</v>
      </c>
      <c r="I36" s="8">
        <v>10000</v>
      </c>
      <c r="J36" s="8">
        <v>36</v>
      </c>
      <c r="K36" s="8">
        <v>35</v>
      </c>
      <c r="L36" s="8" t="s">
        <v>1490</v>
      </c>
      <c r="M36" s="24" t="str">
        <f t="array" ref="M36">LEFT(L36,MIN(FIND({"A","B","C"},MID(L36,2,LEN(L36))&amp;"ABC")))</f>
        <v>A88</v>
      </c>
      <c r="N36" s="24" t="str">
        <f t="array" ref="N36">SUBSTITUTE(L36,M36,"")</f>
        <v>C396</v>
      </c>
      <c r="O36" s="113">
        <v>43757</v>
      </c>
      <c r="Q36" s="389">
        <v>43766</v>
      </c>
      <c r="S36" s="23">
        <v>43771</v>
      </c>
      <c r="T36" s="264">
        <f>IF(AND(C36&gt;0,D36=""),SUMIFS(yj!I:I,yj!B:B,plan!A36,yj!G:G,"&gt;="&amp;Q36,yj!G:G,"&lt;="&amp;S36),"")</f>
        <v>36</v>
      </c>
      <c r="U36" s="264">
        <f>SUMIFS(四面弹库存!F:F,四面弹库存!B:B,plan!A36,四面弹库存!O:O,IF(H36&lt;&gt;"黑丝","白","黑"))</f>
        <v>0</v>
      </c>
      <c r="V36" s="264"/>
      <c r="W36" s="369" t="str">
        <f t="shared" si="0"/>
        <v/>
      </c>
      <c r="X36" s="258" t="str">
        <f>IF(B36="","",IF(S36&lt;&gt;"","",IF(AND(Z36&lt;&gt;"",AA36&lt;&gt;""),SUM(Z36:AA36),IF(AB36&lt;&gt;"",(I36/((1/((G36+2)/100*K36/1000))*0.9144)/IF(H36="黑丝",22,20)-AB36)*(IF(H36="黑丝",22,20)),I36/((1/((G36+2)/100*K36/1000))*0.9144)))))</f>
        <v/>
      </c>
      <c r="Y36" s="36" t="str">
        <f>IF(OR(B36="",D36&lt;&gt;""),"",IF(S36&lt;&gt;"","",I36/((1/((G36+2)/100*K36/1000))*0.9144)/IF(H36="黑丝",22,20)-AB36))</f>
        <v/>
      </c>
      <c r="Z36" s="340" t="str">
        <f>IF(AND(C36&gt;0,D36&lt;&gt;"",S36=""),VLOOKUP(A36&amp;IF(H36="黑丝","黑","白")&amp;E36,经纬!A:M,13,FALSE)*(I36-AB36),"")</f>
        <v/>
      </c>
      <c r="AA36" s="340" t="str">
        <f>IF(AND(C36&gt;0,D36&lt;&gt;"",S36=""),VLOOKUP(A36&amp;IF(H36="黑丝","黑","白")&amp;E36,经纬!A:N,14,FALSE)*(I36-AB36),"")</f>
        <v/>
      </c>
      <c r="AB36" s="8">
        <v>34</v>
      </c>
      <c r="AC36" s="8" t="s">
        <v>2765</v>
      </c>
      <c r="AD36" s="8"/>
      <c r="AE36" s="250" t="str">
        <f>IF(COUNTIF(A$2:A36,A36)=1,M36,LOOKUP(1,0/(A$1:A35=A36),AE$1:AE35)&amp;" "&amp;M36)</f>
        <v>A88</v>
      </c>
    </row>
    <row r="37" spans="1:31" outlineLevel="1">
      <c r="A37" s="233" t="s">
        <v>1641</v>
      </c>
      <c r="B37" s="24" t="str">
        <f>IF(A37="","",IF(LEFT(A37)&gt;"9",VLOOKUP(A37,yuanjidaimachichun,2,FALSE),VLOOKUP(A37,经纬!B:C,2,FALSE)))</f>
        <v>A50-30-28</v>
      </c>
      <c r="C37" s="8" t="str">
        <f>IF(ISERROR(FIND("*",B37)),MID(B37,2,FIND("-",B37)-2),LEFT(B37,FIND("*",B37)-1))</f>
        <v>50</v>
      </c>
      <c r="D37" s="8" t="str">
        <f>IF(ISERROR(FIND("*",B37)),"",RIGHT(B37,LEN(B37)-FIND("*",B37)))</f>
        <v/>
      </c>
      <c r="E37" s="89" t="s">
        <v>44</v>
      </c>
      <c r="G37" s="24">
        <v>159</v>
      </c>
      <c r="H37" s="24" t="s">
        <v>1637</v>
      </c>
      <c r="I37" s="24">
        <v>5000</v>
      </c>
      <c r="J37" s="24">
        <v>34</v>
      </c>
      <c r="K37" s="24">
        <v>36</v>
      </c>
      <c r="L37" s="24" t="s">
        <v>1638</v>
      </c>
      <c r="M37" s="24" t="str">
        <f t="array" ref="M37">LEFT(L37,MIN(FIND({"A","B","C"},MID(L37,2,LEN(L37))&amp;"ABC")))</f>
        <v>XSD</v>
      </c>
      <c r="N37" s="24" t="str">
        <f t="array" ref="N37">SUBSTITUTE(L37,M37,"")</f>
        <v>C398</v>
      </c>
      <c r="O37" s="113">
        <v>43759</v>
      </c>
      <c r="Q37" s="389">
        <v>43761</v>
      </c>
      <c r="S37" s="23">
        <v>43766</v>
      </c>
      <c r="T37" s="264">
        <f>IF(AND(C37&gt;0,D37=""),SUMIFS(yj!I:I,yj!B:B,plan!A37,yj!G:G,"&gt;="&amp;Q37,yj!G:G,"&lt;="&amp;S37),"")</f>
        <v>43</v>
      </c>
      <c r="U37" s="264">
        <f>SUMIFS(四面弹库存!F:F,四面弹库存!B:B,plan!A37,四面弹库存!O:O,IF(H37&lt;&gt;"黑丝","白","黑"))</f>
        <v>0</v>
      </c>
      <c r="V37" s="264"/>
      <c r="W37" s="369" t="str">
        <f t="shared" si="0"/>
        <v/>
      </c>
      <c r="X37" s="258" t="str">
        <f>IF(B37="","",IF(S37&lt;&gt;"","",IF(AND(Z37&lt;&gt;"",AA37&lt;&gt;""),SUM(Z37:AA37),IF(AB37&lt;&gt;"",(I37/((1/((G37+2)/100*K37/1000))*0.9144)/IF(H37="黑丝",22,20)-AB37)*(IF(H37="黑丝",22,20)),I37/((1/((G37+2)/100*K37/1000))*0.9144)))))</f>
        <v/>
      </c>
      <c r="Y37" s="36" t="str">
        <f>IF(OR(B37="",D37&lt;&gt;""),"",IF(S37&lt;&gt;"","",I37/((1/((G37+2)/100*K37/1000))*0.9144)/IF(H37="黑丝",22,20)-AB37))</f>
        <v/>
      </c>
      <c r="Z37" s="340" t="str">
        <f>IF(AND(C37&gt;0,D37&lt;&gt;"",S37=""),VLOOKUP(A37&amp;IF(H37="黑丝","黑","白")&amp;E37,经纬!A:M,13,FALSE)*(I37-AB37),"")</f>
        <v/>
      </c>
      <c r="AA37" s="340" t="str">
        <f>IF(AND(C37&gt;0,D37&lt;&gt;"",S37=""),VLOOKUP(A37&amp;IF(H37="黑丝","黑","白")&amp;E37,经纬!A:N,14,FALSE)*(I37-AB37),"")</f>
        <v/>
      </c>
      <c r="AC37" s="8"/>
      <c r="AD37" s="8"/>
      <c r="AE37" s="250" t="str">
        <f>IF(COUNTIF(A$2:A37,A37)=1,M37,LOOKUP(1,0/(A$1:A36=A37),AE$1:AE36)&amp;" "&amp;M37)</f>
        <v>XSD</v>
      </c>
    </row>
    <row r="38" spans="1:31" outlineLevel="1">
      <c r="A38" s="233" t="s">
        <v>1641</v>
      </c>
      <c r="B38" s="24" t="str">
        <f>IF(A38="","",IF(LEFT(A38)&gt;"9",VLOOKUP(A38,yuanjidaimachichun,2,FALSE),VLOOKUP(A38,经纬!B:C,2,FALSE)))</f>
        <v>A50-30-28</v>
      </c>
      <c r="C38" s="8" t="str">
        <f>IF(ISERROR(FIND("*",B38)),MID(B38,2,FIND("-",B38)-2),LEFT(B38,FIND("*",B38)-1))</f>
        <v>50</v>
      </c>
      <c r="D38" s="8" t="str">
        <f>IF(ISERROR(FIND("*",B38)),"",RIGHT(B38,LEN(B38)-FIND("*",B38)))</f>
        <v/>
      </c>
      <c r="E38" s="89" t="s">
        <v>44</v>
      </c>
      <c r="G38" s="24">
        <v>159</v>
      </c>
      <c r="H38" s="24" t="s">
        <v>1639</v>
      </c>
      <c r="I38" s="24">
        <v>4000</v>
      </c>
      <c r="J38" s="24">
        <v>34</v>
      </c>
      <c r="K38" s="24">
        <v>36</v>
      </c>
      <c r="L38" s="24" t="s">
        <v>1638</v>
      </c>
      <c r="M38" s="24" t="str">
        <f t="array" ref="M38">LEFT(L38,MIN(FIND({"A","B","C"},MID(L38,2,LEN(L38))&amp;"ABC")))</f>
        <v>XSD</v>
      </c>
      <c r="N38" s="24" t="str">
        <f t="array" ref="N38">SUBSTITUTE(L38,M38,"")</f>
        <v>C398</v>
      </c>
      <c r="O38" s="113">
        <v>43759</v>
      </c>
      <c r="Q38" s="389">
        <v>43761</v>
      </c>
      <c r="S38" s="23">
        <v>43766</v>
      </c>
      <c r="T38" s="264">
        <f>IF(AND(C38&gt;0,D38=""),SUMIFS(yj!I:I,yj!B:B,plan!A38,yj!G:G,"&gt;="&amp;Q38,yj!G:G,"&lt;="&amp;S38),"")</f>
        <v>43</v>
      </c>
      <c r="U38" s="264">
        <f>SUMIFS(四面弹库存!F:F,四面弹库存!B:B,plan!A38,四面弹库存!O:O,IF(H38&lt;&gt;"黑丝","白","黑"))</f>
        <v>0</v>
      </c>
      <c r="V38" s="264"/>
      <c r="W38" s="369" t="str">
        <f t="shared" si="0"/>
        <v/>
      </c>
      <c r="X38" s="258" t="str">
        <f>IF(B38="","",IF(S38&lt;&gt;"","",IF(AND(Z38&lt;&gt;"",AA38&lt;&gt;""),SUM(Z38:AA38),IF(AB38&lt;&gt;"",(I38/((1/((G38+2)/100*K38/1000))*0.9144)/IF(H38="黑丝",22,20)-AB38)*(IF(H38="黑丝",22,20)),I38/((1/((G38+2)/100*K38/1000))*0.9144)))))</f>
        <v/>
      </c>
      <c r="Y38" s="36" t="str">
        <f>IF(OR(B38="",D38&lt;&gt;""),"",IF(S38&lt;&gt;"","",I38/((1/((G38+2)/100*K38/1000))*0.9144)/IF(H38="黑丝",22,20)-AB38))</f>
        <v/>
      </c>
      <c r="Z38" s="340" t="str">
        <f>IF(AND(C38&gt;0,D38&lt;&gt;"",S38=""),VLOOKUP(A38&amp;IF(H38="黑丝","黑","白")&amp;E38,经纬!A:M,13,FALSE)*(I38-AB38),"")</f>
        <v/>
      </c>
      <c r="AA38" s="340" t="str">
        <f>IF(AND(C38&gt;0,D38&lt;&gt;"",S38=""),VLOOKUP(A38&amp;IF(H38="黑丝","黑","白")&amp;E38,经纬!A:N,14,FALSE)*(I38-AB38),"")</f>
        <v/>
      </c>
      <c r="AC38" s="8"/>
      <c r="AD38" s="8"/>
      <c r="AE38" s="250" t="str">
        <f>IF(COUNTIF(A$2:A38,A38)=1,M38,LOOKUP(1,0/(A$1:A37=A38),AE$1:AE37)&amp;" "&amp;M38)</f>
        <v>XSD XSD</v>
      </c>
    </row>
    <row r="39" spans="1:31" outlineLevel="1">
      <c r="A39" s="233" t="s">
        <v>1641</v>
      </c>
      <c r="B39" s="24" t="str">
        <f>IF(A39="","",IF(LEFT(A39)&gt;"9",VLOOKUP(A39,yuanjidaimachichun,2,FALSE),VLOOKUP(A39,经纬!B:C,2,FALSE)))</f>
        <v>A50-30-28</v>
      </c>
      <c r="C39" s="8" t="str">
        <f>IF(ISERROR(FIND("*",B39)),MID(B39,2,FIND("-",B39)-2),LEFT(B39,FIND("*",B39)-1))</f>
        <v>50</v>
      </c>
      <c r="D39" s="8" t="str">
        <f>IF(ISERROR(FIND("*",B39)),"",RIGHT(B39,LEN(B39)-FIND("*",B39)))</f>
        <v/>
      </c>
      <c r="E39" s="89" t="s">
        <v>44</v>
      </c>
      <c r="G39" s="24">
        <v>159</v>
      </c>
      <c r="H39" s="24" t="s">
        <v>1640</v>
      </c>
      <c r="I39" s="24">
        <v>5000</v>
      </c>
      <c r="J39" s="24">
        <v>34</v>
      </c>
      <c r="K39" s="24">
        <v>36</v>
      </c>
      <c r="L39" s="24" t="s">
        <v>1638</v>
      </c>
      <c r="M39" s="24" t="str">
        <f t="array" ref="M39">LEFT(L39,MIN(FIND({"A","B","C"},MID(L39,2,LEN(L39))&amp;"ABC")))</f>
        <v>XSD</v>
      </c>
      <c r="N39" s="24" t="str">
        <f t="array" ref="N39">SUBSTITUTE(L39,M39,"")</f>
        <v>C398</v>
      </c>
      <c r="O39" s="113">
        <v>43759</v>
      </c>
      <c r="Q39" s="389">
        <v>43761</v>
      </c>
      <c r="S39" s="23">
        <v>43770</v>
      </c>
      <c r="T39" s="264">
        <f>IF(AND(C39&gt;0,D39=""),SUMIFS(yj!I:I,yj!B:B,plan!A39,yj!G:G,"&gt;="&amp;Q39,yj!G:G,"&lt;="&amp;S39),"")</f>
        <v>43</v>
      </c>
      <c r="U39" s="264">
        <f>SUMIFS(四面弹库存!F:F,四面弹库存!B:B,plan!A39,四面弹库存!O:O,IF(H39&lt;&gt;"黑丝","白","黑"))</f>
        <v>0</v>
      </c>
      <c r="V39" s="264"/>
      <c r="W39" s="369" t="str">
        <f t="shared" si="0"/>
        <v/>
      </c>
      <c r="X39" s="258" t="str">
        <f>IF(B39="","",IF(S39&lt;&gt;"","",IF(AND(Z39&lt;&gt;"",AA39&lt;&gt;""),SUM(Z39:AA39),IF(AB39&lt;&gt;"",(I39/((1/((G39+2)/100*K39/1000))*0.9144)/IF(H39="黑丝",22,20)-AB39)*(IF(H39="黑丝",22,20)),I39/((1/((G39+2)/100*K39/1000))*0.9144)))))</f>
        <v/>
      </c>
      <c r="Y39" s="36" t="str">
        <f>IF(OR(B39="",D39&lt;&gt;""),"",IF(S39&lt;&gt;"","",I39/((1/((G39+2)/100*K39/1000))*0.9144)/IF(H39="黑丝",22,20)-AB39))</f>
        <v/>
      </c>
      <c r="Z39" s="340" t="str">
        <f>IF(AND(C39&gt;0,D39&lt;&gt;"",S39=""),VLOOKUP(A39&amp;IF(H39="黑丝","黑","白")&amp;E39,经纬!A:M,13,FALSE)*(I39-AB39),"")</f>
        <v/>
      </c>
      <c r="AA39" s="340" t="str">
        <f>IF(AND(C39&gt;0,D39&lt;&gt;"",S39=""),VLOOKUP(A39&amp;IF(H39="黑丝","黑","白")&amp;E39,经纬!A:N,14,FALSE)*(I39-AB39),"")</f>
        <v/>
      </c>
      <c r="AB39" s="8">
        <v>16</v>
      </c>
      <c r="AC39" s="8" t="s">
        <v>2768</v>
      </c>
      <c r="AD39" s="8"/>
      <c r="AE39" s="250" t="str">
        <f>IF(COUNTIF(A$2:A39,A39)=1,M39,LOOKUP(1,0/(A$1:A38=A39),AE$1:AE38)&amp;" "&amp;M39)</f>
        <v>XSD XSD XSD</v>
      </c>
    </row>
    <row r="40" spans="1:31" outlineLevel="1">
      <c r="A40" s="233" t="s">
        <v>1652</v>
      </c>
      <c r="B40" s="24" t="str">
        <f>IF(A40="","",IF(LEFT(A40)&gt;"9",VLOOKUP(A40,yuanjidaimachichun,2,FALSE),VLOOKUP(A40,经纬!B:C,2,FALSE)))</f>
        <v>A50-30-28</v>
      </c>
      <c r="C40" s="8" t="str">
        <f>IF(ISERROR(FIND("*",B40)),MID(B40,2,FIND("-",B40)-2),LEFT(B40,FIND("*",B40)-1))</f>
        <v>50</v>
      </c>
      <c r="D40" s="8" t="str">
        <f>IF(ISERROR(FIND("*",B40)),"",RIGHT(B40,LEN(B40)-FIND("*",B40)))</f>
        <v/>
      </c>
      <c r="E40" s="89" t="s">
        <v>177</v>
      </c>
      <c r="F40" s="89" t="s">
        <v>2611</v>
      </c>
      <c r="G40" s="24">
        <v>158</v>
      </c>
      <c r="H40" s="24" t="s">
        <v>1637</v>
      </c>
      <c r="I40" s="24">
        <v>10000</v>
      </c>
      <c r="J40" s="24">
        <v>35</v>
      </c>
      <c r="K40" s="24">
        <v>33</v>
      </c>
      <c r="L40" s="24" t="s">
        <v>1655</v>
      </c>
      <c r="M40" s="24" t="str">
        <f t="array" ref="M40">LEFT(L40,MIN(FIND({"A","B","C"},MID(L40,2,LEN(L40))&amp;"ABC")))</f>
        <v>A45</v>
      </c>
      <c r="N40" s="24" t="str">
        <f t="array" ref="N40">SUBSTITUTE(L40,M40,"")</f>
        <v>B535</v>
      </c>
      <c r="O40" s="113">
        <v>43759</v>
      </c>
      <c r="S40" s="23">
        <v>43759</v>
      </c>
      <c r="T40" s="264">
        <f>IF(AND(C40&gt;0,D40=""),SUMIFS(yj!I:I,yj!B:B,plan!A40,yj!G:G,"&gt;="&amp;Q40,yj!G:G,"&lt;="&amp;S40),"")</f>
        <v>0</v>
      </c>
      <c r="U40" s="264">
        <f>SUMIFS(四面弹库存!F:F,四面弹库存!B:B,plan!A40,四面弹库存!O:O,IF(H40&lt;&gt;"黑丝","白","黑"))</f>
        <v>172</v>
      </c>
      <c r="V40" s="264"/>
      <c r="W40" s="369" t="str">
        <f t="shared" si="0"/>
        <v/>
      </c>
      <c r="X40" s="258" t="str">
        <f>IF(B40="","",IF(S40&lt;&gt;"","",IF(AND(Z40&lt;&gt;"",AA40&lt;&gt;""),SUM(Z40:AA40),IF(AB40&lt;&gt;"",(I40/((1/((G40+2)/100*K40/1000))*0.9144)/IF(H40="黑丝",22,20)-AB40)*(IF(H40="黑丝",22,20)),I40/((1/((G40+2)/100*K40/1000))*0.9144)))))</f>
        <v/>
      </c>
      <c r="Y40" s="36" t="str">
        <f>IF(OR(B40="",D40&lt;&gt;""),"",IF(S40&lt;&gt;"","",I40/((1/((G40+2)/100*K40/1000))*0.9144)/IF(H40="黑丝",22,20)-AB40))</f>
        <v/>
      </c>
      <c r="Z40" s="340" t="str">
        <f>IF(AND(C40&gt;0,D40&lt;&gt;"",S40=""),VLOOKUP(A40&amp;IF(H40="黑丝","黑","白")&amp;E40,经纬!A:M,13,FALSE)*(I40-AB40),"")</f>
        <v/>
      </c>
      <c r="AA40" s="340" t="str">
        <f>IF(AND(C40&gt;0,D40&lt;&gt;"",S40=""),VLOOKUP(A40&amp;IF(H40="黑丝","黑","白")&amp;E40,经纬!A:N,14,FALSE)*(I40-AB40),"")</f>
        <v/>
      </c>
      <c r="AC40" s="8"/>
      <c r="AD40" s="8"/>
      <c r="AE40" s="250" t="str">
        <f>IF(COUNTIF(A$2:A40,A40)=1,M40,LOOKUP(1,0/(A$1:A39=A40),AE$1:AE39)&amp;" "&amp;M40)</f>
        <v>XSD A21 A12 A10 A10 A90 A88 A88 A88 A90 A45</v>
      </c>
    </row>
    <row r="41" spans="1:31" outlineLevel="1">
      <c r="A41" s="233" t="s">
        <v>1653</v>
      </c>
      <c r="B41" s="24" t="str">
        <f>IF(A41="","",IF(LEFT(A41)&gt;"9",VLOOKUP(A41,yuanjidaimachichun,2,FALSE),VLOOKUP(A41,经纬!B:C,2,FALSE)))</f>
        <v>A50-30-28</v>
      </c>
      <c r="C41" s="8" t="str">
        <f>IF(ISERROR(FIND("*",B41)),MID(B41,2,FIND("-",B41)-2),LEFT(B41,FIND("*",B41)-1))</f>
        <v>50</v>
      </c>
      <c r="D41" s="8" t="str">
        <f>IF(ISERROR(FIND("*",B41)),"",RIGHT(B41,LEN(B41)-FIND("*",B41)))</f>
        <v/>
      </c>
      <c r="E41" s="89" t="s">
        <v>177</v>
      </c>
      <c r="F41" s="89" t="s">
        <v>2611</v>
      </c>
      <c r="G41" s="24">
        <v>158</v>
      </c>
      <c r="H41" s="24" t="s">
        <v>1654</v>
      </c>
      <c r="I41" s="24">
        <v>10000</v>
      </c>
      <c r="J41" s="24">
        <v>35</v>
      </c>
      <c r="K41" s="24">
        <v>33</v>
      </c>
      <c r="L41" s="24" t="s">
        <v>1655</v>
      </c>
      <c r="M41" s="24" t="str">
        <f t="array" ref="M41">LEFT(L41,MIN(FIND({"A","B","C"},MID(L41,2,LEN(L41))&amp;"ABC")))</f>
        <v>A45</v>
      </c>
      <c r="N41" s="24" t="str">
        <f t="array" ref="N41">SUBSTITUTE(L41,M41,"")</f>
        <v>B535</v>
      </c>
      <c r="O41" s="113">
        <v>43759</v>
      </c>
      <c r="Q41" s="389">
        <v>43763</v>
      </c>
      <c r="T41" s="264">
        <f>IF(AND(C41&gt;0,D41=""),SUMIFS(yj!I:I,yj!B:B,plan!A41,yj!G:G,"&gt;="&amp;Q41,yj!G:G,"&lt;="&amp;S41),"")</f>
        <v>0</v>
      </c>
      <c r="U41" s="264">
        <f>SUMIFS(四面弹库存!F:F,四面弹库存!B:B,plan!A41,四面弹库存!O:O,IF(H41&lt;&gt;"黑丝","白","黑"))</f>
        <v>26</v>
      </c>
      <c r="V41" s="264"/>
      <c r="W41" s="369">
        <f t="shared" si="0"/>
        <v>9999.9999999999982</v>
      </c>
      <c r="X41" s="258">
        <f>IF(B41="","",IF(S41&lt;&gt;"","",IF(AND(Z41&lt;&gt;"",AA41&lt;&gt;""),SUM(Z41:AA41),IF(AB41&lt;&gt;"",(I41/((1/((G41+2)/100*K41/1000))*0.9144)/IF(H41="黑丝",22,20)-AB41)*(IF(H41="黑丝",22,20)),I41/((1/((G41+2)/100*K41/1000))*0.9144)))))</f>
        <v>577.42782152230973</v>
      </c>
      <c r="Y41" s="36">
        <f>IF(OR(B41="",D41&lt;&gt;""),"",IF(S41&lt;&gt;"","",I41/((1/((G41+2)/100*K41/1000))*0.9144)/IF(H41="黑丝",22,20)-AB41))</f>
        <v>26.246719160104988</v>
      </c>
      <c r="Z41" s="340" t="str">
        <f>IF(AND(C41&gt;0,D41&lt;&gt;"",S41=""),VLOOKUP(A41&amp;IF(H41="黑丝","黑","白")&amp;E41,经纬!A:M,13,FALSE)*(I41-AB41),"")</f>
        <v/>
      </c>
      <c r="AA41" s="340" t="str">
        <f>IF(AND(C41&gt;0,D41&lt;&gt;"",S41=""),VLOOKUP(A41&amp;IF(H41="黑丝","黑","白")&amp;E41,经纬!A:N,14,FALSE)*(I41-AB41),"")</f>
        <v/>
      </c>
      <c r="AE41" s="250" t="str">
        <f>IF(COUNTIF(A$2:A41,A41)=1,M41,LOOKUP(1,0/(A$1:A40=A41),AE$1:AE40)&amp;" "&amp;M41)</f>
        <v>XSD A21 A12 A10 A70 A10 A90 A45</v>
      </c>
    </row>
    <row r="42" spans="1:31" outlineLevel="1">
      <c r="A42" s="233" t="s">
        <v>1652</v>
      </c>
      <c r="B42" s="24" t="str">
        <f>IF(A42="","",IF(LEFT(A42)&gt;"9",VLOOKUP(A42,yuanjidaimachichun,2,FALSE),VLOOKUP(A42,经纬!B:C,2,FALSE)))</f>
        <v>A50-30-28</v>
      </c>
      <c r="C42" s="8" t="str">
        <f>IF(ISERROR(FIND("*",B42)),MID(B42,2,FIND("-",B42)-2),LEFT(B42,FIND("*",B42)-1))</f>
        <v>50</v>
      </c>
      <c r="D42" s="8" t="str">
        <f>IF(ISERROR(FIND("*",B42)),"",RIGHT(B42,LEN(B42)-FIND("*",B42)))</f>
        <v/>
      </c>
      <c r="E42" s="89" t="s">
        <v>177</v>
      </c>
      <c r="F42" s="89" t="s">
        <v>2611</v>
      </c>
      <c r="G42" s="24">
        <v>158</v>
      </c>
      <c r="H42" s="24" t="s">
        <v>1637</v>
      </c>
      <c r="I42" s="24">
        <v>23800</v>
      </c>
      <c r="J42" s="24">
        <v>35</v>
      </c>
      <c r="K42" s="24">
        <v>33</v>
      </c>
      <c r="L42" s="24" t="s">
        <v>1655</v>
      </c>
      <c r="M42" s="24" t="str">
        <f t="array" ref="M42">LEFT(L42,MIN(FIND({"A","B","C"},MID(L42,2,LEN(L42))&amp;"ABC")))</f>
        <v>A45</v>
      </c>
      <c r="N42" s="24" t="str">
        <f t="array" ref="N42">SUBSTITUTE(L42,M42,"")</f>
        <v>B535</v>
      </c>
      <c r="O42" s="113">
        <v>43759</v>
      </c>
      <c r="S42" s="23">
        <v>43759</v>
      </c>
      <c r="T42" s="264">
        <f>IF(AND(C42&gt;0,D42=""),SUMIFS(yj!I:I,yj!B:B,plan!A42,yj!G:G,"&gt;="&amp;Q42,yj!G:G,"&lt;="&amp;S42),"")</f>
        <v>0</v>
      </c>
      <c r="U42" s="264">
        <f>SUMIFS(四面弹库存!F:F,四面弹库存!B:B,plan!A42,四面弹库存!O:O,IF(H42&lt;&gt;"黑丝","白","黑"))</f>
        <v>172</v>
      </c>
      <c r="V42" s="264"/>
      <c r="W42" s="369" t="str">
        <f t="shared" si="0"/>
        <v/>
      </c>
      <c r="X42" s="258" t="str">
        <f>IF(B42="","",IF(S42&lt;&gt;"","",IF(AND(Z42&lt;&gt;"",AA42&lt;&gt;""),SUM(Z42:AA42),IF(AB42&lt;&gt;"",(I42/((1/((G42+2)/100*K42/1000))*0.9144)/IF(H42="黑丝",22,20)-AB42)*(IF(H42="黑丝",22,20)),I42/((1/((G42+2)/100*K42/1000))*0.9144)))))</f>
        <v/>
      </c>
      <c r="Y42" s="36" t="str">
        <f>IF(OR(B42="",D42&lt;&gt;""),"",IF(S42&lt;&gt;"","",I42/((1/((G42+2)/100*K42/1000))*0.9144)/IF(H42="黑丝",22,20)-AB42))</f>
        <v/>
      </c>
      <c r="Z42" s="340" t="str">
        <f>IF(AND(C42&gt;0,D42&lt;&gt;"",S42=""),VLOOKUP(A42&amp;IF(H42="黑丝","黑","白")&amp;E42,经纬!A:M,13,FALSE)*(I42-AB42),"")</f>
        <v/>
      </c>
      <c r="AA42" s="340" t="str">
        <f>IF(AND(C42&gt;0,D42&lt;&gt;"",S42=""),VLOOKUP(A42&amp;IF(H42="黑丝","黑","白")&amp;E42,经纬!A:N,14,FALSE)*(I42-AB42),"")</f>
        <v/>
      </c>
      <c r="AC42" s="8"/>
      <c r="AD42" s="8"/>
      <c r="AE42" s="250" t="str">
        <f>IF(COUNTIF(A$2:A42,A42)=1,M42,LOOKUP(1,0/(A$1:A41=A42),AE$1:AE41)&amp;" "&amp;M42)</f>
        <v>XSD A21 A12 A10 A10 A90 A88 A88 A88 A90 A45 A45</v>
      </c>
    </row>
    <row r="43" spans="1:31" outlineLevel="1">
      <c r="A43" s="233" t="s">
        <v>1652</v>
      </c>
      <c r="B43" s="24" t="str">
        <f>IF(A43="","",IF(LEFT(A43)&gt;"9",VLOOKUP(A43,yuanjidaimachichun,2,FALSE),VLOOKUP(A43,经纬!B:C,2,FALSE)))</f>
        <v>A50-30-28</v>
      </c>
      <c r="C43" s="8" t="str">
        <f>IF(ISERROR(FIND("*",B43)),MID(B43,2,FIND("-",B43)-2),LEFT(B43,FIND("*",B43)-1))</f>
        <v>50</v>
      </c>
      <c r="D43" s="8" t="str">
        <f>IF(ISERROR(FIND("*",B43)),"",RIGHT(B43,LEN(B43)-FIND("*",B43)))</f>
        <v/>
      </c>
      <c r="E43" s="89" t="s">
        <v>177</v>
      </c>
      <c r="F43" s="89" t="s">
        <v>2611</v>
      </c>
      <c r="G43" s="24">
        <v>158</v>
      </c>
      <c r="H43" s="24" t="s">
        <v>1499</v>
      </c>
      <c r="I43" s="24">
        <v>5000</v>
      </c>
      <c r="J43" s="24">
        <v>35</v>
      </c>
      <c r="K43" s="24">
        <v>33</v>
      </c>
      <c r="L43" s="24" t="s">
        <v>1655</v>
      </c>
      <c r="M43" s="24" t="str">
        <f t="array" ref="M43">LEFT(L43,MIN(FIND({"A","B","C"},MID(L43,2,LEN(L43))&amp;"ABC")))</f>
        <v>A45</v>
      </c>
      <c r="N43" s="24" t="str">
        <f t="array" ref="N43">SUBSTITUTE(L43,M43,"")</f>
        <v>B535</v>
      </c>
      <c r="O43" s="113">
        <v>43759</v>
      </c>
      <c r="S43" s="23">
        <v>43759</v>
      </c>
      <c r="T43" s="264">
        <f>IF(AND(C43&gt;0,D43=""),SUMIFS(yj!I:I,yj!B:B,plan!A43,yj!G:G,"&gt;="&amp;Q43,yj!G:G,"&lt;="&amp;S43),"")</f>
        <v>0</v>
      </c>
      <c r="U43" s="264">
        <f>SUMIFS(四面弹库存!F:F,四面弹库存!B:B,plan!A43,四面弹库存!O:O,IF(H43&lt;&gt;"黑丝","白","黑"))</f>
        <v>172</v>
      </c>
      <c r="V43" s="264"/>
      <c r="W43" s="369" t="str">
        <f t="shared" si="0"/>
        <v/>
      </c>
      <c r="X43" s="258" t="str">
        <f>IF(B43="","",IF(S43&lt;&gt;"","",IF(AND(Z43&lt;&gt;"",AA43&lt;&gt;""),SUM(Z43:AA43),IF(AB43&lt;&gt;"",(I43/((1/((G43+2)/100*K43/1000))*0.9144)/IF(H43="黑丝",22,20)-AB43)*(IF(H43="黑丝",22,20)),I43/((1/((G43+2)/100*K43/1000))*0.9144)))))</f>
        <v/>
      </c>
      <c r="Y43" s="36" t="str">
        <f>IF(OR(B43="",D43&lt;&gt;""),"",IF(S43&lt;&gt;"","",I43/((1/((G43+2)/100*K43/1000))*0.9144)/IF(H43="黑丝",22,20)-AB43))</f>
        <v/>
      </c>
      <c r="Z43" s="340" t="str">
        <f>IF(AND(C43&gt;0,D43&lt;&gt;"",S43=""),VLOOKUP(A43&amp;IF(H43="黑丝","黑","白")&amp;E43,经纬!A:M,13,FALSE)*(I43-AB43),"")</f>
        <v/>
      </c>
      <c r="AA43" s="340" t="str">
        <f>IF(AND(C43&gt;0,D43&lt;&gt;"",S43=""),VLOOKUP(A43&amp;IF(H43="黑丝","黑","白")&amp;E43,经纬!A:N,14,FALSE)*(I43-AB43),"")</f>
        <v/>
      </c>
      <c r="AC43" s="8"/>
      <c r="AD43" s="8"/>
      <c r="AE43" s="250" t="str">
        <f>IF(COUNTIF(A$2:A43,A43)=1,M43,LOOKUP(1,0/(A$1:A42=A43),AE$1:AE42)&amp;" "&amp;M43)</f>
        <v>XSD A21 A12 A10 A10 A90 A88 A88 A88 A90 A45 A45 A45</v>
      </c>
    </row>
    <row r="44" spans="1:31" outlineLevel="1">
      <c r="A44" s="233" t="s">
        <v>1653</v>
      </c>
      <c r="B44" s="24" t="str">
        <f>IF(A44="","",IF(LEFT(A44)&gt;"9",VLOOKUP(A44,yuanjidaimachichun,2,FALSE),VLOOKUP(A44,经纬!B:C,2,FALSE)))</f>
        <v>A50-30-28</v>
      </c>
      <c r="C44" s="8" t="str">
        <f>IF(ISERROR(FIND("*",B44)),MID(B44,2,FIND("-",B44)-2),LEFT(B44,FIND("*",B44)-1))</f>
        <v>50</v>
      </c>
      <c r="D44" s="8" t="str">
        <f>IF(ISERROR(FIND("*",B44)),"",RIGHT(B44,LEN(B44)-FIND("*",B44)))</f>
        <v/>
      </c>
      <c r="E44" s="89" t="s">
        <v>177</v>
      </c>
      <c r="F44" s="89" t="s">
        <v>2611</v>
      </c>
      <c r="G44" s="24">
        <v>158</v>
      </c>
      <c r="H44" s="24" t="s">
        <v>1654</v>
      </c>
      <c r="I44" s="24">
        <v>24000</v>
      </c>
      <c r="J44" s="24">
        <v>35</v>
      </c>
      <c r="K44" s="24">
        <v>33</v>
      </c>
      <c r="L44" s="24" t="s">
        <v>1655</v>
      </c>
      <c r="M44" s="24" t="str">
        <f t="array" ref="M44">LEFT(L44,MIN(FIND({"A","B","C"},MID(L44,2,LEN(L44))&amp;"ABC")))</f>
        <v>A45</v>
      </c>
      <c r="N44" s="24" t="str">
        <f t="array" ref="N44">SUBSTITUTE(L44,M44,"")</f>
        <v>B535</v>
      </c>
      <c r="O44" s="113">
        <v>43759</v>
      </c>
      <c r="Q44" s="389">
        <v>43763</v>
      </c>
      <c r="T44" s="264">
        <f>IF(AND(C44&gt;0,D44=""),SUMIFS(yj!I:I,yj!B:B,plan!A44,yj!G:G,"&gt;="&amp;Q44,yj!G:G,"&lt;="&amp;S44),"")</f>
        <v>0</v>
      </c>
      <c r="U44" s="264">
        <f>SUMIFS(四面弹库存!F:F,四面弹库存!B:B,plan!A44,四面弹库存!O:O,IF(H44&lt;&gt;"黑丝","白","黑"))</f>
        <v>26</v>
      </c>
      <c r="V44" s="264"/>
      <c r="W44" s="369">
        <f t="shared" si="0"/>
        <v>23999.999999999996</v>
      </c>
      <c r="X44" s="258">
        <f>IF(B44="","",IF(S44&lt;&gt;"","",IF(AND(Z44&lt;&gt;"",AA44&lt;&gt;""),SUM(Z44:AA44),IF(AB44&lt;&gt;"",(I44/((1/((G44+2)/100*K44/1000))*0.9144)/IF(H44="黑丝",22,20)-AB44)*(IF(H44="黑丝",22,20)),I44/((1/((G44+2)/100*K44/1000))*0.9144)))))</f>
        <v>1385.8267716535433</v>
      </c>
      <c r="Y44" s="36">
        <f>IF(OR(B44="",D44&lt;&gt;""),"",IF(S44&lt;&gt;"","",I44/((1/((G44+2)/100*K44/1000))*0.9144)/IF(H44="黑丝",22,20)-AB44))</f>
        <v>62.99212598425197</v>
      </c>
      <c r="Z44" s="340" t="str">
        <f>IF(AND(C44&gt;0,D44&lt;&gt;"",S44=""),VLOOKUP(A44&amp;IF(H44="黑丝","黑","白")&amp;E44,经纬!A:M,13,FALSE)*(I44-AB44),"")</f>
        <v/>
      </c>
      <c r="AA44" s="340" t="str">
        <f>IF(AND(C44&gt;0,D44&lt;&gt;"",S44=""),VLOOKUP(A44&amp;IF(H44="黑丝","黑","白")&amp;E44,经纬!A:N,14,FALSE)*(I44-AB44),"")</f>
        <v/>
      </c>
      <c r="AE44" s="250" t="str">
        <f>IF(COUNTIF(A$2:A44,A44)=1,M44,LOOKUP(1,0/(A$1:A43=A44),AE$1:AE43)&amp;" "&amp;M44)</f>
        <v>XSD A21 A12 A10 A70 A10 A90 A45 A45</v>
      </c>
    </row>
    <row r="45" spans="1:31" outlineLevel="1">
      <c r="A45" s="233" t="s">
        <v>1663</v>
      </c>
      <c r="B45" s="24" t="str">
        <f>IF(A45="","",IF(LEFT(A45)&gt;"9",VLOOKUP(A45,yuanjidaimachichun,2,FALSE),VLOOKUP(A45,经纬!B:C,2,FALSE)))</f>
        <v>B30-30-32</v>
      </c>
      <c r="C45" s="8" t="str">
        <f>IF(ISERROR(FIND("*",B45)),MID(B45,2,FIND("-",B45)-2),LEFT(B45,FIND("*",B45)-1))</f>
        <v>30</v>
      </c>
      <c r="D45" s="8" t="str">
        <f>IF(ISERROR(FIND("*",B45)),"",RIGHT(B45,LEN(B45)-FIND("*",B45)))</f>
        <v/>
      </c>
      <c r="E45" s="89" t="str">
        <f>VLOOKUP(A45,小圆机汇总表!A:AQ,4,FALSE)</f>
        <v>乱平纹</v>
      </c>
      <c r="G45" s="8">
        <v>159</v>
      </c>
      <c r="H45" s="8" t="s">
        <v>1499</v>
      </c>
      <c r="I45" s="8">
        <v>2000</v>
      </c>
      <c r="J45" s="8">
        <v>23</v>
      </c>
      <c r="K45" s="8">
        <v>23.5</v>
      </c>
      <c r="L45" s="8" t="s">
        <v>1664</v>
      </c>
      <c r="M45" s="24" t="str">
        <f t="array" ref="M45">LEFT(L45,MIN(FIND({"A","B","C"},MID(L45,2,LEN(L45))&amp;"ABC")))</f>
        <v>A94</v>
      </c>
      <c r="N45" s="24" t="str">
        <f t="array" ref="N45">SUBSTITUTE(L45,M45,"")</f>
        <v>B542</v>
      </c>
      <c r="O45" s="113">
        <v>43760</v>
      </c>
      <c r="Q45" s="389">
        <v>43744</v>
      </c>
      <c r="S45" s="23">
        <v>43765</v>
      </c>
      <c r="T45" s="264">
        <f>IF(AND(C45&gt;0,D45=""),SUMIFS(yj!I:I,yj!B:B,plan!A45,yj!G:G,"&gt;="&amp;Q45,yj!G:G,"&lt;="&amp;S45),"")</f>
        <v>63</v>
      </c>
      <c r="U45" s="264">
        <f>SUMIFS(四面弹库存!F:F,四面弹库存!B:B,plan!A45,四面弹库存!O:O,IF(H45&lt;&gt;"黑丝","白","黑"))</f>
        <v>72</v>
      </c>
      <c r="V45" s="264"/>
      <c r="W45" s="369" t="str">
        <f t="shared" si="0"/>
        <v/>
      </c>
      <c r="X45" s="258" t="str">
        <f>IF(B45="","",IF(S45&lt;&gt;"","",IF(AND(Z45&lt;&gt;"",AA45&lt;&gt;""),SUM(Z45:AA45),IF(AB45&lt;&gt;"",(I45/((1/((G45+2)/100*K45/1000))*0.9144)/IF(H45="黑丝",22,20)-AB45)*(IF(H45="黑丝",22,20)),I45/((1/((G45+2)/100*K45/1000))*0.9144)))))</f>
        <v/>
      </c>
      <c r="Y45" s="36" t="str">
        <f>IF(OR(B45="",D45&lt;&gt;""),"",IF(S45&lt;&gt;"","",I45/((1/((G45+2)/100*K45/1000))*0.9144)/IF(H45="黑丝",22,20)-AB45))</f>
        <v/>
      </c>
      <c r="Z45" s="340" t="str">
        <f>IF(AND(C45&gt;0,D45&lt;&gt;"",S45=""),VLOOKUP(A45&amp;IF(H45="黑丝","黑","白")&amp;E45,经纬!A:M,13,FALSE)*(I45-AB45),"")</f>
        <v/>
      </c>
      <c r="AA45" s="340" t="str">
        <f>IF(AND(C45&gt;0,D45&lt;&gt;"",S45=""),VLOOKUP(A45&amp;IF(H45="黑丝","黑","白")&amp;E45,经纬!A:N,14,FALSE)*(I45-AB45),"")</f>
        <v/>
      </c>
      <c r="AB45" s="8">
        <v>6</v>
      </c>
      <c r="AC45" s="8" t="s">
        <v>2769</v>
      </c>
      <c r="AD45" s="8"/>
      <c r="AE45" s="250" t="str">
        <f>IF(COUNTIF(A$2:A45,A45)=1,M45,LOOKUP(1,0/(A$1:A44=A45),AE$1:AE44)&amp;" "&amp;M45)</f>
        <v>A94</v>
      </c>
    </row>
    <row r="46" spans="1:31" outlineLevel="1">
      <c r="A46" s="233" t="s">
        <v>1663</v>
      </c>
      <c r="B46" s="24" t="str">
        <f>IF(A46="","",IF(LEFT(A46)&gt;"9",VLOOKUP(A46,yuanjidaimachichun,2,FALSE),VLOOKUP(A46,经纬!B:C,2,FALSE)))</f>
        <v>B30-30-32</v>
      </c>
      <c r="C46" s="8" t="str">
        <f>IF(ISERROR(FIND("*",B46)),MID(B46,2,FIND("-",B46)-2),LEFT(B46,FIND("*",B46)-1))</f>
        <v>30</v>
      </c>
      <c r="D46" s="8" t="str">
        <f>IF(ISERROR(FIND("*",B46)),"",RIGHT(B46,LEN(B46)-FIND("*",B46)))</f>
        <v/>
      </c>
      <c r="E46" s="89" t="str">
        <f>VLOOKUP(A46,小圆机汇总表!A:AQ,4,FALSE)</f>
        <v>乱平纹</v>
      </c>
      <c r="G46" s="8">
        <v>159</v>
      </c>
      <c r="H46" s="8" t="s">
        <v>1640</v>
      </c>
      <c r="I46" s="8">
        <v>2000</v>
      </c>
      <c r="J46" s="8">
        <v>23</v>
      </c>
      <c r="K46" s="8">
        <v>23.5</v>
      </c>
      <c r="L46" s="8" t="s">
        <v>1664</v>
      </c>
      <c r="M46" s="24" t="str">
        <f t="array" ref="M46">LEFT(L46,MIN(FIND({"A","B","C"},MID(L46,2,LEN(L46))&amp;"ABC")))</f>
        <v>A94</v>
      </c>
      <c r="N46" s="24" t="str">
        <f t="array" ref="N46">SUBSTITUTE(L46,M46,"")</f>
        <v>B542</v>
      </c>
      <c r="O46" s="113">
        <v>43760</v>
      </c>
      <c r="Q46" s="389">
        <v>43744</v>
      </c>
      <c r="S46" s="23">
        <v>43746</v>
      </c>
      <c r="T46" s="264">
        <f>IF(AND(C46&gt;0,D46=""),SUMIFS(yj!I:I,yj!B:B,plan!A46,yj!G:G,"&gt;="&amp;Q46,yj!G:G,"&lt;="&amp;S46),"")</f>
        <v>11</v>
      </c>
      <c r="U46" s="264">
        <f>SUMIFS(四面弹库存!F:F,四面弹库存!B:B,plan!A46,四面弹库存!O:O,IF(H46&lt;&gt;"黑丝","白","黑"))</f>
        <v>72</v>
      </c>
      <c r="V46" s="264"/>
      <c r="W46" s="369" t="str">
        <f t="shared" si="0"/>
        <v/>
      </c>
      <c r="X46" s="258" t="str">
        <f>IF(B46="","",IF(S46&lt;&gt;"","",IF(AND(Z46&lt;&gt;"",AA46&lt;&gt;""),SUM(Z46:AA46),IF(AB46&lt;&gt;"",(I46/((1/((G46+2)/100*K46/1000))*0.9144)/IF(H46="黑丝",22,20)-AB46)*(IF(H46="黑丝",22,20)),I46/((1/((G46+2)/100*K46/1000))*0.9144)))))</f>
        <v/>
      </c>
      <c r="Y46" s="36" t="str">
        <f>IF(OR(B46="",D46&lt;&gt;""),"",IF(S46&lt;&gt;"","",I46/((1/((G46+2)/100*K46/1000))*0.9144)/IF(H46="黑丝",22,20)-AB46))</f>
        <v/>
      </c>
      <c r="Z46" s="340" t="str">
        <f>IF(AND(C46&gt;0,D46&lt;&gt;"",S46=""),VLOOKUP(A46&amp;IF(H46="黑丝","黑","白")&amp;E46,经纬!A:M,13,FALSE)*(I46-AB46),"")</f>
        <v/>
      </c>
      <c r="AA46" s="340" t="str">
        <f>IF(AND(C46&gt;0,D46&lt;&gt;"",S46=""),VLOOKUP(A46&amp;IF(H46="黑丝","黑","白")&amp;E46,经纬!A:N,14,FALSE)*(I46-AB46),"")</f>
        <v/>
      </c>
      <c r="AB46" s="8">
        <v>6</v>
      </c>
      <c r="AC46" s="8" t="s">
        <v>2770</v>
      </c>
      <c r="AD46" s="8"/>
      <c r="AE46" s="250" t="str">
        <f>IF(COUNTIF(A$2:A46,A46)=1,M46,LOOKUP(1,0/(A$1:A45=A46),AE$1:AE45)&amp;" "&amp;M46)</f>
        <v>A94 A94</v>
      </c>
    </row>
    <row r="47" spans="1:31" outlineLevel="1">
      <c r="A47" s="233" t="s">
        <v>123</v>
      </c>
      <c r="B47" s="24" t="str">
        <f>IF(A47="","",IF(LEFT(A47)&gt;"9",VLOOKUP(A47,yuanjidaimachichun,2,FALSE),VLOOKUP(A47,经纬!B:C,2,FALSE)))</f>
        <v>B75-30-24</v>
      </c>
      <c r="C47" s="8" t="str">
        <f>IF(ISERROR(FIND("*",B47)),MID(B47,2,FIND("-",B47)-2),LEFT(B47,FIND("*",B47)-1))</f>
        <v>75</v>
      </c>
      <c r="D47" s="8" t="str">
        <f>IF(ISERROR(FIND("*",B47)),"",RIGHT(B47,LEN(B47)-FIND("*",B47)))</f>
        <v/>
      </c>
      <c r="E47" s="89" t="str">
        <f>VLOOKUP(A47,小圆机汇总表!A:AQ,4,FALSE)</f>
        <v>斜乱平纹</v>
      </c>
      <c r="G47" s="8">
        <v>158</v>
      </c>
      <c r="H47" s="8" t="s">
        <v>1637</v>
      </c>
      <c r="I47" s="8">
        <v>5000</v>
      </c>
      <c r="J47" s="8">
        <v>39</v>
      </c>
      <c r="K47" s="8">
        <v>40</v>
      </c>
      <c r="L47" s="8" t="s">
        <v>1664</v>
      </c>
      <c r="M47" s="24" t="str">
        <f t="array" ref="M47">LEFT(L47,MIN(FIND({"A","B","C"},MID(L47,2,LEN(L47))&amp;"ABC")))</f>
        <v>A94</v>
      </c>
      <c r="N47" s="24" t="str">
        <f t="array" ref="N47">SUBSTITUTE(L47,M47,"")</f>
        <v>B542</v>
      </c>
      <c r="O47" s="113">
        <v>43760</v>
      </c>
      <c r="S47" s="23">
        <v>43762</v>
      </c>
      <c r="T47" s="264">
        <f>IF(AND(C47&gt;0,D47=""),SUMIFS(yj!I:I,yj!B:B,plan!A47,yj!G:G,"&gt;="&amp;Q47,yj!G:G,"&lt;="&amp;S47),"")</f>
        <v>0</v>
      </c>
      <c r="U47" s="264">
        <f>SUMIFS(四面弹库存!F:F,四面弹库存!B:B,plan!A47,四面弹库存!O:O,IF(H47&lt;&gt;"黑丝","白","黑"))</f>
        <v>217</v>
      </c>
      <c r="V47" s="264"/>
      <c r="W47" s="369" t="str">
        <f t="shared" si="0"/>
        <v/>
      </c>
      <c r="X47" s="258" t="str">
        <f>IF(B47="","",IF(S47&lt;&gt;"","",IF(AND(Z47&lt;&gt;"",AA47&lt;&gt;""),SUM(Z47:AA47),IF(AB47&lt;&gt;"",(I47/((1/((G47+2)/100*K47/1000))*0.9144)/IF(H47="黑丝",22,20)-AB47)*(IF(H47="黑丝",22,20)),I47/((1/((G47+2)/100*K47/1000))*0.9144)))))</f>
        <v/>
      </c>
      <c r="Y47" s="36" t="str">
        <f>IF(OR(B47="",D47&lt;&gt;""),"",IF(S47&lt;&gt;"","",I47/((1/((G47+2)/100*K47/1000))*0.9144)/IF(H47="黑丝",22,20)-AB47))</f>
        <v/>
      </c>
      <c r="Z47" s="340" t="str">
        <f>IF(AND(C47&gt;0,D47&lt;&gt;"",S47=""),VLOOKUP(A47&amp;IF(H47="黑丝","黑","白")&amp;E47,经纬!A:M,13,FALSE)*(I47-AB47),"")</f>
        <v/>
      </c>
      <c r="AA47" s="340" t="str">
        <f>IF(AND(C47&gt;0,D47&lt;&gt;"",S47=""),VLOOKUP(A47&amp;IF(H47="黑丝","黑","白")&amp;E47,经纬!A:N,14,FALSE)*(I47-AB47),"")</f>
        <v/>
      </c>
      <c r="AC47" s="8"/>
      <c r="AD47" s="8"/>
      <c r="AE47" s="250" t="str">
        <f>IF(COUNTIF(A$2:A47,A47)=1,M47,LOOKUP(1,0/(A$1:A46=A47),AE$1:AE46)&amp;" "&amp;M47)</f>
        <v>A94</v>
      </c>
    </row>
    <row r="48" spans="1:31" outlineLevel="1">
      <c r="A48" s="233" t="s">
        <v>1665</v>
      </c>
      <c r="B48" s="24" t="str">
        <f>IF(A48="","",IF(LEFT(A48)&gt;"9",VLOOKUP(A48,yuanjidaimachichun,2,FALSE),VLOOKUP(A48,经纬!B:C,2,FALSE)))</f>
        <v>A75-30-28</v>
      </c>
      <c r="C48" s="8" t="str">
        <f>IF(ISERROR(FIND("*",B48)),MID(B48,2,FIND("-",B48)-2),LEFT(B48,FIND("*",B48)-1))</f>
        <v>75</v>
      </c>
      <c r="D48" s="8" t="str">
        <f>IF(ISERROR(FIND("*",B48)),"",RIGHT(B48,LEN(B48)-FIND("*",B48)))</f>
        <v/>
      </c>
      <c r="E48" s="89" t="str">
        <f>VLOOKUP(A48,小圆机汇总表!A:AQ,4,FALSE)</f>
        <v>斜乱平纹</v>
      </c>
      <c r="G48" s="8">
        <v>158</v>
      </c>
      <c r="H48" s="8" t="s">
        <v>1499</v>
      </c>
      <c r="I48" s="8">
        <v>10000</v>
      </c>
      <c r="J48" s="8">
        <v>48</v>
      </c>
      <c r="K48" s="8">
        <v>51</v>
      </c>
      <c r="L48" s="8" t="s">
        <v>1664</v>
      </c>
      <c r="M48" s="24" t="str">
        <f t="array" ref="M48">LEFT(L48,MIN(FIND({"A","B","C"},MID(L48,2,LEN(L48))&amp;"ABC")))</f>
        <v>A94</v>
      </c>
      <c r="N48" s="24" t="str">
        <f t="array" ref="N48">SUBSTITUTE(L48,M48,"")</f>
        <v>B542</v>
      </c>
      <c r="O48" s="113">
        <v>43760</v>
      </c>
      <c r="Q48" s="389">
        <v>43764</v>
      </c>
      <c r="S48" s="23">
        <v>43773</v>
      </c>
      <c r="T48" s="264">
        <f>IF(AND(C48&gt;0,D48=""),SUMIFS(yj!I:I,yj!B:B,plan!A48,yj!G:G,"&gt;="&amp;Q48,yj!G:G,"&lt;="&amp;S48),"")</f>
        <v>140</v>
      </c>
      <c r="U48" s="264">
        <f>SUMIFS(四面弹库存!F:F,四面弹库存!B:B,plan!A48,四面弹库存!O:O,IF(H48&lt;&gt;"黑丝","白","黑"))</f>
        <v>28</v>
      </c>
      <c r="V48" s="264"/>
      <c r="W48" s="369" t="str">
        <f t="shared" si="0"/>
        <v/>
      </c>
      <c r="X48" s="258" t="str">
        <f>IF(B48="","",IF(S48&lt;&gt;"","",IF(AND(Z48&lt;&gt;"",AA48&lt;&gt;""),SUM(Z48:AA48),IF(AB48&lt;&gt;"",(I48/((1/((G48+2)/100*K48/1000))*0.9144)/IF(H48="黑丝",22,20)-AB48)*(IF(H48="黑丝",22,20)),I48/((1/((G48+2)/100*K48/1000))*0.9144)))))</f>
        <v/>
      </c>
      <c r="Y48" s="36" t="str">
        <f>IF(OR(B48="",D48&lt;&gt;""),"",IF(S48&lt;&gt;"","",I48/((1/((G48+2)/100*K48/1000))*0.9144)/IF(H48="黑丝",22,20)-AB48))</f>
        <v/>
      </c>
      <c r="Z48" s="340" t="str">
        <f>IF(AND(C48&gt;0,D48&lt;&gt;"",S48=""),VLOOKUP(A48&amp;IF(H48="黑丝","黑","白")&amp;E48,经纬!A:M,13,FALSE)*(I48-AB48),"")</f>
        <v/>
      </c>
      <c r="AA48" s="340" t="str">
        <f>IF(AND(C48&gt;0,D48&lt;&gt;"",S48=""),VLOOKUP(A48&amp;IF(H48="黑丝","黑","白")&amp;E48,经纬!A:N,14,FALSE)*(I48-AB48),"")</f>
        <v/>
      </c>
      <c r="AB48" s="8">
        <v>48</v>
      </c>
      <c r="AC48" s="8" t="s">
        <v>2886</v>
      </c>
      <c r="AD48" s="8"/>
      <c r="AE48" s="250" t="str">
        <f>IF(COUNTIF(A$2:A48,A48)=1,M48,LOOKUP(1,0/(A$1:A47=A48),AE$1:AE47)&amp;" "&amp;M48)</f>
        <v>A94</v>
      </c>
    </row>
    <row r="49" spans="1:31" outlineLevel="1">
      <c r="A49" s="233" t="s">
        <v>1665</v>
      </c>
      <c r="B49" s="24" t="str">
        <f>IF(A49="","",IF(LEFT(A49)&gt;"9",VLOOKUP(A49,yuanjidaimachichun,2,FALSE),VLOOKUP(A49,经纬!B:C,2,FALSE)))</f>
        <v>A75-30-28</v>
      </c>
      <c r="C49" s="8" t="str">
        <f>IF(ISERROR(FIND("*",B49)),MID(B49,2,FIND("-",B49)-2),LEFT(B49,FIND("*",B49)-1))</f>
        <v>75</v>
      </c>
      <c r="D49" s="8" t="str">
        <f>IF(ISERROR(FIND("*",B49)),"",RIGHT(B49,LEN(B49)-FIND("*",B49)))</f>
        <v/>
      </c>
      <c r="E49" s="89" t="str">
        <f>VLOOKUP(A49,小圆机汇总表!A:AQ,4,FALSE)</f>
        <v>斜乱平纹</v>
      </c>
      <c r="G49" s="8">
        <v>158</v>
      </c>
      <c r="H49" s="8" t="s">
        <v>1640</v>
      </c>
      <c r="I49" s="8">
        <v>10000</v>
      </c>
      <c r="J49" s="8">
        <v>48</v>
      </c>
      <c r="K49" s="8">
        <v>51</v>
      </c>
      <c r="L49" s="8" t="s">
        <v>1664</v>
      </c>
      <c r="M49" s="24" t="str">
        <f t="array" ref="M49">LEFT(L49,MIN(FIND({"A","B","C"},MID(L49,2,LEN(L49))&amp;"ABC")))</f>
        <v>A94</v>
      </c>
      <c r="N49" s="24" t="str">
        <f t="array" ref="N49">SUBSTITUTE(L49,M49,"")</f>
        <v>B542</v>
      </c>
      <c r="O49" s="113">
        <v>43760</v>
      </c>
      <c r="Q49" s="389">
        <v>43764</v>
      </c>
      <c r="S49" s="23">
        <v>43772</v>
      </c>
      <c r="T49" s="264">
        <f>IF(AND(C49&gt;0,D49=""),SUMIFS(yj!I:I,yj!B:B,plan!A49,yj!G:G,"&gt;="&amp;Q49,yj!G:G,"&lt;="&amp;S49),"")</f>
        <v>126</v>
      </c>
      <c r="U49" s="264">
        <f>SUMIFS(四面弹库存!F:F,四面弹库存!B:B,plan!A49,四面弹库存!O:O,IF(H49&lt;&gt;"黑丝","白","黑"))</f>
        <v>28</v>
      </c>
      <c r="V49" s="264"/>
      <c r="W49" s="369" t="str">
        <f t="shared" si="0"/>
        <v/>
      </c>
      <c r="X49" s="258" t="str">
        <f>IF(B49="","",IF(S49&lt;&gt;"","",IF(AND(Z49&lt;&gt;"",AA49&lt;&gt;""),SUM(Z49:AA49),IF(AB49&lt;&gt;"",(I49/((1/((G49+2)/100*K49/1000))*0.9144)/IF(H49="黑丝",22,20)-AB49)*(IF(H49="黑丝",22,20)),I49/((1/((G49+2)/100*K49/1000))*0.9144)))))</f>
        <v/>
      </c>
      <c r="Y49" s="36" t="str">
        <f>IF(OR(B49="",D49&lt;&gt;""),"",IF(S49&lt;&gt;"","",I49/((1/((G49+2)/100*K49/1000))*0.9144)/IF(H49="黑丝",22,20)-AB49))</f>
        <v/>
      </c>
      <c r="Z49" s="340" t="str">
        <f>IF(AND(C49&gt;0,D49&lt;&gt;"",S49=""),VLOOKUP(A49&amp;IF(H49="黑丝","黑","白")&amp;E49,经纬!A:M,13,FALSE)*(I49-AB49),"")</f>
        <v/>
      </c>
      <c r="AA49" s="340" t="str">
        <f>IF(AND(C49&gt;0,D49&lt;&gt;"",S49=""),VLOOKUP(A49&amp;IF(H49="黑丝","黑","白")&amp;E49,经纬!A:N,14,FALSE)*(I49-AB49),"")</f>
        <v/>
      </c>
      <c r="AB49" s="8">
        <v>96</v>
      </c>
      <c r="AC49" s="8" t="s">
        <v>2784</v>
      </c>
      <c r="AD49" s="8"/>
      <c r="AE49" s="250" t="str">
        <f>IF(COUNTIF(A$2:A49,A49)=1,M49,LOOKUP(1,0/(A$1:A48=A49),AE$1:AE48)&amp;" "&amp;M49)</f>
        <v>A94 A94</v>
      </c>
    </row>
    <row r="50" spans="1:31" outlineLevel="1">
      <c r="A50" s="233" t="s">
        <v>1605</v>
      </c>
      <c r="B50" s="24" t="str">
        <f>IF(A50="","",IF(LEFT(A50)&gt;"9",VLOOKUP(A50,yuanjidaimachichun,2,FALSE),VLOOKUP(A50,经纬!B:C,2,FALSE)))</f>
        <v>C75-30-20</v>
      </c>
      <c r="C50" s="8" t="str">
        <f>IF(ISERROR(FIND("*",B50)),MID(B50,2,FIND("-",B50)-2),LEFT(B50,FIND("*",B50)-1))</f>
        <v>75</v>
      </c>
      <c r="D50" s="8" t="str">
        <f>IF(ISERROR(FIND("*",B50)),"",RIGHT(B50,LEN(B50)-FIND("*",B50)))</f>
        <v/>
      </c>
      <c r="E50" s="89" t="str">
        <f>VLOOKUP(A50,小圆机汇总表!A:AQ,4,FALSE)</f>
        <v>大W</v>
      </c>
      <c r="G50" s="8">
        <v>162</v>
      </c>
      <c r="H50" s="8" t="s">
        <v>1499</v>
      </c>
      <c r="I50" s="8">
        <v>25000</v>
      </c>
      <c r="J50" s="8">
        <v>42</v>
      </c>
      <c r="K50" s="8">
        <v>38</v>
      </c>
      <c r="L50" s="8" t="s">
        <v>1667</v>
      </c>
      <c r="M50" s="24" t="str">
        <f t="array" ref="M50">LEFT(L50,MIN(FIND({"A","B","C"},MID(L50,2,LEN(L50))&amp;"ABC")))</f>
        <v>A35</v>
      </c>
      <c r="N50" s="24" t="str">
        <f t="array" ref="N50">SUBSTITUTE(L50,M50,"")</f>
        <v>C400</v>
      </c>
      <c r="O50" s="113">
        <v>43760</v>
      </c>
      <c r="Q50" s="389">
        <v>43761</v>
      </c>
      <c r="S50" s="23">
        <v>43764</v>
      </c>
      <c r="T50" s="264">
        <f>IF(AND(C50&gt;0,D50=""),SUMIFS(yj!I:I,yj!B:B,plan!A50,yj!G:G,"&gt;="&amp;Q50,yj!G:G,"&lt;="&amp;S50),"")</f>
        <v>85</v>
      </c>
      <c r="U50" s="264">
        <f>SUMIFS(四面弹库存!F:F,四面弹库存!B:B,plan!A50,四面弹库存!O:O,IF(H50&lt;&gt;"黑丝","白","黑"))</f>
        <v>67</v>
      </c>
      <c r="V50" s="264"/>
      <c r="W50" s="369" t="str">
        <f t="shared" si="0"/>
        <v/>
      </c>
      <c r="X50" s="258" t="str">
        <f>IF(B50="","",IF(S50&lt;&gt;"","",IF(AND(Z50&lt;&gt;"",AA50&lt;&gt;""),SUM(Z50:AA50),IF(AB50&lt;&gt;"",(I50/((1/((G50+2)/100*K50/1000))*0.9144)/IF(H50="黑丝",22,20)-AB50)*(IF(H50="黑丝",22,20)),I50/((1/((G50+2)/100*K50/1000))*0.9144)))))</f>
        <v/>
      </c>
      <c r="Y50" s="36" t="str">
        <f>IF(OR(B50="",D50&lt;&gt;""),"",IF(S50&lt;&gt;"","",I50/((1/((G50+2)/100*K50/1000))*0.9144)/IF(H50="黑丝",22,20)-AB50))</f>
        <v/>
      </c>
      <c r="Z50" s="340" t="str">
        <f>IF(AND(C50&gt;0,D50&lt;&gt;"",S50=""),VLOOKUP(A50&amp;IF(H50="黑丝","黑","白")&amp;E50,经纬!A:M,13,FALSE)*(I50-AB50),"")</f>
        <v/>
      </c>
      <c r="AA50" s="340" t="str">
        <f>IF(AND(C50&gt;0,D50&lt;&gt;"",S50=""),VLOOKUP(A50&amp;IF(H50="黑丝","黑","白")&amp;E50,经纬!A:N,14,FALSE)*(I50-AB50),"")</f>
        <v/>
      </c>
      <c r="AC50" s="8"/>
      <c r="AD50" s="8"/>
      <c r="AE50" s="250" t="str">
        <f>IF(COUNTIF(A$2:A50,A50)=1,M50,LOOKUP(1,0/(A$1:A49=A50),AE$1:AE49)&amp;" "&amp;M50)</f>
        <v>A35 A35 A35</v>
      </c>
    </row>
    <row r="51" spans="1:31" outlineLevel="1">
      <c r="A51" s="233" t="s">
        <v>1752</v>
      </c>
      <c r="B51" s="24" t="str">
        <f>IF(A51="","",IF(LEFT(A51)&gt;"9",VLOOKUP(A51,yuanjidaimachichun,2,FALSE),VLOOKUP(A51,经纬!B:C,2,FALSE)))</f>
        <v>50*50</v>
      </c>
      <c r="C51" s="8" t="str">
        <f>IF(ISERROR(FIND("*",B51)),MID(B51,2,FIND("-",B51)-2),LEFT(B51,FIND("*",B51)-1))</f>
        <v>50</v>
      </c>
      <c r="D51" s="8" t="str">
        <f>IF(ISERROR(FIND("*",B51)),"",RIGHT(B51,LEN(B51)-FIND("*",B51)))</f>
        <v>50</v>
      </c>
      <c r="E51" s="89" t="s">
        <v>1753</v>
      </c>
      <c r="F51" s="89" t="s">
        <v>2612</v>
      </c>
      <c r="G51" s="8">
        <v>190.5</v>
      </c>
      <c r="H51" s="8" t="s">
        <v>1499</v>
      </c>
      <c r="I51" s="8">
        <v>5000</v>
      </c>
      <c r="J51" s="8">
        <v>37</v>
      </c>
      <c r="L51" s="8" t="s">
        <v>1754</v>
      </c>
      <c r="M51" s="24" t="str">
        <f t="array" ref="M51">LEFT(L51,MIN(FIND({"A","B","C"},MID(L51,2,LEN(L51))&amp;"ABC")))</f>
        <v>A94</v>
      </c>
      <c r="N51" s="24" t="str">
        <f t="array" ref="N51">SUBSTITUTE(L51,M51,"")</f>
        <v>B536</v>
      </c>
      <c r="O51" s="113">
        <v>43759</v>
      </c>
      <c r="S51" s="23">
        <v>43774</v>
      </c>
      <c r="T51" s="264" t="str">
        <f>IF(AND(C51&gt;0,D51=""),SUMIFS(yj!I:I,yj!B:B,plan!A51,yj!G:G,"&gt;="&amp;Q51,yj!G:G,"&lt;="&amp;S51),"")</f>
        <v/>
      </c>
      <c r="U51" s="264">
        <f>SUMIFS(四面弹库存!F:F,四面弹库存!B:B,plan!A51,四面弹库存!O:O,IF(H51&lt;&gt;"黑丝","白","黑"))</f>
        <v>0</v>
      </c>
      <c r="V51" s="264"/>
      <c r="W51" s="369" t="str">
        <f t="shared" si="0"/>
        <v/>
      </c>
      <c r="X51" s="258" t="str">
        <f>IF(B51="","",IF(S51&lt;&gt;"","",IF(AND(Z51&lt;&gt;"",AA51&lt;&gt;""),SUM(Z51:AA51),IF(AB51&lt;&gt;"",(I51/((1/((G51+2)/100*K51/1000))*0.9144)/IF(H51="黑丝",22,20)-AB51)*(IF(H51="黑丝",22,20)),I51/((1/((G51+2)/100*K51/1000))*0.9144)))))</f>
        <v/>
      </c>
      <c r="Y51" s="36" t="str">
        <f>IF(OR(B51="",D51&lt;&gt;""),"",IF(S51&lt;&gt;"","",I51/((1/((G51+2)/100*K51/1000))*0.9144)/IF(H51="黑丝",22,20)-AB51))</f>
        <v/>
      </c>
      <c r="Z51" s="340" t="str">
        <f>IF(AND(C51&gt;0,D51&lt;&gt;"",S51=""),VLOOKUP(A51&amp;IF(H51="黑丝","黑","白")&amp;E51,经纬!A:M,13,FALSE)*(I51-AB51),"")</f>
        <v/>
      </c>
      <c r="AA51" s="340" t="str">
        <f>IF(AND(C51&gt;0,D51&lt;&gt;"",S51=""),VLOOKUP(A51&amp;IF(H51="黑丝","黑","白")&amp;E51,经纬!A:N,14,FALSE)*(I51-AB51),"")</f>
        <v/>
      </c>
      <c r="AB51" s="8">
        <v>7000</v>
      </c>
      <c r="AC51" s="8" t="s">
        <v>3137</v>
      </c>
      <c r="AD51" s="8"/>
      <c r="AE51" s="250" t="str">
        <f>IF(COUNTIF(A$2:A51,A51)=1,M51,LOOKUP(1,0/(A$1:A50=A51),AE$1:AE50)&amp;" "&amp;M51)</f>
        <v>A94</v>
      </c>
    </row>
    <row r="52" spans="1:31" outlineLevel="1">
      <c r="A52" s="233" t="s">
        <v>1752</v>
      </c>
      <c r="B52" s="24" t="str">
        <f>IF(A52="","",IF(LEFT(A52)&gt;"9",VLOOKUP(A52,yuanjidaimachichun,2,FALSE),VLOOKUP(A52,经纬!B:C,2,FALSE)))</f>
        <v>50*50</v>
      </c>
      <c r="C52" s="8" t="str">
        <f>IF(ISERROR(FIND("*",B52)),MID(B52,2,FIND("-",B52)-2),LEFT(B52,FIND("*",B52)-1))</f>
        <v>50</v>
      </c>
      <c r="D52" s="8" t="str">
        <f>IF(ISERROR(FIND("*",B52)),"",RIGHT(B52,LEN(B52)-FIND("*",B52)))</f>
        <v>50</v>
      </c>
      <c r="E52" s="89" t="s">
        <v>1753</v>
      </c>
      <c r="F52" s="89" t="s">
        <v>2612</v>
      </c>
      <c r="G52" s="8">
        <v>190.5</v>
      </c>
      <c r="H52" s="8" t="s">
        <v>1640</v>
      </c>
      <c r="I52" s="8">
        <v>10000</v>
      </c>
      <c r="J52" s="8">
        <v>37</v>
      </c>
      <c r="L52" s="8" t="s">
        <v>1754</v>
      </c>
      <c r="M52" s="24" t="str">
        <f t="array" ref="M52">LEFT(L52,MIN(FIND({"A","B","C"},MID(L52,2,LEN(L52))&amp;"ABC")))</f>
        <v>A94</v>
      </c>
      <c r="N52" s="24" t="str">
        <f t="array" ref="N52">SUBSTITUTE(L52,M52,"")</f>
        <v>B536</v>
      </c>
      <c r="O52" s="113">
        <v>43759</v>
      </c>
      <c r="S52" s="23">
        <v>43775</v>
      </c>
      <c r="T52" s="264" t="str">
        <f>IF(AND(C52&gt;0,D52=""),SUMIFS(yj!I:I,yj!B:B,plan!A52,yj!G:G,"&gt;="&amp;Q52,yj!G:G,"&lt;="&amp;S52),"")</f>
        <v/>
      </c>
      <c r="U52" s="264">
        <f>SUMIFS(四面弹库存!F:F,四面弹库存!B:B,plan!A52,四面弹库存!O:O,IF(H52&lt;&gt;"黑丝","白","黑"))</f>
        <v>0</v>
      </c>
      <c r="V52" s="264"/>
      <c r="W52" s="369" t="str">
        <f t="shared" si="0"/>
        <v/>
      </c>
      <c r="X52" s="258" t="str">
        <f>IF(B52="","",IF(S52&lt;&gt;"","",IF(AND(Z52&lt;&gt;"",AA52&lt;&gt;""),SUM(Z52:AA52),IF(AB52&lt;&gt;"",(I52/((1/((G52+2)/100*K52/1000))*0.9144)/IF(H52="黑丝",22,20)-AB52)*(IF(H52="黑丝",22,20)),I52/((1/((G52+2)/100*K52/1000))*0.9144)))))</f>
        <v/>
      </c>
      <c r="Y52" s="36" t="str">
        <f>IF(OR(B52="",D52&lt;&gt;""),"",IF(S52&lt;&gt;"","",I52/((1/((G52+2)/100*K52/1000))*0.9144)/IF(H52="黑丝",22,20)-AB52))</f>
        <v/>
      </c>
      <c r="Z52" s="340" t="str">
        <f>IF(AND(C52&gt;0,D52&lt;&gt;"",S52=""),VLOOKUP(A52&amp;IF(H52="黑丝","黑","白")&amp;E52,经纬!A:M,13,FALSE)*(I52-AB52),"")</f>
        <v/>
      </c>
      <c r="AA52" s="340" t="str">
        <f>IF(AND(C52&gt;0,D52&lt;&gt;"",S52=""),VLOOKUP(A52&amp;IF(H52="黑丝","黑","白")&amp;E52,经纬!A:N,14,FALSE)*(I52-AB52),"")</f>
        <v/>
      </c>
      <c r="AB52" s="8">
        <v>10000</v>
      </c>
      <c r="AC52" s="8" t="s">
        <v>3148</v>
      </c>
      <c r="AD52" s="8"/>
      <c r="AE52" s="250" t="str">
        <f>IF(COUNTIF(A$2:A52,A52)=1,M52,LOOKUP(1,0/(A$1:A51=A52),AE$1:AE51)&amp;" "&amp;M52)</f>
        <v>A94 A94</v>
      </c>
    </row>
    <row r="53" spans="1:31" outlineLevel="1">
      <c r="A53" s="233" t="s">
        <v>1762</v>
      </c>
      <c r="B53" s="24" t="str">
        <f>IF(A53="","",IF(LEFT(A53)&gt;"9",VLOOKUP(A53,yuanjidaimachichun,2,FALSE),VLOOKUP(A53,经纬!B:C,2,FALSE)))</f>
        <v>75*75</v>
      </c>
      <c r="C53" s="8" t="str">
        <f>IF(ISERROR(FIND("*",B53)),MID(B53,2,FIND("-",B53)-2),LEFT(B53,FIND("*",B53)-1))</f>
        <v>75</v>
      </c>
      <c r="D53" s="8" t="str">
        <f>IF(ISERROR(FIND("*",B53)),"",RIGHT(B53,LEN(B53)-FIND("*",B53)))</f>
        <v>75</v>
      </c>
      <c r="E53" s="89" t="s">
        <v>1753</v>
      </c>
      <c r="F53" s="89" t="s">
        <v>2612</v>
      </c>
      <c r="G53" s="8">
        <v>190.5</v>
      </c>
      <c r="H53" s="8" t="s">
        <v>1499</v>
      </c>
      <c r="I53" s="8">
        <v>5000</v>
      </c>
      <c r="J53" s="8">
        <v>43</v>
      </c>
      <c r="L53" s="8" t="s">
        <v>1754</v>
      </c>
      <c r="M53" s="24" t="str">
        <f t="array" ref="M53">LEFT(L53,MIN(FIND({"A","B","C"},MID(L53,2,LEN(L53))&amp;"ABC")))</f>
        <v>A94</v>
      </c>
      <c r="N53" s="24" t="str">
        <f t="array" ref="N53">SUBSTITUTE(L53,M53,"")</f>
        <v>B536</v>
      </c>
      <c r="O53" s="113">
        <v>43759</v>
      </c>
      <c r="S53" s="23">
        <v>43774</v>
      </c>
      <c r="T53" s="264" t="str">
        <f>IF(AND(C53&gt;0,D53=""),SUMIFS(yj!I:I,yj!B:B,plan!A53,yj!G:G,"&gt;="&amp;Q53,yj!G:G,"&lt;="&amp;S53),"")</f>
        <v/>
      </c>
      <c r="U53" s="264">
        <f>SUMIFS(四面弹库存!F:F,四面弹库存!B:B,plan!A53,四面弹库存!O:O,IF(H53&lt;&gt;"黑丝","白","黑"))</f>
        <v>0</v>
      </c>
      <c r="V53" s="264"/>
      <c r="W53" s="369" t="str">
        <f>IF(A53="","",IF(S53&lt;&gt;"","",IF(D53&lt;&gt;"",(I53-AB53),Y53*IF(H53="黑丝",22,20)*0.9144/((K53/1000)*((G53+2)/100)))))</f>
        <v/>
      </c>
      <c r="X53" s="258" t="str">
        <f>IF(B53="","",IF(S53&lt;&gt;"","",IF(AND(Z53&lt;&gt;"",AA53&lt;&gt;""),SUM(Z53:AA53),IF(AB53&lt;&gt;"",(I53/((1/((G53+2)/100*K53/1000))*0.9144)/IF(H53="黑丝",22,20)-AB53)*(IF(H53="黑丝",22,20)),I53/((1/((G53+2)/100*K53/1000))*0.9144)))))</f>
        <v/>
      </c>
      <c r="Y53" s="36" t="str">
        <f>IF(OR(B53="",D53&lt;&gt;""),"",IF(S53&lt;&gt;"","",I53/((1/((G53+2)/100*K53/1000))*0.9144)/IF(H53="黑丝",22,20)-AB53))</f>
        <v/>
      </c>
      <c r="Z53" s="340" t="str">
        <f>IF(AND(C53&gt;0,D53&lt;&gt;"",S53=""),VLOOKUP(A53&amp;IF(H53="黑丝","黑","白")&amp;E53,经纬!A:M,13,FALSE)*(I53-AB53),"")</f>
        <v/>
      </c>
      <c r="AA53" s="340" t="str">
        <f>IF(AND(C53&gt;0,D53&lt;&gt;"",S53=""),VLOOKUP(A53&amp;IF(H53="黑丝","黑","白")&amp;E53,经纬!A:N,14,FALSE)*(I53-AB53),"")</f>
        <v/>
      </c>
      <c r="AB53" s="8">
        <v>7000</v>
      </c>
      <c r="AC53" s="8" t="s">
        <v>3138</v>
      </c>
      <c r="AD53" s="8"/>
      <c r="AE53" s="250" t="str">
        <f>IF(COUNTIF(A$2:A53,A53)=1,M53,LOOKUP(1,0/(A$1:A52=A53),AE$1:AE52)&amp;" "&amp;M53)</f>
        <v>A94</v>
      </c>
    </row>
    <row r="54" spans="1:31" outlineLevel="1">
      <c r="A54" s="233" t="s">
        <v>1762</v>
      </c>
      <c r="B54" s="24" t="str">
        <f>IF(A54="","",IF(LEFT(A54)&gt;"9",VLOOKUP(A54,yuanjidaimachichun,2,FALSE),VLOOKUP(A54,经纬!B:C,2,FALSE)))</f>
        <v>75*75</v>
      </c>
      <c r="C54" s="8" t="str">
        <f>IF(ISERROR(FIND("*",B54)),MID(B54,2,FIND("-",B54)-2),LEFT(B54,FIND("*",B54)-1))</f>
        <v>75</v>
      </c>
      <c r="D54" s="8" t="str">
        <f>IF(ISERROR(FIND("*",B54)),"",RIGHT(B54,LEN(B54)-FIND("*",B54)))</f>
        <v>75</v>
      </c>
      <c r="E54" s="89" t="s">
        <v>1753</v>
      </c>
      <c r="F54" s="89" t="s">
        <v>2612</v>
      </c>
      <c r="G54" s="8">
        <v>190.5</v>
      </c>
      <c r="H54" s="8" t="s">
        <v>1640</v>
      </c>
      <c r="I54" s="8">
        <v>10000</v>
      </c>
      <c r="J54" s="8">
        <v>43</v>
      </c>
      <c r="L54" s="8" t="s">
        <v>1754</v>
      </c>
      <c r="M54" s="24" t="str">
        <f t="array" ref="M54">LEFT(L54,MIN(FIND({"A","B","C"},MID(L54,2,LEN(L54))&amp;"ABC")))</f>
        <v>A94</v>
      </c>
      <c r="N54" s="24" t="str">
        <f t="array" ref="N54">SUBSTITUTE(L54,M54,"")</f>
        <v>B536</v>
      </c>
      <c r="O54" s="113">
        <v>43759</v>
      </c>
      <c r="S54" s="23">
        <v>43775</v>
      </c>
      <c r="T54" s="264" t="str">
        <f>IF(AND(C54&gt;0,D54=""),SUMIFS(yj!I:I,yj!B:B,plan!A54,yj!G:G,"&gt;="&amp;Q54,yj!G:G,"&lt;="&amp;S54),"")</f>
        <v/>
      </c>
      <c r="U54" s="264">
        <f>SUMIFS(四面弹库存!F:F,四面弹库存!B:B,plan!A54,四面弹库存!O:O,IF(H54&lt;&gt;"黑丝","白","黑"))</f>
        <v>0</v>
      </c>
      <c r="V54" s="264"/>
      <c r="W54" s="369" t="str">
        <f>IF(A54="","",IF(S54&lt;&gt;"","",IF(D54&lt;&gt;"",(I54-AB54),Y54*IF(H54="黑丝",22,20)*0.9144/((K54/1000)*((G54+2)/100)))))</f>
        <v/>
      </c>
      <c r="X54" s="258" t="str">
        <f>IF(B54="","",IF(S54&lt;&gt;"","",IF(AND(Z54&lt;&gt;"",AA54&lt;&gt;""),SUM(Z54:AA54),IF(AB54&lt;&gt;"",(I54/((1/((G54+2)/100*K54/1000))*0.9144)/IF(H54="黑丝",22,20)-AB54)*(IF(H54="黑丝",22,20)),I54/((1/((G54+2)/100*K54/1000))*0.9144)))))</f>
        <v/>
      </c>
      <c r="Y54" s="36" t="str">
        <f>IF(OR(B54="",D54&lt;&gt;""),"",IF(S54&lt;&gt;"","",I54/((1/((G54+2)/100*K54/1000))*0.9144)/IF(H54="黑丝",22,20)-AB54))</f>
        <v/>
      </c>
      <c r="Z54" s="340" t="str">
        <f>IF(AND(C54&gt;0,D54&lt;&gt;"",S54=""),VLOOKUP(A54&amp;IF(H54="黑丝","黑","白")&amp;E54,经纬!A:M,13,FALSE)*(I54-AB54),"")</f>
        <v/>
      </c>
      <c r="AA54" s="340" t="str">
        <f>IF(AND(C54&gt;0,D54&lt;&gt;"",S54=""),VLOOKUP(A54&amp;IF(H54="黑丝","黑","白")&amp;E54,经纬!A:N,14,FALSE)*(I54-AB54),"")</f>
        <v/>
      </c>
      <c r="AB54" s="8">
        <v>13000</v>
      </c>
      <c r="AC54" s="8" t="s">
        <v>3149</v>
      </c>
      <c r="AD54" s="8"/>
      <c r="AE54" s="250" t="str">
        <f>IF(COUNTIF(A$2:A54,A54)=1,M54,LOOKUP(1,0/(A$1:A53=A54),AE$1:AE53)&amp;" "&amp;M54)</f>
        <v>A94 A94</v>
      </c>
    </row>
    <row r="55" spans="1:31" outlineLevel="1">
      <c r="A55" s="233" t="s">
        <v>1763</v>
      </c>
      <c r="B55" s="24" t="str">
        <f>IF(A55="","",IF(LEFT(A55)&gt;"9",VLOOKUP(A55,yuanjidaimachichun,2,FALSE),VLOOKUP(A55,经纬!B:C,2,FALSE)))</f>
        <v>75*150</v>
      </c>
      <c r="C55" s="8" t="str">
        <f>IF(ISERROR(FIND("*",B55)),MID(B55,2,FIND("-",B55)-2),LEFT(B55,FIND("*",B55)-1))</f>
        <v>75</v>
      </c>
      <c r="D55" s="8" t="str">
        <f>IF(ISERROR(FIND("*",B55)),"",RIGHT(B55,LEN(B55)-FIND("*",B55)))</f>
        <v>150</v>
      </c>
      <c r="E55" s="89" t="s">
        <v>1753</v>
      </c>
      <c r="F55" s="89" t="s">
        <v>2612</v>
      </c>
      <c r="G55" s="8">
        <v>190.5</v>
      </c>
      <c r="H55" s="8" t="s">
        <v>1499</v>
      </c>
      <c r="I55" s="8">
        <v>5000</v>
      </c>
      <c r="J55" s="8">
        <v>58</v>
      </c>
      <c r="L55" s="8" t="s">
        <v>1754</v>
      </c>
      <c r="M55" s="24" t="str">
        <f t="array" ref="M55">LEFT(L55,MIN(FIND({"A","B","C"},MID(L55,2,LEN(L55))&amp;"ABC")))</f>
        <v>A94</v>
      </c>
      <c r="N55" s="24" t="str">
        <f t="array" ref="N55">SUBSTITUTE(L55,M55,"")</f>
        <v>B536</v>
      </c>
      <c r="O55" s="113">
        <v>43759</v>
      </c>
      <c r="S55" s="23">
        <v>43774</v>
      </c>
      <c r="T55" s="264" t="str">
        <f>IF(AND(C55&gt;0,D55=""),SUMIFS(yj!I:I,yj!B:B,plan!A55,yj!G:G,"&gt;="&amp;Q55,yj!G:G,"&lt;="&amp;S55),"")</f>
        <v/>
      </c>
      <c r="U55" s="264">
        <f>SUMIFS(四面弹库存!F:F,四面弹库存!B:B,plan!A55,四面弹库存!O:O,IF(H55&lt;&gt;"黑丝","白","黑"))</f>
        <v>0</v>
      </c>
      <c r="V55" s="264"/>
      <c r="W55" s="369" t="str">
        <f t="shared" si="0"/>
        <v/>
      </c>
      <c r="X55" s="258" t="str">
        <f>IF(B55="","",IF(S55&lt;&gt;"","",IF(AND(Z55&lt;&gt;"",AA55&lt;&gt;""),SUM(Z55:AA55),IF(AB55&lt;&gt;"",(I55/((1/((G55+2)/100*K55/1000))*0.9144)/IF(H55="黑丝",22,20)-AB55)*(IF(H55="黑丝",22,20)),I55/((1/((G55+2)/100*K55/1000))*0.9144)))))</f>
        <v/>
      </c>
      <c r="Y55" s="36" t="str">
        <f>IF(OR(B55="",D55&lt;&gt;""),"",IF(S55&lt;&gt;"","",I55/((1/((G55+2)/100*K55/1000))*0.9144)/IF(H55="黑丝",22,20)-AB55))</f>
        <v/>
      </c>
      <c r="Z55" s="340" t="str">
        <f>IF(AND(C55&gt;0,D55&lt;&gt;"",S55=""),VLOOKUP(A55&amp;IF(H55="黑丝","黑","白")&amp;E55,经纬!A:M,13,FALSE)*(I55-AB55),"")</f>
        <v/>
      </c>
      <c r="AA55" s="340" t="str">
        <f>IF(AND(C55&gt;0,D55&lt;&gt;"",S55=""),VLOOKUP(A55&amp;IF(H55="黑丝","黑","白")&amp;E55,经纬!A:N,14,FALSE)*(I55-AB55),"")</f>
        <v/>
      </c>
      <c r="AB55" s="8">
        <v>7000</v>
      </c>
      <c r="AC55" s="8" t="s">
        <v>3139</v>
      </c>
      <c r="AD55" s="8"/>
      <c r="AE55" s="250" t="str">
        <f>IF(COUNTIF(A$2:A55,A55)=1,M55,LOOKUP(1,0/(A$1:A54=A55),AE$1:AE54)&amp;" "&amp;M55)</f>
        <v>A94</v>
      </c>
    </row>
    <row r="56" spans="1:31" outlineLevel="1">
      <c r="A56" s="233" t="s">
        <v>1763</v>
      </c>
      <c r="B56" s="24" t="str">
        <f>IF(A56="","",IF(LEFT(A56)&gt;"9",VLOOKUP(A56,yuanjidaimachichun,2,FALSE),VLOOKUP(A56,经纬!B:C,2,FALSE)))</f>
        <v>75*150</v>
      </c>
      <c r="C56" s="8" t="str">
        <f>IF(ISERROR(FIND("*",B56)),MID(B56,2,FIND("-",B56)-2),LEFT(B56,FIND("*",B56)-1))</f>
        <v>75</v>
      </c>
      <c r="D56" s="8" t="str">
        <f>IF(ISERROR(FIND("*",B56)),"",RIGHT(B56,LEN(B56)-FIND("*",B56)))</f>
        <v>150</v>
      </c>
      <c r="E56" s="89" t="s">
        <v>1753</v>
      </c>
      <c r="F56" s="89" t="s">
        <v>2612</v>
      </c>
      <c r="G56" s="8">
        <v>190.5</v>
      </c>
      <c r="H56" s="8" t="s">
        <v>1640</v>
      </c>
      <c r="I56" s="8">
        <v>10000</v>
      </c>
      <c r="J56" s="8">
        <v>58</v>
      </c>
      <c r="L56" s="8" t="s">
        <v>1754</v>
      </c>
      <c r="M56" s="24" t="str">
        <f t="array" ref="M56">LEFT(L56,MIN(FIND({"A","B","C"},MID(L56,2,LEN(L56))&amp;"ABC")))</f>
        <v>A94</v>
      </c>
      <c r="N56" s="24" t="str">
        <f t="array" ref="N56">SUBSTITUTE(L56,M56,"")</f>
        <v>B536</v>
      </c>
      <c r="O56" s="113">
        <v>43759</v>
      </c>
      <c r="S56" s="23">
        <v>43775</v>
      </c>
      <c r="T56" s="264" t="str">
        <f>IF(AND(C56&gt;0,D56=""),SUMIFS(yj!I:I,yj!B:B,plan!A56,yj!G:G,"&gt;="&amp;Q56,yj!G:G,"&lt;="&amp;S56),"")</f>
        <v/>
      </c>
      <c r="U56" s="264">
        <f>SUMIFS(四面弹库存!F:F,四面弹库存!B:B,plan!A56,四面弹库存!O:O,IF(H56&lt;&gt;"黑丝","白","黑"))</f>
        <v>0</v>
      </c>
      <c r="V56" s="264"/>
      <c r="W56" s="369" t="str">
        <f t="shared" si="0"/>
        <v/>
      </c>
      <c r="X56" s="258" t="str">
        <f>IF(B56="","",IF(S56&lt;&gt;"","",IF(AND(Z56&lt;&gt;"",AA56&lt;&gt;""),SUM(Z56:AA56),IF(AB56&lt;&gt;"",(I56/((1/((G56+2)/100*K56/1000))*0.9144)/IF(H56="黑丝",22,20)-AB56)*(IF(H56="黑丝",22,20)),I56/((1/((G56+2)/100*K56/1000))*0.9144)))))</f>
        <v/>
      </c>
      <c r="Y56" s="36" t="str">
        <f>IF(OR(B56="",D56&lt;&gt;""),"",IF(S56&lt;&gt;"","",I56/((1/((G56+2)/100*K56/1000))*0.9144)/IF(H56="黑丝",22,20)-AB56))</f>
        <v/>
      </c>
      <c r="Z56" s="340" t="str">
        <f>IF(AND(C56&gt;0,D56&lt;&gt;"",S56=""),VLOOKUP(A56&amp;IF(H56="黑丝","黑","白")&amp;E56,经纬!A:M,13,FALSE)*(I56-AB56),"")</f>
        <v/>
      </c>
      <c r="AA56" s="340" t="str">
        <f>IF(AND(C56&gt;0,D56&lt;&gt;"",S56=""),VLOOKUP(A56&amp;IF(H56="黑丝","黑","白")&amp;E56,经纬!A:N,14,FALSE)*(I56-AB56),"")</f>
        <v/>
      </c>
      <c r="AB56" s="8">
        <v>13000</v>
      </c>
      <c r="AC56" s="8" t="s">
        <v>3150</v>
      </c>
      <c r="AD56" s="8"/>
      <c r="AE56" s="250" t="str">
        <f>IF(COUNTIF(A$2:A56,A56)=1,M56,LOOKUP(1,0/(A$1:A55=A56),AE$1:AE55)&amp;" "&amp;M56)</f>
        <v>A94 A94</v>
      </c>
    </row>
    <row r="57" spans="1:31" outlineLevel="1">
      <c r="A57" s="233" t="s">
        <v>2274</v>
      </c>
      <c r="B57" s="24" t="str">
        <f>IF(A57="","",IF(LEFT(A57)&gt;"9",VLOOKUP(A57,yuanjidaimachichun,2,FALSE),VLOOKUP(A57,经纬!B:C,2,FALSE)))</f>
        <v>75*100</v>
      </c>
      <c r="C57" s="8" t="str">
        <f>IF(ISERROR(FIND("*",B57)),MID(B57,2,FIND("-",B57)-2),LEFT(B57,FIND("*",B57)-1))</f>
        <v>75</v>
      </c>
      <c r="D57" s="8" t="str">
        <f>IF(ISERROR(FIND("*",B57)),"",RIGHT(B57,LEN(B57)-FIND("*",B57)))</f>
        <v>100</v>
      </c>
      <c r="E57" s="89" t="s">
        <v>2444</v>
      </c>
      <c r="G57" s="8">
        <v>190.5</v>
      </c>
      <c r="H57" s="8" t="s">
        <v>1766</v>
      </c>
      <c r="I57" s="8">
        <v>28500</v>
      </c>
      <c r="J57" s="8">
        <v>52</v>
      </c>
      <c r="L57" s="8" t="s">
        <v>1767</v>
      </c>
      <c r="M57" s="24" t="str">
        <f t="array" ref="M57">LEFT(L57,MIN(FIND({"A","B","C"},MID(L57,2,LEN(L57))&amp;"ABC")))</f>
        <v>A186</v>
      </c>
      <c r="N57" s="24" t="str">
        <f t="array" ref="N57">SUBSTITUTE(L57,M57,"")</f>
        <v>B522</v>
      </c>
      <c r="O57" s="113">
        <v>43753</v>
      </c>
      <c r="S57" s="23">
        <v>43765</v>
      </c>
      <c r="T57" s="264" t="str">
        <f>IF(AND(C57&gt;0,D57=""),SUMIFS(yj!I:I,yj!B:B,plan!A57,yj!G:G,"&gt;="&amp;Q57,yj!G:G,"&lt;="&amp;S57),"")</f>
        <v/>
      </c>
      <c r="U57" s="264">
        <f>SUMIFS(四面弹库存!F:F,四面弹库存!B:B,plan!A57,四面弹库存!O:O,IF(H57&lt;&gt;"黑丝","白","黑"))</f>
        <v>0</v>
      </c>
      <c r="V57" s="264"/>
      <c r="W57" s="369" t="str">
        <f t="shared" si="0"/>
        <v/>
      </c>
      <c r="X57" s="258" t="str">
        <f>IF(B57="","",IF(S57&lt;&gt;"","",IF(AND(Z57&lt;&gt;"",AA57&lt;&gt;""),SUM(Z57:AA57),IF(AB57&lt;&gt;"",(I57/((1/((G57+2)/100*K57/1000))*0.9144)/IF(H57="黑丝",22,20)-AB57)*(IF(H57="黑丝",22,20)),I57/((1/((G57+2)/100*K57/1000))*0.9144)))))</f>
        <v/>
      </c>
      <c r="Y57" s="36" t="str">
        <f>IF(OR(B57="",D57&lt;&gt;""),"",IF(S57&lt;&gt;"","",I57/((1/((G57+2)/100*K57/1000))*0.9144)/IF(H57="黑丝",22,20)-AB57))</f>
        <v/>
      </c>
      <c r="Z57" s="340" t="str">
        <f>IF(AND(C57&gt;0,D57&lt;&gt;"",S57=""),VLOOKUP(A57&amp;IF(H57="黑丝","黑","白")&amp;E57,经纬!A:M,13,FALSE)*(I57-AB57),"")</f>
        <v/>
      </c>
      <c r="AA57" s="340" t="str">
        <f>IF(AND(C57&gt;0,D57&lt;&gt;"",S57=""),VLOOKUP(A57&amp;IF(H57="黑丝","黑","白")&amp;E57,经纬!A:N,14,FALSE)*(I57-AB57),"")</f>
        <v/>
      </c>
      <c r="AC57" s="8"/>
      <c r="AD57" s="8"/>
      <c r="AE57" s="250" t="str">
        <f>IF(COUNTIF(A$2:A57,A57)=1,M57,LOOKUP(1,0/(A$1:A56=A57),AE$1:AE56)&amp;" "&amp;M57)</f>
        <v>A186</v>
      </c>
    </row>
    <row r="58" spans="1:31" outlineLevel="1">
      <c r="A58" s="233" t="s">
        <v>2274</v>
      </c>
      <c r="B58" s="24" t="str">
        <f>IF(A58="","",IF(LEFT(A58)&gt;"9",VLOOKUP(A58,yuanjidaimachichun,2,FALSE),VLOOKUP(A58,经纬!B:C,2,FALSE)))</f>
        <v>75*100</v>
      </c>
      <c r="C58" s="8" t="str">
        <f>IF(ISERROR(FIND("*",B58)),MID(B58,2,FIND("-",B58)-2),LEFT(B58,FIND("*",B58)-1))</f>
        <v>75</v>
      </c>
      <c r="D58" s="8" t="str">
        <f>IF(ISERROR(FIND("*",B58)),"",RIGHT(B58,LEN(B58)-FIND("*",B58)))</f>
        <v>100</v>
      </c>
      <c r="E58" s="89" t="s">
        <v>2444</v>
      </c>
      <c r="G58" s="8">
        <v>190.5</v>
      </c>
      <c r="H58" s="8" t="s">
        <v>1654</v>
      </c>
      <c r="I58" s="8">
        <v>38500</v>
      </c>
      <c r="J58" s="8">
        <v>52</v>
      </c>
      <c r="L58" s="8" t="s">
        <v>1767</v>
      </c>
      <c r="M58" s="24" t="str">
        <f t="array" ref="M58">LEFT(L58,MIN(FIND({"A","B","C"},MID(L58,2,LEN(L58))&amp;"ABC")))</f>
        <v>A186</v>
      </c>
      <c r="N58" s="24" t="str">
        <f t="array" ref="N58">SUBSTITUTE(L58,M58,"")</f>
        <v>B522</v>
      </c>
      <c r="O58" s="113">
        <v>43753</v>
      </c>
      <c r="S58" s="23">
        <v>43765</v>
      </c>
      <c r="T58" s="264" t="str">
        <f>IF(AND(C58&gt;0,D58=""),SUMIFS(yj!I:I,yj!B:B,plan!A58,yj!G:G,"&gt;="&amp;Q58,yj!G:G,"&lt;="&amp;S58),"")</f>
        <v/>
      </c>
      <c r="U58" s="264">
        <f>SUMIFS(四面弹库存!F:F,四面弹库存!B:B,plan!A58,四面弹库存!O:O,IF(H58&lt;&gt;"黑丝","白","黑"))</f>
        <v>0</v>
      </c>
      <c r="V58" s="264"/>
      <c r="W58" s="369" t="str">
        <f t="shared" si="0"/>
        <v/>
      </c>
      <c r="X58" s="258" t="str">
        <f>IF(B58="","",IF(S58&lt;&gt;"","",IF(AND(Z58&lt;&gt;"",AA58&lt;&gt;""),SUM(Z58:AA58),IF(AB58&lt;&gt;"",(I58/((1/((G58+2)/100*K58/1000))*0.9144)/IF(H58="黑丝",22,20)-AB58)*(IF(H58="黑丝",22,20)),I58/((1/((G58+2)/100*K58/1000))*0.9144)))))</f>
        <v/>
      </c>
      <c r="Y58" s="36" t="str">
        <f>IF(OR(B58="",D58&lt;&gt;""),"",IF(S58&lt;&gt;"","",I58/((1/((G58+2)/100*K58/1000))*0.9144)/IF(H58="黑丝",22,20)-AB58))</f>
        <v/>
      </c>
      <c r="Z58" s="340" t="str">
        <f>IF(AND(C58&gt;0,D58&lt;&gt;"",S58=""),VLOOKUP(A58&amp;IF(H58="黑丝","黑","白")&amp;E58,经纬!A:M,13,FALSE)*(I58-AB58),"")</f>
        <v/>
      </c>
      <c r="AA58" s="340" t="str">
        <f>IF(AND(C58&gt;0,D58&lt;&gt;"",S58=""),VLOOKUP(A58&amp;IF(H58="黑丝","黑","白")&amp;E58,经纬!A:N,14,FALSE)*(I58-AB58),"")</f>
        <v/>
      </c>
      <c r="AC58" s="8"/>
      <c r="AD58" s="8"/>
      <c r="AE58" s="250" t="str">
        <f>IF(COUNTIF(A$2:A58,A58)=1,M58,LOOKUP(1,0/(A$1:A57=A58),AE$1:AE57)&amp;" "&amp;M58)</f>
        <v>A186 A186</v>
      </c>
    </row>
    <row r="59" spans="1:31" outlineLevel="1">
      <c r="A59" s="233" t="s">
        <v>1768</v>
      </c>
      <c r="B59" s="24" t="str">
        <f>IF(A59="","",IF(LEFT(A59)&gt;"9",VLOOKUP(A59,yuanjidaimachichun,2,FALSE),VLOOKUP(A59,经纬!B:C,2,FALSE)))</f>
        <v>75*75</v>
      </c>
      <c r="C59" s="8" t="str">
        <f>IF(ISERROR(FIND("*",B59)),MID(B59,2,FIND("-",B59)-2),LEFT(B59,FIND("*",B59)-1))</f>
        <v>75</v>
      </c>
      <c r="D59" s="8" t="str">
        <f>IF(ISERROR(FIND("*",B59)),"",RIGHT(B59,LEN(B59)-FIND("*",B59)))</f>
        <v>75</v>
      </c>
      <c r="E59" s="89" t="s">
        <v>2444</v>
      </c>
      <c r="G59" s="8">
        <v>190.5</v>
      </c>
      <c r="H59" s="8" t="s">
        <v>2562</v>
      </c>
      <c r="I59" s="8">
        <v>2496</v>
      </c>
      <c r="J59" s="8">
        <v>45</v>
      </c>
      <c r="L59" s="8" t="s">
        <v>1772</v>
      </c>
      <c r="M59" s="24" t="str">
        <f t="array" ref="M59">LEFT(L59,MIN(FIND({"A","B","C"},MID(L59,2,LEN(L59))&amp;"ABC")))</f>
        <v>A192</v>
      </c>
      <c r="N59" s="24" t="str">
        <f t="array" ref="N59">SUBSTITUTE(L59,M59,"")</f>
        <v>B496</v>
      </c>
      <c r="O59" s="113">
        <v>43753</v>
      </c>
      <c r="S59" s="23">
        <v>43769</v>
      </c>
      <c r="T59" s="264" t="str">
        <f>IF(AND(C59&gt;0,D59=""),SUMIFS(yj!I:I,yj!B:B,plan!A59,yj!G:G,"&gt;="&amp;Q59,yj!G:G,"&lt;="&amp;S59),"")</f>
        <v/>
      </c>
      <c r="U59" s="264">
        <f>SUMIFS(四面弹库存!F:F,四面弹库存!B:B,plan!A59,四面弹库存!O:O,IF(H59&lt;&gt;"黑丝","白","黑"))</f>
        <v>0</v>
      </c>
      <c r="V59" s="264"/>
      <c r="W59" s="369" t="str">
        <f t="shared" si="0"/>
        <v/>
      </c>
      <c r="X59" s="258" t="str">
        <f>IF(B59="","",IF(S59&lt;&gt;"","",IF(AND(Z59&lt;&gt;"",AA59&lt;&gt;""),SUM(Z59:AA59),IF(AB59&lt;&gt;"",(I59/((1/((G59+2)/100*K59/1000))*0.9144)/IF(H59="黑丝",22,20)-AB59)*(IF(H59="黑丝",22,20)),I59/((1/((G59+2)/100*K59/1000))*0.9144)))))</f>
        <v/>
      </c>
      <c r="Y59" s="36" t="str">
        <f>IF(OR(B59="",D59&lt;&gt;""),"",IF(S59&lt;&gt;"","",I59/((1/((G59+2)/100*K59/1000))*0.9144)/IF(H59="黑丝",22,20)-AB59))</f>
        <v/>
      </c>
      <c r="Z59" s="340" t="str">
        <f>IF(AND(C59&gt;0,D59&lt;&gt;"",S59=""),VLOOKUP(A59&amp;IF(H59="黑丝","黑","白")&amp;E59,经纬!A:M,13,FALSE)*(I59-AB59),"")</f>
        <v/>
      </c>
      <c r="AA59" s="340" t="str">
        <f>IF(AND(C59&gt;0,D59&lt;&gt;"",S59=""),VLOOKUP(A59&amp;IF(H59="黑丝","黑","白")&amp;E59,经纬!A:N,14,FALSE)*(I59-AB59),"")</f>
        <v/>
      </c>
      <c r="AB59" s="8">
        <v>3000</v>
      </c>
      <c r="AC59" s="8" t="s">
        <v>2714</v>
      </c>
      <c r="AD59" s="8"/>
      <c r="AE59" s="250" t="str">
        <f>IF(COUNTIF(A$2:A59,A59)=1,M59,LOOKUP(1,0/(A$1:A58=A59),AE$1:AE58)&amp;" "&amp;M59)</f>
        <v>A192</v>
      </c>
    </row>
    <row r="60" spans="1:31" outlineLevel="1">
      <c r="A60" s="233" t="s">
        <v>1770</v>
      </c>
      <c r="B60" s="24" t="str">
        <f>IF(A60="","",IF(LEFT(A60)&gt;"9",VLOOKUP(A60,yuanjidaimachichun,2,FALSE),VLOOKUP(A60,经纬!B:C,2,FALSE)))</f>
        <v>75*75</v>
      </c>
      <c r="C60" s="8" t="str">
        <f>IF(ISERROR(FIND("*",B60)),MID(B60,2,FIND("-",B60)-2),LEFT(B60,FIND("*",B60)-1))</f>
        <v>75</v>
      </c>
      <c r="D60" s="8" t="str">
        <f>IF(ISERROR(FIND("*",B60)),"",RIGHT(B60,LEN(B60)-FIND("*",B60)))</f>
        <v>75</v>
      </c>
      <c r="E60" s="89" t="s">
        <v>2444</v>
      </c>
      <c r="G60" s="8">
        <v>188</v>
      </c>
      <c r="H60" s="8" t="s">
        <v>2587</v>
      </c>
      <c r="I60" s="8">
        <v>2496</v>
      </c>
      <c r="J60" s="8">
        <v>45</v>
      </c>
      <c r="L60" s="8" t="s">
        <v>1772</v>
      </c>
      <c r="M60" s="24" t="str">
        <f t="array" ref="M60">LEFT(L60,MIN(FIND({"A","B","C"},MID(L60,2,LEN(L60))&amp;"ABC")))</f>
        <v>A192</v>
      </c>
      <c r="N60" s="24" t="str">
        <f t="array" ref="N60">SUBSTITUTE(L60,M60,"")</f>
        <v>B496</v>
      </c>
      <c r="O60" s="113">
        <v>43753</v>
      </c>
      <c r="T60" s="264" t="str">
        <f>IF(AND(C60&gt;0,D60=""),SUMIFS(yj!I:I,yj!B:B,plan!A60,yj!G:G,"&gt;="&amp;Q60,yj!G:G,"&lt;="&amp;S60),"")</f>
        <v/>
      </c>
      <c r="U60" s="264">
        <f>SUMIFS(四面弹库存!F:F,四面弹库存!B:B,plan!A60,四面弹库存!O:O,IF(H60&lt;&gt;"黑丝","白","黑"))</f>
        <v>0</v>
      </c>
      <c r="V60" s="264"/>
      <c r="W60" s="369">
        <f t="shared" si="0"/>
        <v>2496</v>
      </c>
      <c r="X60" s="258">
        <f>IF(B60="","",IF(S60&lt;&gt;"","",IF(AND(Z60&lt;&gt;"",AA60&lt;&gt;""),SUM(Z60:AA60),IF(AB60&lt;&gt;"",(I60/((1/((G60+2)/100*K60/1000))*0.9144)/IF(H60="黑丝",22,20)-AB60)*(IF(H60="黑丝",22,20)),I60/((1/((G60+2)/100*K60/1000))*0.9144)))))</f>
        <v>152.20712818897636</v>
      </c>
      <c r="Y60" s="36" t="str">
        <f>IF(OR(B60="",D60&lt;&gt;""),"",IF(S60&lt;&gt;"","",I60/((1/((G60+2)/100*K60/1000))*0.9144)/IF(H60="黑丝",22,20)-AB60))</f>
        <v/>
      </c>
      <c r="Z60" s="340">
        <f>IF(AND(C60&gt;0,D60&lt;&gt;"",S60=""),VLOOKUP(A60&amp;IF(H60="黑丝","黑","白")&amp;E60,经纬!A:M,13,FALSE)*(I60-AB60),"")</f>
        <v>85.712639999999993</v>
      </c>
      <c r="AA60" s="340">
        <f>IF(AND(C60&gt;0,D60&lt;&gt;"",S60=""),VLOOKUP(A60&amp;IF(H60="黑丝","黑","白")&amp;E60,经纬!A:N,14,FALSE)*(I60-AB60),"")</f>
        <v>66.494488188976376</v>
      </c>
      <c r="AC60" s="8"/>
      <c r="AD60" s="8"/>
      <c r="AE60" s="250" t="str">
        <f>IF(COUNTIF(A$2:A60,A60)=1,M60,LOOKUP(1,0/(A$1:A59=A60),AE$1:AE59)&amp;" "&amp;M60)</f>
        <v>A192</v>
      </c>
    </row>
    <row r="61" spans="1:31" outlineLevel="1">
      <c r="A61" s="233" t="s">
        <v>1763</v>
      </c>
      <c r="B61" s="24" t="str">
        <f>IF(A61="","",IF(LEFT(A61)&gt;"9",VLOOKUP(A61,yuanjidaimachichun,2,FALSE),VLOOKUP(A61,经纬!B:C,2,FALSE)))</f>
        <v>75*150</v>
      </c>
      <c r="C61" s="8" t="str">
        <f>IF(ISERROR(FIND("*",B61)),MID(B61,2,FIND("-",B61)-2),LEFT(B61,FIND("*",B61)-1))</f>
        <v>75</v>
      </c>
      <c r="D61" s="8" t="str">
        <f>IF(ISERROR(FIND("*",B61)),"",RIGHT(B61,LEN(B61)-FIND("*",B61)))</f>
        <v>150</v>
      </c>
      <c r="E61" s="89" t="s">
        <v>2444</v>
      </c>
      <c r="G61" s="8">
        <v>190.5</v>
      </c>
      <c r="H61" s="8" t="s">
        <v>2562</v>
      </c>
      <c r="I61" s="8">
        <v>7488</v>
      </c>
      <c r="J61" s="8">
        <v>58</v>
      </c>
      <c r="L61" s="8" t="s">
        <v>1772</v>
      </c>
      <c r="M61" s="24" t="str">
        <f t="array" ref="M61">LEFT(L61,MIN(FIND({"A","B","C"},MID(L61,2,LEN(L61))&amp;"ABC")))</f>
        <v>A192</v>
      </c>
      <c r="N61" s="24" t="str">
        <f t="array" ref="N61">SUBSTITUTE(L61,M61,"")</f>
        <v>B496</v>
      </c>
      <c r="O61" s="113">
        <v>43753</v>
      </c>
      <c r="S61" s="23">
        <v>43769</v>
      </c>
      <c r="T61" s="264" t="str">
        <f>IF(AND(C61&gt;0,D61=""),SUMIFS(yj!I:I,yj!B:B,plan!A61,yj!G:G,"&gt;="&amp;Q61,yj!G:G,"&lt;="&amp;S61),"")</f>
        <v/>
      </c>
      <c r="U61" s="264">
        <f>SUMIFS(四面弹库存!F:F,四面弹库存!B:B,plan!A61,四面弹库存!O:O,IF(H61&lt;&gt;"黑丝","白","黑"))</f>
        <v>0</v>
      </c>
      <c r="V61" s="264"/>
      <c r="W61" s="369" t="str">
        <f t="shared" si="0"/>
        <v/>
      </c>
      <c r="X61" s="258" t="str">
        <f>IF(B61="","",IF(S61&lt;&gt;"","",IF(AND(Z61&lt;&gt;"",AA61&lt;&gt;""),SUM(Z61:AA61),IF(AB61&lt;&gt;"",(I61/((1/((G61+2)/100*K61/1000))*0.9144)/IF(H61="黑丝",22,20)-AB61)*(IF(H61="黑丝",22,20)),I61/((1/((G61+2)/100*K61/1000))*0.9144)))))</f>
        <v/>
      </c>
      <c r="Y61" s="36" t="str">
        <f>IF(OR(B61="",D61&lt;&gt;""),"",IF(S61&lt;&gt;"","",I61/((1/((G61+2)/100*K61/1000))*0.9144)/IF(H61="黑丝",22,20)-AB61))</f>
        <v/>
      </c>
      <c r="Z61" s="340" t="str">
        <f>IF(AND(C61&gt;0,D61&lt;&gt;"",S61=""),VLOOKUP(A61&amp;IF(H61="黑丝","黑","白")&amp;E61,经纬!A:M,13,FALSE)*(I61-AB61),"")</f>
        <v/>
      </c>
      <c r="AA61" s="340" t="str">
        <f>IF(AND(C61&gt;0,D61&lt;&gt;"",S61=""),VLOOKUP(A61&amp;IF(H61="黑丝","黑","白")&amp;E61,经纬!A:N,14,FALSE)*(I61-AB61),"")</f>
        <v/>
      </c>
      <c r="AB61" s="8">
        <v>9000</v>
      </c>
      <c r="AC61" s="8" t="s">
        <v>2713</v>
      </c>
      <c r="AD61" s="8"/>
      <c r="AE61" s="250" t="str">
        <f>IF(COUNTIF(A$2:A61,A61)=1,M61,LOOKUP(1,0/(A$1:A60=A61),AE$1:AE60)&amp;" "&amp;M61)</f>
        <v>A94 A94 A192</v>
      </c>
    </row>
    <row r="62" spans="1:31" outlineLevel="1">
      <c r="A62" s="233" t="s">
        <v>1774</v>
      </c>
      <c r="B62" s="24" t="str">
        <f>IF(A62="","",IF(LEFT(A62)&gt;"9",VLOOKUP(A62,yuanjidaimachichun,2,FALSE),VLOOKUP(A62,经纬!B:C,2,FALSE)))</f>
        <v>75*150</v>
      </c>
      <c r="C62" s="8" t="str">
        <f>IF(ISERROR(FIND("*",B62)),MID(B62,2,FIND("-",B62)-2),LEFT(B62,FIND("*",B62)-1))</f>
        <v>75</v>
      </c>
      <c r="D62" s="8" t="str">
        <f>IF(ISERROR(FIND("*",B62)),"",RIGHT(B62,LEN(B62)-FIND("*",B62)))</f>
        <v>150</v>
      </c>
      <c r="E62" s="89" t="s">
        <v>2444</v>
      </c>
      <c r="G62" s="8">
        <v>188</v>
      </c>
      <c r="H62" s="8" t="s">
        <v>2587</v>
      </c>
      <c r="I62" s="8">
        <v>12480</v>
      </c>
      <c r="J62" s="8">
        <v>58</v>
      </c>
      <c r="L62" s="8" t="s">
        <v>1772</v>
      </c>
      <c r="M62" s="24" t="str">
        <f t="array" ref="M62">LEFT(L62,MIN(FIND({"A","B","C"},MID(L62,2,LEN(L62))&amp;"ABC")))</f>
        <v>A192</v>
      </c>
      <c r="N62" s="24" t="str">
        <f t="array" ref="N62">SUBSTITUTE(L62,M62,"")</f>
        <v>B496</v>
      </c>
      <c r="O62" s="113">
        <v>43753</v>
      </c>
      <c r="T62" s="264" t="str">
        <f>IF(AND(C62&gt;0,D62=""),SUMIFS(yj!I:I,yj!B:B,plan!A62,yj!G:G,"&gt;="&amp;Q62,yj!G:G,"&lt;="&amp;S62),"")</f>
        <v/>
      </c>
      <c r="U62" s="264">
        <f>SUMIFS(四面弹库存!F:F,四面弹库存!B:B,plan!A62,四面弹库存!O:O,IF(H62&lt;&gt;"黑丝","白","黑"))</f>
        <v>0</v>
      </c>
      <c r="V62" s="264"/>
      <c r="W62" s="369">
        <f t="shared" si="0"/>
        <v>12480</v>
      </c>
      <c r="X62" s="258">
        <f>IF(B62="","",IF(S62&lt;&gt;"","",IF(AND(Z62&lt;&gt;"",AA62&lt;&gt;""),SUM(Z62:AA62),IF(AB62&lt;&gt;"",(I62/((1/((G62+2)/100*K62/1000))*0.9144)/IF(H62="黑丝",22,20)-AB62)*(IF(H62="黑丝",22,20)),I62/((1/((G62+2)/100*K62/1000))*0.9144)))))</f>
        <v>961.75449448818881</v>
      </c>
      <c r="Y62" s="36" t="str">
        <f>IF(OR(B62="",D62&lt;&gt;""),"",IF(S62&lt;&gt;"","",I62/((1/((G62+2)/100*K62/1000))*0.9144)/IF(H62="黑丝",22,20)-AB62))</f>
        <v/>
      </c>
      <c r="Z62" s="340">
        <f>IF(AND(C62&gt;0,D62&lt;&gt;"",S62=""),VLOOKUP(A62&amp;IF(H62="黑丝","黑","白")&amp;E62,经纬!A:M,13,FALSE)*(I62-AB62),"")</f>
        <v>438.11039999999997</v>
      </c>
      <c r="AA62" s="340">
        <f>IF(AND(C62&gt;0,D62&lt;&gt;"",S62=""),VLOOKUP(A62&amp;IF(H62="黑丝","黑","白")&amp;E62,经纬!A:N,14,FALSE)*(I62-AB62),"")</f>
        <v>523.6440944881889</v>
      </c>
      <c r="AC62" s="8"/>
      <c r="AD62" s="8"/>
      <c r="AE62" s="250" t="str">
        <f>IF(COUNTIF(A$2:A62,A62)=1,M62,LOOKUP(1,0/(A$1:A61=A62),AE$1:AE61)&amp;" "&amp;M62)</f>
        <v>A192</v>
      </c>
    </row>
    <row r="63" spans="1:31" outlineLevel="1">
      <c r="A63" s="233" t="s">
        <v>1787</v>
      </c>
      <c r="B63" s="24" t="str">
        <f>IF(A63="","",IF(LEFT(A63)&gt;"9",VLOOKUP(A63,yuanjidaimachichun,2,FALSE),VLOOKUP(A63,经纬!B:C,2,FALSE)))</f>
        <v>100*200</v>
      </c>
      <c r="C63" s="8" t="str">
        <f>IF(ISERROR(FIND("*",B63)),MID(B63,2,FIND("-",B63)-2),LEFT(B63,FIND("*",B63)-1))</f>
        <v>100</v>
      </c>
      <c r="D63" s="8" t="str">
        <f>IF(ISERROR(FIND("*",B63)),"",RIGHT(B63,LEN(B63)-FIND("*",B63)))</f>
        <v>200</v>
      </c>
      <c r="E63" s="89" t="s">
        <v>2444</v>
      </c>
      <c r="G63" s="8">
        <v>188</v>
      </c>
      <c r="H63" s="8" t="s">
        <v>2562</v>
      </c>
      <c r="I63" s="8">
        <v>4992</v>
      </c>
      <c r="J63" s="8">
        <v>78</v>
      </c>
      <c r="L63" s="8" t="s">
        <v>1772</v>
      </c>
      <c r="M63" s="24" t="str">
        <f t="array" ref="M63">LEFT(L63,MIN(FIND({"A","B","C"},MID(L63,2,LEN(L63))&amp;"ABC")))</f>
        <v>A192</v>
      </c>
      <c r="N63" s="24" t="str">
        <f t="array" ref="N63">SUBSTITUTE(L63,M63,"")</f>
        <v>B496</v>
      </c>
      <c r="O63" s="113">
        <v>43753</v>
      </c>
      <c r="S63" s="23">
        <v>43769</v>
      </c>
      <c r="T63" s="264" t="str">
        <f>IF(AND(C63&gt;0,D63=""),SUMIFS(yj!I:I,yj!B:B,plan!A63,yj!G:G,"&gt;="&amp;Q63,yj!G:G,"&lt;="&amp;S63),"")</f>
        <v/>
      </c>
      <c r="U63" s="264">
        <f>SUMIFS(四面弹库存!F:F,四面弹库存!B:B,plan!A63,四面弹库存!O:O,IF(H63&lt;&gt;"黑丝","白","黑"))</f>
        <v>0</v>
      </c>
      <c r="V63" s="264"/>
      <c r="W63" s="369" t="str">
        <f t="shared" si="0"/>
        <v/>
      </c>
      <c r="X63" s="258" t="str">
        <f>IF(B63="","",IF(S63&lt;&gt;"","",IF(AND(Z63&lt;&gt;"",AA63&lt;&gt;""),SUM(Z63:AA63),IF(AB63&lt;&gt;"",(I63/((1/((G63+2)/100*K63/1000))*0.9144)/IF(H63="黑丝",22,20)-AB63)*(IF(H63="黑丝",22,20)),I63/((1/((G63+2)/100*K63/1000))*0.9144)))))</f>
        <v/>
      </c>
      <c r="Y63" s="36" t="str">
        <f>IF(OR(B63="",D63&lt;&gt;""),"",IF(S63&lt;&gt;"","",I63/((1/((G63+2)/100*K63/1000))*0.9144)/IF(H63="黑丝",22,20)-AB63))</f>
        <v/>
      </c>
      <c r="Z63" s="340" t="str">
        <f>IF(AND(C63&gt;0,D63&lt;&gt;"",S63=""),VLOOKUP(A63&amp;IF(H63="黑丝","黑","白")&amp;E63,经纬!A:M,13,FALSE)*(I63-AB63),"")</f>
        <v/>
      </c>
      <c r="AA63" s="340" t="str">
        <f>IF(AND(C63&gt;0,D63&lt;&gt;"",S63=""),VLOOKUP(A63&amp;IF(H63="黑丝","黑","白")&amp;E63,经纬!A:N,14,FALSE)*(I63-AB63),"")</f>
        <v/>
      </c>
      <c r="AB63" s="8">
        <v>6000</v>
      </c>
      <c r="AC63" s="8" t="s">
        <v>2715</v>
      </c>
      <c r="AD63" s="8"/>
      <c r="AE63" s="250" t="str">
        <f>IF(COUNTIF(A$2:A63,A63)=1,M63,LOOKUP(1,0/(A$1:A62=A63),AE$1:AE62)&amp;" "&amp;M63)</f>
        <v>A192</v>
      </c>
    </row>
    <row r="64" spans="1:31" outlineLevel="1">
      <c r="A64" s="233" t="s">
        <v>1787</v>
      </c>
      <c r="B64" s="24" t="str">
        <f>IF(A64="","",IF(LEFT(A64)&gt;"9",VLOOKUP(A64,yuanjidaimachichun,2,FALSE),VLOOKUP(A64,经纬!B:C,2,FALSE)))</f>
        <v>100*200</v>
      </c>
      <c r="C64" s="8" t="str">
        <f>IF(ISERROR(FIND("*",B64)),MID(B64,2,FIND("-",B64)-2),LEFT(B64,FIND("*",B64)-1))</f>
        <v>100</v>
      </c>
      <c r="D64" s="8" t="str">
        <f>IF(ISERROR(FIND("*",B64)),"",RIGHT(B64,LEN(B64)-FIND("*",B64)))</f>
        <v>200</v>
      </c>
      <c r="E64" s="89" t="s">
        <v>2444</v>
      </c>
      <c r="G64" s="8">
        <v>188</v>
      </c>
      <c r="H64" s="8" t="s">
        <v>2587</v>
      </c>
      <c r="I64" s="8">
        <v>7488</v>
      </c>
      <c r="J64" s="8">
        <v>78</v>
      </c>
      <c r="L64" s="8" t="s">
        <v>1772</v>
      </c>
      <c r="M64" s="24" t="str">
        <f t="array" ref="M64">LEFT(L64,MIN(FIND({"A","B","C"},MID(L64,2,LEN(L64))&amp;"ABC")))</f>
        <v>A192</v>
      </c>
      <c r="N64" s="24" t="str">
        <f t="array" ref="N64">SUBSTITUTE(L64,M64,"")</f>
        <v>B496</v>
      </c>
      <c r="O64" s="113">
        <v>43753</v>
      </c>
      <c r="S64" s="23">
        <v>43769</v>
      </c>
      <c r="T64" s="264" t="str">
        <f>IF(AND(C64&gt;0,D64=""),SUMIFS(yj!I:I,yj!B:B,plan!A64,yj!G:G,"&gt;="&amp;Q64,yj!G:G,"&lt;="&amp;S64),"")</f>
        <v/>
      </c>
      <c r="U64" s="264">
        <f>SUMIFS(四面弹库存!F:F,四面弹库存!B:B,plan!A64,四面弹库存!O:O,IF(H64&lt;&gt;"黑丝","白","黑"))</f>
        <v>0</v>
      </c>
      <c r="V64" s="264"/>
      <c r="W64" s="369" t="str">
        <f t="shared" si="0"/>
        <v/>
      </c>
      <c r="X64" s="258" t="str">
        <f>IF(B64="","",IF(S64&lt;&gt;"","",IF(AND(Z64&lt;&gt;"",AA64&lt;&gt;""),SUM(Z64:AA64),IF(AB64&lt;&gt;"",(I64/((1/((G64+2)/100*K64/1000))*0.9144)/IF(H64="黑丝",22,20)-AB64)*(IF(H64="黑丝",22,20)),I64/((1/((G64+2)/100*K64/1000))*0.9144)))))</f>
        <v/>
      </c>
      <c r="Y64" s="36" t="str">
        <f>IF(OR(B64="",D64&lt;&gt;""),"",IF(S64&lt;&gt;"","",I64/((1/((G64+2)/100*K64/1000))*0.9144)/IF(H64="黑丝",22,20)-AB64))</f>
        <v/>
      </c>
      <c r="Z64" s="340" t="str">
        <f>IF(AND(C64&gt;0,D64&lt;&gt;"",S64=""),VLOOKUP(A64&amp;IF(H64="黑丝","黑","白")&amp;E64,经纬!A:M,13,FALSE)*(I64-AB64),"")</f>
        <v/>
      </c>
      <c r="AA64" s="340" t="str">
        <f>IF(AND(C64&gt;0,D64&lt;&gt;"",S64=""),VLOOKUP(A64&amp;IF(H64="黑丝","黑","白")&amp;E64,经纬!A:N,14,FALSE)*(I64-AB64),"")</f>
        <v/>
      </c>
      <c r="AB64" s="8">
        <v>9000</v>
      </c>
      <c r="AC64" s="8" t="s">
        <v>2716</v>
      </c>
      <c r="AD64" s="8"/>
      <c r="AE64" s="250" t="str">
        <f>IF(COUNTIF(A$2:A64,A64)=1,M64,LOOKUP(1,0/(A$1:A63=A64),AE$1:AE63)&amp;" "&amp;M64)</f>
        <v>A192 A192</v>
      </c>
    </row>
    <row r="65" spans="1:31" outlineLevel="1">
      <c r="A65" s="233" t="s">
        <v>1790</v>
      </c>
      <c r="B65" s="24" t="str">
        <f>IF(A65="","",IF(LEFT(A65)&gt;"9",VLOOKUP(A65,yuanjidaimachichun,2,FALSE),VLOOKUP(A65,经纬!B:C,2,FALSE)))</f>
        <v>100*300</v>
      </c>
      <c r="C65" s="8" t="str">
        <f>IF(ISERROR(FIND("*",B65)),MID(B65,2,FIND("-",B65)-2),LEFT(B65,FIND("*",B65)-1))</f>
        <v>100</v>
      </c>
      <c r="D65" s="8" t="str">
        <f>IF(ISERROR(FIND("*",B65)),"",RIGHT(B65,LEN(B65)-FIND("*",B65)))</f>
        <v>300</v>
      </c>
      <c r="E65" s="89" t="s">
        <v>2444</v>
      </c>
      <c r="G65" s="8">
        <v>188</v>
      </c>
      <c r="H65" s="8" t="s">
        <v>2562</v>
      </c>
      <c r="I65" s="8">
        <v>2496</v>
      </c>
      <c r="J65" s="8">
        <v>86</v>
      </c>
      <c r="L65" s="8" t="s">
        <v>1772</v>
      </c>
      <c r="M65" s="24" t="str">
        <f t="array" ref="M65">LEFT(L65,MIN(FIND({"A","B","C"},MID(L65,2,LEN(L65))&amp;"ABC")))</f>
        <v>A192</v>
      </c>
      <c r="N65" s="24" t="str">
        <f t="array" ref="N65">SUBSTITUTE(L65,M65,"")</f>
        <v>B496</v>
      </c>
      <c r="O65" s="113">
        <v>43753</v>
      </c>
      <c r="S65" s="23">
        <v>43769</v>
      </c>
      <c r="T65" s="264" t="str">
        <f>IF(AND(C65&gt;0,D65=""),SUMIFS(yj!I:I,yj!B:B,plan!A65,yj!G:G,"&gt;="&amp;Q65,yj!G:G,"&lt;="&amp;S65),"")</f>
        <v/>
      </c>
      <c r="U65" s="264">
        <f>SUMIFS(四面弹库存!F:F,四面弹库存!B:B,plan!A65,四面弹库存!O:O,IF(H65&lt;&gt;"黑丝","白","黑"))</f>
        <v>0</v>
      </c>
      <c r="V65" s="264"/>
      <c r="W65" s="369" t="str">
        <f t="shared" si="0"/>
        <v/>
      </c>
      <c r="X65" s="258" t="str">
        <f>IF(B65="","",IF(S65&lt;&gt;"","",IF(AND(Z65&lt;&gt;"",AA65&lt;&gt;""),SUM(Z65:AA65),IF(AB65&lt;&gt;"",(I65/((1/((G65+2)/100*K65/1000))*0.9144)/IF(H65="黑丝",22,20)-AB65)*(IF(H65="黑丝",22,20)),I65/((1/((G65+2)/100*K65/1000))*0.9144)))))</f>
        <v/>
      </c>
      <c r="Y65" s="36" t="str">
        <f>IF(OR(B65="",D65&lt;&gt;""),"",IF(S65&lt;&gt;"","",I65/((1/((G65+2)/100*K65/1000))*0.9144)/IF(H65="黑丝",22,20)-AB65))</f>
        <v/>
      </c>
      <c r="Z65" s="340" t="str">
        <f>IF(AND(C65&gt;0,D65&lt;&gt;"",S65=""),VLOOKUP(A65&amp;IF(H65="黑丝","黑","白")&amp;E65,经纬!A:M,13,FALSE)*(I65-AB65),"")</f>
        <v/>
      </c>
      <c r="AA65" s="340" t="str">
        <f>IF(AND(C65&gt;0,D65&lt;&gt;"",S65=""),VLOOKUP(A65&amp;IF(H65="黑丝","黑","白")&amp;E65,经纬!A:N,14,FALSE)*(I65-AB65),"")</f>
        <v/>
      </c>
      <c r="AB65" s="8">
        <v>3000</v>
      </c>
      <c r="AC65" s="8" t="s">
        <v>2717</v>
      </c>
      <c r="AD65" s="8"/>
      <c r="AE65" s="250" t="str">
        <f>IF(COUNTIF(A$2:A65,A65)=1,M65,LOOKUP(1,0/(A$1:A64=A65),AE$1:AE64)&amp;" "&amp;M65)</f>
        <v>A192</v>
      </c>
    </row>
    <row r="66" spans="1:31" outlineLevel="1">
      <c r="A66" s="233" t="s">
        <v>1790</v>
      </c>
      <c r="B66" s="24" t="str">
        <f>IF(A66="","",IF(LEFT(A66)&gt;"9",VLOOKUP(A66,yuanjidaimachichun,2,FALSE),VLOOKUP(A66,经纬!B:C,2,FALSE)))</f>
        <v>100*300</v>
      </c>
      <c r="C66" s="8" t="str">
        <f>IF(ISERROR(FIND("*",B66)),MID(B66,2,FIND("-",B66)-2),LEFT(B66,FIND("*",B66)-1))</f>
        <v>100</v>
      </c>
      <c r="D66" s="8" t="str">
        <f>IF(ISERROR(FIND("*",B66)),"",RIGHT(B66,LEN(B66)-FIND("*",B66)))</f>
        <v>300</v>
      </c>
      <c r="E66" s="89" t="s">
        <v>2444</v>
      </c>
      <c r="G66" s="8">
        <v>188</v>
      </c>
      <c r="H66" s="8" t="s">
        <v>2587</v>
      </c>
      <c r="I66" s="8">
        <v>2496</v>
      </c>
      <c r="J66" s="8">
        <v>86</v>
      </c>
      <c r="L66" s="8" t="s">
        <v>1772</v>
      </c>
      <c r="M66" s="24" t="str">
        <f t="array" ref="M66">LEFT(L66,MIN(FIND({"A","B","C"},MID(L66,2,LEN(L66))&amp;"ABC")))</f>
        <v>A192</v>
      </c>
      <c r="N66" s="24" t="str">
        <f t="array" ref="N66">SUBSTITUTE(L66,M66,"")</f>
        <v>B496</v>
      </c>
      <c r="O66" s="113">
        <v>43753</v>
      </c>
      <c r="S66" s="23">
        <v>43769</v>
      </c>
      <c r="T66" s="264" t="str">
        <f>IF(AND(C66&gt;0,D66=""),SUMIFS(yj!I:I,yj!B:B,plan!A66,yj!G:G,"&gt;="&amp;Q66,yj!G:G,"&lt;="&amp;S66),"")</f>
        <v/>
      </c>
      <c r="U66" s="264">
        <f>SUMIFS(四面弹库存!F:F,四面弹库存!B:B,plan!A66,四面弹库存!O:O,IF(H66&lt;&gt;"黑丝","白","黑"))</f>
        <v>0</v>
      </c>
      <c r="V66" s="264"/>
      <c r="W66" s="369" t="str">
        <f t="shared" si="0"/>
        <v/>
      </c>
      <c r="X66" s="258" t="str">
        <f>IF(B66="","",IF(S66&lt;&gt;"","",IF(AND(Z66&lt;&gt;"",AA66&lt;&gt;""),SUM(Z66:AA66),IF(AB66&lt;&gt;"",(I66/((1/((G66+2)/100*K66/1000))*0.9144)/IF(H66="黑丝",22,20)-AB66)*(IF(H66="黑丝",22,20)),I66/((1/((G66+2)/100*K66/1000))*0.9144)))))</f>
        <v/>
      </c>
      <c r="Y66" s="36" t="str">
        <f>IF(OR(B66="",D66&lt;&gt;""),"",IF(S66&lt;&gt;"","",I66/((1/((G66+2)/100*K66/1000))*0.9144)/IF(H66="黑丝",22,20)-AB66))</f>
        <v/>
      </c>
      <c r="Z66" s="340" t="str">
        <f>IF(AND(C66&gt;0,D66&lt;&gt;"",S66=""),VLOOKUP(A66&amp;IF(H66="黑丝","黑","白")&amp;E66,经纬!A:M,13,FALSE)*(I66-AB66),"")</f>
        <v/>
      </c>
      <c r="AA66" s="340" t="str">
        <f>IF(AND(C66&gt;0,D66&lt;&gt;"",S66=""),VLOOKUP(A66&amp;IF(H66="黑丝","黑","白")&amp;E66,经纬!A:N,14,FALSE)*(I66-AB66),"")</f>
        <v/>
      </c>
      <c r="AB66" s="8">
        <v>3000</v>
      </c>
      <c r="AC66" s="8" t="s">
        <v>2718</v>
      </c>
      <c r="AD66" s="8"/>
      <c r="AE66" s="250" t="str">
        <f>IF(COUNTIF(A$2:A66,A66)=1,M66,LOOKUP(1,0/(A$1:A65=A66),AE$1:AE65)&amp;" "&amp;M66)</f>
        <v>A192 A192</v>
      </c>
    </row>
    <row r="67" spans="1:31" outlineLevel="1">
      <c r="A67" s="233" t="s">
        <v>2589</v>
      </c>
      <c r="B67" s="24" t="str">
        <f>IF(A67="","",IF(LEFT(A67)&gt;"9",VLOOKUP(A67,yuanjidaimachichun,2,FALSE),VLOOKUP(A67,经纬!B:C,2,FALSE)))</f>
        <v>150*300</v>
      </c>
      <c r="C67" s="8" t="str">
        <f>IF(ISERROR(FIND("*",B67)),MID(B67,2,FIND("-",B67)-2),LEFT(B67,FIND("*",B67)-1))</f>
        <v>150</v>
      </c>
      <c r="D67" s="8" t="str">
        <f>IF(ISERROR(FIND("*",B67)),"",RIGHT(B67,LEN(B67)-FIND("*",B67)))</f>
        <v>300</v>
      </c>
      <c r="E67" s="89" t="s">
        <v>2444</v>
      </c>
      <c r="G67" s="8">
        <v>180</v>
      </c>
      <c r="H67" s="8" t="s">
        <v>2562</v>
      </c>
      <c r="I67" s="8">
        <v>2496</v>
      </c>
      <c r="J67" s="8">
        <v>96</v>
      </c>
      <c r="L67" s="8" t="s">
        <v>1772</v>
      </c>
      <c r="M67" s="24" t="str">
        <f t="array" ref="M67">LEFT(L67,MIN(FIND({"A","B","C"},MID(L67,2,LEN(L67))&amp;"ABC")))</f>
        <v>A192</v>
      </c>
      <c r="N67" s="24" t="str">
        <f t="array" ref="N67">SUBSTITUTE(L67,M67,"")</f>
        <v>B496</v>
      </c>
      <c r="O67" s="113">
        <v>43753</v>
      </c>
      <c r="S67" s="23">
        <v>43771</v>
      </c>
      <c r="T67" s="264" t="str">
        <f>IF(AND(C67&gt;0,D67=""),SUMIFS(yj!I:I,yj!B:B,plan!A67,yj!G:G,"&gt;="&amp;Q67,yj!G:G,"&lt;="&amp;S67),"")</f>
        <v/>
      </c>
      <c r="U67" s="264">
        <f>SUMIFS(四面弹库存!F:F,四面弹库存!B:B,plan!A67,四面弹库存!O:O,IF(H67&lt;&gt;"黑丝","白","黑"))</f>
        <v>0</v>
      </c>
      <c r="V67" s="264"/>
      <c r="W67" s="369" t="str">
        <f t="shared" ref="W67:W130" si="1">IF(A67="","",IF(S67&lt;&gt;"","",IF(D67&lt;&gt;"",(I67-AB67),Y67*IF(H67="黑丝",22,20)*0.9144/((K67/1000)*((G67+2)/100)))))</f>
        <v/>
      </c>
      <c r="X67" s="258" t="str">
        <f>IF(B67="","",IF(S67&lt;&gt;"","",IF(AND(Z67&lt;&gt;"",AA67&lt;&gt;""),SUM(Z67:AA67),IF(AB67&lt;&gt;"",(I67/((1/((G67+2)/100*K67/1000))*0.9144)/IF(H67="黑丝",22,20)-AB67)*(IF(H67="黑丝",22,20)),I67/((1/((G67+2)/100*K67/1000))*0.9144)))))</f>
        <v/>
      </c>
      <c r="Y67" s="36" t="str">
        <f>IF(OR(B67="",D67&lt;&gt;""),"",IF(S67&lt;&gt;"","",I67/((1/((G67+2)/100*K67/1000))*0.9144)/IF(H67="黑丝",22,20)-AB67))</f>
        <v/>
      </c>
      <c r="Z67" s="340" t="str">
        <f>IF(AND(C67&gt;0,D67&lt;&gt;"",S67=""),VLOOKUP(A67&amp;IF(H67="黑丝","黑","白")&amp;E67,经纬!A:M,13,FALSE)*(I67-AB67),"")</f>
        <v/>
      </c>
      <c r="AA67" s="340" t="str">
        <f>IF(AND(C67&gt;0,D67&lt;&gt;"",S67=""),VLOOKUP(A67&amp;IF(H67="黑丝","黑","白")&amp;E67,经纬!A:N,14,FALSE)*(I67-AB67),"")</f>
        <v/>
      </c>
      <c r="AB67" s="8">
        <v>3000</v>
      </c>
      <c r="AC67" s="8" t="s">
        <v>2766</v>
      </c>
      <c r="AD67" s="8"/>
      <c r="AE67" s="250" t="str">
        <f>IF(COUNTIF(A$2:A67,A67)=1,M67,LOOKUP(1,0/(A$1:A66=A67),AE$1:AE66)&amp;" "&amp;M67)</f>
        <v>A192</v>
      </c>
    </row>
    <row r="68" spans="1:31" outlineLevel="1">
      <c r="A68" s="233" t="s">
        <v>2589</v>
      </c>
      <c r="B68" s="24" t="str">
        <f>IF(A68="","",IF(LEFT(A68)&gt;"9",VLOOKUP(A68,yuanjidaimachichun,2,FALSE),VLOOKUP(A68,经纬!B:C,2,FALSE)))</f>
        <v>150*300</v>
      </c>
      <c r="C68" s="8" t="str">
        <f>IF(ISERROR(FIND("*",B68)),MID(B68,2,FIND("-",B68)-2),LEFT(B68,FIND("*",B68)-1))</f>
        <v>150</v>
      </c>
      <c r="D68" s="8" t="str">
        <f>IF(ISERROR(FIND("*",B68)),"",RIGHT(B68,LEN(B68)-FIND("*",B68)))</f>
        <v>300</v>
      </c>
      <c r="E68" s="89" t="s">
        <v>2444</v>
      </c>
      <c r="G68" s="8">
        <v>180</v>
      </c>
      <c r="H68" s="8" t="s">
        <v>2587</v>
      </c>
      <c r="I68" s="8">
        <v>4992</v>
      </c>
      <c r="J68" s="8">
        <v>96</v>
      </c>
      <c r="L68" s="8" t="s">
        <v>1772</v>
      </c>
      <c r="M68" s="24" t="str">
        <f t="array" ref="M68">LEFT(L68,MIN(FIND({"A","B","C"},MID(L68,2,LEN(L68))&amp;"ABC")))</f>
        <v>A192</v>
      </c>
      <c r="N68" s="24" t="str">
        <f t="array" ref="N68">SUBSTITUTE(L68,M68,"")</f>
        <v>B496</v>
      </c>
      <c r="O68" s="113">
        <v>43753</v>
      </c>
      <c r="S68" s="23">
        <v>43769</v>
      </c>
      <c r="T68" s="264" t="str">
        <f>IF(AND(C68&gt;0,D68=""),SUMIFS(yj!I:I,yj!B:B,plan!A68,yj!G:G,"&gt;="&amp;Q68,yj!G:G,"&lt;="&amp;S68),"")</f>
        <v/>
      </c>
      <c r="U68" s="264">
        <f>SUMIFS(四面弹库存!F:F,四面弹库存!B:B,plan!A68,四面弹库存!O:O,IF(H68&lt;&gt;"黑丝","白","黑"))</f>
        <v>0</v>
      </c>
      <c r="V68" s="264"/>
      <c r="W68" s="369" t="str">
        <f t="shared" si="1"/>
        <v/>
      </c>
      <c r="X68" s="258" t="str">
        <f>IF(B68="","",IF(S68&lt;&gt;"","",IF(AND(Z68&lt;&gt;"",AA68&lt;&gt;""),SUM(Z68:AA68),IF(AB68&lt;&gt;"",(I68/((1/((G68+2)/100*K68/1000))*0.9144)/IF(H68="黑丝",22,20)-AB68)*(IF(H68="黑丝",22,20)),I68/((1/((G68+2)/100*K68/1000))*0.9144)))))</f>
        <v/>
      </c>
      <c r="Y68" s="36" t="str">
        <f>IF(OR(B68="",D68&lt;&gt;""),"",IF(S68&lt;&gt;"","",I68/((1/((G68+2)/100*K68/1000))*0.9144)/IF(H68="黑丝",22,20)-AB68))</f>
        <v/>
      </c>
      <c r="Z68" s="340" t="str">
        <f>IF(AND(C68&gt;0,D68&lt;&gt;"",S68=""),VLOOKUP(A68&amp;IF(H68="黑丝","黑","白")&amp;E68,经纬!A:M,13,FALSE)*(I68-AB68),"")</f>
        <v/>
      </c>
      <c r="AA68" s="340" t="str">
        <f>IF(AND(C68&gt;0,D68&lt;&gt;"",S68=""),VLOOKUP(A68&amp;IF(H68="黑丝","黑","白")&amp;E68,经纬!A:N,14,FALSE)*(I68-AB68),"")</f>
        <v/>
      </c>
      <c r="AB68" s="8">
        <v>6000</v>
      </c>
      <c r="AC68" s="8" t="s">
        <v>2719</v>
      </c>
      <c r="AD68" s="8"/>
      <c r="AE68" s="250" t="str">
        <f>IF(COUNTIF(A$2:A68,A68)=1,M68,LOOKUP(1,0/(A$1:A67=A68),AE$1:AE67)&amp;" "&amp;M68)</f>
        <v>A192 A192</v>
      </c>
    </row>
    <row r="69" spans="1:31" outlineLevel="1">
      <c r="A69" s="233" t="s">
        <v>2590</v>
      </c>
      <c r="B69" s="24" t="str">
        <f>IF(A69="","",IF(LEFT(A69)&gt;"9",VLOOKUP(A69,yuanjidaimachichun,2,FALSE),VLOOKUP(A69,经纬!B:C,2,FALSE)))</f>
        <v>150*300</v>
      </c>
      <c r="C69" s="8" t="str">
        <f>IF(ISERROR(FIND("*",B69)),MID(B69,2,FIND("-",B69)-2),LEFT(B69,FIND("*",B69)-1))</f>
        <v>150</v>
      </c>
      <c r="D69" s="8" t="str">
        <f>IF(ISERROR(FIND("*",B69)),"",RIGHT(B69,LEN(B69)-FIND("*",B69)))</f>
        <v>300</v>
      </c>
      <c r="E69" s="89" t="s">
        <v>2444</v>
      </c>
      <c r="G69" s="8">
        <v>180</v>
      </c>
      <c r="H69" s="8" t="s">
        <v>2562</v>
      </c>
      <c r="I69" s="8">
        <v>7488</v>
      </c>
      <c r="J69" s="8">
        <v>106</v>
      </c>
      <c r="L69" s="8" t="s">
        <v>1772</v>
      </c>
      <c r="M69" s="24" t="str">
        <f t="array" ref="M69">LEFT(L69,MIN(FIND({"A","B","C"},MID(L69,2,LEN(L69))&amp;"ABC")))</f>
        <v>A192</v>
      </c>
      <c r="N69" s="24" t="str">
        <f t="array" ref="N69">SUBSTITUTE(L69,M69,"")</f>
        <v>B496</v>
      </c>
      <c r="O69" s="113">
        <v>43753</v>
      </c>
      <c r="S69" s="23">
        <v>43769</v>
      </c>
      <c r="T69" s="264" t="str">
        <f>IF(AND(C69&gt;0,D69=""),SUMIFS(yj!I:I,yj!B:B,plan!A69,yj!G:G,"&gt;="&amp;Q69,yj!G:G,"&lt;="&amp;S69),"")</f>
        <v/>
      </c>
      <c r="U69" s="264">
        <f>SUMIFS(四面弹库存!F:F,四面弹库存!B:B,plan!A69,四面弹库存!O:O,IF(H69&lt;&gt;"黑丝","白","黑"))</f>
        <v>0</v>
      </c>
      <c r="V69" s="264"/>
      <c r="W69" s="369" t="str">
        <f t="shared" si="1"/>
        <v/>
      </c>
      <c r="X69" s="258" t="str">
        <f>IF(B69="","",IF(S69&lt;&gt;"","",IF(AND(Z69&lt;&gt;"",AA69&lt;&gt;""),SUM(Z69:AA69),IF(AB69&lt;&gt;"",(I69/((1/((G69+2)/100*K69/1000))*0.9144)/IF(H69="黑丝",22,20)-AB69)*(IF(H69="黑丝",22,20)),I69/((1/((G69+2)/100*K69/1000))*0.9144)))))</f>
        <v/>
      </c>
      <c r="Y69" s="36" t="str">
        <f>IF(OR(B69="",D69&lt;&gt;""),"",IF(S69&lt;&gt;"","",I69/((1/((G69+2)/100*K69/1000))*0.9144)/IF(H69="黑丝",22,20)-AB69))</f>
        <v/>
      </c>
      <c r="Z69" s="340" t="str">
        <f>IF(AND(C69&gt;0,D69&lt;&gt;"",S69=""),VLOOKUP(A69&amp;IF(H69="黑丝","黑","白")&amp;E69,经纬!A:M,13,FALSE)*(I69-AB69),"")</f>
        <v/>
      </c>
      <c r="AA69" s="340" t="str">
        <f>IF(AND(C69&gt;0,D69&lt;&gt;"",S69=""),VLOOKUP(A69&amp;IF(H69="黑丝","黑","白")&amp;E69,经纬!A:N,14,FALSE)*(I69-AB69),"")</f>
        <v/>
      </c>
      <c r="AB69" s="8">
        <v>7548</v>
      </c>
      <c r="AC69" s="8" t="s">
        <v>2767</v>
      </c>
      <c r="AD69" s="8"/>
      <c r="AE69" s="250" t="str">
        <f>IF(COUNTIF(A$2:A69,A69)=1,M69,LOOKUP(1,0/(A$1:A68=A69),AE$1:AE68)&amp;" "&amp;M69)</f>
        <v>A192</v>
      </c>
    </row>
    <row r="70" spans="1:31" s="250" customFormat="1" outlineLevel="1">
      <c r="A70" s="233" t="s">
        <v>2590</v>
      </c>
      <c r="B70" s="24" t="str">
        <f>IF(A70="","",IF(LEFT(A70)&gt;"9",VLOOKUP(A70,yuanjidaimachichun,2,FALSE),VLOOKUP(A70,经纬!B:C,2,FALSE)))</f>
        <v>150*300</v>
      </c>
      <c r="C70" s="8" t="str">
        <f>IF(ISERROR(FIND("*",B70)),MID(B70,2,FIND("-",B70)-2),LEFT(B70,FIND("*",B70)-1))</f>
        <v>150</v>
      </c>
      <c r="D70" s="8" t="str">
        <f>IF(ISERROR(FIND("*",B70)),"",RIGHT(B70,LEN(B70)-FIND("*",B70)))</f>
        <v>300</v>
      </c>
      <c r="E70" s="89" t="s">
        <v>2444</v>
      </c>
      <c r="F70" s="89"/>
      <c r="G70" s="8">
        <v>180</v>
      </c>
      <c r="H70" s="8" t="s">
        <v>2587</v>
      </c>
      <c r="I70" s="8">
        <v>14976</v>
      </c>
      <c r="J70" s="8">
        <v>106</v>
      </c>
      <c r="K70" s="8"/>
      <c r="L70" s="8" t="s">
        <v>1772</v>
      </c>
      <c r="M70" s="24" t="str">
        <f t="array" ref="M70">LEFT(L70,MIN(FIND({"A","B","C"},MID(L70,2,LEN(L70))&amp;"ABC")))</f>
        <v>A192</v>
      </c>
      <c r="N70" s="24" t="str">
        <f t="array" ref="N70">SUBSTITUTE(L70,M70,"")</f>
        <v>B496</v>
      </c>
      <c r="O70" s="113">
        <v>43753</v>
      </c>
      <c r="P70" s="4"/>
      <c r="Q70" s="389"/>
      <c r="R70" s="389"/>
      <c r="S70" s="23">
        <v>43769</v>
      </c>
      <c r="T70" s="264" t="str">
        <f>IF(AND(C70&gt;0,D70=""),SUMIFS(yj!I:I,yj!B:B,plan!A70,yj!G:G,"&gt;="&amp;Q70,yj!G:G,"&lt;="&amp;S70),"")</f>
        <v/>
      </c>
      <c r="U70" s="264">
        <f>SUMIFS(四面弹库存!F:F,四面弹库存!B:B,plan!A70,四面弹库存!O:O,IF(H70&lt;&gt;"黑丝","白","黑"))</f>
        <v>0</v>
      </c>
      <c r="V70" s="264"/>
      <c r="W70" s="369" t="str">
        <f t="shared" si="1"/>
        <v/>
      </c>
      <c r="X70" s="258" t="str">
        <f>IF(B70="","",IF(S70&lt;&gt;"","",IF(AND(Z70&lt;&gt;"",AA70&lt;&gt;""),SUM(Z70:AA70),IF(AB70&lt;&gt;"",(I70/((1/((G70+2)/100*K70/1000))*0.9144)/IF(H70="黑丝",22,20)-AB70)*(IF(H70="黑丝",22,20)),I70/((1/((G70+2)/100*K70/1000))*0.9144)))))</f>
        <v/>
      </c>
      <c r="Y70" s="36" t="str">
        <f>IF(OR(B70="",D70&lt;&gt;""),"",IF(S70&lt;&gt;"","",I70/((1/((G70+2)/100*K70/1000))*0.9144)/IF(H70="黑丝",22,20)-AB70))</f>
        <v/>
      </c>
      <c r="Z70" s="340" t="str">
        <f>IF(AND(C70&gt;0,D70&lt;&gt;"",S70=""),VLOOKUP(A70&amp;IF(H70="黑丝","黑","白")&amp;E70,经纬!A:M,13,FALSE)*(I70-AB70),"")</f>
        <v/>
      </c>
      <c r="AA70" s="340" t="str">
        <f>IF(AND(C70&gt;0,D70&lt;&gt;"",S70=""),VLOOKUP(A70&amp;IF(H70="黑丝","黑","白")&amp;E70,经纬!A:N,14,FALSE)*(I70-AB70),"")</f>
        <v/>
      </c>
      <c r="AB70" s="8">
        <v>18000</v>
      </c>
      <c r="AC70" s="8" t="s">
        <v>2710</v>
      </c>
      <c r="AD70" s="8"/>
      <c r="AE70" s="250" t="str">
        <f>IF(COUNTIF(A$2:A70,A70)=1,M70,LOOKUP(1,0/(A$1:A69=A70),AE$1:AE69)&amp;" "&amp;M70)</f>
        <v>A192 A192</v>
      </c>
    </row>
    <row r="71" spans="1:31" s="250" customFormat="1" outlineLevel="1">
      <c r="A71" s="233" t="s">
        <v>2591</v>
      </c>
      <c r="B71" s="24" t="str">
        <f>IF(A71="","",IF(LEFT(A71)&gt;"9",VLOOKUP(A71,yuanjidaimachichun,2,FALSE),VLOOKUP(A71,经纬!B:C,2,FALSE)))</f>
        <v>200*300</v>
      </c>
      <c r="C71" s="8" t="str">
        <f>IF(ISERROR(FIND("*",B71)),MID(B71,2,FIND("-",B71)-2),LEFT(B71,FIND("*",B71)-1))</f>
        <v>200</v>
      </c>
      <c r="D71" s="8" t="str">
        <f>IF(ISERROR(FIND("*",B71)),"",RIGHT(B71,LEN(B71)-FIND("*",B71)))</f>
        <v>300</v>
      </c>
      <c r="E71" s="89" t="s">
        <v>2444</v>
      </c>
      <c r="F71" s="89"/>
      <c r="G71" s="8">
        <v>180</v>
      </c>
      <c r="H71" s="8" t="s">
        <v>2562</v>
      </c>
      <c r="I71" s="8">
        <v>7488</v>
      </c>
      <c r="J71" s="8">
        <v>116</v>
      </c>
      <c r="K71" s="8"/>
      <c r="L71" s="8" t="s">
        <v>1772</v>
      </c>
      <c r="M71" s="24" t="str">
        <f t="array" ref="M71">LEFT(L71,MIN(FIND({"A","B","C"},MID(L71,2,LEN(L71))&amp;"ABC")))</f>
        <v>A192</v>
      </c>
      <c r="N71" s="24" t="str">
        <f t="array" ref="N71">SUBSTITUTE(L71,M71,"")</f>
        <v>B496</v>
      </c>
      <c r="O71" s="113">
        <v>43753</v>
      </c>
      <c r="P71" s="4"/>
      <c r="Q71" s="389"/>
      <c r="R71" s="389"/>
      <c r="S71" s="23">
        <v>43769</v>
      </c>
      <c r="T71" s="264" t="str">
        <f>IF(AND(C71&gt;0,D71=""),SUMIFS(yj!I:I,yj!B:B,plan!A71,yj!G:G,"&gt;="&amp;Q71,yj!G:G,"&lt;="&amp;S71),"")</f>
        <v/>
      </c>
      <c r="U71" s="264">
        <f>SUMIFS(四面弹库存!F:F,四面弹库存!B:B,plan!A71,四面弹库存!O:O,IF(H71&lt;&gt;"黑丝","白","黑"))</f>
        <v>0</v>
      </c>
      <c r="V71" s="264"/>
      <c r="W71" s="369" t="str">
        <f t="shared" si="1"/>
        <v/>
      </c>
      <c r="X71" s="258" t="str">
        <f>IF(B71="","",IF(S71&lt;&gt;"","",IF(AND(Z71&lt;&gt;"",AA71&lt;&gt;""),SUM(Z71:AA71),IF(AB71&lt;&gt;"",(I71/((1/((G71+2)/100*K71/1000))*0.9144)/IF(H71="黑丝",22,20)-AB71)*(IF(H71="黑丝",22,20)),I71/((1/((G71+2)/100*K71/1000))*0.9144)))))</f>
        <v/>
      </c>
      <c r="Y71" s="36" t="str">
        <f>IF(OR(B71="",D71&lt;&gt;""),"",IF(S71&lt;&gt;"","",I71/((1/((G71+2)/100*K71/1000))*0.9144)/IF(H71="黑丝",22,20)-AB71))</f>
        <v/>
      </c>
      <c r="Z71" s="340" t="str">
        <f>IF(AND(C71&gt;0,D71&lt;&gt;"",S71=""),VLOOKUP(A71&amp;IF(H71="黑丝","黑","白")&amp;E71,经纬!A:M,13,FALSE)*(I71-AB71),"")</f>
        <v/>
      </c>
      <c r="AA71" s="340" t="str">
        <f>IF(AND(C71&gt;0,D71&lt;&gt;"",S71=""),VLOOKUP(A71&amp;IF(H71="黑丝","黑","白")&amp;E71,经纬!A:N,14,FALSE)*(I71-AB71),"")</f>
        <v/>
      </c>
      <c r="AB71" s="8">
        <v>9000</v>
      </c>
      <c r="AC71" s="8" t="s">
        <v>2720</v>
      </c>
      <c r="AD71" s="8"/>
      <c r="AE71" s="250" t="str">
        <f>IF(COUNTIF(A$2:A71,A71)=1,M71,LOOKUP(1,0/(A$1:A70=A71),AE$1:AE70)&amp;" "&amp;M71)</f>
        <v>A192</v>
      </c>
    </row>
    <row r="72" spans="1:31" s="250" customFormat="1" outlineLevel="1">
      <c r="A72" s="233" t="s">
        <v>2591</v>
      </c>
      <c r="B72" s="24" t="str">
        <f>IF(A72="","",IF(LEFT(A72)&gt;"9",VLOOKUP(A72,yuanjidaimachichun,2,FALSE),VLOOKUP(A72,经纬!B:C,2,FALSE)))</f>
        <v>200*300</v>
      </c>
      <c r="C72" s="8" t="str">
        <f>IF(ISERROR(FIND("*",B72)),MID(B72,2,FIND("-",B72)-2),LEFT(B72,FIND("*",B72)-1))</f>
        <v>200</v>
      </c>
      <c r="D72" s="8" t="str">
        <f>IF(ISERROR(FIND("*",B72)),"",RIGHT(B72,LEN(B72)-FIND("*",B72)))</f>
        <v>300</v>
      </c>
      <c r="E72" s="89" t="s">
        <v>2444</v>
      </c>
      <c r="F72" s="89"/>
      <c r="G72" s="8">
        <v>180</v>
      </c>
      <c r="H72" s="8" t="s">
        <v>2587</v>
      </c>
      <c r="I72" s="8">
        <v>14976</v>
      </c>
      <c r="J72" s="8">
        <v>116</v>
      </c>
      <c r="K72" s="8"/>
      <c r="L72" s="8" t="s">
        <v>1772</v>
      </c>
      <c r="M72" s="24" t="str">
        <f t="array" ref="M72">LEFT(L72,MIN(FIND({"A","B","C"},MID(L72,2,LEN(L72))&amp;"ABC")))</f>
        <v>A192</v>
      </c>
      <c r="N72" s="24" t="str">
        <f t="array" ref="N72">SUBSTITUTE(L72,M72,"")</f>
        <v>B496</v>
      </c>
      <c r="O72" s="113">
        <v>43753</v>
      </c>
      <c r="P72" s="4"/>
      <c r="Q72" s="389"/>
      <c r="R72" s="389"/>
      <c r="S72" s="23">
        <v>43769</v>
      </c>
      <c r="T72" s="264" t="str">
        <f>IF(AND(C72&gt;0,D72=""),SUMIFS(yj!I:I,yj!B:B,plan!A72,yj!G:G,"&gt;="&amp;Q72,yj!G:G,"&lt;="&amp;S72),"")</f>
        <v/>
      </c>
      <c r="U72" s="264">
        <f>SUMIFS(四面弹库存!F:F,四面弹库存!B:B,plan!A72,四面弹库存!O:O,IF(H72&lt;&gt;"黑丝","白","黑"))</f>
        <v>0</v>
      </c>
      <c r="V72" s="264"/>
      <c r="W72" s="369" t="str">
        <f t="shared" si="1"/>
        <v/>
      </c>
      <c r="X72" s="258" t="str">
        <f>IF(B72="","",IF(S72&lt;&gt;"","",IF(AND(Z72&lt;&gt;"",AA72&lt;&gt;""),SUM(Z72:AA72),IF(AB72&lt;&gt;"",(I72/((1/((G72+2)/100*K72/1000))*0.9144)/IF(H72="黑丝",22,20)-AB72)*(IF(H72="黑丝",22,20)),I72/((1/((G72+2)/100*K72/1000))*0.9144)))))</f>
        <v/>
      </c>
      <c r="Y72" s="36" t="str">
        <f>IF(OR(B72="",D72&lt;&gt;""),"",IF(S72&lt;&gt;"","",I72/((1/((G72+2)/100*K72/1000))*0.9144)/IF(H72="黑丝",22,20)-AB72))</f>
        <v/>
      </c>
      <c r="Z72" s="340" t="str">
        <f>IF(AND(C72&gt;0,D72&lt;&gt;"",S72=""),VLOOKUP(A72&amp;IF(H72="黑丝","黑","白")&amp;E72,经纬!A:M,13,FALSE)*(I72-AB72),"")</f>
        <v/>
      </c>
      <c r="AA72" s="340" t="str">
        <f>IF(AND(C72&gt;0,D72&lt;&gt;"",S72=""),VLOOKUP(A72&amp;IF(H72="黑丝","黑","白")&amp;E72,经纬!A:N,14,FALSE)*(I72-AB72),"")</f>
        <v/>
      </c>
      <c r="AB72" s="8">
        <v>19000</v>
      </c>
      <c r="AC72" s="8" t="s">
        <v>2711</v>
      </c>
      <c r="AD72" s="8"/>
      <c r="AE72" s="250" t="str">
        <f>IF(COUNTIF(A$2:A72,A72)=1,M72,LOOKUP(1,0/(A$1:A71=A72),AE$1:AE71)&amp;" "&amp;M72)</f>
        <v>A192 A192</v>
      </c>
    </row>
    <row r="73" spans="1:31" s="250" customFormat="1" outlineLevel="1">
      <c r="A73" s="233" t="s">
        <v>2592</v>
      </c>
      <c r="B73" s="24" t="str">
        <f>IF(A73="","",IF(LEFT(A73)&gt;"9",VLOOKUP(A73,yuanjidaimachichun,2,FALSE),VLOOKUP(A73,经纬!B:C,2,FALSE)))</f>
        <v>200*300</v>
      </c>
      <c r="C73" s="8" t="str">
        <f>IF(ISERROR(FIND("*",B73)),MID(B73,2,FIND("-",B73)-2),LEFT(B73,FIND("*",B73)-1))</f>
        <v>200</v>
      </c>
      <c r="D73" s="8" t="str">
        <f>IF(ISERROR(FIND("*",B73)),"",RIGHT(B73,LEN(B73)-FIND("*",B73)))</f>
        <v>300</v>
      </c>
      <c r="E73" s="89" t="s">
        <v>2444</v>
      </c>
      <c r="F73" s="89"/>
      <c r="G73" s="8">
        <v>180</v>
      </c>
      <c r="H73" s="8" t="s">
        <v>2587</v>
      </c>
      <c r="I73" s="8">
        <v>4992</v>
      </c>
      <c r="J73" s="8">
        <v>126</v>
      </c>
      <c r="K73" s="8"/>
      <c r="L73" s="8" t="s">
        <v>1772</v>
      </c>
      <c r="M73" s="24" t="str">
        <f t="array" ref="M73">LEFT(L73,MIN(FIND({"A","B","C"},MID(L73,2,LEN(L73))&amp;"ABC")))</f>
        <v>A192</v>
      </c>
      <c r="N73" s="24" t="str">
        <f t="array" ref="N73">SUBSTITUTE(L73,M73,"")</f>
        <v>B496</v>
      </c>
      <c r="O73" s="113">
        <v>43753</v>
      </c>
      <c r="P73" s="4"/>
      <c r="Q73" s="389"/>
      <c r="R73" s="389"/>
      <c r="S73" s="23">
        <v>43769</v>
      </c>
      <c r="T73" s="264" t="str">
        <f>IF(AND(C73&gt;0,D73=""),SUMIFS(yj!I:I,yj!B:B,plan!A73,yj!G:G,"&gt;="&amp;Q73,yj!G:G,"&lt;="&amp;S73),"")</f>
        <v/>
      </c>
      <c r="U73" s="264">
        <f>SUMIFS(四面弹库存!F:F,四面弹库存!B:B,plan!A73,四面弹库存!O:O,IF(H73&lt;&gt;"黑丝","白","黑"))</f>
        <v>0</v>
      </c>
      <c r="V73" s="264"/>
      <c r="W73" s="369" t="str">
        <f t="shared" si="1"/>
        <v/>
      </c>
      <c r="X73" s="258" t="str">
        <f>IF(B73="","",IF(S73&lt;&gt;"","",IF(AND(Z73&lt;&gt;"",AA73&lt;&gt;""),SUM(Z73:AA73),IF(AB73&lt;&gt;"",(I73/((1/((G73+2)/100*K73/1000))*0.9144)/IF(H73="黑丝",22,20)-AB73)*(IF(H73="黑丝",22,20)),I73/((1/((G73+2)/100*K73/1000))*0.9144)))))</f>
        <v/>
      </c>
      <c r="Y73" s="36" t="str">
        <f>IF(OR(B73="",D73&lt;&gt;""),"",IF(S73&lt;&gt;"","",I73/((1/((G73+2)/100*K73/1000))*0.9144)/IF(H73="黑丝",22,20)-AB73))</f>
        <v/>
      </c>
      <c r="Z73" s="340" t="str">
        <f>IF(AND(C73&gt;0,D73&lt;&gt;"",S73=""),VLOOKUP(A73&amp;IF(H73="黑丝","黑","白")&amp;E73,经纬!A:M,13,FALSE)*(I73-AB73),"")</f>
        <v/>
      </c>
      <c r="AA73" s="340" t="str">
        <f>IF(AND(C73&gt;0,D73&lt;&gt;"",S73=""),VLOOKUP(A73&amp;IF(H73="黑丝","黑","白")&amp;E73,经纬!A:N,14,FALSE)*(I73-AB73),"")</f>
        <v/>
      </c>
      <c r="AB73" s="8">
        <v>6000</v>
      </c>
      <c r="AC73" s="8" t="s">
        <v>2712</v>
      </c>
      <c r="AD73" s="8"/>
      <c r="AE73" s="250" t="str">
        <f>IF(COUNTIF(A$2:A73,A73)=1,M73,LOOKUP(1,0/(A$1:A72=A73),AE$1:AE72)&amp;" "&amp;M73)</f>
        <v>A192</v>
      </c>
    </row>
    <row r="74" spans="1:31" outlineLevel="1">
      <c r="A74" s="233" t="s">
        <v>1774</v>
      </c>
      <c r="B74" s="24" t="str">
        <f>IF(A74="","",IF(LEFT(A74)&gt;"9",VLOOKUP(A74,yuanjidaimachichun,2,FALSE),VLOOKUP(A74,经纬!B:C,2,FALSE)))</f>
        <v>75*150</v>
      </c>
      <c r="C74" s="8" t="str">
        <f>IF(ISERROR(FIND("*",B74)),MID(B74,2,FIND("-",B74)-2),LEFT(B74,FIND("*",B74)-1))</f>
        <v>75</v>
      </c>
      <c r="D74" s="8" t="str">
        <f>IF(ISERROR(FIND("*",B74)),"",RIGHT(B74,LEN(B74)-FIND("*",B74)))</f>
        <v>150</v>
      </c>
      <c r="E74" s="89" t="s">
        <v>2444</v>
      </c>
      <c r="G74" s="8">
        <v>188</v>
      </c>
      <c r="H74" s="8" t="s">
        <v>967</v>
      </c>
      <c r="I74" s="8">
        <v>16000</v>
      </c>
      <c r="J74" s="8">
        <v>58</v>
      </c>
      <c r="L74" s="8" t="s">
        <v>1802</v>
      </c>
      <c r="M74" s="24" t="str">
        <f t="array" ref="M74">LEFT(L74,MIN(FIND({"A","B","C"},MID(L74,2,LEN(L74))&amp;"ABC")))</f>
        <v>A28</v>
      </c>
      <c r="N74" s="24" t="str">
        <f t="array" ref="N74">SUBSTITUTE(L74,M74,"")</f>
        <v>B527</v>
      </c>
      <c r="O74" s="113">
        <v>43754</v>
      </c>
      <c r="S74" s="23">
        <v>43761</v>
      </c>
      <c r="T74" s="264" t="str">
        <f>IF(AND(C74&gt;0,D74=""),SUMIFS(yj!I:I,yj!B:B,plan!A74,yj!G:G,"&gt;="&amp;Q74,yj!G:G,"&lt;="&amp;S74),"")</f>
        <v/>
      </c>
      <c r="U74" s="264">
        <f>SUMIFS(四面弹库存!F:F,四面弹库存!B:B,plan!A74,四面弹库存!O:O,IF(H74&lt;&gt;"黑丝","白","黑"))</f>
        <v>0</v>
      </c>
      <c r="V74" s="264"/>
      <c r="W74" s="369" t="str">
        <f t="shared" si="1"/>
        <v/>
      </c>
      <c r="X74" s="258" t="str">
        <f>IF(B74="","",IF(S74&lt;&gt;"","",IF(AND(Z74&lt;&gt;"",AA74&lt;&gt;""),SUM(Z74:AA74),IF(AB74&lt;&gt;"",(I74/((1/((G74+2)/100*K74/1000))*0.9144)/IF(H74="黑丝",22,20)-AB74)*(IF(H74="黑丝",22,20)),I74/((1/((G74+2)/100*K74/1000))*0.9144)))))</f>
        <v/>
      </c>
      <c r="Y74" s="36" t="str">
        <f>IF(OR(B74="",D74&lt;&gt;""),"",IF(S74&lt;&gt;"","",I74/((1/((G74+2)/100*K74/1000))*0.9144)/IF(H74="黑丝",22,20)-AB74))</f>
        <v/>
      </c>
      <c r="Z74" s="340" t="str">
        <f>IF(AND(C74&gt;0,D74&lt;&gt;"",S74=""),VLOOKUP(A74&amp;IF(H74="黑丝","黑","白")&amp;E74,经纬!A:M,13,FALSE)*(I74-AB74),"")</f>
        <v/>
      </c>
      <c r="AA74" s="340" t="str">
        <f>IF(AND(C74&gt;0,D74&lt;&gt;"",S74=""),VLOOKUP(A74&amp;IF(H74="黑丝","黑","白")&amp;E74,经纬!A:N,14,FALSE)*(I74-AB74),"")</f>
        <v/>
      </c>
      <c r="AC74" s="8"/>
      <c r="AD74" s="8"/>
      <c r="AE74" s="250" t="str">
        <f>IF(COUNTIF(A$2:A74,A74)=1,M74,LOOKUP(1,0/(A$1:A73=A74),AE$1:AE73)&amp;" "&amp;M74)</f>
        <v>A192 A28</v>
      </c>
    </row>
    <row r="75" spans="1:31" outlineLevel="1">
      <c r="A75" s="233" t="s">
        <v>1803</v>
      </c>
      <c r="B75" s="24" t="str">
        <f>IF(A75="","",IF(LEFT(A75)&gt;"9",VLOOKUP(A75,yuanjidaimachichun,2,FALSE),VLOOKUP(A75,经纬!B:C,2,FALSE)))</f>
        <v>75*200</v>
      </c>
      <c r="C75" s="8" t="str">
        <f>IF(ISERROR(FIND("*",B75)),MID(B75,2,FIND("-",B75)-2),LEFT(B75,FIND("*",B75)-1))</f>
        <v>75</v>
      </c>
      <c r="D75" s="8" t="str">
        <f>IF(ISERROR(FIND("*",B75)),"",RIGHT(B75,LEN(B75)-FIND("*",B75)))</f>
        <v>200</v>
      </c>
      <c r="E75" s="89" t="s">
        <v>2444</v>
      </c>
      <c r="G75" s="8">
        <v>188</v>
      </c>
      <c r="H75" s="8" t="s">
        <v>967</v>
      </c>
      <c r="I75" s="8">
        <v>16000</v>
      </c>
      <c r="J75" s="8">
        <v>62</v>
      </c>
      <c r="L75" s="8" t="s">
        <v>1802</v>
      </c>
      <c r="M75" s="24" t="str">
        <f t="array" ref="M75">LEFT(L75,MIN(FIND({"A","B","C"},MID(L75,2,LEN(L75))&amp;"ABC")))</f>
        <v>A28</v>
      </c>
      <c r="N75" s="24" t="str">
        <f t="array" ref="N75">SUBSTITUTE(L75,M75,"")</f>
        <v>B527</v>
      </c>
      <c r="O75" s="113">
        <v>43754</v>
      </c>
      <c r="S75" s="23">
        <v>43761</v>
      </c>
      <c r="T75" s="264" t="str">
        <f>IF(AND(C75&gt;0,D75=""),SUMIFS(yj!I:I,yj!B:B,plan!A75,yj!G:G,"&gt;="&amp;Q75,yj!G:G,"&lt;="&amp;S75),"")</f>
        <v/>
      </c>
      <c r="U75" s="264">
        <f>SUMIFS(四面弹库存!F:F,四面弹库存!B:B,plan!A75,四面弹库存!O:O,IF(H75&lt;&gt;"黑丝","白","黑"))</f>
        <v>0</v>
      </c>
      <c r="V75" s="264"/>
      <c r="W75" s="369" t="str">
        <f t="shared" si="1"/>
        <v/>
      </c>
      <c r="X75" s="258" t="str">
        <f>IF(B75="","",IF(S75&lt;&gt;"","",IF(AND(Z75&lt;&gt;"",AA75&lt;&gt;""),SUM(Z75:AA75),IF(AB75&lt;&gt;"",(I75/((1/((G75+2)/100*K75/1000))*0.9144)/IF(H75="黑丝",22,20)-AB75)*(IF(H75="黑丝",22,20)),I75/((1/((G75+2)/100*K75/1000))*0.9144)))))</f>
        <v/>
      </c>
      <c r="Y75" s="36" t="str">
        <f>IF(OR(B75="",D75&lt;&gt;""),"",IF(S75&lt;&gt;"","",I75/((1/((G75+2)/100*K75/1000))*0.9144)/IF(H75="黑丝",22,20)-AB75))</f>
        <v/>
      </c>
      <c r="Z75" s="340" t="str">
        <f>IF(AND(C75&gt;0,D75&lt;&gt;"",S75=""),VLOOKUP(A75&amp;IF(H75="黑丝","黑","白")&amp;E75,经纬!A:M,13,FALSE)*(I75-AB75),"")</f>
        <v/>
      </c>
      <c r="AA75" s="340" t="str">
        <f>IF(AND(C75&gt;0,D75&lt;&gt;"",S75=""),VLOOKUP(A75&amp;IF(H75="黑丝","黑","白")&amp;E75,经纬!A:N,14,FALSE)*(I75-AB75),"")</f>
        <v/>
      </c>
      <c r="AC75" s="8"/>
      <c r="AD75" s="8"/>
      <c r="AE75" s="250" t="str">
        <f>IF(COUNTIF(A$2:A75,A75)=1,M75,LOOKUP(1,0/(A$1:A74=A75),AE$1:AE74)&amp;" "&amp;M75)</f>
        <v>A28</v>
      </c>
    </row>
    <row r="76" spans="1:31" outlineLevel="1">
      <c r="A76" s="233" t="s">
        <v>1805</v>
      </c>
      <c r="B76" s="24" t="str">
        <f>IF(A76="","",IF(LEFT(A76)&gt;"9",VLOOKUP(A76,yuanjidaimachichun,2,FALSE),VLOOKUP(A76,经纬!B:C,2,FALSE)))</f>
        <v>100*200</v>
      </c>
      <c r="C76" s="8" t="str">
        <f>IF(ISERROR(FIND("*",B76)),MID(B76,2,FIND("-",B76)-2),LEFT(B76,FIND("*",B76)-1))</f>
        <v>100</v>
      </c>
      <c r="D76" s="8" t="str">
        <f>IF(ISERROR(FIND("*",B76)),"",RIGHT(B76,LEN(B76)-FIND("*",B76)))</f>
        <v>200</v>
      </c>
      <c r="E76" s="89" t="s">
        <v>2444</v>
      </c>
      <c r="G76" s="8">
        <v>188</v>
      </c>
      <c r="H76" s="8" t="s">
        <v>967</v>
      </c>
      <c r="I76" s="8">
        <v>6000</v>
      </c>
      <c r="J76" s="8">
        <v>86</v>
      </c>
      <c r="L76" s="8" t="s">
        <v>1802</v>
      </c>
      <c r="M76" s="24" t="str">
        <f t="array" ref="M76">LEFT(L76,MIN(FIND({"A","B","C"},MID(L76,2,LEN(L76))&amp;"ABC")))</f>
        <v>A28</v>
      </c>
      <c r="N76" s="24" t="str">
        <f t="array" ref="N76">SUBSTITUTE(L76,M76,"")</f>
        <v>B527</v>
      </c>
      <c r="O76" s="113">
        <v>43754</v>
      </c>
      <c r="S76" s="23">
        <v>43761</v>
      </c>
      <c r="T76" s="264" t="str">
        <f>IF(AND(C76&gt;0,D76=""),SUMIFS(yj!I:I,yj!B:B,plan!A76,yj!G:G,"&gt;="&amp;Q76,yj!G:G,"&lt;="&amp;S76),"")</f>
        <v/>
      </c>
      <c r="U76" s="264">
        <f>SUMIFS(四面弹库存!F:F,四面弹库存!B:B,plan!A76,四面弹库存!O:O,IF(H76&lt;&gt;"黑丝","白","黑"))</f>
        <v>0</v>
      </c>
      <c r="V76" s="264"/>
      <c r="W76" s="369" t="str">
        <f t="shared" si="1"/>
        <v/>
      </c>
      <c r="X76" s="258" t="str">
        <f>IF(B76="","",IF(S76&lt;&gt;"","",IF(AND(Z76&lt;&gt;"",AA76&lt;&gt;""),SUM(Z76:AA76),IF(AB76&lt;&gt;"",(I76/((1/((G76+2)/100*K76/1000))*0.9144)/IF(H76="黑丝",22,20)-AB76)*(IF(H76="黑丝",22,20)),I76/((1/((G76+2)/100*K76/1000))*0.9144)))))</f>
        <v/>
      </c>
      <c r="Y76" s="36" t="str">
        <f>IF(OR(B76="",D76&lt;&gt;""),"",IF(S76&lt;&gt;"","",I76/((1/((G76+2)/100*K76/1000))*0.9144)/IF(H76="黑丝",22,20)-AB76))</f>
        <v/>
      </c>
      <c r="Z76" s="340" t="str">
        <f>IF(AND(C76&gt;0,D76&lt;&gt;"",S76=""),VLOOKUP(A76&amp;IF(H76="黑丝","黑","白")&amp;E76,经纬!A:M,13,FALSE)*(I76-AB76),"")</f>
        <v/>
      </c>
      <c r="AA76" s="340" t="str">
        <f>IF(AND(C76&gt;0,D76&lt;&gt;"",S76=""),VLOOKUP(A76&amp;IF(H76="黑丝","黑","白")&amp;E76,经纬!A:N,14,FALSE)*(I76-AB76),"")</f>
        <v/>
      </c>
      <c r="AC76" s="8"/>
      <c r="AD76" s="8"/>
      <c r="AE76" s="250" t="str">
        <f>IF(COUNTIF(A$2:A76,A76)=1,M76,LOOKUP(1,0/(A$1:A75=A76),AE$1:AE75)&amp;" "&amp;M76)</f>
        <v>A28</v>
      </c>
    </row>
    <row r="77" spans="1:31" outlineLevel="1">
      <c r="A77" s="233" t="s">
        <v>1807</v>
      </c>
      <c r="B77" s="24" t="str">
        <f>IF(A77="","",IF(LEFT(A77)&gt;"9",VLOOKUP(A77,yuanjidaimachichun,2,FALSE),VLOOKUP(A77,经纬!B:C,2,FALSE)))</f>
        <v>100*300</v>
      </c>
      <c r="C77" s="8" t="str">
        <f>IF(ISERROR(FIND("*",B77)),MID(B77,2,FIND("-",B77)-2),LEFT(B77,FIND("*",B77)-1))</f>
        <v>100</v>
      </c>
      <c r="D77" s="8" t="str">
        <f>IF(ISERROR(FIND("*",B77)),"",RIGHT(B77,LEN(B77)-FIND("*",B77)))</f>
        <v>300</v>
      </c>
      <c r="E77" s="89" t="s">
        <v>2444</v>
      </c>
      <c r="G77" s="8">
        <v>180</v>
      </c>
      <c r="H77" s="8" t="s">
        <v>1499</v>
      </c>
      <c r="I77" s="8">
        <v>4000</v>
      </c>
      <c r="J77" s="8">
        <v>96</v>
      </c>
      <c r="L77" s="8" t="s">
        <v>1802</v>
      </c>
      <c r="M77" s="24" t="str">
        <f t="array" ref="M77">LEFT(L77,MIN(FIND({"A","B","C"},MID(L77,2,LEN(L77))&amp;"ABC")))</f>
        <v>A28</v>
      </c>
      <c r="N77" s="24" t="str">
        <f t="array" ref="N77">SUBSTITUTE(L77,M77,"")</f>
        <v>B527</v>
      </c>
      <c r="O77" s="113">
        <v>43754</v>
      </c>
      <c r="S77" s="23">
        <v>43761</v>
      </c>
      <c r="T77" s="264" t="str">
        <f>IF(AND(C77&gt;0,D77=""),SUMIFS(yj!I:I,yj!B:B,plan!A77,yj!G:G,"&gt;="&amp;Q77,yj!G:G,"&lt;="&amp;S77),"")</f>
        <v/>
      </c>
      <c r="U77" s="264">
        <f>SUMIFS(四面弹库存!F:F,四面弹库存!B:B,plan!A77,四面弹库存!O:O,IF(H77&lt;&gt;"黑丝","白","黑"))</f>
        <v>0</v>
      </c>
      <c r="V77" s="264"/>
      <c r="W77" s="369" t="str">
        <f t="shared" si="1"/>
        <v/>
      </c>
      <c r="X77" s="258" t="str">
        <f>IF(B77="","",IF(S77&lt;&gt;"","",IF(AND(Z77&lt;&gt;"",AA77&lt;&gt;""),SUM(Z77:AA77),IF(AB77&lt;&gt;"",(I77/((1/((G77+2)/100*K77/1000))*0.9144)/IF(H77="黑丝",22,20)-AB77)*(IF(H77="黑丝",22,20)),I77/((1/((G77+2)/100*K77/1000))*0.9144)))))</f>
        <v/>
      </c>
      <c r="Y77" s="36" t="str">
        <f>IF(OR(B77="",D77&lt;&gt;""),"",IF(S77&lt;&gt;"","",I77/((1/((G77+2)/100*K77/1000))*0.9144)/IF(H77="黑丝",22,20)-AB77))</f>
        <v/>
      </c>
      <c r="Z77" s="340" t="str">
        <f>IF(AND(C77&gt;0,D77&lt;&gt;"",S77=""),VLOOKUP(A77&amp;IF(H77="黑丝","黑","白")&amp;E77,经纬!A:M,13,FALSE)*(I77-AB77),"")</f>
        <v/>
      </c>
      <c r="AA77" s="340" t="str">
        <f>IF(AND(C77&gt;0,D77&lt;&gt;"",S77=""),VLOOKUP(A77&amp;IF(H77="黑丝","黑","白")&amp;E77,经纬!A:N,14,FALSE)*(I77-AB77),"")</f>
        <v/>
      </c>
      <c r="AC77" s="8"/>
      <c r="AD77" s="8"/>
      <c r="AE77" s="250" t="str">
        <f>IF(COUNTIF(A$2:A77,A77)=1,M77,LOOKUP(1,0/(A$1:A76=A77),AE$1:AE76)&amp;" "&amp;M77)</f>
        <v>A28</v>
      </c>
    </row>
    <row r="78" spans="1:31" outlineLevel="1">
      <c r="A78" s="233" t="s">
        <v>1807</v>
      </c>
      <c r="B78" s="24" t="str">
        <f>IF(A78="","",IF(LEFT(A78)&gt;"9",VLOOKUP(A78,yuanjidaimachichun,2,FALSE),VLOOKUP(A78,经纬!B:C,2,FALSE)))</f>
        <v>100*300</v>
      </c>
      <c r="C78" s="8" t="str">
        <f>IF(ISERROR(FIND("*",B78)),MID(B78,2,FIND("-",B78)-2),LEFT(B78,FIND("*",B78)-1))</f>
        <v>100</v>
      </c>
      <c r="D78" s="8" t="str">
        <f>IF(ISERROR(FIND("*",B78)),"",RIGHT(B78,LEN(B78)-FIND("*",B78)))</f>
        <v>300</v>
      </c>
      <c r="E78" s="89" t="s">
        <v>2444</v>
      </c>
      <c r="G78" s="8">
        <v>180</v>
      </c>
      <c r="H78" s="8" t="s">
        <v>967</v>
      </c>
      <c r="I78" s="8">
        <v>11000</v>
      </c>
      <c r="J78" s="8">
        <v>96</v>
      </c>
      <c r="L78" s="8" t="s">
        <v>1802</v>
      </c>
      <c r="M78" s="24" t="str">
        <f t="array" ref="M78">LEFT(L78,MIN(FIND({"A","B","C"},MID(L78,2,LEN(L78))&amp;"ABC")))</f>
        <v>A28</v>
      </c>
      <c r="N78" s="24" t="str">
        <f t="array" ref="N78">SUBSTITUTE(L78,M78,"")</f>
        <v>B527</v>
      </c>
      <c r="O78" s="113">
        <v>43754</v>
      </c>
      <c r="S78" s="23">
        <v>43761</v>
      </c>
      <c r="T78" s="264" t="str">
        <f>IF(AND(C78&gt;0,D78=""),SUMIFS(yj!I:I,yj!B:B,plan!A78,yj!G:G,"&gt;="&amp;Q78,yj!G:G,"&lt;="&amp;S78),"")</f>
        <v/>
      </c>
      <c r="U78" s="264">
        <f>SUMIFS(四面弹库存!F:F,四面弹库存!B:B,plan!A78,四面弹库存!O:O,IF(H78&lt;&gt;"黑丝","白","黑"))</f>
        <v>0</v>
      </c>
      <c r="V78" s="264"/>
      <c r="W78" s="369" t="str">
        <f t="shared" si="1"/>
        <v/>
      </c>
      <c r="X78" s="258" t="str">
        <f>IF(B78="","",IF(S78&lt;&gt;"","",IF(AND(Z78&lt;&gt;"",AA78&lt;&gt;""),SUM(Z78:AA78),IF(AB78&lt;&gt;"",(I78/((1/((G78+2)/100*K78/1000))*0.9144)/IF(H78="黑丝",22,20)-AB78)*(IF(H78="黑丝",22,20)),I78/((1/((G78+2)/100*K78/1000))*0.9144)))))</f>
        <v/>
      </c>
      <c r="Y78" s="36" t="str">
        <f>IF(OR(B78="",D78&lt;&gt;""),"",IF(S78&lt;&gt;"","",I78/((1/((G78+2)/100*K78/1000))*0.9144)/IF(H78="黑丝",22,20)-AB78))</f>
        <v/>
      </c>
      <c r="Z78" s="340" t="str">
        <f>IF(AND(C78&gt;0,D78&lt;&gt;"",S78=""),VLOOKUP(A78&amp;IF(H78="黑丝","黑","白")&amp;E78,经纬!A:M,13,FALSE)*(I78-AB78),"")</f>
        <v/>
      </c>
      <c r="AA78" s="340" t="str">
        <f>IF(AND(C78&gt;0,D78&lt;&gt;"",S78=""),VLOOKUP(A78&amp;IF(H78="黑丝","黑","白")&amp;E78,经纬!A:N,14,FALSE)*(I78-AB78),"")</f>
        <v/>
      </c>
      <c r="AC78" s="8"/>
      <c r="AD78" s="8"/>
      <c r="AE78" s="250" t="str">
        <f>IF(COUNTIF(A$2:A78,A78)=1,M78,LOOKUP(1,0/(A$1:A77=A78),AE$1:AE77)&amp;" "&amp;M78)</f>
        <v>A28 A28</v>
      </c>
    </row>
    <row r="79" spans="1:31" outlineLevel="1">
      <c r="A79" s="233" t="s">
        <v>1797</v>
      </c>
      <c r="B79" s="24" t="str">
        <f>IF(A79="","",IF(LEFT(A79)&gt;"9",VLOOKUP(A79,yuanjidaimachichun,2,FALSE),VLOOKUP(A79,经纬!B:C,2,FALSE)))</f>
        <v>150*300</v>
      </c>
      <c r="C79" s="8" t="str">
        <f>IF(ISERROR(FIND("*",B79)),MID(B79,2,FIND("-",B79)-2),LEFT(B79,FIND("*",B79)-1))</f>
        <v>150</v>
      </c>
      <c r="D79" s="8" t="str">
        <f>IF(ISERROR(FIND("*",B79)),"",RIGHT(B79,LEN(B79)-FIND("*",B79)))</f>
        <v>300</v>
      </c>
      <c r="E79" s="89" t="s">
        <v>2444</v>
      </c>
      <c r="G79" s="8">
        <v>180</v>
      </c>
      <c r="H79" s="8" t="s">
        <v>967</v>
      </c>
      <c r="I79" s="8">
        <v>16000</v>
      </c>
      <c r="J79" s="8">
        <v>106</v>
      </c>
      <c r="L79" s="8" t="s">
        <v>1802</v>
      </c>
      <c r="M79" s="24" t="str">
        <f t="array" ref="M79">LEFT(L79,MIN(FIND({"A","B","C"},MID(L79,2,LEN(L79))&amp;"ABC")))</f>
        <v>A28</v>
      </c>
      <c r="N79" s="24" t="str">
        <f t="array" ref="N79">SUBSTITUTE(L79,M79,"")</f>
        <v>B527</v>
      </c>
      <c r="O79" s="113">
        <v>43754</v>
      </c>
      <c r="S79" s="23">
        <v>43761</v>
      </c>
      <c r="T79" s="264" t="str">
        <f>IF(AND(C79&gt;0,D79=""),SUMIFS(yj!I:I,yj!B:B,plan!A79,yj!G:G,"&gt;="&amp;Q79,yj!G:G,"&lt;="&amp;S79),"")</f>
        <v/>
      </c>
      <c r="U79" s="264">
        <f>SUMIFS(四面弹库存!F:F,四面弹库存!B:B,plan!A79,四面弹库存!O:O,IF(H79&lt;&gt;"黑丝","白","黑"))</f>
        <v>0</v>
      </c>
      <c r="V79" s="264"/>
      <c r="W79" s="369" t="str">
        <f t="shared" si="1"/>
        <v/>
      </c>
      <c r="X79" s="258" t="str">
        <f>IF(B79="","",IF(S79&lt;&gt;"","",IF(AND(Z79&lt;&gt;"",AA79&lt;&gt;""),SUM(Z79:AA79),IF(AB79&lt;&gt;"",(I79/((1/((G79+2)/100*K79/1000))*0.9144)/IF(H79="黑丝",22,20)-AB79)*(IF(H79="黑丝",22,20)),I79/((1/((G79+2)/100*K79/1000))*0.9144)))))</f>
        <v/>
      </c>
      <c r="Y79" s="36" t="str">
        <f>IF(OR(B79="",D79&lt;&gt;""),"",IF(S79&lt;&gt;"","",I79/((1/((G79+2)/100*K79/1000))*0.9144)/IF(H79="黑丝",22,20)-AB79))</f>
        <v/>
      </c>
      <c r="Z79" s="340" t="str">
        <f>IF(AND(C79&gt;0,D79&lt;&gt;"",S79=""),VLOOKUP(A79&amp;IF(H79="黑丝","黑","白")&amp;E79,经纬!A:M,13,FALSE)*(I79-AB79),"")</f>
        <v/>
      </c>
      <c r="AA79" s="340" t="str">
        <f>IF(AND(C79&gt;0,D79&lt;&gt;"",S79=""),VLOOKUP(A79&amp;IF(H79="黑丝","黑","白")&amp;E79,经纬!A:N,14,FALSE)*(I79-AB79),"")</f>
        <v/>
      </c>
      <c r="AC79" s="8"/>
      <c r="AD79" s="8"/>
      <c r="AE79" s="250" t="str">
        <f>IF(COUNTIF(A$2:A79,A79)=1,M79,LOOKUP(1,0/(A$1:A78=A79),AE$1:AE78)&amp;" "&amp;M79)</f>
        <v>A192 A192 A28</v>
      </c>
    </row>
    <row r="80" spans="1:31" outlineLevel="1">
      <c r="A80" s="233" t="s">
        <v>1799</v>
      </c>
      <c r="B80" s="24" t="str">
        <f>IF(A80="","",IF(LEFT(A80)&gt;"9",VLOOKUP(A80,yuanjidaimachichun,2,FALSE),VLOOKUP(A80,经纬!B:C,2,FALSE)))</f>
        <v>200*300</v>
      </c>
      <c r="C80" s="8" t="str">
        <f>IF(ISERROR(FIND("*",B80)),MID(B80,2,FIND("-",B80)-2),LEFT(B80,FIND("*",B80)-1))</f>
        <v>200</v>
      </c>
      <c r="D80" s="8" t="str">
        <f>IF(ISERROR(FIND("*",B80)),"",RIGHT(B80,LEN(B80)-FIND("*",B80)))</f>
        <v>300</v>
      </c>
      <c r="E80" s="89" t="s">
        <v>2444</v>
      </c>
      <c r="G80" s="8">
        <v>180</v>
      </c>
      <c r="H80" s="8" t="s">
        <v>967</v>
      </c>
      <c r="I80" s="8">
        <v>11000</v>
      </c>
      <c r="J80" s="8">
        <v>116</v>
      </c>
      <c r="L80" s="8" t="s">
        <v>1802</v>
      </c>
      <c r="M80" s="24" t="str">
        <f t="array" ref="M80">LEFT(L80,MIN(FIND({"A","B","C"},MID(L80,2,LEN(L80))&amp;"ABC")))</f>
        <v>A28</v>
      </c>
      <c r="N80" s="24" t="str">
        <f t="array" ref="N80">SUBSTITUTE(L80,M80,"")</f>
        <v>B527</v>
      </c>
      <c r="O80" s="113">
        <v>43754</v>
      </c>
      <c r="S80" s="23">
        <v>43761</v>
      </c>
      <c r="T80" s="264" t="str">
        <f>IF(AND(C80&gt;0,D80=""),SUMIFS(yj!I:I,yj!B:B,plan!A80,yj!G:G,"&gt;="&amp;Q80,yj!G:G,"&lt;="&amp;S80),"")</f>
        <v/>
      </c>
      <c r="U80" s="264">
        <f>SUMIFS(四面弹库存!F:F,四面弹库存!B:B,plan!A80,四面弹库存!O:O,IF(H80&lt;&gt;"黑丝","白","黑"))</f>
        <v>0</v>
      </c>
      <c r="V80" s="264"/>
      <c r="W80" s="369" t="str">
        <f t="shared" si="1"/>
        <v/>
      </c>
      <c r="X80" s="258" t="str">
        <f>IF(B80="","",IF(S80&lt;&gt;"","",IF(AND(Z80&lt;&gt;"",AA80&lt;&gt;""),SUM(Z80:AA80),IF(AB80&lt;&gt;"",(I80/((1/((G80+2)/100*K80/1000))*0.9144)/IF(H80="黑丝",22,20)-AB80)*(IF(H80="黑丝",22,20)),I80/((1/((G80+2)/100*K80/1000))*0.9144)))))</f>
        <v/>
      </c>
      <c r="Y80" s="36" t="str">
        <f>IF(OR(B80="",D80&lt;&gt;""),"",IF(S80&lt;&gt;"","",I80/((1/((G80+2)/100*K80/1000))*0.9144)/IF(H80="黑丝",22,20)-AB80))</f>
        <v/>
      </c>
      <c r="Z80" s="340" t="str">
        <f>IF(AND(C80&gt;0,D80&lt;&gt;"",S80=""),VLOOKUP(A80&amp;IF(H80="黑丝","黑","白")&amp;E80,经纬!A:M,13,FALSE)*(I80-AB80),"")</f>
        <v/>
      </c>
      <c r="AA80" s="340" t="str">
        <f>IF(AND(C80&gt;0,D80&lt;&gt;"",S80=""),VLOOKUP(A80&amp;IF(H80="黑丝","黑","白")&amp;E80,经纬!A:N,14,FALSE)*(I80-AB80),"")</f>
        <v/>
      </c>
      <c r="AC80" s="8"/>
      <c r="AD80" s="8"/>
      <c r="AE80" s="250" t="str">
        <f>IF(COUNTIF(A$2:A80,A80)=1,M80,LOOKUP(1,0/(A$1:A79=A80),AE$1:AE79)&amp;" "&amp;M80)</f>
        <v>A192 A192 A28</v>
      </c>
    </row>
    <row r="81" spans="1:31" outlineLevel="1">
      <c r="A81" s="233" t="s">
        <v>1800</v>
      </c>
      <c r="B81" s="24" t="str">
        <f>IF(A81="","",IF(LEFT(A81)&gt;"9",VLOOKUP(A81,yuanjidaimachichun,2,FALSE),VLOOKUP(A81,经纬!B:C,2,FALSE)))</f>
        <v>200*300</v>
      </c>
      <c r="C81" s="8" t="str">
        <f>IF(ISERROR(FIND("*",B81)),MID(B81,2,FIND("-",B81)-2),LEFT(B81,FIND("*",B81)-1))</f>
        <v>200</v>
      </c>
      <c r="D81" s="8" t="str">
        <f>IF(ISERROR(FIND("*",B81)),"",RIGHT(B81,LEN(B81)-FIND("*",B81)))</f>
        <v>300</v>
      </c>
      <c r="E81" s="89" t="s">
        <v>2444</v>
      </c>
      <c r="G81" s="8">
        <v>180</v>
      </c>
      <c r="H81" s="8" t="s">
        <v>967</v>
      </c>
      <c r="I81" s="8">
        <v>20000</v>
      </c>
      <c r="J81" s="8">
        <v>126</v>
      </c>
      <c r="L81" s="8" t="s">
        <v>1802</v>
      </c>
      <c r="M81" s="24" t="str">
        <f t="array" ref="M81">LEFT(L81,MIN(FIND({"A","B","C"},MID(L81,2,LEN(L81))&amp;"ABC")))</f>
        <v>A28</v>
      </c>
      <c r="N81" s="24" t="str">
        <f t="array" ref="N81">SUBSTITUTE(L81,M81,"")</f>
        <v>B527</v>
      </c>
      <c r="O81" s="113">
        <v>43754</v>
      </c>
      <c r="S81" s="23">
        <v>43761</v>
      </c>
      <c r="T81" s="264" t="str">
        <f>IF(AND(C81&gt;0,D81=""),SUMIFS(yj!I:I,yj!B:B,plan!A81,yj!G:G,"&gt;="&amp;Q81,yj!G:G,"&lt;="&amp;S81),"")</f>
        <v/>
      </c>
      <c r="U81" s="264">
        <f>SUMIFS(四面弹库存!F:F,四面弹库存!B:B,plan!A81,四面弹库存!O:O,IF(H81&lt;&gt;"黑丝","白","黑"))</f>
        <v>0</v>
      </c>
      <c r="V81" s="264"/>
      <c r="W81" s="369" t="str">
        <f t="shared" si="1"/>
        <v/>
      </c>
      <c r="X81" s="258" t="str">
        <f>IF(B81="","",IF(S81&lt;&gt;"","",IF(AND(Z81&lt;&gt;"",AA81&lt;&gt;""),SUM(Z81:AA81),IF(AB81&lt;&gt;"",(I81/((1/((G81+2)/100*K81/1000))*0.9144)/IF(H81="黑丝",22,20)-AB81)*(IF(H81="黑丝",22,20)),I81/((1/((G81+2)/100*K81/1000))*0.9144)))))</f>
        <v/>
      </c>
      <c r="Y81" s="36" t="str">
        <f>IF(OR(B81="",D81&lt;&gt;""),"",IF(S81&lt;&gt;"","",I81/((1/((G81+2)/100*K81/1000))*0.9144)/IF(H81="黑丝",22,20)-AB81))</f>
        <v/>
      </c>
      <c r="Z81" s="340" t="str">
        <f>IF(AND(C81&gt;0,D81&lt;&gt;"",S81=""),VLOOKUP(A81&amp;IF(H81="黑丝","黑","白")&amp;E81,经纬!A:M,13,FALSE)*(I81-AB81),"")</f>
        <v/>
      </c>
      <c r="AA81" s="340" t="str">
        <f>IF(AND(C81&gt;0,D81&lt;&gt;"",S81=""),VLOOKUP(A81&amp;IF(H81="黑丝","黑","白")&amp;E81,经纬!A:N,14,FALSE)*(I81-AB81),"")</f>
        <v/>
      </c>
      <c r="AC81" s="8"/>
      <c r="AD81" s="8"/>
      <c r="AE81" s="250" t="str">
        <f>IF(COUNTIF(A$2:A81,A81)=1,M81,LOOKUP(1,0/(A$1:A80=A81),AE$1:AE80)&amp;" "&amp;M81)</f>
        <v>A192 A28</v>
      </c>
    </row>
    <row r="82" spans="1:31" outlineLevel="1">
      <c r="A82" s="233" t="s">
        <v>1809</v>
      </c>
      <c r="B82" s="24" t="str">
        <f>IF(A82="","",IF(LEFT(A82)&gt;"9",VLOOKUP(A82,yuanjidaimachichun,2,FALSE),VLOOKUP(A82,经纬!B:C,2,FALSE)))</f>
        <v>30*50</v>
      </c>
      <c r="C82" s="8" t="str">
        <f>IF(ISERROR(FIND("*",B82)),MID(B82,2,FIND("-",B82)-2),LEFT(B82,FIND("*",B82)-1))</f>
        <v>30</v>
      </c>
      <c r="D82" s="8" t="str">
        <f>IF(ISERROR(FIND("*",B82)),"",RIGHT(B82,LEN(B82)-FIND("*",B82)))</f>
        <v>50</v>
      </c>
      <c r="E82" s="89" t="s">
        <v>2444</v>
      </c>
      <c r="G82" s="8">
        <v>197</v>
      </c>
      <c r="H82" s="8" t="s">
        <v>1640</v>
      </c>
      <c r="I82" s="8">
        <v>150000</v>
      </c>
      <c r="J82" s="8">
        <v>31</v>
      </c>
      <c r="L82" s="8" t="s">
        <v>1810</v>
      </c>
      <c r="M82" s="24" t="str">
        <f t="array" ref="M82">LEFT(L82,MIN(FIND({"A","B","C"},MID(L82,2,LEN(L82))&amp;"ABC")))</f>
        <v>A19</v>
      </c>
      <c r="N82" s="24" t="str">
        <f t="array" ref="N82">SUBSTITUTE(L82,M82,"")</f>
        <v>B540</v>
      </c>
      <c r="O82" s="23">
        <v>43761</v>
      </c>
      <c r="T82" s="264" t="str">
        <f>IF(AND(C82&gt;0,D82=""),SUMIFS(yj!I:I,yj!B:B,plan!A82,yj!G:G,"&gt;="&amp;Q82,yj!G:G,"&lt;="&amp;S82),"")</f>
        <v/>
      </c>
      <c r="U82" s="264">
        <f>SUMIFS(四面弹库存!F:F,四面弹库存!B:B,plan!A82,四面弹库存!O:O,IF(H82&lt;&gt;"黑丝","白","黑"))</f>
        <v>0</v>
      </c>
      <c r="V82" s="264"/>
      <c r="W82" s="369">
        <f t="shared" si="1"/>
        <v>150000</v>
      </c>
      <c r="X82" s="258">
        <f>IF(B82="","",IF(S82&lt;&gt;"","",IF(AND(Z82&lt;&gt;"",AA82&lt;&gt;""),SUM(Z82:AA82),IF(AB82&lt;&gt;"",(I82/((1/((G82+2)/100*K82/1000))*0.9144)/IF(H82="黑丝",22,20)-AB82)*(IF(H82="黑丝",22,20)),I82/((1/((G82+2)/100*K82/1000))*0.9144)))))</f>
        <v>4387.5913385826771</v>
      </c>
      <c r="Y82" s="36" t="str">
        <f>IF(OR(B82="",D82&lt;&gt;""),"",IF(S82&lt;&gt;"","",I82/((1/((G82+2)/100*K82/1000))*0.9144)/IF(H82="黑丝",22,20)-AB82))</f>
        <v/>
      </c>
      <c r="Z82" s="340">
        <f>IF(AND(C82&gt;0,D82&lt;&gt;"",S82=""),VLOOKUP(A82&amp;IF(H82="黑丝","黑","白")&amp;E82,经纬!A:M,13,FALSE)*(I82-AB82),"")</f>
        <v>2718.3</v>
      </c>
      <c r="AA82" s="340">
        <f>IF(AND(C82&gt;0,D82&lt;&gt;"",S82=""),VLOOKUP(A82&amp;IF(H82="黑丝","黑","白")&amp;E82,经纬!A:N,14,FALSE)*(I82-AB82),"")</f>
        <v>1669.2913385826771</v>
      </c>
      <c r="AC82" s="8"/>
      <c r="AD82" s="8"/>
      <c r="AE82" s="250" t="str">
        <f>IF(COUNTIF(A$2:A82,A82)=1,M82,LOOKUP(1,0/(A$1:A81=A82),AE$1:AE81)&amp;" "&amp;M82)</f>
        <v>A19</v>
      </c>
    </row>
    <row r="83" spans="1:31" outlineLevel="1">
      <c r="A83" s="233" t="s">
        <v>1809</v>
      </c>
      <c r="B83" s="24" t="str">
        <f>IF(A83="","",IF(LEFT(A83)&gt;"9",VLOOKUP(A83,yuanjidaimachichun,2,FALSE),VLOOKUP(A83,经纬!B:C,2,FALSE)))</f>
        <v>30*50</v>
      </c>
      <c r="C83" s="8" t="str">
        <f>IF(ISERROR(FIND("*",B83)),MID(B83,2,FIND("-",B83)-2),LEFT(B83,FIND("*",B83)-1))</f>
        <v>30</v>
      </c>
      <c r="D83" s="8" t="str">
        <f>IF(ISERROR(FIND("*",B83)),"",RIGHT(B83,LEN(B83)-FIND("*",B83)))</f>
        <v>50</v>
      </c>
      <c r="E83" s="89" t="s">
        <v>2444</v>
      </c>
      <c r="G83" s="8">
        <v>197</v>
      </c>
      <c r="H83" s="8" t="s">
        <v>1499</v>
      </c>
      <c r="I83" s="8">
        <v>60000</v>
      </c>
      <c r="J83" s="8">
        <v>31</v>
      </c>
      <c r="L83" s="8" t="s">
        <v>1810</v>
      </c>
      <c r="M83" s="24" t="str">
        <f t="array" ref="M83">LEFT(L83,MIN(FIND({"A","B","C"},MID(L83,2,LEN(L83))&amp;"ABC")))</f>
        <v>A19</v>
      </c>
      <c r="N83" s="24" t="str">
        <f t="array" ref="N83">SUBSTITUTE(L83,M83,"")</f>
        <v>B540</v>
      </c>
      <c r="O83" s="23">
        <v>43761</v>
      </c>
      <c r="T83" s="264" t="str">
        <f>IF(AND(C83&gt;0,D83=""),SUMIFS(yj!I:I,yj!B:B,plan!A83,yj!G:G,"&gt;="&amp;Q83,yj!G:G,"&lt;="&amp;S83),"")</f>
        <v/>
      </c>
      <c r="U83" s="264">
        <f>SUMIFS(四面弹库存!F:F,四面弹库存!B:B,plan!A83,四面弹库存!O:O,IF(H83&lt;&gt;"黑丝","白","黑"))</f>
        <v>0</v>
      </c>
      <c r="V83" s="264"/>
      <c r="W83" s="369">
        <f t="shared" si="1"/>
        <v>60000</v>
      </c>
      <c r="X83" s="258">
        <f t="shared" ref="X83:X104" si="2">IF(B83="","",IF(S83&lt;&gt;"","",IF(AND(Z83&lt;&gt;"",AA83&lt;&gt;""),SUM(Z83:AA83),IF(AB83&lt;&gt;"",(I83/((1/((G83+2)/100*K83/1000))*0.9144)/IF(H83="黑丝",22,20)-AB83)*(IF(H83="黑丝",22,20)),I83/((1/((G83+2)/100*K83/1000))*0.9144)))))</f>
        <v>1755.0365354330711</v>
      </c>
      <c r="Y83" s="36" t="str">
        <f t="shared" ref="Y83:Y105" si="3">IF(OR(B83="",D83&lt;&gt;""),"",IF(S83&lt;&gt;"","",I83/((1/((G83+2)/100*K83/1000))*0.9144)/IF(H83="黑丝",22,20)-AB83))</f>
        <v/>
      </c>
      <c r="Z83" s="340">
        <f>IF(AND(C83&gt;0,D83&lt;&gt;"",S83=""),VLOOKUP(A83&amp;IF(H83="黑丝","黑","白")&amp;E83,经纬!A:M,13,FALSE)*(I83-AB83),"")</f>
        <v>1087.3200000000002</v>
      </c>
      <c r="AA83" s="340">
        <f>IF(AND(C83&gt;0,D83&lt;&gt;"",S83=""),VLOOKUP(A83&amp;IF(H83="黑丝","黑","白")&amp;E83,经纬!A:N,14,FALSE)*(I83-AB83),"")</f>
        <v>667.71653543307082</v>
      </c>
      <c r="AC83" s="8"/>
      <c r="AD83" s="8"/>
      <c r="AE83" s="250" t="str">
        <f>IF(COUNTIF(A$2:A83,A83)=1,M83,LOOKUP(1,0/(A$1:A82=A83),AE$1:AE82)&amp;" "&amp;M83)</f>
        <v>A19 A19</v>
      </c>
    </row>
    <row r="84" spans="1:31" outlineLevel="1">
      <c r="A84" s="233" t="s">
        <v>2585</v>
      </c>
      <c r="B84" s="24" t="str">
        <f>IF(A84="","",IF(LEFT(A84)&gt;"9",VLOOKUP(A84,yuanjidaimachichun,2,FALSE),VLOOKUP(A84,经纬!B:C,2,FALSE)))</f>
        <v>75*150</v>
      </c>
      <c r="C84" s="8" t="str">
        <f>IF(ISERROR(FIND("*",B84)),MID(B84,2,FIND("-",B84)-2),LEFT(B84,FIND("*",B84)-1))</f>
        <v>75</v>
      </c>
      <c r="D84" s="8" t="str">
        <f>IF(ISERROR(FIND("*",B84)),"",RIGHT(B84,LEN(B84)-FIND("*",B84)))</f>
        <v>150</v>
      </c>
      <c r="E84" s="89" t="s">
        <v>2444</v>
      </c>
      <c r="F84" s="89" t="s">
        <v>2617</v>
      </c>
      <c r="G84" s="8">
        <v>188</v>
      </c>
      <c r="H84" s="8" t="s">
        <v>2586</v>
      </c>
      <c r="I84" s="8">
        <v>9000</v>
      </c>
      <c r="J84" s="8">
        <v>58</v>
      </c>
      <c r="L84" s="8" t="s">
        <v>1814</v>
      </c>
      <c r="M84" s="24" t="str">
        <f t="array" ref="M84">LEFT(L84,MIN(FIND({"A","B","C"},MID(L84,2,LEN(L84))&amp;"ABC")))</f>
        <v>A28</v>
      </c>
      <c r="N84" s="24" t="str">
        <f t="array" ref="N84">SUBSTITUTE(L84,M84,"")</f>
        <v>B528</v>
      </c>
      <c r="O84" s="23">
        <v>43754</v>
      </c>
      <c r="T84" s="264" t="str">
        <f>IF(AND(C84&gt;0,D84=""),SUMIFS(yj!I:I,yj!B:B,plan!A84,yj!G:G,"&gt;="&amp;Q84,yj!G:G,"&lt;="&amp;S84),"")</f>
        <v/>
      </c>
      <c r="U84" s="264">
        <f>SUMIFS(四面弹库存!F:F,四面弹库存!B:B,plan!A84,四面弹库存!O:O,IF(H84&lt;&gt;"黑丝","白","黑"))</f>
        <v>0</v>
      </c>
      <c r="V84" s="264"/>
      <c r="W84" s="369">
        <f t="shared" si="1"/>
        <v>9000</v>
      </c>
      <c r="X84" s="258">
        <f t="shared" si="2"/>
        <v>693.57295275590548</v>
      </c>
      <c r="Y84" s="36" t="str">
        <f t="shared" si="3"/>
        <v/>
      </c>
      <c r="Z84" s="340">
        <f>IF(AND(C84&gt;0,D84&lt;&gt;"",S84=""),VLOOKUP(A84&amp;IF(H84="黑丝","黑","白")&amp;E84,经纬!A:M,13,FALSE)*(I84-AB84),"")</f>
        <v>315.94499999999999</v>
      </c>
      <c r="AA84" s="340">
        <f>IF(AND(C84&gt;0,D84&lt;&gt;"",S84=""),VLOOKUP(A84&amp;IF(H84="黑丝","黑","白")&amp;E84,经纬!A:N,14,FALSE)*(I84-AB84),"")</f>
        <v>377.62795275590548</v>
      </c>
      <c r="AC84" s="8"/>
      <c r="AD84" s="8"/>
      <c r="AE84" s="250" t="str">
        <f>IF(COUNTIF(A$2:A84,A84)=1,M84,LOOKUP(1,0/(A$1:A83=A84),AE$1:AE83)&amp;" "&amp;M84)</f>
        <v>A192 A28 A28</v>
      </c>
    </row>
    <row r="85" spans="1:31" outlineLevel="1">
      <c r="A85" s="233" t="s">
        <v>2585</v>
      </c>
      <c r="B85" s="24" t="str">
        <f>IF(A85="","",IF(LEFT(A85)&gt;"9",VLOOKUP(A85,yuanjidaimachichun,2,FALSE),VLOOKUP(A85,经纬!B:C,2,FALSE)))</f>
        <v>75*150</v>
      </c>
      <c r="C85" s="8" t="str">
        <f>IF(ISERROR(FIND("*",B85)),MID(B85,2,FIND("-",B85)-2),LEFT(B85,FIND("*",B85)-1))</f>
        <v>75</v>
      </c>
      <c r="D85" s="8" t="str">
        <f>IF(ISERROR(FIND("*",B85)),"",RIGHT(B85,LEN(B85)-FIND("*",B85)))</f>
        <v>150</v>
      </c>
      <c r="E85" s="89" t="s">
        <v>2444</v>
      </c>
      <c r="F85" s="89" t="s">
        <v>2617</v>
      </c>
      <c r="G85" s="8">
        <v>188</v>
      </c>
      <c r="H85" s="8" t="s">
        <v>2562</v>
      </c>
      <c r="I85" s="8">
        <v>6000</v>
      </c>
      <c r="J85" s="8">
        <v>58</v>
      </c>
      <c r="L85" s="8" t="s">
        <v>1814</v>
      </c>
      <c r="M85" s="24" t="str">
        <f t="array" ref="M85">LEFT(L85,MIN(FIND({"A","B","C"},MID(L85,2,LEN(L85))&amp;"ABC")))</f>
        <v>A28</v>
      </c>
      <c r="N85" s="24" t="str">
        <f t="array" ref="N85">SUBSTITUTE(L85,M85,"")</f>
        <v>B528</v>
      </c>
      <c r="O85" s="23">
        <v>43754</v>
      </c>
      <c r="T85" s="264" t="str">
        <f>IF(AND(C85&gt;0,D85=""),SUMIFS(yj!I:I,yj!B:B,plan!A85,yj!G:G,"&gt;="&amp;Q85,yj!G:G,"&lt;="&amp;S85),"")</f>
        <v/>
      </c>
      <c r="U85" s="264">
        <f>SUMIFS(四面弹库存!F:F,四面弹库存!B:B,plan!A85,四面弹库存!O:O,IF(H85&lt;&gt;"黑丝","白","黑"))</f>
        <v>0</v>
      </c>
      <c r="V85" s="264"/>
      <c r="W85" s="369">
        <f t="shared" si="1"/>
        <v>6000</v>
      </c>
      <c r="X85" s="258">
        <f t="shared" si="2"/>
        <v>462.38196850393695</v>
      </c>
      <c r="Y85" s="36" t="str">
        <f t="shared" si="3"/>
        <v/>
      </c>
      <c r="Z85" s="340">
        <f>IF(AND(C85&gt;0,D85&lt;&gt;"",S85=""),VLOOKUP(A85&amp;IF(H85="黑丝","黑","白")&amp;E85,经纬!A:M,13,FALSE)*(I85-AB85),"")</f>
        <v>210.63</v>
      </c>
      <c r="AA85" s="340">
        <f>IF(AND(C85&gt;0,D85&lt;&gt;"",S85=""),VLOOKUP(A85&amp;IF(H85="黑丝","黑","白")&amp;E85,经纬!A:N,14,FALSE)*(I85-AB85),"")</f>
        <v>251.75196850393698</v>
      </c>
      <c r="AC85" s="8"/>
      <c r="AD85" s="8"/>
      <c r="AE85" s="250" t="str">
        <f>IF(COUNTIF(A$2:A85,A85)=1,M85,LOOKUP(1,0/(A$1:A84=A85),AE$1:AE84)&amp;" "&amp;M85)</f>
        <v>A192 A28 A28 A28</v>
      </c>
    </row>
    <row r="86" spans="1:31" outlineLevel="1">
      <c r="A86" s="233" t="s">
        <v>2778</v>
      </c>
      <c r="B86" s="24" t="str">
        <f>IF(A86="","",IF(LEFT(A86)&gt;"9",VLOOKUP(A86,yuanjidaimachichun,2,FALSE),VLOOKUP(A86,经纬!B:C,2,FALSE)))</f>
        <v>75*200</v>
      </c>
      <c r="C86" s="8" t="str">
        <f>IF(A86="","",IF(ISERROR(FIND("*",B86)),MID(B86,2,FIND("-",B86)-2),LEFT(B86,FIND("*",B86)-1)))</f>
        <v>75</v>
      </c>
      <c r="D86" s="8" t="str">
        <f>IF(ISERROR(FIND("*",B86)),"",RIGHT(B86,LEN(B86)-FIND("*",B86)))</f>
        <v>200</v>
      </c>
      <c r="E86" s="89" t="s">
        <v>2444</v>
      </c>
      <c r="F86" s="89" t="s">
        <v>2617</v>
      </c>
      <c r="G86" s="8">
        <v>188</v>
      </c>
      <c r="H86" s="8" t="s">
        <v>2586</v>
      </c>
      <c r="I86" s="8">
        <v>11000</v>
      </c>
      <c r="J86" s="8">
        <v>62</v>
      </c>
      <c r="L86" s="8" t="s">
        <v>1814</v>
      </c>
      <c r="M86" s="24" t="str">
        <f t="array" ref="M86">LEFT(L86,MIN(FIND({"A","B","C"},MID(L86,2,LEN(L86))&amp;"ABC")))</f>
        <v>A28</v>
      </c>
      <c r="N86" s="24" t="str">
        <f t="array" ref="N86">SUBSTITUTE(L86,M86,"")</f>
        <v>B528</v>
      </c>
      <c r="O86" s="23">
        <v>43754</v>
      </c>
      <c r="T86" s="264" t="str">
        <f>IF(AND(C86&gt;0,D86=""),SUMIFS(yj!I:I,yj!B:B,plan!A86,yj!G:G,"&gt;="&amp;Q86,yj!G:G,"&lt;="&amp;S86),"")</f>
        <v/>
      </c>
      <c r="U86" s="264">
        <f>SUMIFS(四面弹库存!F:F,四面弹库存!B:B,plan!A86,四面弹库存!O:O,IF(H86&lt;&gt;"黑丝","白","黑"))</f>
        <v>0</v>
      </c>
      <c r="V86" s="264"/>
      <c r="W86" s="369">
        <f t="shared" si="1"/>
        <v>11000</v>
      </c>
      <c r="X86" s="258">
        <f t="shared" si="2"/>
        <v>952.70793088363951</v>
      </c>
      <c r="Y86" s="36" t="str">
        <f t="shared" si="3"/>
        <v/>
      </c>
      <c r="Z86" s="340">
        <f>IF(AND(C86&gt;0,D86&lt;&gt;"",S86=""),VLOOKUP(A86&amp;IF(H86="黑丝","黑","白")&amp;E86,经纬!A:M,13,FALSE)*(I86-AB86),"")</f>
        <v>386.15499999999997</v>
      </c>
      <c r="AA86" s="340">
        <f>IF(AND(C86&gt;0,D86&lt;&gt;"",S86=""),VLOOKUP(A86&amp;IF(H86="黑丝","黑","白")&amp;E86,经纬!A:N,14,FALSE)*(I86-AB86),"")</f>
        <v>566.55293088363953</v>
      </c>
      <c r="AC86" s="8"/>
      <c r="AD86" s="8"/>
      <c r="AE86" s="250" t="str">
        <f>IF(COUNTIF(A$2:A86,A86)=1,M86,LOOKUP(1,0/(A$1:A85=A86),AE$1:AE85)&amp;" "&amp;M86)</f>
        <v>A28 A28</v>
      </c>
    </row>
    <row r="87" spans="1:31" outlineLevel="1">
      <c r="A87" s="233" t="s">
        <v>2779</v>
      </c>
      <c r="B87" s="24" t="str">
        <f>IF(A87="","",IF(LEFT(A87)&gt;"9",VLOOKUP(A87,yuanjidaimachichun,2,FALSE),VLOOKUP(A87,经纬!B:C,2,FALSE)))</f>
        <v>75*200</v>
      </c>
      <c r="C87" s="8" t="str">
        <f>IF(A87="","",IF(ISERROR(FIND("*",B87)),MID(B87,2,FIND("-",B87)-2),LEFT(B87,FIND("*",B87)-1)))</f>
        <v>75</v>
      </c>
      <c r="D87" s="8" t="str">
        <f>IF(ISERROR(FIND("*",B87)),"",RIGHT(B87,LEN(B87)-FIND("*",B87)))</f>
        <v>200</v>
      </c>
      <c r="E87" s="89" t="s">
        <v>2444</v>
      </c>
      <c r="F87" s="89" t="s">
        <v>2617</v>
      </c>
      <c r="G87" s="8">
        <v>190.5</v>
      </c>
      <c r="H87" s="8" t="s">
        <v>2562</v>
      </c>
      <c r="I87" s="8">
        <v>6000</v>
      </c>
      <c r="J87" s="8">
        <v>62</v>
      </c>
      <c r="L87" s="8" t="s">
        <v>1814</v>
      </c>
      <c r="M87" s="24" t="str">
        <f t="array" ref="M87">LEFT(L87,MIN(FIND({"A","B","C"},MID(L87,2,LEN(L87))&amp;"ABC")))</f>
        <v>A28</v>
      </c>
      <c r="N87" s="24" t="str">
        <f t="array" ref="N87">SUBSTITUTE(L87,M87,"")</f>
        <v>B528</v>
      </c>
      <c r="O87" s="23">
        <v>43754</v>
      </c>
      <c r="T87" s="264" t="str">
        <f>IF(AND(C87&gt;0,D87=""),SUMIFS(yj!I:I,yj!B:B,plan!A87,yj!G:G,"&gt;="&amp;Q87,yj!G:G,"&lt;="&amp;S87),"")</f>
        <v/>
      </c>
      <c r="U87" s="264">
        <f>SUMIFS(四面弹库存!F:F,四面弹库存!B:B,plan!A87,四面弹库存!O:O,IF(H87&lt;&gt;"黑丝","白","黑"))</f>
        <v>0</v>
      </c>
      <c r="V87" s="264"/>
      <c r="W87" s="369">
        <f t="shared" si="1"/>
        <v>6000</v>
      </c>
      <c r="X87" s="258">
        <f t="shared" si="2"/>
        <v>497.29984251968494</v>
      </c>
      <c r="Y87" s="36" t="str">
        <f t="shared" si="3"/>
        <v/>
      </c>
      <c r="Z87" s="340">
        <f>IF(AND(C87&gt;0,D87&lt;&gt;"",S87=""),VLOOKUP(A87&amp;IF(H87="黑丝","黑","白")&amp;E87,经纬!A:M,13,FALSE)*(I87-AB87),"")</f>
        <v>206.03999999999996</v>
      </c>
      <c r="AA87" s="340">
        <f>IF(AND(C87&gt;0,D87&lt;&gt;"",S87=""),VLOOKUP(A87&amp;IF(H87="黑丝","黑","白")&amp;E87,经纬!A:N,14,FALSE)*(I87-AB87),"")</f>
        <v>291.25984251968498</v>
      </c>
      <c r="AC87" s="8"/>
      <c r="AD87" s="8"/>
      <c r="AE87" s="250" t="str">
        <f>IF(COUNTIF(A$2:A87,A87)=1,M87,LOOKUP(1,0/(A$1:A86=A87),AE$1:AE86)&amp;" "&amp;M87)</f>
        <v>A28</v>
      </c>
    </row>
    <row r="88" spans="1:31" outlineLevel="1">
      <c r="A88" s="233" t="s">
        <v>2780</v>
      </c>
      <c r="B88" s="24" t="str">
        <f>IF(A88="","",IF(LEFT(A88)&gt;"9",VLOOKUP(A88,yuanjidaimachichun,2,FALSE),VLOOKUP(A88,经纬!B:C,2,FALSE)))</f>
        <v>100*200</v>
      </c>
      <c r="C88" s="8" t="str">
        <f>IF(A88="","",IF(ISERROR(FIND("*",B88)),MID(B88,2,FIND("-",B88)-2),LEFT(B88,FIND("*",B88)-1)))</f>
        <v>100</v>
      </c>
      <c r="D88" s="8" t="str">
        <f>IF(ISERROR(FIND("*",B88)),"",RIGHT(B88,LEN(B88)-FIND("*",B88)))</f>
        <v>200</v>
      </c>
      <c r="E88" s="89" t="s">
        <v>2444</v>
      </c>
      <c r="F88" s="89" t="s">
        <v>2617</v>
      </c>
      <c r="G88" s="8">
        <v>188</v>
      </c>
      <c r="H88" s="8" t="s">
        <v>2586</v>
      </c>
      <c r="I88" s="8">
        <v>8000</v>
      </c>
      <c r="J88" s="8">
        <v>86</v>
      </c>
      <c r="L88" s="8" t="s">
        <v>1814</v>
      </c>
      <c r="M88" s="24" t="str">
        <f t="array" ref="M88">LEFT(L88,MIN(FIND({"A","B","C"},MID(L88,2,LEN(L88))&amp;"ABC")))</f>
        <v>A28</v>
      </c>
      <c r="N88" s="24" t="str">
        <f t="array" ref="N88">SUBSTITUTE(L88,M88,"")</f>
        <v>B528</v>
      </c>
      <c r="O88" s="23">
        <v>43754</v>
      </c>
      <c r="T88" s="264" t="str">
        <f>IF(AND(C88&gt;0,D88=""),SUMIFS(yj!I:I,yj!B:B,plan!A88,yj!G:G,"&gt;="&amp;Q88,yj!G:G,"&lt;="&amp;S88),"")</f>
        <v/>
      </c>
      <c r="U88" s="264">
        <f>SUMIFS(四面弹库存!F:F,四面弹库存!B:B,plan!A88,四面弹库存!O:O,IF(H88&lt;&gt;"黑丝","白","黑"))</f>
        <v>0</v>
      </c>
      <c r="V88" s="264"/>
      <c r="W88" s="369">
        <f t="shared" si="1"/>
        <v>8000</v>
      </c>
      <c r="X88" s="258">
        <f t="shared" si="2"/>
        <v>737.83027121609803</v>
      </c>
      <c r="Y88" s="36" t="str">
        <f t="shared" si="3"/>
        <v/>
      </c>
      <c r="Z88" s="340">
        <f>IF(AND(C88&gt;0,D88&lt;&gt;"",S88=""),VLOOKUP(A88&amp;IF(H88="黑丝","黑","白")&amp;E88,经纬!A:M,13,FALSE)*(I88-AB88),"")</f>
        <v>340</v>
      </c>
      <c r="AA88" s="340">
        <f>IF(AND(C88&gt;0,D88&lt;&gt;"",S88=""),VLOOKUP(A88&amp;IF(H88="黑丝","黑","白")&amp;E88,经纬!A:N,14,FALSE)*(I88-AB88),"")</f>
        <v>397.83027121609797</v>
      </c>
      <c r="AC88" s="8"/>
      <c r="AD88" s="8"/>
      <c r="AE88" s="250" t="str">
        <f>IF(COUNTIF(A$2:A88,A88)=1,M88,LOOKUP(1,0/(A$1:A87=A88),AE$1:AE87)&amp;" "&amp;M88)</f>
        <v>A28 A28</v>
      </c>
    </row>
    <row r="89" spans="1:31" outlineLevel="1">
      <c r="A89" s="233" t="s">
        <v>2780</v>
      </c>
      <c r="B89" s="24" t="str">
        <f>IF(A89="","",IF(LEFT(A89)&gt;"9",VLOOKUP(A89,yuanjidaimachichun,2,FALSE),VLOOKUP(A89,经纬!B:C,2,FALSE)))</f>
        <v>100*200</v>
      </c>
      <c r="C89" s="8" t="str">
        <f>IF(A89="","",IF(ISERROR(FIND("*",B89)),MID(B89,2,FIND("-",B89)-2),LEFT(B89,FIND("*",B89)-1)))</f>
        <v>100</v>
      </c>
      <c r="D89" s="8" t="str">
        <f>IF(ISERROR(FIND("*",B89)),"",RIGHT(B89,LEN(B89)-FIND("*",B89)))</f>
        <v>200</v>
      </c>
      <c r="E89" s="89" t="s">
        <v>2444</v>
      </c>
      <c r="F89" s="89" t="s">
        <v>2617</v>
      </c>
      <c r="G89" s="8">
        <v>188</v>
      </c>
      <c r="H89" s="8" t="s">
        <v>2562</v>
      </c>
      <c r="I89" s="8">
        <v>13000</v>
      </c>
      <c r="J89" s="8">
        <v>86</v>
      </c>
      <c r="L89" s="8" t="s">
        <v>1814</v>
      </c>
      <c r="M89" s="24" t="str">
        <f t="array" ref="M89">LEFT(L89,MIN(FIND({"A","B","C"},MID(L89,2,LEN(L89))&amp;"ABC")))</f>
        <v>A28</v>
      </c>
      <c r="N89" s="24" t="str">
        <f t="array" ref="N89">SUBSTITUTE(L89,M89,"")</f>
        <v>B528</v>
      </c>
      <c r="O89" s="23">
        <v>43754</v>
      </c>
      <c r="T89" s="264" t="str">
        <f>IF(AND(C89&gt;0,D89=""),SUMIFS(yj!I:I,yj!B:B,plan!A89,yj!G:G,"&gt;="&amp;Q89,yj!G:G,"&lt;="&amp;S89),"")</f>
        <v/>
      </c>
      <c r="U89" s="264">
        <f>SUMIFS(四面弹库存!F:F,四面弹库存!B:B,plan!A89,四面弹库存!O:O,IF(H89&lt;&gt;"黑丝","白","黑"))</f>
        <v>0</v>
      </c>
      <c r="V89" s="264"/>
      <c r="W89" s="369">
        <f t="shared" si="1"/>
        <v>13000</v>
      </c>
      <c r="X89" s="258">
        <f t="shared" si="2"/>
        <v>1198.9741907261591</v>
      </c>
      <c r="Y89" s="36" t="str">
        <f t="shared" si="3"/>
        <v/>
      </c>
      <c r="Z89" s="340">
        <f>IF(AND(C89&gt;0,D89&lt;&gt;"",S89=""),VLOOKUP(A89&amp;IF(H89="黑丝","黑","白")&amp;E89,经纬!A:M,13,FALSE)*(I89-AB89),"")</f>
        <v>552.5</v>
      </c>
      <c r="AA89" s="340">
        <f>IF(AND(C89&gt;0,D89&lt;&gt;"",S89=""),VLOOKUP(A89&amp;IF(H89="黑丝","黑","白")&amp;E89,经纬!A:N,14,FALSE)*(I89-AB89),"")</f>
        <v>646.47419072615924</v>
      </c>
      <c r="AC89" s="8"/>
      <c r="AD89" s="8"/>
      <c r="AE89" s="250" t="str">
        <f>IF(COUNTIF(A$2:A89,A89)=1,M89,LOOKUP(1,0/(A$1:A88=A89),AE$1:AE88)&amp;" "&amp;M89)</f>
        <v>A28 A28 A28</v>
      </c>
    </row>
    <row r="90" spans="1:31" s="250" customFormat="1" outlineLevel="1">
      <c r="A90" s="233" t="s">
        <v>2591</v>
      </c>
      <c r="B90" s="24" t="str">
        <f>IF(A90="","",IF(LEFT(A90)&gt;"9",VLOOKUP(A90,yuanjidaimachichun,2,FALSE),VLOOKUP(A90,经纬!B:C,2,FALSE)))</f>
        <v>200*300</v>
      </c>
      <c r="C90" s="8" t="str">
        <f t="shared" ref="C90:C91" si="4">IF(A90="","",IF(ISERROR(FIND("*",B90)),MID(B90,2,FIND("-",B90)-2),LEFT(B90,FIND("*",B90)-1)))</f>
        <v>200</v>
      </c>
      <c r="D90" s="8" t="str">
        <f t="shared" ref="D90:D91" si="5">IF(ISERROR(FIND("*",B90)),"",RIGHT(B90,LEN(B90)-FIND("*",B90)))</f>
        <v>300</v>
      </c>
      <c r="E90" s="89" t="s">
        <v>2444</v>
      </c>
      <c r="F90" s="89" t="s">
        <v>2617</v>
      </c>
      <c r="G90" s="8">
        <v>180</v>
      </c>
      <c r="H90" s="8" t="s">
        <v>2586</v>
      </c>
      <c r="I90" s="8">
        <v>11000</v>
      </c>
      <c r="J90" s="8">
        <v>116</v>
      </c>
      <c r="K90" s="8"/>
      <c r="L90" s="8" t="s">
        <v>1814</v>
      </c>
      <c r="M90" s="24" t="str">
        <f t="array" ref="M90">LEFT(L90,MIN(FIND({"A","B","C"},MID(L90,2,LEN(L90))&amp;"ABC")))</f>
        <v>A28</v>
      </c>
      <c r="N90" s="24" t="str">
        <f t="array" ref="N90">SUBSTITUTE(L90,M90,"")</f>
        <v>B528</v>
      </c>
      <c r="O90" s="23">
        <v>43754</v>
      </c>
      <c r="P90" s="4"/>
      <c r="Q90" s="389"/>
      <c r="R90" s="389"/>
      <c r="S90" s="23"/>
      <c r="T90" s="264" t="str">
        <f>IF(AND(C90&gt;0,D90=""),SUMIFS(yj!I:I,yj!B:B,plan!A90,yj!G:G,"&gt;="&amp;Q90,yj!G:G,"&lt;="&amp;S90),"")</f>
        <v/>
      </c>
      <c r="U90" s="264">
        <f>SUMIFS(四面弹库存!F:F,四面弹库存!B:B,plan!A90,四面弹库存!O:O,IF(H90&lt;&gt;"黑丝","白","黑"))</f>
        <v>0</v>
      </c>
      <c r="V90" s="264"/>
      <c r="W90" s="369">
        <f t="shared" si="1"/>
        <v>11000</v>
      </c>
      <c r="X90" s="258">
        <f t="shared" si="2"/>
        <v>1823.3207349081365</v>
      </c>
      <c r="Y90" s="36" t="str">
        <f t="shared" si="3"/>
        <v/>
      </c>
      <c r="Z90" s="340">
        <f>IF(AND(C90&gt;0,D90&lt;&gt;"",S90=""),VLOOKUP(A90&amp;IF(H90="黑丝","黑","白")&amp;E90,经纬!A:M,13,FALSE)*(I90-AB90),"")</f>
        <v>922.53333333333342</v>
      </c>
      <c r="AA90" s="340">
        <f>IF(AND(C90&gt;0,D90&lt;&gt;"",S90=""),VLOOKUP(A90&amp;IF(H90="黑丝","黑","白")&amp;E90,经纬!A:N,14,FALSE)*(I90-AB90),"")</f>
        <v>900.78740157480308</v>
      </c>
      <c r="AB90" s="8"/>
      <c r="AC90" s="8"/>
      <c r="AD90" s="8"/>
      <c r="AE90" s="250" t="str">
        <f>IF(COUNTIF(A$2:A90,A90)=1,M90,LOOKUP(1,0/(A$1:A89=A90),AE$1:AE89)&amp;" "&amp;M90)</f>
        <v>A192 A192 A28 A28</v>
      </c>
    </row>
    <row r="91" spans="1:31" s="250" customFormat="1" outlineLevel="1">
      <c r="A91" s="233" t="s">
        <v>2592</v>
      </c>
      <c r="B91" s="24" t="str">
        <f>IF(A91="","",IF(LEFT(A91)&gt;"9",VLOOKUP(A91,yuanjidaimachichun,2,FALSE),VLOOKUP(A91,经纬!B:C,2,FALSE)))</f>
        <v>200*300</v>
      </c>
      <c r="C91" s="8" t="str">
        <f t="shared" si="4"/>
        <v>200</v>
      </c>
      <c r="D91" s="8" t="str">
        <f t="shared" si="5"/>
        <v>300</v>
      </c>
      <c r="E91" s="89" t="s">
        <v>2444</v>
      </c>
      <c r="F91" s="89" t="s">
        <v>2617</v>
      </c>
      <c r="G91" s="8">
        <v>180</v>
      </c>
      <c r="H91" s="8" t="s">
        <v>2586</v>
      </c>
      <c r="I91" s="8">
        <v>14000</v>
      </c>
      <c r="J91" s="8">
        <v>126</v>
      </c>
      <c r="K91" s="8"/>
      <c r="L91" s="8" t="s">
        <v>1814</v>
      </c>
      <c r="M91" s="24" t="str">
        <f t="array" ref="M91">LEFT(L91,MIN(FIND({"A","B","C"},MID(L91,2,LEN(L91))&amp;"ABC")))</f>
        <v>A28</v>
      </c>
      <c r="N91" s="24" t="str">
        <f t="array" ref="N91">SUBSTITUTE(L91,M91,"")</f>
        <v>B528</v>
      </c>
      <c r="O91" s="23">
        <v>43754</v>
      </c>
      <c r="P91" s="4"/>
      <c r="Q91" s="389"/>
      <c r="R91" s="389"/>
      <c r="S91" s="23"/>
      <c r="T91" s="264" t="str">
        <f>IF(AND(C91&gt;0,D91=""),SUMIFS(yj!I:I,yj!B:B,plan!A91,yj!G:G,"&gt;="&amp;Q91,yj!G:G,"&lt;="&amp;S91),"")</f>
        <v/>
      </c>
      <c r="U91" s="264">
        <f>SUMIFS(四面弹库存!F:F,四面弹库存!B:B,plan!A91,四面弹库存!O:O,IF(H91&lt;&gt;"黑丝","白","黑"))</f>
        <v>0</v>
      </c>
      <c r="V91" s="264"/>
      <c r="W91" s="369">
        <f t="shared" si="1"/>
        <v>14000</v>
      </c>
      <c r="X91" s="258">
        <f t="shared" si="2"/>
        <v>2517.6372703412076</v>
      </c>
      <c r="Y91" s="36" t="str">
        <f t="shared" si="3"/>
        <v/>
      </c>
      <c r="Z91" s="340">
        <f>IF(AND(C91&gt;0,D91&lt;&gt;"",S91=""),VLOOKUP(A91&amp;IF(H91="黑丝","黑","白")&amp;E91,经纬!A:M,13,FALSE)*(I91-AB91),"")</f>
        <v>1174.1333333333334</v>
      </c>
      <c r="AA91" s="340">
        <f>IF(AND(C91&gt;0,D91&lt;&gt;"",S91=""),VLOOKUP(A91&amp;IF(H91="黑丝","黑","白")&amp;E91,经纬!A:N,14,FALSE)*(I91-AB91),"")</f>
        <v>1343.5039370078741</v>
      </c>
      <c r="AB91" s="8"/>
      <c r="AC91" s="8"/>
      <c r="AD91" s="8"/>
      <c r="AE91" s="250" t="str">
        <f>IF(COUNTIF(A$2:A91,A91)=1,M91,LOOKUP(1,0/(A$1:A90=A91),AE$1:AE90)&amp;" "&amp;M91)</f>
        <v>A192 A28 A28</v>
      </c>
    </row>
    <row r="92" spans="1:31" outlineLevel="1">
      <c r="A92" s="233" t="s">
        <v>1774</v>
      </c>
      <c r="B92" s="24" t="str">
        <f>IF(A92="","",IF(LEFT(A92)&gt;"9",VLOOKUP(A92,yuanjidaimachichun,2,FALSE),VLOOKUP(A92,经纬!B:C,2,FALSE)))</f>
        <v>75*150</v>
      </c>
      <c r="C92" s="8" t="str">
        <f>IF(A92="","",IF(ISERROR(FIND("*",B92)),MID(B92,2,FIND("-",B92)-2),LEFT(B92,FIND("*",B92)-1)))</f>
        <v>75</v>
      </c>
      <c r="D92" s="8" t="str">
        <f>IF(ISERROR(FIND("*",B92)),"",RIGHT(B92,LEN(B92)-FIND("*",B92)))</f>
        <v>150</v>
      </c>
      <c r="E92" s="89" t="s">
        <v>2444</v>
      </c>
      <c r="G92" s="8">
        <v>188</v>
      </c>
      <c r="H92" s="8" t="s">
        <v>1499</v>
      </c>
      <c r="I92" s="8">
        <v>17390</v>
      </c>
      <c r="J92" s="8">
        <v>58</v>
      </c>
      <c r="L92" s="8" t="s">
        <v>1817</v>
      </c>
      <c r="M92" s="24" t="str">
        <f t="array" ref="M92">LEFT(L92,MIN(FIND({"A","B","C"},MID(L92,2,LEN(L92))&amp;"ABC")))</f>
        <v>A60</v>
      </c>
      <c r="N92" s="24" t="str">
        <f t="array" ref="N92">SUBSTITUTE(L92,M92,"")</f>
        <v>B531</v>
      </c>
      <c r="O92" s="23">
        <v>43755</v>
      </c>
      <c r="S92" s="23">
        <v>43764</v>
      </c>
      <c r="T92" s="264" t="str">
        <f>IF(AND(C92&gt;0,D92=""),SUMIFS(yj!I:I,yj!B:B,plan!A92,yj!G:G,"&gt;="&amp;Q92,yj!G:G,"&lt;="&amp;S92),"")</f>
        <v/>
      </c>
      <c r="U92" s="264">
        <f>SUMIFS(四面弹库存!F:F,四面弹库存!B:B,plan!A92,四面弹库存!O:O,IF(H92&lt;&gt;"黑丝","白","黑"))</f>
        <v>0</v>
      </c>
      <c r="V92" s="264"/>
      <c r="W92" s="369" t="str">
        <f t="shared" si="1"/>
        <v/>
      </c>
      <c r="X92" s="258" t="str">
        <f t="shared" si="2"/>
        <v/>
      </c>
      <c r="Y92" s="36" t="str">
        <f t="shared" si="3"/>
        <v/>
      </c>
      <c r="Z92" s="340" t="str">
        <f>IF(AND(C92&gt;0,D92&lt;&gt;"",S92=""),VLOOKUP(A92&amp;IF(H92="黑丝","黑","白")&amp;E92,经纬!A:M,13,FALSE)*(I92-AB92),"")</f>
        <v/>
      </c>
      <c r="AA92" s="340" t="str">
        <f>IF(AND(C92&gt;0,D92&lt;&gt;"",S92=""),VLOOKUP(A92&amp;IF(H92="黑丝","黑","白")&amp;E92,经纬!A:N,14,FALSE)*(I92-AB92),"")</f>
        <v/>
      </c>
      <c r="AC92" s="8"/>
      <c r="AD92" s="8"/>
      <c r="AE92" s="250" t="str">
        <f>IF(COUNTIF(A$2:A92,A92)=1,M92,LOOKUP(1,0/(A$1:A91=A92),AE$1:AE91)&amp;" "&amp;M92)</f>
        <v>A192 A28 A28 A28 A60</v>
      </c>
    </row>
    <row r="93" spans="1:31" outlineLevel="1">
      <c r="A93" s="233" t="s">
        <v>1774</v>
      </c>
      <c r="B93" s="24" t="str">
        <f>IF(A93="","",IF(LEFT(A93)&gt;"9",VLOOKUP(A93,yuanjidaimachichun,2,FALSE),VLOOKUP(A93,经纬!B:C,2,FALSE)))</f>
        <v>75*150</v>
      </c>
      <c r="C93" s="8" t="str">
        <f>IF(A93="","",IF(ISERROR(FIND("*",B93)),MID(B93,2,FIND("-",B93)-2),LEFT(B93,FIND("*",B93)-1)))</f>
        <v>75</v>
      </c>
      <c r="D93" s="8" t="str">
        <f>IF(ISERROR(FIND("*",B93)),"",RIGHT(B93,LEN(B93)-FIND("*",B93)))</f>
        <v>150</v>
      </c>
      <c r="E93" s="89" t="s">
        <v>2444</v>
      </c>
      <c r="G93" s="8">
        <v>188</v>
      </c>
      <c r="H93" s="8" t="s">
        <v>1654</v>
      </c>
      <c r="I93" s="8">
        <v>11750</v>
      </c>
      <c r="J93" s="8">
        <v>58</v>
      </c>
      <c r="L93" s="8" t="s">
        <v>1817</v>
      </c>
      <c r="M93" s="24" t="str">
        <f t="array" ref="M93">LEFT(L93,MIN(FIND({"A","B","C"},MID(L93,2,LEN(L93))&amp;"ABC")))</f>
        <v>A60</v>
      </c>
      <c r="N93" s="24" t="str">
        <f t="array" ref="N93">SUBSTITUTE(L93,M93,"")</f>
        <v>B531</v>
      </c>
      <c r="O93" s="23">
        <v>43755</v>
      </c>
      <c r="S93" s="23">
        <v>43764</v>
      </c>
      <c r="T93" s="264" t="str">
        <f>IF(AND(C93&gt;0,D93=""),SUMIFS(yj!I:I,yj!B:B,plan!A93,yj!G:G,"&gt;="&amp;Q93,yj!G:G,"&lt;="&amp;S93),"")</f>
        <v/>
      </c>
      <c r="U93" s="264">
        <f>SUMIFS(四面弹库存!F:F,四面弹库存!B:B,plan!A93,四面弹库存!O:O,IF(H93&lt;&gt;"黑丝","白","黑"))</f>
        <v>0</v>
      </c>
      <c r="V93" s="264"/>
      <c r="W93" s="369" t="str">
        <f t="shared" si="1"/>
        <v/>
      </c>
      <c r="X93" s="258" t="str">
        <f t="shared" si="2"/>
        <v/>
      </c>
      <c r="Y93" s="36" t="str">
        <f t="shared" si="3"/>
        <v/>
      </c>
      <c r="Z93" s="340" t="str">
        <f>IF(AND(C93&gt;0,D93&lt;&gt;"",S93=""),VLOOKUP(A93&amp;IF(H93="黑丝","黑","白")&amp;E93,经纬!A:M,13,FALSE)*(I93-AB93),"")</f>
        <v/>
      </c>
      <c r="AA93" s="340" t="str">
        <f>IF(AND(C93&gt;0,D93&lt;&gt;"",S93=""),VLOOKUP(A93&amp;IF(H93="黑丝","黑","白")&amp;E93,经纬!A:N,14,FALSE)*(I93-AB93),"")</f>
        <v/>
      </c>
      <c r="AC93" s="8"/>
      <c r="AD93" s="8"/>
      <c r="AE93" s="250" t="str">
        <f>IF(COUNTIF(A$2:A93,A93)=1,M93,LOOKUP(1,0/(A$1:A92=A93),AE$1:AE92)&amp;" "&amp;M93)</f>
        <v>A192 A28 A28 A28 A60 A60</v>
      </c>
    </row>
    <row r="94" spans="1:31" outlineLevel="1">
      <c r="A94" s="233" t="s">
        <v>1790</v>
      </c>
      <c r="B94" s="24" t="str">
        <f>IF(A94="","",IF(LEFT(A94)&gt;"9",VLOOKUP(A94,yuanjidaimachichun,2,FALSE),VLOOKUP(A94,经纬!B:C,2,FALSE)))</f>
        <v>100*300</v>
      </c>
      <c r="C94" s="8" t="str">
        <f>IF(A94="","",IF(ISERROR(FIND("*",B94)),MID(B94,2,FIND("-",B94)-2),LEFT(B94,FIND("*",B94)-1)))</f>
        <v>100</v>
      </c>
      <c r="D94" s="8" t="str">
        <f>IF(ISERROR(FIND("*",B94)),"",RIGHT(B94,LEN(B94)-FIND("*",B94)))</f>
        <v>300</v>
      </c>
      <c r="E94" s="89" t="s">
        <v>2444</v>
      </c>
      <c r="G94" s="8">
        <v>188</v>
      </c>
      <c r="H94" s="8" t="s">
        <v>1499</v>
      </c>
      <c r="I94" s="8">
        <v>21150</v>
      </c>
      <c r="J94" s="8">
        <v>86</v>
      </c>
      <c r="L94" s="8" t="s">
        <v>1817</v>
      </c>
      <c r="M94" s="24" t="str">
        <f t="array" ref="M94">LEFT(L94,MIN(FIND({"A","B","C"},MID(L94,2,LEN(L94))&amp;"ABC")))</f>
        <v>A60</v>
      </c>
      <c r="N94" s="24" t="str">
        <f t="array" ref="N94">SUBSTITUTE(L94,M94,"")</f>
        <v>B531</v>
      </c>
      <c r="O94" s="23">
        <v>43755</v>
      </c>
      <c r="S94" s="23">
        <v>43764</v>
      </c>
      <c r="T94" s="264" t="str">
        <f>IF(AND(C94&gt;0,D94=""),SUMIFS(yj!I:I,yj!B:B,plan!A94,yj!G:G,"&gt;="&amp;Q94,yj!G:G,"&lt;="&amp;S94),"")</f>
        <v/>
      </c>
      <c r="U94" s="264">
        <f>SUMIFS(四面弹库存!F:F,四面弹库存!B:B,plan!A94,四面弹库存!O:O,IF(H94&lt;&gt;"黑丝","白","黑"))</f>
        <v>0</v>
      </c>
      <c r="V94" s="264"/>
      <c r="W94" s="369" t="str">
        <f t="shared" si="1"/>
        <v/>
      </c>
      <c r="X94" s="258" t="str">
        <f t="shared" si="2"/>
        <v/>
      </c>
      <c r="Y94" s="36" t="str">
        <f t="shared" si="3"/>
        <v/>
      </c>
      <c r="Z94" s="340" t="str">
        <f>IF(AND(C94&gt;0,D94&lt;&gt;"",S94=""),VLOOKUP(A94&amp;IF(H94="黑丝","黑","白")&amp;E94,经纬!A:M,13,FALSE)*(I94-AB94),"")</f>
        <v/>
      </c>
      <c r="AA94" s="340" t="str">
        <f>IF(AND(C94&gt;0,D94&lt;&gt;"",S94=""),VLOOKUP(A94&amp;IF(H94="黑丝","黑","白")&amp;E94,经纬!A:N,14,FALSE)*(I94-AB94),"")</f>
        <v/>
      </c>
      <c r="AB94" s="8">
        <v>29000</v>
      </c>
      <c r="AC94" s="8" t="s">
        <v>2772</v>
      </c>
      <c r="AD94" s="8"/>
      <c r="AE94" s="250" t="str">
        <f>IF(COUNTIF(A$2:A94,A94)=1,M94,LOOKUP(1,0/(A$1:A93=A94),AE$1:AE93)&amp;" "&amp;M94)</f>
        <v>A192 A192 A60</v>
      </c>
    </row>
    <row r="95" spans="1:31" outlineLevel="1">
      <c r="A95" s="233" t="s">
        <v>1790</v>
      </c>
      <c r="B95" s="24" t="str">
        <f>IF(A95="","",IF(LEFT(A95)&gt;"9",VLOOKUP(A95,yuanjidaimachichun,2,FALSE),VLOOKUP(A95,经纬!B:C,2,FALSE)))</f>
        <v>100*300</v>
      </c>
      <c r="C95" s="8" t="str">
        <f>IF(A95="","",IF(ISERROR(FIND("*",B95)),MID(B95,2,FIND("-",B95)-2),LEFT(B95,FIND("*",B95)-1)))</f>
        <v>100</v>
      </c>
      <c r="D95" s="8" t="str">
        <f>IF(ISERROR(FIND("*",B95)),"",RIGHT(B95,LEN(B95)-FIND("*",B95)))</f>
        <v>300</v>
      </c>
      <c r="E95" s="89" t="s">
        <v>2444</v>
      </c>
      <c r="G95" s="8">
        <v>188</v>
      </c>
      <c r="H95" s="8" t="s">
        <v>1654</v>
      </c>
      <c r="I95" s="8">
        <v>16450</v>
      </c>
      <c r="J95" s="8">
        <v>86</v>
      </c>
      <c r="L95" s="8" t="s">
        <v>1817</v>
      </c>
      <c r="M95" s="24" t="str">
        <f t="array" ref="M95">LEFT(L95,MIN(FIND({"A","B","C"},MID(L95,2,LEN(L95))&amp;"ABC")))</f>
        <v>A60</v>
      </c>
      <c r="N95" s="24" t="str">
        <f t="array" ref="N95">SUBSTITUTE(L95,M95,"")</f>
        <v>B531</v>
      </c>
      <c r="O95" s="23">
        <v>43755</v>
      </c>
      <c r="S95" s="23">
        <v>43764</v>
      </c>
      <c r="T95" s="264" t="str">
        <f>IF(AND(C95&gt;0,D95=""),SUMIFS(yj!I:I,yj!B:B,plan!A95,yj!G:G,"&gt;="&amp;Q95,yj!G:G,"&lt;="&amp;S95),"")</f>
        <v/>
      </c>
      <c r="U95" s="264">
        <f>SUMIFS(四面弹库存!F:F,四面弹库存!B:B,plan!A95,四面弹库存!O:O,IF(H95&lt;&gt;"黑丝","白","黑"))</f>
        <v>0</v>
      </c>
      <c r="V95" s="264"/>
      <c r="W95" s="369" t="str">
        <f t="shared" si="1"/>
        <v/>
      </c>
      <c r="X95" s="258" t="str">
        <f t="shared" si="2"/>
        <v/>
      </c>
      <c r="Y95" s="36" t="str">
        <f t="shared" si="3"/>
        <v/>
      </c>
      <c r="Z95" s="340" t="str">
        <f>IF(AND(C95&gt;0,D95&lt;&gt;"",S95=""),VLOOKUP(A95&amp;IF(H95="黑丝","黑","白")&amp;E95,经纬!A:M,13,FALSE)*(I95-AB95),"")</f>
        <v/>
      </c>
      <c r="AA95" s="340" t="str">
        <f>IF(AND(C95&gt;0,D95&lt;&gt;"",S95=""),VLOOKUP(A95&amp;IF(H95="黑丝","黑","白")&amp;E95,经纬!A:N,14,FALSE)*(I95-AB95),"")</f>
        <v/>
      </c>
      <c r="AB95" s="8">
        <v>19120</v>
      </c>
      <c r="AC95" s="8" t="s">
        <v>2773</v>
      </c>
      <c r="AD95" s="8"/>
      <c r="AE95" s="250" t="str">
        <f>IF(COUNTIF(A$2:A95,A95)=1,M95,LOOKUP(1,0/(A$1:A94=A95),AE$1:AE94)&amp;" "&amp;M95)</f>
        <v>A192 A192 A60 A60</v>
      </c>
    </row>
    <row r="96" spans="1:31" outlineLevel="1">
      <c r="A96" s="233" t="s">
        <v>1792</v>
      </c>
      <c r="B96" s="24" t="str">
        <f>IF(A96="","",IF(LEFT(A96)&gt;"9",VLOOKUP(A96,yuanjidaimachichun,2,FALSE),VLOOKUP(A96,经纬!B:C,2,FALSE)))</f>
        <v>150*300</v>
      </c>
      <c r="C96" s="8" t="str">
        <f>IF(A96="","",IF(ISERROR(FIND("*",B96)),MID(B96,2,FIND("-",B96)-2),LEFT(B96,FIND("*",B96)-1)))</f>
        <v>150</v>
      </c>
      <c r="D96" s="8" t="str">
        <f>IF(ISERROR(FIND("*",B96)),"",RIGHT(B96,LEN(B96)-FIND("*",B96)))</f>
        <v>300</v>
      </c>
      <c r="E96" s="89" t="s">
        <v>2444</v>
      </c>
      <c r="G96" s="8">
        <v>180</v>
      </c>
      <c r="H96" s="8" t="s">
        <v>1499</v>
      </c>
      <c r="I96" s="8">
        <v>16450</v>
      </c>
      <c r="J96" s="8">
        <v>96</v>
      </c>
      <c r="L96" s="8" t="s">
        <v>1817</v>
      </c>
      <c r="M96" s="24" t="str">
        <f t="array" ref="M96">LEFT(L96,MIN(FIND({"A","B","C"},MID(L96,2,LEN(L96))&amp;"ABC")))</f>
        <v>A60</v>
      </c>
      <c r="N96" s="24" t="str">
        <f t="array" ref="N96">SUBSTITUTE(L96,M96,"")</f>
        <v>B531</v>
      </c>
      <c r="O96" s="23">
        <v>43755</v>
      </c>
      <c r="S96" s="23">
        <v>43764</v>
      </c>
      <c r="T96" s="264" t="str">
        <f>IF(AND(C96&gt;0,D96=""),SUMIFS(yj!I:I,yj!B:B,plan!A96,yj!G:G,"&gt;="&amp;Q96,yj!G:G,"&lt;="&amp;S96),"")</f>
        <v/>
      </c>
      <c r="U96" s="264">
        <f>SUMIFS(四面弹库存!F:F,四面弹库存!B:B,plan!A96,四面弹库存!O:O,IF(H96&lt;&gt;"黑丝","白","黑"))</f>
        <v>0</v>
      </c>
      <c r="V96" s="264"/>
      <c r="W96" s="369" t="str">
        <f t="shared" si="1"/>
        <v/>
      </c>
      <c r="X96" s="258" t="str">
        <f t="shared" si="2"/>
        <v/>
      </c>
      <c r="Y96" s="36" t="str">
        <f t="shared" si="3"/>
        <v/>
      </c>
      <c r="Z96" s="340" t="str">
        <f>IF(AND(C96&gt;0,D96&lt;&gt;"",S96=""),VLOOKUP(A96&amp;IF(H96="黑丝","黑","白")&amp;E96,经纬!A:M,13,FALSE)*(I96-AB96),"")</f>
        <v/>
      </c>
      <c r="AA96" s="340" t="str">
        <f>IF(AND(C96&gt;0,D96&lt;&gt;"",S96=""),VLOOKUP(A96&amp;IF(H96="黑丝","黑","白")&amp;E96,经纬!A:N,14,FALSE)*(I96-AB96),"")</f>
        <v/>
      </c>
      <c r="AB96" s="8">
        <v>21000</v>
      </c>
      <c r="AC96" s="8" t="s">
        <v>2774</v>
      </c>
      <c r="AD96" s="8"/>
      <c r="AE96" s="250" t="str">
        <f>IF(COUNTIF(A$2:A96,A96)=1,M96,LOOKUP(1,0/(A$1:A95=A96),AE$1:AE95)&amp;" "&amp;M96)</f>
        <v>A192 A192 A60</v>
      </c>
    </row>
    <row r="97" spans="1:31" outlineLevel="1">
      <c r="A97" s="233" t="s">
        <v>1800</v>
      </c>
      <c r="B97" s="24" t="str">
        <f>IF(A97="","",IF(LEFT(A97)&gt;"9",VLOOKUP(A97,yuanjidaimachichun,2,FALSE),VLOOKUP(A97,经纬!B:C,2,FALSE)))</f>
        <v>200*300</v>
      </c>
      <c r="C97" s="8" t="str">
        <f>IF(A97="","",IF(ISERROR(FIND("*",B97)),MID(B97,2,FIND("-",B97)-2),LEFT(B97,FIND("*",B97)-1)))</f>
        <v>200</v>
      </c>
      <c r="D97" s="8" t="str">
        <f>IF(ISERROR(FIND("*",B97)),"",RIGHT(B97,LEN(B97)-FIND("*",B97)))</f>
        <v>300</v>
      </c>
      <c r="E97" s="89" t="s">
        <v>2444</v>
      </c>
      <c r="G97" s="8">
        <v>180</v>
      </c>
      <c r="H97" s="8" t="s">
        <v>1499</v>
      </c>
      <c r="I97" s="8">
        <v>16450</v>
      </c>
      <c r="J97" s="8">
        <v>126</v>
      </c>
      <c r="L97" s="8" t="s">
        <v>1817</v>
      </c>
      <c r="M97" s="24" t="str">
        <f t="array" ref="M97">LEFT(L97,MIN(FIND({"A","B","C"},MID(L97,2,LEN(L97))&amp;"ABC")))</f>
        <v>A60</v>
      </c>
      <c r="N97" s="24" t="str">
        <f t="array" ref="N97">SUBSTITUTE(L97,M97,"")</f>
        <v>B531</v>
      </c>
      <c r="O97" s="23">
        <v>43755</v>
      </c>
      <c r="S97" s="23">
        <v>43764</v>
      </c>
      <c r="T97" s="264" t="str">
        <f>IF(AND(C97&gt;0,D97=""),SUMIFS(yj!I:I,yj!B:B,plan!A97,yj!G:G,"&gt;="&amp;Q97,yj!G:G,"&lt;="&amp;S97),"")</f>
        <v/>
      </c>
      <c r="U97" s="264">
        <f>SUMIFS(四面弹库存!F:F,四面弹库存!B:B,plan!A97,四面弹库存!O:O,IF(H97&lt;&gt;"黑丝","白","黑"))</f>
        <v>0</v>
      </c>
      <c r="V97" s="264"/>
      <c r="W97" s="369" t="str">
        <f t="shared" si="1"/>
        <v/>
      </c>
      <c r="X97" s="258" t="str">
        <f t="shared" si="2"/>
        <v/>
      </c>
      <c r="Y97" s="36" t="str">
        <f t="shared" si="3"/>
        <v/>
      </c>
      <c r="Z97" s="340" t="str">
        <f>IF(AND(C97&gt;0,D97&lt;&gt;"",S97=""),VLOOKUP(A97&amp;IF(H97="黑丝","黑","白")&amp;E97,经纬!A:M,13,FALSE)*(I97-AB97),"")</f>
        <v/>
      </c>
      <c r="AA97" s="340" t="str">
        <f>IF(AND(C97&gt;0,D97&lt;&gt;"",S97=""),VLOOKUP(A97&amp;IF(H97="黑丝","黑","白")&amp;E97,经纬!A:N,14,FALSE)*(I97-AB97),"")</f>
        <v/>
      </c>
      <c r="AB97" s="8">
        <v>21000</v>
      </c>
      <c r="AC97" s="8" t="s">
        <v>2775</v>
      </c>
      <c r="AD97" s="8"/>
      <c r="AE97" s="250" t="str">
        <f>IF(COUNTIF(A$2:A97,A97)=1,M97,LOOKUP(1,0/(A$1:A96=A97),AE$1:AE96)&amp;" "&amp;M97)</f>
        <v>A192 A28 A28 A60</v>
      </c>
    </row>
    <row r="98" spans="1:31" outlineLevel="1">
      <c r="A98" s="233" t="s">
        <v>1818</v>
      </c>
      <c r="B98" s="24" t="str">
        <f>IF(A98="","",IF(LEFT(A98)&gt;"9",VLOOKUP(A98,yuanjidaimachichun,2,FALSE),VLOOKUP(A98,经纬!B:C,2,FALSE)))</f>
        <v>75*150</v>
      </c>
      <c r="C98" s="8" t="str">
        <f>IF(A98="","",IF(ISERROR(FIND("*",B98)),MID(B98,2,FIND("-",B98)-2),LEFT(B98,FIND("*",B98)-1)))</f>
        <v>75</v>
      </c>
      <c r="D98" s="8" t="str">
        <f>IF(ISERROR(FIND("*",B98)),"",RIGHT(B98,LEN(B98)-FIND("*",B98)))</f>
        <v>150</v>
      </c>
      <c r="E98" s="89" t="s">
        <v>2444</v>
      </c>
      <c r="G98" s="8">
        <v>188</v>
      </c>
      <c r="H98" s="8" t="s">
        <v>1654</v>
      </c>
      <c r="I98" s="8">
        <v>20000</v>
      </c>
      <c r="J98" s="8">
        <v>54</v>
      </c>
      <c r="L98" s="8" t="s">
        <v>1819</v>
      </c>
      <c r="M98" s="24" t="str">
        <f t="array" ref="M98">LEFT(L98,MIN(FIND({"A","B","C"},MID(L98,2,LEN(L98))&amp;"ABC")))</f>
        <v>A90</v>
      </c>
      <c r="N98" s="24" t="str">
        <f t="array" ref="N98">SUBSTITUTE(L98,M98,"")</f>
        <v>C403</v>
      </c>
      <c r="O98" s="23">
        <v>43761</v>
      </c>
      <c r="S98" s="23">
        <v>43762</v>
      </c>
      <c r="T98" s="264" t="str">
        <f>IF(AND(C98&gt;0,D98=""),SUMIFS(yj!I:I,yj!B:B,plan!A98,yj!G:G,"&gt;="&amp;Q98,yj!G:G,"&lt;="&amp;S98),"")</f>
        <v/>
      </c>
      <c r="U98" s="264">
        <f>SUMIFS(四面弹库存!F:F,四面弹库存!B:B,plan!A98,四面弹库存!O:O,IF(H98&lt;&gt;"黑丝","白","黑"))</f>
        <v>0</v>
      </c>
      <c r="V98" s="264"/>
      <c r="W98" s="369" t="str">
        <f t="shared" si="1"/>
        <v/>
      </c>
      <c r="X98" s="258" t="str">
        <f t="shared" si="2"/>
        <v/>
      </c>
      <c r="Y98" s="36" t="str">
        <f t="shared" si="3"/>
        <v/>
      </c>
      <c r="Z98" s="340" t="str">
        <f>IF(AND(C98&gt;0,D98&lt;&gt;"",S98=""),VLOOKUP(A98&amp;IF(H98="黑丝","黑","白")&amp;E98,经纬!A:M,13,FALSE)*(I98-AB98),"")</f>
        <v/>
      </c>
      <c r="AA98" s="340" t="str">
        <f>IF(AND(C98&gt;0,D98&lt;&gt;"",S98=""),VLOOKUP(A98&amp;IF(H98="黑丝","黑","白")&amp;E98,经纬!A:N,14,FALSE)*(I98-AB98),"")</f>
        <v/>
      </c>
      <c r="AC98" s="8"/>
      <c r="AD98" s="8"/>
      <c r="AE98" s="250" t="str">
        <f>IF(COUNTIF(A$2:A98,A98)=1,M98,LOOKUP(1,0/(A$1:A97=A98),AE$1:AE97)&amp;" "&amp;M98)</f>
        <v>A90</v>
      </c>
    </row>
    <row r="99" spans="1:31" outlineLevel="1">
      <c r="A99" s="233" t="s">
        <v>2229</v>
      </c>
      <c r="B99" s="24" t="str">
        <f>IF(A99="","",IF(LEFT(A99)&gt;"9",VLOOKUP(A99,yuanjidaimachichun,2,FALSE),VLOOKUP(A99,经纬!B:C,2,FALSE)))</f>
        <v>B75-30-24</v>
      </c>
      <c r="C99" s="8" t="str">
        <f>IF(A99="","",IF(ISERROR(FIND("*",B99)),MID(B99,2,FIND("-",B99)-2),LEFT(B99,FIND("*",B99)-1)))</f>
        <v>75</v>
      </c>
      <c r="D99" s="8" t="str">
        <f>IF(ISERROR(FIND("*",B99)),"",RIGHT(B99,LEN(B99)-FIND("*",B99)))</f>
        <v/>
      </c>
      <c r="E99" s="89" t="s">
        <v>2230</v>
      </c>
      <c r="F99" s="89" t="s">
        <v>2612</v>
      </c>
      <c r="G99" s="8">
        <v>170</v>
      </c>
      <c r="H99" s="8" t="s">
        <v>2231</v>
      </c>
      <c r="I99" s="8">
        <v>50000</v>
      </c>
      <c r="J99" s="8">
        <v>45</v>
      </c>
      <c r="K99" s="8">
        <v>45</v>
      </c>
      <c r="L99" s="8" t="s">
        <v>2232</v>
      </c>
      <c r="M99" s="24" t="str">
        <f t="array" ref="M99">LEFT(L99,MIN(FIND({"A","B","C"},MID(L99,2,LEN(L99))&amp;"ABC")))</f>
        <v>A31</v>
      </c>
      <c r="N99" s="24" t="str">
        <f t="array" ref="N99">SUBSTITUTE(L99,M99,"")</f>
        <v>B550</v>
      </c>
      <c r="O99" s="23">
        <v>43762</v>
      </c>
      <c r="Q99" s="389">
        <v>43768</v>
      </c>
      <c r="T99" s="264">
        <f>IF(AND(C99&gt;0,D99=""),SUMIFS(yj!I:I,yj!B:B,plan!A99,yj!G:G,"&gt;="&amp;Q99,yj!G:G,"&lt;="&amp;S99),"")</f>
        <v>0</v>
      </c>
      <c r="U99" s="264">
        <f>SUMIFS(四面弹库存!F:F,四面弹库存!B:B,plan!A99,四面弹库存!O:O,IF(H99&lt;&gt;"黑丝","白","黑"))</f>
        <v>174</v>
      </c>
      <c r="V99" s="264"/>
      <c r="W99" s="369">
        <f t="shared" si="1"/>
        <v>50000.000000000015</v>
      </c>
      <c r="X99" s="258">
        <f t="shared" si="2"/>
        <v>4232.28346456693</v>
      </c>
      <c r="Y99" s="36">
        <f t="shared" si="3"/>
        <v>211.61417322834649</v>
      </c>
      <c r="Z99" s="340" t="str">
        <f>IF(AND(C99&gt;0,D99&lt;&gt;"",S99=""),VLOOKUP(A99&amp;IF(H99="黑丝","黑","白")&amp;E99,经纬!A:M,13,FALSE)*(I99-AB99),"")</f>
        <v/>
      </c>
      <c r="AA99" s="340" t="str">
        <f>IF(AND(C99&gt;0,D99&lt;&gt;"",S99=""),VLOOKUP(A99&amp;IF(H99="黑丝","黑","白")&amp;E99,经纬!A:N,14,FALSE)*(I99-AB99),"")</f>
        <v/>
      </c>
      <c r="AC99" s="4" t="s">
        <v>2750</v>
      </c>
      <c r="AE99" s="250" t="str">
        <f>IF(COUNTIF(A$2:A99,A99)=1,M99,LOOKUP(1,0/(A$1:A98=A99),AE$1:AE98)&amp;" "&amp;M99)</f>
        <v>A31</v>
      </c>
    </row>
    <row r="100" spans="1:31" outlineLevel="1">
      <c r="A100" s="233" t="s">
        <v>2251</v>
      </c>
      <c r="B100" s="24" t="str">
        <f>IF(A100="","",IF(LEFT(A100)&gt;"9",VLOOKUP(A100,yuanjidaimachichun,2,FALSE),VLOOKUP(A100,经纬!B:C,2,FALSE)))</f>
        <v>A50-30-28</v>
      </c>
      <c r="C100" s="8" t="str">
        <f>IF(A100="","",IF(ISERROR(FIND("*",B100)),MID(B100,2,FIND("-",B100)-2),LEFT(B100,FIND("*",B100)-1)))</f>
        <v>50</v>
      </c>
      <c r="D100" s="8" t="str">
        <f>IF(ISERROR(FIND("*",B100)),"",RIGHT(B100,LEN(B100)-FIND("*",B100)))</f>
        <v/>
      </c>
      <c r="E100" s="89" t="s">
        <v>2230</v>
      </c>
      <c r="F100" s="89" t="s">
        <v>2611</v>
      </c>
      <c r="G100" s="8">
        <v>158</v>
      </c>
      <c r="H100" s="8" t="s">
        <v>2255</v>
      </c>
      <c r="I100" s="8">
        <v>30000</v>
      </c>
      <c r="J100" s="8">
        <v>35</v>
      </c>
      <c r="K100" s="8">
        <v>33</v>
      </c>
      <c r="L100" s="8" t="s">
        <v>2256</v>
      </c>
      <c r="M100" s="24" t="str">
        <f t="array" ref="M100">LEFT(L100,MIN(FIND({"A","B","C"},MID(L100,2,LEN(L100))&amp;"ABC")))</f>
        <v>A10</v>
      </c>
      <c r="N100" s="24" t="str">
        <f t="array" ref="N100">SUBSTITUTE(L100,M100,"")</f>
        <v>B549</v>
      </c>
      <c r="O100" s="23">
        <v>43762</v>
      </c>
      <c r="T100" s="264">
        <f>IF(AND(C100&gt;0,D100=""),SUMIFS(yj!I:I,yj!B:B,plan!A100,yj!G:G,"&gt;="&amp;Q100,yj!G:G,"&lt;="&amp;S100),"")</f>
        <v>0</v>
      </c>
      <c r="U100" s="264">
        <f>SUMIFS(四面弹库存!F:F,四面弹库存!B:B,plan!A100,四面弹库存!O:O,IF(H100&lt;&gt;"黑丝","白","黑"))</f>
        <v>26</v>
      </c>
      <c r="V100" s="264"/>
      <c r="W100" s="369">
        <f t="shared" si="1"/>
        <v>29999.999999999996</v>
      </c>
      <c r="X100" s="258">
        <f t="shared" si="2"/>
        <v>1732.2834645669293</v>
      </c>
      <c r="Y100" s="36">
        <f t="shared" si="3"/>
        <v>78.740157480314963</v>
      </c>
      <c r="Z100" s="340" t="str">
        <f>IF(AND(C100&gt;0,D100&lt;&gt;"",S100=""),VLOOKUP(A100&amp;IF(H100="黑丝","黑","白")&amp;E100,经纬!A:M,13,FALSE)*(I100-AB100),"")</f>
        <v/>
      </c>
      <c r="AA100" s="340" t="str">
        <f>IF(AND(C100&gt;0,D100&lt;&gt;"",S100=""),VLOOKUP(A100&amp;IF(H100="黑丝","黑","白")&amp;E100,经纬!A:N,14,FALSE)*(I100-AB100),"")</f>
        <v/>
      </c>
      <c r="AE100" s="250" t="str">
        <f>IF(COUNTIF(A$2:A100,A100)=1,M100,LOOKUP(1,0/(A$1:A99=A100),AE$1:AE99)&amp;" "&amp;M100)</f>
        <v>XSD A21 A12 A10 A70 A10 A90 A45 A45 A10</v>
      </c>
    </row>
    <row r="101" spans="1:31" outlineLevel="1">
      <c r="A101" s="233" t="s">
        <v>2257</v>
      </c>
      <c r="B101" s="24" t="str">
        <f>IF(A101="","",IF(LEFT(A101)&gt;"9",VLOOKUP(A101,yuanjidaimachichun,2,FALSE),VLOOKUP(A101,经纬!B:C,2,FALSE)))</f>
        <v>A50-30-28</v>
      </c>
      <c r="C101" s="8" t="str">
        <f>IF(A101="","",IF(ISERROR(FIND("*",B101)),MID(B101,2,FIND("-",B101)-2),LEFT(B101,FIND("*",B101)-1)))</f>
        <v>50</v>
      </c>
      <c r="D101" s="8" t="str">
        <f>IF(ISERROR(FIND("*",B101)),"",RIGHT(B101,LEN(B101)-FIND("*",B101)))</f>
        <v/>
      </c>
      <c r="E101" s="89" t="s">
        <v>2230</v>
      </c>
      <c r="F101" s="89" t="s">
        <v>2611</v>
      </c>
      <c r="G101" s="8">
        <v>158</v>
      </c>
      <c r="H101" s="8" t="s">
        <v>2258</v>
      </c>
      <c r="I101" s="8">
        <v>30000</v>
      </c>
      <c r="J101" s="8">
        <v>32</v>
      </c>
      <c r="K101" s="8">
        <v>33</v>
      </c>
      <c r="L101" s="8" t="s">
        <v>2256</v>
      </c>
      <c r="M101" s="24" t="str">
        <f t="array" ref="M101">LEFT(L101,MIN(FIND({"A","B","C"},MID(L101,2,LEN(L101))&amp;"ABC")))</f>
        <v>A10</v>
      </c>
      <c r="N101" s="24" t="str">
        <f t="array" ref="N101">SUBSTITUTE(L101,M101,"")</f>
        <v>B549</v>
      </c>
      <c r="O101" s="23">
        <v>43762</v>
      </c>
      <c r="T101" s="264">
        <f>IF(AND(C101&gt;0,D101=""),SUMIFS(yj!I:I,yj!B:B,plan!A101,yj!G:G,"&gt;="&amp;Q101,yj!G:G,"&lt;="&amp;S101),"")</f>
        <v>0</v>
      </c>
      <c r="U101" s="264">
        <f>SUMIFS(四面弹库存!F:F,四面弹库存!B:B,plan!A101,四面弹库存!O:O,IF(H101&lt;&gt;"黑丝","白","黑"))</f>
        <v>143</v>
      </c>
      <c r="V101" s="264"/>
      <c r="W101" s="369">
        <f t="shared" si="1"/>
        <v>29999.999999999996</v>
      </c>
      <c r="X101" s="258">
        <f t="shared" si="2"/>
        <v>1732.2834645669293</v>
      </c>
      <c r="Y101" s="36">
        <f t="shared" si="3"/>
        <v>86.614173228346459</v>
      </c>
      <c r="Z101" s="340" t="str">
        <f>IF(AND(C101&gt;0,D101&lt;&gt;"",S101=""),VLOOKUP(A101&amp;IF(H101="黑丝","黑","白")&amp;E101,经纬!A:M,13,FALSE)*(I101-AB101),"")</f>
        <v/>
      </c>
      <c r="AA101" s="340" t="str">
        <f>IF(AND(C101&gt;0,D101&lt;&gt;"",S101=""),VLOOKUP(A101&amp;IF(H101="黑丝","黑","白")&amp;E101,经纬!A:N,14,FALSE)*(I101-AB101),"")</f>
        <v/>
      </c>
      <c r="AE101" s="250" t="str">
        <f>IF(COUNTIF(A$2:A101,A101)=1,M101,LOOKUP(1,0/(A$1:A100=A101),AE$1:AE100)&amp;" "&amp;M101)</f>
        <v>A21 A10</v>
      </c>
    </row>
    <row r="102" spans="1:31" outlineLevel="1">
      <c r="A102" s="233" t="s">
        <v>2234</v>
      </c>
      <c r="B102" s="24" t="str">
        <f>IF(A102="","",IF(LEFT(A102)&gt;"9",VLOOKUP(A102,yuanjidaimachichun,2,FALSE),VLOOKUP(A102,经纬!B:C,2,FALSE)))</f>
        <v>A50-30-28</v>
      </c>
      <c r="C102" s="8" t="str">
        <f>IF(A102="","",IF(ISERROR(FIND("*",B102)),MID(B102,2,FIND("-",B102)-2),LEFT(B102,FIND("*",B102)-1)))</f>
        <v>50</v>
      </c>
      <c r="D102" s="8" t="str">
        <f>IF(ISERROR(FIND("*",B102)),"",RIGHT(B102,LEN(B102)-FIND("*",B102)))</f>
        <v/>
      </c>
      <c r="E102" s="89" t="s">
        <v>2230</v>
      </c>
      <c r="F102" s="89" t="s">
        <v>2611</v>
      </c>
      <c r="G102" s="8">
        <v>158</v>
      </c>
      <c r="H102" s="8" t="s">
        <v>2231</v>
      </c>
      <c r="I102" s="8">
        <v>40000</v>
      </c>
      <c r="J102" s="8">
        <v>35</v>
      </c>
      <c r="K102" s="8">
        <v>33</v>
      </c>
      <c r="L102" s="8" t="s">
        <v>2256</v>
      </c>
      <c r="M102" s="24" t="str">
        <f t="array" ref="M102">LEFT(L102,MIN(FIND({"A","B","C"},MID(L102,2,LEN(L102))&amp;"ABC")))</f>
        <v>A10</v>
      </c>
      <c r="N102" s="24" t="str">
        <f t="array" ref="N102">SUBSTITUTE(L102,M102,"")</f>
        <v>B549</v>
      </c>
      <c r="O102" s="23">
        <v>43762</v>
      </c>
      <c r="T102" s="264">
        <f>IF(AND(C102&gt;0,D102=""),SUMIFS(yj!I:I,yj!B:B,plan!A102,yj!G:G,"&gt;="&amp;Q102,yj!G:G,"&lt;="&amp;S102),"")</f>
        <v>0</v>
      </c>
      <c r="U102" s="264">
        <f>SUMIFS(四面弹库存!F:F,四面弹库存!B:B,plan!A102,四面弹库存!O:O,IF(H102&lt;&gt;"黑丝","白","黑"))</f>
        <v>172</v>
      </c>
      <c r="V102" s="264"/>
      <c r="W102" s="369">
        <f t="shared" si="1"/>
        <v>39999.999999999993</v>
      </c>
      <c r="X102" s="258">
        <f t="shared" si="2"/>
        <v>2309.7112860892389</v>
      </c>
      <c r="Y102" s="36">
        <f t="shared" si="3"/>
        <v>115.48556430446195</v>
      </c>
      <c r="Z102" s="340" t="str">
        <f>IF(AND(C102&gt;0,D102&lt;&gt;"",S102=""),VLOOKUP(A102&amp;IF(H102="黑丝","黑","白")&amp;E102,经纬!A:M,13,FALSE)*(I102-AB102),"")</f>
        <v/>
      </c>
      <c r="AA102" s="340" t="str">
        <f>IF(AND(C102&gt;0,D102&lt;&gt;"",S102=""),VLOOKUP(A102&amp;IF(H102="黑丝","黑","白")&amp;E102,经纬!A:N,14,FALSE)*(I102-AB102),"")</f>
        <v/>
      </c>
      <c r="AE102" s="250" t="str">
        <f>IF(COUNTIF(A$2:A102,A102)=1,M102,LOOKUP(1,0/(A$1:A101=A102),AE$1:AE101)&amp;" "&amp;M102)</f>
        <v>XSD A21 A12 A10 A10 A90 A88 A88 A88 A90 A45 A45 A45 A10</v>
      </c>
    </row>
    <row r="103" spans="1:31" outlineLevel="1">
      <c r="A103" s="233" t="s">
        <v>2259</v>
      </c>
      <c r="B103" s="24" t="str">
        <f>IF(A103="","",IF(LEFT(A103)&gt;"9",VLOOKUP(A103,yuanjidaimachichun,2,FALSE),VLOOKUP(A103,经纬!B:C,2,FALSE)))</f>
        <v>B75-30-24</v>
      </c>
      <c r="C103" s="8" t="str">
        <f>IF(A103="","",IF(ISERROR(FIND("*",B103)),MID(B103,2,FIND("-",B103)-2),LEFT(B103,FIND("*",B103)-1)))</f>
        <v>75</v>
      </c>
      <c r="D103" s="8" t="str">
        <f>IF(ISERROR(FIND("*",B103)),"",RIGHT(B103,LEN(B103)-FIND("*",B103)))</f>
        <v/>
      </c>
      <c r="E103" s="89" t="s">
        <v>2230</v>
      </c>
      <c r="F103" s="89" t="s">
        <v>2612</v>
      </c>
      <c r="G103" s="8">
        <v>158</v>
      </c>
      <c r="H103" s="8" t="s">
        <v>2231</v>
      </c>
      <c r="I103" s="8">
        <v>60000</v>
      </c>
      <c r="J103" s="8">
        <v>49</v>
      </c>
      <c r="K103" s="8">
        <v>51</v>
      </c>
      <c r="L103" s="8" t="s">
        <v>2260</v>
      </c>
      <c r="M103" s="24" t="str">
        <f t="array" ref="M103">LEFT(L103,MIN(FIND({"A","B","C"},MID(L103,2,LEN(L103))&amp;"ABC")))</f>
        <v>A10</v>
      </c>
      <c r="N103" s="24" t="str">
        <f t="array" ref="N103">SUBSTITUTE(L103,M103,"")</f>
        <v>B546</v>
      </c>
      <c r="O103" s="23">
        <v>43762</v>
      </c>
      <c r="T103" s="264">
        <f>IF(AND(C103&gt;0,D103=""),SUMIFS(yj!I:I,yj!B:B,plan!A103,yj!G:G,"&gt;="&amp;Q103,yj!G:G,"&lt;="&amp;S103),"")</f>
        <v>0</v>
      </c>
      <c r="U103" s="264">
        <f>SUMIFS(四面弹库存!F:F,四面弹库存!B:B,plan!A103,四面弹库存!O:O,IF(H103&lt;&gt;"黑丝","白","黑"))</f>
        <v>12</v>
      </c>
      <c r="V103" s="264"/>
      <c r="W103" s="369">
        <f t="shared" si="1"/>
        <v>59999.999999999993</v>
      </c>
      <c r="X103" s="258">
        <f t="shared" si="2"/>
        <v>5354.3307086614177</v>
      </c>
      <c r="Y103" s="36">
        <f t="shared" si="3"/>
        <v>267.71653543307087</v>
      </c>
      <c r="Z103" s="340" t="str">
        <f>IF(AND(C103&gt;0,D103&lt;&gt;"",S103=""),VLOOKUP(A103&amp;IF(H103="黑丝","黑","白")&amp;E103,经纬!A:M,13,FALSE)*(I103-AB103),"")</f>
        <v/>
      </c>
      <c r="AA103" s="340" t="str">
        <f>IF(AND(C103&gt;0,D103&lt;&gt;"",S103=""),VLOOKUP(A103&amp;IF(H103="黑丝","黑","白")&amp;E103,经纬!A:N,14,FALSE)*(I103-AB103),"")</f>
        <v/>
      </c>
      <c r="AE103" s="250" t="str">
        <f>IF(COUNTIF(A$2:A103,A103)=1,M103,LOOKUP(1,0/(A$1:A102=A103),AE$1:AE102)&amp;" "&amp;M103)</f>
        <v>A10</v>
      </c>
    </row>
    <row r="104" spans="1:31" outlineLevel="1">
      <c r="A104" s="233" t="s">
        <v>2259</v>
      </c>
      <c r="B104" s="24" t="str">
        <f>IF(A104="","",IF(LEFT(A104)&gt;"9",VLOOKUP(A104,yuanjidaimachichun,2,FALSE),VLOOKUP(A104,经纬!B:C,2,FALSE)))</f>
        <v>B75-30-24</v>
      </c>
      <c r="C104" s="8" t="str">
        <f>IF(A104="","",IF(ISERROR(FIND("*",B104)),MID(B104,2,FIND("-",B104)-2),LEFT(B104,FIND("*",B104)-1)))</f>
        <v>75</v>
      </c>
      <c r="D104" s="8" t="str">
        <f>IF(ISERROR(FIND("*",B104)),"",RIGHT(B104,LEN(B104)-FIND("*",B104)))</f>
        <v/>
      </c>
      <c r="E104" s="89" t="s">
        <v>2230</v>
      </c>
      <c r="F104" s="89" t="s">
        <v>2612</v>
      </c>
      <c r="G104" s="8">
        <v>158</v>
      </c>
      <c r="H104" s="8" t="s">
        <v>2261</v>
      </c>
      <c r="I104" s="8">
        <v>40000</v>
      </c>
      <c r="J104" s="8">
        <v>49</v>
      </c>
      <c r="K104" s="8">
        <v>51</v>
      </c>
      <c r="L104" s="8" t="s">
        <v>2260</v>
      </c>
      <c r="M104" s="24" t="str">
        <f t="array" ref="M104">LEFT(L104,MIN(FIND({"A","B","C"},MID(L104,2,LEN(L104))&amp;"ABC")))</f>
        <v>A10</v>
      </c>
      <c r="N104" s="24" t="str">
        <f t="array" ref="N104">SUBSTITUTE(L104,M104,"")</f>
        <v>B546</v>
      </c>
      <c r="O104" s="23">
        <v>43762</v>
      </c>
      <c r="T104" s="264">
        <f>IF(AND(C104&gt;0,D104=""),SUMIFS(yj!I:I,yj!B:B,plan!A104,yj!G:G,"&gt;="&amp;Q104,yj!G:G,"&lt;="&amp;S104),"")</f>
        <v>0</v>
      </c>
      <c r="U104" s="264">
        <f>SUMIFS(四面弹库存!F:F,四面弹库存!B:B,plan!A104,四面弹库存!O:O,IF(H104&lt;&gt;"黑丝","白","黑"))</f>
        <v>12</v>
      </c>
      <c r="V104" s="264"/>
      <c r="W104" s="369">
        <f t="shared" si="1"/>
        <v>40000</v>
      </c>
      <c r="X104" s="258">
        <f t="shared" si="2"/>
        <v>3569.5538057742783</v>
      </c>
      <c r="Y104" s="36">
        <f t="shared" si="3"/>
        <v>178.47769028871392</v>
      </c>
      <c r="Z104" s="340" t="str">
        <f>IF(AND(C104&gt;0,D104&lt;&gt;"",S104=""),VLOOKUP(A104&amp;IF(H104="黑丝","黑","白")&amp;E104,经纬!A:M,13,FALSE)*(I104-AB104),"")</f>
        <v/>
      </c>
      <c r="AA104" s="340" t="str">
        <f>IF(AND(C104&gt;0,D104&lt;&gt;"",S104=""),VLOOKUP(A104&amp;IF(H104="黑丝","黑","白")&amp;E104,经纬!A:N,14,FALSE)*(I104-AB104),"")</f>
        <v/>
      </c>
      <c r="AE104" s="250" t="str">
        <f>IF(COUNTIF(A$2:A104,A104)=1,M104,LOOKUP(1,0/(A$1:A103=A104),AE$1:AE103)&amp;" "&amp;M104)</f>
        <v>A10 A10</v>
      </c>
    </row>
    <row r="105" spans="1:31" outlineLevel="1">
      <c r="A105" s="233" t="s">
        <v>2259</v>
      </c>
      <c r="B105" s="24" t="str">
        <f>IF(A105="","",IF(LEFT(A105)&gt;"9",VLOOKUP(A105,yuanjidaimachichun,2,FALSE),VLOOKUP(A105,经纬!B:C,2,FALSE)))</f>
        <v>B75-30-24</v>
      </c>
      <c r="C105" s="8" t="str">
        <f>IF(A105="","",IF(ISERROR(FIND("*",B105)),MID(B105,2,FIND("-",B105)-2),LEFT(B105,FIND("*",B105)-1)))</f>
        <v>75</v>
      </c>
      <c r="D105" s="8" t="str">
        <f>IF(ISERROR(FIND("*",B105)),"",RIGHT(B105,LEN(B105)-FIND("*",B105)))</f>
        <v/>
      </c>
      <c r="E105" s="89" t="s">
        <v>2230</v>
      </c>
      <c r="F105" s="89" t="s">
        <v>2612</v>
      </c>
      <c r="G105" s="8">
        <v>158</v>
      </c>
      <c r="H105" s="8" t="s">
        <v>2258</v>
      </c>
      <c r="I105" s="8">
        <v>40000</v>
      </c>
      <c r="J105" s="8">
        <v>46</v>
      </c>
      <c r="K105" s="8">
        <v>51</v>
      </c>
      <c r="L105" s="8" t="s">
        <v>2260</v>
      </c>
      <c r="M105" s="24" t="str">
        <f t="array" ref="M105">LEFT(L105,MIN(FIND({"A","B","C"},MID(L105,2,LEN(L105))&amp;"ABC")))</f>
        <v>A10</v>
      </c>
      <c r="N105" s="24" t="str">
        <f t="array" ref="N105">SUBSTITUTE(L105,M105,"")</f>
        <v>B546</v>
      </c>
      <c r="O105" s="23">
        <v>43762</v>
      </c>
      <c r="T105" s="264">
        <f>IF(AND(C105&gt;0,D105=""),SUMIFS(yj!I:I,yj!B:B,plan!A105,yj!G:G,"&gt;="&amp;Q105,yj!G:G,"&lt;="&amp;S105),"")</f>
        <v>0</v>
      </c>
      <c r="U105" s="264">
        <f>SUMIFS(四面弹库存!F:F,四面弹库存!B:B,plan!A105,四面弹库存!O:O,IF(H105&lt;&gt;"黑丝","白","黑"))</f>
        <v>12</v>
      </c>
      <c r="V105" s="264"/>
      <c r="W105" s="369">
        <f t="shared" si="1"/>
        <v>40000</v>
      </c>
      <c r="X105" s="258">
        <f>IF(B105="","",IF(S105&lt;&gt;"","",IF(AND(Z105&lt;&gt;"",AA105&lt;&gt;""),SUM(Z105:AA105),IF(AB105&lt;&gt;"",(I105/((1/((G105+2)/100*K105/1000))*0.9144)/IF(H105="黑丝",22,20)-AB105)*(IF(H105="黑丝",22,20)),I105/((1/((G105+2)/100*K105/1000))*0.9144)))))</f>
        <v>3569.5538057742783</v>
      </c>
      <c r="Y105" s="36">
        <f t="shared" si="3"/>
        <v>178.47769028871392</v>
      </c>
      <c r="Z105" s="340" t="str">
        <f>IF(AND(C105&gt;0,D105&lt;&gt;"",S105=""),VLOOKUP(A105&amp;IF(H105="黑丝","黑","白")&amp;E105,经纬!A:M,13,FALSE)*(I105-AB105),"")</f>
        <v/>
      </c>
      <c r="AA105" s="340" t="str">
        <f>IF(AND(C105&gt;0,D105&lt;&gt;"",S105=""),VLOOKUP(A105&amp;IF(H105="黑丝","黑","白")&amp;E105,经纬!A:N,14,FALSE)*(I105-AB105),"")</f>
        <v/>
      </c>
      <c r="AE105" s="250" t="str">
        <f>IF(COUNTIF(A$2:A105,A105)=1,M105,LOOKUP(1,0/(A$1:A104=A105),AE$1:AE104)&amp;" "&amp;M105)</f>
        <v>A10 A10 A10</v>
      </c>
    </row>
    <row r="106" spans="1:31" outlineLevel="1">
      <c r="A106" s="233" t="s">
        <v>2287</v>
      </c>
      <c r="B106" s="24" t="str">
        <f>IF(A106="","",IF(LEFT(A106)&gt;"9",VLOOKUP(A106,yuanjidaimachichun,2,FALSE),VLOOKUP(A106,经纬!B:C,2,FALSE)))</f>
        <v>B75-30-24</v>
      </c>
      <c r="C106" s="8" t="str">
        <f>IF(A106="","",IF(ISERROR(FIND("*",B106)),MID(B106,2,FIND("-",B106)-2),LEFT(B106,FIND("*",B106)-1)))</f>
        <v>75</v>
      </c>
      <c r="D106" s="8" t="str">
        <f>IF(ISERROR(FIND("*",B106)),"",RIGHT(B106,LEN(B106)-FIND("*",B106)))</f>
        <v/>
      </c>
      <c r="E106" s="89" t="s">
        <v>2288</v>
      </c>
      <c r="F106" s="89" t="s">
        <v>2612</v>
      </c>
      <c r="G106" s="8">
        <v>158</v>
      </c>
      <c r="H106" s="8" t="s">
        <v>2231</v>
      </c>
      <c r="I106" s="8">
        <v>10000</v>
      </c>
      <c r="J106" s="8">
        <v>39</v>
      </c>
      <c r="K106" s="8">
        <v>41</v>
      </c>
      <c r="L106" s="8" t="s">
        <v>2290</v>
      </c>
      <c r="M106" s="24" t="str">
        <f t="array" ref="M106">LEFT(L106,MIN(FIND({"A","B","C"},MID(L106,2,LEN(L106))&amp;"ABC")))</f>
        <v>A94</v>
      </c>
      <c r="N106" s="24" t="str">
        <f t="array" ref="N106">SUBSTITUTE(L106,M106,"")</f>
        <v>B552</v>
      </c>
      <c r="O106" s="23">
        <v>43763</v>
      </c>
      <c r="S106" s="23">
        <v>43763</v>
      </c>
      <c r="T106" s="264">
        <f>IF(AND(C106&gt;0,D106=""),SUMIFS(yj!I:I,yj!B:B,plan!A106,yj!G:G,"&gt;="&amp;Q106,yj!G:G,"&lt;="&amp;S106),"")</f>
        <v>0</v>
      </c>
      <c r="U106" s="264">
        <f>SUMIFS(四面弹库存!F:F,四面弹库存!B:B,plan!A106,四面弹库存!O:O,IF(H106&lt;&gt;"黑丝","白","黑"))</f>
        <v>217</v>
      </c>
      <c r="V106" s="264"/>
      <c r="W106" s="369" t="str">
        <f t="shared" si="1"/>
        <v/>
      </c>
      <c r="X106" s="258" t="str">
        <f>IF(B106="","",IF(S106&lt;&gt;"","",IF(AND(Z106&lt;&gt;"",AA106&lt;&gt;""),SUM(Z106:AA106),IF(AB106&lt;&gt;"",(I106/((1/((G106+2)/100*K106/1000))*0.9144)/IF(H106="黑丝",22,20)-AB106)*(IF(H106="黑丝",22,20)),I106/((1/((G106+2)/100*K106/1000))*0.9144)))))</f>
        <v/>
      </c>
      <c r="Y106" s="36" t="str">
        <f>IF(OR(B106="",D106&lt;&gt;""),"",IF(S106&lt;&gt;"","",I106/((1/((G106+2)/100*K106/1000))*0.9144)/IF(H106="黑丝",22,20)-AB106))</f>
        <v/>
      </c>
      <c r="Z106" s="340" t="str">
        <f>IF(AND(C106&gt;0,D106&lt;&gt;"",S106=""),VLOOKUP(A106&amp;IF(H106="黑丝","黑","白")&amp;E106,经纬!A:M,13,FALSE)*(I106-AB106),"")</f>
        <v/>
      </c>
      <c r="AA106" s="340" t="str">
        <f>IF(AND(C106&gt;0,D106&lt;&gt;"",S106=""),VLOOKUP(A106&amp;IF(H106="黑丝","黑","白")&amp;E106,经纬!A:N,14,FALSE)*(I106-AB106),"")</f>
        <v/>
      </c>
      <c r="AC106" s="8"/>
      <c r="AD106" s="8"/>
      <c r="AE106" s="250" t="str">
        <f>IF(COUNTIF(A$2:A106,A106)=1,M106,LOOKUP(1,0/(A$1:A105=A106),AE$1:AE105)&amp;" "&amp;M106)</f>
        <v>A94 A94</v>
      </c>
    </row>
    <row r="107" spans="1:31" outlineLevel="1">
      <c r="A107" s="233" t="s">
        <v>2287</v>
      </c>
      <c r="B107" s="24" t="str">
        <f>IF(A107="","",IF(LEFT(A107)&gt;"9",VLOOKUP(A107,yuanjidaimachichun,2,FALSE),VLOOKUP(A107,经纬!B:C,2,FALSE)))</f>
        <v>B75-30-24</v>
      </c>
      <c r="C107" s="8" t="str">
        <f>IF(A107="","",IF(ISERROR(FIND("*",B107)),MID(B107,2,FIND("-",B107)-2),LEFT(B107,FIND("*",B107)-1)))</f>
        <v>75</v>
      </c>
      <c r="D107" s="8" t="str">
        <f>IF(ISERROR(FIND("*",B107)),"",RIGHT(B107,LEN(B107)-FIND("*",B107)))</f>
        <v/>
      </c>
      <c r="E107" s="89" t="s">
        <v>2288</v>
      </c>
      <c r="F107" s="89" t="s">
        <v>2612</v>
      </c>
      <c r="G107" s="8">
        <v>158</v>
      </c>
      <c r="H107" s="8" t="s">
        <v>2258</v>
      </c>
      <c r="I107" s="8">
        <v>6000</v>
      </c>
      <c r="J107" s="8">
        <v>39</v>
      </c>
      <c r="K107" s="8">
        <v>41</v>
      </c>
      <c r="L107" s="8" t="s">
        <v>2290</v>
      </c>
      <c r="M107" s="24" t="str">
        <f t="array" ref="M107">LEFT(L107,MIN(FIND({"A","B","C"},MID(L107,2,LEN(L107))&amp;"ABC")))</f>
        <v>A94</v>
      </c>
      <c r="N107" s="24" t="str">
        <f t="array" ref="N107">SUBSTITUTE(L107,M107,"")</f>
        <v>B552</v>
      </c>
      <c r="O107" s="23">
        <v>43763</v>
      </c>
      <c r="S107" s="23">
        <v>43763</v>
      </c>
      <c r="T107" s="264">
        <f>IF(AND(C107&gt;0,D107=""),SUMIFS(yj!I:I,yj!B:B,plan!A107,yj!G:G,"&gt;="&amp;Q107,yj!G:G,"&lt;="&amp;S107),"")</f>
        <v>0</v>
      </c>
      <c r="U107" s="264">
        <f>SUMIFS(四面弹库存!F:F,四面弹库存!B:B,plan!A107,四面弹库存!O:O,IF(H107&lt;&gt;"黑丝","白","黑"))</f>
        <v>217</v>
      </c>
      <c r="V107" s="264"/>
      <c r="W107" s="369" t="str">
        <f t="shared" si="1"/>
        <v/>
      </c>
      <c r="X107" s="258" t="str">
        <f>IF(B107="","",IF(S107&lt;&gt;"","",IF(AND(Z107&lt;&gt;"",AA107&lt;&gt;""),SUM(Z107:AA107),IF(AB107&lt;&gt;"",(I107/((1/((G107+2)/100*K107/1000))*0.9144)/IF(H107="黑丝",22,20)-AB107)*(IF(H107="黑丝",22,20)),I107/((1/((G107+2)/100*K107/1000))*0.9144)))))</f>
        <v/>
      </c>
      <c r="Y107" s="36" t="str">
        <f>IF(OR(B107="",D107&lt;&gt;""),"",IF(S107&lt;&gt;"","",I107/((1/((G107+2)/100*K107/1000))*0.9144)/IF(H107="黑丝",22,20)-AB107))</f>
        <v/>
      </c>
      <c r="Z107" s="340" t="str">
        <f>IF(AND(C107&gt;0,D107&lt;&gt;"",S107=""),VLOOKUP(A107&amp;IF(H107="黑丝","黑","白")&amp;E107,经纬!A:M,13,FALSE)*(I107-AB107),"")</f>
        <v/>
      </c>
      <c r="AA107" s="340" t="str">
        <f>IF(AND(C107&gt;0,D107&lt;&gt;"",S107=""),VLOOKUP(A107&amp;IF(H107="黑丝","黑","白")&amp;E107,经纬!A:N,14,FALSE)*(I107-AB107),"")</f>
        <v/>
      </c>
      <c r="AC107" s="8"/>
      <c r="AD107" s="8"/>
      <c r="AE107" s="250" t="str">
        <f>IF(COUNTIF(A$2:A107,A107)=1,M107,LOOKUP(1,0/(A$1:A106=A107),AE$1:AE106)&amp;" "&amp;M107)</f>
        <v>A94 A94 A94</v>
      </c>
    </row>
    <row r="108" spans="1:31" outlineLevel="1">
      <c r="A108" s="233" t="s">
        <v>1665</v>
      </c>
      <c r="B108" s="24" t="str">
        <f>IF(A108="","",IF(LEFT(A108)&gt;"9",VLOOKUP(A108,yuanjidaimachichun,2,FALSE),VLOOKUP(A108,经纬!B:C,2,FALSE)))</f>
        <v>A75-30-28</v>
      </c>
      <c r="C108" s="8" t="str">
        <f>IF(A108="","",IF(ISERROR(FIND("*",B108)),MID(B108,2,FIND("-",B108)-2),LEFT(B108,FIND("*",B108)-1)))</f>
        <v>75</v>
      </c>
      <c r="D108" s="8" t="str">
        <f>IF(ISERROR(FIND("*",B108)),"",RIGHT(B108,LEN(B108)-FIND("*",B108)))</f>
        <v/>
      </c>
      <c r="E108" s="89" t="s">
        <v>2288</v>
      </c>
      <c r="F108" s="89" t="s">
        <v>2612</v>
      </c>
      <c r="G108" s="8">
        <v>158</v>
      </c>
      <c r="H108" s="8" t="s">
        <v>2291</v>
      </c>
      <c r="I108" s="8">
        <v>20000</v>
      </c>
      <c r="J108" s="8">
        <v>48</v>
      </c>
      <c r="K108" s="8">
        <v>51</v>
      </c>
      <c r="L108" s="8" t="s">
        <v>2290</v>
      </c>
      <c r="M108" s="24" t="str">
        <f t="array" ref="M108">LEFT(L108,MIN(FIND({"A","B","C"},MID(L108,2,LEN(L108))&amp;"ABC")))</f>
        <v>A94</v>
      </c>
      <c r="N108" s="24" t="str">
        <f t="array" ref="N108">SUBSTITUTE(L108,M108,"")</f>
        <v>B552</v>
      </c>
      <c r="O108" s="23">
        <v>43763</v>
      </c>
      <c r="Q108" s="389">
        <v>43764</v>
      </c>
      <c r="T108" s="264">
        <f>IF(AND(C108&gt;0,D108=""),SUMIFS(yj!I:I,yj!B:B,plan!A108,yj!G:G,"&gt;="&amp;Q108,yj!G:G,"&lt;="&amp;S108),"")</f>
        <v>0</v>
      </c>
      <c r="U108" s="264">
        <f>SUMIFS(四面弹库存!F:F,四面弹库存!B:B,plan!A108,四面弹库存!O:O,IF(H108&lt;&gt;"黑丝","白","黑"))</f>
        <v>28</v>
      </c>
      <c r="V108" s="264"/>
      <c r="W108" s="369">
        <f t="shared" si="1"/>
        <v>20000</v>
      </c>
      <c r="X108" s="258">
        <f>IF(B108="","",IF(S108&lt;&gt;"","",IF(AND(Z108&lt;&gt;"",AA108&lt;&gt;""),SUM(Z108:AA108),IF(AB108&lt;&gt;"",(I108/((1/((G108+2)/100*K108/1000))*0.9144)/IF(H108="黑丝",22,20)-AB108)*(IF(H108="黑丝",22,20)),I108/((1/((G108+2)/100*K108/1000))*0.9144)))))</f>
        <v>1784.7769028871392</v>
      </c>
      <c r="Y108" s="36">
        <f>IF(OR(B108="",D108&lt;&gt;""),"",IF(S108&lt;&gt;"","",I108/((1/((G108+2)/100*K108/1000))*0.9144)/IF(H108="黑丝",22,20)-AB108))</f>
        <v>89.238845144356958</v>
      </c>
      <c r="Z108" s="340" t="str">
        <f>IF(AND(C108&gt;0,D108&lt;&gt;"",S108=""),VLOOKUP(A108&amp;IF(H108="黑丝","黑","白")&amp;E108,经纬!A:M,13,FALSE)*(I108-AB108),"")</f>
        <v/>
      </c>
      <c r="AA108" s="340" t="str">
        <f>IF(AND(C108&gt;0,D108&lt;&gt;"",S108=""),VLOOKUP(A108&amp;IF(H108="黑丝","黑","白")&amp;E108,经纬!A:N,14,FALSE)*(I108-AB108),"")</f>
        <v/>
      </c>
      <c r="AE108" s="250" t="str">
        <f>IF(COUNTIF(A$2:A108,A108)=1,M108,LOOKUP(1,0/(A$1:A107=A108),AE$1:AE107)&amp;" "&amp;M108)</f>
        <v>A94 A94 A94</v>
      </c>
    </row>
    <row r="109" spans="1:31" outlineLevel="1">
      <c r="A109" s="233" t="s">
        <v>1665</v>
      </c>
      <c r="B109" s="24" t="str">
        <f>IF(A109="","",IF(LEFT(A109)&gt;"9",VLOOKUP(A109,yuanjidaimachichun,2,FALSE),VLOOKUP(A109,经纬!B:C,2,FALSE)))</f>
        <v>A75-30-28</v>
      </c>
      <c r="C109" s="8" t="str">
        <f>IF(A109="","",IF(ISERROR(FIND("*",B109)),MID(B109,2,FIND("-",B109)-2),LEFT(B109,FIND("*",B109)-1)))</f>
        <v>75</v>
      </c>
      <c r="D109" s="8" t="str">
        <f>IF(ISERROR(FIND("*",B109)),"",RIGHT(B109,LEN(B109)-FIND("*",B109)))</f>
        <v/>
      </c>
      <c r="E109" s="89" t="s">
        <v>2288</v>
      </c>
      <c r="F109" s="89" t="s">
        <v>2612</v>
      </c>
      <c r="G109" s="8">
        <v>158</v>
      </c>
      <c r="H109" s="8" t="s">
        <v>2261</v>
      </c>
      <c r="I109" s="8">
        <v>10000</v>
      </c>
      <c r="J109" s="8">
        <v>48</v>
      </c>
      <c r="K109" s="8">
        <v>51</v>
      </c>
      <c r="L109" s="8" t="s">
        <v>2290</v>
      </c>
      <c r="M109" s="24" t="str">
        <f t="array" ref="M109">LEFT(L109,MIN(FIND({"A","B","C"},MID(L109,2,LEN(L109))&amp;"ABC")))</f>
        <v>A94</v>
      </c>
      <c r="N109" s="24" t="str">
        <f t="array" ref="N109">SUBSTITUTE(L109,M109,"")</f>
        <v>B552</v>
      </c>
      <c r="O109" s="23">
        <v>43763</v>
      </c>
      <c r="Q109" s="389">
        <v>43764</v>
      </c>
      <c r="T109" s="264">
        <f>IF(AND(C109&gt;0,D109=""),SUMIFS(yj!I:I,yj!B:B,plan!A109,yj!G:G,"&gt;="&amp;Q109,yj!G:G,"&lt;="&amp;S109),"")</f>
        <v>0</v>
      </c>
      <c r="U109" s="264">
        <f>SUMIFS(四面弹库存!F:F,四面弹库存!B:B,plan!A109,四面弹库存!O:O,IF(H109&lt;&gt;"黑丝","白","黑"))</f>
        <v>28</v>
      </c>
      <c r="V109" s="264"/>
      <c r="W109" s="369">
        <f t="shared" si="1"/>
        <v>10000</v>
      </c>
      <c r="X109" s="258">
        <f>IF(B109="","",IF(S109&lt;&gt;"","",IF(AND(Z109&lt;&gt;"",AA109&lt;&gt;""),SUM(Z109:AA109),IF(AB109&lt;&gt;"",(I109/((1/((G109+2)/100*K109/1000))*0.9144)/IF(H109="黑丝",22,20)-AB109)*(IF(H109="黑丝",22,20)),I109/((1/((G109+2)/100*K109/1000))*0.9144)))))</f>
        <v>892.38845144356958</v>
      </c>
      <c r="Y109" s="36">
        <f>IF(OR(B109="",D109&lt;&gt;""),"",IF(S109&lt;&gt;"","",I109/((1/((G109+2)/100*K109/1000))*0.9144)/IF(H109="黑丝",22,20)-AB109))</f>
        <v>44.619422572178479</v>
      </c>
      <c r="Z109" s="340" t="str">
        <f>IF(AND(C109&gt;0,D109&lt;&gt;"",S109=""),VLOOKUP(A109&amp;IF(H109="黑丝","黑","白")&amp;E109,经纬!A:M,13,FALSE)*(I109-AB109),"")</f>
        <v/>
      </c>
      <c r="AA109" s="340" t="str">
        <f>IF(AND(C109&gt;0,D109&lt;&gt;"",S109=""),VLOOKUP(A109&amp;IF(H109="黑丝","黑","白")&amp;E109,经纬!A:N,14,FALSE)*(I109-AB109),"")</f>
        <v/>
      </c>
      <c r="AE109" s="250" t="str">
        <f>IF(COUNTIF(A$2:A109,A109)=1,M109,LOOKUP(1,0/(A$1:A108=A109),AE$1:AE108)&amp;" "&amp;M109)</f>
        <v>A94 A94 A94 A94</v>
      </c>
    </row>
    <row r="110" spans="1:31" outlineLevel="1">
      <c r="A110" s="233" t="s">
        <v>2251</v>
      </c>
      <c r="B110" s="24" t="str">
        <f>IF(A110="","",IF(LEFT(A110)&gt;"9",VLOOKUP(A110,yuanjidaimachichun,2,FALSE),VLOOKUP(A110,经纬!B:C,2,FALSE)))</f>
        <v>A50-30-28</v>
      </c>
      <c r="C110" s="8" t="str">
        <f>IF(A110="","",IF(ISERROR(FIND("*",B110)),MID(B110,2,FIND("-",B110)-2),LEFT(B110,FIND("*",B110)-1)))</f>
        <v>50</v>
      </c>
      <c r="D110" s="8" t="str">
        <f>IF(ISERROR(FIND("*",B110)),"",RIGHT(B110,LEN(B110)-FIND("*",B110)))</f>
        <v/>
      </c>
      <c r="E110" s="89" t="s">
        <v>2230</v>
      </c>
      <c r="F110" s="89" t="s">
        <v>2612</v>
      </c>
      <c r="G110" s="8">
        <v>158</v>
      </c>
      <c r="H110" s="8" t="s">
        <v>2255</v>
      </c>
      <c r="I110" s="8">
        <v>30000</v>
      </c>
      <c r="J110" s="8">
        <v>35</v>
      </c>
      <c r="K110" s="8">
        <v>33</v>
      </c>
      <c r="L110" s="8" t="s">
        <v>2290</v>
      </c>
      <c r="M110" s="24" t="str">
        <f t="array" ref="M110">LEFT(L110,MIN(FIND({"A","B","C"},MID(L110,2,LEN(L110))&amp;"ABC")))</f>
        <v>A94</v>
      </c>
      <c r="N110" s="24" t="str">
        <f t="array" ref="N110">SUBSTITUTE(L110,M110,"")</f>
        <v>B552</v>
      </c>
      <c r="O110" s="23">
        <v>43763</v>
      </c>
      <c r="T110" s="264">
        <f>IF(AND(C110&gt;0,D110=""),SUMIFS(yj!I:I,yj!B:B,plan!A110,yj!G:G,"&gt;="&amp;Q110,yj!G:G,"&lt;="&amp;S110),"")</f>
        <v>0</v>
      </c>
      <c r="U110" s="264">
        <f>SUMIFS(四面弹库存!F:F,四面弹库存!B:B,plan!A110,四面弹库存!O:O,IF(H110&lt;&gt;"黑丝","白","黑"))</f>
        <v>26</v>
      </c>
      <c r="V110" s="264"/>
      <c r="W110" s="369">
        <f t="shared" si="1"/>
        <v>18569.999999999996</v>
      </c>
      <c r="X110" s="258">
        <f>IF(B110="","",IF(S110&lt;&gt;"","",IF(AND(Z110&lt;&gt;"",AA110&lt;&gt;""),SUM(Z110:AA110),IF(AB110&lt;&gt;"",(I110/((1/((G110+2)/100*K110/1000))*0.9144)/IF(H110="黑丝",22,20)-AB110)*(IF(H110="黑丝",22,20)),I110/((1/((G110+2)/100*K110/1000))*0.9144)))))</f>
        <v>1072.2834645669291</v>
      </c>
      <c r="Y110" s="36">
        <f>IF(OR(B110="",D110&lt;&gt;""),"",IF(S110&lt;&gt;"","",I110/((1/((G110+2)/100*K110/1000))*0.9144)/IF(H110="黑丝",22,20)-AB110))</f>
        <v>48.740157480314963</v>
      </c>
      <c r="Z110" s="340" t="str">
        <f>IF(AND(C110&gt;0,D110&lt;&gt;"",S110=""),VLOOKUP(A110&amp;IF(H110="黑丝","黑","白")&amp;E110,经纬!A:M,13,FALSE)*(I110-AB110),"")</f>
        <v/>
      </c>
      <c r="AA110" s="340" t="str">
        <f>IF(AND(C110&gt;0,D110&lt;&gt;"",S110=""),VLOOKUP(A110&amp;IF(H110="黑丝","黑","白")&amp;E110,经纬!A:N,14,FALSE)*(I110-AB110),"")</f>
        <v/>
      </c>
      <c r="AB110" s="8">
        <v>30</v>
      </c>
      <c r="AC110" s="4" t="s">
        <v>2759</v>
      </c>
      <c r="AE110" s="250" t="str">
        <f>IF(COUNTIF(A$2:A110,A110)=1,M110,LOOKUP(1,0/(A$1:A109=A110),AE$1:AE109)&amp;" "&amp;M110)</f>
        <v>XSD A21 A12 A10 A70 A10 A90 A45 A45 A10 A94</v>
      </c>
    </row>
    <row r="111" spans="1:31" outlineLevel="1">
      <c r="A111" s="233" t="s">
        <v>1665</v>
      </c>
      <c r="B111" s="24" t="str">
        <f>IF(A111="","",IF(LEFT(A111)&gt;"9",VLOOKUP(A111,yuanjidaimachichun,2,FALSE),VLOOKUP(A111,经纬!B:C,2,FALSE)))</f>
        <v>A75-30-28</v>
      </c>
      <c r="C111" s="8" t="str">
        <f>IF(A111="","",IF(ISERROR(FIND("*",B111)),MID(B111,2,FIND("-",B111)-2),LEFT(B111,FIND("*",B111)-1)))</f>
        <v>75</v>
      </c>
      <c r="D111" s="8" t="str">
        <f>IF(ISERROR(FIND("*",B111)),"",RIGHT(B111,LEN(B111)-FIND("*",B111)))</f>
        <v/>
      </c>
      <c r="E111" s="89" t="s">
        <v>2288</v>
      </c>
      <c r="G111" s="8">
        <v>158</v>
      </c>
      <c r="H111" s="8" t="s">
        <v>1499</v>
      </c>
      <c r="I111" s="8">
        <v>20000</v>
      </c>
      <c r="J111" s="8">
        <v>48</v>
      </c>
      <c r="K111" s="8">
        <v>51</v>
      </c>
      <c r="L111" s="8" t="s">
        <v>2297</v>
      </c>
      <c r="M111" s="24" t="str">
        <f t="array" ref="M111">LEFT(L111,MIN(FIND({"A","B","C"},MID(L111,2,LEN(L111))&amp;"ABC")))</f>
        <v>A94</v>
      </c>
      <c r="N111" s="24" t="str">
        <f t="array" ref="N111">SUBSTITUTE(L111,M111,"")</f>
        <v>B516</v>
      </c>
      <c r="O111" s="23">
        <v>43748</v>
      </c>
      <c r="Q111" s="389">
        <v>43747</v>
      </c>
      <c r="S111" s="23">
        <v>43763</v>
      </c>
      <c r="T111" s="264">
        <f>IF(AND(C111&gt;0,D111=""),SUMIFS(yj!I:I,yj!B:B,plan!A111,yj!G:G,"&gt;="&amp;Q111,yj!G:G,"&lt;="&amp;S111),"")</f>
        <v>117</v>
      </c>
      <c r="U111" s="264">
        <f>SUMIFS(四面弹库存!F:F,四面弹库存!B:B,plan!A111,四面弹库存!O:O,IF(H111&lt;&gt;"黑丝","白","黑"))</f>
        <v>28</v>
      </c>
      <c r="V111" s="264"/>
      <c r="W111" s="369" t="str">
        <f t="shared" si="1"/>
        <v/>
      </c>
      <c r="X111" s="258" t="str">
        <f>IF(B111="","",IF(S111&lt;&gt;"","",IF(AND(Z111&lt;&gt;"",AA111&lt;&gt;""),SUM(Z111:AA111),IF(AB111&lt;&gt;"",(I111/((1/((G111+2)/100*K111/1000))*0.9144)/IF(H111="黑丝",22,20)-AB111)*(IF(H111="黑丝",22,20)),I111/((1/((G111+2)/100*K111/1000))*0.9144)))))</f>
        <v/>
      </c>
      <c r="Y111" s="36" t="str">
        <f>IF(OR(B111="",D111&lt;&gt;""),"",IF(S111&lt;&gt;"","",I111/((1/((G111+2)/100*K111/1000))*0.9144)/IF(H111="黑丝",22,20)-AB111))</f>
        <v/>
      </c>
      <c r="Z111" s="340" t="str">
        <f>IF(AND(C111&gt;0,D111&lt;&gt;"",S111=""),VLOOKUP(A111&amp;IF(H111="黑丝","黑","白")&amp;E111,经纬!A:M,13,FALSE)*(I111-AB111),"")</f>
        <v/>
      </c>
      <c r="AA111" s="340" t="str">
        <f>IF(AND(C111&gt;0,D111&lt;&gt;"",S111=""),VLOOKUP(A111&amp;IF(H111="黑丝","黑","白")&amp;E111,经纬!A:N,14,FALSE)*(I111-AB111),"")</f>
        <v/>
      </c>
      <c r="AC111" s="8"/>
      <c r="AD111" s="8"/>
      <c r="AE111" s="250" t="str">
        <f>IF(COUNTIF(A$2:A111,A111)=1,M111,LOOKUP(1,0/(A$1:A110=A111),AE$1:AE110)&amp;" "&amp;M111)</f>
        <v>A94 A94 A94 A94 A94</v>
      </c>
    </row>
    <row r="112" spans="1:31" outlineLevel="1">
      <c r="A112" s="233" t="s">
        <v>1665</v>
      </c>
      <c r="B112" s="24" t="str">
        <f>IF(A112="","",IF(LEFT(A112)&gt;"9",VLOOKUP(A112,yuanjidaimachichun,2,FALSE),VLOOKUP(A112,经纬!B:C,2,FALSE)))</f>
        <v>A75-30-28</v>
      </c>
      <c r="C112" s="8" t="str">
        <f>IF(A112="","",IF(ISERROR(FIND("*",B112)),MID(B112,2,FIND("-",B112)-2),LEFT(B112,FIND("*",B112)-1)))</f>
        <v>75</v>
      </c>
      <c r="D112" s="8" t="str">
        <f>IF(ISERROR(FIND("*",B112)),"",RIGHT(B112,LEN(B112)-FIND("*",B112)))</f>
        <v/>
      </c>
      <c r="E112" s="89" t="s">
        <v>2288</v>
      </c>
      <c r="G112" s="8">
        <v>158</v>
      </c>
      <c r="H112" s="8" t="s">
        <v>2261</v>
      </c>
      <c r="I112" s="8">
        <v>10000</v>
      </c>
      <c r="J112" s="8">
        <v>48</v>
      </c>
      <c r="K112" s="8">
        <v>51</v>
      </c>
      <c r="L112" s="8" t="s">
        <v>2297</v>
      </c>
      <c r="M112" s="24" t="str">
        <f t="array" ref="M112">LEFT(L112,MIN(FIND({"A","B","C"},MID(L112,2,LEN(L112))&amp;"ABC")))</f>
        <v>A94</v>
      </c>
      <c r="N112" s="24" t="str">
        <f t="array" ref="N112">SUBSTITUTE(L112,M112,"")</f>
        <v>B516</v>
      </c>
      <c r="O112" s="23">
        <v>43748</v>
      </c>
      <c r="Q112" s="389">
        <v>43747</v>
      </c>
      <c r="S112" s="23">
        <v>43763</v>
      </c>
      <c r="T112" s="264">
        <f>IF(AND(C112&gt;0,D112=""),SUMIFS(yj!I:I,yj!B:B,plan!A112,yj!G:G,"&gt;="&amp;Q112,yj!G:G,"&lt;="&amp;S112),"")</f>
        <v>117</v>
      </c>
      <c r="U112" s="264">
        <f>SUMIFS(四面弹库存!F:F,四面弹库存!B:B,plan!A112,四面弹库存!O:O,IF(H112&lt;&gt;"黑丝","白","黑"))</f>
        <v>28</v>
      </c>
      <c r="V112" s="264"/>
      <c r="W112" s="369" t="str">
        <f t="shared" si="1"/>
        <v/>
      </c>
      <c r="X112" s="258" t="str">
        <f>IF(B112="","",IF(S112&lt;&gt;"","",IF(AND(Z112&lt;&gt;"",AA112&lt;&gt;""),SUM(Z112:AA112),IF(AB112&lt;&gt;"",(I112/((1/((G112+2)/100*K112/1000))*0.9144)/IF(H112="黑丝",22,20)-AB112)*(IF(H112="黑丝",22,20)),I112/((1/((G112+2)/100*K112/1000))*0.9144)))))</f>
        <v/>
      </c>
      <c r="Y112" s="36" t="str">
        <f>IF(OR(B112="",D112&lt;&gt;""),"",IF(S112&lt;&gt;"","",I112/((1/((G112+2)/100*K112/1000))*0.9144)/IF(H112="黑丝",22,20)-AB112))</f>
        <v/>
      </c>
      <c r="Z112" s="340" t="str">
        <f>IF(AND(C112&gt;0,D112&lt;&gt;"",S112=""),VLOOKUP(A112&amp;IF(H112="黑丝","黑","白")&amp;E112,经纬!A:M,13,FALSE)*(I112-AB112),"")</f>
        <v/>
      </c>
      <c r="AA112" s="340" t="str">
        <f>IF(AND(C112&gt;0,D112&lt;&gt;"",S112=""),VLOOKUP(A112&amp;IF(H112="黑丝","黑","白")&amp;E112,经纬!A:N,14,FALSE)*(I112-AB112),"")</f>
        <v/>
      </c>
      <c r="AC112" s="8"/>
      <c r="AD112" s="8"/>
      <c r="AE112" s="250" t="str">
        <f>IF(COUNTIF(A$2:A112,A112)=1,M112,LOOKUP(1,0/(A$1:A111=A112),AE$1:AE111)&amp;" "&amp;M112)</f>
        <v>A94 A94 A94 A94 A94 A94</v>
      </c>
    </row>
    <row r="113" spans="1:31" outlineLevel="1">
      <c r="A113" s="233" t="s">
        <v>2471</v>
      </c>
      <c r="B113" s="24" t="str">
        <f>IF(A113="","",IF(LEFT(A113)&gt;"9",VLOOKUP(A113,yuanjidaimachichun,2,FALSE),VLOOKUP(A113,经纬!B:C,2,FALSE)))</f>
        <v>B30-30-32</v>
      </c>
      <c r="C113" s="8" t="str">
        <f>IF(A113="","",IF(ISERROR(FIND("*",B113)),MID(B113,2,FIND("-",B113)-2),LEFT(B113,FIND("*",B113)-1)))</f>
        <v>30</v>
      </c>
      <c r="D113" s="8" t="str">
        <f>IF(ISERROR(FIND("*",B113)),"",RIGHT(B113,LEN(B113)-FIND("*",B113)))</f>
        <v/>
      </c>
      <c r="E113" s="89" t="s">
        <v>2298</v>
      </c>
      <c r="G113" s="8">
        <v>160</v>
      </c>
      <c r="H113" s="8" t="s">
        <v>1640</v>
      </c>
      <c r="I113" s="8">
        <v>10000</v>
      </c>
      <c r="J113" s="8">
        <v>23</v>
      </c>
      <c r="K113" s="8">
        <v>23</v>
      </c>
      <c r="L113" s="8" t="s">
        <v>2299</v>
      </c>
      <c r="M113" s="24" t="str">
        <f t="array" ref="M113">LEFT(L113,MIN(FIND({"A","B","C"},MID(L113,2,LEN(L113))&amp;"ABC")))</f>
        <v>A102</v>
      </c>
      <c r="N113" s="24" t="str">
        <f t="array" ref="N113">SUBSTITUTE(L113,M113,"")</f>
        <v>B553</v>
      </c>
      <c r="O113" s="23">
        <v>43763</v>
      </c>
      <c r="Q113" s="389">
        <v>43765</v>
      </c>
      <c r="S113" s="23">
        <v>43768</v>
      </c>
      <c r="T113" s="264">
        <f>IF(AND(C113&gt;0,D113=""),SUMIFS(yj!I:I,yj!B:B,plan!A113,yj!G:G,"&gt;="&amp;Q113,yj!G:G,"&lt;="&amp;S113),"")</f>
        <v>19</v>
      </c>
      <c r="U113" s="264">
        <f>SUMIFS(四面弹库存!F:F,四面弹库存!B:B,plan!A113,四面弹库存!O:O,IF(H113&lt;&gt;"黑丝","白","黑"))</f>
        <v>3</v>
      </c>
      <c r="V113" s="264"/>
      <c r="W113" s="369" t="str">
        <f t="shared" si="1"/>
        <v/>
      </c>
      <c r="X113" s="258" t="str">
        <f>IF(B113="","",IF(S113&lt;&gt;"","",IF(AND(Z113&lt;&gt;"",AA113&lt;&gt;""),SUM(Z113:AA113),IF(AB113&lt;&gt;"",(I113/((1/((G113+2)/100*K113/1000))*0.9144)/IF(H113="黑丝",22,20)-AB113)*(IF(H113="黑丝",22,20)),I113/((1/((G113+2)/100*K113/1000))*0.9144)))))</f>
        <v/>
      </c>
      <c r="Y113" s="36" t="str">
        <f>IF(OR(B113="",D113&lt;&gt;""),"",IF(S113&lt;&gt;"","",I113/((1/((G113+2)/100*K113/1000))*0.9144)/IF(H113="黑丝",22,20)-AB113))</f>
        <v/>
      </c>
      <c r="Z113" s="340" t="str">
        <f>IF(AND(C113&gt;0,D113&lt;&gt;"",S113=""),VLOOKUP(A113&amp;IF(H113="黑丝","黑","白")&amp;E113,经纬!A:M,13,FALSE)*(I113-AB113),"")</f>
        <v/>
      </c>
      <c r="AA113" s="340" t="str">
        <f>IF(AND(C113&gt;0,D113&lt;&gt;"",S113=""),VLOOKUP(A113&amp;IF(H113="黑丝","黑","白")&amp;E113,经纬!A:N,14,FALSE)*(I113-AB113),"")</f>
        <v/>
      </c>
      <c r="AB113" s="8">
        <v>22</v>
      </c>
      <c r="AC113" s="8" t="s">
        <v>2743</v>
      </c>
      <c r="AD113" s="8"/>
      <c r="AE113" s="250" t="str">
        <f>IF(COUNTIF(A$2:A113,A113)=1,M113,LOOKUP(1,0/(A$1:A112=A113),AE$1:AE112)&amp;" "&amp;M113)</f>
        <v>A102</v>
      </c>
    </row>
    <row r="114" spans="1:31" ht="12.75" customHeight="1" outlineLevel="1">
      <c r="A114" s="233" t="s">
        <v>2471</v>
      </c>
      <c r="B114" s="24" t="str">
        <f>IF(A114="","",IF(LEFT(A114)&gt;"9",VLOOKUP(A114,yuanjidaimachichun,2,FALSE),VLOOKUP(A114,经纬!B:C,2,FALSE)))</f>
        <v>B30-30-32</v>
      </c>
      <c r="C114" s="8" t="str">
        <f>IF(A114="","",IF(ISERROR(FIND("*",B114)),MID(B114,2,FIND("-",B114)-2),LEFT(B114,FIND("*",B114)-1)))</f>
        <v>30</v>
      </c>
      <c r="D114" s="8" t="str">
        <f>IF(ISERROR(FIND("*",B114)),"",RIGHT(B114,LEN(B114)-FIND("*",B114)))</f>
        <v/>
      </c>
      <c r="E114" s="89" t="s">
        <v>2298</v>
      </c>
      <c r="G114" s="8">
        <v>160</v>
      </c>
      <c r="H114" s="8" t="s">
        <v>1499</v>
      </c>
      <c r="I114" s="8">
        <v>10000</v>
      </c>
      <c r="J114" s="8">
        <v>23</v>
      </c>
      <c r="K114" s="8">
        <v>23</v>
      </c>
      <c r="L114" s="8" t="s">
        <v>2299</v>
      </c>
      <c r="M114" s="24" t="str">
        <f t="array" ref="M114">LEFT(L114,MIN(FIND({"A","B","C"},MID(L114,2,LEN(L114))&amp;"ABC")))</f>
        <v>A102</v>
      </c>
      <c r="N114" s="24" t="str">
        <f t="array" ref="N114">SUBSTITUTE(L114,M114,"")</f>
        <v>B553</v>
      </c>
      <c r="O114" s="23">
        <v>43763</v>
      </c>
      <c r="Q114" s="389">
        <v>43765</v>
      </c>
      <c r="S114" s="23">
        <v>43772</v>
      </c>
      <c r="T114" s="264">
        <f>IF(AND(C114&gt;0,D114=""),SUMIFS(yj!I:I,yj!B:B,plan!A114,yj!G:G,"&gt;="&amp;Q114,yj!G:G,"&lt;="&amp;S114),"")</f>
        <v>41</v>
      </c>
      <c r="U114" s="264">
        <f>SUMIFS(四面弹库存!F:F,四面弹库存!B:B,plan!A114,四面弹库存!O:O,IF(H114&lt;&gt;"黑丝","白","黑"))</f>
        <v>3</v>
      </c>
      <c r="V114" s="264"/>
      <c r="W114" s="369" t="str">
        <f t="shared" si="1"/>
        <v/>
      </c>
      <c r="X114" s="258" t="str">
        <f>IF(B114="","",IF(S114&lt;&gt;"","",IF(AND(Z114&lt;&gt;"",AA114&lt;&gt;""),SUM(Z114:AA114),IF(AB114&lt;&gt;"",(I114/((1/((G114+2)/100*K114/1000))*0.9144)/IF(H114="黑丝",22,20)-AB114)*(IF(H114="黑丝",22,20)),I114/((1/((G114+2)/100*K114/1000))*0.9144)))))</f>
        <v/>
      </c>
      <c r="Y114" s="36" t="str">
        <f>IF(OR(B114="",D114&lt;&gt;""),"",IF(S114&lt;&gt;"","",I114/((1/((G114+2)/100*K114/1000))*0.9144)/IF(H114="黑丝",22,20)-AB114))</f>
        <v/>
      </c>
      <c r="Z114" s="340" t="str">
        <f>IF(AND(C114&gt;0,D114&lt;&gt;"",S114=""),VLOOKUP(A114&amp;IF(H114="黑丝","黑","白")&amp;E114,经纬!A:M,13,FALSE)*(I114-AB114),"")</f>
        <v/>
      </c>
      <c r="AA114" s="340" t="str">
        <f>IF(AND(C114&gt;0,D114&lt;&gt;"",S114=""),VLOOKUP(A114&amp;IF(H114="黑丝","黑","白")&amp;E114,经纬!A:N,14,FALSE)*(I114-AB114),"")</f>
        <v/>
      </c>
      <c r="AB114" s="8">
        <f>2+22</f>
        <v>24</v>
      </c>
      <c r="AC114" s="8" t="s">
        <v>2791</v>
      </c>
      <c r="AD114" s="8"/>
      <c r="AE114" s="250" t="str">
        <f>IF(COUNTIF(A$2:A114,A114)=1,M114,LOOKUP(1,0/(A$1:A113=A114),AE$1:AE113)&amp;" "&amp;M114)</f>
        <v>A102 A102</v>
      </c>
    </row>
    <row r="115" spans="1:31" outlineLevel="1">
      <c r="A115" s="233" t="s">
        <v>2301</v>
      </c>
      <c r="B115" s="24" t="str">
        <f>IF(A115="","",IF(LEFT(A115)&gt;"9",VLOOKUP(A115,yuanjidaimachichun,2,FALSE),VLOOKUP(A115,经纬!B:C,2,FALSE)))</f>
        <v>75*150</v>
      </c>
      <c r="C115" s="8" t="str">
        <f>IF(A115="","",IF(ISERROR(FIND("*",B115)),MID(B115,2,FIND("-",B115)-2),LEFT(B115,FIND("*",B115)-1)))</f>
        <v>75</v>
      </c>
      <c r="D115" s="8" t="str">
        <f>IF(ISERROR(FIND("*",B115)),"",RIGHT(B115,LEN(B115)-FIND("*",B115)))</f>
        <v>150</v>
      </c>
      <c r="E115" s="89" t="s">
        <v>2444</v>
      </c>
      <c r="F115" s="89" t="s">
        <v>2611</v>
      </c>
      <c r="G115" s="8">
        <v>188</v>
      </c>
      <c r="H115" s="8" t="s">
        <v>2255</v>
      </c>
      <c r="I115" s="8">
        <v>20000</v>
      </c>
      <c r="J115" s="8">
        <v>54</v>
      </c>
      <c r="K115" s="8">
        <v>54</v>
      </c>
      <c r="L115" s="8" t="s">
        <v>2302</v>
      </c>
      <c r="M115" s="24" t="str">
        <f t="array" ref="M115">LEFT(L115,MIN(FIND({"A","B","C"},MID(L115,2,LEN(L115))&amp;"ABC")))</f>
        <v>A90</v>
      </c>
      <c r="N115" s="24" t="str">
        <f t="array" ref="N115">SUBSTITUTE(L115,M115,"")</f>
        <v>C404</v>
      </c>
      <c r="O115" s="23">
        <v>43763</v>
      </c>
      <c r="S115" s="23">
        <v>43770</v>
      </c>
      <c r="T115" s="264" t="str">
        <f>IF(AND(C115&gt;0,D115=""),SUMIFS(yj!I:I,yj!B:B,plan!A115,yj!G:G,"&gt;="&amp;Q115,yj!G:G,"&lt;="&amp;S115),"")</f>
        <v/>
      </c>
      <c r="U115" s="264">
        <f>SUMIFS(四面弹库存!F:F,四面弹库存!B:B,plan!A115,四面弹库存!O:O,IF(H115&lt;&gt;"黑丝","白","黑"))</f>
        <v>0</v>
      </c>
      <c r="V115" s="264"/>
      <c r="W115" s="369" t="str">
        <f t="shared" si="1"/>
        <v/>
      </c>
      <c r="X115" s="258" t="str">
        <f>IF(B115="","",IF(S115&lt;&gt;"","",IF(AND(Z115&lt;&gt;"",AA115&lt;&gt;""),SUM(Z115:AA115),IF(AB115&lt;&gt;"",(I115/((1/((G115+2)/100*K115/1000))*0.9144)/IF(H115="黑丝",22,20)-AB115)*(IF(H115="黑丝",22,20)),I115/((1/((G115+2)/100*K115/1000))*0.9144)))))</f>
        <v/>
      </c>
      <c r="Y115" s="36" t="str">
        <f>IF(OR(B115="",D115&lt;&gt;""),"",IF(S115&lt;&gt;"","",I115/((1/((G115+2)/100*K115/1000))*0.9144)/IF(H115="黑丝",22,20)-AB115))</f>
        <v/>
      </c>
      <c r="Z115" s="340" t="str">
        <f>IF(AND(C115&gt;0,D115&lt;&gt;"",S115=""),VLOOKUP(A115&amp;IF(H115="黑丝","黑","白")&amp;E115,经纬!A:M,13,FALSE)*(I115-AB115),"")</f>
        <v/>
      </c>
      <c r="AA115" s="340" t="str">
        <f>IF(AND(C115&gt;0,D115&lt;&gt;"",S115=""),VLOOKUP(A115&amp;IF(H115="黑丝","黑","白")&amp;E115,经纬!A:N,14,FALSE)*(I115-AB115),"")</f>
        <v/>
      </c>
      <c r="AB115" s="8">
        <v>25000</v>
      </c>
      <c r="AC115" s="8" t="s">
        <v>2709</v>
      </c>
      <c r="AD115" s="8"/>
      <c r="AE115" s="250" t="str">
        <f>IF(COUNTIF(A$2:A115,A115)=1,M115,LOOKUP(1,0/(A$1:A114=A115),AE$1:AE114)&amp;" "&amp;M115)</f>
        <v>A90 A90</v>
      </c>
    </row>
    <row r="116" spans="1:31" outlineLevel="1">
      <c r="A116" s="233" t="s">
        <v>2304</v>
      </c>
      <c r="B116" s="24" t="str">
        <f>IF(A116="","",IF(LEFT(A116)&gt;"9",VLOOKUP(A116,yuanjidaimachichun,2,FALSE),VLOOKUP(A116,经纬!B:C,2,FALSE)))</f>
        <v>A50-30-28</v>
      </c>
      <c r="C116" s="8" t="str">
        <f>IF(A116="","",IF(ISERROR(FIND("*",B116)),MID(B116,2,FIND("-",B116)-2),LEFT(B116,FIND("*",B116)-1)))</f>
        <v>50</v>
      </c>
      <c r="D116" s="8" t="str">
        <f>IF(ISERROR(FIND("*",B116)),"",RIGHT(B116,LEN(B116)-FIND("*",B116)))</f>
        <v/>
      </c>
      <c r="E116" s="89" t="s">
        <v>2298</v>
      </c>
      <c r="F116" s="89" t="s">
        <v>2611</v>
      </c>
      <c r="G116" s="8">
        <v>159</v>
      </c>
      <c r="H116" s="8" t="s">
        <v>1499</v>
      </c>
      <c r="I116" s="8">
        <v>10000</v>
      </c>
      <c r="J116" s="8">
        <v>38</v>
      </c>
      <c r="K116" s="8">
        <v>36</v>
      </c>
      <c r="L116" s="8" t="s">
        <v>2302</v>
      </c>
      <c r="M116" s="24" t="str">
        <f t="array" ref="M116">LEFT(L116,MIN(FIND({"A","B","C"},MID(L116,2,LEN(L116))&amp;"ABC")))</f>
        <v>A90</v>
      </c>
      <c r="N116" s="24" t="str">
        <f t="array" ref="N116">SUBSTITUTE(L116,M116,"")</f>
        <v>C404</v>
      </c>
      <c r="O116" s="23">
        <v>43763</v>
      </c>
      <c r="Q116" s="389">
        <v>43767</v>
      </c>
      <c r="T116" s="264">
        <f>IF(AND(C116&gt;0,D116=""),SUMIFS(yj!I:I,yj!B:B,plan!A116,yj!G:G,"&gt;="&amp;Q116,yj!G:G,"&lt;="&amp;S116),"")</f>
        <v>0</v>
      </c>
      <c r="U116" s="264">
        <f>SUMIFS(四面弹库存!F:F,四面弹库存!B:B,plan!A116,四面弹库存!O:O,IF(H116&lt;&gt;"黑丝","白","黑"))</f>
        <v>36</v>
      </c>
      <c r="V116" s="264"/>
      <c r="W116" s="369">
        <f t="shared" si="1"/>
        <v>10000</v>
      </c>
      <c r="X116" s="258">
        <f>IF(B116="","",IF(S116&lt;&gt;"","",IF(AND(Z116&lt;&gt;"",AA116&lt;&gt;""),SUM(Z116:AA116),IF(AB116&lt;&gt;"",(I116/((1/((G116+2)/100*K116/1000))*0.9144)/IF(H116="黑丝",22,20)-AB116)*(IF(H116="黑丝",22,20)),I116/((1/((G116+2)/100*K116/1000))*0.9144)))))</f>
        <v>633.85826771653547</v>
      </c>
      <c r="Y116" s="36">
        <f>IF(OR(B116="",D116&lt;&gt;""),"",IF(S116&lt;&gt;"","",I116/((1/((G116+2)/100*K116/1000))*0.9144)/IF(H116="黑丝",22,20)-AB116))</f>
        <v>31.692913385826774</v>
      </c>
      <c r="Z116" s="340" t="str">
        <f>IF(AND(C116&gt;0,D116&lt;&gt;"",S116=""),VLOOKUP(A116&amp;IF(H116="黑丝","黑","白")&amp;E116,经纬!A:M,13,FALSE)*(I116-AB116),"")</f>
        <v/>
      </c>
      <c r="AA116" s="340" t="str">
        <f>IF(AND(C116&gt;0,D116&lt;&gt;"",S116=""),VLOOKUP(A116&amp;IF(H116="黑丝","黑","白")&amp;E116,经纬!A:N,14,FALSE)*(I116-AB116),"")</f>
        <v/>
      </c>
      <c r="AE116" s="250" t="str">
        <f>IF(COUNTIF(A$2:A116,A116)=1,M116,LOOKUP(1,0/(A$1:A115=A116),AE$1:AE115)&amp;" "&amp;M116)</f>
        <v>A90</v>
      </c>
    </row>
    <row r="117" spans="1:31" outlineLevel="1">
      <c r="A117" s="233" t="s">
        <v>2295</v>
      </c>
      <c r="B117" s="24" t="str">
        <f>IF(A117="","",IF(LEFT(A117)&gt;"9",VLOOKUP(A117,yuanjidaimachichun,2,FALSE),VLOOKUP(A117,经纬!B:C,2,FALSE)))</f>
        <v>A50-30-28</v>
      </c>
      <c r="C117" s="8" t="str">
        <f>IF(A117="","",IF(ISERROR(FIND("*",B117)),MID(B117,2,FIND("-",B117)-2),LEFT(B117,FIND("*",B117)-1)))</f>
        <v>50</v>
      </c>
      <c r="D117" s="8" t="str">
        <f>IF(ISERROR(FIND("*",B117)),"",RIGHT(B117,LEN(B117)-FIND("*",B117)))</f>
        <v/>
      </c>
      <c r="E117" s="89" t="s">
        <v>2288</v>
      </c>
      <c r="G117" s="8">
        <v>158</v>
      </c>
      <c r="H117" s="8" t="s">
        <v>2231</v>
      </c>
      <c r="I117" s="8">
        <v>20000</v>
      </c>
      <c r="J117" s="8">
        <v>45</v>
      </c>
      <c r="K117" s="8">
        <v>49</v>
      </c>
      <c r="L117" s="8" t="s">
        <v>2305</v>
      </c>
      <c r="M117" s="24" t="str">
        <f t="array" ref="M117">LEFT(L117,MIN(FIND({"A","B","C"},MID(L117,2,LEN(L117))&amp;"ABC")))</f>
        <v>A88</v>
      </c>
      <c r="N117" s="24" t="str">
        <f t="array" ref="N117">SUBSTITUTE(L117,M117,"")</f>
        <v>C405</v>
      </c>
      <c r="O117" s="23">
        <v>43763</v>
      </c>
      <c r="S117" s="23">
        <v>43772</v>
      </c>
      <c r="T117" s="264">
        <f>IF(AND(C117&gt;0,D117=""),SUMIFS(yj!I:I,yj!B:B,plan!A117,yj!G:G,"&gt;="&amp;Q117,yj!G:G,"&lt;="&amp;S117),"")</f>
        <v>0</v>
      </c>
      <c r="U117" s="264">
        <f>SUMIFS(四面弹库存!F:F,四面弹库存!B:B,plan!A117,四面弹库存!O:O,IF(H117&lt;&gt;"黑丝","白","黑"))</f>
        <v>25</v>
      </c>
      <c r="V117" s="264"/>
      <c r="W117" s="369" t="str">
        <f t="shared" si="1"/>
        <v/>
      </c>
      <c r="X117" s="258" t="str">
        <f>IF(B117="","",IF(S117&lt;&gt;"","",IF(AND(Z117&lt;&gt;"",AA117&lt;&gt;""),SUM(Z117:AA117),IF(AB117&lt;&gt;"",(I117/((1/((G117+2)/100*K117/1000))*0.9144)/IF(H117="黑丝",22,20)-AB117)*(IF(H117="黑丝",22,20)),I117/((1/((G117+2)/100*K117/1000))*0.9144)))))</f>
        <v/>
      </c>
      <c r="Y117" s="36" t="str">
        <f>IF(OR(B117="",D117&lt;&gt;""),"",IF(S117&lt;&gt;"","",I117/((1/((G117+2)/100*K117/1000))*0.9144)/IF(H117="黑丝",22,20)-AB117))</f>
        <v/>
      </c>
      <c r="Z117" s="340" t="str">
        <f>IF(AND(C117&gt;0,D117&lt;&gt;"",S117=""),VLOOKUP(A117&amp;IF(H117="黑丝","黑","白")&amp;E117,经纬!A:M,13,FALSE)*(I117-AB117),"")</f>
        <v/>
      </c>
      <c r="AA117" s="340" t="str">
        <f>IF(AND(C117&gt;0,D117&lt;&gt;"",S117=""),VLOOKUP(A117&amp;IF(H117="黑丝","黑","白")&amp;E117,经纬!A:N,14,FALSE)*(I117-AB117),"")</f>
        <v/>
      </c>
      <c r="AB117" s="8">
        <v>84</v>
      </c>
      <c r="AC117" s="8" t="s">
        <v>2785</v>
      </c>
      <c r="AD117" s="8"/>
      <c r="AE117" s="250" t="str">
        <f>IF(COUNTIF(A$2:A117,A117)=1,M117,LOOKUP(1,0/(A$1:A116=A117),AE$1:AE116)&amp;" "&amp;M117)</f>
        <v>A88 A88 A88 A88</v>
      </c>
    </row>
    <row r="118" spans="1:31" outlineLevel="1">
      <c r="A118" s="233" t="s">
        <v>2295</v>
      </c>
      <c r="B118" s="24" t="str">
        <f>IF(A118="","",IF(LEFT(A118)&gt;"9",VLOOKUP(A118,yuanjidaimachichun,2,FALSE),VLOOKUP(A118,经纬!B:C,2,FALSE)))</f>
        <v>A50-30-28</v>
      </c>
      <c r="C118" s="8" t="str">
        <f>IF(A118="","",IF(ISERROR(FIND("*",B118)),MID(B118,2,FIND("-",B118)-2),LEFT(B118,FIND("*",B118)-1)))</f>
        <v>50</v>
      </c>
      <c r="D118" s="8" t="str">
        <f>IF(ISERROR(FIND("*",B118)),"",RIGHT(B118,LEN(B118)-FIND("*",B118)))</f>
        <v/>
      </c>
      <c r="E118" s="89" t="s">
        <v>2288</v>
      </c>
      <c r="G118" s="8">
        <v>158</v>
      </c>
      <c r="H118" s="8" t="s">
        <v>1499</v>
      </c>
      <c r="I118" s="8">
        <v>30000</v>
      </c>
      <c r="J118" s="8">
        <v>45</v>
      </c>
      <c r="K118" s="8">
        <v>49</v>
      </c>
      <c r="L118" s="8" t="s">
        <v>2305</v>
      </c>
      <c r="M118" s="24" t="str">
        <f t="array" ref="M118">LEFT(L118,MIN(FIND({"A","B","C"},MID(L118,2,LEN(L118))&amp;"ABC")))</f>
        <v>A88</v>
      </c>
      <c r="N118" s="24" t="str">
        <f t="array" ref="N118">SUBSTITUTE(L118,M118,"")</f>
        <v>C405</v>
      </c>
      <c r="O118" s="23">
        <v>43763</v>
      </c>
      <c r="S118" s="23">
        <v>43769</v>
      </c>
      <c r="T118" s="264">
        <f>IF(AND(C118&gt;0,D118=""),SUMIFS(yj!I:I,yj!B:B,plan!A118,yj!G:G,"&gt;="&amp;Q118,yj!G:G,"&lt;="&amp;S118),"")</f>
        <v>0</v>
      </c>
      <c r="U118" s="264">
        <f>SUMIFS(四面弹库存!F:F,四面弹库存!B:B,plan!A118,四面弹库存!O:O,IF(H118&lt;&gt;"黑丝","白","黑"))</f>
        <v>25</v>
      </c>
      <c r="V118" s="264"/>
      <c r="W118" s="369" t="str">
        <f t="shared" si="1"/>
        <v/>
      </c>
      <c r="X118" s="258" t="str">
        <f>IF(B118="","",IF(S118&lt;&gt;"","",IF(AND(Z118&lt;&gt;"",AA118&lt;&gt;""),SUM(Z118:AA118),IF(AB118&lt;&gt;"",(I118/((1/((G118+2)/100*K118/1000))*0.9144)/IF(H118="黑丝",22,20)-AB118)*(IF(H118="黑丝",22,20)),I118/((1/((G118+2)/100*K118/1000))*0.9144)))))</f>
        <v/>
      </c>
      <c r="Y118" s="36" t="str">
        <f>IF(OR(B118="",D118&lt;&gt;""),"",IF(S118&lt;&gt;"","",I118/((1/((G118+2)/100*K118/1000))*0.9144)/IF(H118="黑丝",22,20)-AB118))</f>
        <v/>
      </c>
      <c r="Z118" s="340" t="str">
        <f>IF(AND(C118&gt;0,D118&lt;&gt;"",S118=""),VLOOKUP(A118&amp;IF(H118="黑丝","黑","白")&amp;E118,经纬!A:M,13,FALSE)*(I118-AB118),"")</f>
        <v/>
      </c>
      <c r="AA118" s="340" t="str">
        <f>IF(AND(C118&gt;0,D118&lt;&gt;"",S118=""),VLOOKUP(A118&amp;IF(H118="黑丝","黑","白")&amp;E118,经纬!A:N,14,FALSE)*(I118-AB118),"")</f>
        <v/>
      </c>
      <c r="AB118" s="8">
        <v>120</v>
      </c>
      <c r="AC118" s="8" t="s">
        <v>2721</v>
      </c>
      <c r="AD118" s="8"/>
      <c r="AE118" s="250" t="str">
        <f>IF(COUNTIF(A$2:A118,A118)=1,M118,LOOKUP(1,0/(A$1:A117=A118),AE$1:AE117)&amp;" "&amp;M118)</f>
        <v>A88 A88 A88 A88 A88</v>
      </c>
    </row>
    <row r="119" spans="1:31" outlineLevel="1">
      <c r="A119" s="233" t="s">
        <v>2446</v>
      </c>
      <c r="B119" s="24" t="str">
        <f>IF(A119="","",IF(LEFT(A119)&gt;"9",VLOOKUP(A119,yuanjidaimachichun,2,FALSE),VLOOKUP(A119,经纬!B:C,2,FALSE)))</f>
        <v>75*75</v>
      </c>
      <c r="C119" s="8" t="str">
        <f>IF(A119="","",IF(ISERROR(FIND("*",B119)),MID(B119,2,FIND("-",B119)-2),LEFT(B119,FIND("*",B119)-1)))</f>
        <v>75</v>
      </c>
      <c r="D119" s="8" t="str">
        <f>IF(ISERROR(FIND("*",B119)),"",RIGHT(B119,LEN(B119)-FIND("*",B119)))</f>
        <v>75</v>
      </c>
      <c r="E119" s="89" t="s">
        <v>2453</v>
      </c>
      <c r="F119" s="89" t="s">
        <v>2617</v>
      </c>
      <c r="G119" s="8">
        <v>188</v>
      </c>
      <c r="H119" s="8" t="s">
        <v>2255</v>
      </c>
      <c r="I119" s="8">
        <v>30000</v>
      </c>
      <c r="J119" s="8">
        <v>43</v>
      </c>
      <c r="L119" s="8" t="s">
        <v>2454</v>
      </c>
      <c r="M119" s="24" t="str">
        <f t="array" ref="M119">LEFT(L119,MIN(FIND({"A","B","C"},MID(L119,2,LEN(L119))&amp;"ABC")))</f>
        <v>A70</v>
      </c>
      <c r="N119" s="24" t="str">
        <f t="array" ref="N119">SUBSTITUTE(L119,M119,"")</f>
        <v>C406</v>
      </c>
      <c r="O119" s="23">
        <v>43766</v>
      </c>
      <c r="T119" s="264" t="str">
        <f>IF(AND(C119&gt;0,D119=""),SUMIFS(yj!I:I,yj!B:B,plan!A119,yj!G:G,"&gt;="&amp;Q119,yj!G:G,"&lt;="&amp;S119),"")</f>
        <v/>
      </c>
      <c r="U119" s="264">
        <f>SUMIFS(四面弹库存!F:F,四面弹库存!B:B,plan!A119,四面弹库存!O:O,IF(H119&lt;&gt;"黑丝","白","黑"))</f>
        <v>0</v>
      </c>
      <c r="V119" s="264"/>
      <c r="W119" s="369">
        <f t="shared" si="1"/>
        <v>30000</v>
      </c>
      <c r="X119" s="258">
        <f>IF(B119="","",IF(S119&lt;&gt;"","",IF(AND(Z119&lt;&gt;"",AA119&lt;&gt;""),SUM(Z119:AA119),IF(AB119&lt;&gt;"",(I119/((1/((G119+2)/100*K119/1000))*0.9144)/IF(H119="黑丝",22,20)-AB119)*(IF(H119="黑丝",22,20)),I119/((1/((G119+2)/100*K119/1000))*0.9144)))))</f>
        <v>1819.0287401574801</v>
      </c>
      <c r="Y119" s="36" t="str">
        <f>IF(OR(B119="",D119&lt;&gt;""),"",IF(S119&lt;&gt;"","",I119/((1/((G119+2)/100*K119/1000))*0.9144)/IF(H119="黑丝",22,20)-AB119))</f>
        <v/>
      </c>
      <c r="Z119" s="340">
        <f>IF(AND(C119&gt;0,D119&lt;&gt;"",S119=""),VLOOKUP(A119&amp;IF(H119="黑丝","黑","白")&amp;E119,经纬!A:M,13,FALSE)*(I119-AB119),"")</f>
        <v>1030.1999999999998</v>
      </c>
      <c r="AA119" s="340">
        <f>IF(AND(C119&gt;0,D119&lt;&gt;"",S119=""),VLOOKUP(A119&amp;IF(H119="黑丝","黑","白")&amp;E119,经纬!A:N,14,FALSE)*(I119-AB119),"")</f>
        <v>788.82874015748018</v>
      </c>
      <c r="AC119" s="8"/>
      <c r="AD119" s="8"/>
      <c r="AE119" s="250" t="str">
        <f>IF(COUNTIF(A$2:A119,A119)=1,M119,LOOKUP(1,0/(A$1:A118=A119),AE$1:AE118)&amp;" "&amp;M119)</f>
        <v>A94 A94 A70</v>
      </c>
    </row>
    <row r="120" spans="1:31" outlineLevel="1">
      <c r="A120" s="233" t="s">
        <v>2251</v>
      </c>
      <c r="B120" s="24" t="str">
        <f>IF(A120="","",IF(LEFT(A120)&gt;"9",VLOOKUP(A120,yuanjidaimachichun,2,FALSE),VLOOKUP(A120,经纬!B:C,2,FALSE)))</f>
        <v>A50-30-28</v>
      </c>
      <c r="C120" s="8" t="str">
        <f>IF(A120="","",IF(ISERROR(FIND("*",B120)),MID(B120,2,FIND("-",B120)-2),LEFT(B120,FIND("*",B120)-1)))</f>
        <v>50</v>
      </c>
      <c r="D120" s="8" t="str">
        <f>IF(ISERROR(FIND("*",B120)),"",RIGHT(B120,LEN(B120)-FIND("*",B120)))</f>
        <v/>
      </c>
      <c r="E120" s="89" t="s">
        <v>2230</v>
      </c>
      <c r="F120" s="89" t="s">
        <v>2617</v>
      </c>
      <c r="G120" s="8">
        <v>156</v>
      </c>
      <c r="H120" s="8" t="s">
        <v>2255</v>
      </c>
      <c r="I120" s="8">
        <v>50000</v>
      </c>
      <c r="J120" s="8">
        <v>35</v>
      </c>
      <c r="K120" s="8">
        <v>33</v>
      </c>
      <c r="L120" s="8" t="s">
        <v>2454</v>
      </c>
      <c r="M120" s="24" t="str">
        <f t="array" ref="M120">LEFT(L120,MIN(FIND({"A","B","C"},MID(L120,2,LEN(L120))&amp;"ABC")))</f>
        <v>A70</v>
      </c>
      <c r="N120" s="24" t="str">
        <f t="array" ref="N120">SUBSTITUTE(L120,M120,"")</f>
        <v>C406</v>
      </c>
      <c r="O120" s="23">
        <v>43766</v>
      </c>
      <c r="T120" s="264">
        <f>IF(AND(C120&gt;0,D120=""),SUMIFS(yj!I:I,yj!B:B,plan!A120,yj!G:G,"&gt;="&amp;Q120,yj!G:G,"&lt;="&amp;S120),"")</f>
        <v>0</v>
      </c>
      <c r="U120" s="264">
        <f>SUMIFS(四面弹库存!F:F,四面弹库存!B:B,plan!A120,四面弹库存!O:O,IF(H120&lt;&gt;"黑丝","白","黑"))</f>
        <v>26</v>
      </c>
      <c r="V120" s="264"/>
      <c r="W120" s="369">
        <f t="shared" si="1"/>
        <v>41897.721518987339</v>
      </c>
      <c r="X120" s="258">
        <f>IF(B120="","",IF(S120&lt;&gt;"","",IF(AND(Z120&lt;&gt;"",AA120&lt;&gt;""),SUM(Z120:AA120),IF(AB120&lt;&gt;"",(I120/((1/((G120+2)/100*K120/1000))*0.9144)/IF(H120="黑丝",22,20)-AB120)*(IF(H120="黑丝",22,20)),I120/((1/((G120+2)/100*K120/1000))*0.9144)))))</f>
        <v>2389.049868766404</v>
      </c>
      <c r="Y120" s="36">
        <f>IF(OR(B120="",D120&lt;&gt;""),"",IF(S120&lt;&gt;"","",I120/((1/((G120+2)/100*K120/1000))*0.9144)/IF(H120="黑丝",22,20)-AB120))</f>
        <v>108.59317585301835</v>
      </c>
      <c r="Z120" s="340" t="str">
        <f>IF(AND(C120&gt;0,D120&lt;&gt;"",S120=""),VLOOKUP(A120&amp;IF(H120="黑丝","黑","白")&amp;E120,经纬!A:M,13,FALSE)*(I120-AB120),"")</f>
        <v/>
      </c>
      <c r="AA120" s="340" t="str">
        <f>IF(AND(C120&gt;0,D120&lt;&gt;"",S120=""),VLOOKUP(A120&amp;IF(H120="黑丝","黑","白")&amp;E120,经纬!A:N,14,FALSE)*(I120-AB120),"")</f>
        <v/>
      </c>
      <c r="AB120" s="8">
        <f>16+5</f>
        <v>21</v>
      </c>
      <c r="AC120" s="4" t="s">
        <v>2885</v>
      </c>
      <c r="AE120" s="250" t="str">
        <f>IF(COUNTIF(A$2:A120,A120)=1,M120,LOOKUP(1,0/(A$1:A119=A120),AE$1:AE119)&amp;" "&amp;M120)</f>
        <v>XSD A21 A12 A10 A70 A10 A90 A45 A45 A10 A94 A70</v>
      </c>
    </row>
    <row r="121" spans="1:31" outlineLevel="1">
      <c r="A121" s="233" t="s">
        <v>2247</v>
      </c>
      <c r="B121" s="24" t="str">
        <f>IF(A121="","",IF(LEFT(A121)&gt;"9",VLOOKUP(A121,yuanjidaimachichun,2,FALSE),VLOOKUP(A121,经纬!B:C,2,FALSE)))</f>
        <v>C50-26-28</v>
      </c>
      <c r="C121" s="8" t="str">
        <f>IF(A121="","",IF(ISERROR(FIND("*",B121)),MID(B121,2,FIND("-",B121)-2),LEFT(B121,FIND("*",B121)-1)))</f>
        <v>50</v>
      </c>
      <c r="D121" s="8" t="str">
        <f>IF(ISERROR(FIND("*",B121)),"",RIGHT(B121,LEN(B121)-FIND("*",B121)))</f>
        <v/>
      </c>
      <c r="E121" s="89" t="s">
        <v>2230</v>
      </c>
      <c r="F121" s="89" t="s">
        <v>2617</v>
      </c>
      <c r="G121" s="8">
        <v>156</v>
      </c>
      <c r="H121" s="8" t="s">
        <v>1499</v>
      </c>
      <c r="I121" s="8">
        <v>50000</v>
      </c>
      <c r="J121" s="8">
        <v>40</v>
      </c>
      <c r="K121" s="8">
        <v>33</v>
      </c>
      <c r="L121" s="8" t="s">
        <v>2454</v>
      </c>
      <c r="M121" s="24" t="str">
        <f t="array" ref="M121">LEFT(L121,MIN(FIND({"A","B","C"},MID(L121,2,LEN(L121))&amp;"ABC")))</f>
        <v>A70</v>
      </c>
      <c r="N121" s="24" t="str">
        <f t="array" ref="N121">SUBSTITUTE(L121,M121,"")</f>
        <v>C406</v>
      </c>
      <c r="O121" s="23">
        <v>43766</v>
      </c>
      <c r="Q121" s="389">
        <v>43762</v>
      </c>
      <c r="T121" s="264">
        <f>IF(AND(C121&gt;0,D121=""),SUMIFS(yj!I:I,yj!B:B,plan!A121,yj!G:G,"&gt;="&amp;Q121,yj!G:G,"&lt;="&amp;S121),"")</f>
        <v>0</v>
      </c>
      <c r="U121" s="264">
        <f>SUMIFS(四面弹库存!F:F,四面弹库存!B:B,plan!A121,四面弹库存!O:O,IF(H121&lt;&gt;"黑丝","白","黑"))</f>
        <v>194</v>
      </c>
      <c r="V121" s="264"/>
      <c r="W121" s="369">
        <f t="shared" si="1"/>
        <v>19835.673187571916</v>
      </c>
      <c r="X121" s="258">
        <f>IF(B121="","",IF(S121&lt;&gt;"","",IF(AND(Z121&lt;&gt;"",AA121&lt;&gt;""),SUM(Z121:AA121),IF(AB121&lt;&gt;"",(I121/((1/((G121+2)/100*K121/1000))*0.9144)/IF(H121="黑丝",22,20)-AB121)*(IF(H121="黑丝",22,20)),I121/((1/((G121+2)/100*K121/1000))*0.9144)))))</f>
        <v>1131.049868766404</v>
      </c>
      <c r="Y121" s="36">
        <f>IF(OR(B121="",D121&lt;&gt;""),"",IF(S121&lt;&gt;"","",I121/((1/((G121+2)/100*K121/1000))*0.9144)/IF(H121="黑丝",22,20)-AB121))</f>
        <v>56.552493438320198</v>
      </c>
      <c r="Z121" s="340" t="str">
        <f>IF(AND(C121&gt;0,D121&lt;&gt;"",S121=""),VLOOKUP(A121&amp;IF(H121="黑丝","黑","白")&amp;E121,经纬!A:M,13,FALSE)*(I121-AB121),"")</f>
        <v/>
      </c>
      <c r="AA121" s="340" t="str">
        <f>IF(AND(C121&gt;0,D121&lt;&gt;"",S121=""),VLOOKUP(A121&amp;IF(H121="黑丝","黑","白")&amp;E121,经纬!A:N,14,FALSE)*(I121-AB121),"")</f>
        <v/>
      </c>
      <c r="AB121" s="8">
        <v>86</v>
      </c>
      <c r="AC121" s="4" t="s">
        <v>2847</v>
      </c>
      <c r="AE121" s="250" t="str">
        <f>IF(COUNTIF(A$2:A121,A121)=1,M121,LOOKUP(1,0/(A$1:A120=A121),AE$1:AE120)&amp;" "&amp;M121)</f>
        <v>A70</v>
      </c>
    </row>
    <row r="122" spans="1:31" outlineLevel="1">
      <c r="A122" s="233" t="s">
        <v>2257</v>
      </c>
      <c r="B122" s="24" t="str">
        <f>IF(A122="","",IF(LEFT(A122)&gt;"9",VLOOKUP(A122,yuanjidaimachichun,2,FALSE),VLOOKUP(A122,经纬!B:C,2,FALSE)))</f>
        <v>A50-30-28</v>
      </c>
      <c r="C122" s="8" t="str">
        <f>IF(A122="","",IF(ISERROR(FIND("*",B122)),MID(B122,2,FIND("-",B122)-2),LEFT(B122,FIND("*",B122)-1)))</f>
        <v>50</v>
      </c>
      <c r="D122" s="8" t="str">
        <f>IF(ISERROR(FIND("*",B122)),"",RIGHT(B122,LEN(B122)-FIND("*",B122)))</f>
        <v/>
      </c>
      <c r="E122" s="89" t="s">
        <v>2230</v>
      </c>
      <c r="G122" s="8">
        <v>158</v>
      </c>
      <c r="H122" s="8" t="s">
        <v>2261</v>
      </c>
      <c r="I122" s="8">
        <v>30000</v>
      </c>
      <c r="J122" s="8">
        <v>32</v>
      </c>
      <c r="K122" s="8">
        <v>33.5</v>
      </c>
      <c r="L122" s="8" t="s">
        <v>2474</v>
      </c>
      <c r="M122" s="24" t="str">
        <f t="array" ref="M122">LEFT(L122,MIN(FIND({"A","B","C"},MID(L122,2,LEN(L122))&amp;"ABC")))</f>
        <v>A102</v>
      </c>
      <c r="N122" s="24" t="str">
        <f t="array" ref="N122">SUBSTITUTE(L122,M122,"")</f>
        <v>B556</v>
      </c>
      <c r="O122" s="23">
        <v>43766</v>
      </c>
      <c r="S122" s="23">
        <v>43768</v>
      </c>
      <c r="T122" s="264">
        <f>IF(AND(C122&gt;0,D122=""),SUMIFS(yj!I:I,yj!B:B,plan!A122,yj!G:G,"&gt;="&amp;Q122,yj!G:G,"&lt;="&amp;S122),"")</f>
        <v>0</v>
      </c>
      <c r="U122" s="264">
        <f>SUMIFS(四面弹库存!F:F,四面弹库存!B:B,plan!A122,四面弹库存!O:O,IF(H122&lt;&gt;"黑丝","白","黑"))</f>
        <v>143</v>
      </c>
      <c r="V122" s="264"/>
      <c r="W122" s="369" t="str">
        <f t="shared" si="1"/>
        <v/>
      </c>
      <c r="X122" s="258" t="str">
        <f>IF(B122="","",IF(S122&lt;&gt;"","",IF(AND(Z122&lt;&gt;"",AA122&lt;&gt;""),SUM(Z122:AA122),IF(AB122&lt;&gt;"",(I122/((1/((G122+2)/100*K122/1000))*0.9144)/IF(H122="黑丝",22,20)-AB122)*(IF(H122="黑丝",22,20)),I122/((1/((G122+2)/100*K122/1000))*0.9144)))))</f>
        <v/>
      </c>
      <c r="Y122" s="36" t="str">
        <f>IF(OR(B122="",D122&lt;&gt;""),"",IF(S122&lt;&gt;"","",I122/((1/((G122+2)/100*K122/1000))*0.9144)/IF(H122="黑丝",22,20)-AB122))</f>
        <v/>
      </c>
      <c r="Z122" s="340" t="str">
        <f>IF(AND(C122&gt;0,D122&lt;&gt;"",S122=""),VLOOKUP(A122&amp;IF(H122="黑丝","黑","白")&amp;E122,经纬!A:M,13,FALSE)*(I122-AB122),"")</f>
        <v/>
      </c>
      <c r="AA122" s="340" t="str">
        <f>IF(AND(C122&gt;0,D122&lt;&gt;"",S122=""),VLOOKUP(A122&amp;IF(H122="黑丝","黑","白")&amp;E122,经纬!A:N,14,FALSE)*(I122-AB122),"")</f>
        <v/>
      </c>
      <c r="AB122" s="8">
        <v>84</v>
      </c>
      <c r="AC122" s="8" t="s">
        <v>2744</v>
      </c>
      <c r="AD122" s="8"/>
      <c r="AE122" s="250" t="str">
        <f>IF(COUNTIF(A$2:A122,A122)=1,M122,LOOKUP(1,0/(A$1:A121=A122),AE$1:AE121)&amp;" "&amp;M122)</f>
        <v>A21 A10 A102</v>
      </c>
    </row>
    <row r="123" spans="1:31" outlineLevel="1">
      <c r="A123" s="233" t="s">
        <v>2234</v>
      </c>
      <c r="B123" s="24" t="str">
        <f>IF(A123="","",IF(LEFT(A123)&gt;"9",VLOOKUP(A123,yuanjidaimachichun,2,FALSE),VLOOKUP(A123,经纬!B:C,2,FALSE)))</f>
        <v>A50-30-28</v>
      </c>
      <c r="C123" s="8" t="str">
        <f>IF(A123="","",IF(ISERROR(FIND("*",B123)),MID(B123,2,FIND("-",B123)-2),LEFT(B123,FIND("*",B123)-1)))</f>
        <v>50</v>
      </c>
      <c r="D123" s="8" t="str">
        <f>IF(ISERROR(FIND("*",B123)),"",RIGHT(B123,LEN(B123)-FIND("*",B123)))</f>
        <v/>
      </c>
      <c r="E123" s="89" t="s">
        <v>2230</v>
      </c>
      <c r="G123" s="8">
        <v>158</v>
      </c>
      <c r="H123" s="8" t="s">
        <v>1499</v>
      </c>
      <c r="I123" s="8">
        <v>40000</v>
      </c>
      <c r="J123" s="8">
        <v>35</v>
      </c>
      <c r="K123" s="8">
        <v>33</v>
      </c>
      <c r="L123" s="8" t="s">
        <v>2474</v>
      </c>
      <c r="M123" s="24" t="str">
        <f t="array" ref="M123">LEFT(L123,MIN(FIND({"A","B","C"},MID(L123,2,LEN(L123))&amp;"ABC")))</f>
        <v>A102</v>
      </c>
      <c r="N123" s="24" t="str">
        <f t="array" ref="N123">SUBSTITUTE(L123,M123,"")</f>
        <v>B556</v>
      </c>
      <c r="O123" s="23">
        <v>43766</v>
      </c>
      <c r="S123" s="23">
        <v>43771</v>
      </c>
      <c r="T123" s="264">
        <f>IF(AND(C123&gt;0,D123=""),SUMIFS(yj!I:I,yj!B:B,plan!A123,yj!G:G,"&gt;="&amp;Q123,yj!G:G,"&lt;="&amp;S123),"")</f>
        <v>0</v>
      </c>
      <c r="U123" s="264">
        <f>SUMIFS(四面弹库存!F:F,四面弹库存!B:B,plan!A123,四面弹库存!O:O,IF(H123&lt;&gt;"黑丝","白","黑"))</f>
        <v>172</v>
      </c>
      <c r="V123" s="264"/>
      <c r="W123" s="369" t="str">
        <f t="shared" si="1"/>
        <v/>
      </c>
      <c r="X123" s="258" t="str">
        <f>IF(B123="","",IF(S123&lt;&gt;"","",IF(AND(Z123&lt;&gt;"",AA123&lt;&gt;""),SUM(Z123:AA123),IF(AB123&lt;&gt;"",(I123/((1/((G123+2)/100*K123/1000))*0.9144)/IF(H123="黑丝",22,20)-AB123)*(IF(H123="黑丝",22,20)),I123/((1/((G123+2)/100*K123/1000))*0.9144)))))</f>
        <v/>
      </c>
      <c r="Y123" s="36" t="str">
        <f>IF(OR(B123="",D123&lt;&gt;""),"",IF(S123&lt;&gt;"","",I123/((1/((G123+2)/100*K123/1000))*0.9144)/IF(H123="黑丝",22,20)-AB123))</f>
        <v/>
      </c>
      <c r="Z123" s="340" t="str">
        <f>IF(AND(C123&gt;0,D123&lt;&gt;"",S123=""),VLOOKUP(A123&amp;IF(H123="黑丝","黑","白")&amp;E123,经纬!A:M,13,FALSE)*(I123-AB123),"")</f>
        <v/>
      </c>
      <c r="AA123" s="340" t="str">
        <f>IF(AND(C123&gt;0,D123&lt;&gt;"",S123=""),VLOOKUP(A123&amp;IF(H123="黑丝","黑","白")&amp;E123,经纬!A:N,14,FALSE)*(I123-AB123),"")</f>
        <v/>
      </c>
      <c r="AB123" s="8">
        <v>132</v>
      </c>
      <c r="AC123" s="8" t="s">
        <v>2764</v>
      </c>
      <c r="AD123" s="8"/>
      <c r="AE123" s="250" t="str">
        <f>IF(COUNTIF(A$2:A123,A123)=1,M123,LOOKUP(1,0/(A$1:A122=A123),AE$1:AE122)&amp;" "&amp;M123)</f>
        <v>XSD A21 A12 A10 A10 A90 A88 A88 A88 A90 A45 A45 A45 A10 A102</v>
      </c>
    </row>
    <row r="124" spans="1:31" outlineLevel="1">
      <c r="A124" s="233" t="s">
        <v>120</v>
      </c>
      <c r="B124" s="24" t="str">
        <f>IF(A124="","",IF(LEFT(A124)&gt;"9",VLOOKUP(A124,yuanjidaimachichun,2,FALSE),VLOOKUP(A124,经纬!B:C,2,FALSE)))</f>
        <v>B30-30-32</v>
      </c>
      <c r="C124" s="8" t="str">
        <f>IF(A124="","",IF(ISERROR(FIND("*",B124)),MID(B124,2,FIND("-",B124)-2),LEFT(B124,FIND("*",B124)-1)))</f>
        <v>30</v>
      </c>
      <c r="D124" s="8" t="str">
        <f>IF(ISERROR(FIND("*",B124)),"",RIGHT(B124,LEN(B124)-FIND("*",B124)))</f>
        <v/>
      </c>
      <c r="E124" s="89" t="s">
        <v>2477</v>
      </c>
      <c r="G124" s="8">
        <v>163</v>
      </c>
      <c r="H124" s="8" t="s">
        <v>1499</v>
      </c>
      <c r="I124" s="8">
        <v>3000</v>
      </c>
      <c r="J124" s="8">
        <v>29</v>
      </c>
      <c r="K124" s="8">
        <v>30</v>
      </c>
      <c r="L124" s="8" t="s">
        <v>2478</v>
      </c>
      <c r="M124" s="24" t="str">
        <f t="array" ref="M124">LEFT(L124,MIN(FIND({"A","B","C"},MID(L124,2,LEN(L124))&amp;"ABC")))</f>
        <v>A90</v>
      </c>
      <c r="N124" s="24" t="str">
        <f t="array" ref="N124">SUBSTITUTE(L124,M124,"")</f>
        <v>C407</v>
      </c>
      <c r="O124" s="23">
        <v>43766</v>
      </c>
      <c r="S124" s="23">
        <v>43774</v>
      </c>
      <c r="T124" s="264">
        <f>IF(AND(C124&gt;0,D124=""),SUMIFS(yj!I:I,yj!B:B,plan!A124,yj!G:G,"&gt;="&amp;Q124,yj!G:G,"&lt;="&amp;S124),"")</f>
        <v>0</v>
      </c>
      <c r="U124" s="264">
        <f>SUMIFS(四面弹库存!F:F,四面弹库存!B:B,plan!A124,四面弹库存!O:O,IF(H124&lt;&gt;"黑丝","白","黑"))</f>
        <v>5</v>
      </c>
      <c r="V124" s="264"/>
      <c r="W124" s="369" t="str">
        <f t="shared" si="1"/>
        <v/>
      </c>
      <c r="X124" s="258" t="str">
        <f>IF(B124="","",IF(S124&lt;&gt;"","",IF(AND(Z124&lt;&gt;"",AA124&lt;&gt;""),SUM(Z124:AA124),IF(AB124&lt;&gt;"",(I124/((1/((G124+2)/100*K124/1000))*0.9144)/IF(H124="黑丝",22,20)-AB124)*(IF(H124="黑丝",22,20)),I124/((1/((G124+2)/100*K124/1000))*0.9144)))))</f>
        <v/>
      </c>
      <c r="Y124" s="36" t="str">
        <f>IF(OR(B124="",D124&lt;&gt;""),"",IF(S124&lt;&gt;"","",I124/((1/((G124+2)/100*K124/1000))*0.9144)/IF(H124="黑丝",22,20)-AB124))</f>
        <v/>
      </c>
      <c r="Z124" s="340" t="str">
        <f>IF(AND(C124&gt;0,D124&lt;&gt;"",S124=""),VLOOKUP(A124&amp;IF(H124="黑丝","黑","白")&amp;E124,经纬!A:M,13,FALSE)*(I124-AB124),"")</f>
        <v/>
      </c>
      <c r="AA124" s="340" t="str">
        <f>IF(AND(C124&gt;0,D124&lt;&gt;"",S124=""),VLOOKUP(A124&amp;IF(H124="黑丝","黑","白")&amp;E124,经纬!A:N,14,FALSE)*(I124-AB124),"")</f>
        <v/>
      </c>
      <c r="AB124" s="8">
        <v>8</v>
      </c>
      <c r="AC124" s="8" t="s">
        <v>2978</v>
      </c>
      <c r="AD124" s="8"/>
      <c r="AE124" s="250" t="str">
        <f>IF(COUNTIF(A$2:A124,A124)=1,M124,LOOKUP(1,0/(A$1:A123=A124),AE$1:AE123)&amp;" "&amp;M124)</f>
        <v>A90</v>
      </c>
    </row>
    <row r="125" spans="1:31" outlineLevel="1">
      <c r="A125" s="233" t="s">
        <v>2295</v>
      </c>
      <c r="B125" s="24" t="str">
        <f>IF(A125="","",IF(LEFT(A125)&gt;"9",VLOOKUP(A125,yuanjidaimachichun,2,FALSE),VLOOKUP(A125,经纬!B:C,2,FALSE)))</f>
        <v>A50-30-28</v>
      </c>
      <c r="C125" s="8" t="str">
        <f>IF(A125="","",IF(ISERROR(FIND("*",B125)),MID(B125,2,FIND("-",B125)-2),LEFT(B125,FIND("*",B125)-1)))</f>
        <v>50</v>
      </c>
      <c r="D125" s="8" t="str">
        <f>IF(ISERROR(FIND("*",B125)),"",RIGHT(B125,LEN(B125)-FIND("*",B125)))</f>
        <v/>
      </c>
      <c r="E125" s="89" t="s">
        <v>2288</v>
      </c>
      <c r="G125" s="8">
        <v>160</v>
      </c>
      <c r="H125" s="8" t="s">
        <v>1499</v>
      </c>
      <c r="I125" s="8">
        <v>7600</v>
      </c>
      <c r="J125" s="8">
        <v>45</v>
      </c>
      <c r="K125" s="8">
        <v>49</v>
      </c>
      <c r="L125" s="8" t="s">
        <v>2505</v>
      </c>
      <c r="M125" s="24" t="str">
        <f t="array" ref="M125">LEFT(L125,MIN(FIND({"A","B","C"},MID(L125,2,LEN(L125))&amp;"ABC")))</f>
        <v>A90</v>
      </c>
      <c r="N125" s="24" t="str">
        <f t="array" ref="N125">SUBSTITUTE(L125,M125,"")</f>
        <v>C410</v>
      </c>
      <c r="O125" s="23">
        <v>43768</v>
      </c>
      <c r="S125" s="23">
        <v>43768</v>
      </c>
      <c r="T125" s="264">
        <f>IF(AND(C125&gt;0,D125=""),SUMIFS(yj!I:I,yj!B:B,plan!A125,yj!G:G,"&gt;="&amp;Q125,yj!G:G,"&lt;="&amp;S125),"")</f>
        <v>0</v>
      </c>
      <c r="U125" s="264">
        <f>SUMIFS(四面弹库存!F:F,四面弹库存!B:B,plan!A125,四面弹库存!O:O,IF(H125&lt;&gt;"黑丝","白","黑"))</f>
        <v>25</v>
      </c>
      <c r="V125" s="264"/>
      <c r="W125" s="369" t="str">
        <f t="shared" si="1"/>
        <v/>
      </c>
      <c r="X125" s="258" t="str">
        <f>IF(B125="","",IF(S125&lt;&gt;"","",IF(AND(Z125&lt;&gt;"",AA125&lt;&gt;""),SUM(Z125:AA125),IF(AB125&lt;&gt;"",(I125/((1/((G125+2)/100*K125/1000))*0.9144)/IF(H125="黑丝",22,20)-AB125)*(IF(H125="黑丝",22,20)),I125/((1/((G125+2)/100*K125/1000))*0.9144)))))</f>
        <v/>
      </c>
      <c r="Y125" s="36" t="str">
        <f>IF(OR(B125="",D125&lt;&gt;""),"",IF(S125&lt;&gt;"","",I125/((1/((G125+2)/100*K125/1000))*0.9144)/IF(H125="黑丝",22,20)-AB125))</f>
        <v/>
      </c>
      <c r="Z125" s="340" t="str">
        <f>IF(AND(C125&gt;0,D125&lt;&gt;"",S125=""),VLOOKUP(A125&amp;IF(H125="黑丝","黑","白")&amp;E125,经纬!A:M,13,FALSE)*(I125-AB125),"")</f>
        <v/>
      </c>
      <c r="AA125" s="340" t="str">
        <f>IF(AND(C125&gt;0,D125&lt;&gt;"",S125=""),VLOOKUP(A125&amp;IF(H125="黑丝","黑","白")&amp;E125,经纬!A:N,14,FALSE)*(I125-AB125),"")</f>
        <v/>
      </c>
      <c r="AB125" s="8">
        <v>36</v>
      </c>
      <c r="AC125" s="8" t="s">
        <v>2746</v>
      </c>
      <c r="AD125" s="8"/>
      <c r="AE125" s="250" t="str">
        <f>IF(COUNTIF(A$2:A125,A125)=1,M125,LOOKUP(1,0/(A$1:A124=A125),AE$1:AE124)&amp;" "&amp;M125)</f>
        <v>A88 A88 A88 A88 A88 A90</v>
      </c>
    </row>
    <row r="126" spans="1:31" outlineLevel="1">
      <c r="A126" s="233" t="s">
        <v>2295</v>
      </c>
      <c r="B126" s="24" t="str">
        <f>IF(A126="","",IF(LEFT(A126)&gt;"9",VLOOKUP(A126,yuanjidaimachichun,2,FALSE),VLOOKUP(A126,经纬!B:C,2,FALSE)))</f>
        <v>A50-30-28</v>
      </c>
      <c r="C126" s="8" t="str">
        <f>IF(A126="","",IF(ISERROR(FIND("*",B126)),MID(B126,2,FIND("-",B126)-2),LEFT(B126,FIND("*",B126)-1)))</f>
        <v>50</v>
      </c>
      <c r="D126" s="8" t="str">
        <f>IF(ISERROR(FIND("*",B126)),"",RIGHT(B126,LEN(B126)-FIND("*",B126)))</f>
        <v/>
      </c>
      <c r="E126" s="89" t="s">
        <v>2288</v>
      </c>
      <c r="G126" s="8">
        <v>160</v>
      </c>
      <c r="H126" s="8" t="s">
        <v>2558</v>
      </c>
      <c r="I126" s="8">
        <v>700</v>
      </c>
      <c r="J126" s="8">
        <v>45</v>
      </c>
      <c r="K126" s="8">
        <v>49</v>
      </c>
      <c r="L126" s="8" t="s">
        <v>2559</v>
      </c>
      <c r="M126" s="24" t="str">
        <f t="array" ref="M126">LEFT(L126,MIN(FIND({"A","B","C"},MID(L126,2,LEN(L126))&amp;"ABC")))</f>
        <v>A90</v>
      </c>
      <c r="N126" s="24" t="str">
        <f t="array" ref="N126">SUBSTITUTE(L126,M126,"")</f>
        <v>C414</v>
      </c>
      <c r="O126" s="23">
        <v>43769</v>
      </c>
      <c r="S126" s="23">
        <v>43769</v>
      </c>
      <c r="T126" s="264">
        <f>IF(AND(C126&gt;0,D126=""),SUMIFS(yj!I:I,yj!B:B,plan!A126,yj!G:G,"&gt;="&amp;Q126,yj!G:G,"&lt;="&amp;S126),"")</f>
        <v>0</v>
      </c>
      <c r="U126" s="264">
        <f>SUMIFS(四面弹库存!F:F,四面弹库存!B:B,plan!A126,四面弹库存!O:O,IF(H126&lt;&gt;"黑丝","白","黑"))</f>
        <v>25</v>
      </c>
      <c r="V126" s="264"/>
      <c r="W126" s="369" t="str">
        <f t="shared" si="1"/>
        <v/>
      </c>
      <c r="X126" s="258" t="str">
        <f>IF(B126="","",IF(S126&lt;&gt;"","",IF(AND(Z126&lt;&gt;"",AA126&lt;&gt;""),SUM(Z126:AA126),IF(AB126&lt;&gt;"",(I126/((1/((G126+2)/100*K126/1000))*0.9144)/IF(H126="黑丝",22,20)-AB126)*(IF(H126="黑丝",22,20)),I126/((1/((G126+2)/100*K126/1000))*0.9144)))))</f>
        <v/>
      </c>
      <c r="Y126" s="36" t="str">
        <f>IF(OR(B126="",D126&lt;&gt;""),"",IF(S126&lt;&gt;"","",I126/((1/((G126+2)/100*K126/1000))*0.9144)/IF(H126="黑丝",22,20)-AB126))</f>
        <v/>
      </c>
      <c r="Z126" s="340" t="str">
        <f>IF(AND(C126&gt;0,D126&lt;&gt;"",S126=""),VLOOKUP(A126&amp;IF(H126="黑丝","黑","白")&amp;E126,经纬!A:M,13,FALSE)*(I126-AB126),"")</f>
        <v/>
      </c>
      <c r="AA126" s="340" t="str">
        <f>IF(AND(C126&gt;0,D126&lt;&gt;"",S126=""),VLOOKUP(A126&amp;IF(H126="黑丝","黑","白")&amp;E126,经纬!A:N,14,FALSE)*(I126-AB126),"")</f>
        <v/>
      </c>
      <c r="AB126" s="8">
        <v>12</v>
      </c>
      <c r="AC126" s="8" t="s">
        <v>2724</v>
      </c>
      <c r="AD126" s="8"/>
      <c r="AE126" s="250" t="str">
        <f>IF(COUNTIF(A$2:A126,A126)=1,M126,LOOKUP(1,0/(A$1:A125=A126),AE$1:AE125)&amp;" "&amp;M126)</f>
        <v>A88 A88 A88 A88 A88 A90 A90</v>
      </c>
    </row>
    <row r="127" spans="1:31" outlineLevel="1">
      <c r="A127" s="233" t="s">
        <v>2560</v>
      </c>
      <c r="B127" s="24" t="str">
        <f>IF(A127="","",IF(LEFT(A127)&gt;"9",VLOOKUP(A127,yuanjidaimachichun,2,FALSE),VLOOKUP(A127,经纬!B:C,2,FALSE)))</f>
        <v>20*20</v>
      </c>
      <c r="C127" s="8" t="str">
        <f>IF(A127="","",IF(ISERROR(FIND("*",B127)),MID(B127,2,FIND("-",B127)-2),LEFT(B127,FIND("*",B127)-1)))</f>
        <v>20</v>
      </c>
      <c r="D127" s="8" t="str">
        <f>IF(ISERROR(FIND("*",B127)),"",RIGHT(B127,LEN(B127)-FIND("*",B127)))</f>
        <v>20</v>
      </c>
      <c r="E127" s="89" t="s">
        <v>2561</v>
      </c>
      <c r="G127" s="8">
        <v>197</v>
      </c>
      <c r="H127" s="8" t="s">
        <v>1499</v>
      </c>
      <c r="I127" s="8">
        <v>10700</v>
      </c>
      <c r="J127" s="8">
        <v>17</v>
      </c>
      <c r="K127" s="8">
        <v>18</v>
      </c>
      <c r="L127" s="8" t="s">
        <v>2563</v>
      </c>
      <c r="M127" s="24" t="str">
        <f t="array" ref="M127">LEFT(L127,MIN(FIND({"A","B","C"},MID(L127,2,LEN(L127))&amp;"ABC")))</f>
        <v>A12</v>
      </c>
      <c r="N127" s="24" t="str">
        <f t="array" ref="N127">SUBSTITUTE(L127,M127,"")</f>
        <v>B565</v>
      </c>
      <c r="O127" s="23">
        <v>43769</v>
      </c>
      <c r="S127" s="23">
        <v>43769</v>
      </c>
      <c r="T127" s="264" t="str">
        <f>IF(AND(C127&gt;0,D127=""),SUMIFS(yj!I:I,yj!B:B,plan!A127,yj!G:G,"&gt;="&amp;Q127,yj!G:G,"&lt;="&amp;S127),"")</f>
        <v/>
      </c>
      <c r="U127" s="264">
        <f>SUMIFS(四面弹库存!F:F,四面弹库存!B:B,plan!A127,四面弹库存!O:O,IF(H127&lt;&gt;"黑丝","白","黑"))</f>
        <v>0</v>
      </c>
      <c r="V127" s="264"/>
      <c r="W127" s="369" t="str">
        <f t="shared" si="1"/>
        <v/>
      </c>
      <c r="X127" s="258" t="str">
        <f>IF(B127="","",IF(S127&lt;&gt;"","",IF(AND(Z127&lt;&gt;"",AA127&lt;&gt;""),SUM(Z127:AA127),IF(AB127&lt;&gt;"",(I127/((1/((G127+2)/100*K127/1000))*0.9144)/IF(H127="黑丝",22,20)-AB127)*(IF(H127="黑丝",22,20)),I127/((1/((G127+2)/100*K127/1000))*0.9144)))))</f>
        <v/>
      </c>
      <c r="Y127" s="36" t="str">
        <f>IF(OR(B127="",D127&lt;&gt;""),"",IF(S127&lt;&gt;"","",I127/((1/((G127+2)/100*K127/1000))*0.9144)/IF(H127="黑丝",22,20)-AB127))</f>
        <v/>
      </c>
      <c r="Z127" s="340" t="str">
        <f>IF(AND(C127&gt;0,D127&lt;&gt;"",S127=""),VLOOKUP(A127&amp;IF(H127="黑丝","黑","白")&amp;E127,经纬!A:M,13,FALSE)*(I127-AB127),"")</f>
        <v/>
      </c>
      <c r="AA127" s="340" t="str">
        <f>IF(AND(C127&gt;0,D127&lt;&gt;"",S127=""),VLOOKUP(A127&amp;IF(H127="黑丝","黑","白")&amp;E127,经纬!A:N,14,FALSE)*(I127-AB127),"")</f>
        <v/>
      </c>
      <c r="AB127" s="8">
        <v>15000</v>
      </c>
      <c r="AC127" s="8" t="s">
        <v>2723</v>
      </c>
      <c r="AD127" s="8"/>
      <c r="AE127" s="250" t="str">
        <f>IF(COUNTIF(A$2:A127,A127)=1,M127,LOOKUP(1,0/(A$1:A126=A127),AE$1:AE126)&amp;" "&amp;M127)</f>
        <v>A12</v>
      </c>
    </row>
    <row r="128" spans="1:31" outlineLevel="1">
      <c r="A128" s="233" t="s">
        <v>2564</v>
      </c>
      <c r="B128" s="24" t="str">
        <f>IF(A128="","",IF(LEFT(A128)&gt;"9",VLOOKUP(A128,yuanjidaimachichun,2,FALSE),VLOOKUP(A128,经纬!B:C,2,FALSE)))</f>
        <v>A50-30-28</v>
      </c>
      <c r="C128" s="8" t="str">
        <f>IF(A128="","",IF(ISERROR(FIND("*",B128)),MID(B128,2,FIND("-",B128)-2),LEFT(B128,FIND("*",B128)-1)))</f>
        <v>50</v>
      </c>
      <c r="D128" s="8" t="str">
        <f>IF(ISERROR(FIND("*",B128)),"",RIGHT(B128,LEN(B128)-FIND("*",B128)))</f>
        <v/>
      </c>
      <c r="E128" s="89" t="s">
        <v>2230</v>
      </c>
      <c r="G128" s="8">
        <v>159</v>
      </c>
      <c r="H128" s="8" t="s">
        <v>2558</v>
      </c>
      <c r="I128" s="8">
        <v>15000</v>
      </c>
      <c r="J128" s="8">
        <v>35</v>
      </c>
      <c r="K128" s="8">
        <v>33</v>
      </c>
      <c r="L128" s="8" t="s">
        <v>2565</v>
      </c>
      <c r="M128" s="24" t="str">
        <f t="array" ref="M128">LEFT(L128,MIN(FIND({"A","B","C"},MID(L128,2,LEN(L128))&amp;"ABC")))</f>
        <v>XSD</v>
      </c>
      <c r="N128" s="24" t="str">
        <f t="array" ref="N128">SUBSTITUTE(L128,M128,"")</f>
        <v>C415</v>
      </c>
      <c r="O128" s="23">
        <v>43769</v>
      </c>
      <c r="S128" s="23">
        <v>43770</v>
      </c>
      <c r="T128" s="264">
        <f>IF(AND(C128&gt;0,D128=""),SUMIFS(yj!I:I,yj!B:B,plan!A128,yj!G:G,"&gt;="&amp;Q128,yj!G:G,"&lt;="&amp;S128),"")</f>
        <v>0</v>
      </c>
      <c r="U128" s="264">
        <f>SUMIFS(四面弹库存!F:F,四面弹库存!B:B,plan!A128,四面弹库存!O:O,IF(H128&lt;&gt;"黑丝","白","黑"))</f>
        <v>172</v>
      </c>
      <c r="V128" s="264"/>
      <c r="W128" s="369" t="str">
        <f t="shared" si="1"/>
        <v/>
      </c>
      <c r="X128" s="258" t="str">
        <f>IF(B128="","",IF(S128&lt;&gt;"","",IF(AND(Z128&lt;&gt;"",AA128&lt;&gt;""),SUM(Z128:AA128),IF(AB128&lt;&gt;"",(I128/((1/((G128+2)/100*K128/1000))*0.9144)/IF(H128="黑丝",22,20)-AB128)*(IF(H128="黑丝",22,20)),I128/((1/((G128+2)/100*K128/1000))*0.9144)))))</f>
        <v/>
      </c>
      <c r="Y128" s="36" t="str">
        <f>IF(OR(B128="",D128&lt;&gt;""),"",IF(S128&lt;&gt;"","",I128/((1/((G128+2)/100*K128/1000))*0.9144)/IF(H128="黑丝",22,20)-AB128))</f>
        <v/>
      </c>
      <c r="Z128" s="340" t="str">
        <f>IF(AND(C128&gt;0,D128&lt;&gt;"",S128=""),VLOOKUP(A128&amp;IF(H128="黑丝","黑","白")&amp;E128,经纬!A:M,13,FALSE)*(I128-AB128),"")</f>
        <v/>
      </c>
      <c r="AA128" s="340" t="str">
        <f>IF(AND(C128&gt;0,D128&lt;&gt;"",S128=""),VLOOKUP(A128&amp;IF(H128="黑丝","黑","白")&amp;E128,经纬!A:N,14,FALSE)*(I128-AB128),"")</f>
        <v/>
      </c>
      <c r="AB128" s="8">
        <v>52</v>
      </c>
      <c r="AC128" s="8" t="s">
        <v>2628</v>
      </c>
      <c r="AD128" s="8"/>
      <c r="AE128" s="250" t="str">
        <f>IF(COUNTIF(A$2:A128,A128)=1,M128,LOOKUP(1,0/(A$1:A127=A128),AE$1:AE127)&amp;" "&amp;M128)</f>
        <v>XSD A21 A12 A10 A10 A90 A88 A88 A88 A90 A45 A45 A45 A10 A102 XSD</v>
      </c>
    </row>
    <row r="129" spans="1:31" outlineLevel="1">
      <c r="A129" s="233" t="s">
        <v>2566</v>
      </c>
      <c r="B129" s="24" t="str">
        <f>IF(A129="","",IF(LEFT(A129)&gt;"9",VLOOKUP(A129,yuanjidaimachichun,2,FALSE),VLOOKUP(A129,经纬!B:C,2,FALSE)))</f>
        <v>30*30</v>
      </c>
      <c r="C129" s="8" t="str">
        <f>IF(A129="","",IF(ISERROR(FIND("*",B129)),MID(B129,2,FIND("-",B129)-2),LEFT(B129,FIND("*",B129)-1)))</f>
        <v>30</v>
      </c>
      <c r="D129" s="8" t="str">
        <f>IF(ISERROR(FIND("*",B129)),"",RIGHT(B129,LEN(B129)-FIND("*",B129)))</f>
        <v>30</v>
      </c>
      <c r="E129" s="89" t="s">
        <v>2561</v>
      </c>
      <c r="G129" s="8">
        <v>190</v>
      </c>
      <c r="H129" s="8" t="s">
        <v>1499</v>
      </c>
      <c r="I129" s="8">
        <v>20000</v>
      </c>
      <c r="J129" s="8">
        <v>23</v>
      </c>
      <c r="L129" s="8" t="s">
        <v>2567</v>
      </c>
      <c r="M129" s="24" t="str">
        <f t="array" ref="M129">LEFT(L129,MIN(FIND({"A","B","C"},MID(L129,2,LEN(L129))&amp;"ABC")))</f>
        <v>A254</v>
      </c>
      <c r="N129" s="24" t="str">
        <f t="array" ref="N129">SUBSTITUTE(L129,M129,"")</f>
        <v>B566</v>
      </c>
      <c r="O129" s="23">
        <v>43769</v>
      </c>
      <c r="S129" s="23">
        <v>43770</v>
      </c>
      <c r="T129" s="264" t="str">
        <f>IF(AND(C129&gt;0,D129=""),SUMIFS(yj!I:I,yj!B:B,plan!A129,yj!G:G,"&gt;="&amp;Q129,yj!G:G,"&lt;="&amp;S129),"")</f>
        <v/>
      </c>
      <c r="U129" s="264">
        <f>SUMIFS(四面弹库存!F:F,四面弹库存!B:B,plan!A129,四面弹库存!O:O,IF(H129&lt;&gt;"黑丝","白","黑"))</f>
        <v>0</v>
      </c>
      <c r="V129" s="264"/>
      <c r="W129" s="369" t="str">
        <f t="shared" si="1"/>
        <v/>
      </c>
      <c r="X129" s="258" t="str">
        <f>IF(B129="","",IF(S129&lt;&gt;"","",IF(AND(Z129&lt;&gt;"",AA129&lt;&gt;""),SUM(Z129:AA129),IF(AB129&lt;&gt;"",(I129/((1/((G129+2)/100*K129/1000))*0.9144)/IF(H129="黑丝",22,20)-AB129)*(IF(H129="黑丝",22,20)),I129/((1/((G129+2)/100*K129/1000))*0.9144)))))</f>
        <v/>
      </c>
      <c r="Y129" s="36" t="str">
        <f>IF(OR(B129="",D129&lt;&gt;""),"",IF(S129&lt;&gt;"","",I129/((1/((G129+2)/100*K129/1000))*0.9144)/IF(H129="黑丝",22,20)-AB129))</f>
        <v/>
      </c>
      <c r="Z129" s="340" t="str">
        <f>IF(AND(C129&gt;0,D129&lt;&gt;"",S129=""),VLOOKUP(A129&amp;IF(H129="黑丝","黑","白")&amp;E129,经纬!A:M,13,FALSE)*(I129-AB129),"")</f>
        <v/>
      </c>
      <c r="AA129" s="340" t="str">
        <f>IF(AND(C129&gt;0,D129&lt;&gt;"",S129=""),VLOOKUP(A129&amp;IF(H129="黑丝","黑","白")&amp;E129,经纬!A:N,14,FALSE)*(I129-AB129),"")</f>
        <v/>
      </c>
      <c r="AB129" s="8">
        <v>24000</v>
      </c>
      <c r="AC129" s="8"/>
      <c r="AD129" s="8"/>
      <c r="AE129" s="250" t="str">
        <f>IF(COUNTIF(A$2:A129,A129)=1,M129,LOOKUP(1,0/(A$1:A128=A129),AE$1:AE128)&amp;" "&amp;M129)</f>
        <v>A254</v>
      </c>
    </row>
    <row r="130" spans="1:31" outlineLevel="1">
      <c r="A130" s="233" t="s">
        <v>2566</v>
      </c>
      <c r="B130" s="24" t="str">
        <f>IF(A130="","",IF(LEFT(A130)&gt;"9",VLOOKUP(A130,yuanjidaimachichun,2,FALSE),VLOOKUP(A130,经纬!B:C,2,FALSE)))</f>
        <v>30*30</v>
      </c>
      <c r="C130" s="8" t="str">
        <f>IF(A130="","",IF(ISERROR(FIND("*",B130)),MID(B130,2,FIND("-",B130)-2),LEFT(B130,FIND("*",B130)-1)))</f>
        <v>30</v>
      </c>
      <c r="D130" s="8" t="str">
        <f>IF(ISERROR(FIND("*",B130)),"",RIGHT(B130,LEN(B130)-FIND("*",B130)))</f>
        <v>30</v>
      </c>
      <c r="E130" s="89" t="s">
        <v>2561</v>
      </c>
      <c r="G130" s="8">
        <v>190</v>
      </c>
      <c r="H130" s="8" t="s">
        <v>2569</v>
      </c>
      <c r="I130" s="8">
        <v>20000</v>
      </c>
      <c r="J130" s="8">
        <v>23</v>
      </c>
      <c r="L130" s="8" t="s">
        <v>2567</v>
      </c>
      <c r="M130" s="24" t="str">
        <f t="array" ref="M130">LEFT(L130,MIN(FIND({"A","B","C"},MID(L130,2,LEN(L130))&amp;"ABC")))</f>
        <v>A254</v>
      </c>
      <c r="N130" s="24" t="str">
        <f t="array" ref="N130">SUBSTITUTE(L130,M130,"")</f>
        <v>B566</v>
      </c>
      <c r="O130" s="23">
        <v>43769</v>
      </c>
      <c r="S130" s="23">
        <v>43770</v>
      </c>
      <c r="T130" s="264" t="str">
        <f>IF(AND(C130&gt;0,D130=""),SUMIFS(yj!I:I,yj!B:B,plan!A130,yj!G:G,"&gt;="&amp;Q130,yj!G:G,"&lt;="&amp;S130),"")</f>
        <v/>
      </c>
      <c r="U130" s="264">
        <f>SUMIFS(四面弹库存!F:F,四面弹库存!B:B,plan!A130,四面弹库存!O:O,IF(H130&lt;&gt;"黑丝","白","黑"))</f>
        <v>0</v>
      </c>
      <c r="V130" s="264"/>
      <c r="W130" s="369" t="str">
        <f t="shared" si="1"/>
        <v/>
      </c>
      <c r="X130" s="258" t="str">
        <f>IF(B130="","",IF(S130&lt;&gt;"","",IF(AND(Z130&lt;&gt;"",AA130&lt;&gt;""),SUM(Z130:AA130),IF(AB130&lt;&gt;"",(I130/((1/((G130+2)/100*K130/1000))*0.9144)/IF(H130="黑丝",22,20)-AB130)*(IF(H130="黑丝",22,20)),I130/((1/((G130+2)/100*K130/1000))*0.9144)))))</f>
        <v/>
      </c>
      <c r="Y130" s="36" t="str">
        <f>IF(OR(B130="",D130&lt;&gt;""),"",IF(S130&lt;&gt;"","",I130/((1/((G130+2)/100*K130/1000))*0.9144)/IF(H130="黑丝",22,20)-AB130))</f>
        <v/>
      </c>
      <c r="Z130" s="340" t="str">
        <f>IF(AND(C130&gt;0,D130&lt;&gt;"",S130=""),VLOOKUP(A130&amp;IF(H130="黑丝","黑","白")&amp;E130,经纬!A:M,13,FALSE)*(I130-AB130),"")</f>
        <v/>
      </c>
      <c r="AA130" s="340" t="str">
        <f>IF(AND(C130&gt;0,D130&lt;&gt;"",S130=""),VLOOKUP(A130&amp;IF(H130="黑丝","黑","白")&amp;E130,经纬!A:N,14,FALSE)*(I130-AB130),"")</f>
        <v/>
      </c>
      <c r="AB130" s="8">
        <v>24000</v>
      </c>
      <c r="AC130" s="8"/>
      <c r="AD130" s="8"/>
      <c r="AE130" s="250" t="str">
        <f>IF(COUNTIF(A$2:A130,A130)=1,M130,LOOKUP(1,0/(A$1:A129=A130),AE$1:AE129)&amp;" "&amp;M130)</f>
        <v>A254 A254</v>
      </c>
    </row>
    <row r="131" spans="1:31" outlineLevel="1">
      <c r="A131" s="233" t="s">
        <v>2564</v>
      </c>
      <c r="B131" s="24" t="str">
        <f>IF(A131="","",IF(LEFT(A131)&gt;"9",VLOOKUP(A131,yuanjidaimachichun,2,FALSE),VLOOKUP(A131,经纬!B:C,2,FALSE)))</f>
        <v>A50-30-28</v>
      </c>
      <c r="C131" s="8" t="str">
        <f>IF(A131="","",IF(ISERROR(FIND("*",B131)),MID(B131,2,FIND("-",B131)-2),LEFT(B131,FIND("*",B131)-1)))</f>
        <v>50</v>
      </c>
      <c r="D131" s="8" t="str">
        <f>IF(ISERROR(FIND("*",B131)),"",RIGHT(B131,LEN(B131)-FIND("*",B131)))</f>
        <v/>
      </c>
      <c r="E131" s="89" t="s">
        <v>2230</v>
      </c>
      <c r="F131" s="89" t="s">
        <v>2611</v>
      </c>
      <c r="G131" s="8">
        <v>158</v>
      </c>
      <c r="H131" s="8" t="s">
        <v>2569</v>
      </c>
      <c r="I131" s="8">
        <v>15000</v>
      </c>
      <c r="J131" s="8">
        <v>35</v>
      </c>
      <c r="K131" s="8">
        <v>36</v>
      </c>
      <c r="L131" s="8" t="s">
        <v>2572</v>
      </c>
      <c r="M131" s="24" t="str">
        <f t="array" ref="M131">LEFT(L131,MIN(FIND({"A","B","C"},MID(L131,2,LEN(L131))&amp;"ABC")))</f>
        <v>A23</v>
      </c>
      <c r="N131" s="24" t="str">
        <f t="array" ref="N131">SUBSTITUTE(L131,M131,"")</f>
        <v>B563</v>
      </c>
      <c r="O131" s="23">
        <v>43769</v>
      </c>
      <c r="T131" s="264">
        <f>IF(AND(C131&gt;0,D131=""),SUMIFS(yj!I:I,yj!B:B,plan!A131,yj!G:G,"&gt;="&amp;Q131,yj!G:G,"&lt;="&amp;S131),"")</f>
        <v>0</v>
      </c>
      <c r="U131" s="264">
        <f>SUMIFS(四面弹库存!F:F,四面弹库存!B:B,plan!A131,四面弹库存!O:O,IF(H131&lt;&gt;"黑丝","白","黑"))</f>
        <v>172</v>
      </c>
      <c r="V131" s="264"/>
      <c r="W131" s="369">
        <f t="shared" ref="W131:W194" si="6">IF(A131="","",IF(S131&lt;&gt;"","",IF(D131&lt;&gt;"",(I131-AB131),Y131*IF(H131="黑丝",22,20)*0.9144/((K131/1000)*((G131+2)/100)))))</f>
        <v>15000</v>
      </c>
      <c r="X131" s="258">
        <f>IF(B131="","",IF(S131&lt;&gt;"","",IF(AND(Z131&lt;&gt;"",AA131&lt;&gt;""),SUM(Z131:AA131),IF(AB131&lt;&gt;"",(I131/((1/((G131+2)/100*K131/1000))*0.9144)/IF(H131="黑丝",22,20)-AB131)*(IF(H131="黑丝",22,20)),I131/((1/((G131+2)/100*K131/1000))*0.9144)))))</f>
        <v>944.88188976377955</v>
      </c>
      <c r="Y131" s="36">
        <f>IF(OR(B131="",D131&lt;&gt;""),"",IF(S131&lt;&gt;"","",I131/((1/((G131+2)/100*K131/1000))*0.9144)/IF(H131="黑丝",22,20)-AB131))</f>
        <v>47.244094488188978</v>
      </c>
      <c r="Z131" s="340" t="str">
        <f>IF(AND(C131&gt;0,D131&lt;&gt;"",S131=""),VLOOKUP(A131&amp;IF(H131="黑丝","黑","白")&amp;E131,经纬!A:M,13,FALSE)*(I131-AB131),"")</f>
        <v/>
      </c>
      <c r="AA131" s="340" t="str">
        <f>IF(AND(C131&gt;0,D131&lt;&gt;"",S131=""),VLOOKUP(A131&amp;IF(H131="黑丝","黑","白")&amp;E131,经纬!A:N,14,FALSE)*(I131-AB131),"")</f>
        <v/>
      </c>
      <c r="AE131" s="250" t="str">
        <f>IF(COUNTIF(A$2:A131,A131)=1,M131,LOOKUP(1,0/(A$1:A130=A131),AE$1:AE130)&amp;" "&amp;M131)</f>
        <v>XSD A21 A12 A10 A10 A90 A88 A88 A88 A90 A45 A45 A45 A10 A102 XSD A23</v>
      </c>
    </row>
    <row r="132" spans="1:31" outlineLevel="1">
      <c r="A132" s="233" t="s">
        <v>2564</v>
      </c>
      <c r="B132" s="24" t="str">
        <f>IF(A132="","",IF(LEFT(A132)&gt;"9",VLOOKUP(A132,yuanjidaimachichun,2,FALSE),VLOOKUP(A132,经纬!B:C,2,FALSE)))</f>
        <v>A50-30-28</v>
      </c>
      <c r="C132" s="8" t="str">
        <f>IF(A132="","",IF(ISERROR(FIND("*",B132)),MID(B132,2,FIND("-",B132)-2),LEFT(B132,FIND("*",B132)-1)))</f>
        <v>50</v>
      </c>
      <c r="D132" s="8" t="str">
        <f>IF(ISERROR(FIND("*",B132)),"",RIGHT(B132,LEN(B132)-FIND("*",B132)))</f>
        <v/>
      </c>
      <c r="E132" s="89" t="s">
        <v>2230</v>
      </c>
      <c r="F132" s="89" t="s">
        <v>2611</v>
      </c>
      <c r="G132" s="8">
        <v>158</v>
      </c>
      <c r="H132" s="8" t="s">
        <v>1499</v>
      </c>
      <c r="I132" s="8">
        <v>20000</v>
      </c>
      <c r="J132" s="8">
        <v>35</v>
      </c>
      <c r="K132" s="8">
        <v>36</v>
      </c>
      <c r="L132" s="8" t="s">
        <v>2572</v>
      </c>
      <c r="M132" s="24" t="str">
        <f t="array" ref="M132">LEFT(L132,MIN(FIND({"A","B","C"},MID(L132,2,LEN(L132))&amp;"ABC")))</f>
        <v>A23</v>
      </c>
      <c r="N132" s="24" t="str">
        <f t="array" ref="N132">SUBSTITUTE(L132,M132,"")</f>
        <v>B563</v>
      </c>
      <c r="O132" s="23">
        <v>43769</v>
      </c>
      <c r="T132" s="264">
        <f>IF(AND(C132&gt;0,D132=""),SUMIFS(yj!I:I,yj!B:B,plan!A132,yj!G:G,"&gt;="&amp;Q132,yj!G:G,"&lt;="&amp;S132),"")</f>
        <v>0</v>
      </c>
      <c r="U132" s="264">
        <f>SUMIFS(四面弹库存!F:F,四面弹库存!B:B,plan!A132,四面弹库存!O:O,IF(H132&lt;&gt;"黑丝","白","黑"))</f>
        <v>172</v>
      </c>
      <c r="V132" s="264"/>
      <c r="W132" s="369">
        <f t="shared" si="6"/>
        <v>20000</v>
      </c>
      <c r="X132" s="258">
        <f>IF(B132="","",IF(S132&lt;&gt;"","",IF(AND(Z132&lt;&gt;"",AA132&lt;&gt;""),SUM(Z132:AA132),IF(AB132&lt;&gt;"",(I132/((1/((G132+2)/100*K132/1000))*0.9144)/IF(H132="黑丝",22,20)-AB132)*(IF(H132="黑丝",22,20)),I132/((1/((G132+2)/100*K132/1000))*0.9144)))))</f>
        <v>1259.8425196850394</v>
      </c>
      <c r="Y132" s="36">
        <f>IF(OR(B132="",D132&lt;&gt;""),"",IF(S132&lt;&gt;"","",I132/((1/((G132+2)/100*K132/1000))*0.9144)/IF(H132="黑丝",22,20)-AB132))</f>
        <v>62.99212598425197</v>
      </c>
      <c r="Z132" s="340" t="str">
        <f>IF(AND(C132&gt;0,D132&lt;&gt;"",S132=""),VLOOKUP(A132&amp;IF(H132="黑丝","黑","白")&amp;E132,经纬!A:M,13,FALSE)*(I132-AB132),"")</f>
        <v/>
      </c>
      <c r="AA132" s="340" t="str">
        <f>IF(AND(C132&gt;0,D132&lt;&gt;"",S132=""),VLOOKUP(A132&amp;IF(H132="黑丝","黑","白")&amp;E132,经纬!A:N,14,FALSE)*(I132-AB132),"")</f>
        <v/>
      </c>
      <c r="AE132" s="250" t="str">
        <f>IF(COUNTIF(A$2:A132,A132)=1,M132,LOOKUP(1,0/(A$1:A131=A132),AE$1:AE131)&amp;" "&amp;M132)</f>
        <v>XSD A21 A12 A10 A10 A90 A88 A88 A88 A90 A45 A45 A45 A10 A102 XSD A23 A23</v>
      </c>
    </row>
    <row r="133" spans="1:31" outlineLevel="1">
      <c r="A133" s="233" t="s">
        <v>2566</v>
      </c>
      <c r="B133" s="24" t="str">
        <f>IF(A133="","",IF(LEFT(A133)&gt;"9",VLOOKUP(A133,yuanjidaimachichun,2,FALSE),VLOOKUP(A133,经纬!B:C,2,FALSE)))</f>
        <v>30*30</v>
      </c>
      <c r="C133" s="8" t="str">
        <f>IF(A133="","",IF(ISERROR(FIND("*",B133)),MID(B133,2,FIND("-",B133)-2),LEFT(B133,FIND("*",B133)-1)))</f>
        <v>30</v>
      </c>
      <c r="D133" s="8" t="str">
        <f>IF(ISERROR(FIND("*",B133)),"",RIGHT(B133,LEN(B133)-FIND("*",B133)))</f>
        <v>30</v>
      </c>
      <c r="E133" s="89" t="s">
        <v>2561</v>
      </c>
      <c r="F133" s="89" t="s">
        <v>2611</v>
      </c>
      <c r="G133" s="8">
        <v>190</v>
      </c>
      <c r="H133" s="8" t="s">
        <v>2569</v>
      </c>
      <c r="I133" s="8">
        <v>10000</v>
      </c>
      <c r="J133" s="8">
        <v>23</v>
      </c>
      <c r="L133" s="8" t="s">
        <v>2572</v>
      </c>
      <c r="M133" s="24" t="str">
        <f t="array" ref="M133">LEFT(L133,MIN(FIND({"A","B","C"},MID(L133,2,LEN(L133))&amp;"ABC")))</f>
        <v>A23</v>
      </c>
      <c r="N133" s="24" t="str">
        <f t="array" ref="N133">SUBSTITUTE(L133,M133,"")</f>
        <v>B563</v>
      </c>
      <c r="O133" s="23">
        <v>43769</v>
      </c>
      <c r="T133" s="264" t="str">
        <f>IF(AND(C133&gt;0,D133=""),SUMIFS(yj!I:I,yj!B:B,plan!A133,yj!G:G,"&gt;="&amp;Q133,yj!G:G,"&lt;="&amp;S133),"")</f>
        <v/>
      </c>
      <c r="U133" s="264">
        <f>SUMIFS(四面弹库存!F:F,四面弹库存!B:B,plan!A133,四面弹库存!O:O,IF(H133&lt;&gt;"黑丝","白","黑"))</f>
        <v>0</v>
      </c>
      <c r="V133" s="264"/>
      <c r="W133" s="369">
        <f t="shared" si="6"/>
        <v>10000</v>
      </c>
      <c r="X133" s="258">
        <f>IF(B133="","",IF(S133&lt;&gt;"","",IF(AND(Z133&lt;&gt;"",AA133&lt;&gt;""),SUM(Z133:AA133),IF(AB133&lt;&gt;"",(I133/((1/((G133+2)/100*K133/1000))*0.9144)/IF(H133="黑丝",22,20)-AB133)*(IF(H133="黑丝",22,20)),I133/((1/((G133+2)/100*K133/1000))*0.9144)))))</f>
        <v>323.87330183727033</v>
      </c>
      <c r="Y133" s="36" t="str">
        <f>IF(OR(B133="",D133&lt;&gt;""),"",IF(S133&lt;&gt;"","",I133/((1/((G133+2)/100*K133/1000))*0.9144)/IF(H133="黑丝",22,20)-AB133))</f>
        <v/>
      </c>
      <c r="Z133" s="340">
        <f>IF(AND(C133&gt;0,D133&lt;&gt;"",S133=""),VLOOKUP(A133&amp;IF(H133="黑丝","黑","白")&amp;E133,经纬!A:M,13,FALSE)*(I133-AB133),"")</f>
        <v>181.28800000000001</v>
      </c>
      <c r="AA133" s="340">
        <f>IF(AND(C133&gt;0,D133&lt;&gt;"",S133=""),VLOOKUP(A133&amp;IF(H133="黑丝","黑","白")&amp;E133,经纬!A:N,14,FALSE)*(I133-AB133),"")</f>
        <v>142.58530183727035</v>
      </c>
      <c r="AC133" s="8"/>
      <c r="AD133" s="8"/>
      <c r="AE133" s="250" t="str">
        <f>IF(COUNTIF(A$2:A133,A133)=1,M133,LOOKUP(1,0/(A$1:A132=A133),AE$1:AE132)&amp;" "&amp;M133)</f>
        <v>A254 A254 A23</v>
      </c>
    </row>
    <row r="134" spans="1:31" outlineLevel="1">
      <c r="A134" s="233" t="s">
        <v>2566</v>
      </c>
      <c r="B134" s="24" t="str">
        <f>IF(A134="","",IF(LEFT(A134)&gt;"9",VLOOKUP(A134,yuanjidaimachichun,2,FALSE),VLOOKUP(A134,经纬!B:C,2,FALSE)))</f>
        <v>30*30</v>
      </c>
      <c r="C134" s="8" t="str">
        <f>IF(A134="","",IF(ISERROR(FIND("*",B134)),MID(B134,2,FIND("-",B134)-2),LEFT(B134,FIND("*",B134)-1)))</f>
        <v>30</v>
      </c>
      <c r="D134" s="8" t="str">
        <f>IF(ISERROR(FIND("*",B134)),"",RIGHT(B134,LEN(B134)-FIND("*",B134)))</f>
        <v>30</v>
      </c>
      <c r="E134" s="89" t="s">
        <v>2561</v>
      </c>
      <c r="F134" s="89" t="s">
        <v>2611</v>
      </c>
      <c r="G134" s="8">
        <v>190</v>
      </c>
      <c r="H134" s="8" t="s">
        <v>1499</v>
      </c>
      <c r="I134" s="8">
        <v>10000</v>
      </c>
      <c r="J134" s="8">
        <v>23</v>
      </c>
      <c r="L134" s="8" t="s">
        <v>2572</v>
      </c>
      <c r="M134" s="24" t="str">
        <f t="array" ref="M134">LEFT(L134,MIN(FIND({"A","B","C"},MID(L134,2,LEN(L134))&amp;"ABC")))</f>
        <v>A23</v>
      </c>
      <c r="N134" s="24" t="str">
        <f t="array" ref="N134">SUBSTITUTE(L134,M134,"")</f>
        <v>B563</v>
      </c>
      <c r="O134" s="23">
        <v>43769</v>
      </c>
      <c r="T134" s="264" t="str">
        <f>IF(AND(C134&gt;0,D134=""),SUMIFS(yj!I:I,yj!B:B,plan!A134,yj!G:G,"&gt;="&amp;Q134,yj!G:G,"&lt;="&amp;S134),"")</f>
        <v/>
      </c>
      <c r="U134" s="264">
        <f>SUMIFS(四面弹库存!F:F,四面弹库存!B:B,plan!A134,四面弹库存!O:O,IF(H134&lt;&gt;"黑丝","白","黑"))</f>
        <v>0</v>
      </c>
      <c r="V134" s="264"/>
      <c r="W134" s="369">
        <f t="shared" si="6"/>
        <v>10000</v>
      </c>
      <c r="X134" s="258">
        <f>IF(B134="","",IF(S134&lt;&gt;"","",IF(AND(Z134&lt;&gt;"",AA134&lt;&gt;""),SUM(Z134:AA134),IF(AB134&lt;&gt;"",(I134/((1/((G134+2)/100*K134/1000))*0.9144)/IF(H134="黑丝",22,20)-AB134)*(IF(H134="黑丝",22,20)),I134/((1/((G134+2)/100*K134/1000))*0.9144)))))</f>
        <v>323.87330183727033</v>
      </c>
      <c r="Y134" s="36" t="str">
        <f>IF(OR(B134="",D134&lt;&gt;""),"",IF(S134&lt;&gt;"","",I134/((1/((G134+2)/100*K134/1000))*0.9144)/IF(H134="黑丝",22,20)-AB134))</f>
        <v/>
      </c>
      <c r="Z134" s="340">
        <f>IF(AND(C134&gt;0,D134&lt;&gt;"",S134=""),VLOOKUP(A134&amp;IF(H134="黑丝","黑","白")&amp;E134,经纬!A:M,13,FALSE)*(I134-AB134),"")</f>
        <v>181.28800000000001</v>
      </c>
      <c r="AA134" s="340">
        <f>IF(AND(C134&gt;0,D134&lt;&gt;"",S134=""),VLOOKUP(A134&amp;IF(H134="黑丝","黑","白")&amp;E134,经纬!A:N,14,FALSE)*(I134-AB134),"")</f>
        <v>142.58530183727035</v>
      </c>
      <c r="AC134" s="8"/>
      <c r="AD134" s="8"/>
      <c r="AE134" s="250" t="str">
        <f>IF(COUNTIF(A$2:A134,A134)=1,M134,LOOKUP(1,0/(A$1:A133=A134),AE$1:AE133)&amp;" "&amp;M134)</f>
        <v>A254 A254 A23 A23</v>
      </c>
    </row>
    <row r="135" spans="1:31" outlineLevel="1">
      <c r="A135" s="233" t="s">
        <v>2578</v>
      </c>
      <c r="B135" s="24" t="str">
        <f>IF(A135="","",IF(LEFT(A135)&gt;"9",VLOOKUP(A135,yuanjidaimachichun,2,FALSE),VLOOKUP(A135,经纬!B:C,2,FALSE)))</f>
        <v>A50-30-28</v>
      </c>
      <c r="C135" s="8" t="str">
        <f>IF(A135="","",IF(ISERROR(FIND("*",B135)),MID(B135,2,FIND("-",B135)-2),LEFT(B135,FIND("*",B135)-1)))</f>
        <v>50</v>
      </c>
      <c r="D135" s="8" t="str">
        <f>IF(ISERROR(FIND("*",B135)),"",RIGHT(B135,LEN(B135)-FIND("*",B135)))</f>
        <v/>
      </c>
      <c r="E135" s="89" t="s">
        <v>2477</v>
      </c>
      <c r="F135" s="89" t="s">
        <v>2611</v>
      </c>
      <c r="G135" s="8">
        <v>158</v>
      </c>
      <c r="H135" s="8" t="s">
        <v>2569</v>
      </c>
      <c r="I135" s="8">
        <v>89000</v>
      </c>
      <c r="J135" s="8">
        <v>27</v>
      </c>
      <c r="K135" s="8">
        <v>33</v>
      </c>
      <c r="L135" s="8" t="s">
        <v>2572</v>
      </c>
      <c r="M135" s="24" t="str">
        <f t="array" ref="M135">LEFT(L135,MIN(FIND({"A","B","C"},MID(L135,2,LEN(L135))&amp;"ABC")))</f>
        <v>A23</v>
      </c>
      <c r="N135" s="24" t="str">
        <f t="array" ref="N135">SUBSTITUTE(L135,M135,"")</f>
        <v>B563</v>
      </c>
      <c r="O135" s="23">
        <v>43769</v>
      </c>
      <c r="Q135" s="389">
        <v>43770</v>
      </c>
      <c r="T135" s="264">
        <f>IF(AND(C135&gt;0,D135=""),SUMIFS(yj!I:I,yj!B:B,plan!A135,yj!G:G,"&gt;="&amp;Q135,yj!G:G,"&lt;="&amp;S135),"")</f>
        <v>0</v>
      </c>
      <c r="U135" s="264">
        <f>SUMIFS(四面弹库存!F:F,四面弹库存!B:B,plan!A135,四面弹库存!O:O,IF(H135&lt;&gt;"黑丝","白","黑"))</f>
        <v>90</v>
      </c>
      <c r="V135" s="264"/>
      <c r="W135" s="369">
        <f t="shared" si="6"/>
        <v>88999.999999999985</v>
      </c>
      <c r="X135" s="258">
        <f>IF(B135="","",IF(S135&lt;&gt;"","",IF(AND(Z135&lt;&gt;"",AA135&lt;&gt;""),SUM(Z135:AA135),IF(AB135&lt;&gt;"",(I135/((1/((G135+2)/100*K135/1000))*0.9144)/IF(H135="黑丝",22,20)-AB135)*(IF(H135="黑丝",22,20)),I135/((1/((G135+2)/100*K135/1000))*0.9144)))))</f>
        <v>5139.1076115485566</v>
      </c>
      <c r="Y135" s="36">
        <f>IF(OR(B135="",D135&lt;&gt;""),"",IF(S135&lt;&gt;"","",I135/((1/((G135+2)/100*K135/1000))*0.9144)/IF(H135="黑丝",22,20)-AB135))</f>
        <v>256.95538057742783</v>
      </c>
      <c r="Z135" s="340" t="str">
        <f>IF(AND(C135&gt;0,D135&lt;&gt;"",S135=""),VLOOKUP(A135&amp;IF(H135="黑丝","黑","白")&amp;E135,经纬!A:M,13,FALSE)*(I135-AB135),"")</f>
        <v/>
      </c>
      <c r="AA135" s="340" t="str">
        <f>IF(AND(C135&gt;0,D135&lt;&gt;"",S135=""),VLOOKUP(A135&amp;IF(H135="黑丝","黑","白")&amp;E135,经纬!A:N,14,FALSE)*(I135-AB135),"")</f>
        <v/>
      </c>
      <c r="AE135" s="250" t="str">
        <f>IF(COUNTIF(A$2:A135,A135)=1,M135,LOOKUP(1,0/(A$1:A134=A135),AE$1:AE134)&amp;" "&amp;M135)</f>
        <v>A23</v>
      </c>
    </row>
    <row r="136" spans="1:31" outlineLevel="1">
      <c r="A136" s="233" t="s">
        <v>2578</v>
      </c>
      <c r="B136" s="24" t="str">
        <f>IF(A136="","",IF(LEFT(A136)&gt;"9",VLOOKUP(A136,yuanjidaimachichun,2,FALSE),VLOOKUP(A136,经纬!B:C,2,FALSE)))</f>
        <v>A50-30-28</v>
      </c>
      <c r="C136" s="8" t="str">
        <f>IF(A136="","",IF(ISERROR(FIND("*",B136)),MID(B136,2,FIND("-",B136)-2),LEFT(B136,FIND("*",B136)-1)))</f>
        <v>50</v>
      </c>
      <c r="D136" s="8" t="str">
        <f>IF(ISERROR(FIND("*",B136)),"",RIGHT(B136,LEN(B136)-FIND("*",B136)))</f>
        <v/>
      </c>
      <c r="E136" s="89" t="s">
        <v>2477</v>
      </c>
      <c r="F136" s="89" t="s">
        <v>2611</v>
      </c>
      <c r="G136" s="8">
        <v>158</v>
      </c>
      <c r="H136" s="8" t="s">
        <v>1499</v>
      </c>
      <c r="I136" s="8">
        <v>19000</v>
      </c>
      <c r="J136" s="8">
        <v>27</v>
      </c>
      <c r="K136" s="8">
        <v>33</v>
      </c>
      <c r="L136" s="8" t="s">
        <v>2572</v>
      </c>
      <c r="M136" s="24" t="str">
        <f t="array" ref="M136">LEFT(L136,MIN(FIND({"A","B","C"},MID(L136,2,LEN(L136))&amp;"ABC")))</f>
        <v>A23</v>
      </c>
      <c r="N136" s="24" t="str">
        <f t="array" ref="N136">SUBSTITUTE(L136,M136,"")</f>
        <v>B563</v>
      </c>
      <c r="O136" s="23">
        <v>43769</v>
      </c>
      <c r="Q136" s="389">
        <v>43770</v>
      </c>
      <c r="T136" s="264">
        <f>IF(AND(C136&gt;0,D136=""),SUMIFS(yj!I:I,yj!B:B,plan!A136,yj!G:G,"&gt;="&amp;Q136,yj!G:G,"&lt;="&amp;S136),"")</f>
        <v>0</v>
      </c>
      <c r="U136" s="264">
        <f>SUMIFS(四面弹库存!F:F,四面弹库存!B:B,plan!A136,四面弹库存!O:O,IF(H136&lt;&gt;"黑丝","白","黑"))</f>
        <v>90</v>
      </c>
      <c r="V136" s="264"/>
      <c r="W136" s="369">
        <f t="shared" si="6"/>
        <v>19000</v>
      </c>
      <c r="X136" s="258">
        <f>IF(B136="","",IF(S136&lt;&gt;"","",IF(AND(Z136&lt;&gt;"",AA136&lt;&gt;""),SUM(Z136:AA136),IF(AB136&lt;&gt;"",(I136/((1/((G136+2)/100*K136/1000))*0.9144)/IF(H136="黑丝",22,20)-AB136)*(IF(H136="黑丝",22,20)),I136/((1/((G136+2)/100*K136/1000))*0.9144)))))</f>
        <v>1097.1128608923887</v>
      </c>
      <c r="Y136" s="36">
        <f>IF(OR(B136="",D136&lt;&gt;""),"",IF(S136&lt;&gt;"","",I136/((1/((G136+2)/100*K136/1000))*0.9144)/IF(H136="黑丝",22,20)-AB136))</f>
        <v>54.855643044619434</v>
      </c>
      <c r="Z136" s="340" t="str">
        <f>IF(AND(C136&gt;0,D136&lt;&gt;"",S136=""),VLOOKUP(A136&amp;IF(H136="黑丝","黑","白")&amp;E136,经纬!A:M,13,FALSE)*(I136-AB136),"")</f>
        <v/>
      </c>
      <c r="AA136" s="340" t="str">
        <f>IF(AND(C136&gt;0,D136&lt;&gt;"",S136=""),VLOOKUP(A136&amp;IF(H136="黑丝","黑","白")&amp;E136,经纬!A:N,14,FALSE)*(I136-AB136),"")</f>
        <v/>
      </c>
      <c r="AE136" s="250" t="str">
        <f>IF(COUNTIF(A$2:A136,A136)=1,M136,LOOKUP(1,0/(A$1:A135=A136),AE$1:AE135)&amp;" "&amp;M136)</f>
        <v>A23 A23</v>
      </c>
    </row>
    <row r="137" spans="1:31" outlineLevel="1">
      <c r="A137" s="233" t="s">
        <v>2581</v>
      </c>
      <c r="B137" s="24" t="str">
        <f>IF(A137="","",IF(LEFT(A137)&gt;"9",VLOOKUP(A137,yuanjidaimachichun,2,FALSE),VLOOKUP(A137,经纬!B:C,2,FALSE)))</f>
        <v>75*150</v>
      </c>
      <c r="C137" s="8" t="str">
        <f>IF(A137="","",IF(ISERROR(FIND("*",B137)),MID(B137,2,FIND("-",B137)-2),LEFT(B137,FIND("*",B137)-1)))</f>
        <v>75</v>
      </c>
      <c r="D137" s="8" t="str">
        <f>IF(ISERROR(FIND("*",B137)),"",RIGHT(B137,LEN(B137)-FIND("*",B137)))</f>
        <v>150</v>
      </c>
      <c r="E137" s="89" t="s">
        <v>2582</v>
      </c>
      <c r="G137" s="8">
        <v>190.5</v>
      </c>
      <c r="H137" s="8" t="s">
        <v>2562</v>
      </c>
      <c r="I137" s="8">
        <v>6900</v>
      </c>
      <c r="J137" s="8">
        <v>58</v>
      </c>
      <c r="L137" s="8" t="s">
        <v>2583</v>
      </c>
      <c r="M137" s="24" t="str">
        <f t="array" ref="M137">LEFT(L137,MIN(FIND({"A","B","C"},MID(L137,2,LEN(L137))&amp;"ABC")))</f>
        <v>A60</v>
      </c>
      <c r="N137" s="24" t="str">
        <f t="array" ref="N137">SUBSTITUTE(L137,M137,"")</f>
        <v>B561</v>
      </c>
      <c r="O137" s="23">
        <v>43769</v>
      </c>
      <c r="T137" s="264" t="str">
        <f>IF(AND(C137&gt;0,D137=""),SUMIFS(yj!I:I,yj!B:B,plan!A137,yj!G:G,"&gt;="&amp;Q137,yj!G:G,"&lt;="&amp;S137),"")</f>
        <v/>
      </c>
      <c r="U137" s="264">
        <f>SUMIFS(四面弹库存!F:F,四面弹库存!B:B,plan!A137,四面弹库存!O:O,IF(H137&lt;&gt;"黑丝","白","黑"))</f>
        <v>0</v>
      </c>
      <c r="V137" s="264"/>
      <c r="W137" s="369">
        <f t="shared" si="6"/>
        <v>6900</v>
      </c>
      <c r="X137" s="258">
        <f>IF(B137="","",IF(S137&lt;&gt;"","",IF(AND(Z137&lt;&gt;"",AA137&lt;&gt;""),SUM(Z137:AA137),IF(AB137&lt;&gt;"",(I137/((1/((G137+2)/100*K137/1000))*0.9144)/IF(H137="黑丝",22,20)-AB137)*(IF(H137="黑丝",22,20)),I137/((1/((G137+2)/100*K137/1000))*0.9144)))))</f>
        <v>613.76342125984252</v>
      </c>
      <c r="Y137" s="36" t="str">
        <f>IF(OR(B137="",D137&lt;&gt;""),"",IF(S137&lt;&gt;"","",I137/((1/((G137+2)/100*K137/1000))*0.9144)/IF(H137="黑丝",22,20)-AB137))</f>
        <v/>
      </c>
      <c r="Z137" s="340">
        <f>IF(AND(C137&gt;0,D137&lt;&gt;"",S137=""),VLOOKUP(A137&amp;IF(H137="黑丝","黑","白")&amp;E137,经纬!A:M,13,FALSE)*(I137-AB137),"")</f>
        <v>236.94599999999997</v>
      </c>
      <c r="AA137" s="340">
        <f>IF(AND(C137&gt;0,D137&lt;&gt;"",S137=""),VLOOKUP(A137&amp;IF(H137="黑丝","黑","白")&amp;E137,经纬!A:N,14,FALSE)*(I137-AB137),"")</f>
        <v>376.81742125984249</v>
      </c>
      <c r="AC137" s="8"/>
      <c r="AD137" s="8"/>
      <c r="AE137" s="250" t="str">
        <f>IF(COUNTIF(A$2:A137,A137)=1,M137,LOOKUP(1,0/(A$1:A136=A137),AE$1:AE136)&amp;" "&amp;M137)</f>
        <v>A94 A94 A192 A60</v>
      </c>
    </row>
    <row r="138" spans="1:31" outlineLevel="1">
      <c r="A138" s="233" t="s">
        <v>2585</v>
      </c>
      <c r="B138" s="24" t="str">
        <f>IF(A138="","",IF(LEFT(A138)&gt;"9",VLOOKUP(A138,yuanjidaimachichun,2,FALSE),VLOOKUP(A138,经纬!B:C,2,FALSE)))</f>
        <v>75*150</v>
      </c>
      <c r="C138" s="8" t="str">
        <f>IF(A138="","",IF(ISERROR(FIND("*",B138)),MID(B138,2,FIND("-",B138)-2),LEFT(B138,FIND("*",B138)-1)))</f>
        <v>75</v>
      </c>
      <c r="D138" s="8" t="str">
        <f>IF(ISERROR(FIND("*",B138)),"",RIGHT(B138,LEN(B138)-FIND("*",B138)))</f>
        <v>150</v>
      </c>
      <c r="E138" s="89" t="s">
        <v>2582</v>
      </c>
      <c r="G138" s="8">
        <v>188</v>
      </c>
      <c r="H138" s="8" t="s">
        <v>2587</v>
      </c>
      <c r="I138" s="8">
        <v>4600</v>
      </c>
      <c r="J138" s="8">
        <v>58</v>
      </c>
      <c r="L138" s="8" t="s">
        <v>2583</v>
      </c>
      <c r="M138" s="24" t="str">
        <f t="array" ref="M138">LEFT(L138,MIN(FIND({"A","B","C"},MID(L138,2,LEN(L138))&amp;"ABC")))</f>
        <v>A60</v>
      </c>
      <c r="N138" s="24" t="str">
        <f t="array" ref="N138">SUBSTITUTE(L138,M138,"")</f>
        <v>B561</v>
      </c>
      <c r="O138" s="23">
        <v>43769</v>
      </c>
      <c r="T138" s="264" t="str">
        <f>IF(AND(C138&gt;0,D138=""),SUMIFS(yj!I:I,yj!B:B,plan!A138,yj!G:G,"&gt;="&amp;Q138,yj!G:G,"&lt;="&amp;S138),"")</f>
        <v/>
      </c>
      <c r="U138" s="264">
        <f>SUMIFS(四面弹库存!F:F,四面弹库存!B:B,plan!A138,四面弹库存!O:O,IF(H138&lt;&gt;"黑丝","白","黑"))</f>
        <v>0</v>
      </c>
      <c r="V138" s="264"/>
      <c r="W138" s="369">
        <f t="shared" si="6"/>
        <v>4600</v>
      </c>
      <c r="X138" s="258">
        <f>IF(B138="","",IF(S138&lt;&gt;"","",IF(AND(Z138&lt;&gt;"",AA138&lt;&gt;""),SUM(Z138:AA138),IF(AB138&lt;&gt;"",(I138/((1/((G138+2)/100*K138/1000))*0.9144)/IF(H138="黑丝",22,20)-AB138)*(IF(H138="黑丝",22,20)),I138/((1/((G138+2)/100*K138/1000))*0.9144)))))</f>
        <v>354.49284251968498</v>
      </c>
      <c r="Y138" s="36" t="str">
        <f>IF(OR(B138="",D138&lt;&gt;""),"",IF(S138&lt;&gt;"","",I138/((1/((G138+2)/100*K138/1000))*0.9144)/IF(H138="黑丝",22,20)-AB138))</f>
        <v/>
      </c>
      <c r="Z138" s="340">
        <f>IF(AND(C138&gt;0,D138&lt;&gt;"",S138=""),VLOOKUP(A138&amp;IF(H138="黑丝","黑","白")&amp;E138,经纬!A:M,13,FALSE)*(I138-AB138),"")</f>
        <v>161.48299999999998</v>
      </c>
      <c r="AA138" s="340">
        <f>IF(AND(C138&gt;0,D138&lt;&gt;"",S138=""),VLOOKUP(A138&amp;IF(H138="黑丝","黑","白")&amp;E138,经纬!A:N,14,FALSE)*(I138-AB138),"")</f>
        <v>193.00984251968501</v>
      </c>
      <c r="AC138" s="8"/>
      <c r="AD138" s="8"/>
      <c r="AE138" s="250" t="str">
        <f>IF(COUNTIF(A$2:A138,A138)=1,M138,LOOKUP(1,0/(A$1:A137=A138),AE$1:AE137)&amp;" "&amp;M138)</f>
        <v>A192 A28 A28 A28 A60 A60 A60</v>
      </c>
    </row>
    <row r="139" spans="1:31" outlineLevel="1">
      <c r="A139" s="233" t="s">
        <v>2588</v>
      </c>
      <c r="B139" s="24" t="str">
        <f>IF(A139="","",IF(LEFT(A139)&gt;"9",VLOOKUP(A139,yuanjidaimachichun,2,FALSE),VLOOKUP(A139,经纬!B:C,2,FALSE)))</f>
        <v>100*300</v>
      </c>
      <c r="C139" s="8" t="str">
        <f>IF(A139="","",IF(ISERROR(FIND("*",B139)),MID(B139,2,FIND("-",B139)-2),LEFT(B139,FIND("*",B139)-1)))</f>
        <v>100</v>
      </c>
      <c r="D139" s="8" t="str">
        <f>IF(ISERROR(FIND("*",B139)),"",RIGHT(B139,LEN(B139)-FIND("*",B139)))</f>
        <v>300</v>
      </c>
      <c r="E139" s="89" t="s">
        <v>2582</v>
      </c>
      <c r="F139" s="89" t="s">
        <v>2617</v>
      </c>
      <c r="G139" s="8">
        <v>188</v>
      </c>
      <c r="H139" s="8" t="s">
        <v>2562</v>
      </c>
      <c r="I139" s="8">
        <v>18400</v>
      </c>
      <c r="J139" s="8">
        <v>86</v>
      </c>
      <c r="L139" s="8" t="s">
        <v>2583</v>
      </c>
      <c r="M139" s="24" t="str">
        <f t="array" ref="M139">LEFT(L139,MIN(FIND({"A","B","C"},MID(L139,2,LEN(L139))&amp;"ABC")))</f>
        <v>A60</v>
      </c>
      <c r="N139" s="24" t="str">
        <f t="array" ref="N139">SUBSTITUTE(L139,M139,"")</f>
        <v>B561</v>
      </c>
      <c r="O139" s="23">
        <v>43769</v>
      </c>
      <c r="T139" s="264" t="str">
        <f>IF(AND(C139&gt;0,D139=""),SUMIFS(yj!I:I,yj!B:B,plan!A139,yj!G:G,"&gt;="&amp;Q139,yj!G:G,"&lt;="&amp;S139),"")</f>
        <v/>
      </c>
      <c r="U139" s="264">
        <f>SUMIFS(四面弹库存!F:F,四面弹库存!B:B,plan!A139,四面弹库存!O:O,IF(H139&lt;&gt;"黑丝","白","黑"))</f>
        <v>0</v>
      </c>
      <c r="V139" s="264"/>
      <c r="W139" s="369">
        <f t="shared" si="6"/>
        <v>18400</v>
      </c>
      <c r="X139" s="258">
        <f>IF(B139="","",IF(S139&lt;&gt;"","",IF(AND(Z139&lt;&gt;"",AA139&lt;&gt;""),SUM(Z139:AA139),IF(AB139&lt;&gt;"",(I139/((1/((G139+2)/100*K139/1000))*0.9144)/IF(H139="黑丝",22,20)-AB139)*(IF(H139="黑丝",22,20)),I139/((1/((G139+2)/100*K139/1000))*0.9144)))))</f>
        <v>2130.0052493438316</v>
      </c>
      <c r="Y139" s="36" t="str">
        <f>IF(OR(B139="",D139&lt;&gt;""),"",IF(S139&lt;&gt;"","",I139/((1/((G139+2)/100*K139/1000))*0.9144)/IF(H139="黑丝",22,20)-AB139))</f>
        <v/>
      </c>
      <c r="Z139" s="340">
        <f>IF(AND(C139&gt;0,D139&lt;&gt;"",S139=""),VLOOKUP(A139&amp;IF(H139="黑丝","黑","白")&amp;E139,经纬!A:M,13,FALSE)*(I139-AB139),"")</f>
        <v>782</v>
      </c>
      <c r="AA139" s="340">
        <f>IF(AND(C139&gt;0,D139&lt;&gt;"",S139=""),VLOOKUP(A139&amp;IF(H139="黑丝","黑","白")&amp;E139,经纬!A:N,14,FALSE)*(I139-AB139),"")</f>
        <v>1348.0052493438318</v>
      </c>
      <c r="AC139" s="8"/>
      <c r="AD139" s="8"/>
      <c r="AE139" s="250" t="str">
        <f>IF(COUNTIF(A$2:A139,A139)=1,M139,LOOKUP(1,0/(A$1:A138=A139),AE$1:AE138)&amp;" "&amp;M139)</f>
        <v>A192 A192 A60 A60 A60</v>
      </c>
    </row>
    <row r="140" spans="1:31" outlineLevel="1">
      <c r="A140" s="233" t="s">
        <v>2588</v>
      </c>
      <c r="B140" s="24" t="str">
        <f>IF(A140="","",IF(LEFT(A140)&gt;"9",VLOOKUP(A140,yuanjidaimachichun,2,FALSE),VLOOKUP(A140,经纬!B:C,2,FALSE)))</f>
        <v>100*300</v>
      </c>
      <c r="C140" s="8" t="str">
        <f>IF(A140="","",IF(ISERROR(FIND("*",B140)),MID(B140,2,FIND("-",B140)-2),LEFT(B140,FIND("*",B140)-1)))</f>
        <v>100</v>
      </c>
      <c r="D140" s="8" t="str">
        <f>IF(ISERROR(FIND("*",B140)),"",RIGHT(B140,LEN(B140)-FIND("*",B140)))</f>
        <v>300</v>
      </c>
      <c r="E140" s="89" t="s">
        <v>2582</v>
      </c>
      <c r="F140" s="89" t="s">
        <v>2617</v>
      </c>
      <c r="G140" s="8">
        <v>188</v>
      </c>
      <c r="H140" s="8" t="s">
        <v>2587</v>
      </c>
      <c r="I140" s="8">
        <v>4600</v>
      </c>
      <c r="J140" s="8">
        <v>86</v>
      </c>
      <c r="L140" s="8" t="s">
        <v>2583</v>
      </c>
      <c r="M140" s="24" t="str">
        <f t="array" ref="M140">LEFT(L140,MIN(FIND({"A","B","C"},MID(L140,2,LEN(L140))&amp;"ABC")))</f>
        <v>A60</v>
      </c>
      <c r="N140" s="24" t="str">
        <f t="array" ref="N140">SUBSTITUTE(L140,M140,"")</f>
        <v>B561</v>
      </c>
      <c r="O140" s="23">
        <v>43769</v>
      </c>
      <c r="T140" s="264" t="str">
        <f>IF(AND(C140&gt;0,D140=""),SUMIFS(yj!I:I,yj!B:B,plan!A140,yj!G:G,"&gt;="&amp;Q140,yj!G:G,"&lt;="&amp;S140),"")</f>
        <v/>
      </c>
      <c r="U140" s="264">
        <f>SUMIFS(四面弹库存!F:F,四面弹库存!B:B,plan!A140,四面弹库存!O:O,IF(H140&lt;&gt;"黑丝","白","黑"))</f>
        <v>0</v>
      </c>
      <c r="V140" s="264"/>
      <c r="W140" s="369">
        <f t="shared" si="6"/>
        <v>4600</v>
      </c>
      <c r="X140" s="258">
        <f>IF(B140="","",IF(S140&lt;&gt;"","",IF(AND(Z140&lt;&gt;"",AA140&lt;&gt;""),SUM(Z140:AA140),IF(AB140&lt;&gt;"",(I140/((1/((G140+2)/100*K140/1000))*0.9144)/IF(H140="黑丝",22,20)-AB140)*(IF(H140="黑丝",22,20)),I140/((1/((G140+2)/100*K140/1000))*0.9144)))))</f>
        <v>532.50131233595789</v>
      </c>
      <c r="Y140" s="36" t="str">
        <f>IF(OR(B140="",D140&lt;&gt;""),"",IF(S140&lt;&gt;"","",I140/((1/((G140+2)/100*K140/1000))*0.9144)/IF(H140="黑丝",22,20)-AB140))</f>
        <v/>
      </c>
      <c r="Z140" s="340">
        <f>IF(AND(C140&gt;0,D140&lt;&gt;"",S140=""),VLOOKUP(A140&amp;IF(H140="黑丝","黑","白")&amp;E140,经纬!A:M,13,FALSE)*(I140-AB140),"")</f>
        <v>195.5</v>
      </c>
      <c r="AA140" s="340">
        <f>IF(AND(C140&gt;0,D140&lt;&gt;"",S140=""),VLOOKUP(A140&amp;IF(H140="黑丝","黑","白")&amp;E140,经纬!A:N,14,FALSE)*(I140-AB140),"")</f>
        <v>337.00131233595795</v>
      </c>
      <c r="AC140" s="8"/>
      <c r="AD140" s="8"/>
      <c r="AE140" s="250" t="str">
        <f>IF(COUNTIF(A$2:A140,A140)=1,M140,LOOKUP(1,0/(A$1:A139=A140),AE$1:AE139)&amp;" "&amp;M140)</f>
        <v>A192 A192 A60 A60 A60 A60</v>
      </c>
    </row>
    <row r="141" spans="1:31" outlineLevel="1">
      <c r="A141" s="233" t="s">
        <v>2591</v>
      </c>
      <c r="B141" s="24" t="str">
        <f>IF(A141="","",IF(LEFT(A141)&gt;"9",VLOOKUP(A141,yuanjidaimachichun,2,FALSE),VLOOKUP(A141,经纬!B:C,2,FALSE)))</f>
        <v>200*300</v>
      </c>
      <c r="C141" s="8" t="str">
        <f>IF(A141="","",IF(ISERROR(FIND("*",B141)),MID(B141,2,FIND("-",B141)-2),LEFT(B141,FIND("*",B141)-1)))</f>
        <v>200</v>
      </c>
      <c r="D141" s="8" t="str">
        <f>IF(ISERROR(FIND("*",B141)),"",RIGHT(B141,LEN(B141)-FIND("*",B141)))</f>
        <v>300</v>
      </c>
      <c r="E141" s="89" t="s">
        <v>2582</v>
      </c>
      <c r="G141" s="8">
        <v>180</v>
      </c>
      <c r="H141" s="8" t="s">
        <v>2562</v>
      </c>
      <c r="I141" s="8">
        <v>9200</v>
      </c>
      <c r="J141" s="8">
        <v>116</v>
      </c>
      <c r="L141" s="8" t="s">
        <v>2583</v>
      </c>
      <c r="M141" s="24" t="str">
        <f t="array" ref="M141">LEFT(L141,MIN(FIND({"A","B","C"},MID(L141,2,LEN(L141))&amp;"ABC")))</f>
        <v>A60</v>
      </c>
      <c r="N141" s="24" t="str">
        <f t="array" ref="N141">SUBSTITUTE(L141,M141,"")</f>
        <v>B561</v>
      </c>
      <c r="O141" s="23">
        <v>43769</v>
      </c>
      <c r="T141" s="264" t="str">
        <f>IF(AND(C141&gt;0,D141=""),SUMIFS(yj!I:I,yj!B:B,plan!A141,yj!G:G,"&gt;="&amp;Q141,yj!G:G,"&lt;="&amp;S141),"")</f>
        <v/>
      </c>
      <c r="U141" s="264">
        <f>SUMIFS(四面弹库存!F:F,四面弹库存!B:B,plan!A141,四面弹库存!O:O,IF(H141&lt;&gt;"黑丝","白","黑"))</f>
        <v>0</v>
      </c>
      <c r="V141" s="264"/>
      <c r="W141" s="369">
        <f t="shared" si="6"/>
        <v>9200</v>
      </c>
      <c r="X141" s="258">
        <f>IF(B141="","",IF(S141&lt;&gt;"","",IF(AND(Z141&lt;&gt;"",AA141&lt;&gt;""),SUM(Z141:AA141),IF(AB141&lt;&gt;"",(I141/((1/((G141+2)/100*K141/1000))*0.9144)/IF(H141="黑丝",22,20)-AB141)*(IF(H141="黑丝",22,20)),I141/((1/((G141+2)/100*K141/1000))*0.9144)))))</f>
        <v>1466.1008923884515</v>
      </c>
      <c r="Y141" s="36" t="str">
        <f>IF(OR(B141="",D141&lt;&gt;""),"",IF(S141&lt;&gt;"","",I141/((1/((G141+2)/100*K141/1000))*0.9144)/IF(H141="黑丝",22,20)-AB141))</f>
        <v/>
      </c>
      <c r="Z141" s="340">
        <f>IF(AND(C141&gt;0,D141&lt;&gt;"",S141=""),VLOOKUP(A141&amp;IF(H141="黑丝","黑","白")&amp;E141,经纬!A:M,13,FALSE)*(I141-AB141),"")</f>
        <v>771.57333333333338</v>
      </c>
      <c r="AA141" s="340">
        <f>IF(AND(C141&gt;0,D141&lt;&gt;"",S141=""),VLOOKUP(A141&amp;IF(H141="黑丝","黑","白")&amp;E141,经纬!A:N,14,FALSE)*(I141-AB141),"")</f>
        <v>694.5275590551181</v>
      </c>
      <c r="AC141" s="8"/>
      <c r="AD141" s="8"/>
      <c r="AE141" s="250" t="str">
        <f>IF(COUNTIF(A$2:A141,A141)=1,M141,LOOKUP(1,0/(A$1:A140=A141),AE$1:AE140)&amp;" "&amp;M141)</f>
        <v>A192 A192 A28 A28 A60</v>
      </c>
    </row>
    <row r="142" spans="1:31" outlineLevel="1">
      <c r="A142" s="233" t="s">
        <v>2592</v>
      </c>
      <c r="B142" s="24" t="str">
        <f>IF(A142="","",IF(LEFT(A142)&gt;"9",VLOOKUP(A142,yuanjidaimachichun,2,FALSE),VLOOKUP(A142,经纬!B:C,2,FALSE)))</f>
        <v>200*300</v>
      </c>
      <c r="C142" s="8" t="str">
        <f>IF(A142="","",IF(ISERROR(FIND("*",B142)),MID(B142,2,FIND("-",B142)-2),LEFT(B142,FIND("*",B142)-1)))</f>
        <v>200</v>
      </c>
      <c r="D142" s="8" t="str">
        <f>IF(ISERROR(FIND("*",B142)),"",RIGHT(B142,LEN(B142)-FIND("*",B142)))</f>
        <v>300</v>
      </c>
      <c r="E142" s="89" t="s">
        <v>2582</v>
      </c>
      <c r="G142" s="8">
        <v>180</v>
      </c>
      <c r="H142" s="8" t="s">
        <v>2562</v>
      </c>
      <c r="I142" s="8">
        <v>4600</v>
      </c>
      <c r="J142" s="8">
        <v>126</v>
      </c>
      <c r="L142" s="8" t="s">
        <v>2583</v>
      </c>
      <c r="M142" s="24" t="str">
        <f t="array" ref="M142">LEFT(L142,MIN(FIND({"A","B","C"},MID(L142,2,LEN(L142))&amp;"ABC")))</f>
        <v>A60</v>
      </c>
      <c r="N142" s="24" t="str">
        <f t="array" ref="N142">SUBSTITUTE(L142,M142,"")</f>
        <v>B561</v>
      </c>
      <c r="O142" s="23">
        <v>43769</v>
      </c>
      <c r="T142" s="264" t="str">
        <f>IF(AND(C142&gt;0,D142=""),SUMIFS(yj!I:I,yj!B:B,plan!A142,yj!G:G,"&gt;="&amp;Q142,yj!G:G,"&lt;="&amp;S142),"")</f>
        <v/>
      </c>
      <c r="U142" s="264">
        <f>SUMIFS(四面弹库存!F:F,四面弹库存!B:B,plan!A142,四面弹库存!O:O,IF(H142&lt;&gt;"黑丝","白","黑"))</f>
        <v>0</v>
      </c>
      <c r="V142" s="264"/>
      <c r="W142" s="369">
        <f t="shared" si="6"/>
        <v>4600</v>
      </c>
      <c r="X142" s="258">
        <f>IF(B142="","",IF(S142&lt;&gt;"","",IF(AND(Z142&lt;&gt;"",AA142&lt;&gt;""),SUM(Z142:AA142),IF(AB142&lt;&gt;"",(I142/((1/((G142+2)/100*K142/1000))*0.9144)/IF(H142="黑丝",22,20)-AB142)*(IF(H142="黑丝",22,20)),I142/((1/((G142+2)/100*K142/1000))*0.9144)))))</f>
        <v>827.22367454068251</v>
      </c>
      <c r="Y142" s="36" t="str">
        <f>IF(OR(B142="",D142&lt;&gt;""),"",IF(S142&lt;&gt;"","",I142/((1/((G142+2)/100*K142/1000))*0.9144)/IF(H142="黑丝",22,20)-AB142))</f>
        <v/>
      </c>
      <c r="Z142" s="340">
        <f>IF(AND(C142&gt;0,D142&lt;&gt;"",S142=""),VLOOKUP(A142&amp;IF(H142="黑丝","黑","白")&amp;E142,经纬!A:M,13,FALSE)*(I142-AB142),"")</f>
        <v>385.78666666666669</v>
      </c>
      <c r="AA142" s="340">
        <f>IF(AND(C142&gt;0,D142&lt;&gt;"",S142=""),VLOOKUP(A142&amp;IF(H142="黑丝","黑","白")&amp;E142,经纬!A:N,14,FALSE)*(I142-AB142),"")</f>
        <v>441.43700787401582</v>
      </c>
      <c r="AC142" s="8"/>
      <c r="AD142" s="8"/>
      <c r="AE142" s="250" t="str">
        <f>IF(COUNTIF(A$2:A142,A142)=1,M142,LOOKUP(1,0/(A$1:A141=A142),AE$1:AE141)&amp;" "&amp;M142)</f>
        <v>A192 A28 A28 A60 A60</v>
      </c>
    </row>
    <row r="143" spans="1:31" outlineLevel="1">
      <c r="A143" s="233" t="s">
        <v>2592</v>
      </c>
      <c r="B143" s="24" t="str">
        <f>IF(A143="","",IF(LEFT(A143)&gt;"9",VLOOKUP(A143,yuanjidaimachichun,2,FALSE),VLOOKUP(A143,经纬!B:C,2,FALSE)))</f>
        <v>200*300</v>
      </c>
      <c r="C143" s="8" t="str">
        <f>IF(A143="","",IF(ISERROR(FIND("*",B143)),MID(B143,2,FIND("-",B143)-2),LEFT(B143,FIND("*",B143)-1)))</f>
        <v>200</v>
      </c>
      <c r="D143" s="8" t="str">
        <f>IF(ISERROR(FIND("*",B143)),"",RIGHT(B143,LEN(B143)-FIND("*",B143)))</f>
        <v>300</v>
      </c>
      <c r="E143" s="89" t="s">
        <v>2582</v>
      </c>
      <c r="G143" s="8">
        <v>180</v>
      </c>
      <c r="H143" s="8" t="s">
        <v>2587</v>
      </c>
      <c r="I143" s="8">
        <v>13800</v>
      </c>
      <c r="J143" s="8">
        <v>126</v>
      </c>
      <c r="L143" s="8" t="s">
        <v>2583</v>
      </c>
      <c r="M143" s="24" t="str">
        <f t="array" ref="M143">LEFT(L143,MIN(FIND({"A","B","C"},MID(L143,2,LEN(L143))&amp;"ABC")))</f>
        <v>A60</v>
      </c>
      <c r="N143" s="24" t="str">
        <f t="array" ref="N143">SUBSTITUTE(L143,M143,"")</f>
        <v>B561</v>
      </c>
      <c r="O143" s="23">
        <v>43769</v>
      </c>
      <c r="T143" s="264" t="str">
        <f>IF(AND(C143&gt;0,D143=""),SUMIFS(yj!I:I,yj!B:B,plan!A143,yj!G:G,"&gt;="&amp;Q143,yj!G:G,"&lt;="&amp;S143),"")</f>
        <v/>
      </c>
      <c r="U143" s="264">
        <f>SUMIFS(四面弹库存!F:F,四面弹库存!B:B,plan!A143,四面弹库存!O:O,IF(H143&lt;&gt;"黑丝","白","黑"))</f>
        <v>0</v>
      </c>
      <c r="V143" s="264"/>
      <c r="W143" s="369">
        <f t="shared" si="6"/>
        <v>13800</v>
      </c>
      <c r="X143" s="258">
        <f>IF(B143="","",IF(S143&lt;&gt;"","",IF(AND(Z143&lt;&gt;"",AA143&lt;&gt;""),SUM(Z143:AA143),IF(AB143&lt;&gt;"",(I143/((1/((G143+2)/100*K143/1000))*0.9144)/IF(H143="黑丝",22,20)-AB143)*(IF(H143="黑丝",22,20)),I143/((1/((G143+2)/100*K143/1000))*0.9144)))))</f>
        <v>2481.6710236220474</v>
      </c>
      <c r="Y143" s="36" t="str">
        <f>IF(OR(B143="",D143&lt;&gt;""),"",IF(S143&lt;&gt;"","",I143/((1/((G143+2)/100*K143/1000))*0.9144)/IF(H143="黑丝",22,20)-AB143))</f>
        <v/>
      </c>
      <c r="Z143" s="340">
        <f>IF(AND(C143&gt;0,D143&lt;&gt;"",S143=""),VLOOKUP(A143&amp;IF(H143="黑丝","黑","白")&amp;E143,经纬!A:M,13,FALSE)*(I143-AB143),"")</f>
        <v>1157.3600000000001</v>
      </c>
      <c r="AA143" s="340">
        <f>IF(AND(C143&gt;0,D143&lt;&gt;"",S143=""),VLOOKUP(A143&amp;IF(H143="黑丝","黑","白")&amp;E143,经纬!A:N,14,FALSE)*(I143-AB143),"")</f>
        <v>1324.3110236220473</v>
      </c>
      <c r="AC143" s="8"/>
      <c r="AD143" s="8"/>
      <c r="AE143" s="250" t="str">
        <f>IF(COUNTIF(A$2:A143,A143)=1,M143,LOOKUP(1,0/(A$1:A142=A143),AE$1:AE142)&amp;" "&amp;M143)</f>
        <v>A192 A28 A28 A60 A60 A60</v>
      </c>
    </row>
    <row r="144" spans="1:31" outlineLevel="1">
      <c r="A144" s="233" t="s">
        <v>2593</v>
      </c>
      <c r="B144" s="24" t="str">
        <f>IF(A144="","",IF(LEFT(A144)&gt;"9",VLOOKUP(A144,yuanjidaimachichun,2,FALSE),VLOOKUP(A144,经纬!B:C,2,FALSE)))</f>
        <v>B30-30-32</v>
      </c>
      <c r="C144" s="8" t="str">
        <f>IF(A144="","",IF(ISERROR(FIND("*",B144)),MID(B144,2,FIND("-",B144)-2),LEFT(B144,FIND("*",B144)-1)))</f>
        <v>30</v>
      </c>
      <c r="D144" s="8" t="str">
        <f>IF(ISERROR(FIND("*",B144)),"",RIGHT(B144,LEN(B144)-FIND("*",B144)))</f>
        <v/>
      </c>
      <c r="E144" s="89" t="s">
        <v>2594</v>
      </c>
      <c r="G144" s="8">
        <v>159</v>
      </c>
      <c r="H144" s="8" t="s">
        <v>2569</v>
      </c>
      <c r="I144" s="8">
        <v>2000</v>
      </c>
      <c r="J144" s="8">
        <v>23</v>
      </c>
      <c r="K144" s="8">
        <v>23.5</v>
      </c>
      <c r="L144" s="8" t="s">
        <v>2595</v>
      </c>
      <c r="M144" s="24" t="str">
        <f t="array" ref="M144">LEFT(L144,MIN(FIND({"A","B","C"},MID(L144,2,LEN(L144))&amp;"ABC")))</f>
        <v>A94</v>
      </c>
      <c r="N144" s="24" t="str">
        <f t="array" ref="N144">SUBSTITUTE(L144,M144,"")</f>
        <v>B567</v>
      </c>
      <c r="O144" s="23">
        <v>43770</v>
      </c>
      <c r="S144" s="23">
        <v>43770</v>
      </c>
      <c r="T144" s="264">
        <f>IF(AND(C144&gt;0,D144=""),SUMIFS(yj!I:I,yj!B:B,plan!A144,yj!G:G,"&gt;="&amp;Q144,yj!G:G,"&lt;="&amp;S144),"")</f>
        <v>0</v>
      </c>
      <c r="U144" s="264">
        <f>SUMIFS(四面弹库存!F:F,四面弹库存!B:B,plan!A144,四面弹库存!O:O,IF(H144&lt;&gt;"黑丝","白","黑"))</f>
        <v>72</v>
      </c>
      <c r="V144" s="264"/>
      <c r="W144" s="369" t="str">
        <f t="shared" si="6"/>
        <v/>
      </c>
      <c r="X144" s="258" t="str">
        <f>IF(B144="","",IF(S144&lt;&gt;"","",IF(AND(Z144&lt;&gt;"",AA144&lt;&gt;""),SUM(Z144:AA144),IF(AB144&lt;&gt;"",(I144/((1/((G144+2)/100*K144/1000))*0.9144)/IF(H144="黑丝",22,20)-AB144)*(IF(H144="黑丝",22,20)),I144/((1/((G144+2)/100*K144/1000))*0.9144)))))</f>
        <v/>
      </c>
      <c r="Y144" s="36" t="str">
        <f>IF(OR(B144="",D144&lt;&gt;""),"",IF(S144&lt;&gt;"","",I144/((1/((G144+2)/100*K144/1000))*0.9144)/IF(H144="黑丝",22,20)-AB144))</f>
        <v/>
      </c>
      <c r="Z144" s="340" t="str">
        <f>IF(AND(C144&gt;0,D144&lt;&gt;"",S144=""),VLOOKUP(A144&amp;IF(H144="黑丝","黑","白")&amp;E144,经纬!A:M,13,FALSE)*(I144-AB144),"")</f>
        <v/>
      </c>
      <c r="AA144" s="340" t="str">
        <f>IF(AND(C144&gt;0,D144&lt;&gt;"",S144=""),VLOOKUP(A144&amp;IF(H144="黑丝","黑","白")&amp;E144,经纬!A:N,14,FALSE)*(I144-AB144),"")</f>
        <v/>
      </c>
      <c r="AB144" s="8">
        <v>16</v>
      </c>
      <c r="AC144" s="390" t="s">
        <v>2622</v>
      </c>
      <c r="AD144" s="390"/>
      <c r="AE144" s="250" t="str">
        <f>IF(COUNTIF(A$2:A144,A144)=1,M144,LOOKUP(1,0/(A$1:A143=A144),AE$1:AE143)&amp;" "&amp;M144)</f>
        <v>A94 A94 A94</v>
      </c>
    </row>
    <row r="145" spans="1:31" outlineLevel="1">
      <c r="A145" s="233" t="s">
        <v>2564</v>
      </c>
      <c r="B145" s="24" t="str">
        <f>IF(A145="","",IF(LEFT(A145)&gt;"9",VLOOKUP(A145,yuanjidaimachichun,2,FALSE),VLOOKUP(A145,经纬!B:C,2,FALSE)))</f>
        <v>A50-30-28</v>
      </c>
      <c r="C145" s="8" t="str">
        <f>IF(A145="","",IF(ISERROR(FIND("*",B145)),MID(B145,2,FIND("-",B145)-2),LEFT(B145,FIND("*",B145)-1)))</f>
        <v>50</v>
      </c>
      <c r="D145" s="8" t="str">
        <f>IF(ISERROR(FIND("*",B145)),"",RIGHT(B145,LEN(B145)-FIND("*",B145)))</f>
        <v/>
      </c>
      <c r="E145" s="89" t="s">
        <v>301</v>
      </c>
      <c r="F145" s="89" t="s">
        <v>2611</v>
      </c>
      <c r="G145" s="8">
        <v>159</v>
      </c>
      <c r="H145" s="8" t="s">
        <v>2557</v>
      </c>
      <c r="I145" s="8">
        <v>96000</v>
      </c>
      <c r="J145" s="8">
        <v>35</v>
      </c>
      <c r="K145" s="8">
        <v>33</v>
      </c>
      <c r="L145" s="8" t="s">
        <v>2596</v>
      </c>
      <c r="M145" s="24" t="str">
        <f t="array" ref="M145">LEFT(L145,MIN(FIND({"A","B","C"},MID(L145,2,LEN(L145))&amp;"ABC")))</f>
        <v>A21</v>
      </c>
      <c r="N145" s="24" t="str">
        <f t="array" ref="N145">SUBSTITUTE(L145,M145,"")</f>
        <v>B558</v>
      </c>
      <c r="O145" s="23">
        <v>43767</v>
      </c>
      <c r="T145" s="264">
        <f>IF(AND(C145&gt;0,D145=""),SUMIFS(yj!I:I,yj!B:B,plan!A145,yj!G:G,"&gt;="&amp;Q145,yj!G:G,"&lt;="&amp;S145),"")</f>
        <v>0</v>
      </c>
      <c r="U145" s="264">
        <f>SUMIFS(四面弹库存!F:F,四面弹库存!B:B,plan!A145,四面弹库存!O:O,IF(H145&lt;&gt;"黑丝","白","黑"))</f>
        <v>172</v>
      </c>
      <c r="V145" s="264"/>
      <c r="W145" s="369">
        <f t="shared" si="6"/>
        <v>96000</v>
      </c>
      <c r="X145" s="258">
        <f>IF(B145="","",IF(S145&lt;&gt;"","",IF(AND(Z145&lt;&gt;"",AA145&lt;&gt;""),SUM(Z145:AA145),IF(AB145&lt;&gt;"",(I145/((1/((G145+2)/100*K145/1000))*0.9144)/IF(H145="黑丝",22,20)-AB145)*(IF(H145="黑丝",22,20)),I145/((1/((G145+2)/100*K145/1000))*0.9144)))))</f>
        <v>5577.9527559055123</v>
      </c>
      <c r="Y145" s="36">
        <f>IF(OR(B145="",D145&lt;&gt;""),"",IF(S145&lt;&gt;"","",I145/((1/((G145+2)/100*K145/1000))*0.9144)/IF(H145="黑丝",22,20)-AB145))</f>
        <v>278.89763779527561</v>
      </c>
      <c r="Z145" s="340" t="str">
        <f>IF(AND(C145&gt;0,D145&lt;&gt;"",S145=""),VLOOKUP(A145&amp;IF(H145="黑丝","黑","白")&amp;E145,经纬!A:M,13,FALSE)*(I145-AB145),"")</f>
        <v/>
      </c>
      <c r="AA145" s="340" t="str">
        <f>IF(AND(C145&gt;0,D145&lt;&gt;"",S145=""),VLOOKUP(A145&amp;IF(H145="黑丝","黑","白")&amp;E145,经纬!A:N,14,FALSE)*(I145-AB145),"")</f>
        <v/>
      </c>
      <c r="AE145" s="250" t="str">
        <f>IF(COUNTIF(A$2:A145,A145)=1,M145,LOOKUP(1,0/(A$1:A144=A145),AE$1:AE144)&amp;" "&amp;M145)</f>
        <v>XSD A21 A12 A10 A10 A90 A88 A88 A88 A90 A45 A45 A45 A10 A102 XSD A23 A23 A21</v>
      </c>
    </row>
    <row r="146" spans="1:31" outlineLevel="1">
      <c r="A146" s="233" t="s">
        <v>2564</v>
      </c>
      <c r="B146" s="24" t="str">
        <f>IF(A146="","",IF(LEFT(A146)&gt;"9",VLOOKUP(A146,yuanjidaimachichun,2,FALSE),VLOOKUP(A146,经纬!B:C,2,FALSE)))</f>
        <v>A50-30-28</v>
      </c>
      <c r="C146" s="8" t="str">
        <f>IF(A146="","",IF(ISERROR(FIND("*",B146)),MID(B146,2,FIND("-",B146)-2),LEFT(B146,FIND("*",B146)-1)))</f>
        <v>50</v>
      </c>
      <c r="D146" s="8" t="str">
        <f>IF(ISERROR(FIND("*",B146)),"",RIGHT(B146,LEN(B146)-FIND("*",B146)))</f>
        <v/>
      </c>
      <c r="E146" s="89" t="s">
        <v>301</v>
      </c>
      <c r="F146" s="89" t="s">
        <v>2611</v>
      </c>
      <c r="G146" s="8">
        <v>159</v>
      </c>
      <c r="H146" s="8" t="s">
        <v>2562</v>
      </c>
      <c r="I146" s="8">
        <v>20000</v>
      </c>
      <c r="J146" s="8">
        <v>35</v>
      </c>
      <c r="K146" s="8">
        <v>33</v>
      </c>
      <c r="L146" s="8" t="s">
        <v>2596</v>
      </c>
      <c r="M146" s="24" t="str">
        <f t="array" ref="M146">LEFT(L146,MIN(FIND({"A","B","C"},MID(L146,2,LEN(L146))&amp;"ABC")))</f>
        <v>A21</v>
      </c>
      <c r="N146" s="24" t="str">
        <f t="array" ref="N146">SUBSTITUTE(L146,M146,"")</f>
        <v>B558</v>
      </c>
      <c r="O146" s="23">
        <v>43767</v>
      </c>
      <c r="T146" s="264">
        <f>IF(AND(C146&gt;0,D146=""),SUMIFS(yj!I:I,yj!B:B,plan!A146,yj!G:G,"&gt;="&amp;Q146,yj!G:G,"&lt;="&amp;S146),"")</f>
        <v>0</v>
      </c>
      <c r="U146" s="264">
        <f>SUMIFS(四面弹库存!F:F,四面弹库存!B:B,plan!A146,四面弹库存!O:O,IF(H146&lt;&gt;"黑丝","白","黑"))</f>
        <v>172</v>
      </c>
      <c r="V146" s="264"/>
      <c r="W146" s="369">
        <f t="shared" si="6"/>
        <v>20000</v>
      </c>
      <c r="X146" s="258">
        <f>IF(B146="","",IF(S146&lt;&gt;"","",IF(AND(Z146&lt;&gt;"",AA146&lt;&gt;""),SUM(Z146:AA146),IF(AB146&lt;&gt;"",(I146/((1/((G146+2)/100*K146/1000))*0.9144)/IF(H146="黑丝",22,20)-AB146)*(IF(H146="黑丝",22,20)),I146/((1/((G146+2)/100*K146/1000))*0.9144)))))</f>
        <v>1162.0734908136485</v>
      </c>
      <c r="Y146" s="36">
        <f>IF(OR(B146="",D146&lt;&gt;""),"",IF(S146&lt;&gt;"","",I146/((1/((G146+2)/100*K146/1000))*0.9144)/IF(H146="黑丝",22,20)-AB146))</f>
        <v>58.103674540682427</v>
      </c>
      <c r="Z146" s="340" t="str">
        <f>IF(AND(C146&gt;0,D146&lt;&gt;"",S146=""),VLOOKUP(A146&amp;IF(H146="黑丝","黑","白")&amp;E146,经纬!A:M,13,FALSE)*(I146-AB146),"")</f>
        <v/>
      </c>
      <c r="AA146" s="340" t="str">
        <f>IF(AND(C146&gt;0,D146&lt;&gt;"",S146=""),VLOOKUP(A146&amp;IF(H146="黑丝","黑","白")&amp;E146,经纬!A:N,14,FALSE)*(I146-AB146),"")</f>
        <v/>
      </c>
      <c r="AE146" s="250" t="str">
        <f>IF(COUNTIF(A$2:A146,A146)=1,M146,LOOKUP(1,0/(A$1:A145=A146),AE$1:AE145)&amp;" "&amp;M146)</f>
        <v>XSD A21 A12 A10 A10 A90 A88 A88 A88 A90 A45 A45 A45 A10 A102 XSD A23 A23 A21 A21</v>
      </c>
    </row>
    <row r="147" spans="1:31" outlineLevel="1">
      <c r="A147" s="233" t="s">
        <v>2570</v>
      </c>
      <c r="B147" s="24" t="str">
        <f>IF(A147="","",IF(LEFT(A147)&gt;"9",VLOOKUP(A147,yuanjidaimachichun,2,FALSE),VLOOKUP(A147,经纬!B:C,2,FALSE)))</f>
        <v>A50-30-28</v>
      </c>
      <c r="C147" s="8" t="str">
        <f>IF(A147="","",IF(ISERROR(FIND("*",B147)),MID(B147,2,FIND("-",B147)-2),LEFT(B147,FIND("*",B147)-1)))</f>
        <v>50</v>
      </c>
      <c r="D147" s="8" t="str">
        <f>IF(ISERROR(FIND("*",B147)),"",RIGHT(B147,LEN(B147)-FIND("*",B147)))</f>
        <v/>
      </c>
      <c r="E147" s="89" t="s">
        <v>301</v>
      </c>
      <c r="F147" s="89" t="s">
        <v>2611</v>
      </c>
      <c r="G147" s="8">
        <v>159</v>
      </c>
      <c r="H147" s="8" t="s">
        <v>2586</v>
      </c>
      <c r="I147" s="8">
        <v>50000</v>
      </c>
      <c r="J147" s="8">
        <v>35</v>
      </c>
      <c r="K147" s="8">
        <v>33</v>
      </c>
      <c r="L147" s="8" t="s">
        <v>2596</v>
      </c>
      <c r="M147" s="24" t="str">
        <f t="array" ref="M147">LEFT(L147,MIN(FIND({"A","B","C"},MID(L147,2,LEN(L147))&amp;"ABC")))</f>
        <v>A21</v>
      </c>
      <c r="N147" s="24" t="str">
        <f t="array" ref="N147">SUBSTITUTE(L147,M147,"")</f>
        <v>B558</v>
      </c>
      <c r="O147" s="23">
        <v>43767</v>
      </c>
      <c r="T147" s="264">
        <f>IF(AND(C147&gt;0,D147=""),SUMIFS(yj!I:I,yj!B:B,plan!A147,yj!G:G,"&gt;="&amp;Q147,yj!G:G,"&lt;="&amp;S147),"")</f>
        <v>0</v>
      </c>
      <c r="U147" s="264">
        <f>SUMIFS(四面弹库存!F:F,四面弹库存!B:B,plan!A147,四面弹库存!O:O,IF(H147&lt;&gt;"黑丝","白","黑"))</f>
        <v>26</v>
      </c>
      <c r="V147" s="264"/>
      <c r="W147" s="369">
        <f t="shared" si="6"/>
        <v>50000.000000000007</v>
      </c>
      <c r="X147" s="258">
        <f>IF(B147="","",IF(S147&lt;&gt;"","",IF(AND(Z147&lt;&gt;"",AA147&lt;&gt;""),SUM(Z147:AA147),IF(AB147&lt;&gt;"",(I147/((1/((G147+2)/100*K147/1000))*0.9144)/IF(H147="黑丝",22,20)-AB147)*(IF(H147="黑丝",22,20)),I147/((1/((G147+2)/100*K147/1000))*0.9144)))))</f>
        <v>2905.1837270341211</v>
      </c>
      <c r="Y147" s="36">
        <f>IF(OR(B147="",D147&lt;&gt;""),"",IF(S147&lt;&gt;"","",I147/((1/((G147+2)/100*K147/1000))*0.9144)/IF(H147="黑丝",22,20)-AB147))</f>
        <v>132.05380577427823</v>
      </c>
      <c r="Z147" s="340" t="str">
        <f>IF(AND(C147&gt;0,D147&lt;&gt;"",S147=""),VLOOKUP(A147&amp;IF(H147="黑丝","黑","白")&amp;E147,经纬!A:M,13,FALSE)*(I147-AB147),"")</f>
        <v/>
      </c>
      <c r="AA147" s="340" t="str">
        <f>IF(AND(C147&gt;0,D147&lt;&gt;"",S147=""),VLOOKUP(A147&amp;IF(H147="黑丝","黑","白")&amp;E147,经纬!A:N,14,FALSE)*(I147-AB147),"")</f>
        <v/>
      </c>
      <c r="AE147" s="250" t="str">
        <f>IF(COUNTIF(A$2:A147,A147)=1,M147,LOOKUP(1,0/(A$1:A146=A147),AE$1:AE146)&amp;" "&amp;M147)</f>
        <v>XSD A21 A12 A10 A70 A10 A90 A45 A45 A10 A94 A70 A21</v>
      </c>
    </row>
    <row r="148" spans="1:31" outlineLevel="1">
      <c r="A148" s="233" t="s">
        <v>2597</v>
      </c>
      <c r="B148" s="24" t="str">
        <f>IF(A148="","",IF(LEFT(A148)&gt;"9",VLOOKUP(A148,yuanjidaimachichun,2,FALSE),VLOOKUP(A148,经纬!B:C,2,FALSE)))</f>
        <v>75*75</v>
      </c>
      <c r="C148" s="8" t="str">
        <f>IF(A148="","",IF(ISERROR(FIND("*",B148)),MID(B148,2,FIND("-",B148)-2),LEFT(B148,FIND("*",B148)-1)))</f>
        <v>75</v>
      </c>
      <c r="D148" s="8" t="str">
        <f>IF(ISERROR(FIND("*",B148)),"",RIGHT(B148,LEN(B148)-FIND("*",B148)))</f>
        <v>75</v>
      </c>
      <c r="E148" s="89" t="s">
        <v>2582</v>
      </c>
      <c r="F148" s="89" t="s">
        <v>2611</v>
      </c>
      <c r="G148" s="8">
        <v>149</v>
      </c>
      <c r="H148" s="8" t="s">
        <v>2557</v>
      </c>
      <c r="I148" s="8">
        <v>5000</v>
      </c>
      <c r="J148" s="8">
        <v>45</v>
      </c>
      <c r="L148" s="8" t="s">
        <v>2596</v>
      </c>
      <c r="M148" s="24" t="str">
        <f t="array" ref="M148">LEFT(L148,MIN(FIND({"A","B","C"},MID(L148,2,LEN(L148))&amp;"ABC")))</f>
        <v>A21</v>
      </c>
      <c r="N148" s="24" t="str">
        <f t="array" ref="N148">SUBSTITUTE(L148,M148,"")</f>
        <v>B558</v>
      </c>
      <c r="O148" s="23">
        <v>43767</v>
      </c>
      <c r="T148" s="264" t="str">
        <f>IF(AND(C148&gt;0,D148=""),SUMIFS(yj!I:I,yj!B:B,plan!A148,yj!G:G,"&gt;="&amp;Q148,yj!G:G,"&lt;="&amp;S148),"")</f>
        <v/>
      </c>
      <c r="U148" s="264">
        <f>SUMIFS(四面弹库存!F:F,四面弹库存!B:B,plan!A148,四面弹库存!O:O,IF(H148&lt;&gt;"黑丝","白","黑"))</f>
        <v>0</v>
      </c>
      <c r="V148" s="264"/>
      <c r="W148" s="369">
        <f t="shared" si="6"/>
        <v>5000</v>
      </c>
      <c r="X148" s="258">
        <f>IF(B148="","",IF(S148&lt;&gt;"","",IF(AND(Z148&lt;&gt;"",AA148&lt;&gt;""),SUM(Z148:AA148),IF(AB148&lt;&gt;"",(I148/((1/((G148+2)/100*K148/1000))*0.9144)/IF(H148="黑丝",22,20)-AB148)*(IF(H148="黑丝",22,20)),I148/((1/((G148+2)/100*K148/1000))*0.9144)))))</f>
        <v>316.65570866141729</v>
      </c>
      <c r="Y148" s="36" t="str">
        <f>IF(OR(B148="",D148&lt;&gt;""),"",IF(S148&lt;&gt;"","",I148/((1/((G148+2)/100*K148/1000))*0.9144)/IF(H148="黑丝",22,20)-AB148))</f>
        <v/>
      </c>
      <c r="Z148" s="340">
        <f>IF(AND(C148&gt;0,D148&lt;&gt;"",S148=""),VLOOKUP(A148&amp;IF(H148="黑丝","黑","白")&amp;E148,经纬!A:M,13,FALSE)*(I148-AB148),"")</f>
        <v>171.7</v>
      </c>
      <c r="AA148" s="340">
        <f>IF(AND(C148&gt;0,D148&lt;&gt;"",S148=""),VLOOKUP(A148&amp;IF(H148="黑丝","黑","白")&amp;E148,经纬!A:N,14,FALSE)*(I148-AB148),"")</f>
        <v>144.9557086614173</v>
      </c>
      <c r="AC148" s="8"/>
      <c r="AD148" s="8"/>
      <c r="AE148" s="250" t="str">
        <f>IF(COUNTIF(A$2:A148,A148)=1,M148,LOOKUP(1,0/(A$1:A147=A148),AE$1:AE147)&amp;" "&amp;M148)</f>
        <v>A192 A21</v>
      </c>
    </row>
    <row r="149" spans="1:31" outlineLevel="1">
      <c r="A149" s="233" t="s">
        <v>2597</v>
      </c>
      <c r="B149" s="24" t="str">
        <f>IF(A149="","",IF(LEFT(A149)&gt;"9",VLOOKUP(A149,yuanjidaimachichun,2,FALSE),VLOOKUP(A149,经纬!B:C,2,FALSE)))</f>
        <v>75*75</v>
      </c>
      <c r="C149" s="8" t="str">
        <f>IF(A149="","",IF(ISERROR(FIND("*",B149)),MID(B149,2,FIND("-",B149)-2),LEFT(B149,FIND("*",B149)-1)))</f>
        <v>75</v>
      </c>
      <c r="D149" s="8" t="str">
        <f>IF(ISERROR(FIND("*",B149)),"",RIGHT(B149,LEN(B149)-FIND("*",B149)))</f>
        <v>75</v>
      </c>
      <c r="E149" s="89" t="s">
        <v>2582</v>
      </c>
      <c r="F149" s="89" t="s">
        <v>2611</v>
      </c>
      <c r="G149" s="8">
        <v>149</v>
      </c>
      <c r="H149" s="8" t="s">
        <v>2568</v>
      </c>
      <c r="I149" s="8">
        <v>5000</v>
      </c>
      <c r="J149" s="8">
        <v>45</v>
      </c>
      <c r="L149" s="8" t="s">
        <v>2596</v>
      </c>
      <c r="M149" s="24" t="str">
        <f t="array" ref="M149">LEFT(L149,MIN(FIND({"A","B","C"},MID(L149,2,LEN(L149))&amp;"ABC")))</f>
        <v>A21</v>
      </c>
      <c r="N149" s="24" t="str">
        <f t="array" ref="N149">SUBSTITUTE(L149,M149,"")</f>
        <v>B558</v>
      </c>
      <c r="O149" s="23">
        <v>43767</v>
      </c>
      <c r="T149" s="264" t="str">
        <f>IF(AND(C149&gt;0,D149=""),SUMIFS(yj!I:I,yj!B:B,plan!A149,yj!G:G,"&gt;="&amp;Q149,yj!G:G,"&lt;="&amp;S149),"")</f>
        <v/>
      </c>
      <c r="U149" s="264">
        <f>SUMIFS(四面弹库存!F:F,四面弹库存!B:B,plan!A149,四面弹库存!O:O,IF(H149&lt;&gt;"黑丝","白","黑"))</f>
        <v>0</v>
      </c>
      <c r="V149" s="264"/>
      <c r="W149" s="369">
        <f t="shared" si="6"/>
        <v>5000</v>
      </c>
      <c r="X149" s="258">
        <f>IF(B149="","",IF(S149&lt;&gt;"","",IF(AND(Z149&lt;&gt;"",AA149&lt;&gt;""),SUM(Z149:AA149),IF(AB149&lt;&gt;"",(I149/((1/((G149+2)/100*K149/1000))*0.9144)/IF(H149="黑丝",22,20)-AB149)*(IF(H149="黑丝",22,20)),I149/((1/((G149+2)/100*K149/1000))*0.9144)))))</f>
        <v>316.65570866141729</v>
      </c>
      <c r="Y149" s="36" t="str">
        <f>IF(OR(B149="",D149&lt;&gt;""),"",IF(S149&lt;&gt;"","",I149/((1/((G149+2)/100*K149/1000))*0.9144)/IF(H149="黑丝",22,20)-AB149))</f>
        <v/>
      </c>
      <c r="Z149" s="340">
        <f>IF(AND(C149&gt;0,D149&lt;&gt;"",S149=""),VLOOKUP(A149&amp;IF(H149="黑丝","黑","白")&amp;E149,经纬!A:M,13,FALSE)*(I149-AB149),"")</f>
        <v>171.7</v>
      </c>
      <c r="AA149" s="340">
        <f>IF(AND(C149&gt;0,D149&lt;&gt;"",S149=""),VLOOKUP(A149&amp;IF(H149="黑丝","黑","白")&amp;E149,经纬!A:N,14,FALSE)*(I149-AB149),"")</f>
        <v>144.9557086614173</v>
      </c>
      <c r="AC149" s="8"/>
      <c r="AD149" s="8"/>
      <c r="AE149" s="250" t="str">
        <f>IF(COUNTIF(A$2:A149,A149)=1,M149,LOOKUP(1,0/(A$1:A148=A149),AE$1:AE148)&amp;" "&amp;M149)</f>
        <v>A192 A21 A21</v>
      </c>
    </row>
    <row r="150" spans="1:31" outlineLevel="1">
      <c r="A150" s="233" t="s">
        <v>2566</v>
      </c>
      <c r="B150" s="24" t="str">
        <f>IF(A150="","",IF(LEFT(A150)&gt;"9",VLOOKUP(A150,yuanjidaimachichun,2,FALSE),VLOOKUP(A150,经纬!B:C,2,FALSE)))</f>
        <v>30*30</v>
      </c>
      <c r="C150" s="8" t="str">
        <f>IF(A150="","",IF(ISERROR(FIND("*",B150)),MID(B150,2,FIND("-",B150)-2),LEFT(B150,FIND("*",B150)-1)))</f>
        <v>30</v>
      </c>
      <c r="D150" s="8" t="str">
        <f>IF(ISERROR(FIND("*",B150)),"",RIGHT(B150,LEN(B150)-FIND("*",B150)))</f>
        <v>30</v>
      </c>
      <c r="E150" s="89" t="s">
        <v>2561</v>
      </c>
      <c r="G150" s="8">
        <v>190</v>
      </c>
      <c r="H150" s="8" t="s">
        <v>2562</v>
      </c>
      <c r="I150" s="8">
        <v>30000</v>
      </c>
      <c r="J150" s="8">
        <v>23</v>
      </c>
      <c r="L150" s="8" t="s">
        <v>2604</v>
      </c>
      <c r="M150" s="24" t="str">
        <f t="array" ref="M150">LEFT(L150,MIN(FIND({"A","B","C"},MID(L150,2,LEN(L150))&amp;"ABC")))</f>
        <v>A70</v>
      </c>
      <c r="N150" s="24" t="str">
        <f t="array" ref="N150">SUBSTITUTE(L150,M150,"")</f>
        <v>C408</v>
      </c>
      <c r="O150" s="23">
        <v>43766</v>
      </c>
      <c r="S150" s="23">
        <v>43768</v>
      </c>
      <c r="T150" s="264" t="str">
        <f>IF(AND(C150&gt;0,D150=""),SUMIFS(yj!I:I,yj!B:B,plan!A150,yj!G:G,"&gt;="&amp;Q150,yj!G:G,"&lt;="&amp;S150),"")</f>
        <v/>
      </c>
      <c r="U150" s="264">
        <f>SUMIFS(四面弹库存!F:F,四面弹库存!B:B,plan!A150,四面弹库存!O:O,IF(H150&lt;&gt;"黑丝","白","黑"))</f>
        <v>0</v>
      </c>
      <c r="V150" s="264"/>
      <c r="W150" s="369" t="str">
        <f t="shared" si="6"/>
        <v/>
      </c>
      <c r="X150" s="258" t="str">
        <f>IF(B150="","",IF(S150&lt;&gt;"","",IF(AND(Z150&lt;&gt;"",AA150&lt;&gt;""),SUM(Z150:AA150),IF(AB150&lt;&gt;"",(I150/((1/((G150+2)/100*K150/1000))*0.9144)/IF(H150="黑丝",22,20)-AB150)*(IF(H150="黑丝",22,20)),I150/((1/((G150+2)/100*K150/1000))*0.9144)))))</f>
        <v/>
      </c>
      <c r="Y150" s="36" t="str">
        <f>IF(OR(B150="",D150&lt;&gt;""),"",IF(S150&lt;&gt;"","",I150/((1/((G150+2)/100*K150/1000))*0.9144)/IF(H150="黑丝",22,20)-AB150))</f>
        <v/>
      </c>
      <c r="Z150" s="340" t="str">
        <f>IF(AND(C150&gt;0,D150&lt;&gt;"",S150=""),VLOOKUP(A150&amp;IF(H150="黑丝","黑","白")&amp;E150,经纬!A:M,13,FALSE)*(I150-AB150),"")</f>
        <v/>
      </c>
      <c r="AA150" s="340" t="str">
        <f>IF(AND(C150&gt;0,D150&lt;&gt;"",S150=""),VLOOKUP(A150&amp;IF(H150="黑丝","黑","白")&amp;E150,经纬!A:N,14,FALSE)*(I150-AB150),"")</f>
        <v/>
      </c>
      <c r="AB150" s="8">
        <v>37992</v>
      </c>
      <c r="AC150" s="8" t="s">
        <v>2742</v>
      </c>
      <c r="AD150" s="8"/>
      <c r="AE150" s="250" t="str">
        <f>IF(COUNTIF(A$2:A150,A150)=1,M150,LOOKUP(1,0/(A$1:A149=A150),AE$1:AE149)&amp;" "&amp;M150)</f>
        <v>A254 A254 A23 A23 A70</v>
      </c>
    </row>
    <row r="151" spans="1:31" outlineLevel="1">
      <c r="A151" s="233" t="s">
        <v>2566</v>
      </c>
      <c r="B151" s="24" t="str">
        <f>IF(A151="","",IF(LEFT(A151)&gt;"9",VLOOKUP(A151,yuanjidaimachichun,2,FALSE),VLOOKUP(A151,经纬!B:C,2,FALSE)))</f>
        <v>30*30</v>
      </c>
      <c r="C151" s="8" t="str">
        <f>IF(A151="","",IF(ISERROR(FIND("*",B151)),MID(B151,2,FIND("-",B151)-2),LEFT(B151,FIND("*",B151)-1)))</f>
        <v>30</v>
      </c>
      <c r="D151" s="8" t="str">
        <f>IF(ISERROR(FIND("*",B151)),"",RIGHT(B151,LEN(B151)-FIND("*",B151)))</f>
        <v>30</v>
      </c>
      <c r="E151" s="89" t="s">
        <v>2561</v>
      </c>
      <c r="G151" s="8">
        <v>190</v>
      </c>
      <c r="H151" s="8" t="s">
        <v>2562</v>
      </c>
      <c r="I151" s="8">
        <v>15000</v>
      </c>
      <c r="J151" s="8">
        <v>23</v>
      </c>
      <c r="L151" s="8" t="s">
        <v>2604</v>
      </c>
      <c r="M151" s="24" t="str">
        <f t="array" ref="M151">LEFT(L151,MIN(FIND({"A","B","C"},MID(L151,2,LEN(L151))&amp;"ABC")))</f>
        <v>A70</v>
      </c>
      <c r="N151" s="24" t="str">
        <f t="array" ref="N151">SUBSTITUTE(L151,M151,"")</f>
        <v>C408</v>
      </c>
      <c r="O151" s="23">
        <v>43766</v>
      </c>
      <c r="S151" s="23">
        <v>43768</v>
      </c>
      <c r="T151" s="264" t="str">
        <f>IF(AND(C151&gt;0,D151=""),SUMIFS(yj!I:I,yj!B:B,plan!A151,yj!G:G,"&gt;="&amp;Q151,yj!G:G,"&lt;="&amp;S151),"")</f>
        <v/>
      </c>
      <c r="U151" s="264">
        <f>SUMIFS(四面弹库存!F:F,四面弹库存!B:B,plan!A151,四面弹库存!O:O,IF(H151&lt;&gt;"黑丝","白","黑"))</f>
        <v>0</v>
      </c>
      <c r="V151" s="264"/>
      <c r="W151" s="369" t="str">
        <f t="shared" si="6"/>
        <v/>
      </c>
      <c r="X151" s="258" t="str">
        <f>IF(B151="","",IF(S151&lt;&gt;"","",IF(AND(Z151&lt;&gt;"",AA151&lt;&gt;""),SUM(Z151:AA151),IF(AB151&lt;&gt;"",(I151/((1/((G151+2)/100*K151/1000))*0.9144)/IF(H151="黑丝",22,20)-AB151)*(IF(H151="黑丝",22,20)),I151/((1/((G151+2)/100*K151/1000))*0.9144)))))</f>
        <v/>
      </c>
      <c r="Y151" s="36" t="str">
        <f>IF(OR(B151="",D151&lt;&gt;""),"",IF(S151&lt;&gt;"","",I151/((1/((G151+2)/100*K151/1000))*0.9144)/IF(H151="黑丝",22,20)-AB151))</f>
        <v/>
      </c>
      <c r="Z151" s="340" t="str">
        <f>IF(AND(C151&gt;0,D151&lt;&gt;"",S151=""),VLOOKUP(A151&amp;IF(H151="黑丝","黑","白")&amp;E151,经纬!A:M,13,FALSE)*(I151-AB151),"")</f>
        <v/>
      </c>
      <c r="AA151" s="340" t="str">
        <f>IF(AND(C151&gt;0,D151&lt;&gt;"",S151=""),VLOOKUP(A151&amp;IF(H151="黑丝","黑","白")&amp;E151,经纬!A:N,14,FALSE)*(I151-AB151),"")</f>
        <v/>
      </c>
      <c r="AB151" s="8">
        <f>700+400+20000+630+771</f>
        <v>22501</v>
      </c>
      <c r="AC151" s="8" t="s">
        <v>2742</v>
      </c>
      <c r="AD151" s="8"/>
      <c r="AE151" s="250" t="str">
        <f>IF(COUNTIF(A$2:A151,A151)=1,M151,LOOKUP(1,0/(A$1:A150=A151),AE$1:AE150)&amp;" "&amp;M151)</f>
        <v>A254 A254 A23 A23 A70 A70</v>
      </c>
    </row>
    <row r="152" spans="1:31" outlineLevel="1">
      <c r="A152" s="233" t="s">
        <v>2605</v>
      </c>
      <c r="B152" s="24" t="str">
        <f>IF(A152="","",IF(LEFT(A152)&gt;"9",VLOOKUP(A152,yuanjidaimachichun,2,FALSE),VLOOKUP(A152,经纬!B:C,2,FALSE)))</f>
        <v>75*75</v>
      </c>
      <c r="C152" s="8" t="str">
        <f>IF(A152="","",IF(ISERROR(FIND("*",B152)),MID(B152,2,FIND("-",B152)-2),LEFT(B152,FIND("*",B152)-1)))</f>
        <v>75</v>
      </c>
      <c r="D152" s="8" t="str">
        <f>IF(ISERROR(FIND("*",B152)),"",RIGHT(B152,LEN(B152)-FIND("*",B152)))</f>
        <v>75</v>
      </c>
      <c r="E152" s="89" t="s">
        <v>2606</v>
      </c>
      <c r="G152" s="8">
        <v>190.5</v>
      </c>
      <c r="H152" s="8" t="s">
        <v>2587</v>
      </c>
      <c r="I152" s="8">
        <v>15000</v>
      </c>
      <c r="J152" s="8">
        <v>43</v>
      </c>
      <c r="L152" s="8" t="s">
        <v>2607</v>
      </c>
      <c r="M152" s="24" t="str">
        <f t="array" ref="M152">LEFT(L152,MIN(FIND({"A","B","C"},MID(L152,2,LEN(L152))&amp;"ABC")))</f>
        <v>A70</v>
      </c>
      <c r="N152" s="24" t="str">
        <f t="array" ref="N152">SUBSTITUTE(L152,M152,"")</f>
        <v>C409</v>
      </c>
      <c r="O152" s="23">
        <v>43767</v>
      </c>
      <c r="T152" s="264" t="str">
        <f>IF(AND(C152&gt;0,D152=""),SUMIFS(yj!I:I,yj!B:B,plan!A152,yj!G:G,"&gt;="&amp;Q152,yj!G:G,"&lt;="&amp;S152),"")</f>
        <v/>
      </c>
      <c r="U152" s="264">
        <f>SUMIFS(四面弹库存!F:F,四面弹库存!B:B,plan!A152,四面弹库存!O:O,IF(H152&lt;&gt;"黑丝","白","黑"))</f>
        <v>0</v>
      </c>
      <c r="V152" s="264"/>
      <c r="W152" s="369">
        <f t="shared" si="6"/>
        <v>15000</v>
      </c>
      <c r="X152" s="258">
        <f>IF(B152="","",IF(S152&lt;&gt;"","",IF(AND(Z152&lt;&gt;"",AA152&lt;&gt;""),SUM(Z152:AA152),IF(AB152&lt;&gt;"",(I152/((1/((G152+2)/100*K152/1000))*0.9144)/IF(H152="黑丝",22,20)-AB152)*(IF(H152="黑丝",22,20)),I152/((1/((G152+2)/100*K152/1000))*0.9144)))))</f>
        <v>909.51437007874006</v>
      </c>
      <c r="Y152" s="36" t="str">
        <f>IF(OR(B152="",D152&lt;&gt;""),"",IF(S152&lt;&gt;"","",I152/((1/((G152+2)/100*K152/1000))*0.9144)/IF(H152="黑丝",22,20)-AB152))</f>
        <v/>
      </c>
      <c r="Z152" s="340">
        <f>IF(AND(C152&gt;0,D152&lt;&gt;"",S152=""),VLOOKUP(A152&amp;IF(H152="黑丝","黑","白")&amp;E152,经纬!A:M,13,FALSE)*(I152-AB152),"")</f>
        <v>515.09999999999991</v>
      </c>
      <c r="AA152" s="340">
        <f>IF(AND(C152&gt;0,D152&lt;&gt;"",S152=""),VLOOKUP(A152&amp;IF(H152="黑丝","黑","白")&amp;E152,经纬!A:N,14,FALSE)*(I152-AB152),"")</f>
        <v>394.41437007874009</v>
      </c>
      <c r="AC152" s="8"/>
      <c r="AD152" s="8"/>
      <c r="AE152" s="250" t="str">
        <f>IF(COUNTIF(A$2:A152,A152)=1,M152,LOOKUP(1,0/(A$1:A151=A152),AE$1:AE151)&amp;" "&amp;M152)</f>
        <v>A94 A94 A70 A70</v>
      </c>
    </row>
    <row r="153" spans="1:31" outlineLevel="1">
      <c r="A153" s="233" t="s">
        <v>2560</v>
      </c>
      <c r="B153" s="24" t="str">
        <f>IF(A153="","",IF(LEFT(A153)&gt;"9",VLOOKUP(A153,yuanjidaimachichun,2,FALSE),VLOOKUP(A153,经纬!B:C,2,FALSE)))</f>
        <v>20*20</v>
      </c>
      <c r="C153" s="8" t="str">
        <f>IF(A153="","",IF(ISERROR(FIND("*",B153)),MID(B153,2,FIND("-",B153)-2),LEFT(B153,FIND("*",B153)-1)))</f>
        <v>20</v>
      </c>
      <c r="D153" s="8" t="str">
        <f>IF(ISERROR(FIND("*",B153)),"",RIGHT(B153,LEN(B153)-FIND("*",B153)))</f>
        <v>20</v>
      </c>
      <c r="E153" s="89" t="s">
        <v>2561</v>
      </c>
      <c r="G153" s="8">
        <v>197</v>
      </c>
      <c r="H153" s="8" t="s">
        <v>2608</v>
      </c>
      <c r="I153" s="8">
        <v>2000</v>
      </c>
      <c r="J153" s="8">
        <v>22</v>
      </c>
      <c r="L153" s="8" t="s">
        <v>2609</v>
      </c>
      <c r="M153" s="24" t="str">
        <f t="array" ref="M153">LEFT(L153,MIN(FIND({"A","B","C"},MID(L153,2,LEN(L153))&amp;"ABC")))</f>
        <v>骏马</v>
      </c>
      <c r="N153" s="24" t="str">
        <f t="array" ref="N153">SUBSTITUTE(L153,M153,"")</f>
        <v/>
      </c>
      <c r="O153" s="23">
        <v>43767</v>
      </c>
      <c r="S153" s="23">
        <v>43774</v>
      </c>
      <c r="T153" s="264" t="str">
        <f>IF(AND(C153&gt;0,D153=""),SUMIFS(yj!I:I,yj!B:B,plan!A153,yj!G:G,"&gt;="&amp;Q153,yj!G:G,"&lt;="&amp;S153),"")</f>
        <v/>
      </c>
      <c r="U153" s="264">
        <f>SUMIFS(四面弹库存!F:F,四面弹库存!B:B,plan!A153,四面弹库存!O:O,IF(H153&lt;&gt;"黑丝","白","黑"))</f>
        <v>0</v>
      </c>
      <c r="V153" s="264"/>
      <c r="W153" s="369" t="str">
        <f t="shared" si="6"/>
        <v/>
      </c>
      <c r="X153" s="258" t="str">
        <f>IF(B153="","",IF(S153&lt;&gt;"","",IF(AND(Z153&lt;&gt;"",AA153&lt;&gt;""),SUM(Z153:AA153),IF(AB153&lt;&gt;"",(I153/((1/((G153+2)/100*K153/1000))*0.9144)/IF(H153="黑丝",22,20)-AB153)*(IF(H153="黑丝",22,20)),I153/((1/((G153+2)/100*K153/1000))*0.9144)))))</f>
        <v/>
      </c>
      <c r="Y153" s="36" t="str">
        <f>IF(OR(B153="",D153&lt;&gt;""),"",IF(S153&lt;&gt;"","",I153/((1/((G153+2)/100*K153/1000))*0.9144)/IF(H153="黑丝",22,20)-AB153))</f>
        <v/>
      </c>
      <c r="Z153" s="340" t="str">
        <f>IF(AND(C153&gt;0,D153&lt;&gt;"",S153=""),VLOOKUP(A153&amp;IF(H153="黑丝","黑","白")&amp;E153,经纬!A:M,13,FALSE)*(I153-AB153),"")</f>
        <v/>
      </c>
      <c r="AA153" s="340" t="str">
        <f>IF(AND(C153&gt;0,D153&lt;&gt;"",S153=""),VLOOKUP(A153&amp;IF(H153="黑丝","黑","白")&amp;E153,经纬!A:N,14,FALSE)*(I153-AB153),"")</f>
        <v/>
      </c>
      <c r="AB153" s="8">
        <v>3000</v>
      </c>
      <c r="AC153" s="8" t="s">
        <v>2973</v>
      </c>
      <c r="AD153" s="8"/>
      <c r="AE153" s="250" t="str">
        <f>IF(COUNTIF(A$2:A153,A153)=1,M153,LOOKUP(1,0/(A$1:A152=A153),AE$1:AE152)&amp;" "&amp;M153)</f>
        <v>A12 骏马</v>
      </c>
    </row>
    <row r="154" spans="1:31" outlineLevel="1">
      <c r="A154" s="233" t="s">
        <v>2605</v>
      </c>
      <c r="B154" s="24" t="str">
        <f>IF(A154="","",IF(LEFT(A154)&gt;"9",VLOOKUP(A154,yuanjidaimachichun,2,FALSE),VLOOKUP(A154,经纬!B:C,2,FALSE)))</f>
        <v>75*75</v>
      </c>
      <c r="C154" s="8" t="str">
        <f>IF(A154="","",IF(ISERROR(FIND("*",B154)),MID(B154,2,FIND("-",B154)-2),LEFT(B154,FIND("*",B154)-1)))</f>
        <v>75</v>
      </c>
      <c r="D154" s="8" t="str">
        <f>IF(ISERROR(FIND("*",B154)),"",RIGHT(B154,LEN(B154)-FIND("*",B154)))</f>
        <v>75</v>
      </c>
      <c r="E154" s="89" t="s">
        <v>2606</v>
      </c>
      <c r="F154" s="89" t="s">
        <v>2611</v>
      </c>
      <c r="G154" s="8">
        <v>190.5</v>
      </c>
      <c r="H154" s="8" t="s">
        <v>1499</v>
      </c>
      <c r="I154" s="8">
        <v>8700</v>
      </c>
      <c r="J154" s="8">
        <v>43</v>
      </c>
      <c r="L154" s="8" t="s">
        <v>2610</v>
      </c>
      <c r="M154" s="24" t="str">
        <f t="array" ref="M154">LEFT(L154,MIN(FIND({"A","B","C"},MID(L154,2,LEN(L154))&amp;"ABC")))</f>
        <v>A145</v>
      </c>
      <c r="N154" s="24" t="str">
        <f t="array" ref="N154">SUBSTITUTE(L154,M154,"")</f>
        <v>C411</v>
      </c>
      <c r="O154" s="23">
        <v>43768</v>
      </c>
      <c r="S154" s="23">
        <v>43770</v>
      </c>
      <c r="T154" s="264" t="str">
        <f>IF(AND(C154&gt;0,D154=""),SUMIFS(yj!I:I,yj!B:B,plan!A154,yj!G:G,"&gt;="&amp;Q154,yj!G:G,"&lt;="&amp;S154),"")</f>
        <v/>
      </c>
      <c r="U154" s="264">
        <f>SUMIFS(四面弹库存!F:F,四面弹库存!B:B,plan!A154,四面弹库存!O:O,IF(H154&lt;&gt;"黑丝","白","黑"))</f>
        <v>0</v>
      </c>
      <c r="V154" s="264"/>
      <c r="W154" s="369" t="str">
        <f t="shared" si="6"/>
        <v/>
      </c>
      <c r="X154" s="258" t="str">
        <f>IF(B154="","",IF(S154&lt;&gt;"","",IF(AND(Z154&lt;&gt;"",AA154&lt;&gt;""),SUM(Z154:AA154),IF(AB154&lt;&gt;"",(I154/((1/((G154+2)/100*K154/1000))*0.9144)/IF(H154="黑丝",22,20)-AB154)*(IF(H154="黑丝",22,20)),I154/((1/((G154+2)/100*K154/1000))*0.9144)))))</f>
        <v/>
      </c>
      <c r="Y154" s="36" t="str">
        <f>IF(OR(B154="",D154&lt;&gt;""),"",IF(S154&lt;&gt;"","",I154/((1/((G154+2)/100*K154/1000))*0.9144)/IF(H154="黑丝",22,20)-AB154))</f>
        <v/>
      </c>
      <c r="Z154" s="340" t="str">
        <f>IF(AND(C154&gt;0,D154&lt;&gt;"",S154=""),VLOOKUP(A154&amp;IF(H154="黑丝","黑","白")&amp;E154,经纬!A:M,13,FALSE)*(I154-AB154),"")</f>
        <v/>
      </c>
      <c r="AA154" s="340" t="str">
        <f>IF(AND(C154&gt;0,D154&lt;&gt;"",S154=""),VLOOKUP(A154&amp;IF(H154="黑丝","黑","白")&amp;E154,经纬!A:N,14,FALSE)*(I154-AB154),"")</f>
        <v/>
      </c>
      <c r="AB154" s="8">
        <f>3632+11000</f>
        <v>14632</v>
      </c>
      <c r="AC154" s="8" t="s">
        <v>2722</v>
      </c>
      <c r="AD154" s="8"/>
      <c r="AE154" s="250" t="str">
        <f>IF(COUNTIF(A$2:A154,A154)=1,M154,LOOKUP(1,0/(A$1:A153=A154),AE$1:AE153)&amp;" "&amp;M154)</f>
        <v>A94 A94 A70 A70 A145</v>
      </c>
    </row>
    <row r="155" spans="1:31" outlineLevel="1">
      <c r="A155" s="233" t="s">
        <v>1605</v>
      </c>
      <c r="B155" s="24" t="str">
        <f>IF(A155="","",IF(LEFT(A155)&gt;"9",VLOOKUP(A155,yuanjidaimachichun,2,FALSE),VLOOKUP(A155,经纬!B:C,2,FALSE)))</f>
        <v>C75-30-20</v>
      </c>
      <c r="C155" s="8" t="str">
        <f>IF(A155="","",IF(ISERROR(FIND("*",B155)),MID(B155,2,FIND("-",B155)-2),LEFT(B155,FIND("*",B155)-1)))</f>
        <v>75</v>
      </c>
      <c r="D155" s="8" t="str">
        <f>IF(ISERROR(FIND("*",B155)),"",RIGHT(B155,LEN(B155)-FIND("*",B155)))</f>
        <v/>
      </c>
      <c r="E155" s="89" t="s">
        <v>2298</v>
      </c>
      <c r="F155" s="89" t="s">
        <v>2612</v>
      </c>
      <c r="G155" s="8">
        <v>157.5</v>
      </c>
      <c r="H155" s="8" t="s">
        <v>2569</v>
      </c>
      <c r="I155" s="8">
        <v>25000</v>
      </c>
      <c r="J155" s="8">
        <v>42</v>
      </c>
      <c r="K155" s="8">
        <v>38</v>
      </c>
      <c r="L155" s="8" t="s">
        <v>2613</v>
      </c>
      <c r="M155" s="24" t="str">
        <f t="array" ref="M155">LEFT(L155,MIN(FIND({"A","B","C"},MID(L155,2,LEN(L155))&amp;"ABC")))</f>
        <v>A35</v>
      </c>
      <c r="N155" s="24" t="str">
        <f t="array" ref="N155">SUBSTITUTE(L155,M155,"")</f>
        <v>B431</v>
      </c>
      <c r="O155" s="23">
        <v>43768</v>
      </c>
      <c r="T155" s="264">
        <f>IF(AND(C155&gt;0,D155=""),SUMIFS(yj!I:I,yj!B:B,plan!A155,yj!G:G,"&gt;="&amp;Q155,yj!G:G,"&lt;="&amp;S155),"")</f>
        <v>0</v>
      </c>
      <c r="U155" s="264">
        <f>SUMIFS(四面弹库存!F:F,四面弹库存!B:B,plan!A155,四面弹库存!O:O,IF(H155&lt;&gt;"黑丝","白","黑"))</f>
        <v>67</v>
      </c>
      <c r="V155" s="264"/>
      <c r="W155" s="369">
        <f t="shared" si="6"/>
        <v>24999.999999999996</v>
      </c>
      <c r="X155" s="258">
        <f>IF(B155="","",IF(S155&lt;&gt;"","",IF(AND(Z155&lt;&gt;"",AA155&lt;&gt;""),SUM(Z155:AA155),IF(AB155&lt;&gt;"",(I155/((1/((G155+2)/100*K155/1000))*0.9144)/IF(H155="黑丝",22,20)-AB155)*(IF(H155="黑丝",22,20)),I155/((1/((G155+2)/100*K155/1000))*0.9144)))))</f>
        <v>1657.0975503062116</v>
      </c>
      <c r="Y155" s="36">
        <f>IF(OR(B155="",D155&lt;&gt;""),"",IF(S155&lt;&gt;"","",I155/((1/((G155+2)/100*K155/1000))*0.9144)/IF(H155="黑丝",22,20)-AB155))</f>
        <v>82.854877515310577</v>
      </c>
      <c r="Z155" s="340" t="str">
        <f>IF(AND(C155&gt;0,D155&lt;&gt;"",S155=""),VLOOKUP(A155&amp;IF(H155="黑丝","黑","白")&amp;E155,经纬!A:M,13,FALSE)*(I155-AB155),"")</f>
        <v/>
      </c>
      <c r="AA155" s="340" t="str">
        <f>IF(AND(C155&gt;0,D155&lt;&gt;"",S155=""),VLOOKUP(A155&amp;IF(H155="黑丝","黑","白")&amp;E155,经纬!A:N,14,FALSE)*(I155-AB155),"")</f>
        <v/>
      </c>
      <c r="AE155" s="250" t="str">
        <f>IF(COUNTIF(A$2:A155,A155)=1,M155,LOOKUP(1,0/(A$1:A154=A155),AE$1:AE154)&amp;" "&amp;M155)</f>
        <v>A35 A35 A35 A35</v>
      </c>
    </row>
    <row r="156" spans="1:31" outlineLevel="1">
      <c r="A156" s="233" t="s">
        <v>2566</v>
      </c>
      <c r="B156" s="24" t="str">
        <f>IF(A156="","",IF(LEFT(A156)&gt;"9",VLOOKUP(A156,yuanjidaimachichun,2,FALSE),VLOOKUP(A156,经纬!B:C,2,FALSE)))</f>
        <v>30*30</v>
      </c>
      <c r="C156" s="8" t="str">
        <f>IF(A156="","",IF(ISERROR(FIND("*",B156)),MID(B156,2,FIND("-",B156)-2),LEFT(B156,FIND("*",B156)-1)))</f>
        <v>30</v>
      </c>
      <c r="D156" s="8" t="str">
        <f>IF(ISERROR(FIND("*",B156)),"",RIGHT(B156,LEN(B156)-FIND("*",B156)))</f>
        <v>30</v>
      </c>
      <c r="E156" s="89" t="s">
        <v>2561</v>
      </c>
      <c r="F156" s="89" t="s">
        <v>2611</v>
      </c>
      <c r="G156" s="8">
        <v>190</v>
      </c>
      <c r="H156" s="8" t="s">
        <v>2569</v>
      </c>
      <c r="I156" s="8">
        <v>100000</v>
      </c>
      <c r="J156" s="8">
        <v>23</v>
      </c>
      <c r="L156" s="8" t="s">
        <v>2614</v>
      </c>
      <c r="M156" s="24" t="str">
        <f t="array" ref="M156">LEFT(L156,MIN(FIND({"A","B","C"},MID(L156,2,LEN(L156))&amp;"ABC")))</f>
        <v>A184</v>
      </c>
      <c r="N156" s="24" t="str">
        <f t="array" ref="N156">SUBSTITUTE(L156,M156,"")</f>
        <v>B564</v>
      </c>
      <c r="O156" s="23">
        <v>43768</v>
      </c>
      <c r="S156" s="23">
        <v>43772</v>
      </c>
      <c r="T156" s="264" t="str">
        <f>IF(AND(C156&gt;0,D156=""),SUMIFS(yj!I:I,yj!B:B,plan!A156,yj!G:G,"&gt;="&amp;Q156,yj!G:G,"&lt;="&amp;S156),"")</f>
        <v/>
      </c>
      <c r="U156" s="264">
        <f>SUMIFS(四面弹库存!F:F,四面弹库存!B:B,plan!A156,四面弹库存!O:O,IF(H156&lt;&gt;"黑丝","白","黑"))</f>
        <v>0</v>
      </c>
      <c r="V156" s="264"/>
      <c r="W156" s="369" t="str">
        <f t="shared" si="6"/>
        <v/>
      </c>
      <c r="X156" s="258" t="str">
        <f t="shared" ref="X156:X219" si="7">IF(B156="","",IF(S156&lt;&gt;"","",IF(AND(Z156&lt;&gt;"",AA156&lt;&gt;""),SUM(Z156:AA156),IF(AB156&lt;&gt;"",(I156/((1/((G156+2)/100*K156/1000))*0.9144)/IF(H156="黑丝",22,20)-AB156)*(IF(H156="黑丝",22,20)),I156/((1/((G156+2)/100*K156/1000))*0.9144)))))</f>
        <v/>
      </c>
      <c r="Y156" s="36" t="str">
        <f>IF(OR(B156="",D156&lt;&gt;""),"",IF(S156&lt;&gt;"","",I156/((1/((G156+2)/100*K156/1000))*0.9144)/IF(H156="黑丝",22,20)-AB156))</f>
        <v/>
      </c>
      <c r="Z156" s="340" t="str">
        <f>IF(AND(C156&gt;0,D156&lt;&gt;"",S156=""),VLOOKUP(A156&amp;IF(H156="黑丝","黑","白")&amp;E156,经纬!A:M,13,FALSE)*(I156-AB156),"")</f>
        <v/>
      </c>
      <c r="AA156" s="340" t="str">
        <f>IF(AND(C156&gt;0,D156&lt;&gt;"",S156=""),VLOOKUP(A156&amp;IF(H156="黑丝","黑","白")&amp;E156,经纬!A:N,14,FALSE)*(I156-AB156),"")</f>
        <v/>
      </c>
      <c r="AB156" s="8">
        <f>12000+50000+68000</f>
        <v>130000</v>
      </c>
      <c r="AC156" s="8" t="s">
        <v>2786</v>
      </c>
      <c r="AD156" s="8"/>
      <c r="AE156" s="250" t="str">
        <f>IF(COUNTIF(A$2:A156,A156)=1,M156,LOOKUP(1,0/(A$1:A155=A156),AE$1:AE155)&amp;" "&amp;M156)</f>
        <v>A254 A254 A23 A23 A70 A70 A184</v>
      </c>
    </row>
    <row r="157" spans="1:31">
      <c r="A157" s="233" t="s">
        <v>2566</v>
      </c>
      <c r="B157" s="24" t="str">
        <f>IF(A157="","",IF(LEFT(A157)&gt;"9",VLOOKUP(A157,yuanjidaimachichun,2,FALSE),VLOOKUP(A157,经纬!B:C,2,FALSE)))</f>
        <v>30*30</v>
      </c>
      <c r="C157" s="8" t="str">
        <f>IF(A157="","",IF(ISERROR(FIND("*",B157)),MID(B157,2,FIND("-",B157)-2),LEFT(B157,FIND("*",B157)-1)))</f>
        <v>30</v>
      </c>
      <c r="D157" s="8" t="str">
        <f>IF(ISERROR(FIND("*",B157)),"",RIGHT(B157,LEN(B157)-FIND("*",B157)))</f>
        <v>30</v>
      </c>
      <c r="E157" s="89" t="s">
        <v>2606</v>
      </c>
      <c r="F157" s="89" t="s">
        <v>2612</v>
      </c>
      <c r="G157" s="8">
        <v>190</v>
      </c>
      <c r="H157" s="8" t="s">
        <v>2569</v>
      </c>
      <c r="I157" s="8">
        <v>11400</v>
      </c>
      <c r="J157" s="8">
        <v>23</v>
      </c>
      <c r="L157" s="8" t="s">
        <v>2615</v>
      </c>
      <c r="M157" s="24" t="str">
        <f t="array" ref="M157">LEFT(L157,MIN(FIND({"A","B","C"},MID(L157,2,LEN(L157))&amp;"ABC")))</f>
        <v>A90</v>
      </c>
      <c r="N157" s="24" t="str">
        <f t="array" ref="N157">SUBSTITUTE(L157,M157,"")</f>
        <v>B416</v>
      </c>
      <c r="O157" s="23">
        <v>43770</v>
      </c>
      <c r="S157" s="23">
        <v>43770</v>
      </c>
      <c r="T157" s="264" t="str">
        <f>IF(AND(C157&gt;0,D157=""),SUMIFS(yj!I:I,yj!B:B,plan!A157,yj!G:G,"&gt;="&amp;Q157,yj!G:G,"&lt;="&amp;S157),"")</f>
        <v/>
      </c>
      <c r="U157" s="264">
        <f>SUMIFS(四面弹库存!F:F,四面弹库存!B:B,plan!A157,四面弹库存!O:O,IF(H157&lt;&gt;"黑丝","白","黑"))</f>
        <v>0</v>
      </c>
      <c r="V157" s="264"/>
      <c r="W157" s="369" t="str">
        <f t="shared" si="6"/>
        <v/>
      </c>
      <c r="X157" s="258" t="str">
        <f t="shared" si="7"/>
        <v/>
      </c>
      <c r="Y157" s="36" t="str">
        <f>IF(OR(B157="",D157&lt;&gt;""),"",IF(S157&lt;&gt;"","",I157/((1/((G157+2)/100*K157/1000))*0.9144)/IF(H157="黑丝",22,20)-AB157))</f>
        <v/>
      </c>
      <c r="Z157" s="340" t="str">
        <f>IF(AND(C157&gt;0,D157&lt;&gt;"",S157=""),VLOOKUP(A157&amp;IF(H157="黑丝","黑","白")&amp;E157,经纬!A:M,13,FALSE)*(I157-AB157),"")</f>
        <v/>
      </c>
      <c r="AA157" s="340" t="str">
        <f>IF(AND(C157&gt;0,D157&lt;&gt;"",S157=""),VLOOKUP(A157&amp;IF(H157="黑丝","黑","白")&amp;E157,经纬!A:N,14,FALSE)*(I157-AB157),"")</f>
        <v/>
      </c>
      <c r="AB157" s="8">
        <v>14000</v>
      </c>
      <c r="AC157" s="390" t="s">
        <v>2623</v>
      </c>
      <c r="AD157" s="390"/>
      <c r="AE157" s="250" t="str">
        <f>IF(COUNTIF(A$2:A157,A157)=1,M157,LOOKUP(1,0/(A$1:A156=A157),AE$1:AE156)&amp;" "&amp;M157)</f>
        <v>A254 A254 A23 A23 A70 A70 A184 A90</v>
      </c>
    </row>
    <row r="158" spans="1:31">
      <c r="A158" s="233" t="s">
        <v>2566</v>
      </c>
      <c r="B158" s="24" t="str">
        <f>IF(A158="","",IF(LEFT(A158)&gt;"9",VLOOKUP(A158,yuanjidaimachichun,2,FALSE),VLOOKUP(A158,经纬!B:C,2,FALSE)))</f>
        <v>30*30</v>
      </c>
      <c r="C158" s="8" t="str">
        <f>IF(A158="","",IF(ISERROR(FIND("*",B158)),MID(B158,2,FIND("-",B158)-2),LEFT(B158,FIND("*",B158)-1)))</f>
        <v>30</v>
      </c>
      <c r="D158" s="8" t="str">
        <f>IF(ISERROR(FIND("*",B158)),"",RIGHT(B158,LEN(B158)-FIND("*",B158)))</f>
        <v>30</v>
      </c>
      <c r="E158" s="89" t="s">
        <v>2606</v>
      </c>
      <c r="F158" s="89" t="s">
        <v>2612</v>
      </c>
      <c r="G158" s="8">
        <v>190</v>
      </c>
      <c r="H158" s="8" t="s">
        <v>1499</v>
      </c>
      <c r="I158" s="8">
        <v>6100</v>
      </c>
      <c r="J158" s="8">
        <v>23</v>
      </c>
      <c r="L158" s="8" t="s">
        <v>2615</v>
      </c>
      <c r="M158" s="24" t="str">
        <f t="array" ref="M158">LEFT(L158,MIN(FIND({"A","B","C"},MID(L158,2,LEN(L158))&amp;"ABC")))</f>
        <v>A90</v>
      </c>
      <c r="N158" s="24" t="str">
        <f t="array" ref="N158">SUBSTITUTE(L158,M158,"")</f>
        <v>B416</v>
      </c>
      <c r="O158" s="23">
        <v>43770</v>
      </c>
      <c r="S158" s="23">
        <v>43770</v>
      </c>
      <c r="T158" s="264" t="str">
        <f>IF(AND(C158&gt;0,D158=""),SUMIFS(yj!I:I,yj!B:B,plan!A158,yj!G:G,"&gt;="&amp;Q158,yj!G:G,"&lt;="&amp;S158),"")</f>
        <v/>
      </c>
      <c r="U158" s="264">
        <f>SUMIFS(四面弹库存!F:F,四面弹库存!B:B,plan!A158,四面弹库存!O:O,IF(H158&lt;&gt;"黑丝","白","黑"))</f>
        <v>0</v>
      </c>
      <c r="V158" s="264"/>
      <c r="W158" s="369" t="str">
        <f t="shared" si="6"/>
        <v/>
      </c>
      <c r="X158" s="258" t="str">
        <f t="shared" si="7"/>
        <v/>
      </c>
      <c r="Y158" s="36" t="str">
        <f>IF(OR(B158="",D158&lt;&gt;""),"",IF(S158&lt;&gt;"","",I158/((1/((G158+2)/100*K158/1000))*0.9144)/IF(H158="黑丝",22,20)-AB158))</f>
        <v/>
      </c>
      <c r="Z158" s="340" t="str">
        <f>IF(AND(C158&gt;0,D158&lt;&gt;"",S158=""),VLOOKUP(A158&amp;IF(H158="黑丝","黑","白")&amp;E158,经纬!A:M,13,FALSE)*(I158-AB158),"")</f>
        <v/>
      </c>
      <c r="AA158" s="340" t="str">
        <f>IF(AND(C158&gt;0,D158&lt;&gt;"",S158=""),VLOOKUP(A158&amp;IF(H158="黑丝","黑","白")&amp;E158,经纬!A:N,14,FALSE)*(I158-AB158),"")</f>
        <v/>
      </c>
      <c r="AB158" s="8">
        <f>4000+3492</f>
        <v>7492</v>
      </c>
      <c r="AC158" s="8" t="s">
        <v>2624</v>
      </c>
      <c r="AD158" s="8"/>
      <c r="AE158" s="250" t="str">
        <f>IF(COUNTIF(A$2:A158,A158)=1,M158,LOOKUP(1,0/(A$1:A157=A158),AE$1:AE157)&amp;" "&amp;M158)</f>
        <v>A254 A254 A23 A23 A70 A70 A184 A90 A90</v>
      </c>
    </row>
    <row r="159" spans="1:31">
      <c r="A159" s="233" t="s">
        <v>2616</v>
      </c>
      <c r="B159" s="24" t="str">
        <f>IF(A159="","",IF(LEFT(A159)&gt;"9",VLOOKUP(A159,yuanjidaimachichun,2,FALSE),VLOOKUP(A159,经纬!B:C,2,FALSE)))</f>
        <v>75*100</v>
      </c>
      <c r="C159" s="8" t="str">
        <f>IF(A159="","",IF(ISERROR(FIND("*",B159)),MID(B159,2,FIND("-",B159)-2),LEFT(B159,FIND("*",B159)-1)))</f>
        <v>75</v>
      </c>
      <c r="D159" s="8" t="str">
        <f>IF(ISERROR(FIND("*",B159)),"",RIGHT(B159,LEN(B159)-FIND("*",B159)))</f>
        <v>100</v>
      </c>
      <c r="E159" s="89" t="s">
        <v>2561</v>
      </c>
      <c r="F159" s="89" t="s">
        <v>2617</v>
      </c>
      <c r="G159" s="8">
        <v>191</v>
      </c>
      <c r="H159" s="8" t="s">
        <v>1499</v>
      </c>
      <c r="I159" s="8">
        <v>15000</v>
      </c>
      <c r="J159" s="8">
        <v>43</v>
      </c>
      <c r="L159" s="8" t="s">
        <v>2618</v>
      </c>
      <c r="M159" s="24" t="str">
        <f t="array" ref="M159">LEFT(L159,MIN(FIND({"A","B","C"},MID(L159,2,LEN(L159))&amp;"ABC")))</f>
        <v>A70</v>
      </c>
      <c r="N159" s="24" t="str">
        <f t="array" ref="N159">SUBSTITUTE(L159,M159,"")</f>
        <v>C417</v>
      </c>
      <c r="O159" s="23">
        <v>43770</v>
      </c>
      <c r="S159" s="23">
        <v>43770</v>
      </c>
      <c r="T159" s="264" t="str">
        <f>IF(AND(C159&gt;0,D159=""),SUMIFS(yj!I:I,yj!B:B,plan!A159,yj!G:G,"&gt;="&amp;Q159,yj!G:G,"&lt;="&amp;S159),"")</f>
        <v/>
      </c>
      <c r="U159" s="264">
        <f>SUMIFS(四面弹库存!F:F,四面弹库存!B:B,plan!A159,四面弹库存!O:O,IF(H159&lt;&gt;"黑丝","白","黑"))</f>
        <v>0</v>
      </c>
      <c r="V159" s="264"/>
      <c r="W159" s="369" t="str">
        <f t="shared" si="6"/>
        <v/>
      </c>
      <c r="X159" s="258" t="str">
        <f t="shared" si="7"/>
        <v/>
      </c>
      <c r="Y159" s="36" t="str">
        <f>IF(OR(B159="",D159&lt;&gt;""),"",IF(S159&lt;&gt;"","",I159/((1/((G159+2)/100*K159/1000))*0.9144)/IF(H159="黑丝",22,20)-AB159))</f>
        <v/>
      </c>
      <c r="Z159" s="340" t="str">
        <f>IF(AND(C159&gt;0,D159&lt;&gt;"",S159=""),VLOOKUP(A159&amp;IF(H159="黑丝","黑","白")&amp;E159,经纬!A:M,13,FALSE)*(I159-AB159),"")</f>
        <v/>
      </c>
      <c r="AA159" s="340" t="str">
        <f>IF(AND(C159&gt;0,D159&lt;&gt;"",S159=""),VLOOKUP(A159&amp;IF(H159="黑丝","黑","白")&amp;E159,经纬!A:N,14,FALSE)*(I159-AB159),"")</f>
        <v/>
      </c>
      <c r="AB159" s="8">
        <v>17107</v>
      </c>
      <c r="AC159" s="8" t="s">
        <v>2627</v>
      </c>
      <c r="AD159" s="8"/>
      <c r="AE159" s="250" t="str">
        <f>IF(COUNTIF(A$2:A159,A159)=1,M159,LOOKUP(1,0/(A$1:A158=A159),AE$1:AE158)&amp;" "&amp;M159)</f>
        <v>A70</v>
      </c>
    </row>
    <row r="160" spans="1:31">
      <c r="A160" s="233" t="s">
        <v>2616</v>
      </c>
      <c r="B160" s="24" t="str">
        <f>IF(A160="","",IF(LEFT(A160)&gt;"9",VLOOKUP(A160,yuanjidaimachichun,2,FALSE),VLOOKUP(A160,经纬!B:C,2,FALSE)))</f>
        <v>75*100</v>
      </c>
      <c r="C160" s="8" t="str">
        <f>IF(A160="","",IF(ISERROR(FIND("*",B160)),MID(B160,2,FIND("-",B160)-2),LEFT(B160,FIND("*",B160)-1)))</f>
        <v>75</v>
      </c>
      <c r="D160" s="8" t="str">
        <f>IF(ISERROR(FIND("*",B160)),"",RIGHT(B160,LEN(B160)-FIND("*",B160)))</f>
        <v>100</v>
      </c>
      <c r="E160" s="89" t="s">
        <v>2561</v>
      </c>
      <c r="F160" s="89" t="s">
        <v>2617</v>
      </c>
      <c r="G160" s="8">
        <v>191</v>
      </c>
      <c r="H160" s="8" t="s">
        <v>2569</v>
      </c>
      <c r="I160" s="8">
        <v>15000</v>
      </c>
      <c r="J160" s="8">
        <v>43</v>
      </c>
      <c r="L160" s="8" t="s">
        <v>2618</v>
      </c>
      <c r="M160" s="24" t="str">
        <f t="array" ref="M160">LEFT(L160,MIN(FIND({"A","B","C"},MID(L160,2,LEN(L160))&amp;"ABC")))</f>
        <v>A70</v>
      </c>
      <c r="N160" s="24" t="str">
        <f t="array" ref="N160">SUBSTITUTE(L160,M160,"")</f>
        <v>C417</v>
      </c>
      <c r="O160" s="23">
        <v>43770</v>
      </c>
      <c r="T160" s="264" t="str">
        <f>IF(AND(C160&gt;0,D160=""),SUMIFS(yj!I:I,yj!B:B,plan!A160,yj!G:G,"&gt;="&amp;Q160,yj!G:G,"&lt;="&amp;S160),"")</f>
        <v/>
      </c>
      <c r="U160" s="264">
        <f>SUMIFS(四面弹库存!F:F,四面弹库存!B:B,plan!A160,四面弹库存!O:O,IF(H160&lt;&gt;"黑丝","白","黑"))</f>
        <v>0</v>
      </c>
      <c r="V160" s="264"/>
      <c r="W160" s="369">
        <f t="shared" si="6"/>
        <v>1430</v>
      </c>
      <c r="X160" s="258">
        <f t="shared" si="7"/>
        <v>118.59517961504812</v>
      </c>
      <c r="Y160" s="36" t="str">
        <f>IF(OR(B160="",D160&lt;&gt;""),"",IF(S160&lt;&gt;"","",I160/((1/((G160+2)/100*K160/1000))*0.9144)/IF(H160="黑丝",22,20)-AB160))</f>
        <v/>
      </c>
      <c r="Z160" s="340">
        <f>IF(AND(C160&gt;0,D160&lt;&gt;"",S160=""),VLOOKUP(A160&amp;IF(H160="黑丝","黑","白")&amp;E160,经纬!A:M,13,FALSE)*(I160-AB160),"")</f>
        <v>46.432099999999998</v>
      </c>
      <c r="AA160" s="340">
        <f>IF(AND(C160&gt;0,D160&lt;&gt;"",S160=""),VLOOKUP(A160&amp;IF(H160="黑丝","黑","白")&amp;E160,经纬!A:N,14,FALSE)*(I160-AB160),"")</f>
        <v>72.163079615048133</v>
      </c>
      <c r="AB160" s="8">
        <v>13570</v>
      </c>
      <c r="AC160" s="8" t="s">
        <v>2787</v>
      </c>
      <c r="AD160" s="8"/>
      <c r="AE160" s="250" t="str">
        <f>IF(COUNTIF(A$2:A160,A160)=1,M160,LOOKUP(1,0/(A$1:A159=A160),AE$1:AE159)&amp;" "&amp;M160)</f>
        <v>A70 A70</v>
      </c>
    </row>
    <row r="161" spans="1:31">
      <c r="A161" s="233" t="s">
        <v>2566</v>
      </c>
      <c r="B161" s="24" t="str">
        <f>IF(A161="","",IF(LEFT(A161)&gt;"9",VLOOKUP(A161,yuanjidaimachichun,2,FALSE),VLOOKUP(A161,经纬!B:C,2,FALSE)))</f>
        <v>30*30</v>
      </c>
      <c r="C161" s="8" t="str">
        <f>IF(A161="","",IF(ISERROR(FIND("*",B161)),MID(B161,2,FIND("-",B161)-2),LEFT(B161,FIND("*",B161)-1)))</f>
        <v>30</v>
      </c>
      <c r="D161" s="8" t="str">
        <f>IF(ISERROR(FIND("*",B161)),"",RIGHT(B161,LEN(B161)-FIND("*",B161)))</f>
        <v>30</v>
      </c>
      <c r="E161" s="89" t="s">
        <v>2561</v>
      </c>
      <c r="F161" s="89" t="s">
        <v>2611</v>
      </c>
      <c r="G161" s="8">
        <v>190</v>
      </c>
      <c r="H161" s="8" t="s">
        <v>1499</v>
      </c>
      <c r="I161" s="8">
        <v>800</v>
      </c>
      <c r="J161" s="8">
        <v>23</v>
      </c>
      <c r="L161" s="8" t="s">
        <v>2609</v>
      </c>
      <c r="M161" s="24" t="str">
        <f t="array" ref="M161">LEFT(L161,MIN(FIND({"A","B","C"},MID(L161,2,LEN(L161))&amp;"ABC")))</f>
        <v>骏马</v>
      </c>
      <c r="N161" s="24" t="str">
        <f t="array" ref="N161">SUBSTITUTE(L161,M161,"")</f>
        <v/>
      </c>
      <c r="O161" s="23">
        <v>43770</v>
      </c>
      <c r="T161" s="264" t="str">
        <f>IF(AND(C161&gt;0,D161=""),SUMIFS(yj!I:I,yj!B:B,plan!A161,yj!G:G,"&gt;="&amp;Q161,yj!G:G,"&lt;="&amp;S161),"")</f>
        <v/>
      </c>
      <c r="U161" s="264">
        <f>SUMIFS(四面弹库存!F:F,四面弹库存!B:B,plan!A161,四面弹库存!O:O,IF(H161&lt;&gt;"黑丝","白","黑"))</f>
        <v>0</v>
      </c>
      <c r="V161" s="264"/>
      <c r="W161" s="369">
        <f t="shared" si="6"/>
        <v>800</v>
      </c>
      <c r="X161" s="258">
        <f t="shared" si="7"/>
        <v>25.909864146981626</v>
      </c>
      <c r="Y161" s="36" t="str">
        <f>IF(OR(B161="",D161&lt;&gt;""),"",IF(S161&lt;&gt;"","",I161/((1/((G161+2)/100*K161/1000))*0.9144)/IF(H161="黑丝",22,20)-AB161))</f>
        <v/>
      </c>
      <c r="Z161" s="340">
        <f>IF(AND(C161&gt;0,D161&lt;&gt;"",S161=""),VLOOKUP(A161&amp;IF(H161="黑丝","黑","白")&amp;E161,经纬!A:M,13,FALSE)*(I161-AB161),"")</f>
        <v>14.50304</v>
      </c>
      <c r="AA161" s="340">
        <f>IF(AND(C161&gt;0,D161&lt;&gt;"",S161=""),VLOOKUP(A161&amp;IF(H161="黑丝","黑","白")&amp;E161,经纬!A:N,14,FALSE)*(I161-AB161),"")</f>
        <v>11.406824146981627</v>
      </c>
      <c r="AC161" s="8"/>
      <c r="AD161" s="8"/>
      <c r="AE161" s="250" t="str">
        <f>IF(COUNTIF(A$2:A161,A161)=1,M161,LOOKUP(1,0/(A$1:A160=A161),AE$1:AE160)&amp;" "&amp;M161)</f>
        <v>A254 A254 A23 A23 A70 A70 A184 A90 A90 骏马</v>
      </c>
    </row>
    <row r="162" spans="1:31">
      <c r="A162" s="233" t="s">
        <v>2566</v>
      </c>
      <c r="B162" s="24" t="str">
        <f>IF(A162="","",IF(LEFT(A162)&gt;"9",VLOOKUP(A162,yuanjidaimachichun,2,FALSE),VLOOKUP(A162,经纬!B:C,2,FALSE)))</f>
        <v>30*30</v>
      </c>
      <c r="C162" s="8" t="str">
        <f>IF(A162="","",IF(ISERROR(FIND("*",B162)),MID(B162,2,FIND("-",B162)-2),LEFT(B162,FIND("*",B162)-1)))</f>
        <v>30</v>
      </c>
      <c r="D162" s="8" t="str">
        <f>IF(ISERROR(FIND("*",B162)),"",RIGHT(B162,LEN(B162)-FIND("*",B162)))</f>
        <v>30</v>
      </c>
      <c r="E162" s="89" t="s">
        <v>2561</v>
      </c>
      <c r="F162" s="89" t="s">
        <v>2611</v>
      </c>
      <c r="G162" s="8">
        <v>190</v>
      </c>
      <c r="H162" s="8" t="s">
        <v>2587</v>
      </c>
      <c r="I162" s="8">
        <v>800</v>
      </c>
      <c r="J162" s="8">
        <v>23</v>
      </c>
      <c r="L162" s="8" t="s">
        <v>2609</v>
      </c>
      <c r="M162" s="24" t="str">
        <f t="array" ref="M162">LEFT(L162,MIN(FIND({"A","B","C"},MID(L162,2,LEN(L162))&amp;"ABC")))</f>
        <v>骏马</v>
      </c>
      <c r="N162" s="24" t="str">
        <f t="array" ref="N162">SUBSTITUTE(L162,M162,"")</f>
        <v/>
      </c>
      <c r="O162" s="23">
        <v>43770</v>
      </c>
      <c r="T162" s="264" t="str">
        <f>IF(AND(C162&gt;0,D162=""),SUMIFS(yj!I:I,yj!B:B,plan!A162,yj!G:G,"&gt;="&amp;Q162,yj!G:G,"&lt;="&amp;S162),"")</f>
        <v/>
      </c>
      <c r="U162" s="264">
        <f>SUMIFS(四面弹库存!F:F,四面弹库存!B:B,plan!A162,四面弹库存!O:O,IF(H162&lt;&gt;"黑丝","白","黑"))</f>
        <v>0</v>
      </c>
      <c r="V162" s="264"/>
      <c r="W162" s="369">
        <f t="shared" si="6"/>
        <v>800</v>
      </c>
      <c r="X162" s="258">
        <f t="shared" si="7"/>
        <v>25.909864146981626</v>
      </c>
      <c r="Y162" s="36" t="str">
        <f>IF(OR(B162="",D162&lt;&gt;""),"",IF(S162&lt;&gt;"","",I162/((1/((G162+2)/100*K162/1000))*0.9144)/IF(H162="黑丝",22,20)-AB162))</f>
        <v/>
      </c>
      <c r="Z162" s="340">
        <f>IF(AND(C162&gt;0,D162&lt;&gt;"",S162=""),VLOOKUP(A162&amp;IF(H162="黑丝","黑","白")&amp;E162,经纬!A:M,13,FALSE)*(I162-AB162),"")</f>
        <v>14.50304</v>
      </c>
      <c r="AA162" s="340">
        <f>IF(AND(C162&gt;0,D162&lt;&gt;"",S162=""),VLOOKUP(A162&amp;IF(H162="黑丝","黑","白")&amp;E162,经纬!A:N,14,FALSE)*(I162-AB162),"")</f>
        <v>11.406824146981627</v>
      </c>
      <c r="AC162" s="8"/>
      <c r="AD162" s="8"/>
      <c r="AE162" s="250" t="str">
        <f>IF(COUNTIF(A$2:A162,A162)=1,M162,LOOKUP(1,0/(A$1:A161=A162),AE$1:AE161)&amp;" "&amp;M162)</f>
        <v>A254 A254 A23 A23 A70 A70 A184 A90 A90 骏马 骏马</v>
      </c>
    </row>
    <row r="163" spans="1:31">
      <c r="A163" s="233" t="s">
        <v>2560</v>
      </c>
      <c r="B163" s="24" t="str">
        <f>IF(A163="","",IF(LEFT(A163)&gt;"9",VLOOKUP(A163,yuanjidaimachichun,2,FALSE),VLOOKUP(A163,经纬!B:C,2,FALSE)))</f>
        <v>20*20</v>
      </c>
      <c r="C163" s="8" t="str">
        <f>IF(A163="","",IF(ISERROR(FIND("*",B163)),MID(B163,2,FIND("-",B163)-2),LEFT(B163,FIND("*",B163)-1)))</f>
        <v>20</v>
      </c>
      <c r="D163" s="8" t="str">
        <f>IF(ISERROR(FIND("*",B163)),"",RIGHT(B163,LEN(B163)-FIND("*",B163)))</f>
        <v>20</v>
      </c>
      <c r="E163" s="89" t="s">
        <v>2561</v>
      </c>
      <c r="F163" s="89" t="s">
        <v>2612</v>
      </c>
      <c r="G163" s="8">
        <v>197</v>
      </c>
      <c r="H163" s="8" t="s">
        <v>1499</v>
      </c>
      <c r="I163" s="8">
        <v>5000</v>
      </c>
      <c r="J163" s="8">
        <v>17</v>
      </c>
      <c r="L163" s="8" t="s">
        <v>2619</v>
      </c>
      <c r="M163" s="24" t="str">
        <f t="array" ref="M163">LEFT(L163,MIN(FIND({"A","B","C"},MID(L163,2,LEN(L163))&amp;"ABC")))</f>
        <v>骏马4500004341</v>
      </c>
      <c r="N163" s="24" t="str">
        <f t="array" ref="N163">SUBSTITUTE(L163,M163,"")</f>
        <v/>
      </c>
      <c r="O163" s="23">
        <v>43770</v>
      </c>
      <c r="S163" s="23">
        <v>43774</v>
      </c>
      <c r="T163" s="264" t="str">
        <f>IF(AND(C163&gt;0,D163=""),SUMIFS(yj!I:I,yj!B:B,plan!A163,yj!G:G,"&gt;="&amp;Q163,yj!G:G,"&lt;="&amp;S163),"")</f>
        <v/>
      </c>
      <c r="U163" s="264">
        <f>SUMIFS(四面弹库存!F:F,四面弹库存!B:B,plan!A163,四面弹库存!O:O,IF(H163&lt;&gt;"黑丝","白","黑"))</f>
        <v>0</v>
      </c>
      <c r="V163" s="264"/>
      <c r="W163" s="369" t="str">
        <f t="shared" si="6"/>
        <v/>
      </c>
      <c r="X163" s="258" t="str">
        <f t="shared" si="7"/>
        <v/>
      </c>
      <c r="Y163" s="36" t="str">
        <f>IF(OR(B163="",D163&lt;&gt;""),"",IF(S163&lt;&gt;"","",I163/((1/((G163+2)/100*K163/1000))*0.9144)/IF(H163="黑丝",22,20)-AB163))</f>
        <v/>
      </c>
      <c r="Z163" s="340" t="str">
        <f>IF(AND(C163&gt;0,D163&lt;&gt;"",S163=""),VLOOKUP(A163&amp;IF(H163="黑丝","黑","白")&amp;E163,经纬!A:M,13,FALSE)*(I163-AB163),"")</f>
        <v/>
      </c>
      <c r="AA163" s="340" t="str">
        <f>IF(AND(C163&gt;0,D163&lt;&gt;"",S163=""),VLOOKUP(A163&amp;IF(H163="黑丝","黑","白")&amp;E163,经纬!A:N,14,FALSE)*(I163-AB163),"")</f>
        <v/>
      </c>
      <c r="AB163" s="8">
        <v>7000</v>
      </c>
      <c r="AC163" s="8" t="s">
        <v>2974</v>
      </c>
      <c r="AD163" s="8"/>
      <c r="AE163" s="250" t="str">
        <f>IF(COUNTIF(A$2:A163,A163)=1,M163,LOOKUP(1,0/(A$1:A162=A163),AE$1:AE162)&amp;" "&amp;M163)</f>
        <v>A12 骏马 骏马4500004341</v>
      </c>
    </row>
    <row r="164" spans="1:31">
      <c r="A164" s="233" t="s">
        <v>2560</v>
      </c>
      <c r="B164" s="24" t="str">
        <f>IF(A164="","",IF(LEFT(A164)&gt;"9",VLOOKUP(A164,yuanjidaimachichun,2,FALSE),VLOOKUP(A164,经纬!B:C,2,FALSE)))</f>
        <v>20*20</v>
      </c>
      <c r="C164" s="8" t="str">
        <f>IF(A164="","",IF(ISERROR(FIND("*",B164)),MID(B164,2,FIND("-",B164)-2),LEFT(B164,FIND("*",B164)-1)))</f>
        <v>20</v>
      </c>
      <c r="D164" s="8" t="str">
        <f>IF(ISERROR(FIND("*",B164)),"",RIGHT(B164,LEN(B164)-FIND("*",B164)))</f>
        <v>20</v>
      </c>
      <c r="E164" s="89" t="s">
        <v>2561</v>
      </c>
      <c r="F164" s="89" t="s">
        <v>2612</v>
      </c>
      <c r="G164" s="8">
        <v>197</v>
      </c>
      <c r="H164" s="8" t="s">
        <v>2587</v>
      </c>
      <c r="I164" s="8">
        <v>5000</v>
      </c>
      <c r="J164" s="8">
        <v>17</v>
      </c>
      <c r="L164" s="8" t="s">
        <v>2619</v>
      </c>
      <c r="M164" s="24" t="str">
        <f t="array" ref="M164">LEFT(L164,MIN(FIND({"A","B","C"},MID(L164,2,LEN(L164))&amp;"ABC")))</f>
        <v>骏马4500004341</v>
      </c>
      <c r="N164" s="24" t="str">
        <f t="array" ref="N164">SUBSTITUTE(L164,M164,"")</f>
        <v/>
      </c>
      <c r="O164" s="23">
        <v>43770</v>
      </c>
      <c r="S164" s="23">
        <v>43774</v>
      </c>
      <c r="T164" s="264" t="str">
        <f>IF(AND(C164&gt;0,D164=""),SUMIFS(yj!I:I,yj!B:B,plan!A164,yj!G:G,"&gt;="&amp;Q164,yj!G:G,"&lt;="&amp;S164),"")</f>
        <v/>
      </c>
      <c r="U164" s="264">
        <f>SUMIFS(四面弹库存!F:F,四面弹库存!B:B,plan!A164,四面弹库存!O:O,IF(H164&lt;&gt;"黑丝","白","黑"))</f>
        <v>0</v>
      </c>
      <c r="V164" s="264"/>
      <c r="W164" s="369" t="str">
        <f t="shared" si="6"/>
        <v/>
      </c>
      <c r="X164" s="258" t="str">
        <f t="shared" si="7"/>
        <v/>
      </c>
      <c r="Y164" s="36" t="str">
        <f>IF(OR(B164="",D164&lt;&gt;""),"",IF(S164&lt;&gt;"","",I164/((1/((G164+2)/100*K164/1000))*0.9144)/IF(H164="黑丝",22,20)-AB164))</f>
        <v/>
      </c>
      <c r="Z164" s="340" t="str">
        <f>IF(AND(C164&gt;0,D164&lt;&gt;"",S164=""),VLOOKUP(A164&amp;IF(H164="黑丝","黑","白")&amp;E164,经纬!A:M,13,FALSE)*(I164-AB164),"")</f>
        <v/>
      </c>
      <c r="AA164" s="340" t="str">
        <f>IF(AND(C164&gt;0,D164&lt;&gt;"",S164=""),VLOOKUP(A164&amp;IF(H164="黑丝","黑","白")&amp;E164,经纬!A:N,14,FALSE)*(I164-AB164),"")</f>
        <v/>
      </c>
      <c r="AB164" s="8">
        <v>7000</v>
      </c>
      <c r="AC164" s="8" t="s">
        <v>2975</v>
      </c>
      <c r="AD164" s="8"/>
      <c r="AE164" s="250" t="str">
        <f>IF(COUNTIF(A$2:A164,A164)=1,M164,LOOKUP(1,0/(A$1:A163=A164),AE$1:AE163)&amp;" "&amp;M164)</f>
        <v>A12 骏马 骏马4500004341 骏马4500004341</v>
      </c>
    </row>
    <row r="165" spans="1:31">
      <c r="A165" s="233" t="s">
        <v>2566</v>
      </c>
      <c r="B165" s="24" t="str">
        <f>IF(A165="","",IF(LEFT(A165)&gt;"9",VLOOKUP(A165,yuanjidaimachichun,2,FALSE),VLOOKUP(A165,经纬!B:C,2,FALSE)))</f>
        <v>30*30</v>
      </c>
      <c r="C165" s="8" t="str">
        <f>IF(A165="","",IF(ISERROR(FIND("*",B165)),MID(B165,2,FIND("-",B165)-2),LEFT(B165,FIND("*",B165)-1)))</f>
        <v>30</v>
      </c>
      <c r="D165" s="8" t="str">
        <f>IF(ISERROR(FIND("*",B165)),"",RIGHT(B165,LEN(B165)-FIND("*",B165)))</f>
        <v>30</v>
      </c>
      <c r="E165" s="89" t="s">
        <v>2561</v>
      </c>
      <c r="F165" s="89" t="s">
        <v>2612</v>
      </c>
      <c r="G165" s="8">
        <v>190</v>
      </c>
      <c r="H165" s="8" t="s">
        <v>1499</v>
      </c>
      <c r="I165" s="8">
        <v>5000</v>
      </c>
      <c r="J165" s="8">
        <v>23</v>
      </c>
      <c r="L165" s="8" t="s">
        <v>2619</v>
      </c>
      <c r="M165" s="24" t="str">
        <f t="array" ref="M165">LEFT(L165,MIN(FIND({"A","B","C"},MID(L165,2,LEN(L165))&amp;"ABC")))</f>
        <v>骏马4500004341</v>
      </c>
      <c r="N165" s="24" t="str">
        <f t="array" ref="N165">SUBSTITUTE(L165,M165,"")</f>
        <v/>
      </c>
      <c r="O165" s="23">
        <v>43770</v>
      </c>
      <c r="S165" s="23">
        <v>43774</v>
      </c>
      <c r="T165" s="264" t="str">
        <f>IF(AND(C165&gt;0,D165=""),SUMIFS(yj!I:I,yj!B:B,plan!A165,yj!G:G,"&gt;="&amp;Q165,yj!G:G,"&lt;="&amp;S165),"")</f>
        <v/>
      </c>
      <c r="U165" s="264">
        <f>SUMIFS(四面弹库存!F:F,四面弹库存!B:B,plan!A165,四面弹库存!O:O,IF(H165&lt;&gt;"黑丝","白","黑"))</f>
        <v>0</v>
      </c>
      <c r="V165" s="264"/>
      <c r="W165" s="369" t="str">
        <f t="shared" si="6"/>
        <v/>
      </c>
      <c r="X165" s="258" t="str">
        <f t="shared" si="7"/>
        <v/>
      </c>
      <c r="Y165" s="36" t="str">
        <f>IF(OR(B165="",D165&lt;&gt;""),"",IF(S165&lt;&gt;"","",I165/((1/((G165+2)/100*K165/1000))*0.9144)/IF(H165="黑丝",22,20)-AB165))</f>
        <v/>
      </c>
      <c r="Z165" s="340" t="str">
        <f>IF(AND(C165&gt;0,D165&lt;&gt;"",S165=""),VLOOKUP(A165&amp;IF(H165="黑丝","黑","白")&amp;E165,经纬!A:M,13,FALSE)*(I165-AB165),"")</f>
        <v/>
      </c>
      <c r="AA165" s="340" t="str">
        <f>IF(AND(C165&gt;0,D165&lt;&gt;"",S165=""),VLOOKUP(A165&amp;IF(H165="黑丝","黑","白")&amp;E165,经纬!A:N,14,FALSE)*(I165-AB165),"")</f>
        <v/>
      </c>
      <c r="AB165" s="8">
        <v>7000</v>
      </c>
      <c r="AC165" s="8" t="s">
        <v>2976</v>
      </c>
      <c r="AD165" s="8"/>
      <c r="AE165" s="250" t="str">
        <f>IF(COUNTIF(A$2:A165,A165)=1,M165,LOOKUP(1,0/(A$1:A164=A165),AE$1:AE164)&amp;" "&amp;M165)</f>
        <v>A254 A254 A23 A23 A70 A70 A184 A90 A90 骏马 骏马 骏马4500004341</v>
      </c>
    </row>
    <row r="166" spans="1:31">
      <c r="A166" s="233" t="s">
        <v>2566</v>
      </c>
      <c r="B166" s="24" t="str">
        <f>IF(A166="","",IF(LEFT(A166)&gt;"9",VLOOKUP(A166,yuanjidaimachichun,2,FALSE),VLOOKUP(A166,经纬!B:C,2,FALSE)))</f>
        <v>30*30</v>
      </c>
      <c r="C166" s="8" t="str">
        <f>IF(A166="","",IF(ISERROR(FIND("*",B166)),MID(B166,2,FIND("-",B166)-2),LEFT(B166,FIND("*",B166)-1)))</f>
        <v>30</v>
      </c>
      <c r="D166" s="8" t="str">
        <f>IF(ISERROR(FIND("*",B166)),"",RIGHT(B166,LEN(B166)-FIND("*",B166)))</f>
        <v>30</v>
      </c>
      <c r="E166" s="89" t="s">
        <v>2561</v>
      </c>
      <c r="F166" s="89" t="s">
        <v>2612</v>
      </c>
      <c r="G166" s="8">
        <v>190</v>
      </c>
      <c r="H166" s="8" t="s">
        <v>2587</v>
      </c>
      <c r="I166" s="8">
        <v>5000</v>
      </c>
      <c r="J166" s="8">
        <v>23</v>
      </c>
      <c r="L166" s="8" t="s">
        <v>2619</v>
      </c>
      <c r="M166" s="24" t="str">
        <f t="array" ref="M166">LEFT(L166,MIN(FIND({"A","B","C"},MID(L166,2,LEN(L166))&amp;"ABC")))</f>
        <v>骏马4500004341</v>
      </c>
      <c r="N166" s="24" t="str">
        <f t="array" ref="N166">SUBSTITUTE(L166,M166,"")</f>
        <v/>
      </c>
      <c r="O166" s="23">
        <v>43770</v>
      </c>
      <c r="S166" s="23">
        <v>43774</v>
      </c>
      <c r="T166" s="264" t="str">
        <f>IF(AND(C166&gt;0,D166=""),SUMIFS(yj!I:I,yj!B:B,plan!A166,yj!G:G,"&gt;="&amp;Q166,yj!G:G,"&lt;="&amp;S166),"")</f>
        <v/>
      </c>
      <c r="U166" s="264">
        <f>SUMIFS(四面弹库存!F:F,四面弹库存!B:B,plan!A166,四面弹库存!O:O,IF(H166&lt;&gt;"黑丝","白","黑"))</f>
        <v>0</v>
      </c>
      <c r="V166" s="264"/>
      <c r="W166" s="369" t="str">
        <f t="shared" si="6"/>
        <v/>
      </c>
      <c r="X166" s="258" t="str">
        <f t="shared" si="7"/>
        <v/>
      </c>
      <c r="Y166" s="36" t="str">
        <f>IF(OR(B166="",D166&lt;&gt;""),"",IF(S166&lt;&gt;"","",I166/((1/((G166+2)/100*K166/1000))*0.9144)/IF(H166="黑丝",22,20)-AB166))</f>
        <v/>
      </c>
      <c r="Z166" s="340" t="str">
        <f>IF(AND(C166&gt;0,D166&lt;&gt;"",S166=""),VLOOKUP(A166&amp;IF(H166="黑丝","黑","白")&amp;E166,经纬!A:M,13,FALSE)*(I166-AB166),"")</f>
        <v/>
      </c>
      <c r="AA166" s="340" t="str">
        <f>IF(AND(C166&gt;0,D166&lt;&gt;"",S166=""),VLOOKUP(A166&amp;IF(H166="黑丝","黑","白")&amp;E166,经纬!A:N,14,FALSE)*(I166-AB166),"")</f>
        <v/>
      </c>
      <c r="AB166" s="8">
        <v>7000</v>
      </c>
      <c r="AC166" s="8" t="s">
        <v>2977</v>
      </c>
      <c r="AD166" s="8"/>
      <c r="AE166" s="250" t="str">
        <f>IF(COUNTIF(A$2:A166,A166)=1,M166,LOOKUP(1,0/(A$1:A165=A166),AE$1:AE165)&amp;" "&amp;M166)</f>
        <v>A254 A254 A23 A23 A70 A70 A184 A90 A90 骏马 骏马 骏马4500004341 骏马4500004341</v>
      </c>
    </row>
    <row r="167" spans="1:31">
      <c r="A167" s="233" t="s">
        <v>2620</v>
      </c>
      <c r="B167" s="24" t="str">
        <f>IF(A167="","",IF(LEFT(A167)&gt;"9",VLOOKUP(A167,yuanjidaimachichun,2,FALSE),VLOOKUP(A167,经纬!B:C,2,FALSE)))</f>
        <v>50*50</v>
      </c>
      <c r="C167" s="8" t="str">
        <f>IF(A167="","",IF(ISERROR(FIND("*",B167)),MID(B167,2,FIND("-",B167)-2),LEFT(B167,FIND("*",B167)-1)))</f>
        <v>50</v>
      </c>
      <c r="D167" s="8" t="str">
        <f>IF(ISERROR(FIND("*",B167)),"",RIGHT(B167,LEN(B167)-FIND("*",B167)))</f>
        <v>50</v>
      </c>
      <c r="E167" s="89" t="s">
        <v>2606</v>
      </c>
      <c r="F167" s="89" t="s">
        <v>2612</v>
      </c>
      <c r="G167" s="8">
        <v>190.5</v>
      </c>
      <c r="H167" s="8" t="s">
        <v>2562</v>
      </c>
      <c r="I167" s="8">
        <v>18600</v>
      </c>
      <c r="J167" s="8">
        <v>37</v>
      </c>
      <c r="L167" s="8" t="s">
        <v>2621</v>
      </c>
      <c r="M167" s="24" t="str">
        <f t="array" ref="M167">LEFT(L167,MIN(FIND({"A","B","C"},MID(L167,2,LEN(L167))&amp;"ABC")))</f>
        <v>A90</v>
      </c>
      <c r="N167" s="24" t="str">
        <f t="array" ref="N167">SUBSTITUTE(L167,M167,"")</f>
        <v>C418</v>
      </c>
      <c r="O167" s="23">
        <v>43770</v>
      </c>
      <c r="T167" s="264" t="str">
        <f>IF(AND(C167&gt;0,D167=""),SUMIFS(yj!I:I,yj!B:B,plan!A167,yj!G:G,"&gt;="&amp;Q167,yj!G:G,"&lt;="&amp;S167),"")</f>
        <v/>
      </c>
      <c r="U167" s="264">
        <f>SUMIFS(四面弹库存!F:F,四面弹库存!B:B,plan!A167,四面弹库存!O:O,IF(H167&lt;&gt;"黑丝","白","黑"))</f>
        <v>0</v>
      </c>
      <c r="V167" s="264"/>
      <c r="W167" s="369">
        <f t="shared" si="6"/>
        <v>2600</v>
      </c>
      <c r="X167" s="258">
        <f t="shared" si="7"/>
        <v>130.06146509186351</v>
      </c>
      <c r="Y167" s="36" t="str">
        <f>IF(OR(B167="",D167&lt;&gt;""),"",IF(S167&lt;&gt;"","",I167/((1/((G167+2)/100*K167/1000))*0.9144)/IF(H167="黑丝",22,20)-AB167))</f>
        <v/>
      </c>
      <c r="Z167" s="340">
        <f>IF(AND(C167&gt;0,D167&lt;&gt;"",S167=""),VLOOKUP(A167&amp;IF(H167="黑丝","黑","白")&amp;E167,经纬!A:M,13,FALSE)*(I167-AB167),"")</f>
        <v>78.057199999999995</v>
      </c>
      <c r="AA167" s="340">
        <f>IF(AND(C167&gt;0,D167&lt;&gt;"",S167=""),VLOOKUP(A167&amp;IF(H167="黑丝","黑","白")&amp;E167,经纬!A:N,14,FALSE)*(I167-AB167),"")</f>
        <v>52.004265091863516</v>
      </c>
      <c r="AB167" s="8">
        <v>16000</v>
      </c>
      <c r="AC167" s="8" t="s">
        <v>2782</v>
      </c>
      <c r="AD167" s="8"/>
      <c r="AE167" s="250" t="str">
        <f>IF(COUNTIF(A$2:A167,A167)=1,M167,LOOKUP(1,0/(A$1:A166=A167),AE$1:AE166)&amp;" "&amp;M167)</f>
        <v>A94 A94 A90</v>
      </c>
    </row>
    <row r="168" spans="1:31">
      <c r="A168" s="233" t="s">
        <v>2620</v>
      </c>
      <c r="B168" s="24" t="str">
        <f>IF(A168="","",IF(LEFT(A168)&gt;"9",VLOOKUP(A168,yuanjidaimachichun,2,FALSE),VLOOKUP(A168,经纬!B:C,2,FALSE)))</f>
        <v>50*50</v>
      </c>
      <c r="C168" s="8" t="str">
        <f>IF(A168="","",IF(ISERROR(FIND("*",B168)),MID(B168,2,FIND("-",B168)-2),LEFT(B168,FIND("*",B168)-1)))</f>
        <v>50</v>
      </c>
      <c r="D168" s="8" t="str">
        <f>IF(ISERROR(FIND("*",B168)),"",RIGHT(B168,LEN(B168)-FIND("*",B168)))</f>
        <v>50</v>
      </c>
      <c r="E168" s="89" t="s">
        <v>2606</v>
      </c>
      <c r="F168" s="89" t="s">
        <v>2612</v>
      </c>
      <c r="G168" s="8">
        <v>190.5</v>
      </c>
      <c r="H168" s="8" t="s">
        <v>2562</v>
      </c>
      <c r="I168" s="8">
        <v>2400</v>
      </c>
      <c r="J168" s="8">
        <v>37</v>
      </c>
      <c r="L168" s="8" t="s">
        <v>2621</v>
      </c>
      <c r="M168" s="24" t="str">
        <f t="array" ref="M168">LEFT(L168,MIN(FIND({"A","B","C"},MID(L168,2,LEN(L168))&amp;"ABC")))</f>
        <v>A90</v>
      </c>
      <c r="N168" s="24" t="str">
        <f t="array" ref="N168">SUBSTITUTE(L168,M168,"")</f>
        <v>C418</v>
      </c>
      <c r="O168" s="23">
        <v>43770</v>
      </c>
      <c r="T168" s="264" t="str">
        <f>IF(AND(C168&gt;0,D168=""),SUMIFS(yj!I:I,yj!B:B,plan!A168,yj!G:G,"&gt;="&amp;Q168,yj!G:G,"&lt;="&amp;S168),"")</f>
        <v/>
      </c>
      <c r="U168" s="264">
        <f>SUMIFS(四面弹库存!F:F,四面弹库存!B:B,plan!A168,四面弹库存!O:O,IF(H168&lt;&gt;"黑丝","白","黑"))</f>
        <v>0</v>
      </c>
      <c r="V168" s="264"/>
      <c r="W168" s="369">
        <f t="shared" si="6"/>
        <v>2400</v>
      </c>
      <c r="X168" s="258">
        <f t="shared" si="7"/>
        <v>120.05673700787402</v>
      </c>
      <c r="Y168" s="36" t="str">
        <f>IF(OR(B168="",D168&lt;&gt;""),"",IF(S168&lt;&gt;"","",I168/((1/((G168+2)/100*K168/1000))*0.9144)/IF(H168="黑丝",22,20)-AB168))</f>
        <v/>
      </c>
      <c r="Z168" s="340">
        <f>IF(AND(C168&gt;0,D168&lt;&gt;"",S168=""),VLOOKUP(A168&amp;IF(H168="黑丝","黑","白")&amp;E168,经纬!A:M,13,FALSE)*(I168-AB168),"")</f>
        <v>72.052800000000005</v>
      </c>
      <c r="AA168" s="340">
        <f>IF(AND(C168&gt;0,D168&lt;&gt;"",S168=""),VLOOKUP(A168&amp;IF(H168="黑丝","黑","白")&amp;E168,经纬!A:N,14,FALSE)*(I168-AB168),"")</f>
        <v>48.003937007874015</v>
      </c>
      <c r="AC168" s="8"/>
      <c r="AD168" s="8"/>
      <c r="AE168" s="250" t="str">
        <f>IF(COUNTIF(A$2:A168,A168)=1,M168,LOOKUP(1,0/(A$1:A167=A168),AE$1:AE167)&amp;" "&amp;M168)</f>
        <v>A94 A94 A90 A90</v>
      </c>
    </row>
    <row r="169" spans="1:31">
      <c r="A169" s="233" t="s">
        <v>2625</v>
      </c>
      <c r="B169" s="24" t="str">
        <f>IF(A169="","",IF(LEFT(A169)&gt;"9",VLOOKUP(A169,yuanjidaimachichun,2,FALSE),VLOOKUP(A169,经纬!B:C,2,FALSE)))</f>
        <v>30*30</v>
      </c>
      <c r="C169" s="8" t="str">
        <f t="shared" ref="C148:C208" si="8">IF(A169="","",IF(ISERROR(FIND("*",B169)),MID(B169,2,FIND("-",B169)-2),LEFT(B169,FIND("*",B169)-1)))</f>
        <v>30</v>
      </c>
      <c r="D169" s="8" t="str">
        <f t="shared" ref="D148:D208" si="9">IF(ISERROR(FIND("*",B169)),"",RIGHT(B169,LEN(B169)-FIND("*",B169)))</f>
        <v>30</v>
      </c>
      <c r="E169" s="89" t="s">
        <v>2561</v>
      </c>
      <c r="F169" s="89" t="s">
        <v>2611</v>
      </c>
      <c r="G169" s="8">
        <v>200</v>
      </c>
      <c r="H169" s="8" t="s">
        <v>1499</v>
      </c>
      <c r="I169" s="8">
        <v>23000</v>
      </c>
      <c r="J169" s="8">
        <v>23</v>
      </c>
      <c r="L169" s="8" t="s">
        <v>2626</v>
      </c>
      <c r="M169" s="24" t="str">
        <f t="array" ref="M169">LEFT(L169,MIN(FIND({"A","B","C"},MID(L169,2,LEN(L169))&amp;"ABC")))</f>
        <v>A261</v>
      </c>
      <c r="N169" s="24" t="str">
        <f t="array" ref="N169">SUBSTITUTE(L169,M169,"")</f>
        <v>B571</v>
      </c>
      <c r="O169" s="23">
        <v>43770</v>
      </c>
      <c r="S169" s="23">
        <v>43772</v>
      </c>
      <c r="T169" s="264" t="str">
        <f>IF(AND(C169&gt;0,D169=""),SUMIFS(yj!I:I,yj!B:B,plan!A169,yj!G:G,"&gt;="&amp;Q169,yj!G:G,"&lt;="&amp;S169),"")</f>
        <v/>
      </c>
      <c r="U169" s="264">
        <f>SUMIFS(四面弹库存!F:F,四面弹库存!B:B,plan!A169,四面弹库存!O:O,IF(H169&lt;&gt;"黑丝","白","黑"))</f>
        <v>0</v>
      </c>
      <c r="V169" s="264"/>
      <c r="W169" s="369" t="str">
        <f t="shared" si="6"/>
        <v/>
      </c>
      <c r="X169" s="258" t="str">
        <f t="shared" si="7"/>
        <v/>
      </c>
      <c r="Y169" s="36" t="str">
        <f t="shared" ref="Y169:Y232" si="10">IF(OR(B169="",D169&lt;&gt;""),"",IF(S169&lt;&gt;"","",I169/((1/((G169+2)/100*K169/1000))*0.9144)/IF(H169="黑丝",22,20)-AB169))</f>
        <v/>
      </c>
      <c r="Z169" s="340" t="str">
        <f>IF(AND(C169&gt;0,D169&lt;&gt;"",S169=""),VLOOKUP(A169&amp;IF(H169="黑丝","黑","白")&amp;E169,经纬!A:M,13,FALSE)*(I169-AB169),"")</f>
        <v/>
      </c>
      <c r="AA169" s="340" t="str">
        <f>IF(AND(C169&gt;0,D169&lt;&gt;"",S169=""),VLOOKUP(A169&amp;IF(H169="黑丝","黑","白")&amp;E169,经纬!A:N,14,FALSE)*(I169-AB169),"")</f>
        <v/>
      </c>
      <c r="AB169" s="8">
        <v>30000</v>
      </c>
      <c r="AC169" s="8" t="s">
        <v>2781</v>
      </c>
      <c r="AD169" s="8"/>
      <c r="AE169" s="250" t="str">
        <f>IF(COUNTIF(A$2:A169,A169)=1,M169,LOOKUP(1,0/(A$1:A168=A169),AE$1:AE168)&amp;" "&amp;M169)</f>
        <v>A261</v>
      </c>
    </row>
    <row r="170" spans="1:31">
      <c r="A170" s="233" t="s">
        <v>2605</v>
      </c>
      <c r="B170" s="24" t="str">
        <f>IF(A170="","",IF(LEFT(A170)&gt;"9",VLOOKUP(A170,yuanjidaimachichun,2,FALSE),VLOOKUP(A170,经纬!B:C,2,FALSE)))</f>
        <v>75*75</v>
      </c>
      <c r="C170" s="8" t="str">
        <f t="shared" si="8"/>
        <v>75</v>
      </c>
      <c r="D170" s="8" t="str">
        <f t="shared" si="9"/>
        <v>75</v>
      </c>
      <c r="E170" s="89" t="s">
        <v>2606</v>
      </c>
      <c r="F170" s="89" t="s">
        <v>2612</v>
      </c>
      <c r="G170" s="8">
        <v>190.5</v>
      </c>
      <c r="H170" s="8" t="s">
        <v>2587</v>
      </c>
      <c r="I170" s="8">
        <v>10000</v>
      </c>
      <c r="J170" s="8">
        <v>43</v>
      </c>
      <c r="L170" s="8" t="s">
        <v>2748</v>
      </c>
      <c r="M170" s="24" t="str">
        <f t="array" ref="M170">LEFT(L170,MIN(FIND({"A","B","C"},MID(L170,2,LEN(L170))&amp;"ABC")))</f>
        <v>A195</v>
      </c>
      <c r="N170" s="24" t="str">
        <f t="array" ref="N170">SUBSTITUTE(L170,M170,"")</f>
        <v>B555</v>
      </c>
      <c r="O170" s="23">
        <v>43763</v>
      </c>
      <c r="S170" s="23">
        <v>43768</v>
      </c>
      <c r="T170" s="264" t="str">
        <f>IF(AND(C170&gt;0,D170=""),SUMIFS(yj!I:I,yj!B:B,plan!A170,yj!G:G,"&gt;="&amp;Q170,yj!G:G,"&lt;="&amp;S170),"")</f>
        <v/>
      </c>
      <c r="U170" s="264">
        <f>SUMIFS(四面弹库存!F:F,四面弹库存!B:B,plan!A170,四面弹库存!O:O,IF(H170&lt;&gt;"黑丝","白","黑"))</f>
        <v>0</v>
      </c>
      <c r="V170" s="264"/>
      <c r="W170" s="369" t="str">
        <f t="shared" si="6"/>
        <v/>
      </c>
      <c r="X170" s="258" t="str">
        <f t="shared" si="7"/>
        <v/>
      </c>
      <c r="Y170" s="36" t="str">
        <f t="shared" si="10"/>
        <v/>
      </c>
      <c r="Z170" s="340" t="str">
        <f>IF(AND(C170&gt;0,D170&lt;&gt;"",S170=""),VLOOKUP(A170&amp;IF(H170="黑丝","黑","白")&amp;E170,经纬!A:M,13,FALSE)*(I170-AB170),"")</f>
        <v/>
      </c>
      <c r="AA170" s="340" t="str">
        <f>IF(AND(C170&gt;0,D170&lt;&gt;"",S170=""),VLOOKUP(A170&amp;IF(H170="黑丝","黑","白")&amp;E170,经纬!A:N,14,FALSE)*(I170-AB170),"")</f>
        <v/>
      </c>
      <c r="AB170" s="8">
        <f>3000+3451+6903</f>
        <v>13354</v>
      </c>
      <c r="AC170" s="8" t="s">
        <v>2763</v>
      </c>
      <c r="AD170" s="8"/>
      <c r="AE170" s="250" t="str">
        <f>IF(COUNTIF(A$2:A170,A170)=1,M170,LOOKUP(1,0/(A$1:A169=A170),AE$1:AE169)&amp;" "&amp;M170)</f>
        <v>A94 A94 A70 A70 A145 A195</v>
      </c>
    </row>
    <row r="171" spans="1:31">
      <c r="A171" s="233" t="s">
        <v>2564</v>
      </c>
      <c r="B171" s="24" t="str">
        <f>IF(A171="","",IF(LEFT(A171)&gt;"9",VLOOKUP(A171,yuanjidaimachichun,2,FALSE),VLOOKUP(A171,经纬!B:C,2,FALSE)))</f>
        <v>A50-30-28</v>
      </c>
      <c r="C171" s="8" t="str">
        <f t="shared" si="8"/>
        <v>50</v>
      </c>
      <c r="D171" s="8" t="str">
        <f t="shared" si="9"/>
        <v/>
      </c>
      <c r="E171" s="89" t="s">
        <v>2230</v>
      </c>
      <c r="F171" s="89" t="s">
        <v>2611</v>
      </c>
      <c r="G171" s="8">
        <v>156</v>
      </c>
      <c r="H171" s="8" t="s">
        <v>2562</v>
      </c>
      <c r="I171" s="8">
        <v>7000</v>
      </c>
      <c r="J171" s="8">
        <v>35</v>
      </c>
      <c r="K171" s="8">
        <v>37</v>
      </c>
      <c r="L171" s="8" t="s">
        <v>2777</v>
      </c>
      <c r="M171" s="24" t="str">
        <f t="array" ref="M171">LEFT(L171,MIN(FIND({"A","B","C"},MID(L171,2,LEN(L171))&amp;"ABC")))</f>
        <v>A70-2</v>
      </c>
      <c r="N171" s="24" t="str">
        <f t="array" ref="N171">SUBSTITUTE(L171,M171,"")</f>
        <v>C419</v>
      </c>
      <c r="O171" s="23">
        <v>43772</v>
      </c>
      <c r="T171" s="264">
        <f>IF(AND(C171&gt;0,D171=""),SUMIFS(yj!I:I,yj!B:B,plan!A171,yj!G:G,"&gt;="&amp;Q171,yj!G:G,"&lt;="&amp;S171),"")</f>
        <v>0</v>
      </c>
      <c r="U171" s="264">
        <f>SUMIFS(四面弹库存!F:F,四面弹库存!B:B,plan!A171,四面弹库存!O:O,IF(H171&lt;&gt;"黑丝","白","黑"))</f>
        <v>172</v>
      </c>
      <c r="V171" s="264"/>
      <c r="W171" s="369">
        <f t="shared" si="6"/>
        <v>7000</v>
      </c>
      <c r="X171" s="258">
        <f t="shared" si="7"/>
        <v>447.52843394575677</v>
      </c>
      <c r="Y171" s="36">
        <f t="shared" si="10"/>
        <v>22.376421697287839</v>
      </c>
      <c r="Z171" s="340" t="str">
        <f>IF(AND(C171&gt;0,D171&lt;&gt;"",S171=""),VLOOKUP(A171&amp;IF(H171="黑丝","黑","白")&amp;E171,经纬!A:M,13,FALSE)*(I171-AB171),"")</f>
        <v/>
      </c>
      <c r="AA171" s="340" t="str">
        <f>IF(AND(C171&gt;0,D171&lt;&gt;"",S171=""),VLOOKUP(A171&amp;IF(H171="黑丝","黑","白")&amp;E171,经纬!A:N,14,FALSE)*(I171-AB171),"")</f>
        <v/>
      </c>
      <c r="AE171" s="250" t="str">
        <f>IF(COUNTIF(A$2:A171,A171)=1,M171,LOOKUP(1,0/(A$1:A170=A171),AE$1:AE170)&amp;" "&amp;M171)</f>
        <v>XSD A21 A12 A10 A10 A90 A88 A88 A88 A90 A45 A45 A45 A10 A102 XSD A23 A23 A21 A21 A70-2</v>
      </c>
    </row>
    <row r="172" spans="1:31">
      <c r="A172" s="233" t="s">
        <v>2455</v>
      </c>
      <c r="B172" s="24" t="str">
        <f>IF(A172="","",IF(LEFT(A172)&gt;"9",VLOOKUP(A172,yuanjidaimachichun,2,FALSE),VLOOKUP(A172,经纬!B:C,2,FALSE)))</f>
        <v>A50-30-28</v>
      </c>
      <c r="C172" s="8" t="str">
        <f t="shared" si="8"/>
        <v>50</v>
      </c>
      <c r="D172" s="8" t="str">
        <f t="shared" si="9"/>
        <v/>
      </c>
      <c r="E172" s="89" t="s">
        <v>2230</v>
      </c>
      <c r="F172" s="89" t="s">
        <v>2611</v>
      </c>
      <c r="G172" s="8">
        <v>156</v>
      </c>
      <c r="H172" s="8" t="s">
        <v>2562</v>
      </c>
      <c r="I172" s="8">
        <v>3000</v>
      </c>
      <c r="J172" s="8">
        <v>40</v>
      </c>
      <c r="K172" s="8">
        <v>38</v>
      </c>
      <c r="L172" s="8" t="s">
        <v>2777</v>
      </c>
      <c r="M172" s="24" t="str">
        <f t="array" ref="M172">LEFT(L172,MIN(FIND({"A","B","C"},MID(L172,2,LEN(L172))&amp;"ABC")))</f>
        <v>A70-2</v>
      </c>
      <c r="N172" s="24" t="str">
        <f t="array" ref="N172">SUBSTITUTE(L172,M172,"")</f>
        <v>C419</v>
      </c>
      <c r="O172" s="23">
        <v>43772</v>
      </c>
      <c r="T172" s="264">
        <f>IF(AND(C172&gt;0,D172=""),SUMIFS(yj!I:I,yj!B:B,plan!A172,yj!G:G,"&gt;="&amp;Q172,yj!G:G,"&lt;="&amp;S172),"")</f>
        <v>0</v>
      </c>
      <c r="U172" s="264">
        <f>SUMIFS(四面弹库存!F:F,四面弹库存!B:B,plan!A172,四面弹库存!O:O,IF(H172&lt;&gt;"黑丝","白","黑"))</f>
        <v>18</v>
      </c>
      <c r="V172" s="264"/>
      <c r="W172" s="369">
        <f t="shared" si="6"/>
        <v>3000</v>
      </c>
      <c r="X172" s="258">
        <f t="shared" si="7"/>
        <v>196.98162729658793</v>
      </c>
      <c r="Y172" s="36">
        <f t="shared" si="10"/>
        <v>9.8490813648293969</v>
      </c>
      <c r="Z172" s="340" t="str">
        <f>IF(AND(C172&gt;0,D172&lt;&gt;"",S172=""),VLOOKUP(A172&amp;IF(H172="黑丝","黑","白")&amp;E172,经纬!A:M,13,FALSE)*(I172-AB172),"")</f>
        <v/>
      </c>
      <c r="AA172" s="340" t="str">
        <f>IF(AND(C172&gt;0,D172&lt;&gt;"",S172=""),VLOOKUP(A172&amp;IF(H172="黑丝","黑","白")&amp;E172,经纬!A:N,14,FALSE)*(I172-AB172),"")</f>
        <v/>
      </c>
      <c r="AE172" s="250" t="str">
        <f>IF(COUNTIF(A$2:A172,A172)=1,M172,LOOKUP(1,0/(A$1:A171=A172),AE$1:AE171)&amp;" "&amp;M172)</f>
        <v>A70-2</v>
      </c>
    </row>
    <row r="173" spans="1:31">
      <c r="A173" s="233" t="s">
        <v>2455</v>
      </c>
      <c r="B173" s="24" t="str">
        <f>IF(A173="","",IF(LEFT(A173)&gt;"9",VLOOKUP(A173,yuanjidaimachichun,2,FALSE),VLOOKUP(A173,经纬!B:C,2,FALSE)))</f>
        <v>A50-30-28</v>
      </c>
      <c r="C173" s="8" t="str">
        <f t="shared" si="8"/>
        <v>50</v>
      </c>
      <c r="D173" s="8" t="str">
        <f t="shared" si="9"/>
        <v/>
      </c>
      <c r="E173" s="89" t="s">
        <v>2230</v>
      </c>
      <c r="F173" s="89" t="s">
        <v>2611</v>
      </c>
      <c r="G173" s="8">
        <v>156</v>
      </c>
      <c r="H173" s="8" t="s">
        <v>2557</v>
      </c>
      <c r="I173" s="8">
        <v>3000</v>
      </c>
      <c r="J173" s="8">
        <v>40</v>
      </c>
      <c r="K173" s="8">
        <v>38</v>
      </c>
      <c r="L173" s="8" t="s">
        <v>2777</v>
      </c>
      <c r="M173" s="24" t="str">
        <f t="array" ref="M173">LEFT(L173,MIN(FIND({"A","B","C"},MID(L173,2,LEN(L173))&amp;"ABC")))</f>
        <v>A70-2</v>
      </c>
      <c r="N173" s="24" t="str">
        <f t="array" ref="N173">SUBSTITUTE(L173,M173,"")</f>
        <v>C419</v>
      </c>
      <c r="O173" s="23">
        <v>43772</v>
      </c>
      <c r="T173" s="264">
        <f>IF(AND(C173&gt;0,D173=""),SUMIFS(yj!I:I,yj!B:B,plan!A173,yj!G:G,"&gt;="&amp;Q173,yj!G:G,"&lt;="&amp;S173),"")</f>
        <v>0</v>
      </c>
      <c r="U173" s="264">
        <f>SUMIFS(四面弹库存!F:F,四面弹库存!B:B,plan!A173,四面弹库存!O:O,IF(H173&lt;&gt;"黑丝","白","黑"))</f>
        <v>18</v>
      </c>
      <c r="V173" s="264"/>
      <c r="W173" s="369">
        <f t="shared" si="6"/>
        <v>3000</v>
      </c>
      <c r="X173" s="258">
        <f t="shared" si="7"/>
        <v>196.98162729658793</v>
      </c>
      <c r="Y173" s="36">
        <f t="shared" si="10"/>
        <v>9.8490813648293969</v>
      </c>
      <c r="Z173" s="340" t="str">
        <f>IF(AND(C173&gt;0,D173&lt;&gt;"",S173=""),VLOOKUP(A173&amp;IF(H173="黑丝","黑","白")&amp;E173,经纬!A:M,13,FALSE)*(I173-AB173),"")</f>
        <v/>
      </c>
      <c r="AA173" s="340" t="str">
        <f>IF(AND(C173&gt;0,D173&lt;&gt;"",S173=""),VLOOKUP(A173&amp;IF(H173="黑丝","黑","白")&amp;E173,经纬!A:N,14,FALSE)*(I173-AB173),"")</f>
        <v/>
      </c>
      <c r="AE173" s="250" t="str">
        <f>IF(COUNTIF(A$2:A173,A173)=1,M173,LOOKUP(1,0/(A$1:A172=A173),AE$1:AE172)&amp;" "&amp;M173)</f>
        <v>A70-2 A70-2</v>
      </c>
    </row>
    <row r="174" spans="1:31">
      <c r="A174" s="233" t="s">
        <v>2876</v>
      </c>
      <c r="B174" s="24" t="str">
        <f>IF(A174="","",IF(LEFT(A174)&gt;"9",VLOOKUP(A174,yuanjidaimachichun,2,FALSE),VLOOKUP(A174,经纬!B:C,2,FALSE)))</f>
        <v>A50-30-28</v>
      </c>
      <c r="C174" s="8" t="str">
        <f t="shared" si="8"/>
        <v>50</v>
      </c>
      <c r="D174" s="8" t="str">
        <f t="shared" si="9"/>
        <v/>
      </c>
      <c r="E174" s="89" t="s">
        <v>2230</v>
      </c>
      <c r="F174" s="89" t="s">
        <v>2612</v>
      </c>
      <c r="G174" s="8">
        <v>158</v>
      </c>
      <c r="H174" s="8" t="s">
        <v>2558</v>
      </c>
      <c r="I174" s="8">
        <v>20000</v>
      </c>
      <c r="J174" s="8">
        <v>38</v>
      </c>
      <c r="K174" s="8">
        <v>40</v>
      </c>
      <c r="L174" s="8" t="s">
        <v>2877</v>
      </c>
      <c r="M174" s="24" t="str">
        <f t="array" ref="M174">LEFT(L174,MIN(FIND({"A","B","C"},MID(L174,2,LEN(L174))&amp;"ABC")))</f>
        <v>A10</v>
      </c>
      <c r="N174" s="24" t="str">
        <f t="array" ref="N174">SUBSTITUTE(L174,M174,"")</f>
        <v>B572</v>
      </c>
      <c r="O174" s="23">
        <v>43773</v>
      </c>
      <c r="T174" s="264">
        <f>IF(AND(C174&gt;0,D174=""),SUMIFS(yj!I:I,yj!B:B,plan!A174,yj!G:G,"&gt;="&amp;Q174,yj!G:G,"&lt;="&amp;S174),"")</f>
        <v>0</v>
      </c>
      <c r="U174" s="264">
        <f>SUMIFS(四面弹库存!F:F,四面弹库存!B:B,plan!A174,四面弹库存!O:O,IF(H174&lt;&gt;"黑丝","白","黑"))</f>
        <v>54</v>
      </c>
      <c r="V174" s="264"/>
      <c r="W174" s="369">
        <f t="shared" si="6"/>
        <v>20000</v>
      </c>
      <c r="X174" s="258">
        <f t="shared" si="7"/>
        <v>1399.825021872266</v>
      </c>
      <c r="Y174" s="36">
        <f t="shared" si="10"/>
        <v>69.9912510936133</v>
      </c>
      <c r="Z174" s="340" t="str">
        <f>IF(AND(C174&gt;0,D174&lt;&gt;"",S174=""),VLOOKUP(A174&amp;IF(H174="黑丝","黑","白")&amp;E174,经纬!A:M,13,FALSE)*(I174-AB174),"")</f>
        <v/>
      </c>
      <c r="AA174" s="340" t="str">
        <f>IF(AND(C174&gt;0,D174&lt;&gt;"",S174=""),VLOOKUP(A174&amp;IF(H174="黑丝","黑","白")&amp;E174,经纬!A:N,14,FALSE)*(I174-AB174),"")</f>
        <v/>
      </c>
      <c r="AE174" s="250" t="str">
        <f>IF(COUNTIF(A$2:A174,A174)=1,M174,LOOKUP(1,0/(A$1:A173=A174),AE$1:AE173)&amp;" "&amp;M174)</f>
        <v>A21 A21 A10</v>
      </c>
    </row>
    <row r="175" spans="1:31">
      <c r="A175" s="233" t="s">
        <v>2876</v>
      </c>
      <c r="B175" s="24" t="str">
        <f>IF(A175="","",IF(LEFT(A175)&gt;"9",VLOOKUP(A175,yuanjidaimachichun,2,FALSE),VLOOKUP(A175,经纬!B:C,2,FALSE)))</f>
        <v>A50-30-28</v>
      </c>
      <c r="C175" s="8" t="str">
        <f t="shared" si="8"/>
        <v>50</v>
      </c>
      <c r="D175" s="8" t="str">
        <f t="shared" si="9"/>
        <v/>
      </c>
      <c r="E175" s="89" t="s">
        <v>2230</v>
      </c>
      <c r="F175" s="89" t="s">
        <v>2612</v>
      </c>
      <c r="G175" s="8">
        <v>158</v>
      </c>
      <c r="H175" s="8" t="s">
        <v>2569</v>
      </c>
      <c r="I175" s="8">
        <v>45000</v>
      </c>
      <c r="J175" s="8">
        <v>38</v>
      </c>
      <c r="K175" s="8">
        <v>40</v>
      </c>
      <c r="L175" s="8" t="s">
        <v>2877</v>
      </c>
      <c r="M175" s="24" t="str">
        <f t="array" ref="M175">LEFT(L175,MIN(FIND({"A","B","C"},MID(L175,2,LEN(L175))&amp;"ABC")))</f>
        <v>A10</v>
      </c>
      <c r="N175" s="24" t="str">
        <f t="array" ref="N175">SUBSTITUTE(L175,M175,"")</f>
        <v>B572</v>
      </c>
      <c r="O175" s="23">
        <v>43773</v>
      </c>
      <c r="T175" s="264">
        <f>IF(AND(C175&gt;0,D175=""),SUMIFS(yj!I:I,yj!B:B,plan!A175,yj!G:G,"&gt;="&amp;Q175,yj!G:G,"&lt;="&amp;S175),"")</f>
        <v>0</v>
      </c>
      <c r="U175" s="264">
        <f>SUMIFS(四面弹库存!F:F,四面弹库存!B:B,plan!A175,四面弹库存!O:O,IF(H175&lt;&gt;"黑丝","白","黑"))</f>
        <v>54</v>
      </c>
      <c r="V175" s="264"/>
      <c r="W175" s="369">
        <f t="shared" si="6"/>
        <v>45000</v>
      </c>
      <c r="X175" s="258">
        <f t="shared" si="7"/>
        <v>3149.6062992125985</v>
      </c>
      <c r="Y175" s="36">
        <f t="shared" si="10"/>
        <v>157.48031496062993</v>
      </c>
      <c r="Z175" s="340" t="str">
        <f>IF(AND(C175&gt;0,D175&lt;&gt;"",S175=""),VLOOKUP(A175&amp;IF(H175="黑丝","黑","白")&amp;E175,经纬!A:M,13,FALSE)*(I175-AB175),"")</f>
        <v/>
      </c>
      <c r="AA175" s="340" t="str">
        <f>IF(AND(C175&gt;0,D175&lt;&gt;"",S175=""),VLOOKUP(A175&amp;IF(H175="黑丝","黑","白")&amp;E175,经纬!A:N,14,FALSE)*(I175-AB175),"")</f>
        <v/>
      </c>
      <c r="AE175" s="250" t="str">
        <f>IF(COUNTIF(A$2:A175,A175)=1,M175,LOOKUP(1,0/(A$1:A174=A175),AE$1:AE174)&amp;" "&amp;M175)</f>
        <v>A21 A21 A10 A10</v>
      </c>
    </row>
    <row r="176" spans="1:31">
      <c r="A176" s="233" t="s">
        <v>2968</v>
      </c>
      <c r="B176" s="24" t="str">
        <f>IF(A176="","",IF(LEFT(A176)&gt;"9",VLOOKUP(A176,yuanjidaimachichun,2,FALSE),VLOOKUP(A176,经纬!B:C,2,FALSE)))</f>
        <v>A50-30-28</v>
      </c>
      <c r="C176" s="8" t="str">
        <f t="shared" si="8"/>
        <v>50</v>
      </c>
      <c r="D176" s="8" t="str">
        <f t="shared" si="9"/>
        <v/>
      </c>
      <c r="E176" s="89" t="s">
        <v>2230</v>
      </c>
      <c r="F176" s="89" t="s">
        <v>2611</v>
      </c>
      <c r="G176" s="8">
        <v>158</v>
      </c>
      <c r="H176" s="8" t="s">
        <v>2969</v>
      </c>
      <c r="I176" s="8">
        <v>5000</v>
      </c>
      <c r="J176" s="8">
        <v>36</v>
      </c>
      <c r="K176" s="8">
        <v>35</v>
      </c>
      <c r="L176" s="8" t="s">
        <v>2970</v>
      </c>
      <c r="M176" s="24" t="str">
        <f t="array" ref="M176">LEFT(L176,MIN(FIND({"A","B","C"},MID(L176,2,LEN(L176))&amp;"ABC")))</f>
        <v>A187</v>
      </c>
      <c r="N176" s="24" t="str">
        <f t="array" ref="N176">SUBSTITUTE(L176,M176,"")</f>
        <v>B577</v>
      </c>
      <c r="O176" s="23">
        <v>43774</v>
      </c>
      <c r="T176" s="264">
        <f>IF(AND(C176&gt;0,D176=""),SUMIFS(yj!I:I,yj!B:B,plan!A176,yj!G:G,"&gt;="&amp;Q176,yj!G:G,"&lt;="&amp;S176),"")</f>
        <v>0</v>
      </c>
      <c r="U176" s="264">
        <f>SUMIFS(四面弹库存!F:F,四面弹库存!B:B,plan!A176,四面弹库存!O:O,IF(H176&lt;&gt;"黑丝","白","黑"))</f>
        <v>0</v>
      </c>
      <c r="V176" s="264"/>
      <c r="W176" s="369">
        <f t="shared" si="6"/>
        <v>4999.9999999999991</v>
      </c>
      <c r="X176" s="258">
        <f t="shared" si="7"/>
        <v>306.21172353455819</v>
      </c>
      <c r="Y176" s="36">
        <f t="shared" si="10"/>
        <v>15.310586176727909</v>
      </c>
      <c r="Z176" s="340" t="str">
        <f>IF(AND(C176&gt;0,D176&lt;&gt;"",S176=""),VLOOKUP(A176&amp;IF(H176="黑丝","黑","白")&amp;E176,经纬!A:M,13,FALSE)*(I176-AB176),"")</f>
        <v/>
      </c>
      <c r="AA176" s="340" t="str">
        <f>IF(AND(C176&gt;0,D176&lt;&gt;"",S176=""),VLOOKUP(A176&amp;IF(H176="黑丝","黑","白")&amp;E176,经纬!A:N,14,FALSE)*(I176-AB176),"")</f>
        <v/>
      </c>
      <c r="AD176" s="4" t="s">
        <v>2994</v>
      </c>
    </row>
    <row r="177" spans="1:30">
      <c r="A177" s="233" t="s">
        <v>2989</v>
      </c>
      <c r="B177" s="24" t="str">
        <f>IF(A177="","",IF(LEFT(A177)&gt;"9",VLOOKUP(A177,yuanjidaimachichun,2,FALSE),VLOOKUP(A177,经纬!B:C,2,FALSE)))</f>
        <v>A50-30-28</v>
      </c>
      <c r="C177" s="8" t="str">
        <f t="shared" si="8"/>
        <v>50</v>
      </c>
      <c r="D177" s="8" t="str">
        <f t="shared" si="9"/>
        <v/>
      </c>
      <c r="E177" s="89" t="s">
        <v>2230</v>
      </c>
      <c r="F177" s="89" t="s">
        <v>2611</v>
      </c>
      <c r="G177" s="8">
        <v>156</v>
      </c>
      <c r="H177" s="8" t="s">
        <v>2990</v>
      </c>
      <c r="I177" s="8">
        <v>15000</v>
      </c>
      <c r="J177" s="8">
        <v>32</v>
      </c>
      <c r="K177" s="8">
        <v>34</v>
      </c>
      <c r="L177" s="8" t="s">
        <v>2992</v>
      </c>
      <c r="M177" s="24" t="str">
        <f t="array" ref="M177">LEFT(L177,MIN(FIND({"A","B","C"},MID(L177,2,LEN(L177))&amp;"ABC")))</f>
        <v>XSD</v>
      </c>
      <c r="N177" s="24" t="str">
        <f t="array" ref="N177">SUBSTITUTE(L177,M177,"")</f>
        <v>C420</v>
      </c>
      <c r="O177" s="23">
        <v>43774</v>
      </c>
      <c r="S177" s="23">
        <v>43774</v>
      </c>
      <c r="T177" s="264">
        <f>IF(AND(C177&gt;0,D177=""),SUMIFS(yj!I:I,yj!B:B,plan!A177,yj!G:G,"&gt;="&amp;Q177,yj!G:G,"&lt;="&amp;S177),"")</f>
        <v>0</v>
      </c>
      <c r="U177" s="264">
        <f>SUMIFS(四面弹库存!F:F,四面弹库存!B:B,plan!A177,四面弹库存!O:O,IF(H177&lt;&gt;"黑丝","白","黑"))</f>
        <v>143</v>
      </c>
      <c r="V177" s="264"/>
      <c r="W177" s="369" t="str">
        <f t="shared" si="6"/>
        <v/>
      </c>
      <c r="X177" s="258" t="str">
        <f t="shared" si="7"/>
        <v/>
      </c>
      <c r="Y177" s="36" t="str">
        <f t="shared" si="10"/>
        <v/>
      </c>
      <c r="Z177" s="340" t="str">
        <f>IF(AND(C177&gt;0,D177&lt;&gt;"",S177=""),VLOOKUP(A177&amp;IF(H177="黑丝","黑","白")&amp;E177,经纬!A:M,13,FALSE)*(I177-AB177),"")</f>
        <v/>
      </c>
      <c r="AA177" s="340" t="str">
        <f>IF(AND(C177&gt;0,D177&lt;&gt;"",S177=""),VLOOKUP(A177&amp;IF(H177="黑丝","黑","白")&amp;E177,经纬!A:N,14,FALSE)*(I177-AB177),"")</f>
        <v/>
      </c>
      <c r="AB177" s="8">
        <f>34+14</f>
        <v>48</v>
      </c>
      <c r="AC177" s="4" t="s">
        <v>3136</v>
      </c>
    </row>
    <row r="178" spans="1:30">
      <c r="A178" s="233" t="s">
        <v>2247</v>
      </c>
      <c r="B178" s="24" t="str">
        <f>IF(A178="","",IF(LEFT(A178)&gt;"9",VLOOKUP(A178,yuanjidaimachichun,2,FALSE),VLOOKUP(A178,经纬!B:C,2,FALSE)))</f>
        <v>C50-26-28</v>
      </c>
      <c r="C178" s="8" t="str">
        <f t="shared" si="8"/>
        <v>50</v>
      </c>
      <c r="D178" s="8" t="str">
        <f t="shared" si="9"/>
        <v/>
      </c>
      <c r="E178" s="89" t="s">
        <v>2230</v>
      </c>
      <c r="F178" s="89" t="s">
        <v>2617</v>
      </c>
      <c r="G178" s="8">
        <v>156</v>
      </c>
      <c r="H178" s="8" t="s">
        <v>1499</v>
      </c>
      <c r="I178" s="8">
        <v>10000</v>
      </c>
      <c r="J178" s="8">
        <v>40</v>
      </c>
      <c r="K178" s="8">
        <v>33</v>
      </c>
      <c r="L178" s="8" t="s">
        <v>2992</v>
      </c>
      <c r="M178" s="24" t="str">
        <f t="array" ref="M178">LEFT(L178,MIN(FIND({"A","B","C"},MID(L178,2,LEN(L178))&amp;"ABC")))</f>
        <v>XSD</v>
      </c>
      <c r="N178" s="24" t="str">
        <f t="array" ref="N178">SUBSTITUTE(L178,M178,"")</f>
        <v>C420</v>
      </c>
      <c r="O178" s="23">
        <v>43774</v>
      </c>
      <c r="T178" s="264">
        <f>IF(AND(C178&gt;0,D178=""),SUMIFS(yj!I:I,yj!B:B,plan!A178,yj!G:G,"&gt;="&amp;Q178,yj!G:G,"&lt;="&amp;S178),"")</f>
        <v>0</v>
      </c>
      <c r="U178" s="264">
        <f>SUMIFS(四面弹库存!F:F,四面弹库存!B:B,plan!A178,四面弹库存!O:O,IF(H178&lt;&gt;"黑丝","白","黑"))</f>
        <v>194</v>
      </c>
      <c r="V178" s="264"/>
      <c r="W178" s="369">
        <f t="shared" si="6"/>
        <v>9999.9999999999982</v>
      </c>
      <c r="X178" s="258">
        <f t="shared" si="7"/>
        <v>570.20997375328079</v>
      </c>
      <c r="Y178" s="36">
        <f t="shared" si="10"/>
        <v>28.51049868766404</v>
      </c>
      <c r="Z178" s="340" t="str">
        <f>IF(AND(C178&gt;0,D178&lt;&gt;"",S178=""),VLOOKUP(A178&amp;IF(H178="黑丝","黑","白")&amp;E178,经纬!A:M,13,FALSE)*(I178-AB178),"")</f>
        <v/>
      </c>
      <c r="AA178" s="340" t="str">
        <f>IF(AND(C178&gt;0,D178&lt;&gt;"",S178=""),VLOOKUP(A178&amp;IF(H178="黑丝","黑","白")&amp;E178,经纬!A:N,14,FALSE)*(I178-AB178),"")</f>
        <v/>
      </c>
    </row>
    <row r="179" spans="1:30">
      <c r="A179" s="233" t="s">
        <v>2566</v>
      </c>
      <c r="B179" s="24" t="str">
        <f>IF(A179="","",IF(LEFT(A179)&gt;"9",VLOOKUP(A179,yuanjidaimachichun,2,FALSE),VLOOKUP(A179,经纬!B:C,2,FALSE)))</f>
        <v>30*30</v>
      </c>
      <c r="C179" s="8" t="str">
        <f t="shared" si="8"/>
        <v>30</v>
      </c>
      <c r="D179" s="8" t="str">
        <f t="shared" si="9"/>
        <v>30</v>
      </c>
      <c r="E179" s="89" t="s">
        <v>2561</v>
      </c>
      <c r="F179" s="89" t="s">
        <v>2617</v>
      </c>
      <c r="G179" s="8">
        <v>190</v>
      </c>
      <c r="H179" s="8" t="s">
        <v>1499</v>
      </c>
      <c r="I179" s="8">
        <v>20000</v>
      </c>
      <c r="J179" s="8">
        <v>23</v>
      </c>
      <c r="L179" s="8" t="s">
        <v>2992</v>
      </c>
      <c r="M179" s="24" t="str">
        <f t="array" ref="M179">LEFT(L179,MIN(FIND({"A","B","C"},MID(L179,2,LEN(L179))&amp;"ABC")))</f>
        <v>XSD</v>
      </c>
      <c r="N179" s="24" t="str">
        <f t="array" ref="N179">SUBSTITUTE(L179,M179,"")</f>
        <v>C420</v>
      </c>
      <c r="O179" s="23">
        <v>43774</v>
      </c>
      <c r="T179" s="264" t="str">
        <f>IF(AND(C179&gt;0,D179=""),SUMIFS(yj!I:I,yj!B:B,plan!A179,yj!G:G,"&gt;="&amp;Q179,yj!G:G,"&lt;="&amp;S179),"")</f>
        <v/>
      </c>
      <c r="U179" s="264">
        <f>SUMIFS(四面弹库存!F:F,四面弹库存!B:B,plan!A179,四面弹库存!O:O,IF(H179&lt;&gt;"黑丝","白","黑"))</f>
        <v>0</v>
      </c>
      <c r="V179" s="264"/>
      <c r="W179" s="369">
        <f t="shared" si="6"/>
        <v>20000</v>
      </c>
      <c r="X179" s="258">
        <f t="shared" si="7"/>
        <v>647.74660367454067</v>
      </c>
      <c r="Y179" s="36" t="str">
        <f t="shared" si="10"/>
        <v/>
      </c>
      <c r="Z179" s="340">
        <f>IF(AND(C179&gt;0,D179&lt;&gt;"",S179=""),VLOOKUP(A179&amp;IF(H179="黑丝","黑","白")&amp;E179,经纬!A:M,13,FALSE)*(I179-AB179),"")</f>
        <v>362.57600000000002</v>
      </c>
      <c r="AA179" s="340">
        <f>IF(AND(C179&gt;0,D179&lt;&gt;"",S179=""),VLOOKUP(A179&amp;IF(H179="黑丝","黑","白")&amp;E179,经纬!A:N,14,FALSE)*(I179-AB179),"")</f>
        <v>285.1706036745407</v>
      </c>
    </row>
    <row r="180" spans="1:30">
      <c r="A180" s="233" t="s">
        <v>2564</v>
      </c>
      <c r="B180" s="24" t="str">
        <f>IF(A180="","",IF(LEFT(A180)&gt;"9",VLOOKUP(A180,yuanjidaimachichun,2,FALSE),VLOOKUP(A180,经纬!B:C,2,FALSE)))</f>
        <v>A50-30-28</v>
      </c>
      <c r="C180" s="8" t="str">
        <f t="shared" si="8"/>
        <v>50</v>
      </c>
      <c r="D180" s="8" t="str">
        <f t="shared" si="9"/>
        <v/>
      </c>
      <c r="E180" s="89" t="s">
        <v>2230</v>
      </c>
      <c r="F180" s="89" t="s">
        <v>2611</v>
      </c>
      <c r="G180" s="8">
        <v>158</v>
      </c>
      <c r="H180" s="8" t="s">
        <v>2558</v>
      </c>
      <c r="I180" s="8">
        <v>40000</v>
      </c>
      <c r="J180" s="8">
        <v>35</v>
      </c>
      <c r="K180" s="8">
        <v>33</v>
      </c>
      <c r="L180" s="8" t="s">
        <v>3129</v>
      </c>
      <c r="M180" s="24" t="str">
        <f t="array" ref="M180">LEFT(L180,MIN(FIND({"A","B","C"},MID(L180,2,LEN(L180))&amp;"ABC")))</f>
        <v>A10</v>
      </c>
      <c r="N180" s="24" t="str">
        <f t="array" ref="N180">SUBSTITUTE(L180,M180,"")</f>
        <v>B578</v>
      </c>
      <c r="O180" s="23">
        <v>43775</v>
      </c>
      <c r="T180" s="264">
        <f>IF(AND(C180&gt;0,D180=""),SUMIFS(yj!I:I,yj!B:B,plan!A180,yj!G:G,"&gt;="&amp;Q180,yj!G:G,"&lt;="&amp;S180),"")</f>
        <v>0</v>
      </c>
      <c r="U180" s="264">
        <f>SUMIFS(四面弹库存!F:F,四面弹库存!B:B,plan!A180,四面弹库存!O:O,IF(H180&lt;&gt;"黑丝","白","黑"))</f>
        <v>172</v>
      </c>
      <c r="V180" s="264"/>
      <c r="W180" s="369">
        <f t="shared" si="6"/>
        <v>39999.999999999993</v>
      </c>
      <c r="X180" s="258">
        <f t="shared" si="7"/>
        <v>2309.7112860892389</v>
      </c>
      <c r="Y180" s="36">
        <f t="shared" si="10"/>
        <v>115.48556430446195</v>
      </c>
      <c r="Z180" s="340" t="str">
        <f>IF(AND(C180&gt;0,D180&lt;&gt;"",S180=""),VLOOKUP(A180&amp;IF(H180="黑丝","黑","白")&amp;E180,经纬!A:M,13,FALSE)*(I180-AB180),"")</f>
        <v/>
      </c>
      <c r="AA180" s="340" t="str">
        <f>IF(AND(C180&gt;0,D180&lt;&gt;"",S180=""),VLOOKUP(A180&amp;IF(H180="黑丝","黑","白")&amp;E180,经纬!A:N,14,FALSE)*(I180-AB180),"")</f>
        <v/>
      </c>
    </row>
    <row r="181" spans="1:30">
      <c r="A181" s="233" t="s">
        <v>3130</v>
      </c>
      <c r="B181" s="24" t="str">
        <f>IF(A181="","",IF(LEFT(A181)&gt;"9",VLOOKUP(A181,yuanjidaimachichun,2,FALSE),VLOOKUP(A181,经纬!B:C,2,FALSE)))</f>
        <v>A50-30-28</v>
      </c>
      <c r="C181" s="8" t="str">
        <f t="shared" si="8"/>
        <v>50</v>
      </c>
      <c r="D181" s="8" t="str">
        <f t="shared" si="9"/>
        <v/>
      </c>
      <c r="E181" s="89" t="s">
        <v>2230</v>
      </c>
      <c r="F181" s="89" t="s">
        <v>2611</v>
      </c>
      <c r="G181" s="8">
        <v>158</v>
      </c>
      <c r="H181" s="8" t="s">
        <v>3131</v>
      </c>
      <c r="I181" s="8">
        <v>35000</v>
      </c>
      <c r="J181" s="8">
        <v>32</v>
      </c>
      <c r="K181" s="8">
        <v>33</v>
      </c>
      <c r="L181" s="8" t="s">
        <v>3129</v>
      </c>
      <c r="M181" s="24" t="str">
        <f t="array" ref="M181">LEFT(L181,MIN(FIND({"A","B","C"},MID(L181,2,LEN(L181))&amp;"ABC")))</f>
        <v>A10</v>
      </c>
      <c r="N181" s="24" t="str">
        <f t="array" ref="N181">SUBSTITUTE(L181,M181,"")</f>
        <v>B578</v>
      </c>
      <c r="O181" s="23">
        <v>43775</v>
      </c>
      <c r="T181" s="264">
        <f>IF(AND(C181&gt;0,D181=""),SUMIFS(yj!I:I,yj!B:B,plan!A181,yj!G:G,"&gt;="&amp;Q181,yj!G:G,"&lt;="&amp;S181),"")</f>
        <v>0</v>
      </c>
      <c r="U181" s="264">
        <f>SUMIFS(四面弹库存!F:F,四面弹库存!B:B,plan!A181,四面弹库存!O:O,IF(H181&lt;&gt;"黑丝","白","黑"))</f>
        <v>143</v>
      </c>
      <c r="V181" s="264"/>
      <c r="W181" s="369">
        <f t="shared" si="6"/>
        <v>35000</v>
      </c>
      <c r="X181" s="258">
        <f t="shared" si="7"/>
        <v>2020.9973753280842</v>
      </c>
      <c r="Y181" s="36">
        <f t="shared" si="10"/>
        <v>101.04986876640422</v>
      </c>
      <c r="Z181" s="340" t="str">
        <f>IF(AND(C181&gt;0,D181&lt;&gt;"",S181=""),VLOOKUP(A181&amp;IF(H181="黑丝","黑","白")&amp;E181,经纬!A:M,13,FALSE)*(I181-AB181),"")</f>
        <v/>
      </c>
      <c r="AA181" s="340" t="str">
        <f>IF(AND(C181&gt;0,D181&lt;&gt;"",S181=""),VLOOKUP(A181&amp;IF(H181="黑丝","黑","白")&amp;E181,经纬!A:N,14,FALSE)*(I181-AB181),"")</f>
        <v/>
      </c>
    </row>
    <row r="182" spans="1:30">
      <c r="A182" s="233" t="s">
        <v>2570</v>
      </c>
      <c r="B182" s="24" t="str">
        <f>IF(A182="","",IF(LEFT(A182)&gt;"9",VLOOKUP(A182,yuanjidaimachichun,2,FALSE),VLOOKUP(A182,经纬!B:C,2,FALSE)))</f>
        <v>A50-30-28</v>
      </c>
      <c r="C182" s="8" t="str">
        <f t="shared" si="8"/>
        <v>50</v>
      </c>
      <c r="D182" s="8" t="str">
        <f t="shared" si="9"/>
        <v/>
      </c>
      <c r="E182" s="89" t="s">
        <v>2230</v>
      </c>
      <c r="F182" s="89" t="s">
        <v>2611</v>
      </c>
      <c r="G182" s="8">
        <v>158</v>
      </c>
      <c r="H182" s="8" t="s">
        <v>2587</v>
      </c>
      <c r="I182" s="8">
        <v>50000</v>
      </c>
      <c r="J182" s="8">
        <v>35</v>
      </c>
      <c r="K182" s="8">
        <v>33</v>
      </c>
      <c r="L182" s="8" t="s">
        <v>3129</v>
      </c>
      <c r="M182" s="24" t="str">
        <f t="array" ref="M182">LEFT(L182,MIN(FIND({"A","B","C"},MID(L182,2,LEN(L182))&amp;"ABC")))</f>
        <v>A10</v>
      </c>
      <c r="N182" s="24" t="str">
        <f t="array" ref="N182">SUBSTITUTE(L182,M182,"")</f>
        <v>B578</v>
      </c>
      <c r="O182" s="23">
        <v>43775</v>
      </c>
      <c r="T182" s="264">
        <f>IF(AND(C182&gt;0,D182=""),SUMIFS(yj!I:I,yj!B:B,plan!A182,yj!G:G,"&gt;="&amp;Q182,yj!G:G,"&lt;="&amp;S182),"")</f>
        <v>0</v>
      </c>
      <c r="U182" s="264">
        <f>SUMIFS(四面弹库存!F:F,四面弹库存!B:B,plan!A182,四面弹库存!O:O,IF(H182&lt;&gt;"黑丝","白","黑"))</f>
        <v>26</v>
      </c>
      <c r="V182" s="264"/>
      <c r="W182" s="369">
        <f t="shared" si="6"/>
        <v>49999.999999999993</v>
      </c>
      <c r="X182" s="258">
        <f t="shared" si="7"/>
        <v>2887.1391076115488</v>
      </c>
      <c r="Y182" s="36">
        <f t="shared" si="10"/>
        <v>131.23359580052494</v>
      </c>
      <c r="Z182" s="340" t="str">
        <f>IF(AND(C182&gt;0,D182&lt;&gt;"",S182=""),VLOOKUP(A182&amp;IF(H182="黑丝","黑","白")&amp;E182,经纬!A:M,13,FALSE)*(I182-AB182),"")</f>
        <v/>
      </c>
      <c r="AA182" s="340" t="str">
        <f>IF(AND(C182&gt;0,D182&lt;&gt;"",S182=""),VLOOKUP(A182&amp;IF(H182="黑丝","黑","白")&amp;E182,经纬!A:N,14,FALSE)*(I182-AB182),"")</f>
        <v/>
      </c>
    </row>
    <row r="183" spans="1:30">
      <c r="A183" s="233" t="s">
        <v>2570</v>
      </c>
      <c r="B183" s="24" t="str">
        <f>IF(A183="","",IF(LEFT(A183)&gt;"9",VLOOKUP(A183,yuanjidaimachichun,2,FALSE),VLOOKUP(A183,经纬!B:C,2,FALSE)))</f>
        <v>A50-30-28</v>
      </c>
      <c r="C183" s="8" t="str">
        <f t="shared" si="8"/>
        <v>50</v>
      </c>
      <c r="D183" s="8" t="str">
        <f t="shared" si="9"/>
        <v/>
      </c>
      <c r="E183" s="89" t="s">
        <v>2230</v>
      </c>
      <c r="F183" s="89" t="s">
        <v>2611</v>
      </c>
      <c r="G183" s="8">
        <v>158</v>
      </c>
      <c r="H183" s="8" t="s">
        <v>2587</v>
      </c>
      <c r="I183" s="8">
        <v>30000</v>
      </c>
      <c r="J183" s="8">
        <v>35</v>
      </c>
      <c r="K183" s="8">
        <v>33</v>
      </c>
      <c r="L183" s="8" t="s">
        <v>3146</v>
      </c>
      <c r="M183" s="24" t="str">
        <f t="array" ref="M183">LEFT(L183,MIN(FIND({"A","B","C"},MID(L183,2,LEN(L183))&amp;"ABC")))</f>
        <v>A90</v>
      </c>
      <c r="N183" s="24" t="str">
        <f t="array" ref="N183">SUBSTITUTE(L183,M183,"")</f>
        <v>C421</v>
      </c>
      <c r="O183" s="23">
        <v>43775</v>
      </c>
      <c r="T183" s="264">
        <f>IF(AND(C183&gt;0,D183=""),SUMIFS(yj!I:I,yj!B:B,plan!A183,yj!G:G,"&gt;="&amp;Q183,yj!G:G,"&lt;="&amp;S183),"")</f>
        <v>0</v>
      </c>
      <c r="U183" s="264">
        <f>SUMIFS(四面弹库存!F:F,四面弹库存!B:B,plan!A183,四面弹库存!O:O,IF(H183&lt;&gt;"黑丝","白","黑"))</f>
        <v>26</v>
      </c>
      <c r="V183" s="264"/>
      <c r="W183" s="369">
        <f t="shared" si="6"/>
        <v>29999.999999999996</v>
      </c>
      <c r="X183" s="258">
        <f t="shared" si="7"/>
        <v>1732.2834645669293</v>
      </c>
      <c r="Y183" s="36">
        <f t="shared" si="10"/>
        <v>78.740157480314963</v>
      </c>
      <c r="Z183" s="340" t="str">
        <f>IF(AND(C183&gt;0,D183&lt;&gt;"",S183=""),VLOOKUP(A183&amp;IF(H183="黑丝","黑","白")&amp;E183,经纬!A:M,13,FALSE)*(I183-AB183),"")</f>
        <v/>
      </c>
      <c r="AA183" s="340" t="str">
        <f>IF(AND(C183&gt;0,D183&lt;&gt;"",S183=""),VLOOKUP(A183&amp;IF(H183="黑丝","黑","白")&amp;E183,经纬!A:N,14,FALSE)*(I183-AB183),"")</f>
        <v/>
      </c>
    </row>
    <row r="184" spans="1:30">
      <c r="A184" s="233" t="s">
        <v>2560</v>
      </c>
      <c r="B184" s="24" t="str">
        <f>IF(A184="","",IF(LEFT(A184)&gt;"9",VLOOKUP(A184,yuanjidaimachichun,2,FALSE),VLOOKUP(A184,经纬!B:C,2,FALSE)))</f>
        <v>20*20</v>
      </c>
      <c r="C184" s="8" t="str">
        <f t="shared" si="8"/>
        <v>20</v>
      </c>
      <c r="D184" s="8" t="str">
        <f t="shared" si="9"/>
        <v>20</v>
      </c>
      <c r="E184" s="89" t="s">
        <v>2561</v>
      </c>
      <c r="F184" s="89" t="s">
        <v>2611</v>
      </c>
      <c r="G184" s="8">
        <v>197</v>
      </c>
      <c r="H184" s="8" t="s">
        <v>1499</v>
      </c>
      <c r="I184" s="8">
        <v>5000</v>
      </c>
      <c r="J184" s="8">
        <v>17</v>
      </c>
      <c r="K184" s="8">
        <v>18</v>
      </c>
      <c r="L184" s="8" t="s">
        <v>3146</v>
      </c>
      <c r="M184" s="24" t="str">
        <f t="array" ref="M184">LEFT(L184,MIN(FIND({"A","B","C"},MID(L184,2,LEN(L184))&amp;"ABC")))</f>
        <v>A90</v>
      </c>
      <c r="N184" s="24" t="str">
        <f t="array" ref="N184">SUBSTITUTE(L184,M184,"")</f>
        <v>C421</v>
      </c>
      <c r="O184" s="23">
        <v>43775</v>
      </c>
      <c r="T184" s="264" t="str">
        <f>IF(AND(C184&gt;0,D184=""),SUMIFS(yj!I:I,yj!B:B,plan!A184,yj!G:G,"&gt;="&amp;Q184,yj!G:G,"&lt;="&amp;S184),"")</f>
        <v/>
      </c>
      <c r="U184" s="264">
        <f>SUMIFS(四面弹库存!F:F,四面弹库存!B:B,plan!A184,四面弹库存!O:O,IF(H184&lt;&gt;"黑丝","白","黑"))</f>
        <v>0</v>
      </c>
      <c r="V184" s="264"/>
      <c r="W184" s="369">
        <f t="shared" si="6"/>
        <v>5000</v>
      </c>
      <c r="X184" s="258">
        <f t="shared" si="7"/>
        <v>116.31268941382326</v>
      </c>
      <c r="Y184" s="36" t="str">
        <f t="shared" si="10"/>
        <v/>
      </c>
      <c r="Z184" s="340">
        <f>IF(AND(C184&gt;0,D184&lt;&gt;"",S184=""),VLOOKUP(A184&amp;IF(H184="黑丝","黑","白")&amp;E184,经纬!A:M,13,FALSE)*(I184-AB184),"")</f>
        <v>67.161333333333332</v>
      </c>
      <c r="AA184" s="340">
        <f>IF(AND(C184&gt;0,D184&lt;&gt;"",S184=""),VLOOKUP(A184&amp;IF(H184="黑丝","黑","白")&amp;E184,经纬!A:N,14,FALSE)*(I184-AB184),"")</f>
        <v>49.151356080489933</v>
      </c>
    </row>
    <row r="185" spans="1:30">
      <c r="A185" s="233" t="s">
        <v>2593</v>
      </c>
      <c r="B185" s="24" t="str">
        <f>IF(A185="","",IF(LEFT(A185)&gt;"9",VLOOKUP(A185,yuanjidaimachichun,2,FALSE),VLOOKUP(A185,经纬!B:C,2,FALSE)))</f>
        <v>B30-30-32</v>
      </c>
      <c r="C185" s="8" t="str">
        <f t="shared" si="8"/>
        <v>30</v>
      </c>
      <c r="D185" s="8" t="str">
        <f t="shared" si="9"/>
        <v/>
      </c>
      <c r="E185" s="89" t="s">
        <v>2594</v>
      </c>
      <c r="F185" s="89" t="s">
        <v>2611</v>
      </c>
      <c r="G185" s="8">
        <v>160</v>
      </c>
      <c r="H185" s="8" t="s">
        <v>1499</v>
      </c>
      <c r="I185" s="8">
        <v>3000</v>
      </c>
      <c r="J185" s="8">
        <v>23</v>
      </c>
      <c r="K185" s="8">
        <v>23</v>
      </c>
      <c r="L185" s="8" t="s">
        <v>3146</v>
      </c>
      <c r="M185" s="24" t="str">
        <f t="array" ref="M185">LEFT(L185,MIN(FIND({"A","B","C"},MID(L185,2,LEN(L185))&amp;"ABC")))</f>
        <v>A90</v>
      </c>
      <c r="N185" s="24" t="str">
        <f t="array" ref="N185">SUBSTITUTE(L185,M185,"")</f>
        <v>C421</v>
      </c>
      <c r="O185" s="23">
        <v>43775</v>
      </c>
      <c r="T185" s="264">
        <f>IF(AND(C185&gt;0,D185=""),SUMIFS(yj!I:I,yj!B:B,plan!A185,yj!G:G,"&gt;="&amp;Q185,yj!G:G,"&lt;="&amp;S185),"")</f>
        <v>0</v>
      </c>
      <c r="U185" s="264">
        <f>SUMIFS(四面弹库存!F:F,四面弹库存!B:B,plan!A185,四面弹库存!O:O,IF(H185&lt;&gt;"黑丝","白","黑"))</f>
        <v>72</v>
      </c>
      <c r="V185" s="264"/>
      <c r="W185" s="369">
        <f t="shared" si="6"/>
        <v>3000.0000000000005</v>
      </c>
      <c r="X185" s="258">
        <f t="shared" si="7"/>
        <v>122.24409448818901</v>
      </c>
      <c r="Y185" s="36">
        <f t="shared" si="10"/>
        <v>6.11220472440945</v>
      </c>
      <c r="Z185" s="340" t="str">
        <f>IF(AND(C185&gt;0,D185&lt;&gt;"",S185=""),VLOOKUP(A185&amp;IF(H185="黑丝","黑","白")&amp;E185,经纬!A:M,13,FALSE)*(I185-AB185),"")</f>
        <v/>
      </c>
      <c r="AA185" s="340" t="str">
        <f>IF(AND(C185&gt;0,D185&lt;&gt;"",S185=""),VLOOKUP(A185&amp;IF(H185="黑丝","黑","白")&amp;E185,经纬!A:N,14,FALSE)*(I185-AB185),"")</f>
        <v/>
      </c>
    </row>
    <row r="186" spans="1:30">
      <c r="A186" s="233" t="s">
        <v>3200</v>
      </c>
      <c r="B186" s="24" t="str">
        <f>IF(A186="","",IF(LEFT(A186)&gt;"9",VLOOKUP(A186,yuanjidaimachichun,2,FALSE),VLOOKUP(A186,经纬!B:C,2,FALSE)))</f>
        <v>30*30</v>
      </c>
      <c r="C186" s="8" t="str">
        <f t="shared" si="8"/>
        <v>30</v>
      </c>
      <c r="D186" s="8" t="str">
        <f t="shared" si="9"/>
        <v>30</v>
      </c>
      <c r="E186" s="89" t="s">
        <v>2561</v>
      </c>
      <c r="F186" s="89" t="s">
        <v>2611</v>
      </c>
      <c r="G186" s="8">
        <v>143</v>
      </c>
      <c r="H186" s="8" t="s">
        <v>1499</v>
      </c>
      <c r="I186" s="8">
        <v>25000</v>
      </c>
      <c r="J186" s="8">
        <v>23</v>
      </c>
      <c r="K186" s="8">
        <v>23</v>
      </c>
      <c r="L186" s="8" t="s">
        <v>3201</v>
      </c>
      <c r="M186" s="24" t="str">
        <f t="array" ref="M186">LEFT(L186,MIN(FIND({"A","B","C"},MID(L186,2,LEN(L186))&amp;"ABC")))</f>
        <v>A12</v>
      </c>
      <c r="N186" s="24" t="str">
        <f t="array" ref="N186">SUBSTITUTE(L186,M186,"")</f>
        <v>B579</v>
      </c>
      <c r="O186" s="23">
        <v>43775</v>
      </c>
      <c r="T186" s="264" t="str">
        <f>IF(AND(C186&gt;0,D186=""),SUMIFS(yj!I:I,yj!B:B,plan!A186,yj!G:G,"&gt;="&amp;Q186,yj!G:G,"&lt;="&amp;S186),"")</f>
        <v/>
      </c>
      <c r="U186" s="264">
        <f>SUMIFS(四面弹库存!F:F,四面弹库存!B:B,plan!A186,四面弹库存!O:O,IF(H186&lt;&gt;"黑丝","白","黑"))</f>
        <v>0</v>
      </c>
      <c r="V186" s="264"/>
      <c r="W186" s="369">
        <f t="shared" si="6"/>
        <v>25000</v>
      </c>
      <c r="X186" s="258">
        <f t="shared" si="7"/>
        <v>584.74144356955389</v>
      </c>
      <c r="Y186" s="36" t="str">
        <f t="shared" si="10"/>
        <v/>
      </c>
      <c r="Z186" s="340">
        <f>IF(AND(C186&gt;0,D186&lt;&gt;"",S186=""),VLOOKUP(A186&amp;IF(H186="黑丝","黑","白")&amp;E186,经纬!A:M,13,FALSE)*(I186-AB186),"")</f>
        <v>346.29</v>
      </c>
      <c r="AA186" s="340">
        <f>IF(AND(C186&gt;0,D186&lt;&gt;"",S186=""),VLOOKUP(A186&amp;IF(H186="黑丝","黑","白")&amp;E186,经纬!A:N,14,FALSE)*(I186-AB186),"")</f>
        <v>238.45144356955382</v>
      </c>
    </row>
    <row r="187" spans="1:30">
      <c r="A187" s="233" t="s">
        <v>3202</v>
      </c>
      <c r="B187" s="24" t="str">
        <f>IF(A187="","",IF(LEFT(A187)&gt;"9",VLOOKUP(A187,yuanjidaimachichun,2,FALSE),VLOOKUP(A187,经纬!B:C,2,FALSE)))</f>
        <v>20*20</v>
      </c>
      <c r="C187" s="8" t="str">
        <f t="shared" si="8"/>
        <v>20</v>
      </c>
      <c r="D187" s="8" t="str">
        <f t="shared" si="9"/>
        <v>20</v>
      </c>
      <c r="E187" s="89" t="s">
        <v>2561</v>
      </c>
      <c r="F187" s="89" t="s">
        <v>2611</v>
      </c>
      <c r="G187" s="8">
        <v>146</v>
      </c>
      <c r="H187" s="8" t="s">
        <v>2569</v>
      </c>
      <c r="I187" s="8">
        <v>10000</v>
      </c>
      <c r="J187" s="8">
        <v>17</v>
      </c>
      <c r="K187" s="8">
        <v>18</v>
      </c>
      <c r="L187" s="8" t="s">
        <v>3201</v>
      </c>
      <c r="M187" s="24" t="str">
        <f t="array" ref="M187">LEFT(L187,MIN(FIND({"A","B","C"},MID(L187,2,LEN(L187))&amp;"ABC")))</f>
        <v>A12</v>
      </c>
      <c r="N187" s="24" t="str">
        <f t="array" ref="N187">SUBSTITUTE(L187,M187,"")</f>
        <v>B579</v>
      </c>
      <c r="O187" s="23">
        <v>43775</v>
      </c>
      <c r="T187" s="264" t="str">
        <f>IF(AND(C187&gt;0,D187=""),SUMIFS(yj!I:I,yj!B:B,plan!A187,yj!G:G,"&gt;="&amp;Q187,yj!G:G,"&lt;="&amp;S187),"")</f>
        <v/>
      </c>
      <c r="U187" s="264">
        <f>SUMIFS(四面弹库存!F:F,四面弹库存!B:B,plan!A187,四面弹库存!O:O,IF(H187&lt;&gt;"黑丝","白","黑"))</f>
        <v>0</v>
      </c>
      <c r="V187" s="264"/>
      <c r="W187" s="369">
        <f t="shared" si="6"/>
        <v>10000</v>
      </c>
      <c r="X187" s="258">
        <f t="shared" si="7"/>
        <v>177.56108486439194</v>
      </c>
      <c r="Y187" s="36" t="str">
        <f t="shared" si="10"/>
        <v/>
      </c>
      <c r="Z187" s="340">
        <f>IF(AND(C187&gt;0,D187&lt;&gt;"",S187=""),VLOOKUP(A187&amp;IF(H187="黑丝","黑","白")&amp;E187,经纬!A:M,13,FALSE)*(I187-AB187),"")</f>
        <v>102.90666666666667</v>
      </c>
      <c r="AA187" s="340">
        <f>IF(AND(C187&gt;0,D187&lt;&gt;"",S187=""),VLOOKUP(A187&amp;IF(H187="黑丝","黑","白")&amp;E187,经纬!A:N,14,FALSE)*(I187-AB187),"")</f>
        <v>74.654418197725278</v>
      </c>
      <c r="AD187" s="4" t="s">
        <v>3203</v>
      </c>
    </row>
    <row r="188" spans="1:30">
      <c r="B188" s="24" t="str">
        <f>IF(A188="","",IF(LEFT(A188)&gt;"9",VLOOKUP(A188,yuanjidaimachichun,2,FALSE),VLOOKUP(A188,经纬!B:C,2,FALSE)))</f>
        <v/>
      </c>
      <c r="C188" s="8" t="str">
        <f t="shared" si="8"/>
        <v/>
      </c>
      <c r="D188" s="8" t="str">
        <f t="shared" si="9"/>
        <v/>
      </c>
      <c r="M188" s="24" t="str">
        <f t="array" ref="M188">LEFT(L188,MIN(FIND({"A","B","C"},MID(L188,2,LEN(L188))&amp;"ABC")))</f>
        <v/>
      </c>
      <c r="N188" s="24" t="str">
        <f t="array" ref="N188">SUBSTITUTE(L188,M188,"")</f>
        <v/>
      </c>
      <c r="T188" s="264">
        <f>IF(AND(C188&gt;0,D188=""),SUMIFS(yj!I:I,yj!B:B,plan!A188,yj!G:G,"&gt;="&amp;Q188,yj!G:G,"&lt;="&amp;S188),"")</f>
        <v>0</v>
      </c>
      <c r="U188" s="264">
        <f>SUMIFS(四面弹库存!F:F,四面弹库存!B:B,plan!A188,四面弹库存!O:O,IF(H188&lt;&gt;"黑丝","白","黑"))</f>
        <v>0</v>
      </c>
      <c r="V188" s="264"/>
      <c r="W188" s="369" t="str">
        <f t="shared" si="6"/>
        <v/>
      </c>
      <c r="X188" s="258" t="str">
        <f t="shared" si="7"/>
        <v/>
      </c>
      <c r="Y188" s="36" t="str">
        <f t="shared" si="10"/>
        <v/>
      </c>
      <c r="Z188" s="340" t="str">
        <f>IF(AND(C188&gt;0,D188&lt;&gt;"",S188=""),VLOOKUP(A188&amp;IF(H188="黑丝","黑","白")&amp;E188,经纬!A:M,13,FALSE)*(I188-AB188),"")</f>
        <v/>
      </c>
      <c r="AA188" s="340" t="str">
        <f>IF(AND(C188&gt;0,D188&lt;&gt;"",S188=""),VLOOKUP(A188&amp;IF(H188="黑丝","黑","白")&amp;E188,经纬!A:N,14,FALSE)*(I188-AB188),"")</f>
        <v/>
      </c>
    </row>
    <row r="189" spans="1:30">
      <c r="B189" s="24" t="str">
        <f>IF(A189="","",IF(LEFT(A189)&gt;"9",VLOOKUP(A189,yuanjidaimachichun,2,FALSE),VLOOKUP(A189,经纬!B:C,2,FALSE)))</f>
        <v/>
      </c>
      <c r="C189" s="8" t="str">
        <f t="shared" si="8"/>
        <v/>
      </c>
      <c r="D189" s="8" t="str">
        <f t="shared" si="9"/>
        <v/>
      </c>
      <c r="M189" s="24" t="str">
        <f t="array" ref="M189">LEFT(L189,MIN(FIND({"A","B","C"},MID(L189,2,LEN(L189))&amp;"ABC")))</f>
        <v/>
      </c>
      <c r="N189" s="24" t="str">
        <f t="array" ref="N189">SUBSTITUTE(L189,M189,"")</f>
        <v/>
      </c>
      <c r="T189" s="264">
        <f>IF(AND(C189&gt;0,D189=""),SUMIFS(yj!I:I,yj!B:B,plan!A189,yj!G:G,"&gt;="&amp;Q189,yj!G:G,"&lt;="&amp;S189),"")</f>
        <v>0</v>
      </c>
      <c r="U189" s="264">
        <f>SUMIFS(四面弹库存!F:F,四面弹库存!B:B,plan!A189,四面弹库存!O:O,IF(H189&lt;&gt;"黑丝","白","黑"))</f>
        <v>0</v>
      </c>
      <c r="V189" s="264"/>
      <c r="W189" s="369" t="str">
        <f t="shared" si="6"/>
        <v/>
      </c>
      <c r="X189" s="258" t="str">
        <f t="shared" si="7"/>
        <v/>
      </c>
      <c r="Y189" s="36" t="str">
        <f t="shared" si="10"/>
        <v/>
      </c>
      <c r="Z189" s="340" t="str">
        <f>IF(AND(C189&gt;0,D189&lt;&gt;"",S189=""),VLOOKUP(A189&amp;IF(H189="黑丝","黑","白")&amp;E189,经纬!A:M,13,FALSE)*(I189-AB189),"")</f>
        <v/>
      </c>
      <c r="AA189" s="340" t="str">
        <f>IF(AND(C189&gt;0,D189&lt;&gt;"",S189=""),VLOOKUP(A189&amp;IF(H189="黑丝","黑","白")&amp;E189,经纬!A:N,14,FALSE)*(I189-AB189),"")</f>
        <v/>
      </c>
    </row>
    <row r="190" spans="1:30">
      <c r="B190" s="24" t="str">
        <f>IF(A190="","",IF(LEFT(A190)&gt;"9",VLOOKUP(A190,yuanjidaimachichun,2,FALSE),VLOOKUP(A190,经纬!B:C,2,FALSE)))</f>
        <v/>
      </c>
      <c r="C190" s="8" t="str">
        <f t="shared" si="8"/>
        <v/>
      </c>
      <c r="D190" s="8" t="str">
        <f t="shared" si="9"/>
        <v/>
      </c>
      <c r="M190" s="24" t="str">
        <f t="array" ref="M190">LEFT(L190,MIN(FIND({"A","B","C"},MID(L190,2,LEN(L190))&amp;"ABC")))</f>
        <v/>
      </c>
      <c r="N190" s="24" t="str">
        <f t="array" ref="N190">SUBSTITUTE(L190,M190,"")</f>
        <v/>
      </c>
      <c r="T190" s="264">
        <f>IF(AND(C190&gt;0,D190=""),SUMIFS(yj!I:I,yj!B:B,plan!A190,yj!G:G,"&gt;="&amp;Q190,yj!G:G,"&lt;="&amp;S190),"")</f>
        <v>0</v>
      </c>
      <c r="U190" s="264">
        <f>SUMIFS(四面弹库存!F:F,四面弹库存!B:B,plan!A190,四面弹库存!O:O,IF(H190&lt;&gt;"黑丝","白","黑"))</f>
        <v>0</v>
      </c>
      <c r="V190" s="264"/>
      <c r="W190" s="369" t="str">
        <f t="shared" si="6"/>
        <v/>
      </c>
      <c r="X190" s="258" t="str">
        <f t="shared" si="7"/>
        <v/>
      </c>
      <c r="Y190" s="36" t="str">
        <f t="shared" si="10"/>
        <v/>
      </c>
      <c r="Z190" s="340" t="str">
        <f>IF(AND(C190&gt;0,D190&lt;&gt;"",S190=""),VLOOKUP(A190&amp;IF(H190="黑丝","黑","白")&amp;E190,经纬!A:M,13,FALSE)*(I190-AB190),"")</f>
        <v/>
      </c>
      <c r="AA190" s="340" t="str">
        <f>IF(AND(C190&gt;0,D190&lt;&gt;"",S190=""),VLOOKUP(A190&amp;IF(H190="黑丝","黑","白")&amp;E190,经纬!A:N,14,FALSE)*(I190-AB190),"")</f>
        <v/>
      </c>
    </row>
    <row r="191" spans="1:30">
      <c r="B191" s="24" t="str">
        <f>IF(A191="","",IF(LEFT(A191)&gt;"9",VLOOKUP(A191,yuanjidaimachichun,2,FALSE),VLOOKUP(A191,经纬!B:C,2,FALSE)))</f>
        <v/>
      </c>
      <c r="C191" s="8" t="str">
        <f t="shared" si="8"/>
        <v/>
      </c>
      <c r="D191" s="8" t="str">
        <f t="shared" si="9"/>
        <v/>
      </c>
      <c r="M191" s="24" t="str">
        <f t="array" ref="M191">LEFT(L191,MIN(FIND({"A","B","C"},MID(L191,2,LEN(L191))&amp;"ABC")))</f>
        <v/>
      </c>
      <c r="N191" s="24" t="str">
        <f t="array" ref="N191">SUBSTITUTE(L191,M191,"")</f>
        <v/>
      </c>
      <c r="T191" s="264">
        <f>IF(AND(C191&gt;0,D191=""),SUMIFS(yj!I:I,yj!B:B,plan!A191,yj!G:G,"&gt;="&amp;Q191,yj!G:G,"&lt;="&amp;S191),"")</f>
        <v>0</v>
      </c>
      <c r="U191" s="264">
        <f>SUMIFS(四面弹库存!F:F,四面弹库存!B:B,plan!A191,四面弹库存!O:O,IF(H191&lt;&gt;"黑丝","白","黑"))</f>
        <v>0</v>
      </c>
      <c r="V191" s="264"/>
      <c r="W191" s="369" t="str">
        <f t="shared" si="6"/>
        <v/>
      </c>
      <c r="X191" s="258" t="str">
        <f t="shared" si="7"/>
        <v/>
      </c>
      <c r="Y191" s="36" t="str">
        <f t="shared" si="10"/>
        <v/>
      </c>
      <c r="Z191" s="340" t="str">
        <f>IF(AND(C191&gt;0,D191&lt;&gt;"",S191=""),VLOOKUP(A191&amp;IF(H191="黑丝","黑","白")&amp;E191,经纬!A:M,13,FALSE)*(I191-AB191),"")</f>
        <v/>
      </c>
      <c r="AA191" s="340" t="str">
        <f>IF(AND(C191&gt;0,D191&lt;&gt;"",S191=""),VLOOKUP(A191&amp;IF(H191="黑丝","黑","白")&amp;E191,经纬!A:N,14,FALSE)*(I191-AB191),"")</f>
        <v/>
      </c>
    </row>
    <row r="192" spans="1:30">
      <c r="B192" s="24" t="str">
        <f>IF(A192="","",IF(LEFT(A192)&gt;"9",VLOOKUP(A192,yuanjidaimachichun,2,FALSE),VLOOKUP(A192,经纬!B:C,2,FALSE)))</f>
        <v/>
      </c>
      <c r="C192" s="8" t="str">
        <f t="shared" si="8"/>
        <v/>
      </c>
      <c r="D192" s="8" t="str">
        <f t="shared" si="9"/>
        <v/>
      </c>
      <c r="M192" s="24" t="str">
        <f t="array" ref="M192">LEFT(L192,MIN(FIND({"A","B","C"},MID(L192,2,LEN(L192))&amp;"ABC")))</f>
        <v/>
      </c>
      <c r="N192" s="24" t="str">
        <f t="array" ref="N192">SUBSTITUTE(L192,M192,"")</f>
        <v/>
      </c>
      <c r="T192" s="264">
        <f>IF(AND(C192&gt;0,D192=""),SUMIFS(yj!I:I,yj!B:B,plan!A192,yj!G:G,"&gt;="&amp;Q192,yj!G:G,"&lt;="&amp;S192),"")</f>
        <v>0</v>
      </c>
      <c r="U192" s="264">
        <f>SUMIFS(四面弹库存!F:F,四面弹库存!B:B,plan!A192,四面弹库存!O:O,IF(H192&lt;&gt;"黑丝","白","黑"))</f>
        <v>0</v>
      </c>
      <c r="V192" s="264"/>
      <c r="W192" s="369" t="str">
        <f t="shared" si="6"/>
        <v/>
      </c>
      <c r="X192" s="258" t="str">
        <f t="shared" si="7"/>
        <v/>
      </c>
      <c r="Y192" s="36" t="str">
        <f t="shared" si="10"/>
        <v/>
      </c>
      <c r="Z192" s="340" t="str">
        <f>IF(AND(C192&gt;0,D192&lt;&gt;"",S192=""),VLOOKUP(A192&amp;IF(H192="黑丝","黑","白")&amp;E192,经纬!A:M,13,FALSE)*(I192-AB192),"")</f>
        <v/>
      </c>
      <c r="AA192" s="340" t="str">
        <f>IF(AND(C192&gt;0,D192&lt;&gt;"",S192=""),VLOOKUP(A192&amp;IF(H192="黑丝","黑","白")&amp;E192,经纬!A:N,14,FALSE)*(I192-AB192),"")</f>
        <v/>
      </c>
    </row>
    <row r="193" spans="2:27">
      <c r="B193" s="24" t="str">
        <f>IF(A193="","",IF(LEFT(A193)&gt;"9",VLOOKUP(A193,yuanjidaimachichun,2,FALSE),VLOOKUP(A193,经纬!B:C,2,FALSE)))</f>
        <v/>
      </c>
      <c r="C193" s="8" t="str">
        <f t="shared" si="8"/>
        <v/>
      </c>
      <c r="D193" s="8" t="str">
        <f t="shared" si="9"/>
        <v/>
      </c>
      <c r="M193" s="24" t="str">
        <f t="array" ref="M193">LEFT(L193,MIN(FIND({"A","B","C"},MID(L193,2,LEN(L193))&amp;"ABC")))</f>
        <v/>
      </c>
      <c r="N193" s="24" t="str">
        <f t="array" ref="N193">SUBSTITUTE(L193,M193,"")</f>
        <v/>
      </c>
      <c r="T193" s="264">
        <f>IF(AND(C193&gt;0,D193=""),SUMIFS(yj!I:I,yj!B:B,plan!A193,yj!G:G,"&gt;="&amp;Q193,yj!G:G,"&lt;="&amp;S193),"")</f>
        <v>0</v>
      </c>
      <c r="U193" s="264">
        <f>SUMIFS(四面弹库存!F:F,四面弹库存!B:B,plan!A193,四面弹库存!O:O,IF(H193&lt;&gt;"黑丝","白","黑"))</f>
        <v>0</v>
      </c>
      <c r="V193" s="264"/>
      <c r="W193" s="369" t="str">
        <f t="shared" si="6"/>
        <v/>
      </c>
      <c r="X193" s="258" t="str">
        <f t="shared" si="7"/>
        <v/>
      </c>
      <c r="Y193" s="36" t="str">
        <f t="shared" si="10"/>
        <v/>
      </c>
      <c r="Z193" s="340" t="str">
        <f>IF(AND(C193&gt;0,D193&lt;&gt;"",S193=""),VLOOKUP(A193&amp;IF(H193="黑丝","黑","白")&amp;E193,经纬!A:M,13,FALSE)*(I193-AB193),"")</f>
        <v/>
      </c>
      <c r="AA193" s="340" t="str">
        <f>IF(AND(C193&gt;0,D193&lt;&gt;"",S193=""),VLOOKUP(A193&amp;IF(H193="黑丝","黑","白")&amp;E193,经纬!A:N,14,FALSE)*(I193-AB193),"")</f>
        <v/>
      </c>
    </row>
    <row r="194" spans="2:27">
      <c r="B194" s="24" t="str">
        <f>IF(A194="","",IF(LEFT(A194)&gt;"9",VLOOKUP(A194,yuanjidaimachichun,2,FALSE),VLOOKUP(A194,经纬!B:C,2,FALSE)))</f>
        <v/>
      </c>
      <c r="C194" s="8" t="str">
        <f t="shared" si="8"/>
        <v/>
      </c>
      <c r="D194" s="8" t="str">
        <f t="shared" si="9"/>
        <v/>
      </c>
      <c r="M194" s="24" t="str">
        <f t="array" ref="M194">LEFT(L194,MIN(FIND({"A","B","C"},MID(L194,2,LEN(L194))&amp;"ABC")))</f>
        <v/>
      </c>
      <c r="N194" s="24" t="str">
        <f t="array" ref="N194">SUBSTITUTE(L194,M194,"")</f>
        <v/>
      </c>
      <c r="T194" s="264">
        <f>IF(AND(C194&gt;0,D194=""),SUMIFS(yj!I:I,yj!B:B,plan!A194,yj!G:G,"&gt;="&amp;Q194,yj!G:G,"&lt;="&amp;S194),"")</f>
        <v>0</v>
      </c>
      <c r="U194" s="264">
        <f>SUMIFS(四面弹库存!F:F,四面弹库存!B:B,plan!A194,四面弹库存!O:O,IF(H194&lt;&gt;"黑丝","白","黑"))</f>
        <v>0</v>
      </c>
      <c r="V194" s="264"/>
      <c r="W194" s="369" t="str">
        <f t="shared" si="6"/>
        <v/>
      </c>
      <c r="X194" s="258" t="str">
        <f t="shared" si="7"/>
        <v/>
      </c>
      <c r="Y194" s="36" t="str">
        <f t="shared" si="10"/>
        <v/>
      </c>
      <c r="Z194" s="340" t="str">
        <f>IF(AND(C194&gt;0,D194&lt;&gt;"",S194=""),VLOOKUP(A194&amp;IF(H194="黑丝","黑","白")&amp;E194,经纬!A:M,13,FALSE)*(I194-AB194),"")</f>
        <v/>
      </c>
      <c r="AA194" s="340" t="str">
        <f>IF(AND(C194&gt;0,D194&lt;&gt;"",S194=""),VLOOKUP(A194&amp;IF(H194="黑丝","黑","白")&amp;E194,经纬!A:N,14,FALSE)*(I194-AB194),"")</f>
        <v/>
      </c>
    </row>
    <row r="195" spans="2:27">
      <c r="B195" s="24" t="str">
        <f>IF(A195="","",IF(LEFT(A195)&gt;"9",VLOOKUP(A195,yuanjidaimachichun,2,FALSE),VLOOKUP(A195,经纬!B:C,2,FALSE)))</f>
        <v/>
      </c>
      <c r="C195" s="8" t="str">
        <f t="shared" si="8"/>
        <v/>
      </c>
      <c r="D195" s="8" t="str">
        <f t="shared" si="9"/>
        <v/>
      </c>
      <c r="M195" s="24" t="str">
        <f t="array" ref="M195">LEFT(L195,MIN(FIND({"A","B","C"},MID(L195,2,LEN(L195))&amp;"ABC")))</f>
        <v/>
      </c>
      <c r="N195" s="24" t="str">
        <f t="array" ref="N195">SUBSTITUTE(L195,M195,"")</f>
        <v/>
      </c>
      <c r="T195" s="264">
        <f>IF(AND(C195&gt;0,D195=""),SUMIFS(yj!I:I,yj!B:B,plan!A195,yj!G:G,"&gt;="&amp;Q195,yj!G:G,"&lt;="&amp;S195),"")</f>
        <v>0</v>
      </c>
      <c r="U195" s="264">
        <f>SUMIFS(四面弹库存!F:F,四面弹库存!B:B,plan!A195,四面弹库存!O:O,IF(H195&lt;&gt;"黑丝","白","黑"))</f>
        <v>0</v>
      </c>
      <c r="V195" s="264"/>
      <c r="W195" s="369" t="str">
        <f t="shared" ref="W195:W258" si="11">IF(A195="","",IF(S195&lt;&gt;"","",IF(D195&lt;&gt;"",(I195-AB195),Y195*IF(H195="黑丝",22,20)*0.9144/((K195/1000)*((G195+2)/100)))))</f>
        <v/>
      </c>
      <c r="X195" s="258" t="str">
        <f t="shared" si="7"/>
        <v/>
      </c>
      <c r="Y195" s="36" t="str">
        <f t="shared" si="10"/>
        <v/>
      </c>
      <c r="Z195" s="340" t="str">
        <f>IF(AND(C195&gt;0,D195&lt;&gt;"",S195=""),VLOOKUP(A195&amp;IF(H195="黑丝","黑","白")&amp;E195,经纬!A:M,13,FALSE)*(I195-AB195),"")</f>
        <v/>
      </c>
      <c r="AA195" s="340" t="str">
        <f>IF(AND(C195&gt;0,D195&lt;&gt;"",S195=""),VLOOKUP(A195&amp;IF(H195="黑丝","黑","白")&amp;E195,经纬!A:N,14,FALSE)*(I195-AB195),"")</f>
        <v/>
      </c>
    </row>
    <row r="196" spans="2:27">
      <c r="B196" s="24" t="str">
        <f>IF(A196="","",IF(LEFT(A196)&gt;"9",VLOOKUP(A196,yuanjidaimachichun,2,FALSE),VLOOKUP(A196,经纬!B:C,2,FALSE)))</f>
        <v/>
      </c>
      <c r="C196" s="8" t="str">
        <f t="shared" si="8"/>
        <v/>
      </c>
      <c r="D196" s="8" t="str">
        <f t="shared" si="9"/>
        <v/>
      </c>
      <c r="M196" s="24" t="str">
        <f t="array" ref="M196">LEFT(L196,MIN(FIND({"A","B","C"},MID(L196,2,LEN(L196))&amp;"ABC")))</f>
        <v/>
      </c>
      <c r="N196" s="24" t="str">
        <f t="array" ref="N196">SUBSTITUTE(L196,M196,"")</f>
        <v/>
      </c>
      <c r="T196" s="264">
        <f>IF(AND(C196&gt;0,D196=""),SUMIFS(yj!I:I,yj!B:B,plan!A196,yj!G:G,"&gt;="&amp;Q196,yj!G:G,"&lt;="&amp;S196),"")</f>
        <v>0</v>
      </c>
      <c r="U196" s="264">
        <f>SUMIFS(四面弹库存!F:F,四面弹库存!B:B,plan!A196,四面弹库存!O:O,IF(H196&lt;&gt;"黑丝","白","黑"))</f>
        <v>0</v>
      </c>
      <c r="V196" s="264"/>
      <c r="W196" s="369" t="str">
        <f t="shared" si="11"/>
        <v/>
      </c>
      <c r="X196" s="258" t="str">
        <f t="shared" si="7"/>
        <v/>
      </c>
      <c r="Y196" s="36" t="str">
        <f t="shared" si="10"/>
        <v/>
      </c>
      <c r="Z196" s="340" t="str">
        <f>IF(AND(C196&gt;0,D196&lt;&gt;"",S196=""),VLOOKUP(A196&amp;IF(H196="黑丝","黑","白")&amp;E196,经纬!A:M,13,FALSE)*(I196-AB196),"")</f>
        <v/>
      </c>
      <c r="AA196" s="340" t="str">
        <f>IF(AND(C196&gt;0,D196&lt;&gt;"",S196=""),VLOOKUP(A196&amp;IF(H196="黑丝","黑","白")&amp;E196,经纬!A:N,14,FALSE)*(I196-AB196),"")</f>
        <v/>
      </c>
    </row>
    <row r="197" spans="2:27">
      <c r="B197" s="24" t="str">
        <f>IF(A197="","",IF(LEFT(A197)&gt;"9",VLOOKUP(A197,yuanjidaimachichun,2,FALSE),VLOOKUP(A197,经纬!B:C,2,FALSE)))</f>
        <v/>
      </c>
      <c r="C197" s="8" t="str">
        <f t="shared" si="8"/>
        <v/>
      </c>
      <c r="D197" s="8" t="str">
        <f t="shared" si="9"/>
        <v/>
      </c>
      <c r="M197" s="24" t="str">
        <f t="array" ref="M197">LEFT(L197,MIN(FIND({"A","B","C"},MID(L197,2,LEN(L197))&amp;"ABC")))</f>
        <v/>
      </c>
      <c r="N197" s="24" t="str">
        <f t="array" ref="N197">SUBSTITUTE(L197,M197,"")</f>
        <v/>
      </c>
      <c r="T197" s="264">
        <f>IF(AND(C197&gt;0,D197=""),SUMIFS(yj!I:I,yj!B:B,plan!A197,yj!G:G,"&gt;="&amp;Q197,yj!G:G,"&lt;="&amp;S197),"")</f>
        <v>0</v>
      </c>
      <c r="U197" s="264">
        <f>SUMIFS(四面弹库存!F:F,四面弹库存!B:B,plan!A197,四面弹库存!O:O,IF(H197&lt;&gt;"黑丝","白","黑"))</f>
        <v>0</v>
      </c>
      <c r="V197" s="264"/>
      <c r="W197" s="369" t="str">
        <f t="shared" si="11"/>
        <v/>
      </c>
      <c r="X197" s="258" t="str">
        <f t="shared" si="7"/>
        <v/>
      </c>
      <c r="Y197" s="36" t="str">
        <f t="shared" si="10"/>
        <v/>
      </c>
      <c r="Z197" s="340" t="str">
        <f>IF(AND(C197&gt;0,D197&lt;&gt;"",S197=""),VLOOKUP(A197&amp;IF(H197="黑丝","黑","白")&amp;E197,经纬!A:M,13,FALSE)*(I197-AB197),"")</f>
        <v/>
      </c>
      <c r="AA197" s="340" t="str">
        <f>IF(AND(C197&gt;0,D197&lt;&gt;"",S197=""),VLOOKUP(A197&amp;IF(H197="黑丝","黑","白")&amp;E197,经纬!A:N,14,FALSE)*(I197-AB197),"")</f>
        <v/>
      </c>
    </row>
    <row r="198" spans="2:27">
      <c r="B198" s="24" t="str">
        <f>IF(A198="","",IF(LEFT(A198)&gt;"9",VLOOKUP(A198,yuanjidaimachichun,2,FALSE),VLOOKUP(A198,经纬!B:C,2,FALSE)))</f>
        <v/>
      </c>
      <c r="C198" s="8" t="str">
        <f t="shared" si="8"/>
        <v/>
      </c>
      <c r="D198" s="8" t="str">
        <f t="shared" si="9"/>
        <v/>
      </c>
      <c r="M198" s="24" t="str">
        <f t="array" ref="M198">LEFT(L198,MIN(FIND({"A","B","C"},MID(L198,2,LEN(L198))&amp;"ABC")))</f>
        <v/>
      </c>
      <c r="N198" s="24" t="str">
        <f t="array" ref="N198">SUBSTITUTE(L198,M198,"")</f>
        <v/>
      </c>
      <c r="T198" s="264">
        <f>IF(AND(C198&gt;0,D198=""),SUMIFS(yj!I:I,yj!B:B,plan!A198,yj!G:G,"&gt;="&amp;Q198,yj!G:G,"&lt;="&amp;S198),"")</f>
        <v>0</v>
      </c>
      <c r="U198" s="264">
        <f>SUMIFS(四面弹库存!F:F,四面弹库存!B:B,plan!A198,四面弹库存!O:O,IF(H198&lt;&gt;"黑丝","白","黑"))</f>
        <v>0</v>
      </c>
      <c r="V198" s="264"/>
      <c r="W198" s="369" t="str">
        <f t="shared" si="11"/>
        <v/>
      </c>
      <c r="X198" s="258" t="str">
        <f t="shared" si="7"/>
        <v/>
      </c>
      <c r="Y198" s="36" t="str">
        <f t="shared" si="10"/>
        <v/>
      </c>
      <c r="Z198" s="340" t="str">
        <f>IF(AND(C198&gt;0,D198&lt;&gt;"",S198=""),VLOOKUP(A198&amp;IF(H198="黑丝","黑","白")&amp;E198,经纬!A:M,13,FALSE)*(I198-AB198),"")</f>
        <v/>
      </c>
      <c r="AA198" s="340" t="str">
        <f>IF(AND(C198&gt;0,D198&lt;&gt;"",S198=""),VLOOKUP(A198&amp;IF(H198="黑丝","黑","白")&amp;E198,经纬!A:N,14,FALSE)*(I198-AB198),"")</f>
        <v/>
      </c>
    </row>
    <row r="199" spans="2:27">
      <c r="B199" s="24" t="str">
        <f>IF(A199="","",IF(LEFT(A199)&gt;"9",VLOOKUP(A199,yuanjidaimachichun,2,FALSE),VLOOKUP(A199,经纬!B:C,2,FALSE)))</f>
        <v/>
      </c>
      <c r="C199" s="8" t="str">
        <f t="shared" si="8"/>
        <v/>
      </c>
      <c r="D199" s="8" t="str">
        <f t="shared" si="9"/>
        <v/>
      </c>
      <c r="M199" s="24" t="str">
        <f t="array" ref="M199">LEFT(L199,MIN(FIND({"A","B","C"},MID(L199,2,LEN(L199))&amp;"ABC")))</f>
        <v/>
      </c>
      <c r="N199" s="24" t="str">
        <f t="array" ref="N199">SUBSTITUTE(L199,M199,"")</f>
        <v/>
      </c>
      <c r="T199" s="264">
        <f>IF(AND(C199&gt;0,D199=""),SUMIFS(yj!I:I,yj!B:B,plan!A199,yj!G:G,"&gt;="&amp;Q199,yj!G:G,"&lt;="&amp;S199),"")</f>
        <v>0</v>
      </c>
      <c r="U199" s="264">
        <f>SUMIFS(四面弹库存!F:F,四面弹库存!B:B,plan!A199,四面弹库存!O:O,IF(H199&lt;&gt;"黑丝","白","黑"))</f>
        <v>0</v>
      </c>
      <c r="V199" s="264"/>
      <c r="W199" s="369" t="str">
        <f t="shared" si="11"/>
        <v/>
      </c>
      <c r="X199" s="258" t="str">
        <f t="shared" si="7"/>
        <v/>
      </c>
      <c r="Y199" s="36" t="str">
        <f t="shared" si="10"/>
        <v/>
      </c>
      <c r="Z199" s="340" t="str">
        <f>IF(AND(C199&gt;0,D199&lt;&gt;"",S199=""),VLOOKUP(A199&amp;IF(H199="黑丝","黑","白")&amp;E199,经纬!A:M,13,FALSE)*(I199-AB199),"")</f>
        <v/>
      </c>
      <c r="AA199" s="340" t="str">
        <f>IF(AND(C199&gt;0,D199&lt;&gt;"",S199=""),VLOOKUP(A199&amp;IF(H199="黑丝","黑","白")&amp;E199,经纬!A:N,14,FALSE)*(I199-AB199),"")</f>
        <v/>
      </c>
    </row>
    <row r="200" spans="2:27">
      <c r="B200" s="24" t="str">
        <f>IF(A200="","",IF(LEFT(A200)&gt;"9",VLOOKUP(A200,yuanjidaimachichun,2,FALSE),VLOOKUP(A200,经纬!B:C,2,FALSE)))</f>
        <v/>
      </c>
      <c r="C200" s="8" t="str">
        <f t="shared" si="8"/>
        <v/>
      </c>
      <c r="D200" s="8" t="str">
        <f t="shared" si="9"/>
        <v/>
      </c>
      <c r="M200" s="24" t="str">
        <f t="array" ref="M200">LEFT(L200,MIN(FIND({"A","B","C"},MID(L200,2,LEN(L200))&amp;"ABC")))</f>
        <v/>
      </c>
      <c r="N200" s="24" t="str">
        <f t="array" ref="N200">SUBSTITUTE(L200,M200,"")</f>
        <v/>
      </c>
      <c r="T200" s="264">
        <f>IF(AND(C200&gt;0,D200=""),SUMIFS(yj!I:I,yj!B:B,plan!A200,yj!G:G,"&gt;="&amp;Q200,yj!G:G,"&lt;="&amp;S200),"")</f>
        <v>0</v>
      </c>
      <c r="U200" s="264">
        <f>SUMIFS(四面弹库存!F:F,四面弹库存!B:B,plan!A200,四面弹库存!O:O,IF(H200&lt;&gt;"黑丝","白","黑"))</f>
        <v>0</v>
      </c>
      <c r="V200" s="264"/>
      <c r="W200" s="369" t="str">
        <f t="shared" si="11"/>
        <v/>
      </c>
      <c r="X200" s="258" t="str">
        <f t="shared" si="7"/>
        <v/>
      </c>
      <c r="Y200" s="36" t="str">
        <f t="shared" si="10"/>
        <v/>
      </c>
      <c r="Z200" s="340" t="str">
        <f>IF(AND(C200&gt;0,D200&lt;&gt;"",S200=""),VLOOKUP(A200&amp;IF(H200="黑丝","黑","白")&amp;E200,经纬!A:M,13,FALSE)*(I200-AB200),"")</f>
        <v/>
      </c>
      <c r="AA200" s="340" t="str">
        <f>IF(AND(C200&gt;0,D200&lt;&gt;"",S200=""),VLOOKUP(A200&amp;IF(H200="黑丝","黑","白")&amp;E200,经纬!A:N,14,FALSE)*(I200-AB200),"")</f>
        <v/>
      </c>
    </row>
    <row r="201" spans="2:27">
      <c r="B201" s="24" t="str">
        <f>IF(A201="","",IF(LEFT(A201)&gt;"9",VLOOKUP(A201,yuanjidaimachichun,2,FALSE),VLOOKUP(A201,经纬!B:C,2,FALSE)))</f>
        <v/>
      </c>
      <c r="C201" s="8" t="str">
        <f t="shared" si="8"/>
        <v/>
      </c>
      <c r="D201" s="8" t="str">
        <f t="shared" si="9"/>
        <v/>
      </c>
      <c r="M201" s="24" t="str">
        <f t="array" ref="M201">LEFT(L201,MIN(FIND({"A","B","C"},MID(L201,2,LEN(L201))&amp;"ABC")))</f>
        <v/>
      </c>
      <c r="N201" s="24" t="str">
        <f t="array" ref="N201">SUBSTITUTE(L201,M201,"")</f>
        <v/>
      </c>
      <c r="T201" s="264">
        <f>IF(AND(C201&gt;0,D201=""),SUMIFS(yj!I:I,yj!B:B,plan!A201,yj!G:G,"&gt;="&amp;Q201,yj!G:G,"&lt;="&amp;S201),"")</f>
        <v>0</v>
      </c>
      <c r="U201" s="264">
        <f>SUMIFS(四面弹库存!F:F,四面弹库存!B:B,plan!A201,四面弹库存!O:O,IF(H201&lt;&gt;"黑丝","白","黑"))</f>
        <v>0</v>
      </c>
      <c r="V201" s="264"/>
      <c r="W201" s="369" t="str">
        <f t="shared" si="11"/>
        <v/>
      </c>
      <c r="X201" s="258" t="str">
        <f t="shared" si="7"/>
        <v/>
      </c>
      <c r="Y201" s="36" t="str">
        <f t="shared" si="10"/>
        <v/>
      </c>
      <c r="Z201" s="340" t="str">
        <f>IF(AND(C201&gt;0,D201&lt;&gt;"",S201=""),VLOOKUP(A201&amp;IF(H201="黑丝","黑","白")&amp;E201,经纬!A:M,13,FALSE)*(I201-AB201),"")</f>
        <v/>
      </c>
      <c r="AA201" s="340" t="str">
        <f>IF(AND(C201&gt;0,D201&lt;&gt;"",S201=""),VLOOKUP(A201&amp;IF(H201="黑丝","黑","白")&amp;E201,经纬!A:N,14,FALSE)*(I201-AB201),"")</f>
        <v/>
      </c>
    </row>
    <row r="202" spans="2:27">
      <c r="B202" s="24" t="str">
        <f>IF(A202="","",IF(LEFT(A202)&gt;"9",VLOOKUP(A202,yuanjidaimachichun,2,FALSE),VLOOKUP(A202,经纬!B:C,2,FALSE)))</f>
        <v/>
      </c>
      <c r="C202" s="8" t="str">
        <f t="shared" si="8"/>
        <v/>
      </c>
      <c r="D202" s="8" t="str">
        <f t="shared" si="9"/>
        <v/>
      </c>
      <c r="M202" s="24" t="str">
        <f t="array" ref="M202">LEFT(L202,MIN(FIND({"A","B","C"},MID(L202,2,LEN(L202))&amp;"ABC")))</f>
        <v/>
      </c>
      <c r="N202" s="24" t="str">
        <f t="array" ref="N202">SUBSTITUTE(L202,M202,"")</f>
        <v/>
      </c>
      <c r="T202" s="264">
        <f>IF(AND(C202&gt;0,D202=""),SUMIFS(yj!I:I,yj!B:B,plan!A202,yj!G:G,"&gt;="&amp;Q202,yj!G:G,"&lt;="&amp;S202),"")</f>
        <v>0</v>
      </c>
      <c r="U202" s="264">
        <f>SUMIFS(四面弹库存!F:F,四面弹库存!B:B,plan!A202,四面弹库存!O:O,IF(H202&lt;&gt;"黑丝","白","黑"))</f>
        <v>0</v>
      </c>
      <c r="V202" s="264"/>
      <c r="W202" s="369" t="str">
        <f t="shared" si="11"/>
        <v/>
      </c>
      <c r="X202" s="258" t="str">
        <f t="shared" si="7"/>
        <v/>
      </c>
      <c r="Y202" s="36" t="str">
        <f t="shared" si="10"/>
        <v/>
      </c>
      <c r="Z202" s="340" t="str">
        <f>IF(AND(C202&gt;0,D202&lt;&gt;"",S202=""),VLOOKUP(A202&amp;IF(H202="黑丝","黑","白")&amp;E202,经纬!A:M,13,FALSE)*(I202-AB202),"")</f>
        <v/>
      </c>
      <c r="AA202" s="340" t="str">
        <f>IF(AND(C202&gt;0,D202&lt;&gt;"",S202=""),VLOOKUP(A202&amp;IF(H202="黑丝","黑","白")&amp;E202,经纬!A:N,14,FALSE)*(I202-AB202),"")</f>
        <v/>
      </c>
    </row>
    <row r="203" spans="2:27">
      <c r="B203" s="24" t="str">
        <f>IF(A203="","",IF(LEFT(A203)&gt;"9",VLOOKUP(A203,yuanjidaimachichun,2,FALSE),VLOOKUP(A203,经纬!B:C,2,FALSE)))</f>
        <v/>
      </c>
      <c r="C203" s="8" t="str">
        <f t="shared" si="8"/>
        <v/>
      </c>
      <c r="D203" s="8" t="str">
        <f t="shared" si="9"/>
        <v/>
      </c>
      <c r="M203" s="24" t="str">
        <f t="array" ref="M203">LEFT(L203,MIN(FIND({"A","B","C"},MID(L203,2,LEN(L203))&amp;"ABC")))</f>
        <v/>
      </c>
      <c r="N203" s="24" t="str">
        <f t="array" ref="N203">SUBSTITUTE(L203,M203,"")</f>
        <v/>
      </c>
      <c r="T203" s="264">
        <f>IF(AND(C203&gt;0,D203=""),SUMIFS(yj!I:I,yj!B:B,plan!A203,yj!G:G,"&gt;="&amp;Q203,yj!G:G,"&lt;="&amp;S203),"")</f>
        <v>0</v>
      </c>
      <c r="U203" s="264">
        <f>SUMIFS(四面弹库存!F:F,四面弹库存!B:B,plan!A203,四面弹库存!O:O,IF(H203&lt;&gt;"黑丝","白","黑"))</f>
        <v>0</v>
      </c>
      <c r="V203" s="264"/>
      <c r="W203" s="369" t="str">
        <f t="shared" si="11"/>
        <v/>
      </c>
      <c r="X203" s="258" t="str">
        <f t="shared" si="7"/>
        <v/>
      </c>
      <c r="Y203" s="36" t="str">
        <f t="shared" si="10"/>
        <v/>
      </c>
      <c r="Z203" s="340" t="str">
        <f>IF(AND(C203&gt;0,D203&lt;&gt;"",S203=""),VLOOKUP(A203&amp;IF(H203="黑丝","黑","白")&amp;E203,经纬!A:M,13,FALSE)*(I203-AB203),"")</f>
        <v/>
      </c>
      <c r="AA203" s="340" t="str">
        <f>IF(AND(C203&gt;0,D203&lt;&gt;"",S203=""),VLOOKUP(A203&amp;IF(H203="黑丝","黑","白")&amp;E203,经纬!A:N,14,FALSE)*(I203-AB203),"")</f>
        <v/>
      </c>
    </row>
    <row r="204" spans="2:27">
      <c r="B204" s="24" t="str">
        <f>IF(A204="","",IF(LEFT(A204)&gt;"9",VLOOKUP(A204,yuanjidaimachichun,2,FALSE),VLOOKUP(A204,经纬!B:C,2,FALSE)))</f>
        <v/>
      </c>
      <c r="C204" s="8" t="str">
        <f t="shared" si="8"/>
        <v/>
      </c>
      <c r="D204" s="8" t="str">
        <f t="shared" si="9"/>
        <v/>
      </c>
      <c r="M204" s="24" t="str">
        <f t="array" ref="M204">LEFT(L204,MIN(FIND({"A","B","C"},MID(L204,2,LEN(L204))&amp;"ABC")))</f>
        <v/>
      </c>
      <c r="N204" s="24" t="str">
        <f t="array" ref="N204">SUBSTITUTE(L204,M204,"")</f>
        <v/>
      </c>
      <c r="T204" s="264">
        <f>IF(AND(C204&gt;0,D204=""),SUMIFS(yj!I:I,yj!B:B,plan!A204,yj!G:G,"&gt;="&amp;Q204,yj!G:G,"&lt;="&amp;S204),"")</f>
        <v>0</v>
      </c>
      <c r="U204" s="264">
        <f>SUMIFS(四面弹库存!F:F,四面弹库存!B:B,plan!A204,四面弹库存!O:O,IF(H204&lt;&gt;"黑丝","白","黑"))</f>
        <v>0</v>
      </c>
      <c r="V204" s="264"/>
      <c r="W204" s="369" t="str">
        <f t="shared" si="11"/>
        <v/>
      </c>
      <c r="X204" s="258" t="str">
        <f t="shared" si="7"/>
        <v/>
      </c>
      <c r="Y204" s="36" t="str">
        <f t="shared" si="10"/>
        <v/>
      </c>
      <c r="Z204" s="340" t="str">
        <f>IF(AND(C204&gt;0,D204&lt;&gt;"",S204=""),VLOOKUP(A204&amp;IF(H204="黑丝","黑","白")&amp;E204,经纬!A:M,13,FALSE)*(I204-AB204),"")</f>
        <v/>
      </c>
      <c r="AA204" s="340" t="str">
        <f>IF(AND(C204&gt;0,D204&lt;&gt;"",S204=""),VLOOKUP(A204&amp;IF(H204="黑丝","黑","白")&amp;E204,经纬!A:N,14,FALSE)*(I204-AB204),"")</f>
        <v/>
      </c>
    </row>
    <row r="205" spans="2:27">
      <c r="B205" s="24" t="str">
        <f>IF(A205="","",IF(LEFT(A205)&gt;"9",VLOOKUP(A205,yuanjidaimachichun,2,FALSE),VLOOKUP(A205,经纬!B:C,2,FALSE)))</f>
        <v/>
      </c>
      <c r="C205" s="8" t="str">
        <f t="shared" si="8"/>
        <v/>
      </c>
      <c r="D205" s="8" t="str">
        <f t="shared" si="9"/>
        <v/>
      </c>
      <c r="M205" s="24" t="str">
        <f t="array" ref="M205">LEFT(L205,MIN(FIND({"A","B","C"},MID(L205,2,LEN(L205))&amp;"ABC")))</f>
        <v/>
      </c>
      <c r="N205" s="24" t="str">
        <f t="array" ref="N205">SUBSTITUTE(L205,M205,"")</f>
        <v/>
      </c>
      <c r="T205" s="264">
        <f>IF(AND(C205&gt;0,D205=""),SUMIFS(yj!I:I,yj!B:B,plan!A205,yj!G:G,"&gt;="&amp;Q205,yj!G:G,"&lt;="&amp;S205),"")</f>
        <v>0</v>
      </c>
      <c r="U205" s="264">
        <f>SUMIFS(四面弹库存!F:F,四面弹库存!B:B,plan!A205,四面弹库存!O:O,IF(H205&lt;&gt;"黑丝","白","黑"))</f>
        <v>0</v>
      </c>
      <c r="V205" s="264"/>
      <c r="W205" s="369" t="str">
        <f t="shared" si="11"/>
        <v/>
      </c>
      <c r="X205" s="258" t="str">
        <f t="shared" si="7"/>
        <v/>
      </c>
      <c r="Y205" s="36" t="str">
        <f t="shared" si="10"/>
        <v/>
      </c>
      <c r="Z205" s="340" t="str">
        <f>IF(AND(C205&gt;0,D205&lt;&gt;"",S205=""),VLOOKUP(A205&amp;IF(H205="黑丝","黑","白")&amp;E205,经纬!A:M,13,FALSE)*(I205-AB205),"")</f>
        <v/>
      </c>
      <c r="AA205" s="340" t="str">
        <f>IF(AND(C205&gt;0,D205&lt;&gt;"",S205=""),VLOOKUP(A205&amp;IF(H205="黑丝","黑","白")&amp;E205,经纬!A:N,14,FALSE)*(I205-AB205),"")</f>
        <v/>
      </c>
    </row>
    <row r="206" spans="2:27">
      <c r="B206" s="24" t="str">
        <f>IF(A206="","",IF(LEFT(A206)&gt;"9",VLOOKUP(A206,yuanjidaimachichun,2,FALSE),VLOOKUP(A206,经纬!B:C,2,FALSE)))</f>
        <v/>
      </c>
      <c r="C206" s="8" t="str">
        <f t="shared" si="8"/>
        <v/>
      </c>
      <c r="D206" s="8" t="str">
        <f t="shared" si="9"/>
        <v/>
      </c>
      <c r="M206" s="24" t="str">
        <f t="array" ref="M206">LEFT(L206,MIN(FIND({"A","B","C"},MID(L206,2,LEN(L206))&amp;"ABC")))</f>
        <v/>
      </c>
      <c r="N206" s="24" t="str">
        <f t="array" ref="N206">SUBSTITUTE(L206,M206,"")</f>
        <v/>
      </c>
      <c r="T206" s="264">
        <f>IF(AND(C206&gt;0,D206=""),SUMIFS(yj!I:I,yj!B:B,plan!A206,yj!G:G,"&gt;="&amp;Q206,yj!G:G,"&lt;="&amp;S206),"")</f>
        <v>0</v>
      </c>
      <c r="U206" s="264">
        <f>SUMIFS(四面弹库存!F:F,四面弹库存!B:B,plan!A206,四面弹库存!O:O,IF(H206&lt;&gt;"黑丝","白","黑"))</f>
        <v>0</v>
      </c>
      <c r="V206" s="264"/>
      <c r="W206" s="369" t="str">
        <f t="shared" si="11"/>
        <v/>
      </c>
      <c r="X206" s="258" t="str">
        <f t="shared" si="7"/>
        <v/>
      </c>
      <c r="Y206" s="36" t="str">
        <f t="shared" si="10"/>
        <v/>
      </c>
      <c r="Z206" s="340" t="str">
        <f>IF(AND(C206&gt;0,D206&lt;&gt;"",S206=""),VLOOKUP(A206&amp;IF(H206="黑丝","黑","白")&amp;E206,经纬!A:M,13,FALSE)*(I206-AB206),"")</f>
        <v/>
      </c>
      <c r="AA206" s="340" t="str">
        <f>IF(AND(C206&gt;0,D206&lt;&gt;"",S206=""),VLOOKUP(A206&amp;IF(H206="黑丝","黑","白")&amp;E206,经纬!A:N,14,FALSE)*(I206-AB206),"")</f>
        <v/>
      </c>
    </row>
    <row r="207" spans="2:27">
      <c r="B207" s="24" t="str">
        <f>IF(A207="","",IF(LEFT(A207)&gt;"9",VLOOKUP(A207,yuanjidaimachichun,2,FALSE),VLOOKUP(A207,经纬!B:C,2,FALSE)))</f>
        <v/>
      </c>
      <c r="C207" s="8" t="str">
        <f t="shared" si="8"/>
        <v/>
      </c>
      <c r="D207" s="8" t="str">
        <f t="shared" si="9"/>
        <v/>
      </c>
      <c r="M207" s="24" t="str">
        <f t="array" ref="M207">LEFT(L207,MIN(FIND({"A","B","C"},MID(L207,2,LEN(L207))&amp;"ABC")))</f>
        <v/>
      </c>
      <c r="N207" s="24" t="str">
        <f t="array" ref="N207">SUBSTITUTE(L207,M207,"")</f>
        <v/>
      </c>
      <c r="T207" s="264">
        <f>IF(AND(C207&gt;0,D207=""),SUMIFS(yj!I:I,yj!B:B,plan!A207,yj!G:G,"&gt;="&amp;Q207,yj!G:G,"&lt;="&amp;S207),"")</f>
        <v>0</v>
      </c>
      <c r="U207" s="264">
        <f>SUMIFS(四面弹库存!F:F,四面弹库存!B:B,plan!A207,四面弹库存!O:O,IF(H207&lt;&gt;"黑丝","白","黑"))</f>
        <v>0</v>
      </c>
      <c r="V207" s="264"/>
      <c r="W207" s="369" t="str">
        <f t="shared" si="11"/>
        <v/>
      </c>
      <c r="X207" s="258" t="str">
        <f t="shared" si="7"/>
        <v/>
      </c>
      <c r="Y207" s="36" t="str">
        <f t="shared" si="10"/>
        <v/>
      </c>
      <c r="Z207" s="340" t="str">
        <f>IF(AND(C207&gt;0,D207&lt;&gt;"",S207=""),VLOOKUP(A207&amp;IF(H207="黑丝","黑","白")&amp;E207,经纬!A:M,13,FALSE)*(I207-AB207),"")</f>
        <v/>
      </c>
      <c r="AA207" s="340" t="str">
        <f>IF(AND(C207&gt;0,D207&lt;&gt;"",S207=""),VLOOKUP(A207&amp;IF(H207="黑丝","黑","白")&amp;E207,经纬!A:N,14,FALSE)*(I207-AB207),"")</f>
        <v/>
      </c>
    </row>
    <row r="208" spans="2:27">
      <c r="B208" s="24" t="str">
        <f>IF(A208="","",IF(LEFT(A208)&gt;"9",VLOOKUP(A208,yuanjidaimachichun,2,FALSE),VLOOKUP(A208,经纬!B:C,2,FALSE)))</f>
        <v/>
      </c>
      <c r="C208" s="8" t="str">
        <f t="shared" si="8"/>
        <v/>
      </c>
      <c r="D208" s="8" t="str">
        <f t="shared" si="9"/>
        <v/>
      </c>
      <c r="M208" s="24" t="str">
        <f t="array" ref="M208">LEFT(L208,MIN(FIND({"A","B","C"},MID(L208,2,LEN(L208))&amp;"ABC")))</f>
        <v/>
      </c>
      <c r="N208" s="24" t="str">
        <f t="array" ref="N208">SUBSTITUTE(L208,M208,"")</f>
        <v/>
      </c>
      <c r="T208" s="264">
        <f>IF(AND(C208&gt;0,D208=""),SUMIFS(yj!I:I,yj!B:B,plan!A208,yj!G:G,"&gt;="&amp;Q208,yj!G:G,"&lt;="&amp;S208),"")</f>
        <v>0</v>
      </c>
      <c r="U208" s="264">
        <f>SUMIFS(四面弹库存!F:F,四面弹库存!B:B,plan!A208,四面弹库存!O:O,IF(H208&lt;&gt;"黑丝","白","黑"))</f>
        <v>0</v>
      </c>
      <c r="V208" s="264"/>
      <c r="W208" s="369" t="str">
        <f t="shared" si="11"/>
        <v/>
      </c>
      <c r="X208" s="258" t="str">
        <f t="shared" si="7"/>
        <v/>
      </c>
      <c r="Y208" s="36" t="str">
        <f t="shared" si="10"/>
        <v/>
      </c>
      <c r="Z208" s="340" t="str">
        <f>IF(AND(C208&gt;0,D208&lt;&gt;"",S208=""),VLOOKUP(A208&amp;IF(H208="黑丝","黑","白")&amp;E208,经纬!A:M,13,FALSE)*(I208-AB208),"")</f>
        <v/>
      </c>
      <c r="AA208" s="340" t="str">
        <f>IF(AND(C208&gt;0,D208&lt;&gt;"",S208=""),VLOOKUP(A208&amp;IF(H208="黑丝","黑","白")&amp;E208,经纬!A:N,14,FALSE)*(I208-AB208),"")</f>
        <v/>
      </c>
    </row>
    <row r="209" spans="2:27">
      <c r="B209" s="24" t="str">
        <f>IF(A209="","",IF(LEFT(A209)&gt;"9",VLOOKUP(A209,yuanjidaimachichun,2,FALSE),VLOOKUP(A209,经纬!B:C,2,FALSE)))</f>
        <v/>
      </c>
      <c r="C209" s="8" t="str">
        <f t="shared" ref="C209:C272" si="12">IF(A209="","",IF(ISERROR(FIND("*",B209)),MID(B209,2,FIND("-",B209)-2),LEFT(B209,FIND("*",B209)-1)))</f>
        <v/>
      </c>
      <c r="D209" s="8" t="str">
        <f t="shared" ref="D209:D272" si="13">IF(ISERROR(FIND("*",B209)),"",RIGHT(B209,LEN(B209)-FIND("*",B209)))</f>
        <v/>
      </c>
      <c r="M209" s="24" t="str">
        <f t="array" ref="M209">LEFT(L209,MIN(FIND({"A","B","C"},MID(L209,2,LEN(L209))&amp;"ABC")))</f>
        <v/>
      </c>
      <c r="N209" s="24" t="str">
        <f t="array" ref="N209">SUBSTITUTE(L209,M209,"")</f>
        <v/>
      </c>
      <c r="T209" s="264">
        <f>IF(AND(C209&gt;0,D209=""),SUMIFS(yj!I:I,yj!B:B,plan!A209,yj!G:G,"&gt;="&amp;Q209,yj!G:G,"&lt;="&amp;S209),"")</f>
        <v>0</v>
      </c>
      <c r="U209" s="264">
        <f>SUMIFS(四面弹库存!F:F,四面弹库存!B:B,plan!A209,四面弹库存!O:O,IF(H209&lt;&gt;"黑丝","白","黑"))</f>
        <v>0</v>
      </c>
      <c r="V209" s="264"/>
      <c r="W209" s="369" t="str">
        <f t="shared" si="11"/>
        <v/>
      </c>
      <c r="X209" s="258" t="str">
        <f t="shared" si="7"/>
        <v/>
      </c>
      <c r="Y209" s="36" t="str">
        <f t="shared" si="10"/>
        <v/>
      </c>
      <c r="Z209" s="340" t="str">
        <f>IF(AND(C209&gt;0,D209&lt;&gt;"",S209=""),VLOOKUP(A209&amp;IF(H209="黑丝","黑","白")&amp;E209,经纬!A:M,13,FALSE)*(I209-AB209),"")</f>
        <v/>
      </c>
      <c r="AA209" s="340" t="str">
        <f>IF(AND(C209&gt;0,D209&lt;&gt;"",S209=""),VLOOKUP(A209&amp;IF(H209="黑丝","黑","白")&amp;E209,经纬!A:N,14,FALSE)*(I209-AB209),"")</f>
        <v/>
      </c>
    </row>
    <row r="210" spans="2:27">
      <c r="B210" s="24" t="str">
        <f>IF(A210="","",IF(LEFT(A210)&gt;"9",VLOOKUP(A210,yuanjidaimachichun,2,FALSE),VLOOKUP(A210,经纬!B:C,2,FALSE)))</f>
        <v/>
      </c>
      <c r="C210" s="8" t="str">
        <f t="shared" si="12"/>
        <v/>
      </c>
      <c r="D210" s="8" t="str">
        <f t="shared" si="13"/>
        <v/>
      </c>
      <c r="M210" s="24" t="str">
        <f t="array" ref="M210">LEFT(L210,MIN(FIND({"A","B","C"},MID(L210,2,LEN(L210))&amp;"ABC")))</f>
        <v/>
      </c>
      <c r="N210" s="24" t="str">
        <f t="array" ref="N210">SUBSTITUTE(L210,M210,"")</f>
        <v/>
      </c>
      <c r="T210" s="264">
        <f>IF(AND(C210&gt;0,D210=""),SUMIFS(yj!I:I,yj!B:B,plan!A210,yj!G:G,"&gt;="&amp;Q210,yj!G:G,"&lt;="&amp;S210),"")</f>
        <v>0</v>
      </c>
      <c r="U210" s="264">
        <f>SUMIFS(四面弹库存!F:F,四面弹库存!B:B,plan!A210,四面弹库存!O:O,IF(H210&lt;&gt;"黑丝","白","黑"))</f>
        <v>0</v>
      </c>
      <c r="V210" s="264"/>
      <c r="W210" s="369" t="str">
        <f t="shared" si="11"/>
        <v/>
      </c>
      <c r="X210" s="258" t="str">
        <f t="shared" si="7"/>
        <v/>
      </c>
      <c r="Y210" s="36" t="str">
        <f t="shared" si="10"/>
        <v/>
      </c>
      <c r="Z210" s="340" t="str">
        <f>IF(AND(C210&gt;0,D210&lt;&gt;"",S210=""),VLOOKUP(A210&amp;IF(H210="黑丝","黑","白")&amp;E210,经纬!A:M,13,FALSE)*(I210-AB210),"")</f>
        <v/>
      </c>
      <c r="AA210" s="340" t="str">
        <f>IF(AND(C210&gt;0,D210&lt;&gt;"",S210=""),VLOOKUP(A210&amp;IF(H210="黑丝","黑","白")&amp;E210,经纬!A:N,14,FALSE)*(I210-AB210),"")</f>
        <v/>
      </c>
    </row>
    <row r="211" spans="2:27">
      <c r="B211" s="24" t="str">
        <f>IF(A211="","",IF(LEFT(A211)&gt;"9",VLOOKUP(A211,yuanjidaimachichun,2,FALSE),VLOOKUP(A211,经纬!B:C,2,FALSE)))</f>
        <v/>
      </c>
      <c r="C211" s="8" t="str">
        <f t="shared" si="12"/>
        <v/>
      </c>
      <c r="D211" s="8" t="str">
        <f t="shared" si="13"/>
        <v/>
      </c>
      <c r="M211" s="24" t="str">
        <f t="array" ref="M211">LEFT(L211,MIN(FIND({"A","B","C"},MID(L211,2,LEN(L211))&amp;"ABC")))</f>
        <v/>
      </c>
      <c r="N211" s="24" t="str">
        <f t="array" ref="N211">SUBSTITUTE(L211,M211,"")</f>
        <v/>
      </c>
      <c r="T211" s="264">
        <f>IF(AND(C211&gt;0,D211=""),SUMIFS(yj!I:I,yj!B:B,plan!A211,yj!G:G,"&gt;="&amp;Q211,yj!G:G,"&lt;="&amp;S211),"")</f>
        <v>0</v>
      </c>
      <c r="U211" s="264">
        <f>SUMIFS(四面弹库存!F:F,四面弹库存!B:B,plan!A211,四面弹库存!O:O,IF(H211&lt;&gt;"黑丝","白","黑"))</f>
        <v>0</v>
      </c>
      <c r="V211" s="264"/>
      <c r="W211" s="369" t="str">
        <f t="shared" si="11"/>
        <v/>
      </c>
      <c r="X211" s="258" t="str">
        <f t="shared" si="7"/>
        <v/>
      </c>
      <c r="Y211" s="36" t="str">
        <f t="shared" si="10"/>
        <v/>
      </c>
      <c r="Z211" s="340" t="str">
        <f>IF(AND(C211&gt;0,D211&lt;&gt;"",S211=""),VLOOKUP(A211&amp;IF(H211="黑丝","黑","白")&amp;E211,经纬!A:M,13,FALSE)*(I211-AB211),"")</f>
        <v/>
      </c>
      <c r="AA211" s="340" t="str">
        <f>IF(AND(C211&gt;0,D211&lt;&gt;"",S211=""),VLOOKUP(A211&amp;IF(H211="黑丝","黑","白")&amp;E211,经纬!A:N,14,FALSE)*(I211-AB211),"")</f>
        <v/>
      </c>
    </row>
    <row r="212" spans="2:27">
      <c r="B212" s="24" t="str">
        <f>IF(A212="","",IF(LEFT(A212)&gt;"9",VLOOKUP(A212,yuanjidaimachichun,2,FALSE),VLOOKUP(A212,经纬!B:C,2,FALSE)))</f>
        <v/>
      </c>
      <c r="C212" s="8" t="str">
        <f t="shared" si="12"/>
        <v/>
      </c>
      <c r="D212" s="8" t="str">
        <f t="shared" si="13"/>
        <v/>
      </c>
      <c r="M212" s="24" t="str">
        <f t="array" ref="M212">LEFT(L212,MIN(FIND({"A","B","C"},MID(L212,2,LEN(L212))&amp;"ABC")))</f>
        <v/>
      </c>
      <c r="N212" s="24" t="str">
        <f t="array" ref="N212">SUBSTITUTE(L212,M212,"")</f>
        <v/>
      </c>
      <c r="T212" s="264">
        <f>IF(AND(C212&gt;0,D212=""),SUMIFS(yj!I:I,yj!B:B,plan!A212,yj!G:G,"&gt;="&amp;Q212,yj!G:G,"&lt;="&amp;S212),"")</f>
        <v>0</v>
      </c>
      <c r="U212" s="264">
        <f>SUMIFS(四面弹库存!F:F,四面弹库存!B:B,plan!A212,四面弹库存!O:O,IF(H212&lt;&gt;"黑丝","白","黑"))</f>
        <v>0</v>
      </c>
      <c r="V212" s="264"/>
      <c r="W212" s="369" t="str">
        <f t="shared" si="11"/>
        <v/>
      </c>
      <c r="X212" s="258" t="str">
        <f t="shared" si="7"/>
        <v/>
      </c>
      <c r="Y212" s="36" t="str">
        <f t="shared" si="10"/>
        <v/>
      </c>
      <c r="Z212" s="340" t="str">
        <f>IF(AND(C212&gt;0,D212&lt;&gt;"",S212=""),VLOOKUP(A212&amp;IF(H212="黑丝","黑","白")&amp;E212,经纬!A:M,13,FALSE)*(I212-AB212),"")</f>
        <v/>
      </c>
      <c r="AA212" s="340" t="str">
        <f>IF(AND(C212&gt;0,D212&lt;&gt;"",S212=""),VLOOKUP(A212&amp;IF(H212="黑丝","黑","白")&amp;E212,经纬!A:N,14,FALSE)*(I212-AB212),"")</f>
        <v/>
      </c>
    </row>
    <row r="213" spans="2:27">
      <c r="B213" s="24" t="str">
        <f>IF(A213="","",IF(LEFT(A213)&gt;"9",VLOOKUP(A213,yuanjidaimachichun,2,FALSE),VLOOKUP(A213,经纬!B:C,2,FALSE)))</f>
        <v/>
      </c>
      <c r="C213" s="8" t="str">
        <f t="shared" si="12"/>
        <v/>
      </c>
      <c r="D213" s="8" t="str">
        <f t="shared" si="13"/>
        <v/>
      </c>
      <c r="M213" s="24" t="str">
        <f t="array" ref="M213">LEFT(L213,MIN(FIND({"A","B","C"},MID(L213,2,LEN(L213))&amp;"ABC")))</f>
        <v/>
      </c>
      <c r="N213" s="24" t="str">
        <f t="array" ref="N213">SUBSTITUTE(L213,M213,"")</f>
        <v/>
      </c>
      <c r="T213" s="264">
        <f>IF(AND(C213&gt;0,D213=""),SUMIFS(yj!I:I,yj!B:B,plan!A213,yj!G:G,"&gt;="&amp;Q213,yj!G:G,"&lt;="&amp;S213),"")</f>
        <v>0</v>
      </c>
      <c r="U213" s="264">
        <f>SUMIFS(四面弹库存!F:F,四面弹库存!B:B,plan!A213,四面弹库存!O:O,IF(H213&lt;&gt;"黑丝","白","黑"))</f>
        <v>0</v>
      </c>
      <c r="V213" s="264"/>
      <c r="W213" s="369" t="str">
        <f t="shared" si="11"/>
        <v/>
      </c>
      <c r="X213" s="258" t="str">
        <f t="shared" si="7"/>
        <v/>
      </c>
      <c r="Y213" s="36" t="str">
        <f t="shared" si="10"/>
        <v/>
      </c>
      <c r="Z213" s="340" t="str">
        <f>IF(AND(C213&gt;0,D213&lt;&gt;"",S213=""),VLOOKUP(A213&amp;IF(H213="黑丝","黑","白")&amp;E213,经纬!A:M,13,FALSE)*(I213-AB213),"")</f>
        <v/>
      </c>
      <c r="AA213" s="340" t="str">
        <f>IF(AND(C213&gt;0,D213&lt;&gt;"",S213=""),VLOOKUP(A213&amp;IF(H213="黑丝","黑","白")&amp;E213,经纬!A:N,14,FALSE)*(I213-AB213),"")</f>
        <v/>
      </c>
    </row>
    <row r="214" spans="2:27">
      <c r="B214" s="24" t="str">
        <f>IF(A214="","",IF(LEFT(A214)&gt;"9",VLOOKUP(A214,yuanjidaimachichun,2,FALSE),VLOOKUP(A214,经纬!B:C,2,FALSE)))</f>
        <v/>
      </c>
      <c r="C214" s="8" t="str">
        <f t="shared" si="12"/>
        <v/>
      </c>
      <c r="D214" s="8" t="str">
        <f t="shared" si="13"/>
        <v/>
      </c>
      <c r="M214" s="24" t="str">
        <f t="array" ref="M214">LEFT(L214,MIN(FIND({"A","B","C"},MID(L214,2,LEN(L214))&amp;"ABC")))</f>
        <v/>
      </c>
      <c r="N214" s="24" t="str">
        <f t="array" ref="N214">SUBSTITUTE(L214,M214,"")</f>
        <v/>
      </c>
      <c r="T214" s="264">
        <f>IF(AND(C214&gt;0,D214=""),SUMIFS(yj!I:I,yj!B:B,plan!A214,yj!G:G,"&gt;="&amp;Q214,yj!G:G,"&lt;="&amp;S214),"")</f>
        <v>0</v>
      </c>
      <c r="U214" s="264">
        <f>SUMIFS(四面弹库存!F:F,四面弹库存!B:B,plan!A214,四面弹库存!O:O,IF(H214&lt;&gt;"黑丝","白","黑"))</f>
        <v>0</v>
      </c>
      <c r="V214" s="264"/>
      <c r="W214" s="369" t="str">
        <f t="shared" si="11"/>
        <v/>
      </c>
      <c r="X214" s="258" t="str">
        <f t="shared" si="7"/>
        <v/>
      </c>
      <c r="Y214" s="36" t="str">
        <f t="shared" si="10"/>
        <v/>
      </c>
      <c r="Z214" s="340" t="str">
        <f>IF(AND(C214&gt;0,D214&lt;&gt;"",S214=""),VLOOKUP(A214&amp;IF(H214="黑丝","黑","白")&amp;E214,经纬!A:M,13,FALSE)*(I214-AB214),"")</f>
        <v/>
      </c>
      <c r="AA214" s="340" t="str">
        <f>IF(AND(C214&gt;0,D214&lt;&gt;"",S214=""),VLOOKUP(A214&amp;IF(H214="黑丝","黑","白")&amp;E214,经纬!A:N,14,FALSE)*(I214-AB214),"")</f>
        <v/>
      </c>
    </row>
    <row r="215" spans="2:27">
      <c r="B215" s="24" t="str">
        <f>IF(A215="","",IF(LEFT(A215)&gt;"9",VLOOKUP(A215,yuanjidaimachichun,2,FALSE),VLOOKUP(A215,经纬!B:C,2,FALSE)))</f>
        <v/>
      </c>
      <c r="C215" s="8" t="str">
        <f t="shared" si="12"/>
        <v/>
      </c>
      <c r="D215" s="8" t="str">
        <f t="shared" si="13"/>
        <v/>
      </c>
      <c r="M215" s="24" t="str">
        <f t="array" ref="M215">LEFT(L215,MIN(FIND({"A","B","C"},MID(L215,2,LEN(L215))&amp;"ABC")))</f>
        <v/>
      </c>
      <c r="N215" s="24" t="str">
        <f t="array" ref="N215">SUBSTITUTE(L215,M215,"")</f>
        <v/>
      </c>
      <c r="T215" s="264">
        <f>IF(AND(C215&gt;0,D215=""),SUMIFS(yj!I:I,yj!B:B,plan!A215,yj!G:G,"&gt;="&amp;Q215,yj!G:G,"&lt;="&amp;S215),"")</f>
        <v>0</v>
      </c>
      <c r="U215" s="264">
        <f>SUMIFS(四面弹库存!F:F,四面弹库存!B:B,plan!A215,四面弹库存!O:O,IF(H215&lt;&gt;"黑丝","白","黑"))</f>
        <v>0</v>
      </c>
      <c r="V215" s="264"/>
      <c r="W215" s="369" t="str">
        <f t="shared" si="11"/>
        <v/>
      </c>
      <c r="X215" s="258" t="str">
        <f t="shared" si="7"/>
        <v/>
      </c>
      <c r="Y215" s="36" t="str">
        <f t="shared" si="10"/>
        <v/>
      </c>
      <c r="Z215" s="340" t="str">
        <f>IF(AND(C215&gt;0,D215&lt;&gt;"",S215=""),VLOOKUP(A215&amp;IF(H215="黑丝","黑","白")&amp;E215,经纬!A:M,13,FALSE)*(I215-AB215),"")</f>
        <v/>
      </c>
      <c r="AA215" s="340" t="str">
        <f>IF(AND(C215&gt;0,D215&lt;&gt;"",S215=""),VLOOKUP(A215&amp;IF(H215="黑丝","黑","白")&amp;E215,经纬!A:N,14,FALSE)*(I215-AB215),"")</f>
        <v/>
      </c>
    </row>
    <row r="216" spans="2:27">
      <c r="B216" s="24" t="str">
        <f>IF(A216="","",IF(LEFT(A216)&gt;"9",VLOOKUP(A216,yuanjidaimachichun,2,FALSE),VLOOKUP(A216,经纬!B:C,2,FALSE)))</f>
        <v/>
      </c>
      <c r="C216" s="8" t="str">
        <f t="shared" si="12"/>
        <v/>
      </c>
      <c r="D216" s="8" t="str">
        <f t="shared" si="13"/>
        <v/>
      </c>
      <c r="M216" s="24" t="str">
        <f t="array" ref="M216">LEFT(L216,MIN(FIND({"A","B","C"},MID(L216,2,LEN(L216))&amp;"ABC")))</f>
        <v/>
      </c>
      <c r="N216" s="24" t="str">
        <f t="array" ref="N216">SUBSTITUTE(L216,M216,"")</f>
        <v/>
      </c>
      <c r="T216" s="264">
        <f>IF(AND(C216&gt;0,D216=""),SUMIFS(yj!I:I,yj!B:B,plan!A216,yj!G:G,"&gt;="&amp;Q216,yj!G:G,"&lt;="&amp;S216),"")</f>
        <v>0</v>
      </c>
      <c r="U216" s="264">
        <f>SUMIFS(四面弹库存!F:F,四面弹库存!B:B,plan!A216,四面弹库存!O:O,IF(H216&lt;&gt;"黑丝","白","黑"))</f>
        <v>0</v>
      </c>
      <c r="V216" s="264"/>
      <c r="W216" s="369" t="str">
        <f t="shared" si="11"/>
        <v/>
      </c>
      <c r="X216" s="258" t="str">
        <f t="shared" si="7"/>
        <v/>
      </c>
      <c r="Y216" s="36" t="str">
        <f t="shared" si="10"/>
        <v/>
      </c>
      <c r="Z216" s="340" t="str">
        <f>IF(AND(C216&gt;0,D216&lt;&gt;"",S216=""),VLOOKUP(A216&amp;IF(H216="黑丝","黑","白")&amp;E216,经纬!A:M,13,FALSE)*(I216-AB216),"")</f>
        <v/>
      </c>
      <c r="AA216" s="340" t="str">
        <f>IF(AND(C216&gt;0,D216&lt;&gt;"",S216=""),VLOOKUP(A216&amp;IF(H216="黑丝","黑","白")&amp;E216,经纬!A:N,14,FALSE)*(I216-AB216),"")</f>
        <v/>
      </c>
    </row>
    <row r="217" spans="2:27">
      <c r="B217" s="24" t="str">
        <f>IF(A217="","",IF(LEFT(A217)&gt;"9",VLOOKUP(A217,yuanjidaimachichun,2,FALSE),VLOOKUP(A217,经纬!B:C,2,FALSE)))</f>
        <v/>
      </c>
      <c r="C217" s="8" t="str">
        <f t="shared" si="12"/>
        <v/>
      </c>
      <c r="D217" s="8" t="str">
        <f t="shared" si="13"/>
        <v/>
      </c>
      <c r="M217" s="24" t="str">
        <f t="array" ref="M217">LEFT(L217,MIN(FIND({"A","B","C"},MID(L217,2,LEN(L217))&amp;"ABC")))</f>
        <v/>
      </c>
      <c r="N217" s="24" t="str">
        <f t="array" ref="N217">SUBSTITUTE(L217,M217,"")</f>
        <v/>
      </c>
      <c r="T217" s="264">
        <f>IF(AND(C217&gt;0,D217=""),SUMIFS(yj!I:I,yj!B:B,plan!A217,yj!G:G,"&gt;="&amp;Q217,yj!G:G,"&lt;="&amp;S217),"")</f>
        <v>0</v>
      </c>
      <c r="U217" s="264">
        <f>SUMIFS(四面弹库存!F:F,四面弹库存!B:B,plan!A217,四面弹库存!O:O,IF(H217&lt;&gt;"黑丝","白","黑"))</f>
        <v>0</v>
      </c>
      <c r="V217" s="264"/>
      <c r="W217" s="369" t="str">
        <f t="shared" si="11"/>
        <v/>
      </c>
      <c r="X217" s="258" t="str">
        <f t="shared" si="7"/>
        <v/>
      </c>
      <c r="Y217" s="36" t="str">
        <f t="shared" si="10"/>
        <v/>
      </c>
      <c r="Z217" s="340" t="str">
        <f>IF(AND(C217&gt;0,D217&lt;&gt;"",S217=""),VLOOKUP(A217&amp;IF(H217="黑丝","黑","白")&amp;E217,经纬!A:M,13,FALSE)*(I217-AB217),"")</f>
        <v/>
      </c>
      <c r="AA217" s="340" t="str">
        <f>IF(AND(C217&gt;0,D217&lt;&gt;"",S217=""),VLOOKUP(A217&amp;IF(H217="黑丝","黑","白")&amp;E217,经纬!A:N,14,FALSE)*(I217-AB217),"")</f>
        <v/>
      </c>
    </row>
    <row r="218" spans="2:27">
      <c r="B218" s="24" t="str">
        <f>IF(A218="","",IF(LEFT(A218)&gt;"9",VLOOKUP(A218,yuanjidaimachichun,2,FALSE),VLOOKUP(A218,经纬!B:C,2,FALSE)))</f>
        <v/>
      </c>
      <c r="C218" s="8" t="str">
        <f t="shared" si="12"/>
        <v/>
      </c>
      <c r="D218" s="8" t="str">
        <f t="shared" si="13"/>
        <v/>
      </c>
      <c r="M218" s="24" t="str">
        <f t="array" ref="M218">LEFT(L218,MIN(FIND({"A","B","C"},MID(L218,2,LEN(L218))&amp;"ABC")))</f>
        <v/>
      </c>
      <c r="N218" s="24" t="str">
        <f t="array" ref="N218">SUBSTITUTE(L218,M218,"")</f>
        <v/>
      </c>
      <c r="T218" s="264">
        <f>IF(AND(C218&gt;0,D218=""),SUMIFS(yj!I:I,yj!B:B,plan!A218,yj!G:G,"&gt;="&amp;Q218,yj!G:G,"&lt;="&amp;S218),"")</f>
        <v>0</v>
      </c>
      <c r="U218" s="264">
        <f>SUMIFS(四面弹库存!F:F,四面弹库存!B:B,plan!A218,四面弹库存!O:O,IF(H218&lt;&gt;"黑丝","白","黑"))</f>
        <v>0</v>
      </c>
      <c r="V218" s="264"/>
      <c r="W218" s="369" t="str">
        <f t="shared" si="11"/>
        <v/>
      </c>
      <c r="X218" s="258" t="str">
        <f t="shared" si="7"/>
        <v/>
      </c>
      <c r="Y218" s="36" t="str">
        <f t="shared" si="10"/>
        <v/>
      </c>
      <c r="Z218" s="340" t="str">
        <f>IF(AND(C218&gt;0,D218&lt;&gt;"",S218=""),VLOOKUP(A218&amp;IF(H218="黑丝","黑","白")&amp;E218,经纬!A:M,13,FALSE)*(I218-AB218),"")</f>
        <v/>
      </c>
      <c r="AA218" s="340" t="str">
        <f>IF(AND(C218&gt;0,D218&lt;&gt;"",S218=""),VLOOKUP(A218&amp;IF(H218="黑丝","黑","白")&amp;E218,经纬!A:N,14,FALSE)*(I218-AB218),"")</f>
        <v/>
      </c>
    </row>
    <row r="219" spans="2:27">
      <c r="B219" s="24" t="str">
        <f>IF(A219="","",IF(LEFT(A219)&gt;"9",VLOOKUP(A219,yuanjidaimachichun,2,FALSE),VLOOKUP(A219,经纬!B:C,2,FALSE)))</f>
        <v/>
      </c>
      <c r="C219" s="8" t="str">
        <f t="shared" si="12"/>
        <v/>
      </c>
      <c r="D219" s="8" t="str">
        <f t="shared" si="13"/>
        <v/>
      </c>
      <c r="M219" s="24" t="str">
        <f t="array" ref="M219">LEFT(L219,MIN(FIND({"A","B","C"},MID(L219,2,LEN(L219))&amp;"ABC")))</f>
        <v/>
      </c>
      <c r="N219" s="24" t="str">
        <f t="array" ref="N219">SUBSTITUTE(L219,M219,"")</f>
        <v/>
      </c>
      <c r="T219" s="264">
        <f>IF(AND(C219&gt;0,D219=""),SUMIFS(yj!I:I,yj!B:B,plan!A219,yj!G:G,"&gt;="&amp;Q219,yj!G:G,"&lt;="&amp;S219),"")</f>
        <v>0</v>
      </c>
      <c r="U219" s="264">
        <f>SUMIFS(四面弹库存!F:F,四面弹库存!B:B,plan!A219,四面弹库存!O:O,IF(H219&lt;&gt;"黑丝","白","黑"))</f>
        <v>0</v>
      </c>
      <c r="V219" s="264"/>
      <c r="W219" s="369" t="str">
        <f t="shared" si="11"/>
        <v/>
      </c>
      <c r="X219" s="258" t="str">
        <f t="shared" si="7"/>
        <v/>
      </c>
      <c r="Y219" s="36" t="str">
        <f t="shared" si="10"/>
        <v/>
      </c>
      <c r="Z219" s="340" t="str">
        <f>IF(AND(C219&gt;0,D219&lt;&gt;"",S219=""),VLOOKUP(A219&amp;IF(H219="黑丝","黑","白")&amp;E219,经纬!A:M,13,FALSE)*(I219-AB219),"")</f>
        <v/>
      </c>
      <c r="AA219" s="340" t="str">
        <f>IF(AND(C219&gt;0,D219&lt;&gt;"",S219=""),VLOOKUP(A219&amp;IF(H219="黑丝","黑","白")&amp;E219,经纬!A:N,14,FALSE)*(I219-AB219),"")</f>
        <v/>
      </c>
    </row>
    <row r="220" spans="2:27">
      <c r="B220" s="24" t="str">
        <f>IF(A220="","",IF(LEFT(A220)&gt;"9",VLOOKUP(A220,yuanjidaimachichun,2,FALSE),VLOOKUP(A220,经纬!B:C,2,FALSE)))</f>
        <v/>
      </c>
      <c r="C220" s="8" t="str">
        <f t="shared" si="12"/>
        <v/>
      </c>
      <c r="D220" s="8" t="str">
        <f t="shared" si="13"/>
        <v/>
      </c>
      <c r="M220" s="24" t="str">
        <f t="array" ref="M220">LEFT(L220,MIN(FIND({"A","B","C"},MID(L220,2,LEN(L220))&amp;"ABC")))</f>
        <v/>
      </c>
      <c r="N220" s="24" t="str">
        <f t="array" ref="N220">SUBSTITUTE(L220,M220,"")</f>
        <v/>
      </c>
      <c r="W220" s="369" t="str">
        <f t="shared" si="11"/>
        <v/>
      </c>
      <c r="X220" s="258" t="str">
        <f t="shared" ref="X220:X283" si="14">IF(B220="","",IF(S220&lt;&gt;"","",IF(AND(Z220&lt;&gt;"",AA220&lt;&gt;""),SUM(Z220:AA220),IF(AB220&lt;&gt;"",(I220/((1/((G220+2)/100*K220/1000))*0.9144)/IF(H220="黑丝",22,20)-AB220)*(IF(H220="黑丝",22,20)),I220/((1/((G220+2)/100*K220/1000))*0.9144)))))</f>
        <v/>
      </c>
      <c r="Y220" s="36" t="str">
        <f t="shared" si="10"/>
        <v/>
      </c>
      <c r="Z220" s="340" t="str">
        <f>IF(AND(C220&gt;0,D220&lt;&gt;"",S220=""),VLOOKUP(A220&amp;IF(H220="黑丝","黑","白")&amp;E220,经纬!A:M,13,FALSE)*(I220-AB220),"")</f>
        <v/>
      </c>
      <c r="AA220" s="340" t="str">
        <f>IF(AND(C220&gt;0,D220&lt;&gt;"",S220=""),VLOOKUP(A220&amp;IF(H220="黑丝","黑","白")&amp;E220,经纬!A:N,14,FALSE)*(I220-AB220),"")</f>
        <v/>
      </c>
    </row>
    <row r="221" spans="2:27">
      <c r="B221" s="24" t="str">
        <f>IF(A221="","",IF(LEFT(A221)&gt;"9",VLOOKUP(A221,yuanjidaimachichun,2,FALSE),VLOOKUP(A221,经纬!B:C,2,FALSE)))</f>
        <v/>
      </c>
      <c r="C221" s="8" t="str">
        <f t="shared" si="12"/>
        <v/>
      </c>
      <c r="D221" s="8" t="str">
        <f t="shared" si="13"/>
        <v/>
      </c>
      <c r="M221" s="24" t="str">
        <f t="array" ref="M221">LEFT(L221,MIN(FIND({"A","B","C"},MID(L221,2,LEN(L221))&amp;"ABC")))</f>
        <v/>
      </c>
      <c r="N221" s="24" t="str">
        <f t="array" ref="N221">SUBSTITUTE(L221,M221,"")</f>
        <v/>
      </c>
      <c r="W221" s="369" t="str">
        <f t="shared" si="11"/>
        <v/>
      </c>
      <c r="X221" s="258" t="str">
        <f t="shared" si="14"/>
        <v/>
      </c>
      <c r="Y221" s="36" t="str">
        <f t="shared" si="10"/>
        <v/>
      </c>
      <c r="Z221" s="340" t="str">
        <f>IF(AND(C221&gt;0,D221&lt;&gt;"",S221=""),VLOOKUP(A221&amp;IF(H221="黑丝","黑","白")&amp;E221,经纬!A:M,13,FALSE)*(I221-AB221),"")</f>
        <v/>
      </c>
      <c r="AA221" s="340" t="str">
        <f>IF(AND(C221&gt;0,D221&lt;&gt;"",S221=""),VLOOKUP(A221&amp;IF(H221="黑丝","黑","白")&amp;E221,经纬!A:N,14,FALSE)*(I221-AB221),"")</f>
        <v/>
      </c>
    </row>
    <row r="222" spans="2:27">
      <c r="B222" s="24" t="str">
        <f>IF(A222="","",IF(LEFT(A222)&gt;"9",VLOOKUP(A222,yuanjidaimachichun,2,FALSE),VLOOKUP(A222,经纬!B:C,2,FALSE)))</f>
        <v/>
      </c>
      <c r="C222" s="8" t="str">
        <f t="shared" si="12"/>
        <v/>
      </c>
      <c r="D222" s="8" t="str">
        <f t="shared" si="13"/>
        <v/>
      </c>
      <c r="M222" s="24" t="str">
        <f t="array" ref="M222">LEFT(L222,MIN(FIND({"A","B","C"},MID(L222,2,LEN(L222))&amp;"ABC")))</f>
        <v/>
      </c>
      <c r="N222" s="24" t="str">
        <f t="array" ref="N222">SUBSTITUTE(L222,M222,"")</f>
        <v/>
      </c>
      <c r="W222" s="369" t="str">
        <f t="shared" si="11"/>
        <v/>
      </c>
      <c r="X222" s="258" t="str">
        <f t="shared" si="14"/>
        <v/>
      </c>
      <c r="Y222" s="36" t="str">
        <f t="shared" si="10"/>
        <v/>
      </c>
      <c r="Z222" s="340" t="str">
        <f>IF(AND(C222&gt;0,D222&lt;&gt;"",S222=""),VLOOKUP(A222&amp;IF(H222="黑丝","黑","白")&amp;E222,经纬!A:M,13,FALSE)*(I222-AB222),"")</f>
        <v/>
      </c>
      <c r="AA222" s="340" t="str">
        <f>IF(AND(C222&gt;0,D222&lt;&gt;"",S222=""),VLOOKUP(A222&amp;IF(H222="黑丝","黑","白")&amp;E222,经纬!A:N,14,FALSE)*(I222-AB222),"")</f>
        <v/>
      </c>
    </row>
    <row r="223" spans="2:27">
      <c r="B223" s="24" t="str">
        <f>IF(A223="","",IF(LEFT(A223)&gt;"9",VLOOKUP(A223,yuanjidaimachichun,2,FALSE),VLOOKUP(A223,经纬!B:C,2,FALSE)))</f>
        <v/>
      </c>
      <c r="C223" s="8" t="str">
        <f t="shared" si="12"/>
        <v/>
      </c>
      <c r="D223" s="8" t="str">
        <f t="shared" si="13"/>
        <v/>
      </c>
      <c r="M223" s="24" t="str">
        <f t="array" ref="M223">LEFT(L223,MIN(FIND({"A","B","C"},MID(L223,2,LEN(L223))&amp;"ABC")))</f>
        <v/>
      </c>
      <c r="N223" s="24" t="str">
        <f t="array" ref="N223">SUBSTITUTE(L223,M223,"")</f>
        <v/>
      </c>
      <c r="W223" s="369" t="str">
        <f t="shared" si="11"/>
        <v/>
      </c>
      <c r="X223" s="258" t="str">
        <f t="shared" si="14"/>
        <v/>
      </c>
      <c r="Y223" s="36" t="str">
        <f t="shared" si="10"/>
        <v/>
      </c>
      <c r="Z223" s="340" t="str">
        <f>IF(AND(C223&gt;0,D223&lt;&gt;"",S223=""),VLOOKUP(A223&amp;IF(H223="黑丝","黑","白")&amp;E223,经纬!A:M,13,FALSE)*(I223-AB223),"")</f>
        <v/>
      </c>
      <c r="AA223" s="340" t="str">
        <f>IF(AND(C223&gt;0,D223&lt;&gt;"",S223=""),VLOOKUP(A223&amp;IF(H223="黑丝","黑","白")&amp;E223,经纬!A:N,14,FALSE)*(I223-AB223),"")</f>
        <v/>
      </c>
    </row>
    <row r="224" spans="2:27">
      <c r="B224" s="24" t="str">
        <f>IF(A224="","",IF(LEFT(A224)&gt;"9",VLOOKUP(A224,yuanjidaimachichun,2,FALSE),VLOOKUP(A224,经纬!B:C,2,FALSE)))</f>
        <v/>
      </c>
      <c r="C224" s="8" t="str">
        <f t="shared" si="12"/>
        <v/>
      </c>
      <c r="D224" s="8" t="str">
        <f t="shared" si="13"/>
        <v/>
      </c>
      <c r="M224" s="24" t="str">
        <f t="array" ref="M224">LEFT(L224,MIN(FIND({"A","B","C"},MID(L224,2,LEN(L224))&amp;"ABC")))</f>
        <v/>
      </c>
      <c r="N224" s="24" t="str">
        <f t="array" ref="N224">SUBSTITUTE(L224,M224,"")</f>
        <v/>
      </c>
      <c r="W224" s="369" t="str">
        <f t="shared" si="11"/>
        <v/>
      </c>
      <c r="X224" s="258" t="str">
        <f t="shared" si="14"/>
        <v/>
      </c>
      <c r="Y224" s="36" t="str">
        <f t="shared" si="10"/>
        <v/>
      </c>
      <c r="Z224" s="340" t="str">
        <f>IF(AND(C224&gt;0,D224&lt;&gt;"",S224=""),VLOOKUP(A224&amp;IF(H224="黑丝","黑","白")&amp;E224,经纬!A:M,13,FALSE)*(I224-AB224),"")</f>
        <v/>
      </c>
      <c r="AA224" s="340" t="str">
        <f>IF(AND(C224&gt;0,D224&lt;&gt;"",S224=""),VLOOKUP(A224&amp;IF(H224="黑丝","黑","白")&amp;E224,经纬!A:N,14,FALSE)*(I224-AB224),"")</f>
        <v/>
      </c>
    </row>
    <row r="225" spans="2:27">
      <c r="B225" s="24" t="str">
        <f>IF(A225="","",IF(LEFT(A225)&gt;"9",VLOOKUP(A225,yuanjidaimachichun,2,FALSE),VLOOKUP(A225,经纬!B:C,2,FALSE)))</f>
        <v/>
      </c>
      <c r="C225" s="8" t="str">
        <f t="shared" si="12"/>
        <v/>
      </c>
      <c r="D225" s="8" t="str">
        <f t="shared" si="13"/>
        <v/>
      </c>
      <c r="M225" s="24" t="str">
        <f t="array" ref="M225">LEFT(L225,MIN(FIND({"A","B","C"},MID(L225,2,LEN(L225))&amp;"ABC")))</f>
        <v/>
      </c>
      <c r="N225" s="24" t="str">
        <f t="array" ref="N225">SUBSTITUTE(L225,M225,"")</f>
        <v/>
      </c>
      <c r="W225" s="369" t="str">
        <f t="shared" si="11"/>
        <v/>
      </c>
      <c r="X225" s="258" t="str">
        <f t="shared" si="14"/>
        <v/>
      </c>
      <c r="Y225" s="36" t="str">
        <f t="shared" si="10"/>
        <v/>
      </c>
      <c r="Z225" s="340" t="str">
        <f>IF(AND(C225&gt;0,D225&lt;&gt;"",S225=""),VLOOKUP(A225&amp;IF(H225="黑丝","黑","白")&amp;E225,经纬!A:M,13,FALSE)*(I225-AB225),"")</f>
        <v/>
      </c>
      <c r="AA225" s="340" t="str">
        <f>IF(AND(C225&gt;0,D225&lt;&gt;"",S225=""),VLOOKUP(A225&amp;IF(H225="黑丝","黑","白")&amp;E225,经纬!A:N,14,FALSE)*(I225-AB225),"")</f>
        <v/>
      </c>
    </row>
    <row r="226" spans="2:27">
      <c r="B226" s="24" t="str">
        <f>IF(A226="","",IF(LEFT(A226)&gt;"9",VLOOKUP(A226,yuanjidaimachichun,2,FALSE),VLOOKUP(A226,经纬!B:C,2,FALSE)))</f>
        <v/>
      </c>
      <c r="C226" s="8" t="str">
        <f t="shared" si="12"/>
        <v/>
      </c>
      <c r="D226" s="8" t="str">
        <f t="shared" si="13"/>
        <v/>
      </c>
      <c r="M226" s="24" t="str">
        <f t="array" ref="M226">LEFT(L226,MIN(FIND({"A","B","C"},MID(L226,2,LEN(L226))&amp;"ABC")))</f>
        <v/>
      </c>
      <c r="N226" s="24" t="str">
        <f t="array" ref="N226">SUBSTITUTE(L226,M226,"")</f>
        <v/>
      </c>
      <c r="W226" s="369" t="str">
        <f t="shared" si="11"/>
        <v/>
      </c>
      <c r="X226" s="258" t="str">
        <f t="shared" si="14"/>
        <v/>
      </c>
      <c r="Y226" s="36" t="str">
        <f t="shared" si="10"/>
        <v/>
      </c>
      <c r="Z226" s="340" t="str">
        <f>IF(AND(C226&gt;0,D226&lt;&gt;"",S226=""),VLOOKUP(A226&amp;IF(H226="黑丝","黑","白")&amp;E226,经纬!A:M,13,FALSE)*(I226-AB226),"")</f>
        <v/>
      </c>
      <c r="AA226" s="340" t="str">
        <f>IF(AND(C226&gt;0,D226&lt;&gt;"",S226=""),VLOOKUP(A226&amp;IF(H226="黑丝","黑","白")&amp;E226,经纬!A:N,14,FALSE)*(I226-AB226),"")</f>
        <v/>
      </c>
    </row>
    <row r="227" spans="2:27">
      <c r="B227" s="24" t="str">
        <f>IF(A227="","",IF(LEFT(A227)&gt;"9",VLOOKUP(A227,yuanjidaimachichun,2,FALSE),VLOOKUP(A227,经纬!B:C,2,FALSE)))</f>
        <v/>
      </c>
      <c r="C227" s="8" t="str">
        <f t="shared" si="12"/>
        <v/>
      </c>
      <c r="D227" s="8" t="str">
        <f t="shared" si="13"/>
        <v/>
      </c>
      <c r="M227" s="24" t="str">
        <f t="array" ref="M227">LEFT(L227,MIN(FIND({"A","B","C"},MID(L227,2,LEN(L227))&amp;"ABC")))</f>
        <v/>
      </c>
      <c r="N227" s="24" t="str">
        <f t="array" ref="N227">SUBSTITUTE(L227,M227,"")</f>
        <v/>
      </c>
      <c r="W227" s="369" t="str">
        <f t="shared" si="11"/>
        <v/>
      </c>
      <c r="X227" s="258" t="str">
        <f t="shared" si="14"/>
        <v/>
      </c>
      <c r="Y227" s="36" t="str">
        <f t="shared" si="10"/>
        <v/>
      </c>
      <c r="Z227" s="340" t="str">
        <f>IF(AND(C227&gt;0,D227&lt;&gt;"",S227=""),VLOOKUP(A227&amp;IF(H227="黑丝","黑","白")&amp;E227,经纬!A:M,13,FALSE)*(I227-AB227),"")</f>
        <v/>
      </c>
      <c r="AA227" s="340" t="str">
        <f>IF(AND(C227&gt;0,D227&lt;&gt;"",S227=""),VLOOKUP(A227&amp;IF(H227="黑丝","黑","白")&amp;E227,经纬!A:N,14,FALSE)*(I227-AB227),"")</f>
        <v/>
      </c>
    </row>
    <row r="228" spans="2:27">
      <c r="B228" s="24" t="str">
        <f>IF(A228="","",IF(LEFT(A228)&gt;"9",VLOOKUP(A228,yuanjidaimachichun,2,FALSE),VLOOKUP(A228,经纬!B:C,2,FALSE)))</f>
        <v/>
      </c>
      <c r="C228" s="8" t="str">
        <f t="shared" si="12"/>
        <v/>
      </c>
      <c r="D228" s="8" t="str">
        <f t="shared" si="13"/>
        <v/>
      </c>
      <c r="M228" s="24" t="str">
        <f t="array" ref="M228">LEFT(L228,MIN(FIND({"A","B","C"},MID(L228,2,LEN(L228))&amp;"ABC")))</f>
        <v/>
      </c>
      <c r="N228" s="24" t="str">
        <f t="array" ref="N228">SUBSTITUTE(L228,M228,"")</f>
        <v/>
      </c>
      <c r="W228" s="369" t="str">
        <f t="shared" si="11"/>
        <v/>
      </c>
      <c r="X228" s="258" t="str">
        <f t="shared" si="14"/>
        <v/>
      </c>
      <c r="Y228" s="36" t="str">
        <f t="shared" si="10"/>
        <v/>
      </c>
      <c r="Z228" s="340" t="str">
        <f>IF(AND(C228&gt;0,D228&lt;&gt;"",S228=""),VLOOKUP(A228&amp;IF(H228="黑丝","黑","白")&amp;E228,经纬!A:M,13,FALSE)*(I228-AB228),"")</f>
        <v/>
      </c>
      <c r="AA228" s="340" t="str">
        <f>IF(AND(C228&gt;0,D228&lt;&gt;"",S228=""),VLOOKUP(A228&amp;IF(H228="黑丝","黑","白")&amp;E228,经纬!A:N,14,FALSE)*(I228-AB228),"")</f>
        <v/>
      </c>
    </row>
    <row r="229" spans="2:27">
      <c r="B229" s="24" t="str">
        <f>IF(A229="","",IF(LEFT(A229)&gt;"9",VLOOKUP(A229,yuanjidaimachichun,2,FALSE),VLOOKUP(A229,经纬!B:C,2,FALSE)))</f>
        <v/>
      </c>
      <c r="C229" s="8" t="str">
        <f t="shared" si="12"/>
        <v/>
      </c>
      <c r="D229" s="8" t="str">
        <f t="shared" si="13"/>
        <v/>
      </c>
      <c r="M229" s="24" t="str">
        <f t="array" ref="M229">LEFT(L229,MIN(FIND({"A","B","C"},MID(L229,2,LEN(L229))&amp;"ABC")))</f>
        <v/>
      </c>
      <c r="N229" s="24" t="str">
        <f t="array" ref="N229">SUBSTITUTE(L229,M229,"")</f>
        <v/>
      </c>
      <c r="W229" s="369" t="str">
        <f t="shared" si="11"/>
        <v/>
      </c>
      <c r="X229" s="258" t="str">
        <f t="shared" si="14"/>
        <v/>
      </c>
      <c r="Y229" s="36" t="str">
        <f t="shared" si="10"/>
        <v/>
      </c>
      <c r="Z229" s="340" t="str">
        <f>IF(AND(C229&gt;0,D229&lt;&gt;"",S229=""),VLOOKUP(A229&amp;IF(H229="黑丝","黑","白")&amp;E229,经纬!A:M,13,FALSE)*(I229-AB229),"")</f>
        <v/>
      </c>
      <c r="AA229" s="340" t="str">
        <f>IF(AND(C229&gt;0,D229&lt;&gt;"",S229=""),VLOOKUP(A229&amp;IF(H229="黑丝","黑","白")&amp;E229,经纬!A:N,14,FALSE)*(I229-AB229),"")</f>
        <v/>
      </c>
    </row>
    <row r="230" spans="2:27">
      <c r="B230" s="24" t="str">
        <f>IF(A230="","",IF(LEFT(A230)&gt;"9",VLOOKUP(A230,yuanjidaimachichun,2,FALSE),VLOOKUP(A230,经纬!B:C,2,FALSE)))</f>
        <v/>
      </c>
      <c r="C230" s="8" t="str">
        <f t="shared" si="12"/>
        <v/>
      </c>
      <c r="D230" s="8" t="str">
        <f t="shared" si="13"/>
        <v/>
      </c>
      <c r="M230" s="24" t="str">
        <f t="array" ref="M230">LEFT(L230,MIN(FIND({"A","B","C"},MID(L230,2,LEN(L230))&amp;"ABC")))</f>
        <v/>
      </c>
      <c r="N230" s="24" t="str">
        <f t="array" ref="N230">SUBSTITUTE(L230,M230,"")</f>
        <v/>
      </c>
      <c r="W230" s="369" t="str">
        <f t="shared" si="11"/>
        <v/>
      </c>
      <c r="X230" s="258" t="str">
        <f t="shared" si="14"/>
        <v/>
      </c>
      <c r="Y230" s="36" t="str">
        <f t="shared" si="10"/>
        <v/>
      </c>
      <c r="Z230" s="340" t="str">
        <f>IF(AND(C230&gt;0,D230&lt;&gt;"",S230=""),VLOOKUP(A230&amp;IF(H230="黑丝","黑","白")&amp;E230,经纬!A:M,13,FALSE)*(I230-AB230),"")</f>
        <v/>
      </c>
      <c r="AA230" s="340" t="str">
        <f>IF(AND(C230&gt;0,D230&lt;&gt;"",S230=""),VLOOKUP(A230&amp;IF(H230="黑丝","黑","白")&amp;E230,经纬!A:N,14,FALSE)*(I230-AB230),"")</f>
        <v/>
      </c>
    </row>
    <row r="231" spans="2:27">
      <c r="B231" s="24" t="str">
        <f>IF(A231="","",IF(LEFT(A231)&gt;"9",VLOOKUP(A231,yuanjidaimachichun,2,FALSE),VLOOKUP(A231,经纬!B:C,2,FALSE)))</f>
        <v/>
      </c>
      <c r="C231" s="8" t="str">
        <f t="shared" si="12"/>
        <v/>
      </c>
      <c r="D231" s="8" t="str">
        <f t="shared" si="13"/>
        <v/>
      </c>
      <c r="M231" s="24" t="str">
        <f t="array" ref="M231">LEFT(L231,MIN(FIND({"A","B","C"},MID(L231,2,LEN(L231))&amp;"ABC")))</f>
        <v/>
      </c>
      <c r="N231" s="24" t="str">
        <f t="array" ref="N231">SUBSTITUTE(L231,M231,"")</f>
        <v/>
      </c>
      <c r="W231" s="369" t="str">
        <f t="shared" si="11"/>
        <v/>
      </c>
      <c r="X231" s="258" t="str">
        <f t="shared" si="14"/>
        <v/>
      </c>
      <c r="Y231" s="36" t="str">
        <f t="shared" si="10"/>
        <v/>
      </c>
      <c r="Z231" s="340" t="str">
        <f>IF(AND(C231&gt;0,D231&lt;&gt;"",S231=""),VLOOKUP(A231&amp;IF(H231="黑丝","黑","白")&amp;E231,经纬!A:M,13,FALSE)*(I231-AB231),"")</f>
        <v/>
      </c>
      <c r="AA231" s="340" t="str">
        <f>IF(AND(C231&gt;0,D231&lt;&gt;"",S231=""),VLOOKUP(A231&amp;IF(H231="黑丝","黑","白")&amp;E231,经纬!A:N,14,FALSE)*(I231-AB231),"")</f>
        <v/>
      </c>
    </row>
    <row r="232" spans="2:27">
      <c r="B232" s="24" t="str">
        <f>IF(A232="","",IF(LEFT(A232)&gt;"9",VLOOKUP(A232,yuanjidaimachichun,2,FALSE),VLOOKUP(A232,经纬!B:C,2,FALSE)))</f>
        <v/>
      </c>
      <c r="C232" s="8" t="str">
        <f t="shared" si="12"/>
        <v/>
      </c>
      <c r="D232" s="8" t="str">
        <f t="shared" si="13"/>
        <v/>
      </c>
      <c r="M232" s="24" t="str">
        <f t="array" ref="M232">LEFT(L232,MIN(FIND({"A","B","C"},MID(L232,2,LEN(L232))&amp;"ABC")))</f>
        <v/>
      </c>
      <c r="N232" s="24" t="str">
        <f t="array" ref="N232">SUBSTITUTE(L232,M232,"")</f>
        <v/>
      </c>
      <c r="W232" s="369" t="str">
        <f t="shared" si="11"/>
        <v/>
      </c>
      <c r="X232" s="258" t="str">
        <f t="shared" si="14"/>
        <v/>
      </c>
      <c r="Y232" s="36" t="str">
        <f t="shared" si="10"/>
        <v/>
      </c>
      <c r="Z232" s="340" t="str">
        <f>IF(AND(C232&gt;0,D232&lt;&gt;"",S232=""),VLOOKUP(A232&amp;IF(H232="黑丝","黑","白")&amp;E232,经纬!A:M,13,FALSE)*(I232-AB232),"")</f>
        <v/>
      </c>
      <c r="AA232" s="340" t="str">
        <f>IF(AND(C232&gt;0,D232&lt;&gt;"",S232=""),VLOOKUP(A232&amp;IF(H232="黑丝","黑","白")&amp;E232,经纬!A:N,14,FALSE)*(I232-AB232),"")</f>
        <v/>
      </c>
    </row>
    <row r="233" spans="2:27">
      <c r="B233" s="24" t="str">
        <f>IF(A233="","",IF(LEFT(A233)&gt;"9",VLOOKUP(A233,yuanjidaimachichun,2,FALSE),VLOOKUP(A233,经纬!B:C,2,FALSE)))</f>
        <v/>
      </c>
      <c r="C233" s="8" t="str">
        <f t="shared" si="12"/>
        <v/>
      </c>
      <c r="D233" s="8" t="str">
        <f t="shared" si="13"/>
        <v/>
      </c>
      <c r="M233" s="24" t="str">
        <f t="array" ref="M233">LEFT(L233,MIN(FIND({"A","B","C"},MID(L233,2,LEN(L233))&amp;"ABC")))</f>
        <v/>
      </c>
      <c r="N233" s="24" t="str">
        <f t="array" ref="N233">SUBSTITUTE(L233,M233,"")</f>
        <v/>
      </c>
      <c r="W233" s="369" t="str">
        <f t="shared" si="11"/>
        <v/>
      </c>
      <c r="X233" s="258" t="str">
        <f t="shared" si="14"/>
        <v/>
      </c>
      <c r="Y233" s="36" t="str">
        <f t="shared" ref="Y233:Y296" si="15">IF(OR(B233="",D233&lt;&gt;""),"",IF(S233&lt;&gt;"","",I233/((1/((G233+2)/100*K233/1000))*0.9144)/IF(H233="黑丝",22,20)-AB233))</f>
        <v/>
      </c>
      <c r="Z233" s="340" t="str">
        <f>IF(AND(C233&gt;0,D233&lt;&gt;"",S233=""),VLOOKUP(A233&amp;IF(H233="黑丝","黑","白")&amp;E233,经纬!A:M,13,FALSE)*(I233-AB233),"")</f>
        <v/>
      </c>
      <c r="AA233" s="340" t="str">
        <f>IF(AND(C233&gt;0,D233&lt;&gt;"",S233=""),VLOOKUP(A233&amp;IF(H233="黑丝","黑","白")&amp;E233,经纬!A:N,14,FALSE)*(I233-AB233),"")</f>
        <v/>
      </c>
    </row>
    <row r="234" spans="2:27">
      <c r="B234" s="24" t="str">
        <f>IF(A234="","",IF(LEFT(A234)&gt;"9",VLOOKUP(A234,yuanjidaimachichun,2,FALSE),VLOOKUP(A234,经纬!B:C,2,FALSE)))</f>
        <v/>
      </c>
      <c r="C234" s="8" t="str">
        <f t="shared" si="12"/>
        <v/>
      </c>
      <c r="D234" s="8" t="str">
        <f t="shared" si="13"/>
        <v/>
      </c>
      <c r="M234" s="24" t="str">
        <f t="array" ref="M234">LEFT(L234,MIN(FIND({"A","B","C"},MID(L234,2,LEN(L234))&amp;"ABC")))</f>
        <v/>
      </c>
      <c r="N234" s="24" t="str">
        <f t="array" ref="N234">SUBSTITUTE(L234,M234,"")</f>
        <v/>
      </c>
      <c r="W234" s="369" t="str">
        <f t="shared" si="11"/>
        <v/>
      </c>
      <c r="X234" s="258" t="str">
        <f t="shared" si="14"/>
        <v/>
      </c>
      <c r="Y234" s="36" t="str">
        <f t="shared" si="15"/>
        <v/>
      </c>
      <c r="Z234" s="340" t="str">
        <f>IF(AND(C234&gt;0,D234&lt;&gt;"",S234=""),VLOOKUP(A234&amp;IF(H234="黑丝","黑","白")&amp;E234,经纬!A:M,13,FALSE)*(I234-AB234),"")</f>
        <v/>
      </c>
      <c r="AA234" s="340" t="str">
        <f>IF(AND(C234&gt;0,D234&lt;&gt;"",S234=""),VLOOKUP(A234&amp;IF(H234="黑丝","黑","白")&amp;E234,经纬!A:N,14,FALSE)*(I234-AB234),"")</f>
        <v/>
      </c>
    </row>
    <row r="235" spans="2:27">
      <c r="B235" s="24" t="str">
        <f>IF(A235="","",IF(LEFT(A235)&gt;"9",VLOOKUP(A235,yuanjidaimachichun,2,FALSE),VLOOKUP(A235,经纬!B:C,2,FALSE)))</f>
        <v/>
      </c>
      <c r="C235" s="8" t="str">
        <f t="shared" si="12"/>
        <v/>
      </c>
      <c r="D235" s="8" t="str">
        <f t="shared" si="13"/>
        <v/>
      </c>
      <c r="M235" s="24" t="str">
        <f t="array" ref="M235">LEFT(L235,MIN(FIND({"A","B","C"},MID(L235,2,LEN(L235))&amp;"ABC")))</f>
        <v/>
      </c>
      <c r="N235" s="24" t="str">
        <f t="array" ref="N235">SUBSTITUTE(L235,M235,"")</f>
        <v/>
      </c>
      <c r="W235" s="369" t="str">
        <f t="shared" si="11"/>
        <v/>
      </c>
      <c r="X235" s="258" t="str">
        <f t="shared" si="14"/>
        <v/>
      </c>
      <c r="Y235" s="36" t="str">
        <f t="shared" si="15"/>
        <v/>
      </c>
      <c r="Z235" s="340" t="str">
        <f>IF(AND(C235&gt;0,D235&lt;&gt;"",S235=""),VLOOKUP(A235&amp;IF(H235="黑丝","黑","白")&amp;E235,经纬!A:M,13,FALSE)*(I235-AB235),"")</f>
        <v/>
      </c>
      <c r="AA235" s="340" t="str">
        <f>IF(AND(C235&gt;0,D235&lt;&gt;"",S235=""),VLOOKUP(A235&amp;IF(H235="黑丝","黑","白")&amp;E235,经纬!A:N,14,FALSE)*(I235-AB235),"")</f>
        <v/>
      </c>
    </row>
    <row r="236" spans="2:27">
      <c r="B236" s="24" t="str">
        <f>IF(A236="","",IF(LEFT(A236)&gt;"9",VLOOKUP(A236,yuanjidaimachichun,2,FALSE),VLOOKUP(A236,经纬!B:C,2,FALSE)))</f>
        <v/>
      </c>
      <c r="C236" s="8" t="str">
        <f t="shared" si="12"/>
        <v/>
      </c>
      <c r="D236" s="8" t="str">
        <f t="shared" si="13"/>
        <v/>
      </c>
      <c r="M236" s="24" t="str">
        <f t="array" ref="M236">LEFT(L236,MIN(FIND({"A","B","C"},MID(L236,2,LEN(L236))&amp;"ABC")))</f>
        <v/>
      </c>
      <c r="N236" s="24" t="str">
        <f t="array" ref="N236">SUBSTITUTE(L236,M236,"")</f>
        <v/>
      </c>
      <c r="W236" s="369" t="str">
        <f t="shared" si="11"/>
        <v/>
      </c>
      <c r="X236" s="258" t="str">
        <f t="shared" si="14"/>
        <v/>
      </c>
      <c r="Y236" s="36" t="str">
        <f t="shared" si="15"/>
        <v/>
      </c>
      <c r="Z236" s="340" t="str">
        <f>IF(AND(C236&gt;0,D236&lt;&gt;"",S236=""),VLOOKUP(A236&amp;IF(H236="黑丝","黑","白")&amp;E236,经纬!A:M,13,FALSE)*(I236-AB236),"")</f>
        <v/>
      </c>
      <c r="AA236" s="340" t="str">
        <f>IF(AND(C236&gt;0,D236&lt;&gt;"",S236=""),VLOOKUP(A236&amp;IF(H236="黑丝","黑","白")&amp;E236,经纬!A:N,14,FALSE)*(I236-AB236),"")</f>
        <v/>
      </c>
    </row>
    <row r="237" spans="2:27">
      <c r="B237" s="24" t="str">
        <f>IF(A237="","",IF(LEFT(A237)&gt;"9",VLOOKUP(A237,yuanjidaimachichun,2,FALSE),VLOOKUP(A237,经纬!B:C,2,FALSE)))</f>
        <v/>
      </c>
      <c r="C237" s="8" t="str">
        <f t="shared" si="12"/>
        <v/>
      </c>
      <c r="D237" s="8" t="str">
        <f t="shared" si="13"/>
        <v/>
      </c>
      <c r="M237" s="24" t="str">
        <f t="array" ref="M237">LEFT(L237,MIN(FIND({"A","B","C"},MID(L237,2,LEN(L237))&amp;"ABC")))</f>
        <v/>
      </c>
      <c r="N237" s="24" t="str">
        <f t="array" ref="N237">SUBSTITUTE(L237,M237,"")</f>
        <v/>
      </c>
      <c r="W237" s="369" t="str">
        <f t="shared" si="11"/>
        <v/>
      </c>
      <c r="X237" s="258" t="str">
        <f t="shared" si="14"/>
        <v/>
      </c>
      <c r="Y237" s="36" t="str">
        <f t="shared" si="15"/>
        <v/>
      </c>
      <c r="Z237" s="340" t="str">
        <f>IF(AND(C237&gt;0,D237&lt;&gt;"",S237=""),VLOOKUP(A237&amp;IF(H237="黑丝","黑","白")&amp;E237,经纬!A:M,13,FALSE)*(I237-AB237),"")</f>
        <v/>
      </c>
      <c r="AA237" s="340" t="str">
        <f>IF(AND(C237&gt;0,D237&lt;&gt;"",S237=""),VLOOKUP(A237&amp;IF(H237="黑丝","黑","白")&amp;E237,经纬!A:N,14,FALSE)*(I237-AB237),"")</f>
        <v/>
      </c>
    </row>
    <row r="238" spans="2:27">
      <c r="B238" s="24" t="str">
        <f>IF(A238="","",IF(LEFT(A238)&gt;"9",VLOOKUP(A238,yuanjidaimachichun,2,FALSE),VLOOKUP(A238,经纬!B:C,2,FALSE)))</f>
        <v/>
      </c>
      <c r="C238" s="8" t="str">
        <f t="shared" si="12"/>
        <v/>
      </c>
      <c r="D238" s="8" t="str">
        <f t="shared" si="13"/>
        <v/>
      </c>
      <c r="M238" s="24" t="str">
        <f t="array" ref="M238">LEFT(L238,MIN(FIND({"A","B","C"},MID(L238,2,LEN(L238))&amp;"ABC")))</f>
        <v/>
      </c>
      <c r="N238" s="24" t="str">
        <f t="array" ref="N238">SUBSTITUTE(L238,M238,"")</f>
        <v/>
      </c>
      <c r="W238" s="369" t="str">
        <f t="shared" si="11"/>
        <v/>
      </c>
      <c r="X238" s="258" t="str">
        <f t="shared" si="14"/>
        <v/>
      </c>
      <c r="Y238" s="36" t="str">
        <f t="shared" si="15"/>
        <v/>
      </c>
      <c r="Z238" s="340" t="str">
        <f>IF(AND(C238&gt;0,D238&lt;&gt;"",S238=""),VLOOKUP(A238&amp;IF(H238="黑丝","黑","白")&amp;E238,经纬!A:M,13,FALSE)*(I238-AB238),"")</f>
        <v/>
      </c>
      <c r="AA238" s="340" t="str">
        <f>IF(AND(C238&gt;0,D238&lt;&gt;"",S238=""),VLOOKUP(A238&amp;IF(H238="黑丝","黑","白")&amp;E238,经纬!A:N,14,FALSE)*(I238-AB238),"")</f>
        <v/>
      </c>
    </row>
    <row r="239" spans="2:27">
      <c r="B239" s="24" t="str">
        <f>IF(A239="","",IF(LEFT(A239)&gt;"9",VLOOKUP(A239,yuanjidaimachichun,2,FALSE),VLOOKUP(A239,经纬!B:C,2,FALSE)))</f>
        <v/>
      </c>
      <c r="C239" s="8" t="str">
        <f t="shared" si="12"/>
        <v/>
      </c>
      <c r="D239" s="8" t="str">
        <f t="shared" si="13"/>
        <v/>
      </c>
      <c r="M239" s="24" t="str">
        <f t="array" ref="M239">LEFT(L239,MIN(FIND({"A","B","C"},MID(L239,2,LEN(L239))&amp;"ABC")))</f>
        <v/>
      </c>
      <c r="N239" s="24" t="str">
        <f t="array" ref="N239">SUBSTITUTE(L239,M239,"")</f>
        <v/>
      </c>
      <c r="W239" s="369" t="str">
        <f t="shared" si="11"/>
        <v/>
      </c>
      <c r="X239" s="258" t="str">
        <f t="shared" si="14"/>
        <v/>
      </c>
      <c r="Y239" s="36" t="str">
        <f t="shared" si="15"/>
        <v/>
      </c>
      <c r="Z239" s="340" t="str">
        <f>IF(AND(C239&gt;0,D239&lt;&gt;"",S239=""),VLOOKUP(A239&amp;IF(H239="黑丝","黑","白")&amp;E239,经纬!A:M,13,FALSE)*(I239-AB239),"")</f>
        <v/>
      </c>
      <c r="AA239" s="340" t="str">
        <f>IF(AND(C239&gt;0,D239&lt;&gt;"",S239=""),VLOOKUP(A239&amp;IF(H239="黑丝","黑","白")&amp;E239,经纬!A:N,14,FALSE)*(I239-AB239),"")</f>
        <v/>
      </c>
    </row>
    <row r="240" spans="2:27">
      <c r="B240" s="24" t="str">
        <f>IF(A240="","",IF(LEFT(A240)&gt;"9",VLOOKUP(A240,yuanjidaimachichun,2,FALSE),VLOOKUP(A240,经纬!B:C,2,FALSE)))</f>
        <v/>
      </c>
      <c r="C240" s="8" t="str">
        <f t="shared" si="12"/>
        <v/>
      </c>
      <c r="D240" s="8" t="str">
        <f t="shared" si="13"/>
        <v/>
      </c>
      <c r="M240" s="24" t="str">
        <f t="array" ref="M240">LEFT(L240,MIN(FIND({"A","B","C"},MID(L240,2,LEN(L240))&amp;"ABC")))</f>
        <v/>
      </c>
      <c r="N240" s="24" t="str">
        <f t="array" ref="N240">SUBSTITUTE(L240,M240,"")</f>
        <v/>
      </c>
      <c r="W240" s="369" t="str">
        <f t="shared" si="11"/>
        <v/>
      </c>
      <c r="X240" s="258" t="str">
        <f t="shared" si="14"/>
        <v/>
      </c>
      <c r="Y240" s="36" t="str">
        <f t="shared" si="15"/>
        <v/>
      </c>
      <c r="Z240" s="340" t="str">
        <f>IF(AND(C240&gt;0,D240&lt;&gt;"",S240=""),VLOOKUP(A240&amp;IF(H240="黑丝","黑","白")&amp;E240,经纬!A:M,13,FALSE)*(I240-AB240),"")</f>
        <v/>
      </c>
      <c r="AA240" s="340" t="str">
        <f>IF(AND(C240&gt;0,D240&lt;&gt;"",S240=""),VLOOKUP(A240&amp;IF(H240="黑丝","黑","白")&amp;E240,经纬!A:N,14,FALSE)*(I240-AB240),"")</f>
        <v/>
      </c>
    </row>
    <row r="241" spans="2:27">
      <c r="B241" s="24" t="str">
        <f>IF(A241="","",IF(LEFT(A241)&gt;"9",VLOOKUP(A241,yuanjidaimachichun,2,FALSE),VLOOKUP(A241,经纬!B:C,2,FALSE)))</f>
        <v/>
      </c>
      <c r="C241" s="8" t="str">
        <f t="shared" si="12"/>
        <v/>
      </c>
      <c r="D241" s="8" t="str">
        <f t="shared" si="13"/>
        <v/>
      </c>
      <c r="M241" s="24" t="str">
        <f t="array" ref="M241">LEFT(L241,MIN(FIND({"A","B","C"},MID(L241,2,LEN(L241))&amp;"ABC")))</f>
        <v/>
      </c>
      <c r="N241" s="24" t="str">
        <f t="array" ref="N241">SUBSTITUTE(L241,M241,"")</f>
        <v/>
      </c>
      <c r="W241" s="369" t="str">
        <f t="shared" si="11"/>
        <v/>
      </c>
      <c r="X241" s="258" t="str">
        <f t="shared" si="14"/>
        <v/>
      </c>
      <c r="Y241" s="36" t="str">
        <f t="shared" si="15"/>
        <v/>
      </c>
      <c r="Z241" s="340" t="str">
        <f>IF(AND(C241&gt;0,D241&lt;&gt;"",S241=""),VLOOKUP(A241&amp;IF(H241="黑丝","黑","白")&amp;E241,经纬!A:M,13,FALSE)*(I241-AB241),"")</f>
        <v/>
      </c>
      <c r="AA241" s="340" t="str">
        <f>IF(AND(C241&gt;0,D241&lt;&gt;"",S241=""),VLOOKUP(A241&amp;IF(H241="黑丝","黑","白")&amp;E241,经纬!A:N,14,FALSE)*(I241-AB241),"")</f>
        <v/>
      </c>
    </row>
    <row r="242" spans="2:27">
      <c r="B242" s="24" t="str">
        <f>IF(A242="","",IF(LEFT(A242)&gt;"9",VLOOKUP(A242,yuanjidaimachichun,2,FALSE),VLOOKUP(A242,经纬!B:C,2,FALSE)))</f>
        <v/>
      </c>
      <c r="C242" s="8" t="str">
        <f t="shared" si="12"/>
        <v/>
      </c>
      <c r="D242" s="8" t="str">
        <f t="shared" si="13"/>
        <v/>
      </c>
      <c r="M242" s="24" t="str">
        <f t="array" ref="M242">LEFT(L242,MIN(FIND({"A","B","C"},MID(L242,2,LEN(L242))&amp;"ABC")))</f>
        <v/>
      </c>
      <c r="N242" s="24" t="str">
        <f t="array" ref="N242">SUBSTITUTE(L242,M242,"")</f>
        <v/>
      </c>
      <c r="W242" s="369" t="str">
        <f t="shared" si="11"/>
        <v/>
      </c>
      <c r="X242" s="258" t="str">
        <f t="shared" si="14"/>
        <v/>
      </c>
      <c r="Y242" s="36" t="str">
        <f t="shared" si="15"/>
        <v/>
      </c>
      <c r="Z242" s="340" t="str">
        <f>IF(AND(C242&gt;0,D242&lt;&gt;"",S242=""),VLOOKUP(A242&amp;IF(H242="黑丝","黑","白")&amp;E242,经纬!A:M,13,FALSE)*(I242-AB242),"")</f>
        <v/>
      </c>
      <c r="AA242" s="340" t="str">
        <f>IF(AND(C242&gt;0,D242&lt;&gt;"",S242=""),VLOOKUP(A242&amp;IF(H242="黑丝","黑","白")&amp;E242,经纬!A:N,14,FALSE)*(I242-AB242),"")</f>
        <v/>
      </c>
    </row>
    <row r="243" spans="2:27">
      <c r="B243" s="24" t="str">
        <f>IF(A243="","",IF(LEFT(A243)&gt;"9",VLOOKUP(A243,yuanjidaimachichun,2,FALSE),VLOOKUP(A243,经纬!B:C,2,FALSE)))</f>
        <v/>
      </c>
      <c r="C243" s="8" t="str">
        <f t="shared" si="12"/>
        <v/>
      </c>
      <c r="D243" s="8" t="str">
        <f t="shared" si="13"/>
        <v/>
      </c>
      <c r="M243" s="24" t="str">
        <f t="array" ref="M243">LEFT(L243,MIN(FIND({"A","B","C"},MID(L243,2,LEN(L243))&amp;"ABC")))</f>
        <v/>
      </c>
      <c r="N243" s="24" t="str">
        <f t="array" ref="N243">SUBSTITUTE(L243,M243,"")</f>
        <v/>
      </c>
      <c r="W243" s="369" t="str">
        <f t="shared" si="11"/>
        <v/>
      </c>
      <c r="X243" s="258" t="str">
        <f t="shared" si="14"/>
        <v/>
      </c>
      <c r="Y243" s="36" t="str">
        <f t="shared" si="15"/>
        <v/>
      </c>
      <c r="Z243" s="340" t="str">
        <f>IF(AND(C243&gt;0,D243&lt;&gt;"",S243=""),VLOOKUP(A243&amp;IF(H243="黑丝","黑","白")&amp;E243,经纬!A:M,13,FALSE)*(I243-AB243),"")</f>
        <v/>
      </c>
      <c r="AA243" s="340" t="str">
        <f>IF(AND(C243&gt;0,D243&lt;&gt;"",S243=""),VLOOKUP(A243&amp;IF(H243="黑丝","黑","白")&amp;E243,经纬!A:N,14,FALSE)*(I243-AB243),"")</f>
        <v/>
      </c>
    </row>
    <row r="244" spans="2:27">
      <c r="B244" s="24" t="str">
        <f>IF(A244="","",IF(LEFT(A244)&gt;"9",VLOOKUP(A244,yuanjidaimachichun,2,FALSE),VLOOKUP(A244,经纬!B:C,2,FALSE)))</f>
        <v/>
      </c>
      <c r="C244" s="8" t="str">
        <f t="shared" si="12"/>
        <v/>
      </c>
      <c r="D244" s="8" t="str">
        <f t="shared" si="13"/>
        <v/>
      </c>
      <c r="M244" s="24" t="str">
        <f t="array" ref="M244">LEFT(L244,MIN(FIND({"A","B","C"},MID(L244,2,LEN(L244))&amp;"ABC")))</f>
        <v/>
      </c>
      <c r="N244" s="24" t="str">
        <f t="array" ref="N244">SUBSTITUTE(L244,M244,"")</f>
        <v/>
      </c>
      <c r="W244" s="369" t="str">
        <f t="shared" si="11"/>
        <v/>
      </c>
      <c r="X244" s="258" t="str">
        <f t="shared" si="14"/>
        <v/>
      </c>
      <c r="Y244" s="36" t="str">
        <f t="shared" si="15"/>
        <v/>
      </c>
      <c r="Z244" s="340" t="str">
        <f>IF(AND(C244&gt;0,D244&lt;&gt;"",S244=""),VLOOKUP(A244&amp;IF(H244="黑丝","黑","白")&amp;E244,经纬!A:M,13,FALSE)*(I244-AB244),"")</f>
        <v/>
      </c>
      <c r="AA244" s="340" t="str">
        <f>IF(AND(C244&gt;0,D244&lt;&gt;"",S244=""),VLOOKUP(A244&amp;IF(H244="黑丝","黑","白")&amp;E244,经纬!A:N,14,FALSE)*(I244-AB244),"")</f>
        <v/>
      </c>
    </row>
    <row r="245" spans="2:27">
      <c r="B245" s="24" t="str">
        <f>IF(A245="","",IF(LEFT(A245)&gt;"9",VLOOKUP(A245,yuanjidaimachichun,2,FALSE),VLOOKUP(A245,经纬!B:C,2,FALSE)))</f>
        <v/>
      </c>
      <c r="C245" s="8" t="str">
        <f t="shared" si="12"/>
        <v/>
      </c>
      <c r="D245" s="8" t="str">
        <f t="shared" si="13"/>
        <v/>
      </c>
      <c r="M245" s="24" t="str">
        <f t="array" ref="M245">LEFT(L245,MIN(FIND({"A","B","C"},MID(L245,2,LEN(L245))&amp;"ABC")))</f>
        <v/>
      </c>
      <c r="N245" s="24" t="str">
        <f t="array" ref="N245">SUBSTITUTE(L245,M245,"")</f>
        <v/>
      </c>
      <c r="W245" s="369" t="str">
        <f t="shared" si="11"/>
        <v/>
      </c>
      <c r="X245" s="258" t="str">
        <f t="shared" si="14"/>
        <v/>
      </c>
      <c r="Y245" s="36" t="str">
        <f t="shared" si="15"/>
        <v/>
      </c>
      <c r="Z245" s="340" t="str">
        <f>IF(AND(C245&gt;0,D245&lt;&gt;"",S245=""),VLOOKUP(A245&amp;IF(H245="黑丝","黑","白")&amp;E245,经纬!A:M,13,FALSE)*(I245-AB245),"")</f>
        <v/>
      </c>
      <c r="AA245" s="340" t="str">
        <f>IF(AND(C245&gt;0,D245&lt;&gt;"",S245=""),VLOOKUP(A245&amp;IF(H245="黑丝","黑","白")&amp;E245,经纬!A:N,14,FALSE)*(I245-AB245),"")</f>
        <v/>
      </c>
    </row>
    <row r="246" spans="2:27">
      <c r="B246" s="24" t="str">
        <f>IF(A246="","",IF(LEFT(A246)&gt;"9",VLOOKUP(A246,yuanjidaimachichun,2,FALSE),VLOOKUP(A246,经纬!B:C,2,FALSE)))</f>
        <v/>
      </c>
      <c r="C246" s="8" t="str">
        <f t="shared" si="12"/>
        <v/>
      </c>
      <c r="D246" s="8" t="str">
        <f t="shared" si="13"/>
        <v/>
      </c>
      <c r="M246" s="24" t="str">
        <f t="array" ref="M246">LEFT(L246,MIN(FIND({"A","B","C"},MID(L246,2,LEN(L246))&amp;"ABC")))</f>
        <v/>
      </c>
      <c r="N246" s="24" t="str">
        <f t="array" ref="N246">SUBSTITUTE(L246,M246,"")</f>
        <v/>
      </c>
      <c r="W246" s="369" t="str">
        <f t="shared" si="11"/>
        <v/>
      </c>
      <c r="X246" s="258" t="str">
        <f t="shared" si="14"/>
        <v/>
      </c>
      <c r="Y246" s="36" t="str">
        <f t="shared" si="15"/>
        <v/>
      </c>
      <c r="Z246" s="340" t="str">
        <f>IF(AND(C246&gt;0,D246&lt;&gt;"",S246=""),VLOOKUP(A246&amp;IF(H246="黑丝","黑","白")&amp;E246,经纬!A:M,13,FALSE)*(I246-AB246),"")</f>
        <v/>
      </c>
      <c r="AA246" s="340" t="str">
        <f>IF(AND(C246&gt;0,D246&lt;&gt;"",S246=""),VLOOKUP(A246&amp;IF(H246="黑丝","黑","白")&amp;E246,经纬!A:N,14,FALSE)*(I246-AB246),"")</f>
        <v/>
      </c>
    </row>
    <row r="247" spans="2:27">
      <c r="B247" s="24" t="str">
        <f>IF(A247="","",IF(LEFT(A247)&gt;"9",VLOOKUP(A247,yuanjidaimachichun,2,FALSE),VLOOKUP(A247,经纬!B:C,2,FALSE)))</f>
        <v/>
      </c>
      <c r="C247" s="8" t="str">
        <f t="shared" si="12"/>
        <v/>
      </c>
      <c r="D247" s="8" t="str">
        <f t="shared" si="13"/>
        <v/>
      </c>
      <c r="M247" s="24" t="str">
        <f t="array" ref="M247">LEFT(L247,MIN(FIND({"A","B","C"},MID(L247,2,LEN(L247))&amp;"ABC")))</f>
        <v/>
      </c>
      <c r="N247" s="24" t="str">
        <f t="array" ref="N247">SUBSTITUTE(L247,M247,"")</f>
        <v/>
      </c>
      <c r="W247" s="369" t="str">
        <f t="shared" si="11"/>
        <v/>
      </c>
      <c r="X247" s="258" t="str">
        <f t="shared" si="14"/>
        <v/>
      </c>
      <c r="Y247" s="36" t="str">
        <f t="shared" si="15"/>
        <v/>
      </c>
      <c r="Z247" s="340" t="str">
        <f>IF(AND(C247&gt;0,D247&lt;&gt;"",S247=""),VLOOKUP(A247&amp;IF(H247="黑丝","黑","白")&amp;E247,经纬!A:M,13,FALSE)*(I247-AB247),"")</f>
        <v/>
      </c>
      <c r="AA247" s="340" t="str">
        <f>IF(AND(C247&gt;0,D247&lt;&gt;"",S247=""),VLOOKUP(A247&amp;IF(H247="黑丝","黑","白")&amp;E247,经纬!A:N,14,FALSE)*(I247-AB247),"")</f>
        <v/>
      </c>
    </row>
    <row r="248" spans="2:27">
      <c r="B248" s="24" t="str">
        <f>IF(A248="","",IF(LEFT(A248)&gt;"9",VLOOKUP(A248,yuanjidaimachichun,2,FALSE),VLOOKUP(A248,经纬!B:C,2,FALSE)))</f>
        <v/>
      </c>
      <c r="C248" s="8" t="str">
        <f t="shared" si="12"/>
        <v/>
      </c>
      <c r="D248" s="8" t="str">
        <f t="shared" si="13"/>
        <v/>
      </c>
      <c r="M248" s="24" t="str">
        <f t="array" ref="M248">LEFT(L248,MIN(FIND({"A","B","C"},MID(L248,2,LEN(L248))&amp;"ABC")))</f>
        <v/>
      </c>
      <c r="N248" s="24" t="str">
        <f t="array" ref="N248">SUBSTITUTE(L248,M248,"")</f>
        <v/>
      </c>
      <c r="W248" s="369" t="str">
        <f t="shared" si="11"/>
        <v/>
      </c>
      <c r="X248" s="258" t="str">
        <f t="shared" si="14"/>
        <v/>
      </c>
      <c r="Y248" s="36" t="str">
        <f t="shared" si="15"/>
        <v/>
      </c>
      <c r="Z248" s="340" t="str">
        <f>IF(AND(C248&gt;0,D248&lt;&gt;"",S248=""),VLOOKUP(A248&amp;IF(H248="黑丝","黑","白")&amp;E248,经纬!A:M,13,FALSE)*(I248-AB248),"")</f>
        <v/>
      </c>
      <c r="AA248" s="340" t="str">
        <f>IF(AND(C248&gt;0,D248&lt;&gt;"",S248=""),VLOOKUP(A248&amp;IF(H248="黑丝","黑","白")&amp;E248,经纬!A:N,14,FALSE)*(I248-AB248),"")</f>
        <v/>
      </c>
    </row>
    <row r="249" spans="2:27">
      <c r="B249" s="24" t="str">
        <f>IF(A249="","",IF(LEFT(A249)&gt;"9",VLOOKUP(A249,yuanjidaimachichun,2,FALSE),VLOOKUP(A249,经纬!B:C,2,FALSE)))</f>
        <v/>
      </c>
      <c r="C249" s="8" t="str">
        <f t="shared" si="12"/>
        <v/>
      </c>
      <c r="D249" s="8" t="str">
        <f t="shared" si="13"/>
        <v/>
      </c>
      <c r="M249" s="24" t="str">
        <f t="array" ref="M249">LEFT(L249,MIN(FIND({"A","B","C"},MID(L249,2,LEN(L249))&amp;"ABC")))</f>
        <v/>
      </c>
      <c r="N249" s="24" t="str">
        <f t="array" ref="N249">SUBSTITUTE(L249,M249,"")</f>
        <v/>
      </c>
      <c r="W249" s="369" t="str">
        <f t="shared" si="11"/>
        <v/>
      </c>
      <c r="X249" s="258" t="str">
        <f t="shared" si="14"/>
        <v/>
      </c>
      <c r="Y249" s="36" t="str">
        <f t="shared" si="15"/>
        <v/>
      </c>
      <c r="Z249" s="340" t="str">
        <f>IF(AND(C249&gt;0,D249&lt;&gt;"",S249=""),VLOOKUP(A249&amp;IF(H249="黑丝","黑","白")&amp;E249,经纬!A:M,13,FALSE)*(I249-AB249),"")</f>
        <v/>
      </c>
      <c r="AA249" s="340" t="str">
        <f>IF(AND(C249&gt;0,D249&lt;&gt;"",S249=""),VLOOKUP(A249&amp;IF(H249="黑丝","黑","白")&amp;E249,经纬!A:N,14,FALSE)*(I249-AB249),"")</f>
        <v/>
      </c>
    </row>
    <row r="250" spans="2:27">
      <c r="B250" s="24" t="str">
        <f>IF(A250="","",IF(LEFT(A250)&gt;"9",VLOOKUP(A250,yuanjidaimachichun,2,FALSE),VLOOKUP(A250,经纬!B:C,2,FALSE)))</f>
        <v/>
      </c>
      <c r="C250" s="8" t="str">
        <f t="shared" si="12"/>
        <v/>
      </c>
      <c r="D250" s="8" t="str">
        <f t="shared" si="13"/>
        <v/>
      </c>
      <c r="M250" s="24" t="str">
        <f t="array" ref="M250">LEFT(L250,MIN(FIND({"A","B","C"},MID(L250,2,LEN(L250))&amp;"ABC")))</f>
        <v/>
      </c>
      <c r="N250" s="24" t="str">
        <f t="array" ref="N250">SUBSTITUTE(L250,M250,"")</f>
        <v/>
      </c>
      <c r="W250" s="369" t="str">
        <f t="shared" si="11"/>
        <v/>
      </c>
      <c r="X250" s="258" t="str">
        <f t="shared" si="14"/>
        <v/>
      </c>
      <c r="Y250" s="36" t="str">
        <f t="shared" si="15"/>
        <v/>
      </c>
      <c r="Z250" s="340" t="str">
        <f>IF(AND(C250&gt;0,D250&lt;&gt;"",S250=""),VLOOKUP(A250&amp;IF(H250="黑丝","黑","白")&amp;E250,经纬!A:M,13,FALSE)*(I250-AB250),"")</f>
        <v/>
      </c>
      <c r="AA250" s="340" t="str">
        <f>IF(AND(C250&gt;0,D250&lt;&gt;"",S250=""),VLOOKUP(A250&amp;IF(H250="黑丝","黑","白")&amp;E250,经纬!A:N,14,FALSE)*(I250-AB250),"")</f>
        <v/>
      </c>
    </row>
    <row r="251" spans="2:27">
      <c r="B251" s="24" t="str">
        <f>IF(A251="","",IF(LEFT(A251)&gt;"9",VLOOKUP(A251,yuanjidaimachichun,2,FALSE),VLOOKUP(A251,经纬!B:C,2,FALSE)))</f>
        <v/>
      </c>
      <c r="C251" s="8" t="str">
        <f t="shared" si="12"/>
        <v/>
      </c>
      <c r="D251" s="8" t="str">
        <f t="shared" si="13"/>
        <v/>
      </c>
      <c r="M251" s="24" t="str">
        <f t="array" ref="M251">LEFT(L251,MIN(FIND({"A","B","C"},MID(L251,2,LEN(L251))&amp;"ABC")))</f>
        <v/>
      </c>
      <c r="N251" s="24" t="str">
        <f t="array" ref="N251">SUBSTITUTE(L251,M251,"")</f>
        <v/>
      </c>
      <c r="W251" s="369" t="str">
        <f t="shared" si="11"/>
        <v/>
      </c>
      <c r="X251" s="258" t="str">
        <f t="shared" si="14"/>
        <v/>
      </c>
      <c r="Y251" s="36" t="str">
        <f t="shared" si="15"/>
        <v/>
      </c>
      <c r="Z251" s="340" t="str">
        <f>IF(AND(C251&gt;0,D251&lt;&gt;"",S251=""),VLOOKUP(A251&amp;IF(H251="黑丝","黑","白")&amp;E251,经纬!A:M,13,FALSE)*(I251-AB251),"")</f>
        <v/>
      </c>
      <c r="AA251" s="340" t="str">
        <f>IF(AND(C251&gt;0,D251&lt;&gt;"",S251=""),VLOOKUP(A251&amp;IF(H251="黑丝","黑","白")&amp;E251,经纬!A:N,14,FALSE)*(I251-AB251),"")</f>
        <v/>
      </c>
    </row>
    <row r="252" spans="2:27">
      <c r="B252" s="24" t="str">
        <f>IF(A252="","",IF(LEFT(A252)&gt;"9",VLOOKUP(A252,yuanjidaimachichun,2,FALSE),VLOOKUP(A252,经纬!B:C,2,FALSE)))</f>
        <v/>
      </c>
      <c r="C252" s="8" t="str">
        <f t="shared" si="12"/>
        <v/>
      </c>
      <c r="D252" s="8" t="str">
        <f t="shared" si="13"/>
        <v/>
      </c>
      <c r="M252" s="24" t="str">
        <f t="array" ref="M252">LEFT(L252,MIN(FIND({"A","B","C"},MID(L252,2,LEN(L252))&amp;"ABC")))</f>
        <v/>
      </c>
      <c r="N252" s="24" t="str">
        <f t="array" ref="N252">SUBSTITUTE(L252,M252,"")</f>
        <v/>
      </c>
      <c r="W252" s="369" t="str">
        <f t="shared" si="11"/>
        <v/>
      </c>
      <c r="X252" s="258" t="str">
        <f t="shared" si="14"/>
        <v/>
      </c>
      <c r="Y252" s="36" t="str">
        <f t="shared" si="15"/>
        <v/>
      </c>
      <c r="Z252" s="340" t="str">
        <f>IF(AND(C252&gt;0,D252&lt;&gt;"",S252=""),VLOOKUP(A252&amp;IF(H252="黑丝","黑","白")&amp;E252,经纬!A:M,13,FALSE)*(I252-AB252),"")</f>
        <v/>
      </c>
      <c r="AA252" s="340" t="str">
        <f>IF(AND(C252&gt;0,D252&lt;&gt;"",S252=""),VLOOKUP(A252&amp;IF(H252="黑丝","黑","白")&amp;E252,经纬!A:N,14,FALSE)*(I252-AB252),"")</f>
        <v/>
      </c>
    </row>
    <row r="253" spans="2:27">
      <c r="B253" s="24" t="str">
        <f>IF(A253="","",IF(LEFT(A253)&gt;"9",VLOOKUP(A253,yuanjidaimachichun,2,FALSE),VLOOKUP(A253,经纬!B:C,2,FALSE)))</f>
        <v/>
      </c>
      <c r="C253" s="8" t="str">
        <f t="shared" si="12"/>
        <v/>
      </c>
      <c r="D253" s="8" t="str">
        <f t="shared" si="13"/>
        <v/>
      </c>
      <c r="M253" s="24" t="str">
        <f t="array" ref="M253">LEFT(L253,MIN(FIND({"A","B","C"},MID(L253,2,LEN(L253))&amp;"ABC")))</f>
        <v/>
      </c>
      <c r="N253" s="24" t="str">
        <f t="array" ref="N253">SUBSTITUTE(L253,M253,"")</f>
        <v/>
      </c>
      <c r="W253" s="369" t="str">
        <f t="shared" si="11"/>
        <v/>
      </c>
      <c r="X253" s="258" t="str">
        <f t="shared" si="14"/>
        <v/>
      </c>
      <c r="Y253" s="36" t="str">
        <f t="shared" si="15"/>
        <v/>
      </c>
      <c r="Z253" s="340" t="str">
        <f>IF(AND(C253&gt;0,D253&lt;&gt;"",S253=""),VLOOKUP(A253&amp;IF(H253="黑丝","黑","白")&amp;E253,经纬!A:M,13,FALSE)*(I253-AB253),"")</f>
        <v/>
      </c>
      <c r="AA253" s="340" t="str">
        <f>IF(AND(C253&gt;0,D253&lt;&gt;"",S253=""),VLOOKUP(A253&amp;IF(H253="黑丝","黑","白")&amp;E253,经纬!A:N,14,FALSE)*(I253-AB253),"")</f>
        <v/>
      </c>
    </row>
    <row r="254" spans="2:27">
      <c r="B254" s="24" t="str">
        <f>IF(A254="","",IF(LEFT(A254)&gt;"9",VLOOKUP(A254,yuanjidaimachichun,2,FALSE),VLOOKUP(A254,经纬!B:C,2,FALSE)))</f>
        <v/>
      </c>
      <c r="C254" s="8" t="str">
        <f t="shared" si="12"/>
        <v/>
      </c>
      <c r="D254" s="8" t="str">
        <f t="shared" si="13"/>
        <v/>
      </c>
      <c r="M254" s="24" t="str">
        <f t="array" ref="M254">LEFT(L254,MIN(FIND({"A","B","C"},MID(L254,2,LEN(L254))&amp;"ABC")))</f>
        <v/>
      </c>
      <c r="N254" s="24" t="str">
        <f t="array" ref="N254">SUBSTITUTE(L254,M254,"")</f>
        <v/>
      </c>
      <c r="W254" s="369" t="str">
        <f t="shared" si="11"/>
        <v/>
      </c>
      <c r="X254" s="258" t="str">
        <f t="shared" si="14"/>
        <v/>
      </c>
      <c r="Y254" s="36" t="str">
        <f t="shared" si="15"/>
        <v/>
      </c>
      <c r="Z254" s="340" t="str">
        <f>IF(AND(C254&gt;0,D254&lt;&gt;"",S254=""),VLOOKUP(A254&amp;IF(H254="黑丝","黑","白")&amp;E254,经纬!A:M,13,FALSE)*(I254-AB254),"")</f>
        <v/>
      </c>
      <c r="AA254" s="340" t="str">
        <f>IF(AND(C254&gt;0,D254&lt;&gt;"",S254=""),VLOOKUP(A254&amp;IF(H254="黑丝","黑","白")&amp;E254,经纬!A:N,14,FALSE)*(I254-AB254),"")</f>
        <v/>
      </c>
    </row>
    <row r="255" spans="2:27">
      <c r="B255" s="24" t="str">
        <f>IF(A255="","",IF(LEFT(A255)&gt;"9",VLOOKUP(A255,yuanjidaimachichun,2,FALSE),VLOOKUP(A255,经纬!B:C,2,FALSE)))</f>
        <v/>
      </c>
      <c r="C255" s="8" t="str">
        <f t="shared" si="12"/>
        <v/>
      </c>
      <c r="D255" s="8" t="str">
        <f t="shared" si="13"/>
        <v/>
      </c>
      <c r="M255" s="24" t="str">
        <f t="array" ref="M255">LEFT(L255,MIN(FIND({"A","B","C"},MID(L255,2,LEN(L255))&amp;"ABC")))</f>
        <v/>
      </c>
      <c r="N255" s="24" t="str">
        <f t="array" ref="N255">SUBSTITUTE(L255,M255,"")</f>
        <v/>
      </c>
      <c r="W255" s="369" t="str">
        <f t="shared" si="11"/>
        <v/>
      </c>
      <c r="X255" s="258" t="str">
        <f t="shared" si="14"/>
        <v/>
      </c>
      <c r="Y255" s="36" t="str">
        <f t="shared" si="15"/>
        <v/>
      </c>
      <c r="Z255" s="340" t="str">
        <f>IF(AND(C255&gt;0,D255&lt;&gt;"",S255=""),VLOOKUP(A255&amp;IF(H255="黑丝","黑","白")&amp;E255,经纬!A:M,13,FALSE)*(I255-AB255),"")</f>
        <v/>
      </c>
      <c r="AA255" s="340" t="str">
        <f>IF(AND(C255&gt;0,D255&lt;&gt;"",S255=""),VLOOKUP(A255&amp;IF(H255="黑丝","黑","白")&amp;E255,经纬!A:N,14,FALSE)*(I255-AB255),"")</f>
        <v/>
      </c>
    </row>
    <row r="256" spans="2:27">
      <c r="B256" s="24" t="str">
        <f>IF(A256="","",IF(LEFT(A256)&gt;"9",VLOOKUP(A256,yuanjidaimachichun,2,FALSE),VLOOKUP(A256,经纬!B:C,2,FALSE)))</f>
        <v/>
      </c>
      <c r="C256" s="8" t="str">
        <f t="shared" si="12"/>
        <v/>
      </c>
      <c r="D256" s="8" t="str">
        <f t="shared" si="13"/>
        <v/>
      </c>
      <c r="M256" s="24" t="str">
        <f t="array" ref="M256">LEFT(L256,MIN(FIND({"A","B","C"},MID(L256,2,LEN(L256))&amp;"ABC")))</f>
        <v/>
      </c>
      <c r="N256" s="24" t="str">
        <f t="array" ref="N256">SUBSTITUTE(L256,M256,"")</f>
        <v/>
      </c>
      <c r="W256" s="369" t="str">
        <f t="shared" si="11"/>
        <v/>
      </c>
      <c r="X256" s="258" t="str">
        <f t="shared" si="14"/>
        <v/>
      </c>
      <c r="Y256" s="36" t="str">
        <f t="shared" si="15"/>
        <v/>
      </c>
      <c r="Z256" s="340" t="str">
        <f>IF(AND(C256&gt;0,D256&lt;&gt;"",S256=""),VLOOKUP(A256&amp;IF(H256="黑丝","黑","白")&amp;E256,经纬!A:M,13,FALSE)*(I256-AB256),"")</f>
        <v/>
      </c>
      <c r="AA256" s="340" t="str">
        <f>IF(AND(C256&gt;0,D256&lt;&gt;"",S256=""),VLOOKUP(A256&amp;IF(H256="黑丝","黑","白")&amp;E256,经纬!A:N,14,FALSE)*(I256-AB256),"")</f>
        <v/>
      </c>
    </row>
    <row r="257" spans="2:27">
      <c r="B257" s="24" t="str">
        <f>IF(A257="","",IF(LEFT(A257)&gt;"9",VLOOKUP(A257,yuanjidaimachichun,2,FALSE),VLOOKUP(A257,经纬!B:C,2,FALSE)))</f>
        <v/>
      </c>
      <c r="C257" s="8" t="str">
        <f t="shared" si="12"/>
        <v/>
      </c>
      <c r="D257" s="8" t="str">
        <f t="shared" si="13"/>
        <v/>
      </c>
      <c r="M257" s="24" t="str">
        <f t="array" ref="M257">LEFT(L257,MIN(FIND({"A","B","C"},MID(L257,2,LEN(L257))&amp;"ABC")))</f>
        <v/>
      </c>
      <c r="N257" s="24" t="str">
        <f t="array" ref="N257">SUBSTITUTE(L257,M257,"")</f>
        <v/>
      </c>
      <c r="W257" s="369" t="str">
        <f t="shared" si="11"/>
        <v/>
      </c>
      <c r="X257" s="258" t="str">
        <f t="shared" si="14"/>
        <v/>
      </c>
      <c r="Y257" s="36" t="str">
        <f t="shared" si="15"/>
        <v/>
      </c>
      <c r="Z257" s="340" t="str">
        <f>IF(AND(C257&gt;0,D257&lt;&gt;"",S257=""),VLOOKUP(A257&amp;IF(H257="黑丝","黑","白")&amp;E257,经纬!A:M,13,FALSE)*(I257-AB257),"")</f>
        <v/>
      </c>
      <c r="AA257" s="340" t="str">
        <f>IF(AND(C257&gt;0,D257&lt;&gt;"",S257=""),VLOOKUP(A257&amp;IF(H257="黑丝","黑","白")&amp;E257,经纬!A:N,14,FALSE)*(I257-AB257),"")</f>
        <v/>
      </c>
    </row>
    <row r="258" spans="2:27">
      <c r="B258" s="24" t="str">
        <f>IF(A258="","",IF(LEFT(A258)&gt;"9",VLOOKUP(A258,yuanjidaimachichun,2,FALSE),VLOOKUP(A258,经纬!B:C,2,FALSE)))</f>
        <v/>
      </c>
      <c r="C258" s="8" t="str">
        <f t="shared" si="12"/>
        <v/>
      </c>
      <c r="D258" s="8" t="str">
        <f t="shared" si="13"/>
        <v/>
      </c>
      <c r="M258" s="24" t="str">
        <f t="array" ref="M258">LEFT(L258,MIN(FIND({"A","B","C"},MID(L258,2,LEN(L258))&amp;"ABC")))</f>
        <v/>
      </c>
      <c r="N258" s="24" t="str">
        <f t="array" ref="N258">SUBSTITUTE(L258,M258,"")</f>
        <v/>
      </c>
      <c r="W258" s="369" t="str">
        <f t="shared" si="11"/>
        <v/>
      </c>
      <c r="X258" s="258" t="str">
        <f t="shared" si="14"/>
        <v/>
      </c>
      <c r="Y258" s="36" t="str">
        <f t="shared" si="15"/>
        <v/>
      </c>
      <c r="Z258" s="340" t="str">
        <f>IF(AND(C258&gt;0,D258&lt;&gt;"",S258=""),VLOOKUP(A258&amp;IF(H258="黑丝","黑","白")&amp;E258,经纬!A:M,13,FALSE)*(I258-AB258),"")</f>
        <v/>
      </c>
      <c r="AA258" s="340" t="str">
        <f>IF(AND(C258&gt;0,D258&lt;&gt;"",S258=""),VLOOKUP(A258&amp;IF(H258="黑丝","黑","白")&amp;E258,经纬!A:N,14,FALSE)*(I258-AB258),"")</f>
        <v/>
      </c>
    </row>
    <row r="259" spans="2:27">
      <c r="B259" s="24" t="str">
        <f>IF(A259="","",IF(LEFT(A259)&gt;"9",VLOOKUP(A259,yuanjidaimachichun,2,FALSE),VLOOKUP(A259,经纬!B:C,2,FALSE)))</f>
        <v/>
      </c>
      <c r="C259" s="8" t="str">
        <f t="shared" si="12"/>
        <v/>
      </c>
      <c r="D259" s="8" t="str">
        <f t="shared" si="13"/>
        <v/>
      </c>
      <c r="M259" s="24" t="str">
        <f t="array" ref="M259">LEFT(L259,MIN(FIND({"A","B","C"},MID(L259,2,LEN(L259))&amp;"ABC")))</f>
        <v/>
      </c>
      <c r="N259" s="24" t="str">
        <f t="array" ref="N259">SUBSTITUTE(L259,M259,"")</f>
        <v/>
      </c>
      <c r="W259" s="369" t="str">
        <f t="shared" ref="W259:W322" si="16">IF(A259="","",IF(S259&lt;&gt;"","",IF(D259&lt;&gt;"",(I259-AB259),Y259*IF(H259="黑丝",22,20)*0.9144/((K259/1000)*((G259+2)/100)))))</f>
        <v/>
      </c>
      <c r="X259" s="258" t="str">
        <f t="shared" si="14"/>
        <v/>
      </c>
      <c r="Y259" s="36" t="str">
        <f t="shared" si="15"/>
        <v/>
      </c>
      <c r="Z259" s="340" t="str">
        <f>IF(AND(C259&gt;0,D259&lt;&gt;"",S259=""),VLOOKUP(A259&amp;IF(H259="黑丝","黑","白")&amp;E259,经纬!A:M,13,FALSE)*(I259-AB259),"")</f>
        <v/>
      </c>
      <c r="AA259" s="340" t="str">
        <f>IF(AND(C259&gt;0,D259&lt;&gt;"",S259=""),VLOOKUP(A259&amp;IF(H259="黑丝","黑","白")&amp;E259,经纬!A:N,14,FALSE)*(I259-AB259),"")</f>
        <v/>
      </c>
    </row>
    <row r="260" spans="2:27">
      <c r="B260" s="24" t="str">
        <f>IF(A260="","",IF(LEFT(A260)&gt;"9",VLOOKUP(A260,yuanjidaimachichun,2,FALSE),VLOOKUP(A260,经纬!B:C,2,FALSE)))</f>
        <v/>
      </c>
      <c r="C260" s="8" t="str">
        <f t="shared" si="12"/>
        <v/>
      </c>
      <c r="D260" s="8" t="str">
        <f t="shared" si="13"/>
        <v/>
      </c>
      <c r="M260" s="24" t="str">
        <f t="array" ref="M260">LEFT(L260,MIN(FIND({"A","B","C"},MID(L260,2,LEN(L260))&amp;"ABC")))</f>
        <v/>
      </c>
      <c r="N260" s="24" t="str">
        <f t="array" ref="N260">SUBSTITUTE(L260,M260,"")</f>
        <v/>
      </c>
      <c r="W260" s="369" t="str">
        <f t="shared" si="16"/>
        <v/>
      </c>
      <c r="X260" s="258" t="str">
        <f t="shared" si="14"/>
        <v/>
      </c>
      <c r="Y260" s="36" t="str">
        <f t="shared" si="15"/>
        <v/>
      </c>
      <c r="Z260" s="340" t="str">
        <f>IF(AND(C260&gt;0,D260&lt;&gt;"",S260=""),VLOOKUP(A260&amp;IF(H260="黑丝","黑","白")&amp;E260,经纬!A:M,13,FALSE)*(I260-AB260),"")</f>
        <v/>
      </c>
      <c r="AA260" s="340" t="str">
        <f>IF(AND(C260&gt;0,D260&lt;&gt;"",S260=""),VLOOKUP(A260&amp;IF(H260="黑丝","黑","白")&amp;E260,经纬!A:N,14,FALSE)*(I260-AB260),"")</f>
        <v/>
      </c>
    </row>
    <row r="261" spans="2:27">
      <c r="B261" s="24" t="str">
        <f>IF(A261="","",IF(LEFT(A261)&gt;"9",VLOOKUP(A261,yuanjidaimachichun,2,FALSE),VLOOKUP(A261,经纬!B:C,2,FALSE)))</f>
        <v/>
      </c>
      <c r="C261" s="8" t="str">
        <f t="shared" si="12"/>
        <v/>
      </c>
      <c r="D261" s="8" t="str">
        <f t="shared" si="13"/>
        <v/>
      </c>
      <c r="M261" s="24" t="str">
        <f t="array" ref="M261">LEFT(L261,MIN(FIND({"A","B","C"},MID(L261,2,LEN(L261))&amp;"ABC")))</f>
        <v/>
      </c>
      <c r="N261" s="24" t="str">
        <f t="array" ref="N261">SUBSTITUTE(L261,M261,"")</f>
        <v/>
      </c>
      <c r="W261" s="369" t="str">
        <f t="shared" si="16"/>
        <v/>
      </c>
      <c r="X261" s="258" t="str">
        <f t="shared" si="14"/>
        <v/>
      </c>
      <c r="Y261" s="36" t="str">
        <f t="shared" si="15"/>
        <v/>
      </c>
      <c r="Z261" s="340" t="str">
        <f>IF(AND(C261&gt;0,D261&lt;&gt;"",S261=""),VLOOKUP(A261&amp;IF(H261="黑丝","黑","白")&amp;E261,经纬!A:M,13,FALSE)*(I261-AB261),"")</f>
        <v/>
      </c>
      <c r="AA261" s="340" t="str">
        <f>IF(AND(C261&gt;0,D261&lt;&gt;"",S261=""),VLOOKUP(A261&amp;IF(H261="黑丝","黑","白")&amp;E261,经纬!A:N,14,FALSE)*(I261-AB261),"")</f>
        <v/>
      </c>
    </row>
    <row r="262" spans="2:27">
      <c r="B262" s="24" t="str">
        <f>IF(A262="","",IF(LEFT(A262)&gt;"9",VLOOKUP(A262,yuanjidaimachichun,2,FALSE),VLOOKUP(A262,经纬!B:C,2,FALSE)))</f>
        <v/>
      </c>
      <c r="C262" s="8" t="str">
        <f t="shared" si="12"/>
        <v/>
      </c>
      <c r="D262" s="8" t="str">
        <f t="shared" si="13"/>
        <v/>
      </c>
      <c r="M262" s="24" t="str">
        <f t="array" ref="M262">LEFT(L262,MIN(FIND({"A","B","C"},MID(L262,2,LEN(L262))&amp;"ABC")))</f>
        <v/>
      </c>
      <c r="N262" s="24" t="str">
        <f t="array" ref="N262">SUBSTITUTE(L262,M262,"")</f>
        <v/>
      </c>
      <c r="W262" s="369" t="str">
        <f t="shared" si="16"/>
        <v/>
      </c>
      <c r="X262" s="258" t="str">
        <f t="shared" si="14"/>
        <v/>
      </c>
      <c r="Y262" s="36" t="str">
        <f t="shared" si="15"/>
        <v/>
      </c>
      <c r="Z262" s="340" t="str">
        <f>IF(AND(C262&gt;0,D262&lt;&gt;"",S262=""),VLOOKUP(A262&amp;IF(H262="黑丝","黑","白")&amp;E262,经纬!A:M,13,FALSE)*(I262-AB262),"")</f>
        <v/>
      </c>
      <c r="AA262" s="340" t="str">
        <f>IF(AND(C262&gt;0,D262&lt;&gt;"",S262=""),VLOOKUP(A262&amp;IF(H262="黑丝","黑","白")&amp;E262,经纬!A:N,14,FALSE)*(I262-AB262),"")</f>
        <v/>
      </c>
    </row>
    <row r="263" spans="2:27">
      <c r="B263" s="24" t="str">
        <f>IF(A263="","",IF(LEFT(A263)&gt;"9",VLOOKUP(A263,yuanjidaimachichun,2,FALSE),VLOOKUP(A263,经纬!B:C,2,FALSE)))</f>
        <v/>
      </c>
      <c r="C263" s="8" t="str">
        <f t="shared" si="12"/>
        <v/>
      </c>
      <c r="D263" s="8" t="str">
        <f t="shared" si="13"/>
        <v/>
      </c>
      <c r="M263" s="24" t="str">
        <f t="array" ref="M263">LEFT(L263,MIN(FIND({"A","B","C"},MID(L263,2,LEN(L263))&amp;"ABC")))</f>
        <v/>
      </c>
      <c r="N263" s="24" t="str">
        <f t="array" ref="N263">SUBSTITUTE(L263,M263,"")</f>
        <v/>
      </c>
      <c r="W263" s="369" t="str">
        <f t="shared" si="16"/>
        <v/>
      </c>
      <c r="X263" s="258" t="str">
        <f t="shared" si="14"/>
        <v/>
      </c>
      <c r="Y263" s="36" t="str">
        <f t="shared" si="15"/>
        <v/>
      </c>
      <c r="Z263" s="340" t="str">
        <f>IF(AND(C263&gt;0,D263&lt;&gt;"",S263=""),VLOOKUP(A263&amp;IF(H263="黑丝","黑","白")&amp;E263,经纬!A:M,13,FALSE)*(I263-AB263),"")</f>
        <v/>
      </c>
      <c r="AA263" s="340" t="str">
        <f>IF(AND(C263&gt;0,D263&lt;&gt;"",S263=""),VLOOKUP(A263&amp;IF(H263="黑丝","黑","白")&amp;E263,经纬!A:N,14,FALSE)*(I263-AB263),"")</f>
        <v/>
      </c>
    </row>
    <row r="264" spans="2:27">
      <c r="B264" s="24" t="str">
        <f>IF(A264="","",IF(LEFT(A264)&gt;"9",VLOOKUP(A264,yuanjidaimachichun,2,FALSE),VLOOKUP(A264,经纬!B:C,2,FALSE)))</f>
        <v/>
      </c>
      <c r="C264" s="8" t="str">
        <f t="shared" si="12"/>
        <v/>
      </c>
      <c r="D264" s="8" t="str">
        <f t="shared" si="13"/>
        <v/>
      </c>
      <c r="M264" s="24" t="str">
        <f t="array" ref="M264">LEFT(L264,MIN(FIND({"A","B","C"},MID(L264,2,LEN(L264))&amp;"ABC")))</f>
        <v/>
      </c>
      <c r="N264" s="24" t="str">
        <f t="array" ref="N264">SUBSTITUTE(L264,M264,"")</f>
        <v/>
      </c>
      <c r="W264" s="369" t="str">
        <f t="shared" si="16"/>
        <v/>
      </c>
      <c r="X264" s="258" t="str">
        <f t="shared" si="14"/>
        <v/>
      </c>
      <c r="Y264" s="36" t="str">
        <f t="shared" si="15"/>
        <v/>
      </c>
      <c r="Z264" s="340" t="str">
        <f>IF(AND(C264&gt;0,D264&lt;&gt;"",S264=""),VLOOKUP(A264&amp;IF(H264="黑丝","黑","白")&amp;E264,经纬!A:M,13,FALSE)*(I264-AB264),"")</f>
        <v/>
      </c>
      <c r="AA264" s="340" t="str">
        <f>IF(AND(C264&gt;0,D264&lt;&gt;"",S264=""),VLOOKUP(A264&amp;IF(H264="黑丝","黑","白")&amp;E264,经纬!A:N,14,FALSE)*(I264-AB264),"")</f>
        <v/>
      </c>
    </row>
    <row r="265" spans="2:27">
      <c r="B265" s="24" t="str">
        <f>IF(A265="","",IF(LEFT(A265)&gt;"9",VLOOKUP(A265,yuanjidaimachichun,2,FALSE),VLOOKUP(A265,经纬!B:C,2,FALSE)))</f>
        <v/>
      </c>
      <c r="C265" s="8" t="str">
        <f t="shared" si="12"/>
        <v/>
      </c>
      <c r="D265" s="8" t="str">
        <f t="shared" si="13"/>
        <v/>
      </c>
      <c r="M265" s="24" t="str">
        <f t="array" ref="M265">LEFT(L265,MIN(FIND({"A","B","C"},MID(L265,2,LEN(L265))&amp;"ABC")))</f>
        <v/>
      </c>
      <c r="N265" s="24" t="str">
        <f t="array" ref="N265">SUBSTITUTE(L265,M265,"")</f>
        <v/>
      </c>
      <c r="W265" s="369" t="str">
        <f t="shared" si="16"/>
        <v/>
      </c>
      <c r="X265" s="258" t="str">
        <f t="shared" si="14"/>
        <v/>
      </c>
      <c r="Y265" s="36" t="str">
        <f t="shared" si="15"/>
        <v/>
      </c>
      <c r="Z265" s="340" t="str">
        <f>IF(AND(C265&gt;0,D265&lt;&gt;"",S265=""),VLOOKUP(A265&amp;IF(H265="黑丝","黑","白")&amp;E265,经纬!A:M,13,FALSE)*(I265-AB265),"")</f>
        <v/>
      </c>
      <c r="AA265" s="340" t="str">
        <f>IF(AND(C265&gt;0,D265&lt;&gt;"",S265=""),VLOOKUP(A265&amp;IF(H265="黑丝","黑","白")&amp;E265,经纬!A:N,14,FALSE)*(I265-AB265),"")</f>
        <v/>
      </c>
    </row>
    <row r="266" spans="2:27">
      <c r="B266" s="24" t="str">
        <f>IF(A266="","",IF(LEFT(A266)&gt;"9",VLOOKUP(A266,yuanjidaimachichun,2,FALSE),VLOOKUP(A266,经纬!B:C,2,FALSE)))</f>
        <v/>
      </c>
      <c r="C266" s="8" t="str">
        <f t="shared" si="12"/>
        <v/>
      </c>
      <c r="D266" s="8" t="str">
        <f t="shared" si="13"/>
        <v/>
      </c>
      <c r="M266" s="24" t="str">
        <f t="array" ref="M266">LEFT(L266,MIN(FIND({"A","B","C"},MID(L266,2,LEN(L266))&amp;"ABC")))</f>
        <v/>
      </c>
      <c r="N266" s="24" t="str">
        <f t="array" ref="N266">SUBSTITUTE(L266,M266,"")</f>
        <v/>
      </c>
      <c r="W266" s="369" t="str">
        <f t="shared" si="16"/>
        <v/>
      </c>
      <c r="X266" s="258" t="str">
        <f t="shared" si="14"/>
        <v/>
      </c>
      <c r="Y266" s="36" t="str">
        <f t="shared" si="15"/>
        <v/>
      </c>
      <c r="Z266" s="340" t="str">
        <f>IF(AND(C266&gt;0,D266&lt;&gt;"",S266=""),VLOOKUP(A266&amp;IF(H266="黑丝","黑","白")&amp;E266,经纬!A:M,13,FALSE)*(I266-AB266),"")</f>
        <v/>
      </c>
      <c r="AA266" s="340" t="str">
        <f>IF(AND(C266&gt;0,D266&lt;&gt;"",S266=""),VLOOKUP(A266&amp;IF(H266="黑丝","黑","白")&amp;E266,经纬!A:N,14,FALSE)*(I266-AB266),"")</f>
        <v/>
      </c>
    </row>
    <row r="267" spans="2:27">
      <c r="B267" s="24" t="str">
        <f>IF(A267="","",IF(LEFT(A267)&gt;"9",VLOOKUP(A267,yuanjidaimachichun,2,FALSE),VLOOKUP(A267,经纬!B:C,2,FALSE)))</f>
        <v/>
      </c>
      <c r="C267" s="8" t="str">
        <f t="shared" si="12"/>
        <v/>
      </c>
      <c r="D267" s="8" t="str">
        <f t="shared" si="13"/>
        <v/>
      </c>
      <c r="M267" s="24" t="str">
        <f t="array" ref="M267">LEFT(L267,MIN(FIND({"A","B","C"},MID(L267,2,LEN(L267))&amp;"ABC")))</f>
        <v/>
      </c>
      <c r="N267" s="24" t="str">
        <f t="array" ref="N267">SUBSTITUTE(L267,M267,"")</f>
        <v/>
      </c>
      <c r="W267" s="369" t="str">
        <f t="shared" si="16"/>
        <v/>
      </c>
      <c r="X267" s="258" t="str">
        <f t="shared" si="14"/>
        <v/>
      </c>
      <c r="Y267" s="36" t="str">
        <f t="shared" si="15"/>
        <v/>
      </c>
      <c r="Z267" s="340" t="str">
        <f>IF(AND(C267&gt;0,D267&lt;&gt;"",S267=""),VLOOKUP(A267&amp;IF(H267="黑丝","黑","白")&amp;E267,经纬!A:M,13,FALSE)*(I267-AB267),"")</f>
        <v/>
      </c>
      <c r="AA267" s="340" t="str">
        <f>IF(AND(C267&gt;0,D267&lt;&gt;"",S267=""),VLOOKUP(A267&amp;IF(H267="黑丝","黑","白")&amp;E267,经纬!A:N,14,FALSE)*(I267-AB267),"")</f>
        <v/>
      </c>
    </row>
    <row r="268" spans="2:27">
      <c r="B268" s="24" t="str">
        <f>IF(A268="","",IF(LEFT(A268)&gt;"9",VLOOKUP(A268,yuanjidaimachichun,2,FALSE),VLOOKUP(A268,经纬!B:C,2,FALSE)))</f>
        <v/>
      </c>
      <c r="C268" s="8" t="str">
        <f t="shared" si="12"/>
        <v/>
      </c>
      <c r="D268" s="8" t="str">
        <f t="shared" si="13"/>
        <v/>
      </c>
      <c r="M268" s="24" t="str">
        <f t="array" ref="M268">LEFT(L268,MIN(FIND({"A","B","C"},MID(L268,2,LEN(L268))&amp;"ABC")))</f>
        <v/>
      </c>
      <c r="N268" s="24" t="str">
        <f t="array" ref="N268">SUBSTITUTE(L268,M268,"")</f>
        <v/>
      </c>
      <c r="W268" s="369" t="str">
        <f t="shared" si="16"/>
        <v/>
      </c>
      <c r="X268" s="258" t="str">
        <f t="shared" si="14"/>
        <v/>
      </c>
      <c r="Y268" s="36" t="str">
        <f t="shared" si="15"/>
        <v/>
      </c>
      <c r="Z268" s="340" t="str">
        <f>IF(AND(C268&gt;0,D268&lt;&gt;"",S268=""),VLOOKUP(A268&amp;IF(H268="黑丝","黑","白")&amp;E268,经纬!A:M,13,FALSE)*(I268-AB268),"")</f>
        <v/>
      </c>
      <c r="AA268" s="340" t="str">
        <f>IF(AND(C268&gt;0,D268&lt;&gt;"",S268=""),VLOOKUP(A268&amp;IF(H268="黑丝","黑","白")&amp;E268,经纬!A:N,14,FALSE)*(I268-AB268),"")</f>
        <v/>
      </c>
    </row>
    <row r="269" spans="2:27">
      <c r="B269" s="24" t="str">
        <f>IF(A269="","",IF(LEFT(A269)&gt;"9",VLOOKUP(A269,yuanjidaimachichun,2,FALSE),VLOOKUP(A269,经纬!B:C,2,FALSE)))</f>
        <v/>
      </c>
      <c r="C269" s="8" t="str">
        <f t="shared" si="12"/>
        <v/>
      </c>
      <c r="D269" s="8" t="str">
        <f t="shared" si="13"/>
        <v/>
      </c>
      <c r="M269" s="24" t="str">
        <f t="array" ref="M269">LEFT(L269,MIN(FIND({"A","B","C"},MID(L269,2,LEN(L269))&amp;"ABC")))</f>
        <v/>
      </c>
      <c r="N269" s="24" t="str">
        <f t="array" ref="N269">SUBSTITUTE(L269,M269,"")</f>
        <v/>
      </c>
      <c r="W269" s="369" t="str">
        <f t="shared" si="16"/>
        <v/>
      </c>
      <c r="X269" s="258" t="str">
        <f t="shared" si="14"/>
        <v/>
      </c>
      <c r="Y269" s="36" t="str">
        <f t="shared" si="15"/>
        <v/>
      </c>
      <c r="Z269" s="340" t="str">
        <f>IF(AND(C269&gt;0,D269&lt;&gt;"",S269=""),VLOOKUP(A269&amp;IF(H269="黑丝","黑","白")&amp;E269,经纬!A:M,13,FALSE)*(I269-AB269),"")</f>
        <v/>
      </c>
      <c r="AA269" s="340" t="str">
        <f>IF(AND(C269&gt;0,D269&lt;&gt;"",S269=""),VLOOKUP(A269&amp;IF(H269="黑丝","黑","白")&amp;E269,经纬!A:N,14,FALSE)*(I269-AB269),"")</f>
        <v/>
      </c>
    </row>
    <row r="270" spans="2:27">
      <c r="B270" s="24" t="str">
        <f>IF(A270="","",IF(LEFT(A270)&gt;"9",VLOOKUP(A270,yuanjidaimachichun,2,FALSE),VLOOKUP(A270,经纬!B:C,2,FALSE)))</f>
        <v/>
      </c>
      <c r="C270" s="8" t="str">
        <f t="shared" si="12"/>
        <v/>
      </c>
      <c r="D270" s="8" t="str">
        <f t="shared" si="13"/>
        <v/>
      </c>
      <c r="M270" s="24" t="str">
        <f t="array" ref="M270">LEFT(L270,MIN(FIND({"A","B","C"},MID(L270,2,LEN(L270))&amp;"ABC")))</f>
        <v/>
      </c>
      <c r="N270" s="24" t="str">
        <f t="array" ref="N270">SUBSTITUTE(L270,M270,"")</f>
        <v/>
      </c>
      <c r="W270" s="369" t="str">
        <f t="shared" si="16"/>
        <v/>
      </c>
      <c r="X270" s="258" t="str">
        <f t="shared" si="14"/>
        <v/>
      </c>
      <c r="Y270" s="36" t="str">
        <f t="shared" si="15"/>
        <v/>
      </c>
      <c r="Z270" s="340" t="str">
        <f>IF(AND(C270&gt;0,D270&lt;&gt;"",S270=""),VLOOKUP(A270&amp;IF(H270="黑丝","黑","白")&amp;E270,经纬!A:M,13,FALSE)*(I270-AB270),"")</f>
        <v/>
      </c>
      <c r="AA270" s="340" t="str">
        <f>IF(AND(C270&gt;0,D270&lt;&gt;"",S270=""),VLOOKUP(A270&amp;IF(H270="黑丝","黑","白")&amp;E270,经纬!A:N,14,FALSE)*(I270-AB270),"")</f>
        <v/>
      </c>
    </row>
    <row r="271" spans="2:27">
      <c r="B271" s="24" t="str">
        <f>IF(A271="","",IF(LEFT(A271)&gt;"9",VLOOKUP(A271,yuanjidaimachichun,2,FALSE),VLOOKUP(A271,经纬!B:C,2,FALSE)))</f>
        <v/>
      </c>
      <c r="C271" s="8" t="str">
        <f t="shared" si="12"/>
        <v/>
      </c>
      <c r="D271" s="8" t="str">
        <f t="shared" si="13"/>
        <v/>
      </c>
      <c r="M271" s="24" t="str">
        <f t="array" ref="M271">LEFT(L271,MIN(FIND({"A","B","C"},MID(L271,2,LEN(L271))&amp;"ABC")))</f>
        <v/>
      </c>
      <c r="N271" s="24" t="str">
        <f t="array" ref="N271">SUBSTITUTE(L271,M271,"")</f>
        <v/>
      </c>
      <c r="W271" s="369" t="str">
        <f t="shared" si="16"/>
        <v/>
      </c>
      <c r="X271" s="258" t="str">
        <f t="shared" si="14"/>
        <v/>
      </c>
      <c r="Y271" s="36" t="str">
        <f t="shared" si="15"/>
        <v/>
      </c>
      <c r="Z271" s="340" t="str">
        <f>IF(AND(C271&gt;0,D271&lt;&gt;"",S271=""),VLOOKUP(A271&amp;IF(H271="黑丝","黑","白")&amp;E271,经纬!A:M,13,FALSE)*(I271-AB271),"")</f>
        <v/>
      </c>
      <c r="AA271" s="340" t="str">
        <f>IF(AND(C271&gt;0,D271&lt;&gt;"",S271=""),VLOOKUP(A271&amp;IF(H271="黑丝","黑","白")&amp;E271,经纬!A:N,14,FALSE)*(I271-AB271),"")</f>
        <v/>
      </c>
    </row>
    <row r="272" spans="2:27">
      <c r="B272" s="24" t="str">
        <f>IF(A272="","",IF(LEFT(A272)&gt;"9",VLOOKUP(A272,yuanjidaimachichun,2,FALSE),VLOOKUP(A272,经纬!B:C,2,FALSE)))</f>
        <v/>
      </c>
      <c r="C272" s="8" t="str">
        <f t="shared" si="12"/>
        <v/>
      </c>
      <c r="D272" s="8" t="str">
        <f t="shared" si="13"/>
        <v/>
      </c>
      <c r="M272" s="24" t="str">
        <f t="array" ref="M272">LEFT(L272,MIN(FIND({"A","B","C"},MID(L272,2,LEN(L272))&amp;"ABC")))</f>
        <v/>
      </c>
      <c r="N272" s="24" t="str">
        <f t="array" ref="N272">SUBSTITUTE(L272,M272,"")</f>
        <v/>
      </c>
      <c r="W272" s="369" t="str">
        <f t="shared" si="16"/>
        <v/>
      </c>
      <c r="X272" s="258" t="str">
        <f t="shared" si="14"/>
        <v/>
      </c>
      <c r="Y272" s="36" t="str">
        <f t="shared" si="15"/>
        <v/>
      </c>
      <c r="Z272" s="340" t="str">
        <f>IF(AND(C272&gt;0,D272&lt;&gt;"",S272=""),VLOOKUP(A272&amp;IF(H272="黑丝","黑","白")&amp;E272,经纬!A:M,13,FALSE)*(I272-AB272),"")</f>
        <v/>
      </c>
      <c r="AA272" s="340" t="str">
        <f>IF(AND(C272&gt;0,D272&lt;&gt;"",S272=""),VLOOKUP(A272&amp;IF(H272="黑丝","黑","白")&amp;E272,经纬!A:N,14,FALSE)*(I272-AB272),"")</f>
        <v/>
      </c>
    </row>
    <row r="273" spans="2:27">
      <c r="B273" s="24" t="str">
        <f>IF(A273="","",IF(LEFT(A273)&gt;"9",VLOOKUP(A273,yuanjidaimachichun,2,FALSE),VLOOKUP(A273,经纬!B:C,2,FALSE)))</f>
        <v/>
      </c>
      <c r="C273" s="8" t="str">
        <f t="shared" ref="C273:C336" si="17">IF(A273="","",IF(ISERROR(FIND("*",B273)),MID(B273,2,FIND("-",B273)-2),LEFT(B273,FIND("*",B273)-1)))</f>
        <v/>
      </c>
      <c r="D273" s="8" t="str">
        <f t="shared" ref="D273:D336" si="18">IF(ISERROR(FIND("*",B273)),"",RIGHT(B273,LEN(B273)-FIND("*",B273)))</f>
        <v/>
      </c>
      <c r="M273" s="24" t="str">
        <f t="array" ref="M273">LEFT(L273,MIN(FIND({"A","B","C"},MID(L273,2,LEN(L273))&amp;"ABC")))</f>
        <v/>
      </c>
      <c r="N273" s="24" t="str">
        <f t="array" ref="N273">SUBSTITUTE(L273,M273,"")</f>
        <v/>
      </c>
      <c r="W273" s="369" t="str">
        <f t="shared" si="16"/>
        <v/>
      </c>
      <c r="X273" s="258" t="str">
        <f t="shared" si="14"/>
        <v/>
      </c>
      <c r="Y273" s="36" t="str">
        <f t="shared" si="15"/>
        <v/>
      </c>
      <c r="Z273" s="340" t="str">
        <f>IF(AND(C273&gt;0,D273&lt;&gt;"",S273=""),VLOOKUP(A273&amp;IF(H273="黑丝","黑","白")&amp;E273,经纬!A:M,13,FALSE)*(I273-AB273),"")</f>
        <v/>
      </c>
      <c r="AA273" s="340" t="str">
        <f>IF(AND(C273&gt;0,D273&lt;&gt;"",S273=""),VLOOKUP(A273&amp;IF(H273="黑丝","黑","白")&amp;E273,经纬!A:N,14,FALSE)*(I273-AB273),"")</f>
        <v/>
      </c>
    </row>
    <row r="274" spans="2:27">
      <c r="B274" s="24" t="str">
        <f>IF(A274="","",IF(LEFT(A274)&gt;"9",VLOOKUP(A274,yuanjidaimachichun,2,FALSE),VLOOKUP(A274,经纬!B:C,2,FALSE)))</f>
        <v/>
      </c>
      <c r="C274" s="8" t="str">
        <f t="shared" si="17"/>
        <v/>
      </c>
      <c r="D274" s="8" t="str">
        <f t="shared" si="18"/>
        <v/>
      </c>
      <c r="M274" s="24" t="str">
        <f t="array" ref="M274">LEFT(L274,MIN(FIND({"A","B","C"},MID(L274,2,LEN(L274))&amp;"ABC")))</f>
        <v/>
      </c>
      <c r="N274" s="24" t="str">
        <f t="array" ref="N274">SUBSTITUTE(L274,M274,"")</f>
        <v/>
      </c>
      <c r="W274" s="369" t="str">
        <f t="shared" si="16"/>
        <v/>
      </c>
      <c r="X274" s="258" t="str">
        <f t="shared" si="14"/>
        <v/>
      </c>
      <c r="Y274" s="36" t="str">
        <f t="shared" si="15"/>
        <v/>
      </c>
      <c r="Z274" s="340" t="str">
        <f>IF(AND(C274&gt;0,D274&lt;&gt;"",S274=""),VLOOKUP(A274&amp;IF(H274="黑丝","黑","白")&amp;E274,经纬!A:M,13,FALSE)*(I274-AB274),"")</f>
        <v/>
      </c>
      <c r="AA274" s="340" t="str">
        <f>IF(AND(C274&gt;0,D274&lt;&gt;"",S274=""),VLOOKUP(A274&amp;IF(H274="黑丝","黑","白")&amp;E274,经纬!A:N,14,FALSE)*(I274-AB274),"")</f>
        <v/>
      </c>
    </row>
    <row r="275" spans="2:27">
      <c r="B275" s="24" t="str">
        <f>IF(A275="","",IF(LEFT(A275)&gt;"9",VLOOKUP(A275,yuanjidaimachichun,2,FALSE),VLOOKUP(A275,经纬!B:C,2,FALSE)))</f>
        <v/>
      </c>
      <c r="C275" s="8" t="str">
        <f t="shared" si="17"/>
        <v/>
      </c>
      <c r="D275" s="8" t="str">
        <f t="shared" si="18"/>
        <v/>
      </c>
      <c r="M275" s="24" t="str">
        <f t="array" ref="M275">LEFT(L275,MIN(FIND({"A","B","C"},MID(L275,2,LEN(L275))&amp;"ABC")))</f>
        <v/>
      </c>
      <c r="N275" s="24" t="str">
        <f t="array" ref="N275">SUBSTITUTE(L275,M275,"")</f>
        <v/>
      </c>
      <c r="W275" s="369" t="str">
        <f t="shared" si="16"/>
        <v/>
      </c>
      <c r="X275" s="258" t="str">
        <f t="shared" si="14"/>
        <v/>
      </c>
      <c r="Y275" s="36" t="str">
        <f t="shared" si="15"/>
        <v/>
      </c>
      <c r="Z275" s="340" t="str">
        <f>IF(AND(C275&gt;0,D275&lt;&gt;"",S275=""),VLOOKUP(A275&amp;IF(H275="黑丝","黑","白")&amp;E275,经纬!A:M,13,FALSE)*(I275-AB275),"")</f>
        <v/>
      </c>
      <c r="AA275" s="340" t="str">
        <f>IF(AND(C275&gt;0,D275&lt;&gt;"",S275=""),VLOOKUP(A275&amp;IF(H275="黑丝","黑","白")&amp;E275,经纬!A:N,14,FALSE)*(I275-AB275),"")</f>
        <v/>
      </c>
    </row>
    <row r="276" spans="2:27">
      <c r="B276" s="24" t="str">
        <f>IF(A276="","",IF(LEFT(A276)&gt;"9",VLOOKUP(A276,yuanjidaimachichun,2,FALSE),VLOOKUP(A276,经纬!B:C,2,FALSE)))</f>
        <v/>
      </c>
      <c r="C276" s="8" t="str">
        <f t="shared" si="17"/>
        <v/>
      </c>
      <c r="D276" s="8" t="str">
        <f t="shared" si="18"/>
        <v/>
      </c>
      <c r="M276" s="24" t="str">
        <f t="array" ref="M276">LEFT(L276,MIN(FIND({"A","B","C"},MID(L276,2,LEN(L276))&amp;"ABC")))</f>
        <v/>
      </c>
      <c r="N276" s="24" t="str">
        <f t="array" ref="N276">SUBSTITUTE(L276,M276,"")</f>
        <v/>
      </c>
      <c r="W276" s="369" t="str">
        <f t="shared" si="16"/>
        <v/>
      </c>
      <c r="X276" s="258" t="str">
        <f t="shared" si="14"/>
        <v/>
      </c>
      <c r="Y276" s="36" t="str">
        <f t="shared" si="15"/>
        <v/>
      </c>
      <c r="Z276" s="340" t="str">
        <f>IF(AND(C276&gt;0,D276&lt;&gt;"",S276=""),VLOOKUP(A276&amp;IF(H276="黑丝","黑","白")&amp;E276,经纬!A:M,13,FALSE)*(I276-AB276),"")</f>
        <v/>
      </c>
      <c r="AA276" s="340" t="str">
        <f>IF(AND(C276&gt;0,D276&lt;&gt;"",S276=""),VLOOKUP(A276&amp;IF(H276="黑丝","黑","白")&amp;E276,经纬!A:N,14,FALSE)*(I276-AB276),"")</f>
        <v/>
      </c>
    </row>
    <row r="277" spans="2:27">
      <c r="B277" s="24" t="str">
        <f>IF(A277="","",IF(LEFT(A277)&gt;"9",VLOOKUP(A277,yuanjidaimachichun,2,FALSE),VLOOKUP(A277,经纬!B:C,2,FALSE)))</f>
        <v/>
      </c>
      <c r="C277" s="8" t="str">
        <f t="shared" si="17"/>
        <v/>
      </c>
      <c r="D277" s="8" t="str">
        <f t="shared" si="18"/>
        <v/>
      </c>
      <c r="M277" s="24" t="str">
        <f t="array" ref="M277">LEFT(L277,MIN(FIND({"A","B","C"},MID(L277,2,LEN(L277))&amp;"ABC")))</f>
        <v/>
      </c>
      <c r="N277" s="24" t="str">
        <f t="array" ref="N277">SUBSTITUTE(L277,M277,"")</f>
        <v/>
      </c>
      <c r="W277" s="369" t="str">
        <f t="shared" si="16"/>
        <v/>
      </c>
      <c r="X277" s="258" t="str">
        <f t="shared" si="14"/>
        <v/>
      </c>
      <c r="Y277" s="36" t="str">
        <f t="shared" si="15"/>
        <v/>
      </c>
      <c r="Z277" s="340" t="str">
        <f>IF(AND(C277&gt;0,D277&lt;&gt;"",S277=""),VLOOKUP(A277&amp;IF(H277="黑丝","黑","白")&amp;E277,经纬!A:M,13,FALSE)*(I277-AB277),"")</f>
        <v/>
      </c>
      <c r="AA277" s="340" t="str">
        <f>IF(AND(C277&gt;0,D277&lt;&gt;"",S277=""),VLOOKUP(A277&amp;IF(H277="黑丝","黑","白")&amp;E277,经纬!A:N,14,FALSE)*(I277-AB277),"")</f>
        <v/>
      </c>
    </row>
    <row r="278" spans="2:27">
      <c r="B278" s="24" t="str">
        <f>IF(A278="","",IF(LEFT(A278)&gt;"9",VLOOKUP(A278,yuanjidaimachichun,2,FALSE),VLOOKUP(A278,经纬!B:C,2,FALSE)))</f>
        <v/>
      </c>
      <c r="C278" s="8" t="str">
        <f t="shared" si="17"/>
        <v/>
      </c>
      <c r="D278" s="8" t="str">
        <f t="shared" si="18"/>
        <v/>
      </c>
      <c r="M278" s="24" t="str">
        <f t="array" ref="M278">LEFT(L278,MIN(FIND({"A","B","C"},MID(L278,2,LEN(L278))&amp;"ABC")))</f>
        <v/>
      </c>
      <c r="N278" s="24" t="str">
        <f t="array" ref="N278">SUBSTITUTE(L278,M278,"")</f>
        <v/>
      </c>
      <c r="W278" s="369" t="str">
        <f t="shared" si="16"/>
        <v/>
      </c>
      <c r="X278" s="258" t="str">
        <f t="shared" si="14"/>
        <v/>
      </c>
      <c r="Y278" s="36" t="str">
        <f t="shared" si="15"/>
        <v/>
      </c>
      <c r="Z278" s="340" t="str">
        <f>IF(AND(C278&gt;0,D278&lt;&gt;"",S278=""),VLOOKUP(A278&amp;IF(H278="黑丝","黑","白")&amp;E278,经纬!A:M,13,FALSE)*(I278-AB278),"")</f>
        <v/>
      </c>
      <c r="AA278" s="340" t="str">
        <f>IF(AND(C278&gt;0,D278&lt;&gt;"",S278=""),VLOOKUP(A278&amp;IF(H278="黑丝","黑","白")&amp;E278,经纬!A:N,14,FALSE)*(I278-AB278),"")</f>
        <v/>
      </c>
    </row>
    <row r="279" spans="2:27">
      <c r="B279" s="24" t="str">
        <f>IF(A279="","",IF(LEFT(A279)&gt;"9",VLOOKUP(A279,yuanjidaimachichun,2,FALSE),VLOOKUP(A279,经纬!B:C,2,FALSE)))</f>
        <v/>
      </c>
      <c r="C279" s="8" t="str">
        <f t="shared" si="17"/>
        <v/>
      </c>
      <c r="D279" s="8" t="str">
        <f t="shared" si="18"/>
        <v/>
      </c>
      <c r="M279" s="24" t="str">
        <f t="array" ref="M279">LEFT(L279,MIN(FIND({"A","B","C"},MID(L279,2,LEN(L279))&amp;"ABC")))</f>
        <v/>
      </c>
      <c r="N279" s="24" t="str">
        <f t="array" ref="N279">SUBSTITUTE(L279,M279,"")</f>
        <v/>
      </c>
      <c r="W279" s="369" t="str">
        <f t="shared" si="16"/>
        <v/>
      </c>
      <c r="X279" s="258" t="str">
        <f t="shared" si="14"/>
        <v/>
      </c>
      <c r="Y279" s="36" t="str">
        <f t="shared" si="15"/>
        <v/>
      </c>
      <c r="Z279" s="340" t="str">
        <f>IF(AND(C279&gt;0,D279&lt;&gt;"",S279=""),VLOOKUP(A279&amp;IF(H279="黑丝","黑","白")&amp;E279,经纬!A:M,13,FALSE)*(I279-AB279),"")</f>
        <v/>
      </c>
      <c r="AA279" s="340" t="str">
        <f>IF(AND(C279&gt;0,D279&lt;&gt;"",S279=""),VLOOKUP(A279&amp;IF(H279="黑丝","黑","白")&amp;E279,经纬!A:N,14,FALSE)*(I279-AB279),"")</f>
        <v/>
      </c>
    </row>
    <row r="280" spans="2:27">
      <c r="B280" s="24" t="str">
        <f>IF(A280="","",IF(LEFT(A280)&gt;"9",VLOOKUP(A280,yuanjidaimachichun,2,FALSE),VLOOKUP(A280,经纬!B:C,2,FALSE)))</f>
        <v/>
      </c>
      <c r="C280" s="8" t="str">
        <f t="shared" si="17"/>
        <v/>
      </c>
      <c r="D280" s="8" t="str">
        <f t="shared" si="18"/>
        <v/>
      </c>
      <c r="M280" s="24" t="str">
        <f t="array" ref="M280">LEFT(L280,MIN(FIND({"A","B","C"},MID(L280,2,LEN(L280))&amp;"ABC")))</f>
        <v/>
      </c>
      <c r="N280" s="24" t="str">
        <f t="array" ref="N280">SUBSTITUTE(L280,M280,"")</f>
        <v/>
      </c>
      <c r="W280" s="369" t="str">
        <f t="shared" si="16"/>
        <v/>
      </c>
      <c r="X280" s="258" t="str">
        <f t="shared" si="14"/>
        <v/>
      </c>
      <c r="Y280" s="36" t="str">
        <f t="shared" si="15"/>
        <v/>
      </c>
      <c r="Z280" s="340" t="str">
        <f>IF(AND(C280&gt;0,D280&lt;&gt;"",S280=""),VLOOKUP(A280&amp;IF(H280="黑丝","黑","白")&amp;E280,经纬!A:M,13,FALSE)*(I280-AB280),"")</f>
        <v/>
      </c>
      <c r="AA280" s="340" t="str">
        <f>IF(AND(C280&gt;0,D280&lt;&gt;"",S280=""),VLOOKUP(A280&amp;IF(H280="黑丝","黑","白")&amp;E280,经纬!A:N,14,FALSE)*(I280-AB280),"")</f>
        <v/>
      </c>
    </row>
    <row r="281" spans="2:27">
      <c r="B281" s="24" t="str">
        <f>IF(A281="","",IF(LEFT(A281)&gt;"9",VLOOKUP(A281,yuanjidaimachichun,2,FALSE),VLOOKUP(A281,经纬!B:C,2,FALSE)))</f>
        <v/>
      </c>
      <c r="C281" s="8" t="str">
        <f t="shared" si="17"/>
        <v/>
      </c>
      <c r="D281" s="8" t="str">
        <f t="shared" si="18"/>
        <v/>
      </c>
      <c r="M281" s="24" t="str">
        <f t="array" ref="M281">LEFT(L281,MIN(FIND({"A","B","C"},MID(L281,2,LEN(L281))&amp;"ABC")))</f>
        <v/>
      </c>
      <c r="N281" s="24" t="str">
        <f t="array" ref="N281">SUBSTITUTE(L281,M281,"")</f>
        <v/>
      </c>
      <c r="W281" s="369" t="str">
        <f t="shared" si="16"/>
        <v/>
      </c>
      <c r="X281" s="258" t="str">
        <f t="shared" si="14"/>
        <v/>
      </c>
      <c r="Y281" s="36" t="str">
        <f t="shared" si="15"/>
        <v/>
      </c>
      <c r="Z281" s="340" t="str">
        <f>IF(AND(C281&gt;0,D281&lt;&gt;"",S281=""),VLOOKUP(A281&amp;IF(H281="黑丝","黑","白")&amp;E281,经纬!A:M,13,FALSE)*(I281-AB281),"")</f>
        <v/>
      </c>
      <c r="AA281" s="340" t="str">
        <f>IF(AND(C281&gt;0,D281&lt;&gt;"",S281=""),VLOOKUP(A281&amp;IF(H281="黑丝","黑","白")&amp;E281,经纬!A:N,14,FALSE)*(I281-AB281),"")</f>
        <v/>
      </c>
    </row>
    <row r="282" spans="2:27">
      <c r="B282" s="24" t="str">
        <f>IF(A282="","",IF(LEFT(A282)&gt;"9",VLOOKUP(A282,yuanjidaimachichun,2,FALSE),VLOOKUP(A282,经纬!B:C,2,FALSE)))</f>
        <v/>
      </c>
      <c r="C282" s="8" t="str">
        <f t="shared" si="17"/>
        <v/>
      </c>
      <c r="D282" s="8" t="str">
        <f t="shared" si="18"/>
        <v/>
      </c>
      <c r="M282" s="24" t="str">
        <f t="array" ref="M282">LEFT(L282,MIN(FIND({"A","B","C"},MID(L282,2,LEN(L282))&amp;"ABC")))</f>
        <v/>
      </c>
      <c r="N282" s="24" t="str">
        <f t="array" ref="N282">SUBSTITUTE(L282,M282,"")</f>
        <v/>
      </c>
      <c r="W282" s="369" t="str">
        <f t="shared" si="16"/>
        <v/>
      </c>
      <c r="X282" s="258" t="str">
        <f t="shared" si="14"/>
        <v/>
      </c>
      <c r="Y282" s="36" t="str">
        <f t="shared" si="15"/>
        <v/>
      </c>
      <c r="Z282" s="340" t="str">
        <f>IF(AND(C282&gt;0,D282&lt;&gt;"",S282=""),VLOOKUP(A282&amp;IF(H282="黑丝","黑","白")&amp;E282,经纬!A:M,13,FALSE)*(I282-AB282),"")</f>
        <v/>
      </c>
      <c r="AA282" s="340" t="str">
        <f>IF(AND(C282&gt;0,D282&lt;&gt;"",S282=""),VLOOKUP(A282&amp;IF(H282="黑丝","黑","白")&amp;E282,经纬!A:N,14,FALSE)*(I282-AB282),"")</f>
        <v/>
      </c>
    </row>
    <row r="283" spans="2:27">
      <c r="B283" s="24" t="str">
        <f>IF(A283="","",IF(LEFT(A283)&gt;"9",VLOOKUP(A283,yuanjidaimachichun,2,FALSE),VLOOKUP(A283,经纬!B:C,2,FALSE)))</f>
        <v/>
      </c>
      <c r="C283" s="8" t="str">
        <f t="shared" si="17"/>
        <v/>
      </c>
      <c r="D283" s="8" t="str">
        <f t="shared" si="18"/>
        <v/>
      </c>
      <c r="M283" s="24" t="str">
        <f t="array" ref="M283">LEFT(L283,MIN(FIND({"A","B","C"},MID(L283,2,LEN(L283))&amp;"ABC")))</f>
        <v/>
      </c>
      <c r="N283" s="24" t="str">
        <f t="array" ref="N283">SUBSTITUTE(L283,M283,"")</f>
        <v/>
      </c>
      <c r="W283" s="369" t="str">
        <f t="shared" si="16"/>
        <v/>
      </c>
      <c r="X283" s="258" t="str">
        <f t="shared" si="14"/>
        <v/>
      </c>
      <c r="Y283" s="36" t="str">
        <f t="shared" si="15"/>
        <v/>
      </c>
      <c r="Z283" s="340" t="str">
        <f>IF(AND(C283&gt;0,D283&lt;&gt;"",S283=""),VLOOKUP(A283&amp;IF(H283="黑丝","黑","白")&amp;E283,经纬!A:M,13,FALSE)*(I283-AB283),"")</f>
        <v/>
      </c>
      <c r="AA283" s="340" t="str">
        <f>IF(AND(C283&gt;0,D283&lt;&gt;"",S283=""),VLOOKUP(A283&amp;IF(H283="黑丝","黑","白")&amp;E283,经纬!A:N,14,FALSE)*(I283-AB283),"")</f>
        <v/>
      </c>
    </row>
    <row r="284" spans="2:27">
      <c r="B284" s="24" t="str">
        <f>IF(A284="","",IF(LEFT(A284)&gt;"9",VLOOKUP(A284,yuanjidaimachichun,2,FALSE),VLOOKUP(A284,经纬!B:C,2,FALSE)))</f>
        <v/>
      </c>
      <c r="C284" s="8" t="str">
        <f t="shared" si="17"/>
        <v/>
      </c>
      <c r="D284" s="8" t="str">
        <f t="shared" si="18"/>
        <v/>
      </c>
      <c r="M284" s="24" t="str">
        <f t="array" ref="M284">LEFT(L284,MIN(FIND({"A","B","C"},MID(L284,2,LEN(L284))&amp;"ABC")))</f>
        <v/>
      </c>
      <c r="N284" s="24" t="str">
        <f t="array" ref="N284">SUBSTITUTE(L284,M284,"")</f>
        <v/>
      </c>
      <c r="W284" s="369" t="str">
        <f t="shared" si="16"/>
        <v/>
      </c>
      <c r="X284" s="258" t="str">
        <f t="shared" ref="X284:X347" si="19">IF(B284="","",IF(S284&lt;&gt;"","",IF(AND(Z284&lt;&gt;"",AA284&lt;&gt;""),SUM(Z284:AA284),IF(AB284&lt;&gt;"",(I284/((1/((G284+2)/100*K284/1000))*0.9144)/IF(H284="黑丝",22,20)-AB284)*(IF(H284="黑丝",22,20)),I284/((1/((G284+2)/100*K284/1000))*0.9144)))))</f>
        <v/>
      </c>
      <c r="Y284" s="36" t="str">
        <f t="shared" si="15"/>
        <v/>
      </c>
      <c r="Z284" s="340" t="str">
        <f>IF(AND(C284&gt;0,D284&lt;&gt;"",S284=""),VLOOKUP(A284&amp;IF(H284="黑丝","黑","白")&amp;E284,经纬!A:M,13,FALSE)*(I284-AB284),"")</f>
        <v/>
      </c>
      <c r="AA284" s="340" t="str">
        <f>IF(AND(C284&gt;0,D284&lt;&gt;"",S284=""),VLOOKUP(A284&amp;IF(H284="黑丝","黑","白")&amp;E284,经纬!A:N,14,FALSE)*(I284-AB284),"")</f>
        <v/>
      </c>
    </row>
    <row r="285" spans="2:27">
      <c r="B285" s="24" t="str">
        <f>IF(A285="","",IF(LEFT(A285)&gt;"9",VLOOKUP(A285,yuanjidaimachichun,2,FALSE),VLOOKUP(A285,经纬!B:C,2,FALSE)))</f>
        <v/>
      </c>
      <c r="C285" s="8" t="str">
        <f t="shared" si="17"/>
        <v/>
      </c>
      <c r="D285" s="8" t="str">
        <f t="shared" si="18"/>
        <v/>
      </c>
      <c r="M285" s="24" t="str">
        <f t="array" ref="M285">LEFT(L285,MIN(FIND({"A","B","C"},MID(L285,2,LEN(L285))&amp;"ABC")))</f>
        <v/>
      </c>
      <c r="N285" s="24" t="str">
        <f t="array" ref="N285">SUBSTITUTE(L285,M285,"")</f>
        <v/>
      </c>
      <c r="W285" s="369" t="str">
        <f t="shared" si="16"/>
        <v/>
      </c>
      <c r="X285" s="258" t="str">
        <f t="shared" si="19"/>
        <v/>
      </c>
      <c r="Y285" s="36" t="str">
        <f t="shared" si="15"/>
        <v/>
      </c>
      <c r="Z285" s="340" t="str">
        <f>IF(AND(C285&gt;0,D285&lt;&gt;"",S285=""),VLOOKUP(A285&amp;IF(H285="黑丝","黑","白")&amp;E285,经纬!A:M,13,FALSE)*(I285-AB285),"")</f>
        <v/>
      </c>
      <c r="AA285" s="340" t="str">
        <f>IF(AND(C285&gt;0,D285&lt;&gt;"",S285=""),VLOOKUP(A285&amp;IF(H285="黑丝","黑","白")&amp;E285,经纬!A:N,14,FALSE)*(I285-AB285),"")</f>
        <v/>
      </c>
    </row>
    <row r="286" spans="2:27">
      <c r="B286" s="24" t="str">
        <f>IF(A286="","",IF(LEFT(A286)&gt;"9",VLOOKUP(A286,yuanjidaimachichun,2,FALSE),VLOOKUP(A286,经纬!B:C,2,FALSE)))</f>
        <v/>
      </c>
      <c r="C286" s="8" t="str">
        <f t="shared" si="17"/>
        <v/>
      </c>
      <c r="D286" s="8" t="str">
        <f t="shared" si="18"/>
        <v/>
      </c>
      <c r="M286" s="24" t="str">
        <f t="array" ref="M286">LEFT(L286,MIN(FIND({"A","B","C"},MID(L286,2,LEN(L286))&amp;"ABC")))</f>
        <v/>
      </c>
      <c r="N286" s="24" t="str">
        <f t="array" ref="N286">SUBSTITUTE(L286,M286,"")</f>
        <v/>
      </c>
      <c r="W286" s="369" t="str">
        <f t="shared" si="16"/>
        <v/>
      </c>
      <c r="X286" s="258" t="str">
        <f t="shared" si="19"/>
        <v/>
      </c>
      <c r="Y286" s="36" t="str">
        <f t="shared" si="15"/>
        <v/>
      </c>
      <c r="Z286" s="340" t="str">
        <f>IF(AND(C286&gt;0,D286&lt;&gt;"",S286=""),VLOOKUP(A286&amp;IF(H286="黑丝","黑","白")&amp;E286,经纬!A:M,13,FALSE)*(I286-AB286),"")</f>
        <v/>
      </c>
      <c r="AA286" s="340" t="str">
        <f>IF(AND(C286&gt;0,D286&lt;&gt;"",S286=""),VLOOKUP(A286&amp;IF(H286="黑丝","黑","白")&amp;E286,经纬!A:N,14,FALSE)*(I286-AB286),"")</f>
        <v/>
      </c>
    </row>
    <row r="287" spans="2:27">
      <c r="B287" s="24" t="str">
        <f>IF(A287="","",IF(LEFT(A287)&gt;"9",VLOOKUP(A287,yuanjidaimachichun,2,FALSE),VLOOKUP(A287,经纬!B:C,2,FALSE)))</f>
        <v/>
      </c>
      <c r="C287" s="8" t="str">
        <f t="shared" si="17"/>
        <v/>
      </c>
      <c r="D287" s="8" t="str">
        <f t="shared" si="18"/>
        <v/>
      </c>
      <c r="M287" s="24" t="str">
        <f t="array" ref="M287">LEFT(L287,MIN(FIND({"A","B","C"},MID(L287,2,LEN(L287))&amp;"ABC")))</f>
        <v/>
      </c>
      <c r="N287" s="24" t="str">
        <f t="array" ref="N287">SUBSTITUTE(L287,M287,"")</f>
        <v/>
      </c>
      <c r="W287" s="369" t="str">
        <f t="shared" si="16"/>
        <v/>
      </c>
      <c r="X287" s="258" t="str">
        <f t="shared" si="19"/>
        <v/>
      </c>
      <c r="Y287" s="36" t="str">
        <f t="shared" si="15"/>
        <v/>
      </c>
      <c r="Z287" s="340" t="str">
        <f>IF(AND(C287&gt;0,D287&lt;&gt;"",S287=""),VLOOKUP(A287&amp;IF(H287="黑丝","黑","白")&amp;E287,经纬!A:M,13,FALSE)*(I287-AB287),"")</f>
        <v/>
      </c>
      <c r="AA287" s="340" t="str">
        <f>IF(AND(C287&gt;0,D287&lt;&gt;"",S287=""),VLOOKUP(A287&amp;IF(H287="黑丝","黑","白")&amp;E287,经纬!A:N,14,FALSE)*(I287-AB287),"")</f>
        <v/>
      </c>
    </row>
    <row r="288" spans="2:27">
      <c r="B288" s="24" t="str">
        <f>IF(A288="","",IF(LEFT(A288)&gt;"9",VLOOKUP(A288,yuanjidaimachichun,2,FALSE),VLOOKUP(A288,经纬!B:C,2,FALSE)))</f>
        <v/>
      </c>
      <c r="C288" s="8" t="str">
        <f t="shared" si="17"/>
        <v/>
      </c>
      <c r="D288" s="8" t="str">
        <f t="shared" si="18"/>
        <v/>
      </c>
      <c r="M288" s="24" t="str">
        <f t="array" ref="M288">LEFT(L288,MIN(FIND({"A","B","C"},MID(L288,2,LEN(L288))&amp;"ABC")))</f>
        <v/>
      </c>
      <c r="N288" s="24" t="str">
        <f t="array" ref="N288">SUBSTITUTE(L288,M288,"")</f>
        <v/>
      </c>
      <c r="W288" s="369" t="str">
        <f t="shared" si="16"/>
        <v/>
      </c>
      <c r="X288" s="258" t="str">
        <f t="shared" si="19"/>
        <v/>
      </c>
      <c r="Y288" s="36" t="str">
        <f t="shared" si="15"/>
        <v/>
      </c>
      <c r="Z288" s="340" t="str">
        <f>IF(AND(C288&gt;0,D288&lt;&gt;"",S288=""),VLOOKUP(A288&amp;IF(H288="黑丝","黑","白")&amp;E288,经纬!A:M,13,FALSE)*(I288-AB288),"")</f>
        <v/>
      </c>
      <c r="AA288" s="340" t="str">
        <f>IF(AND(C288&gt;0,D288&lt;&gt;"",S288=""),VLOOKUP(A288&amp;IF(H288="黑丝","黑","白")&amp;E288,经纬!A:N,14,FALSE)*(I288-AB288),"")</f>
        <v/>
      </c>
    </row>
    <row r="289" spans="2:27">
      <c r="B289" s="24" t="str">
        <f>IF(A289="","",IF(LEFT(A289)&gt;"9",VLOOKUP(A289,yuanjidaimachichun,2,FALSE),VLOOKUP(A289,经纬!B:C,2,FALSE)))</f>
        <v/>
      </c>
      <c r="C289" s="8" t="str">
        <f t="shared" si="17"/>
        <v/>
      </c>
      <c r="D289" s="8" t="str">
        <f t="shared" si="18"/>
        <v/>
      </c>
      <c r="M289" s="24" t="str">
        <f t="array" ref="M289">LEFT(L289,MIN(FIND({"A","B","C"},MID(L289,2,LEN(L289))&amp;"ABC")))</f>
        <v/>
      </c>
      <c r="N289" s="24" t="str">
        <f t="array" ref="N289">SUBSTITUTE(L289,M289,"")</f>
        <v/>
      </c>
      <c r="W289" s="369" t="str">
        <f t="shared" si="16"/>
        <v/>
      </c>
      <c r="X289" s="258" t="str">
        <f t="shared" si="19"/>
        <v/>
      </c>
      <c r="Y289" s="36" t="str">
        <f t="shared" si="15"/>
        <v/>
      </c>
      <c r="Z289" s="340" t="str">
        <f>IF(AND(C289&gt;0,D289&lt;&gt;"",S289=""),VLOOKUP(A289&amp;IF(H289="黑丝","黑","白")&amp;E289,经纬!A:M,13,FALSE)*(I289-AB289),"")</f>
        <v/>
      </c>
      <c r="AA289" s="340" t="str">
        <f>IF(AND(C289&gt;0,D289&lt;&gt;"",S289=""),VLOOKUP(A289&amp;IF(H289="黑丝","黑","白")&amp;E289,经纬!A:N,14,FALSE)*(I289-AB289),"")</f>
        <v/>
      </c>
    </row>
    <row r="290" spans="2:27">
      <c r="B290" s="24" t="str">
        <f>IF(A290="","",IF(LEFT(A290)&gt;"9",VLOOKUP(A290,yuanjidaimachichun,2,FALSE),VLOOKUP(A290,经纬!B:C,2,FALSE)))</f>
        <v/>
      </c>
      <c r="C290" s="8" t="str">
        <f t="shared" si="17"/>
        <v/>
      </c>
      <c r="D290" s="8" t="str">
        <f t="shared" si="18"/>
        <v/>
      </c>
      <c r="M290" s="24" t="str">
        <f t="array" ref="M290">LEFT(L290,MIN(FIND({"A","B","C"},MID(L290,2,LEN(L290))&amp;"ABC")))</f>
        <v/>
      </c>
      <c r="N290" s="24" t="str">
        <f t="array" ref="N290">SUBSTITUTE(L290,M290,"")</f>
        <v/>
      </c>
      <c r="W290" s="369" t="str">
        <f t="shared" si="16"/>
        <v/>
      </c>
      <c r="X290" s="258" t="str">
        <f t="shared" si="19"/>
        <v/>
      </c>
      <c r="Y290" s="36" t="str">
        <f t="shared" si="15"/>
        <v/>
      </c>
      <c r="Z290" s="340" t="str">
        <f>IF(AND(C290&gt;0,D290&lt;&gt;"",S290=""),VLOOKUP(A290&amp;IF(H290="黑丝","黑","白")&amp;E290,经纬!A:M,13,FALSE)*(I290-AB290),"")</f>
        <v/>
      </c>
      <c r="AA290" s="340" t="str">
        <f>IF(AND(C290&gt;0,D290&lt;&gt;"",S290=""),VLOOKUP(A290&amp;IF(H290="黑丝","黑","白")&amp;E290,经纬!A:N,14,FALSE)*(I290-AB290),"")</f>
        <v/>
      </c>
    </row>
    <row r="291" spans="2:27">
      <c r="B291" s="24" t="str">
        <f>IF(A291="","",IF(LEFT(A291)&gt;"9",VLOOKUP(A291,yuanjidaimachichun,2,FALSE),VLOOKUP(A291,经纬!B:C,2,FALSE)))</f>
        <v/>
      </c>
      <c r="C291" s="8" t="str">
        <f t="shared" si="17"/>
        <v/>
      </c>
      <c r="D291" s="8" t="str">
        <f t="shared" si="18"/>
        <v/>
      </c>
      <c r="M291" s="24" t="str">
        <f t="array" ref="M291">LEFT(L291,MIN(FIND({"A","B","C"},MID(L291,2,LEN(L291))&amp;"ABC")))</f>
        <v/>
      </c>
      <c r="N291" s="24" t="str">
        <f t="array" ref="N291">SUBSTITUTE(L291,M291,"")</f>
        <v/>
      </c>
      <c r="W291" s="369" t="str">
        <f t="shared" si="16"/>
        <v/>
      </c>
      <c r="X291" s="258" t="str">
        <f t="shared" si="19"/>
        <v/>
      </c>
      <c r="Y291" s="36" t="str">
        <f t="shared" si="15"/>
        <v/>
      </c>
      <c r="Z291" s="340" t="str">
        <f>IF(AND(C291&gt;0,D291&lt;&gt;"",S291=""),VLOOKUP(A291&amp;IF(H291="黑丝","黑","白")&amp;E291,经纬!A:M,13,FALSE)*(I291-AB291),"")</f>
        <v/>
      </c>
      <c r="AA291" s="340" t="str">
        <f>IF(AND(C291&gt;0,D291&lt;&gt;"",S291=""),VLOOKUP(A291&amp;IF(H291="黑丝","黑","白")&amp;E291,经纬!A:N,14,FALSE)*(I291-AB291),"")</f>
        <v/>
      </c>
    </row>
    <row r="292" spans="2:27">
      <c r="B292" s="24" t="str">
        <f>IF(A292="","",IF(LEFT(A292)&gt;"9",VLOOKUP(A292,yuanjidaimachichun,2,FALSE),VLOOKUP(A292,经纬!B:C,2,FALSE)))</f>
        <v/>
      </c>
      <c r="C292" s="8" t="str">
        <f t="shared" si="17"/>
        <v/>
      </c>
      <c r="D292" s="8" t="str">
        <f t="shared" si="18"/>
        <v/>
      </c>
      <c r="M292" s="24" t="str">
        <f t="array" ref="M292">LEFT(L292,MIN(FIND({"A","B","C"},MID(L292,2,LEN(L292))&amp;"ABC")))</f>
        <v/>
      </c>
      <c r="N292" s="24" t="str">
        <f t="array" ref="N292">SUBSTITUTE(L292,M292,"")</f>
        <v/>
      </c>
      <c r="W292" s="369" t="str">
        <f t="shared" si="16"/>
        <v/>
      </c>
      <c r="X292" s="258" t="str">
        <f t="shared" si="19"/>
        <v/>
      </c>
      <c r="Y292" s="36" t="str">
        <f t="shared" si="15"/>
        <v/>
      </c>
      <c r="Z292" s="340" t="str">
        <f>IF(AND(C292&gt;0,D292&lt;&gt;"",S292=""),VLOOKUP(A292&amp;IF(H292="黑丝","黑","白")&amp;E292,经纬!A:M,13,FALSE)*(I292-AB292),"")</f>
        <v/>
      </c>
      <c r="AA292" s="340" t="str">
        <f>IF(AND(C292&gt;0,D292&lt;&gt;"",S292=""),VLOOKUP(A292&amp;IF(H292="黑丝","黑","白")&amp;E292,经纬!A:N,14,FALSE)*(I292-AB292),"")</f>
        <v/>
      </c>
    </row>
    <row r="293" spans="2:27">
      <c r="B293" s="24" t="str">
        <f>IF(A293="","",IF(LEFT(A293)&gt;"9",VLOOKUP(A293,yuanjidaimachichun,2,FALSE),VLOOKUP(A293,经纬!B:C,2,FALSE)))</f>
        <v/>
      </c>
      <c r="C293" s="8" t="str">
        <f t="shared" si="17"/>
        <v/>
      </c>
      <c r="D293" s="8" t="str">
        <f t="shared" si="18"/>
        <v/>
      </c>
      <c r="M293" s="24" t="str">
        <f t="array" ref="M293">LEFT(L293,MIN(FIND({"A","B","C"},MID(L293,2,LEN(L293))&amp;"ABC")))</f>
        <v/>
      </c>
      <c r="N293" s="24" t="str">
        <f t="array" ref="N293">SUBSTITUTE(L293,M293,"")</f>
        <v/>
      </c>
      <c r="W293" s="369" t="str">
        <f t="shared" si="16"/>
        <v/>
      </c>
      <c r="X293" s="258" t="str">
        <f t="shared" si="19"/>
        <v/>
      </c>
      <c r="Y293" s="36" t="str">
        <f t="shared" si="15"/>
        <v/>
      </c>
      <c r="Z293" s="340" t="str">
        <f>IF(AND(C293&gt;0,D293&lt;&gt;"",S293=""),VLOOKUP(A293&amp;IF(H293="黑丝","黑","白")&amp;E293,经纬!A:M,13,FALSE)*(I293-AB293),"")</f>
        <v/>
      </c>
      <c r="AA293" s="340" t="str">
        <f>IF(AND(C293&gt;0,D293&lt;&gt;"",S293=""),VLOOKUP(A293&amp;IF(H293="黑丝","黑","白")&amp;E293,经纬!A:N,14,FALSE)*(I293-AB293),"")</f>
        <v/>
      </c>
    </row>
    <row r="294" spans="2:27">
      <c r="B294" s="24" t="str">
        <f>IF(A294="","",IF(LEFT(A294)&gt;"9",VLOOKUP(A294,yuanjidaimachichun,2,FALSE),VLOOKUP(A294,经纬!B:C,2,FALSE)))</f>
        <v/>
      </c>
      <c r="C294" s="8" t="str">
        <f t="shared" si="17"/>
        <v/>
      </c>
      <c r="D294" s="8" t="str">
        <f t="shared" si="18"/>
        <v/>
      </c>
      <c r="M294" s="24" t="str">
        <f t="array" ref="M294">LEFT(L294,MIN(FIND({"A","B","C"},MID(L294,2,LEN(L294))&amp;"ABC")))</f>
        <v/>
      </c>
      <c r="N294" s="24" t="str">
        <f t="array" ref="N294">SUBSTITUTE(L294,M294,"")</f>
        <v/>
      </c>
      <c r="W294" s="369" t="str">
        <f t="shared" si="16"/>
        <v/>
      </c>
      <c r="X294" s="258" t="str">
        <f t="shared" si="19"/>
        <v/>
      </c>
      <c r="Y294" s="36" t="str">
        <f t="shared" si="15"/>
        <v/>
      </c>
      <c r="Z294" s="340" t="str">
        <f>IF(AND(C294&gt;0,D294&lt;&gt;"",S294=""),VLOOKUP(A294&amp;IF(H294="黑丝","黑","白")&amp;E294,经纬!A:M,13,FALSE)*(I294-AB294),"")</f>
        <v/>
      </c>
      <c r="AA294" s="340" t="str">
        <f>IF(AND(C294&gt;0,D294&lt;&gt;"",S294=""),VLOOKUP(A294&amp;IF(H294="黑丝","黑","白")&amp;E294,经纬!A:N,14,FALSE)*(I294-AB294),"")</f>
        <v/>
      </c>
    </row>
    <row r="295" spans="2:27">
      <c r="B295" s="24" t="str">
        <f>IF(A295="","",IF(LEFT(A295)&gt;"9",VLOOKUP(A295,yuanjidaimachichun,2,FALSE),VLOOKUP(A295,经纬!B:C,2,FALSE)))</f>
        <v/>
      </c>
      <c r="C295" s="8" t="str">
        <f t="shared" si="17"/>
        <v/>
      </c>
      <c r="D295" s="8" t="str">
        <f t="shared" si="18"/>
        <v/>
      </c>
      <c r="M295" s="24" t="str">
        <f t="array" ref="M295">LEFT(L295,MIN(FIND({"A","B","C"},MID(L295,2,LEN(L295))&amp;"ABC")))</f>
        <v/>
      </c>
      <c r="N295" s="24" t="str">
        <f t="array" ref="N295">SUBSTITUTE(L295,M295,"")</f>
        <v/>
      </c>
      <c r="W295" s="369" t="str">
        <f t="shared" si="16"/>
        <v/>
      </c>
      <c r="X295" s="258" t="str">
        <f t="shared" si="19"/>
        <v/>
      </c>
      <c r="Y295" s="36" t="str">
        <f t="shared" si="15"/>
        <v/>
      </c>
      <c r="Z295" s="340" t="str">
        <f>IF(AND(C295&gt;0,D295&lt;&gt;"",S295=""),VLOOKUP(A295&amp;IF(H295="黑丝","黑","白")&amp;E295,经纬!A:M,13,FALSE)*(I295-AB295),"")</f>
        <v/>
      </c>
      <c r="AA295" s="340" t="str">
        <f>IF(AND(C295&gt;0,D295&lt;&gt;"",S295=""),VLOOKUP(A295&amp;IF(H295="黑丝","黑","白")&amp;E295,经纬!A:N,14,FALSE)*(I295-AB295),"")</f>
        <v/>
      </c>
    </row>
    <row r="296" spans="2:27">
      <c r="B296" s="24" t="str">
        <f>IF(A296="","",IF(LEFT(A296)&gt;"9",VLOOKUP(A296,yuanjidaimachichun,2,FALSE),VLOOKUP(A296,经纬!B:C,2,FALSE)))</f>
        <v/>
      </c>
      <c r="C296" s="8" t="str">
        <f t="shared" si="17"/>
        <v/>
      </c>
      <c r="D296" s="8" t="str">
        <f t="shared" si="18"/>
        <v/>
      </c>
      <c r="M296" s="24" t="str">
        <f t="array" ref="M296">LEFT(L296,MIN(FIND({"A","B","C"},MID(L296,2,LEN(L296))&amp;"ABC")))</f>
        <v/>
      </c>
      <c r="N296" s="24" t="str">
        <f t="array" ref="N296">SUBSTITUTE(L296,M296,"")</f>
        <v/>
      </c>
      <c r="W296" s="369" t="str">
        <f t="shared" si="16"/>
        <v/>
      </c>
      <c r="X296" s="258" t="str">
        <f t="shared" si="19"/>
        <v/>
      </c>
      <c r="Y296" s="36" t="str">
        <f t="shared" si="15"/>
        <v/>
      </c>
      <c r="Z296" s="340" t="str">
        <f>IF(AND(C296&gt;0,D296&lt;&gt;"",S296=""),VLOOKUP(A296&amp;IF(H296="黑丝","黑","白")&amp;E296,经纬!A:M,13,FALSE)*(I296-AB296),"")</f>
        <v/>
      </c>
      <c r="AA296" s="340" t="str">
        <f>IF(AND(C296&gt;0,D296&lt;&gt;"",S296=""),VLOOKUP(A296&amp;IF(H296="黑丝","黑","白")&amp;E296,经纬!A:N,14,FALSE)*(I296-AB296),"")</f>
        <v/>
      </c>
    </row>
    <row r="297" spans="2:27">
      <c r="B297" s="24" t="str">
        <f>IF(A297="","",IF(LEFT(A297)&gt;"9",VLOOKUP(A297,yuanjidaimachichun,2,FALSE),VLOOKUP(A297,经纬!B:C,2,FALSE)))</f>
        <v/>
      </c>
      <c r="C297" s="8" t="str">
        <f t="shared" si="17"/>
        <v/>
      </c>
      <c r="D297" s="8" t="str">
        <f t="shared" si="18"/>
        <v/>
      </c>
      <c r="M297" s="24" t="str">
        <f t="array" ref="M297">LEFT(L297,MIN(FIND({"A","B","C"},MID(L297,2,LEN(L297))&amp;"ABC")))</f>
        <v/>
      </c>
      <c r="N297" s="24" t="str">
        <f t="array" ref="N297">SUBSTITUTE(L297,M297,"")</f>
        <v/>
      </c>
      <c r="W297" s="369" t="str">
        <f t="shared" si="16"/>
        <v/>
      </c>
      <c r="X297" s="258" t="str">
        <f t="shared" si="19"/>
        <v/>
      </c>
      <c r="Y297" s="36" t="str">
        <f t="shared" ref="Y297:Y360" si="20">IF(OR(B297="",D297&lt;&gt;""),"",IF(S297&lt;&gt;"","",I297/((1/((G297+2)/100*K297/1000))*0.9144)/IF(H297="黑丝",22,20)-AB297))</f>
        <v/>
      </c>
      <c r="Z297" s="340" t="str">
        <f>IF(AND(C297&gt;0,D297&lt;&gt;"",S297=""),VLOOKUP(A297&amp;IF(H297="黑丝","黑","白")&amp;E297,经纬!A:M,13,FALSE)*(I297-AB297),"")</f>
        <v/>
      </c>
      <c r="AA297" s="340" t="str">
        <f>IF(AND(C297&gt;0,D297&lt;&gt;"",S297=""),VLOOKUP(A297&amp;IF(H297="黑丝","黑","白")&amp;E297,经纬!A:N,14,FALSE)*(I297-AB297),"")</f>
        <v/>
      </c>
    </row>
    <row r="298" spans="2:27">
      <c r="B298" s="24" t="str">
        <f>IF(A298="","",IF(LEFT(A298)&gt;"9",VLOOKUP(A298,yuanjidaimachichun,2,FALSE),VLOOKUP(A298,经纬!B:C,2,FALSE)))</f>
        <v/>
      </c>
      <c r="C298" s="8" t="str">
        <f t="shared" si="17"/>
        <v/>
      </c>
      <c r="D298" s="8" t="str">
        <f t="shared" si="18"/>
        <v/>
      </c>
      <c r="M298" s="24" t="str">
        <f t="array" ref="M298">LEFT(L298,MIN(FIND({"A","B","C"},MID(L298,2,LEN(L298))&amp;"ABC")))</f>
        <v/>
      </c>
      <c r="N298" s="24" t="str">
        <f t="array" ref="N298">SUBSTITUTE(L298,M298,"")</f>
        <v/>
      </c>
      <c r="W298" s="369" t="str">
        <f t="shared" si="16"/>
        <v/>
      </c>
      <c r="X298" s="258" t="str">
        <f t="shared" si="19"/>
        <v/>
      </c>
      <c r="Y298" s="36" t="str">
        <f t="shared" si="20"/>
        <v/>
      </c>
      <c r="Z298" s="340" t="str">
        <f>IF(AND(C298&gt;0,D298&lt;&gt;"",S298=""),VLOOKUP(A298&amp;IF(H298="黑丝","黑","白")&amp;E298,经纬!A:M,13,FALSE)*(I298-AB298),"")</f>
        <v/>
      </c>
      <c r="AA298" s="340" t="str">
        <f>IF(AND(C298&gt;0,D298&lt;&gt;"",S298=""),VLOOKUP(A298&amp;IF(H298="黑丝","黑","白")&amp;E298,经纬!A:N,14,FALSE)*(I298-AB298),"")</f>
        <v/>
      </c>
    </row>
    <row r="299" spans="2:27">
      <c r="B299" s="24" t="str">
        <f>IF(A299="","",IF(LEFT(A299)&gt;"9",VLOOKUP(A299,yuanjidaimachichun,2,FALSE),VLOOKUP(A299,经纬!B:C,2,FALSE)))</f>
        <v/>
      </c>
      <c r="C299" s="8" t="str">
        <f t="shared" si="17"/>
        <v/>
      </c>
      <c r="D299" s="8" t="str">
        <f t="shared" si="18"/>
        <v/>
      </c>
      <c r="M299" s="24" t="str">
        <f t="array" ref="M299">LEFT(L299,MIN(FIND({"A","B","C"},MID(L299,2,LEN(L299))&amp;"ABC")))</f>
        <v/>
      </c>
      <c r="N299" s="24" t="str">
        <f t="array" ref="N299">SUBSTITUTE(L299,M299,"")</f>
        <v/>
      </c>
      <c r="W299" s="369" t="str">
        <f t="shared" si="16"/>
        <v/>
      </c>
      <c r="X299" s="258" t="str">
        <f t="shared" si="19"/>
        <v/>
      </c>
      <c r="Y299" s="36" t="str">
        <f t="shared" si="20"/>
        <v/>
      </c>
      <c r="Z299" s="340" t="str">
        <f>IF(AND(C299&gt;0,D299&lt;&gt;"",S299=""),VLOOKUP(A299&amp;IF(H299="黑丝","黑","白")&amp;E299,经纬!A:M,13,FALSE)*(I299-AB299),"")</f>
        <v/>
      </c>
      <c r="AA299" s="340" t="str">
        <f>IF(AND(C299&gt;0,D299&lt;&gt;"",S299=""),VLOOKUP(A299&amp;IF(H299="黑丝","黑","白")&amp;E299,经纬!A:N,14,FALSE)*(I299-AB299),"")</f>
        <v/>
      </c>
    </row>
    <row r="300" spans="2:27">
      <c r="B300" s="24" t="str">
        <f>IF(A300="","",IF(LEFT(A300)&gt;"9",VLOOKUP(A300,yuanjidaimachichun,2,FALSE),VLOOKUP(A300,经纬!B:C,2,FALSE)))</f>
        <v/>
      </c>
      <c r="C300" s="8" t="str">
        <f t="shared" si="17"/>
        <v/>
      </c>
      <c r="D300" s="8" t="str">
        <f t="shared" si="18"/>
        <v/>
      </c>
      <c r="M300" s="24" t="str">
        <f t="array" ref="M300">LEFT(L300,MIN(FIND({"A","B","C"},MID(L300,2,LEN(L300))&amp;"ABC")))</f>
        <v/>
      </c>
      <c r="N300" s="24" t="str">
        <f t="array" ref="N300">SUBSTITUTE(L300,M300,"")</f>
        <v/>
      </c>
      <c r="W300" s="369" t="str">
        <f t="shared" si="16"/>
        <v/>
      </c>
      <c r="X300" s="258" t="str">
        <f t="shared" si="19"/>
        <v/>
      </c>
      <c r="Y300" s="36" t="str">
        <f t="shared" si="20"/>
        <v/>
      </c>
      <c r="Z300" s="340" t="str">
        <f>IF(AND(C300&gt;0,D300&lt;&gt;"",S300=""),VLOOKUP(A300&amp;IF(H300="黑丝","黑","白")&amp;E300,经纬!A:M,13,FALSE)*(I300-AB300),"")</f>
        <v/>
      </c>
      <c r="AA300" s="340" t="str">
        <f>IF(AND(C300&gt;0,D300&lt;&gt;"",S300=""),VLOOKUP(A300&amp;IF(H300="黑丝","黑","白")&amp;E300,经纬!A:N,14,FALSE)*(I300-AB300),"")</f>
        <v/>
      </c>
    </row>
    <row r="301" spans="2:27">
      <c r="B301" s="24" t="str">
        <f>IF(A301="","",IF(LEFT(A301)&gt;"9",VLOOKUP(A301,yuanjidaimachichun,2,FALSE),VLOOKUP(A301,经纬!B:C,2,FALSE)))</f>
        <v/>
      </c>
      <c r="C301" s="8" t="str">
        <f t="shared" si="17"/>
        <v/>
      </c>
      <c r="D301" s="8" t="str">
        <f t="shared" si="18"/>
        <v/>
      </c>
      <c r="M301" s="24" t="str">
        <f t="array" ref="M301">LEFT(L301,MIN(FIND({"A","B","C"},MID(L301,2,LEN(L301))&amp;"ABC")))</f>
        <v/>
      </c>
      <c r="N301" s="24" t="str">
        <f t="array" ref="N301">SUBSTITUTE(L301,M301,"")</f>
        <v/>
      </c>
      <c r="W301" s="369" t="str">
        <f t="shared" si="16"/>
        <v/>
      </c>
      <c r="X301" s="258" t="str">
        <f t="shared" si="19"/>
        <v/>
      </c>
      <c r="Y301" s="36" t="str">
        <f t="shared" si="20"/>
        <v/>
      </c>
      <c r="Z301" s="340" t="str">
        <f>IF(AND(C301&gt;0,D301&lt;&gt;"",S301=""),VLOOKUP(A301&amp;IF(H301="黑丝","黑","白")&amp;E301,经纬!A:M,13,FALSE)*(I301-AB301),"")</f>
        <v/>
      </c>
      <c r="AA301" s="340" t="str">
        <f>IF(AND(C301&gt;0,D301&lt;&gt;"",S301=""),VLOOKUP(A301&amp;IF(H301="黑丝","黑","白")&amp;E301,经纬!A:N,14,FALSE)*(I301-AB301),"")</f>
        <v/>
      </c>
    </row>
    <row r="302" spans="2:27">
      <c r="B302" s="24" t="str">
        <f>IF(A302="","",IF(LEFT(A302)&gt;"9",VLOOKUP(A302,yuanjidaimachichun,2,FALSE),VLOOKUP(A302,经纬!B:C,2,FALSE)))</f>
        <v/>
      </c>
      <c r="C302" s="8" t="str">
        <f t="shared" si="17"/>
        <v/>
      </c>
      <c r="D302" s="8" t="str">
        <f t="shared" si="18"/>
        <v/>
      </c>
      <c r="M302" s="24" t="str">
        <f t="array" ref="M302">LEFT(L302,MIN(FIND({"A","B","C"},MID(L302,2,LEN(L302))&amp;"ABC")))</f>
        <v/>
      </c>
      <c r="N302" s="24" t="str">
        <f t="array" ref="N302">SUBSTITUTE(L302,M302,"")</f>
        <v/>
      </c>
      <c r="W302" s="369" t="str">
        <f t="shared" si="16"/>
        <v/>
      </c>
      <c r="X302" s="258" t="str">
        <f t="shared" si="19"/>
        <v/>
      </c>
      <c r="Y302" s="36" t="str">
        <f t="shared" si="20"/>
        <v/>
      </c>
      <c r="Z302" s="340" t="str">
        <f>IF(AND(C302&gt;0,D302&lt;&gt;"",S302=""),VLOOKUP(A302&amp;IF(H302="黑丝","黑","白")&amp;E302,经纬!A:M,13,FALSE)*(I302-AB302),"")</f>
        <v/>
      </c>
      <c r="AA302" s="340" t="str">
        <f>IF(AND(C302&gt;0,D302&lt;&gt;"",S302=""),VLOOKUP(A302&amp;IF(H302="黑丝","黑","白")&amp;E302,经纬!A:N,14,FALSE)*(I302-AB302),"")</f>
        <v/>
      </c>
    </row>
    <row r="303" spans="2:27">
      <c r="B303" s="24" t="str">
        <f>IF(A303="","",IF(LEFT(A303)&gt;"9",VLOOKUP(A303,yuanjidaimachichun,2,FALSE),VLOOKUP(A303,经纬!B:C,2,FALSE)))</f>
        <v/>
      </c>
      <c r="C303" s="8" t="str">
        <f t="shared" si="17"/>
        <v/>
      </c>
      <c r="D303" s="8" t="str">
        <f t="shared" si="18"/>
        <v/>
      </c>
      <c r="M303" s="24" t="str">
        <f t="array" ref="M303">LEFT(L303,MIN(FIND({"A","B","C"},MID(L303,2,LEN(L303))&amp;"ABC")))</f>
        <v/>
      </c>
      <c r="N303" s="24" t="str">
        <f t="array" ref="N303">SUBSTITUTE(L303,M303,"")</f>
        <v/>
      </c>
      <c r="W303" s="369" t="str">
        <f t="shared" si="16"/>
        <v/>
      </c>
      <c r="X303" s="258" t="str">
        <f t="shared" si="19"/>
        <v/>
      </c>
      <c r="Y303" s="36" t="str">
        <f t="shared" si="20"/>
        <v/>
      </c>
      <c r="Z303" s="340" t="str">
        <f>IF(AND(C303&gt;0,D303&lt;&gt;"",S303=""),VLOOKUP(A303&amp;IF(H303="黑丝","黑","白")&amp;E303,经纬!A:M,13,FALSE)*(I303-AB303),"")</f>
        <v/>
      </c>
      <c r="AA303" s="340" t="str">
        <f>IF(AND(C303&gt;0,D303&lt;&gt;"",S303=""),VLOOKUP(A303&amp;IF(H303="黑丝","黑","白")&amp;E303,经纬!A:N,14,FALSE)*(I303-AB303),"")</f>
        <v/>
      </c>
    </row>
    <row r="304" spans="2:27">
      <c r="B304" s="24" t="str">
        <f>IF(A304="","",IF(LEFT(A304)&gt;"9",VLOOKUP(A304,yuanjidaimachichun,2,FALSE),VLOOKUP(A304,经纬!B:C,2,FALSE)))</f>
        <v/>
      </c>
      <c r="C304" s="8" t="str">
        <f t="shared" si="17"/>
        <v/>
      </c>
      <c r="D304" s="8" t="str">
        <f t="shared" si="18"/>
        <v/>
      </c>
      <c r="M304" s="24" t="str">
        <f t="array" ref="M304">LEFT(L304,MIN(FIND({"A","B","C"},MID(L304,2,LEN(L304))&amp;"ABC")))</f>
        <v/>
      </c>
      <c r="N304" s="24" t="str">
        <f t="array" ref="N304">SUBSTITUTE(L304,M304,"")</f>
        <v/>
      </c>
      <c r="W304" s="369" t="str">
        <f t="shared" si="16"/>
        <v/>
      </c>
      <c r="X304" s="258" t="str">
        <f t="shared" si="19"/>
        <v/>
      </c>
      <c r="Y304" s="36" t="str">
        <f t="shared" si="20"/>
        <v/>
      </c>
      <c r="Z304" s="340" t="str">
        <f>IF(AND(C304&gt;0,D304&lt;&gt;"",S304=""),VLOOKUP(A304&amp;IF(H304="黑丝","黑","白")&amp;E304,经纬!A:M,13,FALSE)*(I304-AB304),"")</f>
        <v/>
      </c>
      <c r="AA304" s="340" t="str">
        <f>IF(AND(C304&gt;0,D304&lt;&gt;"",S304=""),VLOOKUP(A304&amp;IF(H304="黑丝","黑","白")&amp;E304,经纬!A:N,14,FALSE)*(I304-AB304),"")</f>
        <v/>
      </c>
    </row>
    <row r="305" spans="2:27">
      <c r="B305" s="24" t="str">
        <f>IF(A305="","",IF(LEFT(A305)&gt;"9",VLOOKUP(A305,yuanjidaimachichun,2,FALSE),VLOOKUP(A305,经纬!B:C,2,FALSE)))</f>
        <v/>
      </c>
      <c r="C305" s="8" t="str">
        <f t="shared" si="17"/>
        <v/>
      </c>
      <c r="D305" s="8" t="str">
        <f t="shared" si="18"/>
        <v/>
      </c>
      <c r="M305" s="24" t="str">
        <f t="array" ref="M305">LEFT(L305,MIN(FIND({"A","B","C"},MID(L305,2,LEN(L305))&amp;"ABC")))</f>
        <v/>
      </c>
      <c r="N305" s="24" t="str">
        <f t="array" ref="N305">SUBSTITUTE(L305,M305,"")</f>
        <v/>
      </c>
      <c r="W305" s="369" t="str">
        <f t="shared" si="16"/>
        <v/>
      </c>
      <c r="X305" s="258" t="str">
        <f t="shared" si="19"/>
        <v/>
      </c>
      <c r="Y305" s="36" t="str">
        <f t="shared" si="20"/>
        <v/>
      </c>
      <c r="Z305" s="340" t="str">
        <f>IF(AND(C305&gt;0,D305&lt;&gt;"",S305=""),VLOOKUP(A305&amp;IF(H305="黑丝","黑","白")&amp;E305,经纬!A:M,13,FALSE)*(I305-AB305),"")</f>
        <v/>
      </c>
      <c r="AA305" s="340" t="str">
        <f>IF(AND(C305&gt;0,D305&lt;&gt;"",S305=""),VLOOKUP(A305&amp;IF(H305="黑丝","黑","白")&amp;E305,经纬!A:N,14,FALSE)*(I305-AB305),"")</f>
        <v/>
      </c>
    </row>
    <row r="306" spans="2:27">
      <c r="B306" s="24" t="str">
        <f>IF(A306="","",IF(LEFT(A306)&gt;"9",VLOOKUP(A306,yuanjidaimachichun,2,FALSE),VLOOKUP(A306,经纬!B:C,2,FALSE)))</f>
        <v/>
      </c>
      <c r="C306" s="8" t="str">
        <f t="shared" si="17"/>
        <v/>
      </c>
      <c r="D306" s="8" t="str">
        <f t="shared" si="18"/>
        <v/>
      </c>
      <c r="M306" s="24" t="str">
        <f t="array" ref="M306">LEFT(L306,MIN(FIND({"A","B","C"},MID(L306,2,LEN(L306))&amp;"ABC")))</f>
        <v/>
      </c>
      <c r="N306" s="24" t="str">
        <f t="array" ref="N306">SUBSTITUTE(L306,M306,"")</f>
        <v/>
      </c>
      <c r="W306" s="369" t="str">
        <f t="shared" si="16"/>
        <v/>
      </c>
      <c r="X306" s="258" t="str">
        <f t="shared" si="19"/>
        <v/>
      </c>
      <c r="Y306" s="36" t="str">
        <f t="shared" si="20"/>
        <v/>
      </c>
      <c r="Z306" s="340" t="str">
        <f>IF(AND(C306&gt;0,D306&lt;&gt;"",S306=""),VLOOKUP(A306&amp;IF(H306="黑丝","黑","白")&amp;E306,经纬!A:M,13,FALSE)*(I306-AB306),"")</f>
        <v/>
      </c>
      <c r="AA306" s="340" t="str">
        <f>IF(AND(C306&gt;0,D306&lt;&gt;"",S306=""),VLOOKUP(A306&amp;IF(H306="黑丝","黑","白")&amp;E306,经纬!A:N,14,FALSE)*(I306-AB306),"")</f>
        <v/>
      </c>
    </row>
    <row r="307" spans="2:27">
      <c r="B307" s="24" t="str">
        <f>IF(A307="","",IF(LEFT(A307)&gt;"9",VLOOKUP(A307,yuanjidaimachichun,2,FALSE),VLOOKUP(A307,经纬!B:C,2,FALSE)))</f>
        <v/>
      </c>
      <c r="C307" s="8" t="str">
        <f t="shared" si="17"/>
        <v/>
      </c>
      <c r="D307" s="8" t="str">
        <f t="shared" si="18"/>
        <v/>
      </c>
      <c r="M307" s="24" t="str">
        <f t="array" ref="M307">LEFT(L307,MIN(FIND({"A","B","C"},MID(L307,2,LEN(L307))&amp;"ABC")))</f>
        <v/>
      </c>
      <c r="N307" s="24" t="str">
        <f t="array" ref="N307">SUBSTITUTE(L307,M307,"")</f>
        <v/>
      </c>
      <c r="W307" s="369" t="str">
        <f t="shared" si="16"/>
        <v/>
      </c>
      <c r="X307" s="258" t="str">
        <f t="shared" si="19"/>
        <v/>
      </c>
      <c r="Y307" s="36" t="str">
        <f t="shared" si="20"/>
        <v/>
      </c>
      <c r="Z307" s="340" t="str">
        <f>IF(AND(C307&gt;0,D307&lt;&gt;"",S307=""),VLOOKUP(A307&amp;IF(H307="黑丝","黑","白")&amp;E307,经纬!A:M,13,FALSE)*(I307-AB307),"")</f>
        <v/>
      </c>
      <c r="AA307" s="340" t="str">
        <f>IF(AND(C307&gt;0,D307&lt;&gt;"",S307=""),VLOOKUP(A307&amp;IF(H307="黑丝","黑","白")&amp;E307,经纬!A:N,14,FALSE)*(I307-AB307),"")</f>
        <v/>
      </c>
    </row>
    <row r="308" spans="2:27">
      <c r="B308" s="24" t="str">
        <f>IF(A308="","",IF(LEFT(A308)&gt;"9",VLOOKUP(A308,yuanjidaimachichun,2,FALSE),VLOOKUP(A308,经纬!B:C,2,FALSE)))</f>
        <v/>
      </c>
      <c r="C308" s="8" t="str">
        <f t="shared" si="17"/>
        <v/>
      </c>
      <c r="D308" s="8" t="str">
        <f t="shared" si="18"/>
        <v/>
      </c>
      <c r="M308" s="24" t="str">
        <f t="array" ref="M308">LEFT(L308,MIN(FIND({"A","B","C"},MID(L308,2,LEN(L308))&amp;"ABC")))</f>
        <v/>
      </c>
      <c r="N308" s="24" t="str">
        <f t="array" ref="N308">SUBSTITUTE(L308,M308,"")</f>
        <v/>
      </c>
      <c r="W308" s="369" t="str">
        <f t="shared" si="16"/>
        <v/>
      </c>
      <c r="X308" s="258" t="str">
        <f t="shared" si="19"/>
        <v/>
      </c>
      <c r="Y308" s="36" t="str">
        <f t="shared" si="20"/>
        <v/>
      </c>
      <c r="Z308" s="340" t="str">
        <f>IF(AND(C308&gt;0,D308&lt;&gt;"",S308=""),VLOOKUP(A308&amp;IF(H308="黑丝","黑","白")&amp;E308,经纬!A:M,13,FALSE)*(I308-AB308),"")</f>
        <v/>
      </c>
      <c r="AA308" s="340" t="str">
        <f>IF(AND(C308&gt;0,D308&lt;&gt;"",S308=""),VLOOKUP(A308&amp;IF(H308="黑丝","黑","白")&amp;E308,经纬!A:N,14,FALSE)*(I308-AB308),"")</f>
        <v/>
      </c>
    </row>
    <row r="309" spans="2:27">
      <c r="B309" s="24" t="str">
        <f>IF(A309="","",IF(LEFT(A309)&gt;"9",VLOOKUP(A309,yuanjidaimachichun,2,FALSE),VLOOKUP(A309,经纬!B:C,2,FALSE)))</f>
        <v/>
      </c>
      <c r="C309" s="8" t="str">
        <f t="shared" si="17"/>
        <v/>
      </c>
      <c r="D309" s="8" t="str">
        <f t="shared" si="18"/>
        <v/>
      </c>
      <c r="M309" s="24" t="str">
        <f t="array" ref="M309">LEFT(L309,MIN(FIND({"A","B","C"},MID(L309,2,LEN(L309))&amp;"ABC")))</f>
        <v/>
      </c>
      <c r="N309" s="24" t="str">
        <f t="array" ref="N309">SUBSTITUTE(L309,M309,"")</f>
        <v/>
      </c>
      <c r="W309" s="369" t="str">
        <f t="shared" si="16"/>
        <v/>
      </c>
      <c r="X309" s="258" t="str">
        <f t="shared" si="19"/>
        <v/>
      </c>
      <c r="Y309" s="36" t="str">
        <f t="shared" si="20"/>
        <v/>
      </c>
      <c r="Z309" s="340" t="str">
        <f>IF(AND(C309&gt;0,D309&lt;&gt;"",S309=""),VLOOKUP(A309&amp;IF(H309="黑丝","黑","白")&amp;E309,经纬!A:M,13,FALSE)*(I309-AB309),"")</f>
        <v/>
      </c>
      <c r="AA309" s="340" t="str">
        <f>IF(AND(C309&gt;0,D309&lt;&gt;"",S309=""),VLOOKUP(A309&amp;IF(H309="黑丝","黑","白")&amp;E309,经纬!A:N,14,FALSE)*(I309-AB309),"")</f>
        <v/>
      </c>
    </row>
    <row r="310" spans="2:27">
      <c r="B310" s="24" t="str">
        <f>IF(A310="","",IF(LEFT(A310)&gt;"9",VLOOKUP(A310,yuanjidaimachichun,2,FALSE),VLOOKUP(A310,经纬!B:C,2,FALSE)))</f>
        <v/>
      </c>
      <c r="C310" s="8" t="str">
        <f t="shared" si="17"/>
        <v/>
      </c>
      <c r="D310" s="8" t="str">
        <f t="shared" si="18"/>
        <v/>
      </c>
      <c r="M310" s="24" t="str">
        <f t="array" ref="M310">LEFT(L310,MIN(FIND({"A","B","C"},MID(L310,2,LEN(L310))&amp;"ABC")))</f>
        <v/>
      </c>
      <c r="N310" s="24" t="str">
        <f t="array" ref="N310">SUBSTITUTE(L310,M310,"")</f>
        <v/>
      </c>
      <c r="W310" s="369" t="str">
        <f t="shared" si="16"/>
        <v/>
      </c>
      <c r="X310" s="258" t="str">
        <f t="shared" si="19"/>
        <v/>
      </c>
      <c r="Y310" s="36" t="str">
        <f t="shared" si="20"/>
        <v/>
      </c>
      <c r="Z310" s="340" t="str">
        <f>IF(AND(C310&gt;0,D310&lt;&gt;"",S310=""),VLOOKUP(A310&amp;IF(H310="黑丝","黑","白")&amp;E310,经纬!A:M,13,FALSE)*(I310-AB310),"")</f>
        <v/>
      </c>
      <c r="AA310" s="340" t="str">
        <f>IF(AND(C310&gt;0,D310&lt;&gt;"",S310=""),VLOOKUP(A310&amp;IF(H310="黑丝","黑","白")&amp;E310,经纬!A:N,14,FALSE)*(I310-AB310),"")</f>
        <v/>
      </c>
    </row>
    <row r="311" spans="2:27">
      <c r="B311" s="24" t="str">
        <f>IF(A311="","",IF(LEFT(A311)&gt;"9",VLOOKUP(A311,yuanjidaimachichun,2,FALSE),VLOOKUP(A311,经纬!B:C,2,FALSE)))</f>
        <v/>
      </c>
      <c r="C311" s="8" t="str">
        <f t="shared" si="17"/>
        <v/>
      </c>
      <c r="D311" s="8" t="str">
        <f t="shared" si="18"/>
        <v/>
      </c>
      <c r="M311" s="24" t="str">
        <f t="array" ref="M311">LEFT(L311,MIN(FIND({"A","B","C"},MID(L311,2,LEN(L311))&amp;"ABC")))</f>
        <v/>
      </c>
      <c r="N311" s="24" t="str">
        <f t="array" ref="N311">SUBSTITUTE(L311,M311,"")</f>
        <v/>
      </c>
      <c r="W311" s="369" t="str">
        <f t="shared" si="16"/>
        <v/>
      </c>
      <c r="X311" s="258" t="str">
        <f t="shared" si="19"/>
        <v/>
      </c>
      <c r="Y311" s="36" t="str">
        <f t="shared" si="20"/>
        <v/>
      </c>
      <c r="Z311" s="340" t="str">
        <f>IF(AND(C311&gt;0,D311&lt;&gt;"",S311=""),VLOOKUP(A311&amp;IF(H311="黑丝","黑","白")&amp;E311,经纬!A:M,13,FALSE)*(I311-AB311),"")</f>
        <v/>
      </c>
      <c r="AA311" s="340" t="str">
        <f>IF(AND(C311&gt;0,D311&lt;&gt;"",S311=""),VLOOKUP(A311&amp;IF(H311="黑丝","黑","白")&amp;E311,经纬!A:N,14,FALSE)*(I311-AB311),"")</f>
        <v/>
      </c>
    </row>
    <row r="312" spans="2:27">
      <c r="B312" s="24" t="str">
        <f>IF(A312="","",IF(LEFT(A312)&gt;"9",VLOOKUP(A312,yuanjidaimachichun,2,FALSE),VLOOKUP(A312,经纬!B:C,2,FALSE)))</f>
        <v/>
      </c>
      <c r="C312" s="8" t="str">
        <f t="shared" si="17"/>
        <v/>
      </c>
      <c r="D312" s="8" t="str">
        <f t="shared" si="18"/>
        <v/>
      </c>
      <c r="M312" s="24" t="str">
        <f t="array" ref="M312">LEFT(L312,MIN(FIND({"A","B","C"},MID(L312,2,LEN(L312))&amp;"ABC")))</f>
        <v/>
      </c>
      <c r="N312" s="24" t="str">
        <f t="array" ref="N312">SUBSTITUTE(L312,M312,"")</f>
        <v/>
      </c>
      <c r="W312" s="369" t="str">
        <f t="shared" si="16"/>
        <v/>
      </c>
      <c r="X312" s="258" t="str">
        <f t="shared" si="19"/>
        <v/>
      </c>
      <c r="Y312" s="36" t="str">
        <f t="shared" si="20"/>
        <v/>
      </c>
      <c r="Z312" s="340" t="str">
        <f>IF(AND(C312&gt;0,D312&lt;&gt;"",S312=""),VLOOKUP(A312&amp;IF(H312="黑丝","黑","白")&amp;E312,经纬!A:M,13,FALSE)*(I312-AB312),"")</f>
        <v/>
      </c>
      <c r="AA312" s="340" t="str">
        <f>IF(AND(C312&gt;0,D312&lt;&gt;"",S312=""),VLOOKUP(A312&amp;IF(H312="黑丝","黑","白")&amp;E312,经纬!A:N,14,FALSE)*(I312-AB312),"")</f>
        <v/>
      </c>
    </row>
    <row r="313" spans="2:27">
      <c r="B313" s="24" t="str">
        <f>IF(A313="","",IF(LEFT(A313)&gt;"9",VLOOKUP(A313,yuanjidaimachichun,2,FALSE),VLOOKUP(A313,经纬!B:C,2,FALSE)))</f>
        <v/>
      </c>
      <c r="C313" s="8" t="str">
        <f t="shared" si="17"/>
        <v/>
      </c>
      <c r="D313" s="8" t="str">
        <f t="shared" si="18"/>
        <v/>
      </c>
      <c r="M313" s="24" t="str">
        <f t="array" ref="M313">LEFT(L313,MIN(FIND({"A","B","C"},MID(L313,2,LEN(L313))&amp;"ABC")))</f>
        <v/>
      </c>
      <c r="N313" s="24" t="str">
        <f t="array" ref="N313">SUBSTITUTE(L313,M313,"")</f>
        <v/>
      </c>
      <c r="W313" s="369" t="str">
        <f t="shared" si="16"/>
        <v/>
      </c>
      <c r="X313" s="258" t="str">
        <f t="shared" si="19"/>
        <v/>
      </c>
      <c r="Y313" s="36" t="str">
        <f t="shared" si="20"/>
        <v/>
      </c>
      <c r="Z313" s="340" t="str">
        <f>IF(AND(C313&gt;0,D313&lt;&gt;"",S313=""),VLOOKUP(A313&amp;IF(H313="黑丝","黑","白")&amp;E313,经纬!A:M,13,FALSE)*(I313-AB313),"")</f>
        <v/>
      </c>
      <c r="AA313" s="340" t="str">
        <f>IF(AND(C313&gt;0,D313&lt;&gt;"",S313=""),VLOOKUP(A313&amp;IF(H313="黑丝","黑","白")&amp;E313,经纬!A:N,14,FALSE)*(I313-AB313),"")</f>
        <v/>
      </c>
    </row>
    <row r="314" spans="2:27">
      <c r="B314" s="24" t="str">
        <f>IF(A314="","",IF(LEFT(A314)&gt;"9",VLOOKUP(A314,yuanjidaimachichun,2,FALSE),VLOOKUP(A314,经纬!B:C,2,FALSE)))</f>
        <v/>
      </c>
      <c r="C314" s="8" t="str">
        <f t="shared" si="17"/>
        <v/>
      </c>
      <c r="D314" s="8" t="str">
        <f t="shared" si="18"/>
        <v/>
      </c>
      <c r="M314" s="24" t="str">
        <f t="array" ref="M314">LEFT(L314,MIN(FIND({"A","B","C"},MID(L314,2,LEN(L314))&amp;"ABC")))</f>
        <v/>
      </c>
      <c r="N314" s="24" t="str">
        <f t="array" ref="N314">SUBSTITUTE(L314,M314,"")</f>
        <v/>
      </c>
      <c r="W314" s="369" t="str">
        <f t="shared" si="16"/>
        <v/>
      </c>
      <c r="X314" s="258" t="str">
        <f t="shared" si="19"/>
        <v/>
      </c>
      <c r="Y314" s="36" t="str">
        <f t="shared" si="20"/>
        <v/>
      </c>
      <c r="Z314" s="340" t="str">
        <f>IF(AND(C314&gt;0,D314&lt;&gt;"",S314=""),VLOOKUP(A314&amp;IF(H314="黑丝","黑","白")&amp;E314,经纬!A:M,13,FALSE)*(I314-AB314),"")</f>
        <v/>
      </c>
      <c r="AA314" s="340" t="str">
        <f>IF(AND(C314&gt;0,D314&lt;&gt;"",S314=""),VLOOKUP(A314&amp;IF(H314="黑丝","黑","白")&amp;E314,经纬!A:N,14,FALSE)*(I314-AB314),"")</f>
        <v/>
      </c>
    </row>
    <row r="315" spans="2:27">
      <c r="B315" s="24" t="str">
        <f>IF(A315="","",IF(LEFT(A315)&gt;"9",VLOOKUP(A315,yuanjidaimachichun,2,FALSE),VLOOKUP(A315,经纬!B:C,2,FALSE)))</f>
        <v/>
      </c>
      <c r="C315" s="8" t="str">
        <f t="shared" si="17"/>
        <v/>
      </c>
      <c r="D315" s="8" t="str">
        <f t="shared" si="18"/>
        <v/>
      </c>
      <c r="M315" s="24" t="str">
        <f t="array" ref="M315">LEFT(L315,MIN(FIND({"A","B","C"},MID(L315,2,LEN(L315))&amp;"ABC")))</f>
        <v/>
      </c>
      <c r="N315" s="24" t="str">
        <f t="array" ref="N315">SUBSTITUTE(L315,M315,"")</f>
        <v/>
      </c>
      <c r="W315" s="369" t="str">
        <f t="shared" si="16"/>
        <v/>
      </c>
      <c r="X315" s="258" t="str">
        <f t="shared" si="19"/>
        <v/>
      </c>
      <c r="Y315" s="36" t="str">
        <f t="shared" si="20"/>
        <v/>
      </c>
      <c r="Z315" s="340" t="str">
        <f>IF(AND(C315&gt;0,D315&lt;&gt;"",S315=""),VLOOKUP(A315&amp;IF(H315="黑丝","黑","白")&amp;E315,经纬!A:M,13,FALSE)*(I315-AB315),"")</f>
        <v/>
      </c>
      <c r="AA315" s="340" t="str">
        <f>IF(AND(C315&gt;0,D315&lt;&gt;"",S315=""),VLOOKUP(A315&amp;IF(H315="黑丝","黑","白")&amp;E315,经纬!A:N,14,FALSE)*(I315-AB315),"")</f>
        <v/>
      </c>
    </row>
    <row r="316" spans="2:27">
      <c r="B316" s="24" t="str">
        <f>IF(A316="","",IF(LEFT(A316)&gt;"9",VLOOKUP(A316,yuanjidaimachichun,2,FALSE),VLOOKUP(A316,经纬!B:C,2,FALSE)))</f>
        <v/>
      </c>
      <c r="C316" s="8" t="str">
        <f t="shared" si="17"/>
        <v/>
      </c>
      <c r="D316" s="8" t="str">
        <f t="shared" si="18"/>
        <v/>
      </c>
      <c r="M316" s="24" t="str">
        <f t="array" ref="M316">LEFT(L316,MIN(FIND({"A","B","C"},MID(L316,2,LEN(L316))&amp;"ABC")))</f>
        <v/>
      </c>
      <c r="N316" s="24" t="str">
        <f t="array" ref="N316">SUBSTITUTE(L316,M316,"")</f>
        <v/>
      </c>
      <c r="W316" s="369" t="str">
        <f t="shared" si="16"/>
        <v/>
      </c>
      <c r="X316" s="258" t="str">
        <f t="shared" si="19"/>
        <v/>
      </c>
      <c r="Y316" s="36" t="str">
        <f t="shared" si="20"/>
        <v/>
      </c>
      <c r="Z316" s="340" t="str">
        <f>IF(AND(C316&gt;0,D316&lt;&gt;"",S316=""),VLOOKUP(A316&amp;IF(H316="黑丝","黑","白")&amp;E316,经纬!A:M,13,FALSE)*(I316-AB316),"")</f>
        <v/>
      </c>
      <c r="AA316" s="340" t="str">
        <f>IF(AND(C316&gt;0,D316&lt;&gt;"",S316=""),VLOOKUP(A316&amp;IF(H316="黑丝","黑","白")&amp;E316,经纬!A:N,14,FALSE)*(I316-AB316),"")</f>
        <v/>
      </c>
    </row>
    <row r="317" spans="2:27">
      <c r="B317" s="24" t="str">
        <f>IF(A317="","",IF(LEFT(A317)&gt;"9",VLOOKUP(A317,yuanjidaimachichun,2,FALSE),VLOOKUP(A317,经纬!B:C,2,FALSE)))</f>
        <v/>
      </c>
      <c r="C317" s="8" t="str">
        <f t="shared" si="17"/>
        <v/>
      </c>
      <c r="D317" s="8" t="str">
        <f t="shared" si="18"/>
        <v/>
      </c>
      <c r="M317" s="24" t="str">
        <f t="array" ref="M317">LEFT(L317,MIN(FIND({"A","B","C"},MID(L317,2,LEN(L317))&amp;"ABC")))</f>
        <v/>
      </c>
      <c r="N317" s="24" t="str">
        <f t="array" ref="N317">SUBSTITUTE(L317,M317,"")</f>
        <v/>
      </c>
      <c r="W317" s="369" t="str">
        <f t="shared" si="16"/>
        <v/>
      </c>
      <c r="X317" s="258" t="str">
        <f t="shared" si="19"/>
        <v/>
      </c>
      <c r="Y317" s="36" t="str">
        <f t="shared" si="20"/>
        <v/>
      </c>
      <c r="Z317" s="340" t="str">
        <f>IF(AND(C317&gt;0,D317&lt;&gt;"",S317=""),VLOOKUP(A317&amp;IF(H317="黑丝","黑","白")&amp;E317,经纬!A:M,13,FALSE)*(I317-AB317),"")</f>
        <v/>
      </c>
      <c r="AA317" s="340" t="str">
        <f>IF(AND(C317&gt;0,D317&lt;&gt;"",S317=""),VLOOKUP(A317&amp;IF(H317="黑丝","黑","白")&amp;E317,经纬!A:N,14,FALSE)*(I317-AB317),"")</f>
        <v/>
      </c>
    </row>
    <row r="318" spans="2:27">
      <c r="B318" s="24" t="str">
        <f>IF(A318="","",IF(LEFT(A318)&gt;"9",VLOOKUP(A318,yuanjidaimachichun,2,FALSE),VLOOKUP(A318,经纬!B:C,2,FALSE)))</f>
        <v/>
      </c>
      <c r="C318" s="8" t="str">
        <f t="shared" si="17"/>
        <v/>
      </c>
      <c r="D318" s="8" t="str">
        <f t="shared" si="18"/>
        <v/>
      </c>
      <c r="M318" s="24" t="str">
        <f t="array" ref="M318">LEFT(L318,MIN(FIND({"A","B","C"},MID(L318,2,LEN(L318))&amp;"ABC")))</f>
        <v/>
      </c>
      <c r="N318" s="24" t="str">
        <f t="array" ref="N318">SUBSTITUTE(L318,M318,"")</f>
        <v/>
      </c>
      <c r="W318" s="369" t="str">
        <f t="shared" si="16"/>
        <v/>
      </c>
      <c r="X318" s="258" t="str">
        <f t="shared" si="19"/>
        <v/>
      </c>
      <c r="Y318" s="36" t="str">
        <f t="shared" si="20"/>
        <v/>
      </c>
      <c r="Z318" s="340" t="str">
        <f>IF(AND(C318&gt;0,D318&lt;&gt;"",S318=""),VLOOKUP(A318&amp;IF(H318="黑丝","黑","白")&amp;E318,经纬!A:M,13,FALSE)*(I318-AB318),"")</f>
        <v/>
      </c>
      <c r="AA318" s="340" t="str">
        <f>IF(AND(C318&gt;0,D318&lt;&gt;"",S318=""),VLOOKUP(A318&amp;IF(H318="黑丝","黑","白")&amp;E318,经纬!A:N,14,FALSE)*(I318-AB318),"")</f>
        <v/>
      </c>
    </row>
    <row r="319" spans="2:27">
      <c r="B319" s="24" t="str">
        <f>IF(A319="","",IF(LEFT(A319)&gt;"9",VLOOKUP(A319,yuanjidaimachichun,2,FALSE),VLOOKUP(A319,经纬!B:C,2,FALSE)))</f>
        <v/>
      </c>
      <c r="C319" s="8" t="str">
        <f t="shared" si="17"/>
        <v/>
      </c>
      <c r="D319" s="8" t="str">
        <f t="shared" si="18"/>
        <v/>
      </c>
      <c r="M319" s="24" t="str">
        <f t="array" ref="M319">LEFT(L319,MIN(FIND({"A","B","C"},MID(L319,2,LEN(L319))&amp;"ABC")))</f>
        <v/>
      </c>
      <c r="N319" s="24" t="str">
        <f t="array" ref="N319">SUBSTITUTE(L319,M319,"")</f>
        <v/>
      </c>
      <c r="W319" s="369" t="str">
        <f t="shared" si="16"/>
        <v/>
      </c>
      <c r="X319" s="258" t="str">
        <f t="shared" si="19"/>
        <v/>
      </c>
      <c r="Y319" s="36" t="str">
        <f t="shared" si="20"/>
        <v/>
      </c>
      <c r="Z319" s="340" t="str">
        <f>IF(AND(C319&gt;0,D319&lt;&gt;"",S319=""),VLOOKUP(A319&amp;IF(H319="黑丝","黑","白")&amp;E319,经纬!A:M,13,FALSE)*(I319-AB319),"")</f>
        <v/>
      </c>
      <c r="AA319" s="340" t="str">
        <f>IF(AND(C319&gt;0,D319&lt;&gt;"",S319=""),VLOOKUP(A319&amp;IF(H319="黑丝","黑","白")&amp;E319,经纬!A:N,14,FALSE)*(I319-AB319),"")</f>
        <v/>
      </c>
    </row>
    <row r="320" spans="2:27">
      <c r="B320" s="24" t="str">
        <f>IF(A320="","",IF(LEFT(A320)&gt;"9",VLOOKUP(A320,yuanjidaimachichun,2,FALSE),VLOOKUP(A320,经纬!B:C,2,FALSE)))</f>
        <v/>
      </c>
      <c r="C320" s="8" t="str">
        <f t="shared" si="17"/>
        <v/>
      </c>
      <c r="D320" s="8" t="str">
        <f t="shared" si="18"/>
        <v/>
      </c>
      <c r="M320" s="24" t="str">
        <f t="array" ref="M320">LEFT(L320,MIN(FIND({"A","B","C"},MID(L320,2,LEN(L320))&amp;"ABC")))</f>
        <v/>
      </c>
      <c r="N320" s="24" t="str">
        <f t="array" ref="N320">SUBSTITUTE(L320,M320,"")</f>
        <v/>
      </c>
      <c r="W320" s="369" t="str">
        <f t="shared" si="16"/>
        <v/>
      </c>
      <c r="X320" s="258" t="str">
        <f t="shared" si="19"/>
        <v/>
      </c>
      <c r="Y320" s="36" t="str">
        <f t="shared" si="20"/>
        <v/>
      </c>
      <c r="Z320" s="340" t="str">
        <f>IF(AND(C320&gt;0,D320&lt;&gt;"",S320=""),VLOOKUP(A320&amp;IF(H320="黑丝","黑","白")&amp;E320,经纬!A:M,13,FALSE)*(I320-AB320),"")</f>
        <v/>
      </c>
      <c r="AA320" s="340" t="str">
        <f>IF(AND(C320&gt;0,D320&lt;&gt;"",S320=""),VLOOKUP(A320&amp;IF(H320="黑丝","黑","白")&amp;E320,经纬!A:N,14,FALSE)*(I320-AB320),"")</f>
        <v/>
      </c>
    </row>
    <row r="321" spans="2:27">
      <c r="B321" s="24" t="str">
        <f>IF(A321="","",IF(LEFT(A321)&gt;"9",VLOOKUP(A321,yuanjidaimachichun,2,FALSE),VLOOKUP(A321,经纬!B:C,2,FALSE)))</f>
        <v/>
      </c>
      <c r="C321" s="8" t="str">
        <f t="shared" si="17"/>
        <v/>
      </c>
      <c r="D321" s="8" t="str">
        <f t="shared" si="18"/>
        <v/>
      </c>
      <c r="M321" s="24" t="str">
        <f t="array" ref="M321">LEFT(L321,MIN(FIND({"A","B","C"},MID(L321,2,LEN(L321))&amp;"ABC")))</f>
        <v/>
      </c>
      <c r="N321" s="24" t="str">
        <f t="array" ref="N321">SUBSTITUTE(L321,M321,"")</f>
        <v/>
      </c>
      <c r="W321" s="369" t="str">
        <f t="shared" si="16"/>
        <v/>
      </c>
      <c r="X321" s="258" t="str">
        <f t="shared" si="19"/>
        <v/>
      </c>
      <c r="Y321" s="36" t="str">
        <f t="shared" si="20"/>
        <v/>
      </c>
      <c r="Z321" s="340" t="str">
        <f>IF(AND(C321&gt;0,D321&lt;&gt;"",S321=""),VLOOKUP(A321&amp;IF(H321="黑丝","黑","白")&amp;E321,经纬!A:M,13,FALSE)*(I321-AB321),"")</f>
        <v/>
      </c>
      <c r="AA321" s="340" t="str">
        <f>IF(AND(C321&gt;0,D321&lt;&gt;"",S321=""),VLOOKUP(A321&amp;IF(H321="黑丝","黑","白")&amp;E321,经纬!A:N,14,FALSE)*(I321-AB321),"")</f>
        <v/>
      </c>
    </row>
    <row r="322" spans="2:27">
      <c r="B322" s="24" t="str">
        <f>IF(A322="","",IF(LEFT(A322)&gt;"9",VLOOKUP(A322,yuanjidaimachichun,2,FALSE),VLOOKUP(A322,经纬!B:C,2,FALSE)))</f>
        <v/>
      </c>
      <c r="C322" s="8" t="str">
        <f t="shared" si="17"/>
        <v/>
      </c>
      <c r="D322" s="8" t="str">
        <f t="shared" si="18"/>
        <v/>
      </c>
      <c r="M322" s="24" t="str">
        <f t="array" ref="M322">LEFT(L322,MIN(FIND({"A","B","C"},MID(L322,2,LEN(L322))&amp;"ABC")))</f>
        <v/>
      </c>
      <c r="N322" s="24" t="str">
        <f t="array" ref="N322">SUBSTITUTE(L322,M322,"")</f>
        <v/>
      </c>
      <c r="W322" s="369" t="str">
        <f t="shared" si="16"/>
        <v/>
      </c>
      <c r="X322" s="258" t="str">
        <f t="shared" si="19"/>
        <v/>
      </c>
      <c r="Y322" s="36" t="str">
        <f t="shared" si="20"/>
        <v/>
      </c>
      <c r="Z322" s="340" t="str">
        <f>IF(AND(C322&gt;0,D322&lt;&gt;"",S322=""),VLOOKUP(A322&amp;IF(H322="黑丝","黑","白")&amp;E322,经纬!A:M,13,FALSE)*(I322-AB322),"")</f>
        <v/>
      </c>
      <c r="AA322" s="340" t="str">
        <f>IF(AND(C322&gt;0,D322&lt;&gt;"",S322=""),VLOOKUP(A322&amp;IF(H322="黑丝","黑","白")&amp;E322,经纬!A:N,14,FALSE)*(I322-AB322),"")</f>
        <v/>
      </c>
    </row>
    <row r="323" spans="2:27">
      <c r="B323" s="24" t="str">
        <f>IF(A323="","",IF(LEFT(A323)&gt;"9",VLOOKUP(A323,yuanjidaimachichun,2,FALSE),VLOOKUP(A323,经纬!B:C,2,FALSE)))</f>
        <v/>
      </c>
      <c r="C323" s="8" t="str">
        <f t="shared" si="17"/>
        <v/>
      </c>
      <c r="D323" s="8" t="str">
        <f t="shared" si="18"/>
        <v/>
      </c>
      <c r="M323" s="24" t="str">
        <f t="array" ref="M323">LEFT(L323,MIN(FIND({"A","B","C"},MID(L323,2,LEN(L323))&amp;"ABC")))</f>
        <v/>
      </c>
      <c r="N323" s="24" t="str">
        <f t="array" ref="N323">SUBSTITUTE(L323,M323,"")</f>
        <v/>
      </c>
      <c r="W323" s="369" t="str">
        <f t="shared" ref="W323:W386" si="21">IF(A323="","",IF(S323&lt;&gt;"","",IF(D323&lt;&gt;"",(I323-AB323),Y323*IF(H323="黑丝",22,20)*0.9144/((K323/1000)*((G323+2)/100)))))</f>
        <v/>
      </c>
      <c r="X323" s="258" t="str">
        <f t="shared" si="19"/>
        <v/>
      </c>
      <c r="Y323" s="36" t="str">
        <f t="shared" si="20"/>
        <v/>
      </c>
      <c r="Z323" s="340" t="str">
        <f>IF(AND(C323&gt;0,D323&lt;&gt;"",S323=""),VLOOKUP(A323&amp;IF(H323="黑丝","黑","白")&amp;E323,经纬!A:M,13,FALSE)*(I323-AB323),"")</f>
        <v/>
      </c>
      <c r="AA323" s="340" t="str">
        <f>IF(AND(C323&gt;0,D323&lt;&gt;"",S323=""),VLOOKUP(A323&amp;IF(H323="黑丝","黑","白")&amp;E323,经纬!A:N,14,FALSE)*(I323-AB323),"")</f>
        <v/>
      </c>
    </row>
    <row r="324" spans="2:27">
      <c r="B324" s="24" t="str">
        <f>IF(A324="","",IF(LEFT(A324)&gt;"9",VLOOKUP(A324,yuanjidaimachichun,2,FALSE),VLOOKUP(A324,经纬!B:C,2,FALSE)))</f>
        <v/>
      </c>
      <c r="C324" s="8" t="str">
        <f t="shared" si="17"/>
        <v/>
      </c>
      <c r="D324" s="8" t="str">
        <f t="shared" si="18"/>
        <v/>
      </c>
      <c r="M324" s="24" t="str">
        <f t="array" ref="M324">LEFT(L324,MIN(FIND({"A","B","C"},MID(L324,2,LEN(L324))&amp;"ABC")))</f>
        <v/>
      </c>
      <c r="N324" s="24" t="str">
        <f t="array" ref="N324">SUBSTITUTE(L324,M324,"")</f>
        <v/>
      </c>
      <c r="W324" s="369" t="str">
        <f t="shared" si="21"/>
        <v/>
      </c>
      <c r="X324" s="258" t="str">
        <f t="shared" si="19"/>
        <v/>
      </c>
      <c r="Y324" s="36" t="str">
        <f t="shared" si="20"/>
        <v/>
      </c>
      <c r="Z324" s="340" t="str">
        <f>IF(AND(C324&gt;0,D324&lt;&gt;"",S324=""),VLOOKUP(A324&amp;IF(H324="黑丝","黑","白")&amp;E324,经纬!A:M,13,FALSE)*(I324-AB324),"")</f>
        <v/>
      </c>
      <c r="AA324" s="340" t="str">
        <f>IF(AND(C324&gt;0,D324&lt;&gt;"",S324=""),VLOOKUP(A324&amp;IF(H324="黑丝","黑","白")&amp;E324,经纬!A:N,14,FALSE)*(I324-AB324),"")</f>
        <v/>
      </c>
    </row>
    <row r="325" spans="2:27">
      <c r="B325" s="24" t="str">
        <f>IF(A325="","",IF(LEFT(A325)&gt;"9",VLOOKUP(A325,yuanjidaimachichun,2,FALSE),VLOOKUP(A325,经纬!B:C,2,FALSE)))</f>
        <v/>
      </c>
      <c r="C325" s="8" t="str">
        <f t="shared" si="17"/>
        <v/>
      </c>
      <c r="D325" s="8" t="str">
        <f t="shared" si="18"/>
        <v/>
      </c>
      <c r="M325" s="24" t="str">
        <f t="array" ref="M325">LEFT(L325,MIN(FIND({"A","B","C"},MID(L325,2,LEN(L325))&amp;"ABC")))</f>
        <v/>
      </c>
      <c r="N325" s="24" t="str">
        <f t="array" ref="N325">SUBSTITUTE(L325,M325,"")</f>
        <v/>
      </c>
      <c r="W325" s="369" t="str">
        <f t="shared" si="21"/>
        <v/>
      </c>
      <c r="X325" s="258" t="str">
        <f t="shared" si="19"/>
        <v/>
      </c>
      <c r="Y325" s="36" t="str">
        <f t="shared" si="20"/>
        <v/>
      </c>
      <c r="Z325" s="340" t="str">
        <f>IF(AND(C325&gt;0,D325&lt;&gt;"",S325=""),VLOOKUP(A325&amp;IF(H325="黑丝","黑","白")&amp;E325,经纬!A:M,13,FALSE)*(I325-AB325),"")</f>
        <v/>
      </c>
      <c r="AA325" s="340" t="str">
        <f>IF(AND(C325&gt;0,D325&lt;&gt;"",S325=""),VLOOKUP(A325&amp;IF(H325="黑丝","黑","白")&amp;E325,经纬!A:N,14,FALSE)*(I325-AB325),"")</f>
        <v/>
      </c>
    </row>
    <row r="326" spans="2:27">
      <c r="B326" s="24" t="str">
        <f>IF(A326="","",IF(LEFT(A326)&gt;"9",VLOOKUP(A326,yuanjidaimachichun,2,FALSE),VLOOKUP(A326,经纬!B:C,2,FALSE)))</f>
        <v/>
      </c>
      <c r="C326" s="8" t="str">
        <f t="shared" si="17"/>
        <v/>
      </c>
      <c r="D326" s="8" t="str">
        <f t="shared" si="18"/>
        <v/>
      </c>
      <c r="M326" s="24" t="str">
        <f t="array" ref="M326">LEFT(L326,MIN(FIND({"A","B","C"},MID(L326,2,LEN(L326))&amp;"ABC")))</f>
        <v/>
      </c>
      <c r="N326" s="24" t="str">
        <f t="array" ref="N326">SUBSTITUTE(L326,M326,"")</f>
        <v/>
      </c>
      <c r="W326" s="369" t="str">
        <f t="shared" si="21"/>
        <v/>
      </c>
      <c r="X326" s="258" t="str">
        <f t="shared" si="19"/>
        <v/>
      </c>
      <c r="Y326" s="36" t="str">
        <f t="shared" si="20"/>
        <v/>
      </c>
      <c r="Z326" s="340" t="str">
        <f>IF(AND(C326&gt;0,D326&lt;&gt;"",S326=""),VLOOKUP(A326&amp;IF(H326="黑丝","黑","白")&amp;E326,经纬!A:M,13,FALSE)*(I326-AB326),"")</f>
        <v/>
      </c>
      <c r="AA326" s="340" t="str">
        <f>IF(AND(C326&gt;0,D326&lt;&gt;"",S326=""),VLOOKUP(A326&amp;IF(H326="黑丝","黑","白")&amp;E326,经纬!A:N,14,FALSE)*(I326-AB326),"")</f>
        <v/>
      </c>
    </row>
    <row r="327" spans="2:27">
      <c r="B327" s="24" t="str">
        <f>IF(A327="","",IF(LEFT(A327)&gt;"9",VLOOKUP(A327,yuanjidaimachichun,2,FALSE),VLOOKUP(A327,经纬!B:C,2,FALSE)))</f>
        <v/>
      </c>
      <c r="C327" s="8" t="str">
        <f t="shared" si="17"/>
        <v/>
      </c>
      <c r="D327" s="8" t="str">
        <f t="shared" si="18"/>
        <v/>
      </c>
      <c r="M327" s="24" t="str">
        <f t="array" ref="M327">LEFT(L327,MIN(FIND({"A","B","C"},MID(L327,2,LEN(L327))&amp;"ABC")))</f>
        <v/>
      </c>
      <c r="N327" s="24" t="str">
        <f t="array" ref="N327">SUBSTITUTE(L327,M327,"")</f>
        <v/>
      </c>
      <c r="W327" s="369" t="str">
        <f t="shared" si="21"/>
        <v/>
      </c>
      <c r="X327" s="258" t="str">
        <f t="shared" si="19"/>
        <v/>
      </c>
      <c r="Y327" s="36" t="str">
        <f t="shared" si="20"/>
        <v/>
      </c>
      <c r="Z327" s="340" t="str">
        <f>IF(AND(C327&gt;0,D327&lt;&gt;"",S327=""),VLOOKUP(A327&amp;IF(H327="黑丝","黑","白")&amp;E327,经纬!A:M,13,FALSE)*(I327-AB327),"")</f>
        <v/>
      </c>
      <c r="AA327" s="340" t="str">
        <f>IF(AND(C327&gt;0,D327&lt;&gt;"",S327=""),VLOOKUP(A327&amp;IF(H327="黑丝","黑","白")&amp;E327,经纬!A:N,14,FALSE)*(I327-AB327),"")</f>
        <v/>
      </c>
    </row>
    <row r="328" spans="2:27">
      <c r="B328" s="24" t="str">
        <f>IF(A328="","",IF(LEFT(A328)&gt;"9",VLOOKUP(A328,yuanjidaimachichun,2,FALSE),VLOOKUP(A328,经纬!B:C,2,FALSE)))</f>
        <v/>
      </c>
      <c r="C328" s="8" t="str">
        <f t="shared" si="17"/>
        <v/>
      </c>
      <c r="D328" s="8" t="str">
        <f t="shared" si="18"/>
        <v/>
      </c>
      <c r="M328" s="24" t="str">
        <f t="array" ref="M328">LEFT(L328,MIN(FIND({"A","B","C"},MID(L328,2,LEN(L328))&amp;"ABC")))</f>
        <v/>
      </c>
      <c r="N328" s="24" t="str">
        <f t="array" ref="N328">SUBSTITUTE(L328,M328,"")</f>
        <v/>
      </c>
      <c r="W328" s="369" t="str">
        <f t="shared" si="21"/>
        <v/>
      </c>
      <c r="X328" s="258" t="str">
        <f t="shared" si="19"/>
        <v/>
      </c>
      <c r="Y328" s="36" t="str">
        <f t="shared" si="20"/>
        <v/>
      </c>
      <c r="Z328" s="340" t="str">
        <f>IF(AND(C328&gt;0,D328&lt;&gt;"",S328=""),VLOOKUP(A328&amp;IF(H328="黑丝","黑","白")&amp;E328,经纬!A:M,13,FALSE)*(I328-AB328),"")</f>
        <v/>
      </c>
      <c r="AA328" s="340" t="str">
        <f>IF(AND(C328&gt;0,D328&lt;&gt;"",S328=""),VLOOKUP(A328&amp;IF(H328="黑丝","黑","白")&amp;E328,经纬!A:N,14,FALSE)*(I328-AB328),"")</f>
        <v/>
      </c>
    </row>
    <row r="329" spans="2:27">
      <c r="B329" s="24" t="str">
        <f>IF(A329="","",IF(LEFT(A329)&gt;"9",VLOOKUP(A329,yuanjidaimachichun,2,FALSE),VLOOKUP(A329,经纬!B:C,2,FALSE)))</f>
        <v/>
      </c>
      <c r="C329" s="8" t="str">
        <f t="shared" si="17"/>
        <v/>
      </c>
      <c r="D329" s="8" t="str">
        <f t="shared" si="18"/>
        <v/>
      </c>
      <c r="M329" s="24" t="str">
        <f t="array" ref="M329">LEFT(L329,MIN(FIND({"A","B","C"},MID(L329,2,LEN(L329))&amp;"ABC")))</f>
        <v/>
      </c>
      <c r="N329" s="24" t="str">
        <f t="array" ref="N329">SUBSTITUTE(L329,M329,"")</f>
        <v/>
      </c>
      <c r="W329" s="369" t="str">
        <f t="shared" si="21"/>
        <v/>
      </c>
      <c r="X329" s="258" t="str">
        <f t="shared" si="19"/>
        <v/>
      </c>
      <c r="Y329" s="36" t="str">
        <f t="shared" si="20"/>
        <v/>
      </c>
      <c r="Z329" s="340" t="str">
        <f>IF(AND(C329&gt;0,D329&lt;&gt;"",S329=""),VLOOKUP(A329&amp;IF(H329="黑丝","黑","白")&amp;E329,经纬!A:M,13,FALSE)*(I329-AB329),"")</f>
        <v/>
      </c>
      <c r="AA329" s="340" t="str">
        <f>IF(AND(C329&gt;0,D329&lt;&gt;"",S329=""),VLOOKUP(A329&amp;IF(H329="黑丝","黑","白")&amp;E329,经纬!A:N,14,FALSE)*(I329-AB329),"")</f>
        <v/>
      </c>
    </row>
    <row r="330" spans="2:27">
      <c r="B330" s="24" t="str">
        <f>IF(A330="","",IF(LEFT(A330)&gt;"9",VLOOKUP(A330,yuanjidaimachichun,2,FALSE),VLOOKUP(A330,经纬!B:C,2,FALSE)))</f>
        <v/>
      </c>
      <c r="C330" s="8" t="str">
        <f t="shared" si="17"/>
        <v/>
      </c>
      <c r="D330" s="8" t="str">
        <f t="shared" si="18"/>
        <v/>
      </c>
      <c r="M330" s="24" t="str">
        <f t="array" ref="M330">LEFT(L330,MIN(FIND({"A","B","C"},MID(L330,2,LEN(L330))&amp;"ABC")))</f>
        <v/>
      </c>
      <c r="N330" s="24" t="str">
        <f t="array" ref="N330">SUBSTITUTE(L330,M330,"")</f>
        <v/>
      </c>
      <c r="W330" s="369" t="str">
        <f t="shared" si="21"/>
        <v/>
      </c>
      <c r="X330" s="258" t="str">
        <f t="shared" si="19"/>
        <v/>
      </c>
      <c r="Y330" s="36" t="str">
        <f t="shared" si="20"/>
        <v/>
      </c>
      <c r="Z330" s="340" t="str">
        <f>IF(AND(C330&gt;0,D330&lt;&gt;"",S330=""),VLOOKUP(A330&amp;IF(H330="黑丝","黑","白")&amp;E330,经纬!A:M,13,FALSE)*(I330-AB330),"")</f>
        <v/>
      </c>
      <c r="AA330" s="340" t="str">
        <f>IF(AND(C330&gt;0,D330&lt;&gt;"",S330=""),VLOOKUP(A330&amp;IF(H330="黑丝","黑","白")&amp;E330,经纬!A:N,14,FALSE)*(I330-AB330),"")</f>
        <v/>
      </c>
    </row>
    <row r="331" spans="2:27">
      <c r="B331" s="24" t="str">
        <f>IF(A331="","",IF(LEFT(A331)&gt;"9",VLOOKUP(A331,yuanjidaimachichun,2,FALSE),VLOOKUP(A331,经纬!B:C,2,FALSE)))</f>
        <v/>
      </c>
      <c r="C331" s="8" t="str">
        <f t="shared" si="17"/>
        <v/>
      </c>
      <c r="D331" s="8" t="str">
        <f t="shared" si="18"/>
        <v/>
      </c>
      <c r="M331" s="24" t="str">
        <f t="array" ref="M331">LEFT(L331,MIN(FIND({"A","B","C"},MID(L331,2,LEN(L331))&amp;"ABC")))</f>
        <v/>
      </c>
      <c r="N331" s="24" t="str">
        <f t="array" ref="N331">SUBSTITUTE(L331,M331,"")</f>
        <v/>
      </c>
      <c r="W331" s="369" t="str">
        <f t="shared" si="21"/>
        <v/>
      </c>
      <c r="X331" s="258" t="str">
        <f t="shared" si="19"/>
        <v/>
      </c>
      <c r="Y331" s="36" t="str">
        <f t="shared" si="20"/>
        <v/>
      </c>
      <c r="Z331" s="340" t="str">
        <f>IF(AND(C331&gt;0,D331&lt;&gt;"",S331=""),VLOOKUP(A331&amp;IF(H331="黑丝","黑","白")&amp;E331,经纬!A:M,13,FALSE)*(I331-AB331),"")</f>
        <v/>
      </c>
      <c r="AA331" s="340" t="str">
        <f>IF(AND(C331&gt;0,D331&lt;&gt;"",S331=""),VLOOKUP(A331&amp;IF(H331="黑丝","黑","白")&amp;E331,经纬!A:N,14,FALSE)*(I331-AB331),"")</f>
        <v/>
      </c>
    </row>
    <row r="332" spans="2:27">
      <c r="B332" s="24" t="str">
        <f>IF(A332="","",IF(LEFT(A332)&gt;"9",VLOOKUP(A332,yuanjidaimachichun,2,FALSE),VLOOKUP(A332,经纬!B:C,2,FALSE)))</f>
        <v/>
      </c>
      <c r="C332" s="8" t="str">
        <f t="shared" si="17"/>
        <v/>
      </c>
      <c r="D332" s="8" t="str">
        <f t="shared" si="18"/>
        <v/>
      </c>
      <c r="M332" s="24" t="str">
        <f t="array" ref="M332">LEFT(L332,MIN(FIND({"A","B","C"},MID(L332,2,LEN(L332))&amp;"ABC")))</f>
        <v/>
      </c>
      <c r="N332" s="24" t="str">
        <f t="array" ref="N332">SUBSTITUTE(L332,M332,"")</f>
        <v/>
      </c>
      <c r="W332" s="369" t="str">
        <f t="shared" si="21"/>
        <v/>
      </c>
      <c r="X332" s="258" t="str">
        <f t="shared" si="19"/>
        <v/>
      </c>
      <c r="Y332" s="36" t="str">
        <f t="shared" si="20"/>
        <v/>
      </c>
      <c r="Z332" s="340" t="str">
        <f>IF(AND(C332&gt;0,D332&lt;&gt;"",S332=""),VLOOKUP(A332&amp;IF(H332="黑丝","黑","白")&amp;E332,经纬!A:M,13,FALSE)*(I332-AB332),"")</f>
        <v/>
      </c>
      <c r="AA332" s="340" t="str">
        <f>IF(AND(C332&gt;0,D332&lt;&gt;"",S332=""),VLOOKUP(A332&amp;IF(H332="黑丝","黑","白")&amp;E332,经纬!A:N,14,FALSE)*(I332-AB332),"")</f>
        <v/>
      </c>
    </row>
    <row r="333" spans="2:27">
      <c r="B333" s="24" t="str">
        <f>IF(A333="","",IF(LEFT(A333)&gt;"9",VLOOKUP(A333,yuanjidaimachichun,2,FALSE),VLOOKUP(A333,经纬!B:C,2,FALSE)))</f>
        <v/>
      </c>
      <c r="C333" s="8" t="str">
        <f t="shared" si="17"/>
        <v/>
      </c>
      <c r="D333" s="8" t="str">
        <f t="shared" si="18"/>
        <v/>
      </c>
      <c r="M333" s="24" t="str">
        <f t="array" ref="M333">LEFT(L333,MIN(FIND({"A","B","C"},MID(L333,2,LEN(L333))&amp;"ABC")))</f>
        <v/>
      </c>
      <c r="N333" s="24" t="str">
        <f t="array" ref="N333">SUBSTITUTE(L333,M333,"")</f>
        <v/>
      </c>
      <c r="W333" s="369" t="str">
        <f t="shared" si="21"/>
        <v/>
      </c>
      <c r="X333" s="258" t="str">
        <f t="shared" si="19"/>
        <v/>
      </c>
      <c r="Y333" s="36" t="str">
        <f t="shared" si="20"/>
        <v/>
      </c>
      <c r="Z333" s="340" t="str">
        <f>IF(AND(C333&gt;0,D333&lt;&gt;"",S333=""),VLOOKUP(A333&amp;IF(H333="黑丝","黑","白")&amp;E333,经纬!A:M,13,FALSE)*(I333-AB333),"")</f>
        <v/>
      </c>
      <c r="AA333" s="340" t="str">
        <f>IF(AND(C333&gt;0,D333&lt;&gt;"",S333=""),VLOOKUP(A333&amp;IF(H333="黑丝","黑","白")&amp;E333,经纬!A:N,14,FALSE)*(I333-AB333),"")</f>
        <v/>
      </c>
    </row>
    <row r="334" spans="2:27">
      <c r="B334" s="24" t="str">
        <f>IF(A334="","",IF(LEFT(A334)&gt;"9",VLOOKUP(A334,yuanjidaimachichun,2,FALSE),VLOOKUP(A334,经纬!B:C,2,FALSE)))</f>
        <v/>
      </c>
      <c r="C334" s="8" t="str">
        <f t="shared" si="17"/>
        <v/>
      </c>
      <c r="D334" s="8" t="str">
        <f t="shared" si="18"/>
        <v/>
      </c>
      <c r="M334" s="24" t="str">
        <f t="array" ref="M334">LEFT(L334,MIN(FIND({"A","B","C"},MID(L334,2,LEN(L334))&amp;"ABC")))</f>
        <v/>
      </c>
      <c r="N334" s="24" t="str">
        <f t="array" ref="N334">SUBSTITUTE(L334,M334,"")</f>
        <v/>
      </c>
      <c r="W334" s="369" t="str">
        <f t="shared" si="21"/>
        <v/>
      </c>
      <c r="X334" s="258" t="str">
        <f t="shared" si="19"/>
        <v/>
      </c>
      <c r="Y334" s="36" t="str">
        <f t="shared" si="20"/>
        <v/>
      </c>
      <c r="Z334" s="340" t="str">
        <f>IF(AND(C334&gt;0,D334&lt;&gt;"",S334=""),VLOOKUP(A334&amp;IF(H334="黑丝","黑","白")&amp;E334,经纬!A:M,13,FALSE)*(I334-AB334),"")</f>
        <v/>
      </c>
      <c r="AA334" s="340" t="str">
        <f>IF(AND(C334&gt;0,D334&lt;&gt;"",S334=""),VLOOKUP(A334&amp;IF(H334="黑丝","黑","白")&amp;E334,经纬!A:N,14,FALSE)*(I334-AB334),"")</f>
        <v/>
      </c>
    </row>
    <row r="335" spans="2:27">
      <c r="B335" s="24" t="str">
        <f>IF(A335="","",IF(LEFT(A335)&gt;"9",VLOOKUP(A335,yuanjidaimachichun,2,FALSE),VLOOKUP(A335,经纬!B:C,2,FALSE)))</f>
        <v/>
      </c>
      <c r="C335" s="8" t="str">
        <f t="shared" si="17"/>
        <v/>
      </c>
      <c r="D335" s="8" t="str">
        <f t="shared" si="18"/>
        <v/>
      </c>
      <c r="M335" s="24" t="str">
        <f t="array" ref="M335">LEFT(L335,MIN(FIND({"A","B","C"},MID(L335,2,LEN(L335))&amp;"ABC")))</f>
        <v/>
      </c>
      <c r="N335" s="24" t="str">
        <f t="array" ref="N335">SUBSTITUTE(L335,M335,"")</f>
        <v/>
      </c>
      <c r="W335" s="369" t="str">
        <f t="shared" si="21"/>
        <v/>
      </c>
      <c r="X335" s="258" t="str">
        <f t="shared" si="19"/>
        <v/>
      </c>
      <c r="Y335" s="36" t="str">
        <f t="shared" si="20"/>
        <v/>
      </c>
      <c r="Z335" s="340" t="str">
        <f>IF(AND(C335&gt;0,D335&lt;&gt;"",S335=""),VLOOKUP(A335&amp;IF(H335="黑丝","黑","白")&amp;E335,经纬!A:M,13,FALSE)*(I335-AB335),"")</f>
        <v/>
      </c>
      <c r="AA335" s="340" t="str">
        <f>IF(AND(C335&gt;0,D335&lt;&gt;"",S335=""),VLOOKUP(A335&amp;IF(H335="黑丝","黑","白")&amp;E335,经纬!A:N,14,FALSE)*(I335-AB335),"")</f>
        <v/>
      </c>
    </row>
    <row r="336" spans="2:27">
      <c r="B336" s="24" t="str">
        <f>IF(A336="","",IF(LEFT(A336)&gt;"9",VLOOKUP(A336,yuanjidaimachichun,2,FALSE),VLOOKUP(A336,经纬!B:C,2,FALSE)))</f>
        <v/>
      </c>
      <c r="C336" s="8" t="str">
        <f t="shared" si="17"/>
        <v/>
      </c>
      <c r="D336" s="8" t="str">
        <f t="shared" si="18"/>
        <v/>
      </c>
      <c r="M336" s="24" t="str">
        <f t="array" ref="M336">LEFT(L336,MIN(FIND({"A","B","C"},MID(L336,2,LEN(L336))&amp;"ABC")))</f>
        <v/>
      </c>
      <c r="N336" s="24" t="str">
        <f t="array" ref="N336">SUBSTITUTE(L336,M336,"")</f>
        <v/>
      </c>
      <c r="W336" s="369" t="str">
        <f t="shared" si="21"/>
        <v/>
      </c>
      <c r="X336" s="258" t="str">
        <f t="shared" si="19"/>
        <v/>
      </c>
      <c r="Y336" s="36" t="str">
        <f t="shared" si="20"/>
        <v/>
      </c>
      <c r="Z336" s="340" t="str">
        <f>IF(AND(C336&gt;0,D336&lt;&gt;"",S336=""),VLOOKUP(A336&amp;IF(H336="黑丝","黑","白")&amp;E336,经纬!A:M,13,FALSE)*(I336-AB336),"")</f>
        <v/>
      </c>
      <c r="AA336" s="340" t="str">
        <f>IF(AND(C336&gt;0,D336&lt;&gt;"",S336=""),VLOOKUP(A336&amp;IF(H336="黑丝","黑","白")&amp;E336,经纬!A:N,14,FALSE)*(I336-AB336),"")</f>
        <v/>
      </c>
    </row>
    <row r="337" spans="2:27">
      <c r="B337" s="24" t="str">
        <f>IF(A337="","",IF(LEFT(A337)&gt;"9",VLOOKUP(A337,yuanjidaimachichun,2,FALSE),VLOOKUP(A337,经纬!B:C,2,FALSE)))</f>
        <v/>
      </c>
      <c r="C337" s="8" t="str">
        <f t="shared" ref="C337:C392" si="22">IF(A337="","",IF(ISERROR(FIND("*",B337)),MID(B337,2,FIND("-",B337)-2),LEFT(B337,FIND("*",B337)-1)))</f>
        <v/>
      </c>
      <c r="D337" s="8" t="str">
        <f t="shared" ref="D337:D392" si="23">IF(ISERROR(FIND("*",B337)),"",RIGHT(B337,LEN(B337)-FIND("*",B337)))</f>
        <v/>
      </c>
      <c r="M337" s="24" t="str">
        <f t="array" ref="M337">LEFT(L337,MIN(FIND({"A","B","C"},MID(L337,2,LEN(L337))&amp;"ABC")))</f>
        <v/>
      </c>
      <c r="N337" s="24" t="str">
        <f t="array" ref="N337">SUBSTITUTE(L337,M337,"")</f>
        <v/>
      </c>
      <c r="W337" s="369" t="str">
        <f t="shared" si="21"/>
        <v/>
      </c>
      <c r="X337" s="258" t="str">
        <f t="shared" si="19"/>
        <v/>
      </c>
      <c r="Y337" s="36" t="str">
        <f t="shared" si="20"/>
        <v/>
      </c>
      <c r="Z337" s="340" t="str">
        <f>IF(AND(C337&gt;0,D337&lt;&gt;"",S337=""),VLOOKUP(A337&amp;IF(H337="黑丝","黑","白")&amp;E337,经纬!A:M,13,FALSE)*(I337-AB337),"")</f>
        <v/>
      </c>
      <c r="AA337" s="340" t="str">
        <f>IF(AND(C337&gt;0,D337&lt;&gt;"",S337=""),VLOOKUP(A337&amp;IF(H337="黑丝","黑","白")&amp;E337,经纬!A:N,14,FALSE)*(I337-AB337),"")</f>
        <v/>
      </c>
    </row>
    <row r="338" spans="2:27">
      <c r="B338" s="24" t="str">
        <f>IF(A338="","",IF(LEFT(A338)&gt;"9",VLOOKUP(A338,yuanjidaimachichun,2,FALSE),VLOOKUP(A338,经纬!B:C,2,FALSE)))</f>
        <v/>
      </c>
      <c r="C338" s="8" t="str">
        <f t="shared" si="22"/>
        <v/>
      </c>
      <c r="D338" s="8" t="str">
        <f t="shared" si="23"/>
        <v/>
      </c>
      <c r="M338" s="24" t="str">
        <f t="array" ref="M338">LEFT(L338,MIN(FIND({"A","B","C"},MID(L338,2,LEN(L338))&amp;"ABC")))</f>
        <v/>
      </c>
      <c r="N338" s="24" t="str">
        <f t="array" ref="N338">SUBSTITUTE(L338,M338,"")</f>
        <v/>
      </c>
      <c r="W338" s="369" t="str">
        <f t="shared" si="21"/>
        <v/>
      </c>
      <c r="X338" s="258" t="str">
        <f t="shared" si="19"/>
        <v/>
      </c>
      <c r="Y338" s="36" t="str">
        <f t="shared" si="20"/>
        <v/>
      </c>
      <c r="Z338" s="340" t="str">
        <f>IF(AND(C338&gt;0,D338&lt;&gt;"",S338=""),VLOOKUP(A338&amp;IF(H338="黑丝","黑","白")&amp;E338,经纬!A:M,13,FALSE)*(I338-AB338),"")</f>
        <v/>
      </c>
      <c r="AA338" s="340" t="str">
        <f>IF(AND(C338&gt;0,D338&lt;&gt;"",S338=""),VLOOKUP(A338&amp;IF(H338="黑丝","黑","白")&amp;E338,经纬!A:N,14,FALSE)*(I338-AB338),"")</f>
        <v/>
      </c>
    </row>
    <row r="339" spans="2:27">
      <c r="B339" s="24" t="str">
        <f>IF(A339="","",IF(LEFT(A339)&gt;"9",VLOOKUP(A339,yuanjidaimachichun,2,FALSE),VLOOKUP(A339,经纬!B:C,2,FALSE)))</f>
        <v/>
      </c>
      <c r="C339" s="8" t="str">
        <f t="shared" si="22"/>
        <v/>
      </c>
      <c r="D339" s="8" t="str">
        <f t="shared" si="23"/>
        <v/>
      </c>
      <c r="M339" s="24" t="str">
        <f t="array" ref="M339">LEFT(L339,MIN(FIND({"A","B","C"},MID(L339,2,LEN(L339))&amp;"ABC")))</f>
        <v/>
      </c>
      <c r="N339" s="24" t="str">
        <f t="array" ref="N339">SUBSTITUTE(L339,M339,"")</f>
        <v/>
      </c>
      <c r="W339" s="369" t="str">
        <f t="shared" si="21"/>
        <v/>
      </c>
      <c r="X339" s="258" t="str">
        <f t="shared" si="19"/>
        <v/>
      </c>
      <c r="Y339" s="36" t="str">
        <f t="shared" si="20"/>
        <v/>
      </c>
      <c r="Z339" s="340" t="str">
        <f>IF(AND(C339&gt;0,D339&lt;&gt;"",S339=""),VLOOKUP(A339&amp;IF(H339="黑丝","黑","白")&amp;E339,经纬!A:M,13,FALSE)*(I339-AB339),"")</f>
        <v/>
      </c>
      <c r="AA339" s="340" t="str">
        <f>IF(AND(C339&gt;0,D339&lt;&gt;"",S339=""),VLOOKUP(A339&amp;IF(H339="黑丝","黑","白")&amp;E339,经纬!A:N,14,FALSE)*(I339-AB339),"")</f>
        <v/>
      </c>
    </row>
    <row r="340" spans="2:27">
      <c r="B340" s="24" t="str">
        <f>IF(A340="","",IF(LEFT(A340)&gt;"9",VLOOKUP(A340,yuanjidaimachichun,2,FALSE),VLOOKUP(A340,经纬!B:C,2,FALSE)))</f>
        <v/>
      </c>
      <c r="C340" s="8" t="str">
        <f t="shared" si="22"/>
        <v/>
      </c>
      <c r="D340" s="8" t="str">
        <f t="shared" si="23"/>
        <v/>
      </c>
      <c r="M340" s="24" t="str">
        <f t="array" ref="M340">LEFT(L340,MIN(FIND({"A","B","C"},MID(L340,2,LEN(L340))&amp;"ABC")))</f>
        <v/>
      </c>
      <c r="N340" s="24" t="str">
        <f t="array" ref="N340">SUBSTITUTE(L340,M340,"")</f>
        <v/>
      </c>
      <c r="W340" s="369" t="str">
        <f t="shared" si="21"/>
        <v/>
      </c>
      <c r="X340" s="258" t="str">
        <f t="shared" si="19"/>
        <v/>
      </c>
      <c r="Y340" s="36" t="str">
        <f t="shared" si="20"/>
        <v/>
      </c>
      <c r="Z340" s="340" t="str">
        <f>IF(AND(C340&gt;0,D340&lt;&gt;"",S340=""),VLOOKUP(A340&amp;IF(H340="黑丝","黑","白")&amp;E340,经纬!A:M,13,FALSE)*(I340-AB340),"")</f>
        <v/>
      </c>
      <c r="AA340" s="340" t="str">
        <f>IF(AND(C340&gt;0,D340&lt;&gt;"",S340=""),VLOOKUP(A340&amp;IF(H340="黑丝","黑","白")&amp;E340,经纬!A:N,14,FALSE)*(I340-AB340),"")</f>
        <v/>
      </c>
    </row>
    <row r="341" spans="2:27">
      <c r="B341" s="24" t="str">
        <f>IF(A341="","",IF(LEFT(A341)&gt;"9",VLOOKUP(A341,yuanjidaimachichun,2,FALSE),VLOOKUP(A341,经纬!B:C,2,FALSE)))</f>
        <v/>
      </c>
      <c r="C341" s="8" t="str">
        <f t="shared" si="22"/>
        <v/>
      </c>
      <c r="D341" s="8" t="str">
        <f t="shared" si="23"/>
        <v/>
      </c>
      <c r="M341" s="24" t="str">
        <f t="array" ref="M341">LEFT(L341,MIN(FIND({"A","B","C"},MID(L341,2,LEN(L341))&amp;"ABC")))</f>
        <v/>
      </c>
      <c r="N341" s="24" t="str">
        <f t="array" ref="N341">SUBSTITUTE(L341,M341,"")</f>
        <v/>
      </c>
      <c r="W341" s="369" t="str">
        <f t="shared" si="21"/>
        <v/>
      </c>
      <c r="X341" s="258" t="str">
        <f t="shared" si="19"/>
        <v/>
      </c>
      <c r="Y341" s="36" t="str">
        <f t="shared" si="20"/>
        <v/>
      </c>
      <c r="Z341" s="340" t="str">
        <f>IF(AND(C341&gt;0,D341&lt;&gt;"",S341=""),VLOOKUP(A341&amp;IF(H341="黑丝","黑","白")&amp;E341,经纬!A:M,13,FALSE)*(I341-AB341),"")</f>
        <v/>
      </c>
      <c r="AA341" s="340" t="str">
        <f>IF(AND(C341&gt;0,D341&lt;&gt;"",S341=""),VLOOKUP(A341&amp;IF(H341="黑丝","黑","白")&amp;E341,经纬!A:N,14,FALSE)*(I341-AB341),"")</f>
        <v/>
      </c>
    </row>
    <row r="342" spans="2:27">
      <c r="B342" s="24" t="str">
        <f>IF(A342="","",IF(LEFT(A342)&gt;"9",VLOOKUP(A342,yuanjidaimachichun,2,FALSE),VLOOKUP(A342,经纬!B:C,2,FALSE)))</f>
        <v/>
      </c>
      <c r="C342" s="8" t="str">
        <f t="shared" si="22"/>
        <v/>
      </c>
      <c r="D342" s="8" t="str">
        <f t="shared" si="23"/>
        <v/>
      </c>
      <c r="M342" s="24" t="str">
        <f t="array" ref="M342">LEFT(L342,MIN(FIND({"A","B","C"},MID(L342,2,LEN(L342))&amp;"ABC")))</f>
        <v/>
      </c>
      <c r="N342" s="24" t="str">
        <f t="array" ref="N342">SUBSTITUTE(L342,M342,"")</f>
        <v/>
      </c>
      <c r="W342" s="369" t="str">
        <f t="shared" si="21"/>
        <v/>
      </c>
      <c r="X342" s="258" t="str">
        <f t="shared" si="19"/>
        <v/>
      </c>
      <c r="Y342" s="36" t="str">
        <f t="shared" si="20"/>
        <v/>
      </c>
      <c r="Z342" s="340" t="str">
        <f>IF(AND(C342&gt;0,D342&lt;&gt;"",S342=""),VLOOKUP(A342&amp;IF(H342="黑丝","黑","白")&amp;E342,经纬!A:M,13,FALSE)*(I342-AB342),"")</f>
        <v/>
      </c>
      <c r="AA342" s="340" t="str">
        <f>IF(AND(C342&gt;0,D342&lt;&gt;"",S342=""),VLOOKUP(A342&amp;IF(H342="黑丝","黑","白")&amp;E342,经纬!A:N,14,FALSE)*(I342-AB342),"")</f>
        <v/>
      </c>
    </row>
    <row r="343" spans="2:27">
      <c r="B343" s="24" t="str">
        <f>IF(A343="","",IF(LEFT(A343)&gt;"9",VLOOKUP(A343,yuanjidaimachichun,2,FALSE),VLOOKUP(A343,经纬!B:C,2,FALSE)))</f>
        <v/>
      </c>
      <c r="C343" s="8" t="str">
        <f t="shared" si="22"/>
        <v/>
      </c>
      <c r="D343" s="8" t="str">
        <f t="shared" si="23"/>
        <v/>
      </c>
      <c r="M343" s="24" t="str">
        <f t="array" ref="M343">LEFT(L343,MIN(FIND({"A","B","C"},MID(L343,2,LEN(L343))&amp;"ABC")))</f>
        <v/>
      </c>
      <c r="N343" s="24" t="str">
        <f t="array" ref="N343">SUBSTITUTE(L343,M343,"")</f>
        <v/>
      </c>
      <c r="W343" s="369" t="str">
        <f t="shared" si="21"/>
        <v/>
      </c>
      <c r="X343" s="258" t="str">
        <f t="shared" si="19"/>
        <v/>
      </c>
      <c r="Y343" s="36" t="str">
        <f t="shared" si="20"/>
        <v/>
      </c>
      <c r="Z343" s="340" t="str">
        <f>IF(AND(C343&gt;0,D343&lt;&gt;"",S343=""),VLOOKUP(A343&amp;IF(H343="黑丝","黑","白")&amp;E343,经纬!A:M,13,FALSE)*(I343-AB343),"")</f>
        <v/>
      </c>
      <c r="AA343" s="340" t="str">
        <f>IF(AND(C343&gt;0,D343&lt;&gt;"",S343=""),VLOOKUP(A343&amp;IF(H343="黑丝","黑","白")&amp;E343,经纬!A:N,14,FALSE)*(I343-AB343),"")</f>
        <v/>
      </c>
    </row>
    <row r="344" spans="2:27">
      <c r="B344" s="24" t="str">
        <f>IF(A344="","",IF(LEFT(A344)&gt;"9",VLOOKUP(A344,yuanjidaimachichun,2,FALSE),VLOOKUP(A344,经纬!B:C,2,FALSE)))</f>
        <v/>
      </c>
      <c r="C344" s="8" t="str">
        <f t="shared" si="22"/>
        <v/>
      </c>
      <c r="D344" s="8" t="str">
        <f t="shared" si="23"/>
        <v/>
      </c>
      <c r="M344" s="24" t="str">
        <f t="array" ref="M344">LEFT(L344,MIN(FIND({"A","B","C"},MID(L344,2,LEN(L344))&amp;"ABC")))</f>
        <v/>
      </c>
      <c r="N344" s="24" t="str">
        <f t="array" ref="N344">SUBSTITUTE(L344,M344,"")</f>
        <v/>
      </c>
      <c r="W344" s="369" t="str">
        <f t="shared" si="21"/>
        <v/>
      </c>
      <c r="X344" s="258" t="str">
        <f t="shared" si="19"/>
        <v/>
      </c>
      <c r="Y344" s="36" t="str">
        <f t="shared" si="20"/>
        <v/>
      </c>
      <c r="Z344" s="340" t="str">
        <f>IF(AND(C344&gt;0,D344&lt;&gt;"",S344=""),VLOOKUP(A344&amp;IF(H344="黑丝","黑","白")&amp;E344,经纬!A:M,13,FALSE)*(I344-AB344),"")</f>
        <v/>
      </c>
      <c r="AA344" s="340" t="str">
        <f>IF(AND(C344&gt;0,D344&lt;&gt;"",S344=""),VLOOKUP(A344&amp;IF(H344="黑丝","黑","白")&amp;E344,经纬!A:N,14,FALSE)*(I344-AB344),"")</f>
        <v/>
      </c>
    </row>
    <row r="345" spans="2:27">
      <c r="B345" s="24" t="str">
        <f>IF(A345="","",IF(LEFT(A345)&gt;"9",VLOOKUP(A345,yuanjidaimachichun,2,FALSE),VLOOKUP(A345,经纬!B:C,2,FALSE)))</f>
        <v/>
      </c>
      <c r="C345" s="8" t="str">
        <f t="shared" si="22"/>
        <v/>
      </c>
      <c r="D345" s="8" t="str">
        <f t="shared" si="23"/>
        <v/>
      </c>
      <c r="M345" s="24" t="str">
        <f t="array" ref="M345">LEFT(L345,MIN(FIND({"A","B","C"},MID(L345,2,LEN(L345))&amp;"ABC")))</f>
        <v/>
      </c>
      <c r="N345" s="24" t="str">
        <f t="array" ref="N345">SUBSTITUTE(L345,M345,"")</f>
        <v/>
      </c>
      <c r="W345" s="369" t="str">
        <f t="shared" si="21"/>
        <v/>
      </c>
      <c r="X345" s="258" t="str">
        <f t="shared" si="19"/>
        <v/>
      </c>
      <c r="Y345" s="36" t="str">
        <f t="shared" si="20"/>
        <v/>
      </c>
      <c r="Z345" s="340" t="str">
        <f>IF(AND(C345&gt;0,D345&lt;&gt;"",S345=""),VLOOKUP(A345&amp;IF(H345="黑丝","黑","白")&amp;E345,经纬!A:M,13,FALSE)*(I345-AB345),"")</f>
        <v/>
      </c>
      <c r="AA345" s="340" t="str">
        <f>IF(AND(C345&gt;0,D345&lt;&gt;"",S345=""),VLOOKUP(A345&amp;IF(H345="黑丝","黑","白")&amp;E345,经纬!A:N,14,FALSE)*(I345-AB345),"")</f>
        <v/>
      </c>
    </row>
    <row r="346" spans="2:27">
      <c r="B346" s="24" t="str">
        <f>IF(A346="","",IF(LEFT(A346)&gt;"9",VLOOKUP(A346,yuanjidaimachichun,2,FALSE),VLOOKUP(A346,经纬!B:C,2,FALSE)))</f>
        <v/>
      </c>
      <c r="C346" s="8" t="str">
        <f t="shared" si="22"/>
        <v/>
      </c>
      <c r="D346" s="8" t="str">
        <f t="shared" si="23"/>
        <v/>
      </c>
      <c r="M346" s="24" t="str">
        <f t="array" ref="M346">LEFT(L346,MIN(FIND({"A","B","C"},MID(L346,2,LEN(L346))&amp;"ABC")))</f>
        <v/>
      </c>
      <c r="N346" s="24" t="str">
        <f t="array" ref="N346">SUBSTITUTE(L346,M346,"")</f>
        <v/>
      </c>
      <c r="W346" s="369" t="str">
        <f t="shared" si="21"/>
        <v/>
      </c>
      <c r="X346" s="258" t="str">
        <f t="shared" si="19"/>
        <v/>
      </c>
      <c r="Y346" s="36" t="str">
        <f t="shared" si="20"/>
        <v/>
      </c>
      <c r="Z346" s="340" t="str">
        <f>IF(AND(C346&gt;0,D346&lt;&gt;"",S346=""),VLOOKUP(A346&amp;IF(H346="黑丝","黑","白")&amp;E346,经纬!A:M,13,FALSE)*(I346-AB346),"")</f>
        <v/>
      </c>
      <c r="AA346" s="340" t="str">
        <f>IF(AND(C346&gt;0,D346&lt;&gt;"",S346=""),VLOOKUP(A346&amp;IF(H346="黑丝","黑","白")&amp;E346,经纬!A:N,14,FALSE)*(I346-AB346),"")</f>
        <v/>
      </c>
    </row>
    <row r="347" spans="2:27">
      <c r="B347" s="24" t="str">
        <f>IF(A347="","",IF(LEFT(A347)&gt;"9",VLOOKUP(A347,yuanjidaimachichun,2,FALSE),VLOOKUP(A347,经纬!B:C,2,FALSE)))</f>
        <v/>
      </c>
      <c r="C347" s="8" t="str">
        <f t="shared" si="22"/>
        <v/>
      </c>
      <c r="D347" s="8" t="str">
        <f t="shared" si="23"/>
        <v/>
      </c>
      <c r="M347" s="24" t="str">
        <f t="array" ref="M347">LEFT(L347,MIN(FIND({"A","B","C"},MID(L347,2,LEN(L347))&amp;"ABC")))</f>
        <v/>
      </c>
      <c r="N347" s="24" t="str">
        <f t="array" ref="N347">SUBSTITUTE(L347,M347,"")</f>
        <v/>
      </c>
      <c r="W347" s="369" t="str">
        <f t="shared" si="21"/>
        <v/>
      </c>
      <c r="X347" s="258" t="str">
        <f t="shared" si="19"/>
        <v/>
      </c>
      <c r="Y347" s="36" t="str">
        <f t="shared" si="20"/>
        <v/>
      </c>
      <c r="Z347" s="340" t="str">
        <f>IF(AND(C347&gt;0,D347&lt;&gt;"",S347=""),VLOOKUP(A347&amp;IF(H347="黑丝","黑","白")&amp;E347,经纬!A:M,13,FALSE)*(I347-AB347),"")</f>
        <v/>
      </c>
      <c r="AA347" s="340" t="str">
        <f>IF(AND(C347&gt;0,D347&lt;&gt;"",S347=""),VLOOKUP(A347&amp;IF(H347="黑丝","黑","白")&amp;E347,经纬!A:N,14,FALSE)*(I347-AB347),"")</f>
        <v/>
      </c>
    </row>
    <row r="348" spans="2:27">
      <c r="B348" s="24" t="str">
        <f>IF(A348="","",IF(LEFT(A348)&gt;"9",VLOOKUP(A348,yuanjidaimachichun,2,FALSE),VLOOKUP(A348,经纬!B:C,2,FALSE)))</f>
        <v/>
      </c>
      <c r="C348" s="8" t="str">
        <f t="shared" si="22"/>
        <v/>
      </c>
      <c r="D348" s="8" t="str">
        <f t="shared" si="23"/>
        <v/>
      </c>
      <c r="M348" s="24" t="str">
        <f t="array" ref="M348">LEFT(L348,MIN(FIND({"A","B","C"},MID(L348,2,LEN(L348))&amp;"ABC")))</f>
        <v/>
      </c>
      <c r="N348" s="24" t="str">
        <f t="array" ref="N348">SUBSTITUTE(L348,M348,"")</f>
        <v/>
      </c>
      <c r="W348" s="369" t="str">
        <f t="shared" si="21"/>
        <v/>
      </c>
      <c r="X348" s="258" t="str">
        <f t="shared" ref="X348:X411" si="24">IF(B348="","",IF(S348&lt;&gt;"","",IF(AND(Z348&lt;&gt;"",AA348&lt;&gt;""),SUM(Z348:AA348),IF(AB348&lt;&gt;"",(I348/((1/((G348+2)/100*K348/1000))*0.9144)/IF(H348="黑丝",22,20)-AB348)*(IF(H348="黑丝",22,20)),I348/((1/((G348+2)/100*K348/1000))*0.9144)))))</f>
        <v/>
      </c>
      <c r="Y348" s="36" t="str">
        <f t="shared" si="20"/>
        <v/>
      </c>
      <c r="Z348" s="340" t="str">
        <f>IF(AND(C348&gt;0,D348&lt;&gt;"",S348=""),VLOOKUP(A348&amp;IF(H348="黑丝","黑","白")&amp;E348,经纬!A:M,13,FALSE)*(I348-AB348),"")</f>
        <v/>
      </c>
      <c r="AA348" s="340" t="str">
        <f>IF(AND(C348&gt;0,D348&lt;&gt;"",S348=""),VLOOKUP(A348&amp;IF(H348="黑丝","黑","白")&amp;E348,经纬!A:N,14,FALSE)*(I348-AB348),"")</f>
        <v/>
      </c>
    </row>
    <row r="349" spans="2:27">
      <c r="B349" s="24" t="str">
        <f>IF(A349="","",IF(LEFT(A349)&gt;"9",VLOOKUP(A349,yuanjidaimachichun,2,FALSE),VLOOKUP(A349,经纬!B:C,2,FALSE)))</f>
        <v/>
      </c>
      <c r="C349" s="8" t="str">
        <f t="shared" si="22"/>
        <v/>
      </c>
      <c r="D349" s="8" t="str">
        <f t="shared" si="23"/>
        <v/>
      </c>
      <c r="M349" s="24" t="str">
        <f t="array" ref="M349">LEFT(L349,MIN(FIND({"A","B","C"},MID(L349,2,LEN(L349))&amp;"ABC")))</f>
        <v/>
      </c>
      <c r="N349" s="24" t="str">
        <f t="array" ref="N349">SUBSTITUTE(L349,M349,"")</f>
        <v/>
      </c>
      <c r="W349" s="369" t="str">
        <f t="shared" si="21"/>
        <v/>
      </c>
      <c r="X349" s="258" t="str">
        <f t="shared" si="24"/>
        <v/>
      </c>
      <c r="Y349" s="36" t="str">
        <f t="shared" si="20"/>
        <v/>
      </c>
      <c r="Z349" s="340" t="str">
        <f>IF(AND(C349&gt;0,D349&lt;&gt;"",S349=""),VLOOKUP(A349&amp;IF(H349="黑丝","黑","白")&amp;E349,经纬!A:M,13,FALSE)*(I349-AB349),"")</f>
        <v/>
      </c>
      <c r="AA349" s="340" t="str">
        <f>IF(AND(C349&gt;0,D349&lt;&gt;"",S349=""),VLOOKUP(A349&amp;IF(H349="黑丝","黑","白")&amp;E349,经纬!A:N,14,FALSE)*(I349-AB349),"")</f>
        <v/>
      </c>
    </row>
    <row r="350" spans="2:27">
      <c r="B350" s="24" t="str">
        <f>IF(A350="","",IF(LEFT(A350)&gt;"9",VLOOKUP(A350,yuanjidaimachichun,2,FALSE),VLOOKUP(A350,经纬!B:C,2,FALSE)))</f>
        <v/>
      </c>
      <c r="C350" s="8" t="str">
        <f t="shared" si="22"/>
        <v/>
      </c>
      <c r="D350" s="8" t="str">
        <f t="shared" si="23"/>
        <v/>
      </c>
      <c r="M350" s="24" t="str">
        <f t="array" ref="M350">LEFT(L350,MIN(FIND({"A","B","C"},MID(L350,2,LEN(L350))&amp;"ABC")))</f>
        <v/>
      </c>
      <c r="N350" s="24" t="str">
        <f t="array" ref="N350">SUBSTITUTE(L350,M350,"")</f>
        <v/>
      </c>
      <c r="W350" s="369" t="str">
        <f t="shared" si="21"/>
        <v/>
      </c>
      <c r="X350" s="258" t="str">
        <f t="shared" si="24"/>
        <v/>
      </c>
      <c r="Y350" s="36" t="str">
        <f t="shared" si="20"/>
        <v/>
      </c>
      <c r="Z350" s="340" t="str">
        <f>IF(AND(C350&gt;0,D350&lt;&gt;"",S350=""),VLOOKUP(A350&amp;IF(H350="黑丝","黑","白")&amp;E350,经纬!A:M,13,FALSE)*(I350-AB350),"")</f>
        <v/>
      </c>
      <c r="AA350" s="340" t="str">
        <f>IF(AND(C350&gt;0,D350&lt;&gt;"",S350=""),VLOOKUP(A350&amp;IF(H350="黑丝","黑","白")&amp;E350,经纬!A:N,14,FALSE)*(I350-AB350),"")</f>
        <v/>
      </c>
    </row>
    <row r="351" spans="2:27">
      <c r="B351" s="24" t="str">
        <f>IF(A351="","",IF(LEFT(A351)&gt;"9",VLOOKUP(A351,yuanjidaimachichun,2,FALSE),VLOOKUP(A351,经纬!B:C,2,FALSE)))</f>
        <v/>
      </c>
      <c r="C351" s="8" t="str">
        <f t="shared" si="22"/>
        <v/>
      </c>
      <c r="D351" s="8" t="str">
        <f t="shared" si="23"/>
        <v/>
      </c>
      <c r="M351" s="24" t="str">
        <f t="array" ref="M351">LEFT(L351,MIN(FIND({"A","B","C"},MID(L351,2,LEN(L351))&amp;"ABC")))</f>
        <v/>
      </c>
      <c r="N351" s="24" t="str">
        <f t="array" ref="N351">SUBSTITUTE(L351,M351,"")</f>
        <v/>
      </c>
      <c r="W351" s="369" t="str">
        <f t="shared" si="21"/>
        <v/>
      </c>
      <c r="X351" s="258" t="str">
        <f t="shared" si="24"/>
        <v/>
      </c>
      <c r="Y351" s="36" t="str">
        <f t="shared" si="20"/>
        <v/>
      </c>
      <c r="Z351" s="340" t="str">
        <f>IF(AND(C351&gt;0,D351&lt;&gt;"",S351=""),VLOOKUP(A351&amp;IF(H351="黑丝","黑","白")&amp;E351,经纬!A:M,13,FALSE)*(I351-AB351),"")</f>
        <v/>
      </c>
      <c r="AA351" s="340" t="str">
        <f>IF(AND(C351&gt;0,D351&lt;&gt;"",S351=""),VLOOKUP(A351&amp;IF(H351="黑丝","黑","白")&amp;E351,经纬!A:N,14,FALSE)*(I351-AB351),"")</f>
        <v/>
      </c>
    </row>
    <row r="352" spans="2:27">
      <c r="B352" s="24" t="str">
        <f>IF(A352="","",IF(LEFT(A352)&gt;"9",VLOOKUP(A352,yuanjidaimachichun,2,FALSE),VLOOKUP(A352,经纬!B:C,2,FALSE)))</f>
        <v/>
      </c>
      <c r="C352" s="8" t="str">
        <f t="shared" si="22"/>
        <v/>
      </c>
      <c r="D352" s="8" t="str">
        <f t="shared" si="23"/>
        <v/>
      </c>
      <c r="M352" s="24" t="str">
        <f t="array" ref="M352">LEFT(L352,MIN(FIND({"A","B","C"},MID(L352,2,LEN(L352))&amp;"ABC")))</f>
        <v/>
      </c>
      <c r="N352" s="24" t="str">
        <f t="array" ref="N352">SUBSTITUTE(L352,M352,"")</f>
        <v/>
      </c>
      <c r="W352" s="369" t="str">
        <f t="shared" si="21"/>
        <v/>
      </c>
      <c r="X352" s="258" t="str">
        <f t="shared" si="24"/>
        <v/>
      </c>
      <c r="Y352" s="36" t="str">
        <f t="shared" si="20"/>
        <v/>
      </c>
      <c r="Z352" s="340" t="str">
        <f>IF(AND(C352&gt;0,D352&lt;&gt;"",S352=""),VLOOKUP(A352&amp;IF(H352="黑丝","黑","白")&amp;E352,经纬!A:M,13,FALSE)*(I352-AB352),"")</f>
        <v/>
      </c>
      <c r="AA352" s="340" t="str">
        <f>IF(AND(C352&gt;0,D352&lt;&gt;"",S352=""),VLOOKUP(A352&amp;IF(H352="黑丝","黑","白")&amp;E352,经纬!A:N,14,FALSE)*(I352-AB352),"")</f>
        <v/>
      </c>
    </row>
    <row r="353" spans="2:27">
      <c r="B353" s="24" t="str">
        <f>IF(A353="","",IF(LEFT(A353)&gt;"9",VLOOKUP(A353,yuanjidaimachichun,2,FALSE),VLOOKUP(A353,经纬!B:C,2,FALSE)))</f>
        <v/>
      </c>
      <c r="C353" s="8" t="str">
        <f t="shared" si="22"/>
        <v/>
      </c>
      <c r="D353" s="8" t="str">
        <f t="shared" si="23"/>
        <v/>
      </c>
      <c r="M353" s="24" t="str">
        <f t="array" ref="M353">LEFT(L353,MIN(FIND({"A","B","C"},MID(L353,2,LEN(L353))&amp;"ABC")))</f>
        <v/>
      </c>
      <c r="N353" s="24" t="str">
        <f t="array" ref="N353">SUBSTITUTE(L353,M353,"")</f>
        <v/>
      </c>
      <c r="W353" s="369" t="str">
        <f t="shared" si="21"/>
        <v/>
      </c>
      <c r="X353" s="258" t="str">
        <f t="shared" si="24"/>
        <v/>
      </c>
      <c r="Y353" s="36" t="str">
        <f t="shared" si="20"/>
        <v/>
      </c>
      <c r="Z353" s="340" t="str">
        <f>IF(AND(C353&gt;0,D353&lt;&gt;"",S353=""),VLOOKUP(A353&amp;IF(H353="黑丝","黑","白")&amp;E353,经纬!A:M,13,FALSE)*(I353-AB353),"")</f>
        <v/>
      </c>
      <c r="AA353" s="340" t="str">
        <f>IF(AND(C353&gt;0,D353&lt;&gt;"",S353=""),VLOOKUP(A353&amp;IF(H353="黑丝","黑","白")&amp;E353,经纬!A:N,14,FALSE)*(I353-AB353),"")</f>
        <v/>
      </c>
    </row>
    <row r="354" spans="2:27">
      <c r="B354" s="24" t="str">
        <f>IF(A354="","",IF(LEFT(A354)&gt;"9",VLOOKUP(A354,yuanjidaimachichun,2,FALSE),VLOOKUP(A354,经纬!B:C,2,FALSE)))</f>
        <v/>
      </c>
      <c r="C354" s="8" t="str">
        <f t="shared" si="22"/>
        <v/>
      </c>
      <c r="D354" s="8" t="str">
        <f t="shared" si="23"/>
        <v/>
      </c>
      <c r="M354" s="24" t="str">
        <f t="array" ref="M354">LEFT(L354,MIN(FIND({"A","B","C"},MID(L354,2,LEN(L354))&amp;"ABC")))</f>
        <v/>
      </c>
      <c r="N354" s="24" t="str">
        <f t="array" ref="N354">SUBSTITUTE(L354,M354,"")</f>
        <v/>
      </c>
      <c r="W354" s="369" t="str">
        <f t="shared" si="21"/>
        <v/>
      </c>
      <c r="X354" s="258" t="str">
        <f t="shared" si="24"/>
        <v/>
      </c>
      <c r="Y354" s="36" t="str">
        <f t="shared" si="20"/>
        <v/>
      </c>
      <c r="Z354" s="340" t="str">
        <f>IF(AND(C354&gt;0,D354&lt;&gt;"",S354=""),VLOOKUP(A354&amp;IF(H354="黑丝","黑","白")&amp;E354,经纬!A:M,13,FALSE)*(I354-AB354),"")</f>
        <v/>
      </c>
      <c r="AA354" s="340" t="str">
        <f>IF(AND(C354&gt;0,D354&lt;&gt;"",S354=""),VLOOKUP(A354&amp;IF(H354="黑丝","黑","白")&amp;E354,经纬!A:N,14,FALSE)*(I354-AB354),"")</f>
        <v/>
      </c>
    </row>
    <row r="355" spans="2:27">
      <c r="B355" s="24" t="str">
        <f>IF(A355="","",IF(LEFT(A355)&gt;"9",VLOOKUP(A355,yuanjidaimachichun,2,FALSE),VLOOKUP(A355,经纬!B:C,2,FALSE)))</f>
        <v/>
      </c>
      <c r="C355" s="8" t="str">
        <f t="shared" si="22"/>
        <v/>
      </c>
      <c r="D355" s="8" t="str">
        <f t="shared" si="23"/>
        <v/>
      </c>
      <c r="M355" s="24" t="str">
        <f t="array" ref="M355">LEFT(L355,MIN(FIND({"A","B","C"},MID(L355,2,LEN(L355))&amp;"ABC")))</f>
        <v/>
      </c>
      <c r="N355" s="24" t="str">
        <f t="array" ref="N355">SUBSTITUTE(L355,M355,"")</f>
        <v/>
      </c>
      <c r="W355" s="369" t="str">
        <f t="shared" si="21"/>
        <v/>
      </c>
      <c r="X355" s="258" t="str">
        <f t="shared" si="24"/>
        <v/>
      </c>
      <c r="Y355" s="36" t="str">
        <f t="shared" si="20"/>
        <v/>
      </c>
      <c r="Z355" s="340" t="str">
        <f>IF(AND(C355&gt;0,D355&lt;&gt;"",S355=""),VLOOKUP(A355&amp;IF(H355="黑丝","黑","白")&amp;E355,经纬!A:M,13,FALSE)*(I355-AB355),"")</f>
        <v/>
      </c>
      <c r="AA355" s="340" t="str">
        <f>IF(AND(C355&gt;0,D355&lt;&gt;"",S355=""),VLOOKUP(A355&amp;IF(H355="黑丝","黑","白")&amp;E355,经纬!A:N,14,FALSE)*(I355-AB355),"")</f>
        <v/>
      </c>
    </row>
    <row r="356" spans="2:27">
      <c r="B356" s="24" t="str">
        <f>IF(A356="","",IF(LEFT(A356)&gt;"9",VLOOKUP(A356,yuanjidaimachichun,2,FALSE),VLOOKUP(A356,经纬!B:C,2,FALSE)))</f>
        <v/>
      </c>
      <c r="C356" s="8" t="str">
        <f t="shared" si="22"/>
        <v/>
      </c>
      <c r="D356" s="8" t="str">
        <f t="shared" si="23"/>
        <v/>
      </c>
      <c r="M356" s="24" t="str">
        <f t="array" ref="M356">LEFT(L356,MIN(FIND({"A","B","C"},MID(L356,2,LEN(L356))&amp;"ABC")))</f>
        <v/>
      </c>
      <c r="N356" s="24" t="str">
        <f t="array" ref="N356">SUBSTITUTE(L356,M356,"")</f>
        <v/>
      </c>
      <c r="W356" s="369" t="str">
        <f t="shared" si="21"/>
        <v/>
      </c>
      <c r="X356" s="258" t="str">
        <f t="shared" si="24"/>
        <v/>
      </c>
      <c r="Y356" s="36" t="str">
        <f t="shared" si="20"/>
        <v/>
      </c>
      <c r="Z356" s="340" t="str">
        <f>IF(AND(C356&gt;0,D356&lt;&gt;"",S356=""),VLOOKUP(A356&amp;IF(H356="黑丝","黑","白")&amp;E356,经纬!A:M,13,FALSE)*(I356-AB356),"")</f>
        <v/>
      </c>
      <c r="AA356" s="340" t="str">
        <f>IF(AND(C356&gt;0,D356&lt;&gt;"",S356=""),VLOOKUP(A356&amp;IF(H356="黑丝","黑","白")&amp;E356,经纬!A:N,14,FALSE)*(I356-AB356),"")</f>
        <v/>
      </c>
    </row>
    <row r="357" spans="2:27">
      <c r="B357" s="24" t="str">
        <f>IF(A357="","",IF(LEFT(A357)&gt;"9",VLOOKUP(A357,yuanjidaimachichun,2,FALSE),VLOOKUP(A357,经纬!B:C,2,FALSE)))</f>
        <v/>
      </c>
      <c r="C357" s="8" t="str">
        <f t="shared" si="22"/>
        <v/>
      </c>
      <c r="D357" s="8" t="str">
        <f t="shared" si="23"/>
        <v/>
      </c>
      <c r="M357" s="24" t="str">
        <f t="array" ref="M357">LEFT(L357,MIN(FIND({"A","B","C"},MID(L357,2,LEN(L357))&amp;"ABC")))</f>
        <v/>
      </c>
      <c r="N357" s="24" t="str">
        <f t="array" ref="N357">SUBSTITUTE(L357,M357,"")</f>
        <v/>
      </c>
      <c r="W357" s="369" t="str">
        <f t="shared" si="21"/>
        <v/>
      </c>
      <c r="X357" s="258" t="str">
        <f t="shared" si="24"/>
        <v/>
      </c>
      <c r="Y357" s="36" t="str">
        <f t="shared" si="20"/>
        <v/>
      </c>
      <c r="Z357" s="340" t="str">
        <f>IF(AND(C357&gt;0,D357&lt;&gt;"",S357=""),VLOOKUP(A357&amp;IF(H357="黑丝","黑","白")&amp;E357,经纬!A:M,13,FALSE)*(I357-AB357),"")</f>
        <v/>
      </c>
      <c r="AA357" s="340" t="str">
        <f>IF(AND(C357&gt;0,D357&lt;&gt;"",S357=""),VLOOKUP(A357&amp;IF(H357="黑丝","黑","白")&amp;E357,经纬!A:N,14,FALSE)*(I357-AB357),"")</f>
        <v/>
      </c>
    </row>
    <row r="358" spans="2:27">
      <c r="B358" s="24" t="str">
        <f>IF(A358="","",IF(LEFT(A358)&gt;"9",VLOOKUP(A358,yuanjidaimachichun,2,FALSE),VLOOKUP(A358,经纬!B:C,2,FALSE)))</f>
        <v/>
      </c>
      <c r="C358" s="8" t="str">
        <f t="shared" si="22"/>
        <v/>
      </c>
      <c r="D358" s="8" t="str">
        <f t="shared" si="23"/>
        <v/>
      </c>
      <c r="M358" s="24" t="str">
        <f t="array" ref="M358">LEFT(L358,MIN(FIND({"A","B","C"},MID(L358,2,LEN(L358))&amp;"ABC")))</f>
        <v/>
      </c>
      <c r="N358" s="24" t="str">
        <f t="array" ref="N358">SUBSTITUTE(L358,M358,"")</f>
        <v/>
      </c>
      <c r="W358" s="369" t="str">
        <f t="shared" si="21"/>
        <v/>
      </c>
      <c r="X358" s="258" t="str">
        <f t="shared" si="24"/>
        <v/>
      </c>
      <c r="Y358" s="36" t="str">
        <f t="shared" si="20"/>
        <v/>
      </c>
      <c r="Z358" s="340" t="str">
        <f>IF(AND(C358&gt;0,D358&lt;&gt;"",S358=""),VLOOKUP(A358&amp;IF(H358="黑丝","黑","白")&amp;E358,经纬!A:M,13,FALSE)*(I358-AB358),"")</f>
        <v/>
      </c>
      <c r="AA358" s="340" t="str">
        <f>IF(AND(C358&gt;0,D358&lt;&gt;"",S358=""),VLOOKUP(A358&amp;IF(H358="黑丝","黑","白")&amp;E358,经纬!A:N,14,FALSE)*(I358-AB358),"")</f>
        <v/>
      </c>
    </row>
    <row r="359" spans="2:27">
      <c r="B359" s="24" t="str">
        <f>IF(A359="","",IF(LEFT(A359)&gt;"9",VLOOKUP(A359,yuanjidaimachichun,2,FALSE),VLOOKUP(A359,经纬!B:C,2,FALSE)))</f>
        <v/>
      </c>
      <c r="C359" s="8" t="str">
        <f t="shared" si="22"/>
        <v/>
      </c>
      <c r="D359" s="8" t="str">
        <f t="shared" si="23"/>
        <v/>
      </c>
      <c r="M359" s="24" t="str">
        <f t="array" ref="M359">LEFT(L359,MIN(FIND({"A","B","C"},MID(L359,2,LEN(L359))&amp;"ABC")))</f>
        <v/>
      </c>
      <c r="N359" s="24" t="str">
        <f t="array" ref="N359">SUBSTITUTE(L359,M359,"")</f>
        <v/>
      </c>
      <c r="W359" s="369" t="str">
        <f t="shared" si="21"/>
        <v/>
      </c>
      <c r="X359" s="258" t="str">
        <f t="shared" si="24"/>
        <v/>
      </c>
      <c r="Y359" s="36" t="str">
        <f t="shared" si="20"/>
        <v/>
      </c>
      <c r="Z359" s="340" t="str">
        <f>IF(AND(C359&gt;0,D359&lt;&gt;"",S359=""),VLOOKUP(A359&amp;IF(H359="黑丝","黑","白")&amp;E359,经纬!A:M,13,FALSE)*(I359-AB359),"")</f>
        <v/>
      </c>
      <c r="AA359" s="340" t="str">
        <f>IF(AND(C359&gt;0,D359&lt;&gt;"",S359=""),VLOOKUP(A359&amp;IF(H359="黑丝","黑","白")&amp;E359,经纬!A:N,14,FALSE)*(I359-AB359),"")</f>
        <v/>
      </c>
    </row>
    <row r="360" spans="2:27">
      <c r="B360" s="24" t="str">
        <f>IF(A360="","",IF(LEFT(A360)&gt;"9",VLOOKUP(A360,yuanjidaimachichun,2,FALSE),VLOOKUP(A360,经纬!B:C,2,FALSE)))</f>
        <v/>
      </c>
      <c r="C360" s="8" t="str">
        <f t="shared" si="22"/>
        <v/>
      </c>
      <c r="D360" s="8" t="str">
        <f t="shared" si="23"/>
        <v/>
      </c>
      <c r="M360" s="24" t="str">
        <f t="array" ref="M360">LEFT(L360,MIN(FIND({"A","B","C"},MID(L360,2,LEN(L360))&amp;"ABC")))</f>
        <v/>
      </c>
      <c r="N360" s="24" t="str">
        <f t="array" ref="N360">SUBSTITUTE(L360,M360,"")</f>
        <v/>
      </c>
      <c r="W360" s="369" t="str">
        <f t="shared" si="21"/>
        <v/>
      </c>
      <c r="X360" s="258" t="str">
        <f t="shared" si="24"/>
        <v/>
      </c>
      <c r="Y360" s="36" t="str">
        <f t="shared" si="20"/>
        <v/>
      </c>
      <c r="Z360" s="340" t="str">
        <f>IF(AND(C360&gt;0,D360&lt;&gt;"",S360=""),VLOOKUP(A360&amp;IF(H360="黑丝","黑","白")&amp;E360,经纬!A:M,13,FALSE)*(I360-AB360),"")</f>
        <v/>
      </c>
      <c r="AA360" s="340" t="str">
        <f>IF(AND(C360&gt;0,D360&lt;&gt;"",S360=""),VLOOKUP(A360&amp;IF(H360="黑丝","黑","白")&amp;E360,经纬!A:N,14,FALSE)*(I360-AB360),"")</f>
        <v/>
      </c>
    </row>
    <row r="361" spans="2:27">
      <c r="B361" s="24" t="str">
        <f>IF(A361="","",IF(LEFT(A361)&gt;"9",VLOOKUP(A361,yuanjidaimachichun,2,FALSE),VLOOKUP(A361,经纬!B:C,2,FALSE)))</f>
        <v/>
      </c>
      <c r="C361" s="8" t="str">
        <f t="shared" si="22"/>
        <v/>
      </c>
      <c r="D361" s="8" t="str">
        <f t="shared" si="23"/>
        <v/>
      </c>
      <c r="M361" s="24" t="str">
        <f t="array" ref="M361">LEFT(L361,MIN(FIND({"A","B","C"},MID(L361,2,LEN(L361))&amp;"ABC")))</f>
        <v/>
      </c>
      <c r="N361" s="24" t="str">
        <f t="array" ref="N361">SUBSTITUTE(L361,M361,"")</f>
        <v/>
      </c>
      <c r="W361" s="369" t="str">
        <f t="shared" si="21"/>
        <v/>
      </c>
      <c r="X361" s="258" t="str">
        <f t="shared" si="24"/>
        <v/>
      </c>
      <c r="Y361" s="36" t="str">
        <f t="shared" ref="Y361:Y424" si="25">IF(OR(B361="",D361&lt;&gt;""),"",IF(S361&lt;&gt;"","",I361/((1/((G361+2)/100*K361/1000))*0.9144)/IF(H361="黑丝",22,20)-AB361))</f>
        <v/>
      </c>
      <c r="Z361" s="340" t="str">
        <f>IF(AND(C361&gt;0,D361&lt;&gt;"",S361=""),VLOOKUP(A361&amp;IF(H361="黑丝","黑","白")&amp;E361,经纬!A:M,13,FALSE)*(I361-AB361),"")</f>
        <v/>
      </c>
      <c r="AA361" s="340" t="str">
        <f>IF(AND(C361&gt;0,D361&lt;&gt;"",S361=""),VLOOKUP(A361&amp;IF(H361="黑丝","黑","白")&amp;E361,经纬!A:N,14,FALSE)*(I361-AB361),"")</f>
        <v/>
      </c>
    </row>
    <row r="362" spans="2:27">
      <c r="B362" s="24" t="str">
        <f>IF(A362="","",IF(LEFT(A362)&gt;"9",VLOOKUP(A362,yuanjidaimachichun,2,FALSE),VLOOKUP(A362,经纬!B:C,2,FALSE)))</f>
        <v/>
      </c>
      <c r="C362" s="8" t="str">
        <f t="shared" si="22"/>
        <v/>
      </c>
      <c r="D362" s="8" t="str">
        <f t="shared" si="23"/>
        <v/>
      </c>
      <c r="M362" s="24" t="str">
        <f t="array" ref="M362">LEFT(L362,MIN(FIND({"A","B","C"},MID(L362,2,LEN(L362))&amp;"ABC")))</f>
        <v/>
      </c>
      <c r="N362" s="24" t="str">
        <f t="array" ref="N362">SUBSTITUTE(L362,M362,"")</f>
        <v/>
      </c>
      <c r="W362" s="369" t="str">
        <f t="shared" si="21"/>
        <v/>
      </c>
      <c r="X362" s="258" t="str">
        <f t="shared" si="24"/>
        <v/>
      </c>
      <c r="Y362" s="36" t="str">
        <f t="shared" si="25"/>
        <v/>
      </c>
      <c r="Z362" s="340" t="str">
        <f>IF(AND(C362&gt;0,D362&lt;&gt;"",S362=""),VLOOKUP(A362&amp;IF(H362="黑丝","黑","白")&amp;E362,经纬!A:M,13,FALSE)*(I362-AB362),"")</f>
        <v/>
      </c>
      <c r="AA362" s="340" t="str">
        <f>IF(AND(C362&gt;0,D362&lt;&gt;"",S362=""),VLOOKUP(A362&amp;IF(H362="黑丝","黑","白")&amp;E362,经纬!A:N,14,FALSE)*(I362-AB362),"")</f>
        <v/>
      </c>
    </row>
    <row r="363" spans="2:27">
      <c r="B363" s="24" t="str">
        <f>IF(A363="","",IF(LEFT(A363)&gt;"9",VLOOKUP(A363,yuanjidaimachichun,2,FALSE),VLOOKUP(A363,经纬!B:C,2,FALSE)))</f>
        <v/>
      </c>
      <c r="C363" s="8" t="str">
        <f t="shared" si="22"/>
        <v/>
      </c>
      <c r="D363" s="8" t="str">
        <f t="shared" si="23"/>
        <v/>
      </c>
      <c r="M363" s="24" t="str">
        <f t="array" ref="M363">LEFT(L363,MIN(FIND({"A","B","C"},MID(L363,2,LEN(L363))&amp;"ABC")))</f>
        <v/>
      </c>
      <c r="N363" s="24" t="str">
        <f t="array" ref="N363">SUBSTITUTE(L363,M363,"")</f>
        <v/>
      </c>
      <c r="W363" s="369" t="str">
        <f t="shared" si="21"/>
        <v/>
      </c>
      <c r="X363" s="258" t="str">
        <f t="shared" si="24"/>
        <v/>
      </c>
      <c r="Y363" s="36" t="str">
        <f t="shared" si="25"/>
        <v/>
      </c>
      <c r="Z363" s="340" t="str">
        <f>IF(AND(C363&gt;0,D363&lt;&gt;"",S363=""),VLOOKUP(A363&amp;IF(H363="黑丝","黑","白")&amp;E363,经纬!A:M,13,FALSE)*(I363-AB363),"")</f>
        <v/>
      </c>
      <c r="AA363" s="340" t="str">
        <f>IF(AND(C363&gt;0,D363&lt;&gt;"",S363=""),VLOOKUP(A363&amp;IF(H363="黑丝","黑","白")&amp;E363,经纬!A:N,14,FALSE)*(I363-AB363),"")</f>
        <v/>
      </c>
    </row>
    <row r="364" spans="2:27">
      <c r="B364" s="24" t="str">
        <f>IF(A364="","",IF(LEFT(A364)&gt;"9",VLOOKUP(A364,yuanjidaimachichun,2,FALSE),VLOOKUP(A364,经纬!B:C,2,FALSE)))</f>
        <v/>
      </c>
      <c r="C364" s="8" t="str">
        <f t="shared" si="22"/>
        <v/>
      </c>
      <c r="D364" s="8" t="str">
        <f t="shared" si="23"/>
        <v/>
      </c>
      <c r="M364" s="24" t="str">
        <f t="array" ref="M364">LEFT(L364,MIN(FIND({"A","B","C"},MID(L364,2,LEN(L364))&amp;"ABC")))</f>
        <v/>
      </c>
      <c r="N364" s="24" t="str">
        <f t="array" ref="N364">SUBSTITUTE(L364,M364,"")</f>
        <v/>
      </c>
      <c r="W364" s="369" t="str">
        <f t="shared" si="21"/>
        <v/>
      </c>
      <c r="X364" s="258" t="str">
        <f t="shared" si="24"/>
        <v/>
      </c>
      <c r="Y364" s="36" t="str">
        <f t="shared" si="25"/>
        <v/>
      </c>
      <c r="Z364" s="340" t="str">
        <f>IF(AND(C364&gt;0,D364&lt;&gt;"",S364=""),VLOOKUP(A364&amp;IF(H364="黑丝","黑","白")&amp;E364,经纬!A:M,13,FALSE)*(I364-AB364),"")</f>
        <v/>
      </c>
      <c r="AA364" s="340" t="str">
        <f>IF(AND(C364&gt;0,D364&lt;&gt;"",S364=""),VLOOKUP(A364&amp;IF(H364="黑丝","黑","白")&amp;E364,经纬!A:N,14,FALSE)*(I364-AB364),"")</f>
        <v/>
      </c>
    </row>
    <row r="365" spans="2:27">
      <c r="B365" s="24" t="str">
        <f>IF(A365="","",IF(LEFT(A365)&gt;"9",VLOOKUP(A365,yuanjidaimachichun,2,FALSE),VLOOKUP(A365,经纬!B:C,2,FALSE)))</f>
        <v/>
      </c>
      <c r="C365" s="8" t="str">
        <f t="shared" si="22"/>
        <v/>
      </c>
      <c r="D365" s="8" t="str">
        <f t="shared" si="23"/>
        <v/>
      </c>
      <c r="M365" s="24" t="str">
        <f t="array" ref="M365">LEFT(L365,MIN(FIND({"A","B","C"},MID(L365,2,LEN(L365))&amp;"ABC")))</f>
        <v/>
      </c>
      <c r="N365" s="24" t="str">
        <f t="array" ref="N365">SUBSTITUTE(L365,M365,"")</f>
        <v/>
      </c>
      <c r="W365" s="369" t="str">
        <f t="shared" si="21"/>
        <v/>
      </c>
      <c r="X365" s="258" t="str">
        <f t="shared" si="24"/>
        <v/>
      </c>
      <c r="Y365" s="36" t="str">
        <f t="shared" si="25"/>
        <v/>
      </c>
      <c r="Z365" s="340" t="str">
        <f>IF(AND(C365&gt;0,D365&lt;&gt;"",S365=""),VLOOKUP(A365&amp;IF(H365="黑丝","黑","白")&amp;E365,经纬!A:M,13,FALSE)*(I365-AB365),"")</f>
        <v/>
      </c>
      <c r="AA365" s="340" t="str">
        <f>IF(AND(C365&gt;0,D365&lt;&gt;"",S365=""),VLOOKUP(A365&amp;IF(H365="黑丝","黑","白")&amp;E365,经纬!A:N,14,FALSE)*(I365-AB365),"")</f>
        <v/>
      </c>
    </row>
    <row r="366" spans="2:27">
      <c r="B366" s="24" t="str">
        <f>IF(A366="","",IF(LEFT(A366)&gt;"9",VLOOKUP(A366,yuanjidaimachichun,2,FALSE),VLOOKUP(A366,经纬!B:C,2,FALSE)))</f>
        <v/>
      </c>
      <c r="C366" s="8" t="str">
        <f t="shared" si="22"/>
        <v/>
      </c>
      <c r="D366" s="8" t="str">
        <f t="shared" si="23"/>
        <v/>
      </c>
      <c r="M366" s="24" t="str">
        <f t="array" ref="M366">LEFT(L366,MIN(FIND({"A","B","C"},MID(L366,2,LEN(L366))&amp;"ABC")))</f>
        <v/>
      </c>
      <c r="N366" s="24" t="str">
        <f t="array" ref="N366">SUBSTITUTE(L366,M366,"")</f>
        <v/>
      </c>
      <c r="W366" s="369" t="str">
        <f t="shared" si="21"/>
        <v/>
      </c>
      <c r="X366" s="258" t="str">
        <f t="shared" si="24"/>
        <v/>
      </c>
      <c r="Y366" s="36" t="str">
        <f t="shared" si="25"/>
        <v/>
      </c>
      <c r="Z366" s="340" t="str">
        <f>IF(AND(C366&gt;0,D366&lt;&gt;"",S366=""),VLOOKUP(A366&amp;IF(H366="黑丝","黑","白")&amp;E366,经纬!A:M,13,FALSE)*(I366-AB366),"")</f>
        <v/>
      </c>
      <c r="AA366" s="340" t="str">
        <f>IF(AND(C366&gt;0,D366&lt;&gt;"",S366=""),VLOOKUP(A366&amp;IF(H366="黑丝","黑","白")&amp;E366,经纬!A:N,14,FALSE)*(I366-AB366),"")</f>
        <v/>
      </c>
    </row>
    <row r="367" spans="2:27">
      <c r="B367" s="24" t="str">
        <f>IF(A367="","",IF(LEFT(A367)&gt;"9",VLOOKUP(A367,yuanjidaimachichun,2,FALSE),VLOOKUP(A367,经纬!B:C,2,FALSE)))</f>
        <v/>
      </c>
      <c r="C367" s="8" t="str">
        <f t="shared" si="22"/>
        <v/>
      </c>
      <c r="D367" s="8" t="str">
        <f t="shared" si="23"/>
        <v/>
      </c>
      <c r="M367" s="24" t="str">
        <f t="array" ref="M367">LEFT(L367,MIN(FIND({"A","B","C"},MID(L367,2,LEN(L367))&amp;"ABC")))</f>
        <v/>
      </c>
      <c r="N367" s="24" t="str">
        <f t="array" ref="N367">SUBSTITUTE(L367,M367,"")</f>
        <v/>
      </c>
      <c r="W367" s="369" t="str">
        <f t="shared" si="21"/>
        <v/>
      </c>
      <c r="X367" s="258" t="str">
        <f t="shared" si="24"/>
        <v/>
      </c>
      <c r="Y367" s="36" t="str">
        <f t="shared" si="25"/>
        <v/>
      </c>
      <c r="Z367" s="340" t="str">
        <f>IF(AND(C367&gt;0,D367&lt;&gt;"",S367=""),VLOOKUP(A367&amp;IF(H367="黑丝","黑","白")&amp;E367,经纬!A:M,13,FALSE)*(I367-AB367),"")</f>
        <v/>
      </c>
      <c r="AA367" s="340" t="str">
        <f>IF(AND(C367&gt;0,D367&lt;&gt;"",S367=""),VLOOKUP(A367&amp;IF(H367="黑丝","黑","白")&amp;E367,经纬!A:N,14,FALSE)*(I367-AB367),"")</f>
        <v/>
      </c>
    </row>
    <row r="368" spans="2:27">
      <c r="B368" s="24" t="str">
        <f>IF(A368="","",IF(LEFT(A368)&gt;"9",VLOOKUP(A368,yuanjidaimachichun,2,FALSE),VLOOKUP(A368,经纬!B:C,2,FALSE)))</f>
        <v/>
      </c>
      <c r="C368" s="8" t="str">
        <f t="shared" si="22"/>
        <v/>
      </c>
      <c r="D368" s="8" t="str">
        <f t="shared" si="23"/>
        <v/>
      </c>
      <c r="M368" s="24" t="str">
        <f t="array" ref="M368">LEFT(L368,MIN(FIND({"A","B","C"},MID(L368,2,LEN(L368))&amp;"ABC")))</f>
        <v/>
      </c>
      <c r="N368" s="24" t="str">
        <f t="array" ref="N368">SUBSTITUTE(L368,M368,"")</f>
        <v/>
      </c>
      <c r="W368" s="369" t="str">
        <f t="shared" si="21"/>
        <v/>
      </c>
      <c r="X368" s="258" t="str">
        <f t="shared" si="24"/>
        <v/>
      </c>
      <c r="Y368" s="36" t="str">
        <f t="shared" si="25"/>
        <v/>
      </c>
      <c r="Z368" s="340" t="str">
        <f>IF(AND(C368&gt;0,D368&lt;&gt;"",S368=""),VLOOKUP(A368&amp;IF(H368="黑丝","黑","白")&amp;E368,经纬!A:M,13,FALSE)*(I368-AB368),"")</f>
        <v/>
      </c>
      <c r="AA368" s="340" t="str">
        <f>IF(AND(C368&gt;0,D368&lt;&gt;"",S368=""),VLOOKUP(A368&amp;IF(H368="黑丝","黑","白")&amp;E368,经纬!A:N,14,FALSE)*(I368-AB368),"")</f>
        <v/>
      </c>
    </row>
    <row r="369" spans="2:27">
      <c r="B369" s="24" t="str">
        <f>IF(A369="","",IF(LEFT(A369)&gt;"9",VLOOKUP(A369,yuanjidaimachichun,2,FALSE),VLOOKUP(A369,经纬!B:C,2,FALSE)))</f>
        <v/>
      </c>
      <c r="C369" s="8" t="str">
        <f t="shared" si="22"/>
        <v/>
      </c>
      <c r="D369" s="8" t="str">
        <f t="shared" si="23"/>
        <v/>
      </c>
      <c r="M369" s="24" t="str">
        <f t="array" ref="M369">LEFT(L369,MIN(FIND({"A","B","C"},MID(L369,2,LEN(L369))&amp;"ABC")))</f>
        <v/>
      </c>
      <c r="N369" s="24" t="str">
        <f t="array" ref="N369">SUBSTITUTE(L369,M369,"")</f>
        <v/>
      </c>
      <c r="W369" s="369" t="str">
        <f t="shared" si="21"/>
        <v/>
      </c>
      <c r="X369" s="258" t="str">
        <f t="shared" si="24"/>
        <v/>
      </c>
      <c r="Y369" s="36" t="str">
        <f t="shared" si="25"/>
        <v/>
      </c>
      <c r="Z369" s="340" t="str">
        <f>IF(AND(C369&gt;0,D369&lt;&gt;"",S369=""),VLOOKUP(A369&amp;IF(H369="黑丝","黑","白")&amp;E369,经纬!A:M,13,FALSE)*(I369-AB369),"")</f>
        <v/>
      </c>
      <c r="AA369" s="340" t="str">
        <f>IF(AND(C369&gt;0,D369&lt;&gt;"",S369=""),VLOOKUP(A369&amp;IF(H369="黑丝","黑","白")&amp;E369,经纬!A:N,14,FALSE)*(I369-AB369),"")</f>
        <v/>
      </c>
    </row>
    <row r="370" spans="2:27">
      <c r="B370" s="24" t="str">
        <f>IF(A370="","",IF(LEFT(A370)&gt;"9",VLOOKUP(A370,yuanjidaimachichun,2,FALSE),VLOOKUP(A370,经纬!B:C,2,FALSE)))</f>
        <v/>
      </c>
      <c r="C370" s="8" t="str">
        <f t="shared" si="22"/>
        <v/>
      </c>
      <c r="D370" s="8" t="str">
        <f t="shared" si="23"/>
        <v/>
      </c>
      <c r="M370" s="24" t="str">
        <f t="array" ref="M370">LEFT(L370,MIN(FIND({"A","B","C"},MID(L370,2,LEN(L370))&amp;"ABC")))</f>
        <v/>
      </c>
      <c r="N370" s="24" t="str">
        <f t="array" ref="N370">SUBSTITUTE(L370,M370,"")</f>
        <v/>
      </c>
      <c r="W370" s="369" t="str">
        <f t="shared" si="21"/>
        <v/>
      </c>
      <c r="X370" s="258" t="str">
        <f t="shared" si="24"/>
        <v/>
      </c>
      <c r="Y370" s="36" t="str">
        <f t="shared" si="25"/>
        <v/>
      </c>
      <c r="Z370" s="340" t="str">
        <f>IF(AND(C370&gt;0,D370&lt;&gt;"",S370=""),VLOOKUP(A370&amp;IF(H370="黑丝","黑","白")&amp;E370,经纬!A:M,13,FALSE)*(I370-AB370),"")</f>
        <v/>
      </c>
      <c r="AA370" s="340" t="str">
        <f>IF(AND(C370&gt;0,D370&lt;&gt;"",S370=""),VLOOKUP(A370&amp;IF(H370="黑丝","黑","白")&amp;E370,经纬!A:N,14,FALSE)*(I370-AB370),"")</f>
        <v/>
      </c>
    </row>
    <row r="371" spans="2:27">
      <c r="B371" s="24" t="str">
        <f>IF(A371="","",IF(LEFT(A371)&gt;"9",VLOOKUP(A371,yuanjidaimachichun,2,FALSE),VLOOKUP(A371,经纬!B:C,2,FALSE)))</f>
        <v/>
      </c>
      <c r="C371" s="8" t="str">
        <f t="shared" si="22"/>
        <v/>
      </c>
      <c r="D371" s="8" t="str">
        <f t="shared" si="23"/>
        <v/>
      </c>
      <c r="M371" s="24" t="str">
        <f t="array" ref="M371">LEFT(L371,MIN(FIND({"A","B","C"},MID(L371,2,LEN(L371))&amp;"ABC")))</f>
        <v/>
      </c>
      <c r="N371" s="24" t="str">
        <f t="array" ref="N371">SUBSTITUTE(L371,M371,"")</f>
        <v/>
      </c>
      <c r="W371" s="369" t="str">
        <f t="shared" si="21"/>
        <v/>
      </c>
      <c r="X371" s="258" t="str">
        <f t="shared" si="24"/>
        <v/>
      </c>
      <c r="Y371" s="36" t="str">
        <f t="shared" si="25"/>
        <v/>
      </c>
      <c r="Z371" s="340" t="str">
        <f>IF(AND(C371&gt;0,D371&lt;&gt;"",S371=""),VLOOKUP(A371&amp;IF(H371="黑丝","黑","白")&amp;E371,经纬!A:M,13,FALSE)*(I371-AB371),"")</f>
        <v/>
      </c>
      <c r="AA371" s="340" t="str">
        <f>IF(AND(C371&gt;0,D371&lt;&gt;"",S371=""),VLOOKUP(A371&amp;IF(H371="黑丝","黑","白")&amp;E371,经纬!A:N,14,FALSE)*(I371-AB371),"")</f>
        <v/>
      </c>
    </row>
    <row r="372" spans="2:27">
      <c r="B372" s="24" t="str">
        <f>IF(A372="","",IF(LEFT(A372)&gt;"9",VLOOKUP(A372,yuanjidaimachichun,2,FALSE),VLOOKUP(A372,经纬!B:C,2,FALSE)))</f>
        <v/>
      </c>
      <c r="C372" s="8" t="str">
        <f t="shared" si="22"/>
        <v/>
      </c>
      <c r="D372" s="8" t="str">
        <f t="shared" si="23"/>
        <v/>
      </c>
      <c r="M372" s="24" t="str">
        <f t="array" ref="M372">LEFT(L372,MIN(FIND({"A","B","C"},MID(L372,2,LEN(L372))&amp;"ABC")))</f>
        <v/>
      </c>
      <c r="N372" s="24" t="str">
        <f t="array" ref="N372">SUBSTITUTE(L372,M372,"")</f>
        <v/>
      </c>
      <c r="W372" s="369" t="str">
        <f t="shared" si="21"/>
        <v/>
      </c>
      <c r="X372" s="258" t="str">
        <f t="shared" si="24"/>
        <v/>
      </c>
      <c r="Y372" s="36" t="str">
        <f t="shared" si="25"/>
        <v/>
      </c>
      <c r="Z372" s="340" t="str">
        <f>IF(AND(C372&gt;0,D372&lt;&gt;"",S372=""),VLOOKUP(A372&amp;IF(H372="黑丝","黑","白")&amp;E372,经纬!A:M,13,FALSE)*(I372-AB372),"")</f>
        <v/>
      </c>
      <c r="AA372" s="340" t="str">
        <f>IF(AND(C372&gt;0,D372&lt;&gt;"",S372=""),VLOOKUP(A372&amp;IF(H372="黑丝","黑","白")&amp;E372,经纬!A:N,14,FALSE)*(I372-AB372),"")</f>
        <v/>
      </c>
    </row>
    <row r="373" spans="2:27">
      <c r="B373" s="24" t="str">
        <f>IF(A373="","",IF(LEFT(A373)&gt;"9",VLOOKUP(A373,yuanjidaimachichun,2,FALSE),VLOOKUP(A373,经纬!B:C,2,FALSE)))</f>
        <v/>
      </c>
      <c r="C373" s="8" t="str">
        <f t="shared" si="22"/>
        <v/>
      </c>
      <c r="D373" s="8" t="str">
        <f t="shared" si="23"/>
        <v/>
      </c>
      <c r="M373" s="24" t="str">
        <f t="array" ref="M373">LEFT(L373,MIN(FIND({"A","B","C"},MID(L373,2,LEN(L373))&amp;"ABC")))</f>
        <v/>
      </c>
      <c r="N373" s="24" t="str">
        <f t="array" ref="N373">SUBSTITUTE(L373,M373,"")</f>
        <v/>
      </c>
      <c r="W373" s="369" t="str">
        <f t="shared" si="21"/>
        <v/>
      </c>
      <c r="X373" s="258" t="str">
        <f t="shared" si="24"/>
        <v/>
      </c>
      <c r="Y373" s="36" t="str">
        <f t="shared" si="25"/>
        <v/>
      </c>
      <c r="Z373" s="340" t="str">
        <f>IF(AND(C373&gt;0,D373&lt;&gt;"",S373=""),VLOOKUP(A373&amp;IF(H373="黑丝","黑","白")&amp;E373,经纬!A:M,13,FALSE)*(I373-AB373),"")</f>
        <v/>
      </c>
      <c r="AA373" s="340" t="str">
        <f>IF(AND(C373&gt;0,D373&lt;&gt;"",S373=""),VLOOKUP(A373&amp;IF(H373="黑丝","黑","白")&amp;E373,经纬!A:N,14,FALSE)*(I373-AB373),"")</f>
        <v/>
      </c>
    </row>
    <row r="374" spans="2:27">
      <c r="B374" s="24" t="str">
        <f>IF(A374="","",IF(LEFT(A374)&gt;"9",VLOOKUP(A374,yuanjidaimachichun,2,FALSE),VLOOKUP(A374,经纬!B:C,2,FALSE)))</f>
        <v/>
      </c>
      <c r="C374" s="8" t="str">
        <f t="shared" si="22"/>
        <v/>
      </c>
      <c r="D374" s="8" t="str">
        <f t="shared" si="23"/>
        <v/>
      </c>
      <c r="M374" s="24" t="str">
        <f t="array" ref="M374">LEFT(L374,MIN(FIND({"A","B","C"},MID(L374,2,LEN(L374))&amp;"ABC")))</f>
        <v/>
      </c>
      <c r="N374" s="24" t="str">
        <f t="array" ref="N374">SUBSTITUTE(L374,M374,"")</f>
        <v/>
      </c>
      <c r="W374" s="369" t="str">
        <f t="shared" si="21"/>
        <v/>
      </c>
      <c r="X374" s="258" t="str">
        <f t="shared" si="24"/>
        <v/>
      </c>
      <c r="Y374" s="36" t="str">
        <f t="shared" si="25"/>
        <v/>
      </c>
      <c r="Z374" s="340" t="str">
        <f>IF(AND(C374&gt;0,D374&lt;&gt;"",S374=""),VLOOKUP(A374&amp;IF(H374="黑丝","黑","白")&amp;E374,经纬!A:M,13,FALSE)*(I374-AB374),"")</f>
        <v/>
      </c>
      <c r="AA374" s="340" t="str">
        <f>IF(AND(C374&gt;0,D374&lt;&gt;"",S374=""),VLOOKUP(A374&amp;IF(H374="黑丝","黑","白")&amp;E374,经纬!A:N,14,FALSE)*(I374-AB374),"")</f>
        <v/>
      </c>
    </row>
    <row r="375" spans="2:27">
      <c r="B375" s="24" t="str">
        <f>IF(A375="","",IF(LEFT(A375)&gt;"9",VLOOKUP(A375,yuanjidaimachichun,2,FALSE),VLOOKUP(A375,经纬!B:C,2,FALSE)))</f>
        <v/>
      </c>
      <c r="C375" s="8" t="str">
        <f t="shared" si="22"/>
        <v/>
      </c>
      <c r="D375" s="8" t="str">
        <f t="shared" si="23"/>
        <v/>
      </c>
      <c r="M375" s="24" t="str">
        <f t="array" ref="M375">LEFT(L375,MIN(FIND({"A","B","C"},MID(L375,2,LEN(L375))&amp;"ABC")))</f>
        <v/>
      </c>
      <c r="N375" s="24" t="str">
        <f t="array" ref="N375">SUBSTITUTE(L375,M375,"")</f>
        <v/>
      </c>
      <c r="W375" s="369" t="str">
        <f t="shared" si="21"/>
        <v/>
      </c>
      <c r="X375" s="258" t="str">
        <f t="shared" si="24"/>
        <v/>
      </c>
      <c r="Y375" s="36" t="str">
        <f t="shared" si="25"/>
        <v/>
      </c>
      <c r="Z375" s="340" t="str">
        <f>IF(AND(C375&gt;0,D375&lt;&gt;"",S375=""),VLOOKUP(A375&amp;IF(H375="黑丝","黑","白")&amp;E375,经纬!A:M,13,FALSE)*(I375-AB375),"")</f>
        <v/>
      </c>
      <c r="AA375" s="340" t="str">
        <f>IF(AND(C375&gt;0,D375&lt;&gt;"",S375=""),VLOOKUP(A375&amp;IF(H375="黑丝","黑","白")&amp;E375,经纬!A:N,14,FALSE)*(I375-AB375),"")</f>
        <v/>
      </c>
    </row>
    <row r="376" spans="2:27">
      <c r="B376" s="24" t="str">
        <f>IF(A376="","",IF(LEFT(A376)&gt;"9",VLOOKUP(A376,yuanjidaimachichun,2,FALSE),VLOOKUP(A376,经纬!B:C,2,FALSE)))</f>
        <v/>
      </c>
      <c r="C376" s="8" t="str">
        <f t="shared" si="22"/>
        <v/>
      </c>
      <c r="D376" s="8" t="str">
        <f t="shared" si="23"/>
        <v/>
      </c>
      <c r="M376" s="24" t="str">
        <f t="array" ref="M376">LEFT(L376,MIN(FIND({"A","B","C"},MID(L376,2,LEN(L376))&amp;"ABC")))</f>
        <v/>
      </c>
      <c r="N376" s="24" t="str">
        <f t="array" ref="N376">SUBSTITUTE(L376,M376,"")</f>
        <v/>
      </c>
      <c r="W376" s="369" t="str">
        <f t="shared" si="21"/>
        <v/>
      </c>
      <c r="X376" s="258" t="str">
        <f t="shared" si="24"/>
        <v/>
      </c>
      <c r="Y376" s="36" t="str">
        <f t="shared" si="25"/>
        <v/>
      </c>
      <c r="Z376" s="340" t="str">
        <f>IF(AND(C376&gt;0,D376&lt;&gt;"",S376=""),VLOOKUP(A376&amp;IF(H376="黑丝","黑","白")&amp;E376,经纬!A:M,13,FALSE)*(I376-AB376),"")</f>
        <v/>
      </c>
      <c r="AA376" s="340" t="str">
        <f>IF(AND(C376&gt;0,D376&lt;&gt;"",S376=""),VLOOKUP(A376&amp;IF(H376="黑丝","黑","白")&amp;E376,经纬!A:N,14,FALSE)*(I376-AB376),"")</f>
        <v/>
      </c>
    </row>
    <row r="377" spans="2:27">
      <c r="B377" s="24" t="str">
        <f>IF(A377="","",IF(LEFT(A377)&gt;"9",VLOOKUP(A377,yuanjidaimachichun,2,FALSE),VLOOKUP(A377,经纬!B:C,2,FALSE)))</f>
        <v/>
      </c>
      <c r="C377" s="8" t="str">
        <f t="shared" si="22"/>
        <v/>
      </c>
      <c r="D377" s="8" t="str">
        <f t="shared" si="23"/>
        <v/>
      </c>
      <c r="M377" s="24" t="str">
        <f t="array" ref="M377">LEFT(L377,MIN(FIND({"A","B","C"},MID(L377,2,LEN(L377))&amp;"ABC")))</f>
        <v/>
      </c>
      <c r="N377" s="24" t="str">
        <f t="array" ref="N377">SUBSTITUTE(L377,M377,"")</f>
        <v/>
      </c>
      <c r="W377" s="369" t="str">
        <f t="shared" si="21"/>
        <v/>
      </c>
      <c r="X377" s="258" t="str">
        <f t="shared" si="24"/>
        <v/>
      </c>
      <c r="Y377" s="36" t="str">
        <f t="shared" si="25"/>
        <v/>
      </c>
      <c r="Z377" s="340" t="str">
        <f>IF(AND(C377&gt;0,D377&lt;&gt;"",S377=""),VLOOKUP(A377&amp;IF(H377="黑丝","黑","白")&amp;E377,经纬!A:M,13,FALSE)*(I377-AB377),"")</f>
        <v/>
      </c>
      <c r="AA377" s="340" t="str">
        <f>IF(AND(C377&gt;0,D377&lt;&gt;"",S377=""),VLOOKUP(A377&amp;IF(H377="黑丝","黑","白")&amp;E377,经纬!A:N,14,FALSE)*(I377-AB377),"")</f>
        <v/>
      </c>
    </row>
    <row r="378" spans="2:27">
      <c r="B378" s="24" t="str">
        <f>IF(A378="","",IF(LEFT(A378)&gt;"9",VLOOKUP(A378,yuanjidaimachichun,2,FALSE),VLOOKUP(A378,经纬!B:C,2,FALSE)))</f>
        <v/>
      </c>
      <c r="C378" s="8" t="str">
        <f t="shared" si="22"/>
        <v/>
      </c>
      <c r="D378" s="8" t="str">
        <f t="shared" si="23"/>
        <v/>
      </c>
      <c r="M378" s="24" t="str">
        <f t="array" ref="M378">LEFT(L378,MIN(FIND({"A","B","C"},MID(L378,2,LEN(L378))&amp;"ABC")))</f>
        <v/>
      </c>
      <c r="N378" s="24" t="str">
        <f t="array" ref="N378">SUBSTITUTE(L378,M378,"")</f>
        <v/>
      </c>
      <c r="W378" s="369" t="str">
        <f t="shared" si="21"/>
        <v/>
      </c>
      <c r="X378" s="258" t="str">
        <f t="shared" si="24"/>
        <v/>
      </c>
      <c r="Y378" s="36" t="str">
        <f t="shared" si="25"/>
        <v/>
      </c>
      <c r="Z378" s="340" t="str">
        <f>IF(AND(C378&gt;0,D378&lt;&gt;"",S378=""),VLOOKUP(A378&amp;IF(H378="黑丝","黑","白")&amp;E378,经纬!A:M,13,FALSE)*(I378-AB378),"")</f>
        <v/>
      </c>
      <c r="AA378" s="340" t="str">
        <f>IF(AND(C378&gt;0,D378&lt;&gt;"",S378=""),VLOOKUP(A378&amp;IF(H378="黑丝","黑","白")&amp;E378,经纬!A:N,14,FALSE)*(I378-AB378),"")</f>
        <v/>
      </c>
    </row>
    <row r="379" spans="2:27">
      <c r="B379" s="24" t="str">
        <f>IF(A379="","",IF(LEFT(A379)&gt;"9",VLOOKUP(A379,yuanjidaimachichun,2,FALSE),VLOOKUP(A379,经纬!B:C,2,FALSE)))</f>
        <v/>
      </c>
      <c r="C379" s="8" t="str">
        <f t="shared" si="22"/>
        <v/>
      </c>
      <c r="D379" s="8" t="str">
        <f t="shared" si="23"/>
        <v/>
      </c>
      <c r="M379" s="24" t="str">
        <f t="array" ref="M379">LEFT(L379,MIN(FIND({"A","B","C"},MID(L379,2,LEN(L379))&amp;"ABC")))</f>
        <v/>
      </c>
      <c r="N379" s="24" t="str">
        <f t="array" ref="N379">SUBSTITUTE(L379,M379,"")</f>
        <v/>
      </c>
      <c r="W379" s="369" t="str">
        <f t="shared" si="21"/>
        <v/>
      </c>
      <c r="X379" s="258" t="str">
        <f t="shared" si="24"/>
        <v/>
      </c>
      <c r="Y379" s="36" t="str">
        <f t="shared" si="25"/>
        <v/>
      </c>
      <c r="Z379" s="340" t="str">
        <f>IF(AND(C379&gt;0,D379&lt;&gt;"",S379=""),VLOOKUP(A379&amp;IF(H379="黑丝","黑","白")&amp;E379,经纬!A:M,13,FALSE)*(I379-AB379),"")</f>
        <v/>
      </c>
      <c r="AA379" s="340" t="str">
        <f>IF(AND(C379&gt;0,D379&lt;&gt;"",S379=""),VLOOKUP(A379&amp;IF(H379="黑丝","黑","白")&amp;E379,经纬!A:N,14,FALSE)*(I379-AB379),"")</f>
        <v/>
      </c>
    </row>
    <row r="380" spans="2:27">
      <c r="B380" s="24" t="str">
        <f>IF(A380="","",IF(LEFT(A380)&gt;"9",VLOOKUP(A380,yuanjidaimachichun,2,FALSE),VLOOKUP(A380,经纬!B:C,2,FALSE)))</f>
        <v/>
      </c>
      <c r="C380" s="8" t="str">
        <f t="shared" si="22"/>
        <v/>
      </c>
      <c r="D380" s="8" t="str">
        <f t="shared" si="23"/>
        <v/>
      </c>
      <c r="M380" s="24" t="str">
        <f t="array" ref="M380">LEFT(L380,MIN(FIND({"A","B","C"},MID(L380,2,LEN(L380))&amp;"ABC")))</f>
        <v/>
      </c>
      <c r="N380" s="24" t="str">
        <f t="array" ref="N380">SUBSTITUTE(L380,M380,"")</f>
        <v/>
      </c>
      <c r="W380" s="369" t="str">
        <f t="shared" si="21"/>
        <v/>
      </c>
      <c r="X380" s="258" t="str">
        <f t="shared" si="24"/>
        <v/>
      </c>
      <c r="Y380" s="36" t="str">
        <f t="shared" si="25"/>
        <v/>
      </c>
      <c r="Z380" s="340" t="str">
        <f>IF(AND(C380&gt;0,D380&lt;&gt;"",S380=""),VLOOKUP(A380&amp;IF(H380="黑丝","黑","白")&amp;E380,经纬!A:M,13,FALSE)*(I380-AB380),"")</f>
        <v/>
      </c>
      <c r="AA380" s="340" t="str">
        <f>IF(AND(C380&gt;0,D380&lt;&gt;"",S380=""),VLOOKUP(A380&amp;IF(H380="黑丝","黑","白")&amp;E380,经纬!A:N,14,FALSE)*(I380-AB380),"")</f>
        <v/>
      </c>
    </row>
    <row r="381" spans="2:27">
      <c r="B381" s="24" t="str">
        <f>IF(A381="","",IF(LEFT(A381)&gt;"9",VLOOKUP(A381,yuanjidaimachichun,2,FALSE),VLOOKUP(A381,经纬!B:C,2,FALSE)))</f>
        <v/>
      </c>
      <c r="C381" s="8" t="str">
        <f t="shared" si="22"/>
        <v/>
      </c>
      <c r="D381" s="8" t="str">
        <f t="shared" si="23"/>
        <v/>
      </c>
      <c r="M381" s="24" t="str">
        <f t="array" ref="M381">LEFT(L381,MIN(FIND({"A","B","C"},MID(L381,2,LEN(L381))&amp;"ABC")))</f>
        <v/>
      </c>
      <c r="N381" s="24" t="str">
        <f t="array" ref="N381">SUBSTITUTE(L381,M381,"")</f>
        <v/>
      </c>
      <c r="W381" s="369" t="str">
        <f t="shared" si="21"/>
        <v/>
      </c>
      <c r="X381" s="258" t="str">
        <f t="shared" si="24"/>
        <v/>
      </c>
      <c r="Y381" s="36" t="str">
        <f t="shared" si="25"/>
        <v/>
      </c>
      <c r="Z381" s="340" t="str">
        <f>IF(AND(C381&gt;0,D381&lt;&gt;"",S381=""),VLOOKUP(A381&amp;IF(H381="黑丝","黑","白")&amp;E381,经纬!A:M,13,FALSE)*(I381-AB381),"")</f>
        <v/>
      </c>
      <c r="AA381" s="340" t="str">
        <f>IF(AND(C381&gt;0,D381&lt;&gt;"",S381=""),VLOOKUP(A381&amp;IF(H381="黑丝","黑","白")&amp;E381,经纬!A:N,14,FALSE)*(I381-AB381),"")</f>
        <v/>
      </c>
    </row>
    <row r="382" spans="2:27">
      <c r="B382" s="24" t="str">
        <f>IF(A382="","",IF(LEFT(A382)&gt;"9",VLOOKUP(A382,yuanjidaimachichun,2,FALSE),VLOOKUP(A382,经纬!B:C,2,FALSE)))</f>
        <v/>
      </c>
      <c r="C382" s="8" t="str">
        <f t="shared" si="22"/>
        <v/>
      </c>
      <c r="D382" s="8" t="str">
        <f t="shared" si="23"/>
        <v/>
      </c>
      <c r="M382" s="24" t="str">
        <f t="array" ref="M382">LEFT(L382,MIN(FIND({"A","B","C"},MID(L382,2,LEN(L382))&amp;"ABC")))</f>
        <v/>
      </c>
      <c r="N382" s="24" t="str">
        <f t="array" ref="N382">SUBSTITUTE(L382,M382,"")</f>
        <v/>
      </c>
      <c r="W382" s="369" t="str">
        <f t="shared" si="21"/>
        <v/>
      </c>
      <c r="X382" s="258" t="str">
        <f t="shared" si="24"/>
        <v/>
      </c>
      <c r="Y382" s="36" t="str">
        <f t="shared" si="25"/>
        <v/>
      </c>
      <c r="Z382" s="340" t="str">
        <f>IF(AND(C382&gt;0,D382&lt;&gt;"",S382=""),VLOOKUP(A382&amp;IF(H382="黑丝","黑","白")&amp;E382,经纬!A:M,13,FALSE)*(I382-AB382),"")</f>
        <v/>
      </c>
      <c r="AA382" s="340" t="str">
        <f>IF(AND(C382&gt;0,D382&lt;&gt;"",S382=""),VLOOKUP(A382&amp;IF(H382="黑丝","黑","白")&amp;E382,经纬!A:N,14,FALSE)*(I382-AB382),"")</f>
        <v/>
      </c>
    </row>
    <row r="383" spans="2:27">
      <c r="B383" s="24" t="str">
        <f>IF(A383="","",IF(LEFT(A383)&gt;"9",VLOOKUP(A383,yuanjidaimachichun,2,FALSE),VLOOKUP(A383,经纬!B:C,2,FALSE)))</f>
        <v/>
      </c>
      <c r="C383" s="8" t="str">
        <f t="shared" si="22"/>
        <v/>
      </c>
      <c r="D383" s="8" t="str">
        <f t="shared" si="23"/>
        <v/>
      </c>
      <c r="M383" s="24" t="str">
        <f t="array" ref="M383">LEFT(L383,MIN(FIND({"A","B","C"},MID(L383,2,LEN(L383))&amp;"ABC")))</f>
        <v/>
      </c>
      <c r="N383" s="24" t="str">
        <f t="array" ref="N383">SUBSTITUTE(L383,M383,"")</f>
        <v/>
      </c>
      <c r="W383" s="369" t="str">
        <f t="shared" si="21"/>
        <v/>
      </c>
      <c r="X383" s="258" t="str">
        <f t="shared" si="24"/>
        <v/>
      </c>
      <c r="Y383" s="36" t="str">
        <f t="shared" si="25"/>
        <v/>
      </c>
      <c r="Z383" s="340" t="str">
        <f>IF(AND(C383&gt;0,D383&lt;&gt;"",S383=""),VLOOKUP(A383&amp;IF(H383="黑丝","黑","白")&amp;E383,经纬!A:M,13,FALSE)*(I383-AB383),"")</f>
        <v/>
      </c>
      <c r="AA383" s="340" t="str">
        <f>IF(AND(C383&gt;0,D383&lt;&gt;"",S383=""),VLOOKUP(A383&amp;IF(H383="黑丝","黑","白")&amp;E383,经纬!A:N,14,FALSE)*(I383-AB383),"")</f>
        <v/>
      </c>
    </row>
    <row r="384" spans="2:27">
      <c r="B384" s="24" t="str">
        <f>IF(A384="","",IF(LEFT(A384)&gt;"9",VLOOKUP(A384,yuanjidaimachichun,2,FALSE),VLOOKUP(A384,经纬!B:C,2,FALSE)))</f>
        <v/>
      </c>
      <c r="C384" s="8" t="str">
        <f t="shared" si="22"/>
        <v/>
      </c>
      <c r="D384" s="8" t="str">
        <f t="shared" si="23"/>
        <v/>
      </c>
      <c r="M384" s="24" t="str">
        <f t="array" ref="M384">LEFT(L384,MIN(FIND({"A","B","C"},MID(L384,2,LEN(L384))&amp;"ABC")))</f>
        <v/>
      </c>
      <c r="N384" s="24" t="str">
        <f t="array" ref="N384">SUBSTITUTE(L384,M384,"")</f>
        <v/>
      </c>
      <c r="W384" s="369" t="str">
        <f t="shared" si="21"/>
        <v/>
      </c>
      <c r="X384" s="258" t="str">
        <f t="shared" si="24"/>
        <v/>
      </c>
      <c r="Y384" s="36" t="str">
        <f t="shared" si="25"/>
        <v/>
      </c>
      <c r="Z384" s="340" t="str">
        <f>IF(AND(C384&gt;0,D384&lt;&gt;"",S384=""),VLOOKUP(A384&amp;IF(H384="黑丝","黑","白")&amp;E384,经纬!A:M,13,FALSE)*(I384-AB384),"")</f>
        <v/>
      </c>
      <c r="AA384" s="340" t="str">
        <f>IF(AND(C384&gt;0,D384&lt;&gt;"",S384=""),VLOOKUP(A384&amp;IF(H384="黑丝","黑","白")&amp;E384,经纬!A:N,14,FALSE)*(I384-AB384),"")</f>
        <v/>
      </c>
    </row>
    <row r="385" spans="2:27">
      <c r="B385" s="24" t="str">
        <f>IF(A385="","",IF(LEFT(A385)&gt;"9",VLOOKUP(A385,yuanjidaimachichun,2,FALSE),VLOOKUP(A385,经纬!B:C,2,FALSE)))</f>
        <v/>
      </c>
      <c r="C385" s="8" t="str">
        <f t="shared" si="22"/>
        <v/>
      </c>
      <c r="D385" s="8" t="str">
        <f t="shared" si="23"/>
        <v/>
      </c>
      <c r="M385" s="24" t="str">
        <f t="array" ref="M385">LEFT(L385,MIN(FIND({"A","B","C"},MID(L385,2,LEN(L385))&amp;"ABC")))</f>
        <v/>
      </c>
      <c r="N385" s="24" t="str">
        <f t="array" ref="N385">SUBSTITUTE(L385,M385,"")</f>
        <v/>
      </c>
      <c r="W385" s="369" t="str">
        <f t="shared" si="21"/>
        <v/>
      </c>
      <c r="X385" s="258" t="str">
        <f t="shared" si="24"/>
        <v/>
      </c>
      <c r="Y385" s="36" t="str">
        <f t="shared" si="25"/>
        <v/>
      </c>
      <c r="Z385" s="340" t="str">
        <f>IF(AND(C385&gt;0,D385&lt;&gt;"",S385=""),VLOOKUP(A385&amp;IF(H385="黑丝","黑","白")&amp;E385,经纬!A:M,13,FALSE)*(I385-AB385),"")</f>
        <v/>
      </c>
      <c r="AA385" s="340" t="str">
        <f>IF(AND(C385&gt;0,D385&lt;&gt;"",S385=""),VLOOKUP(A385&amp;IF(H385="黑丝","黑","白")&amp;E385,经纬!A:N,14,FALSE)*(I385-AB385),"")</f>
        <v/>
      </c>
    </row>
    <row r="386" spans="2:27">
      <c r="B386" s="24" t="str">
        <f>IF(A386="","",IF(LEFT(A386)&gt;"9",VLOOKUP(A386,yuanjidaimachichun,2,FALSE),VLOOKUP(A386,经纬!B:C,2,FALSE)))</f>
        <v/>
      </c>
      <c r="C386" s="8" t="str">
        <f t="shared" si="22"/>
        <v/>
      </c>
      <c r="D386" s="8" t="str">
        <f t="shared" si="23"/>
        <v/>
      </c>
      <c r="M386" s="24" t="str">
        <f t="array" ref="M386">LEFT(L386,MIN(FIND({"A","B","C"},MID(L386,2,LEN(L386))&amp;"ABC")))</f>
        <v/>
      </c>
      <c r="N386" s="24" t="str">
        <f t="array" ref="N386">SUBSTITUTE(L386,M386,"")</f>
        <v/>
      </c>
      <c r="W386" s="369" t="str">
        <f t="shared" si="21"/>
        <v/>
      </c>
      <c r="X386" s="258" t="str">
        <f t="shared" si="24"/>
        <v/>
      </c>
      <c r="Y386" s="36" t="str">
        <f t="shared" si="25"/>
        <v/>
      </c>
      <c r="Z386" s="340" t="str">
        <f>IF(AND(C386&gt;0,D386&lt;&gt;"",S386=""),VLOOKUP(A386&amp;IF(H386="黑丝","黑","白")&amp;E386,经纬!A:M,13,FALSE)*(I386-AB386),"")</f>
        <v/>
      </c>
      <c r="AA386" s="340" t="str">
        <f>IF(AND(C386&gt;0,D386&lt;&gt;"",S386=""),VLOOKUP(A386&amp;IF(H386="黑丝","黑","白")&amp;E386,经纬!A:N,14,FALSE)*(I386-AB386),"")</f>
        <v/>
      </c>
    </row>
    <row r="387" spans="2:27">
      <c r="B387" s="24" t="str">
        <f>IF(A387="","",IF(LEFT(A387)&gt;"9",VLOOKUP(A387,yuanjidaimachichun,2,FALSE),VLOOKUP(A387,经纬!B:C,2,FALSE)))</f>
        <v/>
      </c>
      <c r="C387" s="8" t="str">
        <f t="shared" si="22"/>
        <v/>
      </c>
      <c r="D387" s="8" t="str">
        <f t="shared" si="23"/>
        <v/>
      </c>
      <c r="M387" s="24" t="str">
        <f t="array" ref="M387">LEFT(L387,MIN(FIND({"A","B","C"},MID(L387,2,LEN(L387))&amp;"ABC")))</f>
        <v/>
      </c>
      <c r="N387" s="24" t="str">
        <f t="array" ref="N387">SUBSTITUTE(L387,M387,"")</f>
        <v/>
      </c>
      <c r="W387" s="369" t="str">
        <f t="shared" ref="W387:W450" si="26">IF(A387="","",IF(S387&lt;&gt;"","",IF(D387&lt;&gt;"",(I387-AB387),Y387*IF(H387="黑丝",22,20)*0.9144/((K387/1000)*((G387+2)/100)))))</f>
        <v/>
      </c>
      <c r="X387" s="258" t="str">
        <f t="shared" si="24"/>
        <v/>
      </c>
      <c r="Y387" s="36" t="str">
        <f t="shared" si="25"/>
        <v/>
      </c>
      <c r="Z387" s="340" t="str">
        <f>IF(AND(C387&gt;0,D387&lt;&gt;"",S387=""),VLOOKUP(A387&amp;IF(H387="黑丝","黑","白")&amp;E387,经纬!A:M,13,FALSE)*(I387-AB387),"")</f>
        <v/>
      </c>
      <c r="AA387" s="340" t="str">
        <f>IF(AND(C387&gt;0,D387&lt;&gt;"",S387=""),VLOOKUP(A387&amp;IF(H387="黑丝","黑","白")&amp;E387,经纬!A:N,14,FALSE)*(I387-AB387),"")</f>
        <v/>
      </c>
    </row>
    <row r="388" spans="2:27">
      <c r="B388" s="24" t="str">
        <f>IF(A388="","",IF(LEFT(A388)&gt;"9",VLOOKUP(A388,yuanjidaimachichun,2,FALSE),VLOOKUP(A388,经纬!B:C,2,FALSE)))</f>
        <v/>
      </c>
      <c r="C388" s="8" t="str">
        <f t="shared" si="22"/>
        <v/>
      </c>
      <c r="D388" s="8" t="str">
        <f t="shared" si="23"/>
        <v/>
      </c>
      <c r="M388" s="24" t="str">
        <f t="array" ref="M388">LEFT(L388,MIN(FIND({"A","B","C"},MID(L388,2,LEN(L388))&amp;"ABC")))</f>
        <v/>
      </c>
      <c r="N388" s="24" t="str">
        <f t="array" ref="N388">SUBSTITUTE(L388,M388,"")</f>
        <v/>
      </c>
      <c r="W388" s="369" t="str">
        <f t="shared" si="26"/>
        <v/>
      </c>
      <c r="X388" s="258" t="str">
        <f t="shared" si="24"/>
        <v/>
      </c>
      <c r="Y388" s="36" t="str">
        <f t="shared" si="25"/>
        <v/>
      </c>
      <c r="Z388" s="340" t="str">
        <f>IF(AND(C388&gt;0,D388&lt;&gt;"",S388=""),VLOOKUP(A388&amp;IF(H388="黑丝","黑","白")&amp;E388,经纬!A:M,13,FALSE)*(I388-AB388),"")</f>
        <v/>
      </c>
      <c r="AA388" s="340" t="str">
        <f>IF(AND(C388&gt;0,D388&lt;&gt;"",S388=""),VLOOKUP(A388&amp;IF(H388="黑丝","黑","白")&amp;E388,经纬!A:N,14,FALSE)*(I388-AB388),"")</f>
        <v/>
      </c>
    </row>
    <row r="389" spans="2:27">
      <c r="B389" s="24" t="str">
        <f>IF(A389="","",IF(LEFT(A389)&gt;"9",VLOOKUP(A389,yuanjidaimachichun,2,FALSE),VLOOKUP(A389,经纬!B:C,2,FALSE)))</f>
        <v/>
      </c>
      <c r="C389" s="8" t="str">
        <f t="shared" si="22"/>
        <v/>
      </c>
      <c r="D389" s="8" t="str">
        <f t="shared" si="23"/>
        <v/>
      </c>
      <c r="M389" s="24" t="str">
        <f t="array" ref="M389">LEFT(L389,MIN(FIND({"A","B","C"},MID(L389,2,LEN(L389))&amp;"ABC")))</f>
        <v/>
      </c>
      <c r="N389" s="24" t="str">
        <f t="array" ref="N389">SUBSTITUTE(L389,M389,"")</f>
        <v/>
      </c>
      <c r="W389" s="369" t="str">
        <f t="shared" si="26"/>
        <v/>
      </c>
      <c r="X389" s="258" t="str">
        <f t="shared" si="24"/>
        <v/>
      </c>
      <c r="Y389" s="36" t="str">
        <f t="shared" si="25"/>
        <v/>
      </c>
      <c r="Z389" s="340" t="str">
        <f>IF(AND(C389&gt;0,D389&lt;&gt;"",S389=""),VLOOKUP(A389&amp;IF(H389="黑丝","黑","白")&amp;E389,经纬!A:M,13,FALSE)*(I389-AB389),"")</f>
        <v/>
      </c>
      <c r="AA389" s="340" t="str">
        <f>IF(AND(C389&gt;0,D389&lt;&gt;"",S389=""),VLOOKUP(A389&amp;IF(H389="黑丝","黑","白")&amp;E389,经纬!A:N,14,FALSE)*(I389-AB389),"")</f>
        <v/>
      </c>
    </row>
    <row r="390" spans="2:27">
      <c r="B390" s="24" t="str">
        <f>IF(A390="","",IF(LEFT(A390)&gt;"9",VLOOKUP(A390,yuanjidaimachichun,2,FALSE),VLOOKUP(A390,经纬!B:C,2,FALSE)))</f>
        <v/>
      </c>
      <c r="C390" s="8" t="str">
        <f t="shared" si="22"/>
        <v/>
      </c>
      <c r="D390" s="8" t="str">
        <f t="shared" si="23"/>
        <v/>
      </c>
      <c r="M390" s="24" t="str">
        <f t="array" ref="M390">LEFT(L390,MIN(FIND({"A","B","C"},MID(L390,2,LEN(L390))&amp;"ABC")))</f>
        <v/>
      </c>
      <c r="N390" s="24" t="str">
        <f t="array" ref="N390">SUBSTITUTE(L390,M390,"")</f>
        <v/>
      </c>
      <c r="W390" s="369" t="str">
        <f t="shared" si="26"/>
        <v/>
      </c>
      <c r="X390" s="258" t="str">
        <f t="shared" si="24"/>
        <v/>
      </c>
      <c r="Y390" s="36" t="str">
        <f t="shared" si="25"/>
        <v/>
      </c>
      <c r="Z390" s="340" t="str">
        <f>IF(AND(C390&gt;0,D390&lt;&gt;"",S390=""),VLOOKUP(A390&amp;IF(H390="黑丝","黑","白")&amp;E390,经纬!A:M,13,FALSE)*(I390-AB390),"")</f>
        <v/>
      </c>
      <c r="AA390" s="340" t="str">
        <f>IF(AND(C390&gt;0,D390&lt;&gt;"",S390=""),VLOOKUP(A390&amp;IF(H390="黑丝","黑","白")&amp;E390,经纬!A:N,14,FALSE)*(I390-AB390),"")</f>
        <v/>
      </c>
    </row>
    <row r="391" spans="2:27">
      <c r="B391" s="24" t="str">
        <f>IF(A391="","",IF(LEFT(A391)&gt;"9",VLOOKUP(A391,yuanjidaimachichun,2,FALSE),VLOOKUP(A391,经纬!B:C,2,FALSE)))</f>
        <v/>
      </c>
      <c r="C391" s="8" t="str">
        <f t="shared" si="22"/>
        <v/>
      </c>
      <c r="D391" s="8" t="str">
        <f t="shared" si="23"/>
        <v/>
      </c>
      <c r="M391" s="24" t="str">
        <f t="array" ref="M391">LEFT(L391,MIN(FIND({"A","B","C"},MID(L391,2,LEN(L391))&amp;"ABC")))</f>
        <v/>
      </c>
      <c r="N391" s="24" t="str">
        <f t="array" ref="N391">SUBSTITUTE(L391,M391,"")</f>
        <v/>
      </c>
      <c r="W391" s="369" t="str">
        <f t="shared" si="26"/>
        <v/>
      </c>
      <c r="X391" s="258" t="str">
        <f t="shared" si="24"/>
        <v/>
      </c>
      <c r="Y391" s="36" t="str">
        <f t="shared" si="25"/>
        <v/>
      </c>
      <c r="Z391" s="340" t="str">
        <f>IF(AND(C391&gt;0,D391&lt;&gt;"",S391=""),VLOOKUP(A391&amp;IF(H391="黑丝","黑","白")&amp;E391,经纬!A:M,13,FALSE)*(I391-AB391),"")</f>
        <v/>
      </c>
      <c r="AA391" s="340" t="str">
        <f>IF(AND(C391&gt;0,D391&lt;&gt;"",S391=""),VLOOKUP(A391&amp;IF(H391="黑丝","黑","白")&amp;E391,经纬!A:N,14,FALSE)*(I391-AB391),"")</f>
        <v/>
      </c>
    </row>
    <row r="392" spans="2:27">
      <c r="B392" s="24" t="str">
        <f>IF(A392="","",IF(LEFT(A392)&gt;"9",VLOOKUP(A392,yuanjidaimachichun,2,FALSE),VLOOKUP(A392,经纬!B:C,2,FALSE)))</f>
        <v/>
      </c>
      <c r="C392" s="8" t="str">
        <f t="shared" si="22"/>
        <v/>
      </c>
      <c r="D392" s="8" t="str">
        <f t="shared" si="23"/>
        <v/>
      </c>
      <c r="M392" s="24" t="str">
        <f t="array" ref="M392">LEFT(L392,MIN(FIND({"A","B","C"},MID(L392,2,LEN(L392))&amp;"ABC")))</f>
        <v/>
      </c>
      <c r="N392" s="24" t="str">
        <f t="array" ref="N392">SUBSTITUTE(L392,M392,"")</f>
        <v/>
      </c>
      <c r="W392" s="369" t="str">
        <f t="shared" si="26"/>
        <v/>
      </c>
      <c r="X392" s="258" t="str">
        <f t="shared" si="24"/>
        <v/>
      </c>
      <c r="Y392" s="36" t="str">
        <f t="shared" si="25"/>
        <v/>
      </c>
      <c r="Z392" s="340" t="str">
        <f>IF(AND(C392&gt;0,D392&lt;&gt;"",S392=""),VLOOKUP(A392&amp;IF(H392="黑丝","黑","白")&amp;E392,经纬!A:M,13,FALSE)*(I392-AB392),"")</f>
        <v/>
      </c>
      <c r="AA392" s="340" t="str">
        <f>IF(AND(C392&gt;0,D392&lt;&gt;"",S392=""),VLOOKUP(A392&amp;IF(H392="黑丝","黑","白")&amp;E392,经纬!A:N,14,FALSE)*(I392-AB392),"")</f>
        <v/>
      </c>
    </row>
    <row r="393" spans="2:27">
      <c r="D393" s="8" t="str">
        <f t="shared" ref="D393:D416" si="27">IF(ISERROR(FIND("*",B393)),"",RIGHT(B393,LEN(B393)-FIND("*",B393)))</f>
        <v/>
      </c>
      <c r="M393" s="24" t="str">
        <f t="array" ref="M393">LEFT(L393,MIN(FIND({"A","B","C"},MID(L393,2,LEN(L393))&amp;"ABC")))</f>
        <v/>
      </c>
      <c r="N393" s="24" t="str">
        <f t="array" ref="N393">SUBSTITUTE(L393,M393,"")</f>
        <v/>
      </c>
      <c r="W393" s="369" t="str">
        <f t="shared" si="26"/>
        <v/>
      </c>
      <c r="X393" s="258" t="str">
        <f t="shared" si="24"/>
        <v/>
      </c>
      <c r="Y393" s="36" t="str">
        <f t="shared" si="25"/>
        <v/>
      </c>
      <c r="Z393" s="340" t="str">
        <f>IF(AND(C393&gt;0,D393&lt;&gt;"",S393=""),VLOOKUP(A393&amp;IF(H393="黑丝","黑","白")&amp;E393,经纬!A:M,13,FALSE)*(I393-AB393),"")</f>
        <v/>
      </c>
      <c r="AA393" s="340" t="str">
        <f>IF(AND(C393&gt;0,D393&lt;&gt;"",S393=""),VLOOKUP(A393&amp;IF(H393="黑丝","黑","白")&amp;E393,经纬!A:N,14,FALSE)*(I393-AB393),"")</f>
        <v/>
      </c>
    </row>
    <row r="394" spans="2:27">
      <c r="D394" s="8" t="str">
        <f t="shared" si="27"/>
        <v/>
      </c>
      <c r="M394" s="24" t="str">
        <f t="array" ref="M394">LEFT(L394,MIN(FIND({"A","B","C"},MID(L394,2,LEN(L394))&amp;"ABC")))</f>
        <v/>
      </c>
      <c r="N394" s="24" t="str">
        <f t="array" ref="N394">SUBSTITUTE(L394,M394,"")</f>
        <v/>
      </c>
      <c r="W394" s="369" t="str">
        <f t="shared" si="26"/>
        <v/>
      </c>
      <c r="X394" s="258" t="str">
        <f t="shared" si="24"/>
        <v/>
      </c>
      <c r="Y394" s="36" t="str">
        <f t="shared" si="25"/>
        <v/>
      </c>
      <c r="Z394" s="340" t="str">
        <f>IF(AND(C394&gt;0,D394&lt;&gt;"",S394=""),VLOOKUP(A394&amp;IF(H394="黑丝","黑","白")&amp;E394,经纬!A:M,13,FALSE)*(I394-AB394),"")</f>
        <v/>
      </c>
      <c r="AA394" s="340" t="str">
        <f>IF(AND(C394&gt;0,D394&lt;&gt;"",S394=""),VLOOKUP(A394&amp;IF(H394="黑丝","黑","白")&amp;E394,经纬!A:N,14,FALSE)*(I394-AB394),"")</f>
        <v/>
      </c>
    </row>
    <row r="395" spans="2:27">
      <c r="D395" s="8" t="str">
        <f t="shared" si="27"/>
        <v/>
      </c>
      <c r="M395" s="24" t="str">
        <f t="array" ref="M395">LEFT(L395,MIN(FIND({"A","B","C"},MID(L395,2,LEN(L395))&amp;"ABC")))</f>
        <v/>
      </c>
      <c r="N395" s="24" t="str">
        <f t="array" ref="N395">SUBSTITUTE(L395,M395,"")</f>
        <v/>
      </c>
      <c r="W395" s="369" t="str">
        <f t="shared" si="26"/>
        <v/>
      </c>
      <c r="X395" s="258" t="str">
        <f t="shared" si="24"/>
        <v/>
      </c>
      <c r="Y395" s="36" t="str">
        <f t="shared" si="25"/>
        <v/>
      </c>
      <c r="Z395" s="340" t="str">
        <f>IF(AND(C395&gt;0,D395&lt;&gt;"",S395=""),VLOOKUP(A395&amp;IF(H395="黑丝","黑","白")&amp;E395,经纬!A:M,13,FALSE)*(I395-AB395),"")</f>
        <v/>
      </c>
      <c r="AA395" s="340" t="str">
        <f>IF(AND(C395&gt;0,D395&lt;&gt;"",S395=""),VLOOKUP(A395&amp;IF(H395="黑丝","黑","白")&amp;E395,经纬!A:N,14,FALSE)*(I395-AB395),"")</f>
        <v/>
      </c>
    </row>
    <row r="396" spans="2:27">
      <c r="D396" s="8" t="str">
        <f t="shared" si="27"/>
        <v/>
      </c>
      <c r="M396" s="24" t="str">
        <f t="array" ref="M396">LEFT(L396,MIN(FIND({"A","B","C"},MID(L396,2,LEN(L396))&amp;"ABC")))</f>
        <v/>
      </c>
      <c r="N396" s="24" t="str">
        <f t="array" ref="N396">SUBSTITUTE(L396,M396,"")</f>
        <v/>
      </c>
      <c r="W396" s="369" t="str">
        <f t="shared" si="26"/>
        <v/>
      </c>
      <c r="X396" s="258" t="str">
        <f t="shared" si="24"/>
        <v/>
      </c>
      <c r="Y396" s="36" t="str">
        <f t="shared" si="25"/>
        <v/>
      </c>
      <c r="Z396" s="340" t="str">
        <f>IF(AND(C396&gt;0,D396&lt;&gt;"",S396=""),VLOOKUP(A396&amp;IF(H396="黑丝","黑","白")&amp;E396,经纬!A:M,13,FALSE)*(I396-AB396),"")</f>
        <v/>
      </c>
      <c r="AA396" s="340" t="str">
        <f>IF(AND(C396&gt;0,D396&lt;&gt;"",S396=""),VLOOKUP(A396&amp;IF(H396="黑丝","黑","白")&amp;E396,经纬!A:N,14,FALSE)*(I396-AB396),"")</f>
        <v/>
      </c>
    </row>
    <row r="397" spans="2:27">
      <c r="D397" s="8" t="str">
        <f t="shared" si="27"/>
        <v/>
      </c>
      <c r="M397" s="24" t="str">
        <f t="array" ref="M397">LEFT(L397,MIN(FIND({"A","B","C"},MID(L397,2,LEN(L397))&amp;"ABC")))</f>
        <v/>
      </c>
      <c r="N397" s="24" t="str">
        <f t="array" ref="N397">SUBSTITUTE(L397,M397,"")</f>
        <v/>
      </c>
      <c r="W397" s="369" t="str">
        <f t="shared" si="26"/>
        <v/>
      </c>
      <c r="X397" s="258" t="str">
        <f t="shared" si="24"/>
        <v/>
      </c>
      <c r="Y397" s="36" t="str">
        <f t="shared" si="25"/>
        <v/>
      </c>
      <c r="Z397" s="340" t="str">
        <f>IF(AND(C397&gt;0,D397&lt;&gt;"",S397=""),VLOOKUP(A397&amp;IF(H397="黑丝","黑","白")&amp;E397,经纬!A:M,13,FALSE)*(I397-AB397),"")</f>
        <v/>
      </c>
      <c r="AA397" s="340" t="str">
        <f>IF(AND(C397&gt;0,D397&lt;&gt;"",S397=""),VLOOKUP(A397&amp;IF(H397="黑丝","黑","白")&amp;E397,经纬!A:N,14,FALSE)*(I397-AB397),"")</f>
        <v/>
      </c>
    </row>
    <row r="398" spans="2:27">
      <c r="D398" s="8" t="str">
        <f t="shared" si="27"/>
        <v/>
      </c>
      <c r="M398" s="24" t="str">
        <f t="array" ref="M398">LEFT(L398,MIN(FIND({"A","B","C"},MID(L398,2,LEN(L398))&amp;"ABC")))</f>
        <v/>
      </c>
      <c r="N398" s="24" t="str">
        <f t="array" ref="N398">SUBSTITUTE(L398,M398,"")</f>
        <v/>
      </c>
      <c r="W398" s="369" t="str">
        <f t="shared" si="26"/>
        <v/>
      </c>
      <c r="X398" s="258" t="str">
        <f t="shared" si="24"/>
        <v/>
      </c>
      <c r="Y398" s="36" t="str">
        <f t="shared" si="25"/>
        <v/>
      </c>
      <c r="Z398" s="340" t="str">
        <f>IF(AND(C398&gt;0,D398&lt;&gt;"",S398=""),VLOOKUP(A398&amp;IF(H398="黑丝","黑","白")&amp;E398,经纬!A:M,13,FALSE)*(I398-AB398),"")</f>
        <v/>
      </c>
      <c r="AA398" s="340" t="str">
        <f>IF(AND(C398&gt;0,D398&lt;&gt;"",S398=""),VLOOKUP(A398&amp;IF(H398="黑丝","黑","白")&amp;E398,经纬!A:N,14,FALSE)*(I398-AB398),"")</f>
        <v/>
      </c>
    </row>
    <row r="399" spans="2:27">
      <c r="D399" s="8" t="str">
        <f t="shared" si="27"/>
        <v/>
      </c>
      <c r="M399" s="24" t="str">
        <f t="array" ref="M399">LEFT(L399,MIN(FIND({"A","B","C"},MID(L399,2,LEN(L399))&amp;"ABC")))</f>
        <v/>
      </c>
      <c r="N399" s="24" t="str">
        <f t="array" ref="N399">SUBSTITUTE(L399,M399,"")</f>
        <v/>
      </c>
      <c r="W399" s="369" t="str">
        <f t="shared" si="26"/>
        <v/>
      </c>
      <c r="X399" s="258" t="str">
        <f t="shared" si="24"/>
        <v/>
      </c>
      <c r="Y399" s="36" t="str">
        <f t="shared" si="25"/>
        <v/>
      </c>
      <c r="Z399" s="340" t="str">
        <f>IF(AND(C399&gt;0,D399&lt;&gt;"",S399=""),VLOOKUP(A399&amp;IF(H399="黑丝","黑","白")&amp;E399,经纬!A:M,13,FALSE)*(I399-AB399),"")</f>
        <v/>
      </c>
      <c r="AA399" s="340" t="str">
        <f>IF(AND(C399&gt;0,D399&lt;&gt;"",S399=""),VLOOKUP(A399&amp;IF(H399="黑丝","黑","白")&amp;E399,经纬!A:N,14,FALSE)*(I399-AB399),"")</f>
        <v/>
      </c>
    </row>
    <row r="400" spans="2:27">
      <c r="D400" s="8" t="str">
        <f t="shared" si="27"/>
        <v/>
      </c>
      <c r="M400" s="24" t="str">
        <f t="array" ref="M400">LEFT(L400,MIN(FIND({"A","B","C"},MID(L400,2,LEN(L400))&amp;"ABC")))</f>
        <v/>
      </c>
      <c r="N400" s="24" t="str">
        <f t="array" ref="N400">SUBSTITUTE(L400,M400,"")</f>
        <v/>
      </c>
      <c r="W400" s="369" t="str">
        <f t="shared" si="26"/>
        <v/>
      </c>
      <c r="X400" s="258" t="str">
        <f t="shared" si="24"/>
        <v/>
      </c>
      <c r="Y400" s="36" t="str">
        <f t="shared" si="25"/>
        <v/>
      </c>
      <c r="Z400" s="340" t="str">
        <f>IF(AND(C400&gt;0,D400&lt;&gt;"",S400=""),VLOOKUP(A400&amp;IF(H400="黑丝","黑","白")&amp;E400,经纬!A:M,13,FALSE)*(I400-AB400),"")</f>
        <v/>
      </c>
      <c r="AA400" s="340" t="str">
        <f>IF(AND(C400&gt;0,D400&lt;&gt;"",S400=""),VLOOKUP(A400&amp;IF(H400="黑丝","黑","白")&amp;E400,经纬!A:N,14,FALSE)*(I400-AB400),"")</f>
        <v/>
      </c>
    </row>
    <row r="401" spans="4:27">
      <c r="D401" s="8" t="str">
        <f t="shared" si="27"/>
        <v/>
      </c>
      <c r="M401" s="24" t="str">
        <f t="array" ref="M401">LEFT(L401,MIN(FIND({"A","B","C"},MID(L401,2,LEN(L401))&amp;"ABC")))</f>
        <v/>
      </c>
      <c r="N401" s="24" t="str">
        <f t="array" ref="N401">SUBSTITUTE(L401,M401,"")</f>
        <v/>
      </c>
      <c r="W401" s="369" t="str">
        <f t="shared" si="26"/>
        <v/>
      </c>
      <c r="X401" s="258" t="str">
        <f t="shared" si="24"/>
        <v/>
      </c>
      <c r="Y401" s="36" t="str">
        <f t="shared" si="25"/>
        <v/>
      </c>
      <c r="Z401" s="340" t="str">
        <f>IF(AND(C401&gt;0,D401&lt;&gt;"",S401=""),VLOOKUP(A401&amp;IF(H401="黑丝","黑","白")&amp;E401,经纬!A:M,13,FALSE)*(I401-AB401),"")</f>
        <v/>
      </c>
      <c r="AA401" s="340" t="str">
        <f>IF(AND(C401&gt;0,D401&lt;&gt;"",S401=""),VLOOKUP(A401&amp;IF(H401="黑丝","黑","白")&amp;E401,经纬!A:N,14,FALSE)*(I401-AB401),"")</f>
        <v/>
      </c>
    </row>
    <row r="402" spans="4:27">
      <c r="D402" s="8" t="str">
        <f t="shared" si="27"/>
        <v/>
      </c>
      <c r="M402" s="24" t="str">
        <f t="array" ref="M402">LEFT(L402,MIN(FIND({"A","B","C"},MID(L402,2,LEN(L402))&amp;"ABC")))</f>
        <v/>
      </c>
      <c r="N402" s="24" t="str">
        <f t="array" ref="N402">SUBSTITUTE(L402,M402,"")</f>
        <v/>
      </c>
      <c r="W402" s="369" t="str">
        <f t="shared" si="26"/>
        <v/>
      </c>
      <c r="X402" s="258" t="str">
        <f t="shared" si="24"/>
        <v/>
      </c>
      <c r="Y402" s="36" t="str">
        <f t="shared" si="25"/>
        <v/>
      </c>
      <c r="Z402" s="340" t="str">
        <f>IF(AND(C402&gt;0,D402&lt;&gt;"",S402=""),VLOOKUP(A402&amp;IF(H402="黑丝","黑","白")&amp;E402,经纬!A:M,13,FALSE)*(I402-AB402),"")</f>
        <v/>
      </c>
      <c r="AA402" s="340" t="str">
        <f>IF(AND(C402&gt;0,D402&lt;&gt;"",S402=""),VLOOKUP(A402&amp;IF(H402="黑丝","黑","白")&amp;E402,经纬!A:N,14,FALSE)*(I402-AB402),"")</f>
        <v/>
      </c>
    </row>
    <row r="403" spans="4:27">
      <c r="D403" s="8" t="str">
        <f t="shared" si="27"/>
        <v/>
      </c>
      <c r="M403" s="24" t="str">
        <f t="array" ref="M403">LEFT(L403,MIN(FIND({"A","B","C"},MID(L403,2,LEN(L403))&amp;"ABC")))</f>
        <v/>
      </c>
      <c r="N403" s="24" t="str">
        <f t="array" ref="N403">SUBSTITUTE(L403,M403,"")</f>
        <v/>
      </c>
      <c r="W403" s="369" t="str">
        <f t="shared" si="26"/>
        <v/>
      </c>
      <c r="X403" s="258" t="str">
        <f t="shared" si="24"/>
        <v/>
      </c>
      <c r="Y403" s="36" t="str">
        <f t="shared" si="25"/>
        <v/>
      </c>
      <c r="Z403" s="340" t="str">
        <f>IF(AND(C403&gt;0,D403&lt;&gt;"",S403=""),VLOOKUP(A403&amp;IF(H403="黑丝","黑","白")&amp;E403,经纬!A:M,13,FALSE)*(I403-AB403),"")</f>
        <v/>
      </c>
      <c r="AA403" s="340" t="str">
        <f>IF(AND(C403&gt;0,D403&lt;&gt;"",S403=""),VLOOKUP(A403&amp;IF(H403="黑丝","黑","白")&amp;E403,经纬!A:N,14,FALSE)*(I403-AB403),"")</f>
        <v/>
      </c>
    </row>
    <row r="404" spans="4:27">
      <c r="D404" s="8" t="str">
        <f t="shared" si="27"/>
        <v/>
      </c>
      <c r="M404" s="24" t="str">
        <f t="array" ref="M404">LEFT(L404,MIN(FIND({"A","B","C"},MID(L404,2,LEN(L404))&amp;"ABC")))</f>
        <v/>
      </c>
      <c r="N404" s="24" t="str">
        <f t="array" ref="N404">SUBSTITUTE(L404,M404,"")</f>
        <v/>
      </c>
      <c r="W404" s="369" t="str">
        <f t="shared" si="26"/>
        <v/>
      </c>
      <c r="X404" s="258" t="str">
        <f t="shared" si="24"/>
        <v/>
      </c>
      <c r="Y404" s="36" t="str">
        <f t="shared" si="25"/>
        <v/>
      </c>
      <c r="Z404" s="340" t="str">
        <f>IF(AND(C404&gt;0,D404&lt;&gt;"",S404=""),VLOOKUP(A404&amp;IF(H404="黑丝","黑","白")&amp;E404,经纬!A:M,13,FALSE)*(I404-AB404),"")</f>
        <v/>
      </c>
      <c r="AA404" s="340" t="str">
        <f>IF(AND(C404&gt;0,D404&lt;&gt;"",S404=""),VLOOKUP(A404&amp;IF(H404="黑丝","黑","白")&amp;E404,经纬!A:N,14,FALSE)*(I404-AB404),"")</f>
        <v/>
      </c>
    </row>
    <row r="405" spans="4:27">
      <c r="D405" s="8" t="str">
        <f t="shared" si="27"/>
        <v/>
      </c>
      <c r="M405" s="24" t="str">
        <f t="array" ref="M405">LEFT(L405,MIN(FIND({"A","B","C"},MID(L405,2,LEN(L405))&amp;"ABC")))</f>
        <v/>
      </c>
      <c r="N405" s="24" t="str">
        <f t="array" ref="N405">SUBSTITUTE(L405,M405,"")</f>
        <v/>
      </c>
      <c r="W405" s="369" t="str">
        <f t="shared" si="26"/>
        <v/>
      </c>
      <c r="X405" s="258" t="str">
        <f t="shared" si="24"/>
        <v/>
      </c>
      <c r="Y405" s="36" t="str">
        <f t="shared" si="25"/>
        <v/>
      </c>
      <c r="Z405" s="340" t="str">
        <f>IF(AND(C405&gt;0,D405&lt;&gt;"",S405=""),VLOOKUP(A405&amp;IF(H405="黑丝","黑","白")&amp;E405,经纬!A:M,13,FALSE)*(I405-AB405),"")</f>
        <v/>
      </c>
      <c r="AA405" s="340" t="str">
        <f>IF(AND(C405&gt;0,D405&lt;&gt;"",S405=""),VLOOKUP(A405&amp;IF(H405="黑丝","黑","白")&amp;E405,经纬!A:N,14,FALSE)*(I405-AB405),"")</f>
        <v/>
      </c>
    </row>
    <row r="406" spans="4:27">
      <c r="D406" s="8" t="str">
        <f t="shared" si="27"/>
        <v/>
      </c>
      <c r="M406" s="24" t="str">
        <f t="array" ref="M406">LEFT(L406,MIN(FIND({"A","B","C"},MID(L406,2,LEN(L406))&amp;"ABC")))</f>
        <v/>
      </c>
      <c r="N406" s="24" t="str">
        <f t="array" ref="N406">SUBSTITUTE(L406,M406,"")</f>
        <v/>
      </c>
      <c r="W406" s="369" t="str">
        <f t="shared" si="26"/>
        <v/>
      </c>
      <c r="X406" s="258" t="str">
        <f t="shared" si="24"/>
        <v/>
      </c>
      <c r="Y406" s="36" t="str">
        <f t="shared" si="25"/>
        <v/>
      </c>
      <c r="Z406" s="340" t="str">
        <f>IF(AND(C406&gt;0,D406&lt;&gt;"",S406=""),VLOOKUP(A406&amp;IF(H406="黑丝","黑","白")&amp;E406,经纬!A:M,13,FALSE)*(I406-AB406),"")</f>
        <v/>
      </c>
      <c r="AA406" s="340" t="str">
        <f>IF(AND(C406&gt;0,D406&lt;&gt;"",S406=""),VLOOKUP(A406&amp;IF(H406="黑丝","黑","白")&amp;E406,经纬!A:N,14,FALSE)*(I406-AB406),"")</f>
        <v/>
      </c>
    </row>
    <row r="407" spans="4:27">
      <c r="D407" s="8" t="str">
        <f t="shared" si="27"/>
        <v/>
      </c>
      <c r="M407" s="24" t="str">
        <f t="array" ref="M407">LEFT(L407,MIN(FIND({"A","B","C"},MID(L407,2,LEN(L407))&amp;"ABC")))</f>
        <v/>
      </c>
      <c r="N407" s="24" t="str">
        <f t="array" ref="N407">SUBSTITUTE(L407,M407,"")</f>
        <v/>
      </c>
      <c r="W407" s="369" t="str">
        <f t="shared" si="26"/>
        <v/>
      </c>
      <c r="X407" s="258" t="str">
        <f t="shared" si="24"/>
        <v/>
      </c>
      <c r="Y407" s="36" t="str">
        <f t="shared" si="25"/>
        <v/>
      </c>
      <c r="Z407" s="340" t="str">
        <f>IF(AND(C407&gt;0,D407&lt;&gt;"",S407=""),VLOOKUP(A407&amp;IF(H407="黑丝","黑","白")&amp;E407,经纬!A:M,13,FALSE)*(I407-AB407),"")</f>
        <v/>
      </c>
      <c r="AA407" s="340" t="str">
        <f>IF(AND(C407&gt;0,D407&lt;&gt;"",S407=""),VLOOKUP(A407&amp;IF(H407="黑丝","黑","白")&amp;E407,经纬!A:N,14,FALSE)*(I407-AB407),"")</f>
        <v/>
      </c>
    </row>
    <row r="408" spans="4:27">
      <c r="D408" s="8" t="str">
        <f t="shared" si="27"/>
        <v/>
      </c>
      <c r="M408" s="24" t="str">
        <f t="array" ref="M408">LEFT(L408,MIN(FIND({"A","B","C"},MID(L408,2,LEN(L408))&amp;"ABC")))</f>
        <v/>
      </c>
      <c r="N408" s="24" t="str">
        <f t="array" ref="N408">SUBSTITUTE(L408,M408,"")</f>
        <v/>
      </c>
      <c r="W408" s="369" t="str">
        <f t="shared" si="26"/>
        <v/>
      </c>
      <c r="X408" s="258" t="str">
        <f t="shared" si="24"/>
        <v/>
      </c>
      <c r="Y408" s="36" t="str">
        <f t="shared" si="25"/>
        <v/>
      </c>
      <c r="Z408" s="340" t="str">
        <f>IF(AND(C408&gt;0,D408&lt;&gt;"",S408=""),VLOOKUP(A408&amp;IF(H408="黑丝","黑","白")&amp;E408,经纬!A:M,13,FALSE)*(I408-AB408),"")</f>
        <v/>
      </c>
      <c r="AA408" s="340" t="str">
        <f>IF(AND(C408&gt;0,D408&lt;&gt;"",S408=""),VLOOKUP(A408&amp;IF(H408="黑丝","黑","白")&amp;E408,经纬!A:N,14,FALSE)*(I408-AB408),"")</f>
        <v/>
      </c>
    </row>
    <row r="409" spans="4:27">
      <c r="D409" s="8" t="str">
        <f t="shared" si="27"/>
        <v/>
      </c>
      <c r="M409" s="24" t="str">
        <f t="array" ref="M409">LEFT(L409,MIN(FIND({"A","B","C"},MID(L409,2,LEN(L409))&amp;"ABC")))</f>
        <v/>
      </c>
      <c r="N409" s="24" t="str">
        <f t="array" ref="N409">SUBSTITUTE(L409,M409,"")</f>
        <v/>
      </c>
      <c r="W409" s="369" t="str">
        <f t="shared" si="26"/>
        <v/>
      </c>
      <c r="X409" s="258" t="str">
        <f t="shared" si="24"/>
        <v/>
      </c>
      <c r="Y409" s="36" t="str">
        <f t="shared" si="25"/>
        <v/>
      </c>
      <c r="Z409" s="340" t="str">
        <f>IF(AND(C409&gt;0,D409&lt;&gt;"",S409=""),VLOOKUP(A409&amp;IF(H409="黑丝","黑","白")&amp;E409,经纬!A:M,13,FALSE)*(I409-AB409),"")</f>
        <v/>
      </c>
      <c r="AA409" s="340" t="str">
        <f>IF(AND(C409&gt;0,D409&lt;&gt;"",S409=""),VLOOKUP(A409&amp;IF(H409="黑丝","黑","白")&amp;E409,经纬!A:N,14,FALSE)*(I409-AB409),"")</f>
        <v/>
      </c>
    </row>
    <row r="410" spans="4:27">
      <c r="D410" s="8" t="str">
        <f t="shared" si="27"/>
        <v/>
      </c>
      <c r="M410" s="24" t="str">
        <f t="array" ref="M410">LEFT(L410,MIN(FIND({"A","B","C"},MID(L410,2,LEN(L410))&amp;"ABC")))</f>
        <v/>
      </c>
      <c r="N410" s="24" t="str">
        <f t="array" ref="N410">SUBSTITUTE(L410,M410,"")</f>
        <v/>
      </c>
      <c r="W410" s="369" t="str">
        <f t="shared" si="26"/>
        <v/>
      </c>
      <c r="X410" s="258" t="str">
        <f t="shared" si="24"/>
        <v/>
      </c>
      <c r="Y410" s="36" t="str">
        <f t="shared" si="25"/>
        <v/>
      </c>
      <c r="Z410" s="340" t="str">
        <f>IF(AND(C410&gt;0,D410&lt;&gt;"",S410=""),VLOOKUP(A410&amp;IF(H410="黑丝","黑","白")&amp;E410,经纬!A:M,13,FALSE)*(I410-AB410),"")</f>
        <v/>
      </c>
      <c r="AA410" s="340" t="str">
        <f>IF(AND(C410&gt;0,D410&lt;&gt;"",S410=""),VLOOKUP(A410&amp;IF(H410="黑丝","黑","白")&amp;E410,经纬!A:N,14,FALSE)*(I410-AB410),"")</f>
        <v/>
      </c>
    </row>
    <row r="411" spans="4:27">
      <c r="D411" s="8" t="str">
        <f t="shared" si="27"/>
        <v/>
      </c>
      <c r="M411" s="24" t="str">
        <f t="array" ref="M411">LEFT(L411,MIN(FIND({"A","B","C"},MID(L411,2,LEN(L411))&amp;"ABC")))</f>
        <v/>
      </c>
      <c r="N411" s="24" t="str">
        <f t="array" ref="N411">SUBSTITUTE(L411,M411,"")</f>
        <v/>
      </c>
      <c r="W411" s="369" t="str">
        <f t="shared" si="26"/>
        <v/>
      </c>
      <c r="X411" s="258" t="str">
        <f t="shared" si="24"/>
        <v/>
      </c>
      <c r="Y411" s="36" t="str">
        <f t="shared" si="25"/>
        <v/>
      </c>
      <c r="Z411" s="340" t="str">
        <f>IF(AND(C411&gt;0,D411&lt;&gt;"",S411=""),VLOOKUP(A411&amp;IF(H411="黑丝","黑","白")&amp;E411,经纬!A:M,13,FALSE)*(I411-AB411),"")</f>
        <v/>
      </c>
      <c r="AA411" s="340" t="str">
        <f>IF(AND(C411&gt;0,D411&lt;&gt;"",S411=""),VLOOKUP(A411&amp;IF(H411="黑丝","黑","白")&amp;E411,经纬!A:N,14,FALSE)*(I411-AB411),"")</f>
        <v/>
      </c>
    </row>
    <row r="412" spans="4:27">
      <c r="D412" s="8" t="str">
        <f t="shared" si="27"/>
        <v/>
      </c>
      <c r="M412" s="24" t="str">
        <f t="array" ref="M412">LEFT(L412,MIN(FIND({"A","B","C"},MID(L412,2,LEN(L412))&amp;"ABC")))</f>
        <v/>
      </c>
      <c r="N412" s="24" t="str">
        <f t="array" ref="N412">SUBSTITUTE(L412,M412,"")</f>
        <v/>
      </c>
      <c r="W412" s="369" t="str">
        <f t="shared" si="26"/>
        <v/>
      </c>
      <c r="X412" s="258" t="str">
        <f t="shared" ref="X412:X475" si="28">IF(B412="","",IF(S412&lt;&gt;"","",IF(AND(Z412&lt;&gt;"",AA412&lt;&gt;""),SUM(Z412:AA412),IF(AB412&lt;&gt;"",(I412/((1/((G412+2)/100*K412/1000))*0.9144)/IF(H412="黑丝",22,20)-AB412)*(IF(H412="黑丝",22,20)),I412/((1/((G412+2)/100*K412/1000))*0.9144)))))</f>
        <v/>
      </c>
      <c r="Y412" s="36" t="str">
        <f t="shared" si="25"/>
        <v/>
      </c>
      <c r="Z412" s="340" t="str">
        <f>IF(AND(C412&gt;0,D412&lt;&gt;"",S412=""),VLOOKUP(A412&amp;IF(H412="黑丝","黑","白")&amp;E412,经纬!A:M,13,FALSE)*(I412-AB412),"")</f>
        <v/>
      </c>
      <c r="AA412" s="340" t="str">
        <f>IF(AND(C412&gt;0,D412&lt;&gt;"",S412=""),VLOOKUP(A412&amp;IF(H412="黑丝","黑","白")&amp;E412,经纬!A:N,14,FALSE)*(I412-AB412),"")</f>
        <v/>
      </c>
    </row>
    <row r="413" spans="4:27">
      <c r="D413" s="8" t="str">
        <f t="shared" si="27"/>
        <v/>
      </c>
      <c r="M413" s="24" t="str">
        <f t="array" ref="M413">LEFT(L413,MIN(FIND({"A","B","C"},MID(L413,2,LEN(L413))&amp;"ABC")))</f>
        <v/>
      </c>
      <c r="N413" s="24" t="str">
        <f t="array" ref="N413">SUBSTITUTE(L413,M413,"")</f>
        <v/>
      </c>
      <c r="W413" s="369" t="str">
        <f t="shared" si="26"/>
        <v/>
      </c>
      <c r="X413" s="258" t="str">
        <f t="shared" si="28"/>
        <v/>
      </c>
      <c r="Y413" s="36" t="str">
        <f t="shared" si="25"/>
        <v/>
      </c>
      <c r="Z413" s="340" t="str">
        <f>IF(AND(C413&gt;0,D413&lt;&gt;"",S413=""),VLOOKUP(A413&amp;IF(H413="黑丝","黑","白")&amp;E413,经纬!A:M,13,FALSE)*(I413-AB413),"")</f>
        <v/>
      </c>
      <c r="AA413" s="340" t="str">
        <f>IF(AND(C413&gt;0,D413&lt;&gt;"",S413=""),VLOOKUP(A413&amp;IF(H413="黑丝","黑","白")&amp;E413,经纬!A:N,14,FALSE)*(I413-AB413),"")</f>
        <v/>
      </c>
    </row>
    <row r="414" spans="4:27">
      <c r="D414" s="8" t="str">
        <f t="shared" si="27"/>
        <v/>
      </c>
      <c r="M414" s="24" t="str">
        <f t="array" ref="M414">LEFT(L414,MIN(FIND({"A","B","C"},MID(L414,2,LEN(L414))&amp;"ABC")))</f>
        <v/>
      </c>
      <c r="N414" s="24" t="str">
        <f t="array" ref="N414">SUBSTITUTE(L414,M414,"")</f>
        <v/>
      </c>
      <c r="W414" s="369" t="str">
        <f t="shared" si="26"/>
        <v/>
      </c>
      <c r="X414" s="258" t="str">
        <f t="shared" si="28"/>
        <v/>
      </c>
      <c r="Y414" s="36" t="str">
        <f t="shared" si="25"/>
        <v/>
      </c>
      <c r="Z414" s="340" t="str">
        <f>IF(AND(C414&gt;0,D414&lt;&gt;"",S414=""),VLOOKUP(A414&amp;IF(H414="黑丝","黑","白")&amp;E414,经纬!A:M,13,FALSE)*(I414-AB414),"")</f>
        <v/>
      </c>
      <c r="AA414" s="340" t="str">
        <f>IF(AND(C414&gt;0,D414&lt;&gt;"",S414=""),VLOOKUP(A414&amp;IF(H414="黑丝","黑","白")&amp;E414,经纬!A:N,14,FALSE)*(I414-AB414),"")</f>
        <v/>
      </c>
    </row>
    <row r="415" spans="4:27">
      <c r="D415" s="8" t="str">
        <f t="shared" si="27"/>
        <v/>
      </c>
      <c r="M415" s="24" t="str">
        <f t="array" ref="M415">LEFT(L415,MIN(FIND({"A","B","C"},MID(L415,2,LEN(L415))&amp;"ABC")))</f>
        <v/>
      </c>
      <c r="N415" s="24" t="str">
        <f t="array" ref="N415">SUBSTITUTE(L415,M415,"")</f>
        <v/>
      </c>
      <c r="W415" s="369" t="str">
        <f t="shared" si="26"/>
        <v/>
      </c>
      <c r="X415" s="258" t="str">
        <f t="shared" si="28"/>
        <v/>
      </c>
      <c r="Y415" s="36" t="str">
        <f t="shared" si="25"/>
        <v/>
      </c>
      <c r="Z415" s="340" t="str">
        <f>IF(AND(C415&gt;0,D415&lt;&gt;"",S415=""),VLOOKUP(A415&amp;IF(H415="黑丝","黑","白")&amp;E415,经纬!A:M,13,FALSE)*(I415-AB415),"")</f>
        <v/>
      </c>
      <c r="AA415" s="340" t="str">
        <f>IF(AND(C415&gt;0,D415&lt;&gt;"",S415=""),VLOOKUP(A415&amp;IF(H415="黑丝","黑","白")&amp;E415,经纬!A:N,14,FALSE)*(I415-AB415),"")</f>
        <v/>
      </c>
    </row>
    <row r="416" spans="4:27">
      <c r="D416" s="8" t="str">
        <f t="shared" si="27"/>
        <v/>
      </c>
      <c r="M416" s="24" t="str">
        <f t="array" ref="M416">LEFT(L416,MIN(FIND({"A","B","C"},MID(L416,2,LEN(L416))&amp;"ABC")))</f>
        <v/>
      </c>
      <c r="N416" s="24" t="str">
        <f t="array" ref="N416">SUBSTITUTE(L416,M416,"")</f>
        <v/>
      </c>
      <c r="W416" s="369" t="str">
        <f t="shared" si="26"/>
        <v/>
      </c>
      <c r="X416" s="258" t="str">
        <f t="shared" si="28"/>
        <v/>
      </c>
      <c r="Y416" s="36" t="str">
        <f t="shared" si="25"/>
        <v/>
      </c>
      <c r="Z416" s="340" t="str">
        <f>IF(AND(C416&gt;0,D416&lt;&gt;"",S416=""),VLOOKUP(A416&amp;IF(H416="黑丝","黑","白")&amp;E416,经纬!A:M,13,FALSE)*(I416-AB416),"")</f>
        <v/>
      </c>
      <c r="AA416" s="340" t="str">
        <f>IF(AND(C416&gt;0,D416&lt;&gt;"",S416=""),VLOOKUP(A416&amp;IF(H416="黑丝","黑","白")&amp;E416,经纬!A:N,14,FALSE)*(I416-AB416),"")</f>
        <v/>
      </c>
    </row>
    <row r="417" spans="4:27">
      <c r="D417" s="8" t="str">
        <f t="shared" ref="D417:D480" si="29">IF(ISERROR(FIND("*",B417)),"",RIGHT(B417,LEN(B417)-FIND("*",B417)))</f>
        <v/>
      </c>
      <c r="M417" s="24" t="str">
        <f t="array" ref="M417">LEFT(L417,MIN(FIND({"A","B","C"},MID(L417,2,LEN(L417))&amp;"ABC")))</f>
        <v/>
      </c>
      <c r="N417" s="24" t="str">
        <f t="array" ref="N417">SUBSTITUTE(L417,M417,"")</f>
        <v/>
      </c>
      <c r="W417" s="369" t="str">
        <f t="shared" si="26"/>
        <v/>
      </c>
      <c r="X417" s="258" t="str">
        <f t="shared" si="28"/>
        <v/>
      </c>
      <c r="Y417" s="36" t="str">
        <f t="shared" si="25"/>
        <v/>
      </c>
      <c r="Z417" s="340" t="str">
        <f>IF(AND(C417&gt;0,D417&lt;&gt;"",S417=""),VLOOKUP(A417&amp;IF(H417="黑丝","黑","白")&amp;E417,经纬!A:M,13,FALSE)*(I417-AB417),"")</f>
        <v/>
      </c>
      <c r="AA417" s="340" t="str">
        <f>IF(AND(C417&gt;0,D417&lt;&gt;"",S417=""),VLOOKUP(A417&amp;IF(H417="黑丝","黑","白")&amp;E417,经纬!A:N,14,FALSE)*(I417-AB417),"")</f>
        <v/>
      </c>
    </row>
    <row r="418" spans="4:27">
      <c r="D418" s="8" t="str">
        <f t="shared" si="29"/>
        <v/>
      </c>
      <c r="M418" s="24" t="str">
        <f t="array" ref="M418">LEFT(L418,MIN(FIND({"A","B","C"},MID(L418,2,LEN(L418))&amp;"ABC")))</f>
        <v/>
      </c>
      <c r="N418" s="24" t="str">
        <f t="array" ref="N418">SUBSTITUTE(L418,M418,"")</f>
        <v/>
      </c>
      <c r="W418" s="369" t="str">
        <f t="shared" si="26"/>
        <v/>
      </c>
      <c r="X418" s="258" t="str">
        <f t="shared" si="28"/>
        <v/>
      </c>
      <c r="Y418" s="36" t="str">
        <f t="shared" si="25"/>
        <v/>
      </c>
      <c r="Z418" s="340" t="str">
        <f>IF(AND(C418&gt;0,D418&lt;&gt;"",S418=""),VLOOKUP(A418&amp;IF(H418="黑丝","黑","白")&amp;E418,经纬!A:M,13,FALSE)*(I418-AB418),"")</f>
        <v/>
      </c>
      <c r="AA418" s="340" t="str">
        <f>IF(AND(C418&gt;0,D418&lt;&gt;"",S418=""),VLOOKUP(A418&amp;IF(H418="黑丝","黑","白")&amp;E418,经纬!A:N,14,FALSE)*(I418-AB418),"")</f>
        <v/>
      </c>
    </row>
    <row r="419" spans="4:27">
      <c r="D419" s="8" t="str">
        <f t="shared" si="29"/>
        <v/>
      </c>
      <c r="M419" s="24" t="str">
        <f t="array" ref="M419">LEFT(L419,MIN(FIND({"A","B","C"},MID(L419,2,LEN(L419))&amp;"ABC")))</f>
        <v/>
      </c>
      <c r="N419" s="24" t="str">
        <f t="array" ref="N419">SUBSTITUTE(L419,M419,"")</f>
        <v/>
      </c>
      <c r="W419" s="369" t="str">
        <f t="shared" si="26"/>
        <v/>
      </c>
      <c r="X419" s="258" t="str">
        <f t="shared" si="28"/>
        <v/>
      </c>
      <c r="Y419" s="36" t="str">
        <f t="shared" si="25"/>
        <v/>
      </c>
      <c r="Z419" s="340" t="str">
        <f>IF(AND(C419&gt;0,D419&lt;&gt;"",S419=""),VLOOKUP(A419&amp;IF(H419="黑丝","黑","白")&amp;E419,经纬!A:M,13,FALSE)*(I419-AB419),"")</f>
        <v/>
      </c>
      <c r="AA419" s="340" t="str">
        <f>IF(AND(C419&gt;0,D419&lt;&gt;"",S419=""),VLOOKUP(A419&amp;IF(H419="黑丝","黑","白")&amp;E419,经纬!A:N,14,FALSE)*(I419-AB419),"")</f>
        <v/>
      </c>
    </row>
    <row r="420" spans="4:27">
      <c r="D420" s="8" t="str">
        <f t="shared" si="29"/>
        <v/>
      </c>
      <c r="M420" s="24" t="str">
        <f t="array" ref="M420">LEFT(L420,MIN(FIND({"A","B","C"},MID(L420,2,LEN(L420))&amp;"ABC")))</f>
        <v/>
      </c>
      <c r="N420" s="24" t="str">
        <f t="array" ref="N420">SUBSTITUTE(L420,M420,"")</f>
        <v/>
      </c>
      <c r="W420" s="369" t="str">
        <f t="shared" si="26"/>
        <v/>
      </c>
      <c r="X420" s="258" t="str">
        <f t="shared" si="28"/>
        <v/>
      </c>
      <c r="Y420" s="36" t="str">
        <f t="shared" si="25"/>
        <v/>
      </c>
      <c r="Z420" s="340" t="str">
        <f>IF(AND(C420&gt;0,D420&lt;&gt;"",S420=""),VLOOKUP(A420&amp;IF(H420="黑丝","黑","白")&amp;E420,经纬!A:M,13,FALSE)*(I420-AB420),"")</f>
        <v/>
      </c>
      <c r="AA420" s="340" t="str">
        <f>IF(AND(C420&gt;0,D420&lt;&gt;"",S420=""),VLOOKUP(A420&amp;IF(H420="黑丝","黑","白")&amp;E420,经纬!A:N,14,FALSE)*(I420-AB420),"")</f>
        <v/>
      </c>
    </row>
    <row r="421" spans="4:27">
      <c r="D421" s="8" t="str">
        <f t="shared" si="29"/>
        <v/>
      </c>
      <c r="M421" s="24" t="str">
        <f t="array" ref="M421">LEFT(L421,MIN(FIND({"A","B","C"},MID(L421,2,LEN(L421))&amp;"ABC")))</f>
        <v/>
      </c>
      <c r="N421" s="24" t="str">
        <f t="array" ref="N421">SUBSTITUTE(L421,M421,"")</f>
        <v/>
      </c>
      <c r="W421" s="369" t="str">
        <f t="shared" si="26"/>
        <v/>
      </c>
      <c r="X421" s="258" t="str">
        <f t="shared" si="28"/>
        <v/>
      </c>
      <c r="Y421" s="36" t="str">
        <f t="shared" si="25"/>
        <v/>
      </c>
      <c r="Z421" s="340" t="str">
        <f>IF(AND(C421&gt;0,D421&lt;&gt;"",S421=""),VLOOKUP(A421&amp;IF(H421="黑丝","黑","白")&amp;E421,经纬!A:M,13,FALSE)*(I421-AB421),"")</f>
        <v/>
      </c>
      <c r="AA421" s="340" t="str">
        <f>IF(AND(C421&gt;0,D421&lt;&gt;"",S421=""),VLOOKUP(A421&amp;IF(H421="黑丝","黑","白")&amp;E421,经纬!A:N,14,FALSE)*(I421-AB421),"")</f>
        <v/>
      </c>
    </row>
    <row r="422" spans="4:27">
      <c r="D422" s="8" t="str">
        <f t="shared" si="29"/>
        <v/>
      </c>
      <c r="M422" s="24" t="str">
        <f t="array" ref="M422">LEFT(L422,MIN(FIND({"A","B","C"},MID(L422,2,LEN(L422))&amp;"ABC")))</f>
        <v/>
      </c>
      <c r="N422" s="24" t="str">
        <f t="array" ref="N422">SUBSTITUTE(L422,M422,"")</f>
        <v/>
      </c>
      <c r="W422" s="369" t="str">
        <f t="shared" si="26"/>
        <v/>
      </c>
      <c r="X422" s="258" t="str">
        <f t="shared" si="28"/>
        <v/>
      </c>
      <c r="Y422" s="36" t="str">
        <f t="shared" si="25"/>
        <v/>
      </c>
      <c r="Z422" s="340" t="str">
        <f>IF(AND(C422&gt;0,D422&lt;&gt;"",S422=""),VLOOKUP(A422&amp;IF(H422="黑丝","黑","白")&amp;E422,经纬!A:M,13,FALSE)*(I422-AB422),"")</f>
        <v/>
      </c>
      <c r="AA422" s="340" t="str">
        <f>IF(AND(C422&gt;0,D422&lt;&gt;"",S422=""),VLOOKUP(A422&amp;IF(H422="黑丝","黑","白")&amp;E422,经纬!A:N,14,FALSE)*(I422-AB422),"")</f>
        <v/>
      </c>
    </row>
    <row r="423" spans="4:27">
      <c r="D423" s="8" t="str">
        <f t="shared" si="29"/>
        <v/>
      </c>
      <c r="M423" s="24" t="str">
        <f t="array" ref="M423">LEFT(L423,MIN(FIND({"A","B","C"},MID(L423,2,LEN(L423))&amp;"ABC")))</f>
        <v/>
      </c>
      <c r="N423" s="24" t="str">
        <f t="array" ref="N423">SUBSTITUTE(L423,M423,"")</f>
        <v/>
      </c>
      <c r="W423" s="369" t="str">
        <f t="shared" si="26"/>
        <v/>
      </c>
      <c r="X423" s="258" t="str">
        <f t="shared" si="28"/>
        <v/>
      </c>
      <c r="Y423" s="36" t="str">
        <f t="shared" si="25"/>
        <v/>
      </c>
      <c r="Z423" s="340" t="str">
        <f>IF(AND(C423&gt;0,D423&lt;&gt;"",S423=""),VLOOKUP(A423&amp;IF(H423="黑丝","黑","白")&amp;E423,经纬!A:M,13,FALSE)*(I423-AB423),"")</f>
        <v/>
      </c>
      <c r="AA423" s="340" t="str">
        <f>IF(AND(C423&gt;0,D423&lt;&gt;"",S423=""),VLOOKUP(A423&amp;IF(H423="黑丝","黑","白")&amp;E423,经纬!A:N,14,FALSE)*(I423-AB423),"")</f>
        <v/>
      </c>
    </row>
    <row r="424" spans="4:27">
      <c r="D424" s="8" t="str">
        <f t="shared" si="29"/>
        <v/>
      </c>
      <c r="M424" s="24" t="str">
        <f t="array" ref="M424">LEFT(L424,MIN(FIND({"A","B","C"},MID(L424,2,LEN(L424))&amp;"ABC")))</f>
        <v/>
      </c>
      <c r="N424" s="24" t="str">
        <f t="array" ref="N424">SUBSTITUTE(L424,M424,"")</f>
        <v/>
      </c>
      <c r="W424" s="369" t="str">
        <f t="shared" si="26"/>
        <v/>
      </c>
      <c r="X424" s="258" t="str">
        <f t="shared" si="28"/>
        <v/>
      </c>
      <c r="Y424" s="36" t="str">
        <f t="shared" si="25"/>
        <v/>
      </c>
      <c r="Z424" s="340" t="str">
        <f>IF(AND(C424&gt;0,D424&lt;&gt;"",S424=""),VLOOKUP(A424&amp;IF(H424="黑丝","黑","白")&amp;E424,经纬!A:M,13,FALSE)*(I424-AB424),"")</f>
        <v/>
      </c>
      <c r="AA424" s="340" t="str">
        <f>IF(AND(C424&gt;0,D424&lt;&gt;"",S424=""),VLOOKUP(A424&amp;IF(H424="黑丝","黑","白")&amp;E424,经纬!A:N,14,FALSE)*(I424-AB424),"")</f>
        <v/>
      </c>
    </row>
    <row r="425" spans="4:27">
      <c r="D425" s="8" t="str">
        <f t="shared" si="29"/>
        <v/>
      </c>
      <c r="M425" s="24" t="str">
        <f t="array" ref="M425">LEFT(L425,MIN(FIND({"A","B","C"},MID(L425,2,LEN(L425))&amp;"ABC")))</f>
        <v/>
      </c>
      <c r="N425" s="24" t="str">
        <f t="array" ref="N425">SUBSTITUTE(L425,M425,"")</f>
        <v/>
      </c>
      <c r="W425" s="369" t="str">
        <f t="shared" si="26"/>
        <v/>
      </c>
      <c r="X425" s="258" t="str">
        <f t="shared" si="28"/>
        <v/>
      </c>
      <c r="Y425" s="36" t="str">
        <f t="shared" ref="Y425:Y488" si="30">IF(OR(B425="",D425&lt;&gt;""),"",IF(S425&lt;&gt;"","",I425/((1/((G425+2)/100*K425/1000))*0.9144)/IF(H425="黑丝",22,20)-AB425))</f>
        <v/>
      </c>
      <c r="Z425" s="340" t="str">
        <f>IF(AND(C425&gt;0,D425&lt;&gt;"",S425=""),VLOOKUP(A425&amp;IF(H425="黑丝","黑","白")&amp;E425,经纬!A:M,13,FALSE)*(I425-AB425),"")</f>
        <v/>
      </c>
      <c r="AA425" s="340" t="str">
        <f>IF(AND(C425&gt;0,D425&lt;&gt;"",S425=""),VLOOKUP(A425&amp;IF(H425="黑丝","黑","白")&amp;E425,经纬!A:N,14,FALSE)*(I425-AB425),"")</f>
        <v/>
      </c>
    </row>
    <row r="426" spans="4:27">
      <c r="D426" s="8" t="str">
        <f t="shared" si="29"/>
        <v/>
      </c>
      <c r="M426" s="24" t="str">
        <f t="array" ref="M426">LEFT(L426,MIN(FIND({"A","B","C"},MID(L426,2,LEN(L426))&amp;"ABC")))</f>
        <v/>
      </c>
      <c r="N426" s="24" t="str">
        <f t="array" ref="N426">SUBSTITUTE(L426,M426,"")</f>
        <v/>
      </c>
      <c r="W426" s="369" t="str">
        <f t="shared" si="26"/>
        <v/>
      </c>
      <c r="X426" s="258" t="str">
        <f t="shared" si="28"/>
        <v/>
      </c>
      <c r="Y426" s="36" t="str">
        <f t="shared" si="30"/>
        <v/>
      </c>
      <c r="Z426" s="340" t="str">
        <f>IF(AND(C426&gt;0,D426&lt;&gt;"",S426=""),VLOOKUP(A426&amp;IF(H426="黑丝","黑","白")&amp;E426,经纬!A:M,13,FALSE)*(I426-AB426),"")</f>
        <v/>
      </c>
      <c r="AA426" s="340" t="str">
        <f>IF(AND(C426&gt;0,D426&lt;&gt;"",S426=""),VLOOKUP(A426&amp;IF(H426="黑丝","黑","白")&amp;E426,经纬!A:N,14,FALSE)*(I426-AB426),"")</f>
        <v/>
      </c>
    </row>
    <row r="427" spans="4:27">
      <c r="D427" s="8" t="str">
        <f t="shared" si="29"/>
        <v/>
      </c>
      <c r="M427" s="24" t="str">
        <f t="array" ref="M427">LEFT(L427,MIN(FIND({"A","B","C"},MID(L427,2,LEN(L427))&amp;"ABC")))</f>
        <v/>
      </c>
      <c r="N427" s="24" t="str">
        <f t="array" ref="N427">SUBSTITUTE(L427,M427,"")</f>
        <v/>
      </c>
      <c r="W427" s="369" t="str">
        <f t="shared" si="26"/>
        <v/>
      </c>
      <c r="X427" s="258" t="str">
        <f t="shared" si="28"/>
        <v/>
      </c>
      <c r="Y427" s="36" t="str">
        <f t="shared" si="30"/>
        <v/>
      </c>
      <c r="Z427" s="340" t="str">
        <f>IF(AND(C427&gt;0,D427&lt;&gt;"",S427=""),VLOOKUP(A427&amp;IF(H427="黑丝","黑","白")&amp;E427,经纬!A:M,13,FALSE)*(I427-AB427),"")</f>
        <v/>
      </c>
      <c r="AA427" s="340" t="str">
        <f>IF(AND(C427&gt;0,D427&lt;&gt;"",S427=""),VLOOKUP(A427&amp;IF(H427="黑丝","黑","白")&amp;E427,经纬!A:N,14,FALSE)*(I427-AB427),"")</f>
        <v/>
      </c>
    </row>
    <row r="428" spans="4:27">
      <c r="D428" s="8" t="str">
        <f t="shared" si="29"/>
        <v/>
      </c>
      <c r="M428" s="24" t="str">
        <f t="array" ref="M428">LEFT(L428,MIN(FIND({"A","B","C"},MID(L428,2,LEN(L428))&amp;"ABC")))</f>
        <v/>
      </c>
      <c r="N428" s="24" t="str">
        <f t="array" ref="N428">SUBSTITUTE(L428,M428,"")</f>
        <v/>
      </c>
      <c r="W428" s="369" t="str">
        <f t="shared" si="26"/>
        <v/>
      </c>
      <c r="X428" s="258" t="str">
        <f t="shared" si="28"/>
        <v/>
      </c>
      <c r="Y428" s="36" t="str">
        <f t="shared" si="30"/>
        <v/>
      </c>
      <c r="Z428" s="340" t="str">
        <f>IF(AND(C428&gt;0,D428&lt;&gt;"",S428=""),VLOOKUP(A428&amp;IF(H428="黑丝","黑","白")&amp;E428,经纬!A:M,13,FALSE)*(I428-AB428),"")</f>
        <v/>
      </c>
      <c r="AA428" s="340" t="str">
        <f>IF(AND(C428&gt;0,D428&lt;&gt;"",S428=""),VLOOKUP(A428&amp;IF(H428="黑丝","黑","白")&amp;E428,经纬!A:N,14,FALSE)*(I428-AB428),"")</f>
        <v/>
      </c>
    </row>
    <row r="429" spans="4:27">
      <c r="D429" s="8" t="str">
        <f t="shared" si="29"/>
        <v/>
      </c>
      <c r="M429" s="24" t="str">
        <f t="array" ref="M429">LEFT(L429,MIN(FIND({"A","B","C"},MID(L429,2,LEN(L429))&amp;"ABC")))</f>
        <v/>
      </c>
      <c r="N429" s="24" t="str">
        <f t="array" ref="N429">SUBSTITUTE(L429,M429,"")</f>
        <v/>
      </c>
      <c r="W429" s="369" t="str">
        <f t="shared" si="26"/>
        <v/>
      </c>
      <c r="X429" s="258" t="str">
        <f t="shared" si="28"/>
        <v/>
      </c>
      <c r="Y429" s="36" t="str">
        <f t="shared" si="30"/>
        <v/>
      </c>
      <c r="Z429" s="340" t="str">
        <f>IF(AND(C429&gt;0,D429&lt;&gt;"",S429=""),VLOOKUP(A429&amp;IF(H429="黑丝","黑","白")&amp;E429,经纬!A:M,13,FALSE)*(I429-AB429),"")</f>
        <v/>
      </c>
      <c r="AA429" s="340" t="str">
        <f>IF(AND(C429&gt;0,D429&lt;&gt;"",S429=""),VLOOKUP(A429&amp;IF(H429="黑丝","黑","白")&amp;E429,经纬!A:N,14,FALSE)*(I429-AB429),"")</f>
        <v/>
      </c>
    </row>
    <row r="430" spans="4:27">
      <c r="D430" s="8" t="str">
        <f t="shared" si="29"/>
        <v/>
      </c>
      <c r="M430" s="24" t="str">
        <f t="array" ref="M430">LEFT(L430,MIN(FIND({"A","B","C"},MID(L430,2,LEN(L430))&amp;"ABC")))</f>
        <v/>
      </c>
      <c r="N430" s="24" t="str">
        <f t="array" ref="N430">SUBSTITUTE(L430,M430,"")</f>
        <v/>
      </c>
      <c r="W430" s="369" t="str">
        <f t="shared" si="26"/>
        <v/>
      </c>
      <c r="X430" s="258" t="str">
        <f t="shared" si="28"/>
        <v/>
      </c>
      <c r="Y430" s="36" t="str">
        <f t="shared" si="30"/>
        <v/>
      </c>
      <c r="Z430" s="340" t="str">
        <f>IF(AND(C430&gt;0,D430&lt;&gt;"",S430=""),VLOOKUP(A430&amp;IF(H430="黑丝","黑","白")&amp;E430,经纬!A:M,13,FALSE)*(I430-AB430),"")</f>
        <v/>
      </c>
      <c r="AA430" s="340" t="str">
        <f>IF(AND(C430&gt;0,D430&lt;&gt;"",S430=""),VLOOKUP(A430&amp;IF(H430="黑丝","黑","白")&amp;E430,经纬!A:N,14,FALSE)*(I430-AB430),"")</f>
        <v/>
      </c>
    </row>
    <row r="431" spans="4:27">
      <c r="D431" s="8" t="str">
        <f t="shared" si="29"/>
        <v/>
      </c>
      <c r="M431" s="24" t="str">
        <f t="array" ref="M431">LEFT(L431,MIN(FIND({"A","B","C"},MID(L431,2,LEN(L431))&amp;"ABC")))</f>
        <v/>
      </c>
      <c r="N431" s="24" t="str">
        <f t="array" ref="N431">SUBSTITUTE(L431,M431,"")</f>
        <v/>
      </c>
      <c r="W431" s="369" t="str">
        <f t="shared" si="26"/>
        <v/>
      </c>
      <c r="X431" s="258" t="str">
        <f t="shared" si="28"/>
        <v/>
      </c>
      <c r="Y431" s="36" t="str">
        <f t="shared" si="30"/>
        <v/>
      </c>
      <c r="Z431" s="340" t="str">
        <f>IF(AND(C431&gt;0,D431&lt;&gt;"",S431=""),VLOOKUP(A431&amp;IF(H431="黑丝","黑","白")&amp;E431,经纬!A:M,13,FALSE)*(I431-AB431),"")</f>
        <v/>
      </c>
      <c r="AA431" s="340" t="str">
        <f>IF(AND(C431&gt;0,D431&lt;&gt;"",S431=""),VLOOKUP(A431&amp;IF(H431="黑丝","黑","白")&amp;E431,经纬!A:N,14,FALSE)*(I431-AB431),"")</f>
        <v/>
      </c>
    </row>
    <row r="432" spans="4:27">
      <c r="D432" s="8" t="str">
        <f t="shared" si="29"/>
        <v/>
      </c>
      <c r="M432" s="24" t="str">
        <f t="array" ref="M432">LEFT(L432,MIN(FIND({"A","B","C"},MID(L432,2,LEN(L432))&amp;"ABC")))</f>
        <v/>
      </c>
      <c r="N432" s="24" t="str">
        <f t="array" ref="N432">SUBSTITUTE(L432,M432,"")</f>
        <v/>
      </c>
      <c r="W432" s="369" t="str">
        <f t="shared" si="26"/>
        <v/>
      </c>
      <c r="X432" s="258" t="str">
        <f t="shared" si="28"/>
        <v/>
      </c>
      <c r="Y432" s="36" t="str">
        <f t="shared" si="30"/>
        <v/>
      </c>
      <c r="Z432" s="340" t="str">
        <f>IF(AND(C432&gt;0,D432&lt;&gt;"",S432=""),VLOOKUP(A432&amp;IF(H432="黑丝","黑","白")&amp;E432,经纬!A:M,13,FALSE)*(I432-AB432),"")</f>
        <v/>
      </c>
      <c r="AA432" s="340" t="str">
        <f>IF(AND(C432&gt;0,D432&lt;&gt;"",S432=""),VLOOKUP(A432&amp;IF(H432="黑丝","黑","白")&amp;E432,经纬!A:N,14,FALSE)*(I432-AB432),"")</f>
        <v/>
      </c>
    </row>
    <row r="433" spans="4:27">
      <c r="D433" s="8" t="str">
        <f t="shared" si="29"/>
        <v/>
      </c>
      <c r="M433" s="24" t="str">
        <f t="array" ref="M433">LEFT(L433,MIN(FIND({"A","B","C"},MID(L433,2,LEN(L433))&amp;"ABC")))</f>
        <v/>
      </c>
      <c r="N433" s="24" t="str">
        <f t="array" ref="N433">SUBSTITUTE(L433,M433,"")</f>
        <v/>
      </c>
      <c r="W433" s="369" t="str">
        <f t="shared" si="26"/>
        <v/>
      </c>
      <c r="X433" s="258" t="str">
        <f t="shared" si="28"/>
        <v/>
      </c>
      <c r="Y433" s="36" t="str">
        <f t="shared" si="30"/>
        <v/>
      </c>
      <c r="Z433" s="340" t="str">
        <f>IF(AND(C433&gt;0,D433&lt;&gt;"",S433=""),VLOOKUP(A433&amp;IF(H433="黑丝","黑","白")&amp;E433,经纬!A:M,13,FALSE)*(I433-AB433),"")</f>
        <v/>
      </c>
      <c r="AA433" s="340" t="str">
        <f>IF(AND(C433&gt;0,D433&lt;&gt;"",S433=""),VLOOKUP(A433&amp;IF(H433="黑丝","黑","白")&amp;E433,经纬!A:N,14,FALSE)*(I433-AB433),"")</f>
        <v/>
      </c>
    </row>
    <row r="434" spans="4:27">
      <c r="D434" s="8" t="str">
        <f t="shared" si="29"/>
        <v/>
      </c>
      <c r="M434" s="24" t="str">
        <f t="array" ref="M434">LEFT(L434,MIN(FIND({"A","B","C"},MID(L434,2,LEN(L434))&amp;"ABC")))</f>
        <v/>
      </c>
      <c r="N434" s="24" t="str">
        <f t="array" ref="N434">SUBSTITUTE(L434,M434,"")</f>
        <v/>
      </c>
      <c r="W434" s="369" t="str">
        <f t="shared" si="26"/>
        <v/>
      </c>
      <c r="X434" s="258" t="str">
        <f t="shared" si="28"/>
        <v/>
      </c>
      <c r="Y434" s="36" t="str">
        <f t="shared" si="30"/>
        <v/>
      </c>
      <c r="Z434" s="340" t="str">
        <f>IF(AND(C434&gt;0,D434&lt;&gt;"",S434=""),VLOOKUP(A434&amp;IF(H434="黑丝","黑","白")&amp;E434,经纬!A:M,13,FALSE)*(I434-AB434),"")</f>
        <v/>
      </c>
      <c r="AA434" s="340" t="str">
        <f>IF(AND(C434&gt;0,D434&lt;&gt;"",S434=""),VLOOKUP(A434&amp;IF(H434="黑丝","黑","白")&amp;E434,经纬!A:N,14,FALSE)*(I434-AB434),"")</f>
        <v/>
      </c>
    </row>
    <row r="435" spans="4:27">
      <c r="D435" s="8" t="str">
        <f t="shared" si="29"/>
        <v/>
      </c>
      <c r="M435" s="24" t="str">
        <f t="array" ref="M435">LEFT(L435,MIN(FIND({"A","B","C"},MID(L435,2,LEN(L435))&amp;"ABC")))</f>
        <v/>
      </c>
      <c r="N435" s="24" t="str">
        <f t="array" ref="N435">SUBSTITUTE(L435,M435,"")</f>
        <v/>
      </c>
      <c r="W435" s="369" t="str">
        <f t="shared" si="26"/>
        <v/>
      </c>
      <c r="X435" s="258" t="str">
        <f t="shared" si="28"/>
        <v/>
      </c>
      <c r="Y435" s="36" t="str">
        <f t="shared" si="30"/>
        <v/>
      </c>
      <c r="Z435" s="340" t="str">
        <f>IF(AND(C435&gt;0,D435&lt;&gt;"",S435=""),VLOOKUP(A435&amp;IF(H435="黑丝","黑","白")&amp;E435,经纬!A:M,13,FALSE)*(I435-AB435),"")</f>
        <v/>
      </c>
      <c r="AA435" s="340" t="str">
        <f>IF(AND(C435&gt;0,D435&lt;&gt;"",S435=""),VLOOKUP(A435&amp;IF(H435="黑丝","黑","白")&amp;E435,经纬!A:N,14,FALSE)*(I435-AB435),"")</f>
        <v/>
      </c>
    </row>
    <row r="436" spans="4:27">
      <c r="D436" s="8" t="str">
        <f t="shared" si="29"/>
        <v/>
      </c>
      <c r="M436" s="24" t="str">
        <f t="array" ref="M436">LEFT(L436,MIN(FIND({"A","B","C"},MID(L436,2,LEN(L436))&amp;"ABC")))</f>
        <v/>
      </c>
      <c r="N436" s="24" t="str">
        <f t="array" ref="N436">SUBSTITUTE(L436,M436,"")</f>
        <v/>
      </c>
      <c r="W436" s="369" t="str">
        <f t="shared" si="26"/>
        <v/>
      </c>
      <c r="X436" s="258" t="str">
        <f t="shared" si="28"/>
        <v/>
      </c>
      <c r="Y436" s="36" t="str">
        <f t="shared" si="30"/>
        <v/>
      </c>
      <c r="Z436" s="340" t="str">
        <f>IF(AND(C436&gt;0,D436&lt;&gt;"",S436=""),VLOOKUP(A436&amp;IF(H436="黑丝","黑","白")&amp;E436,经纬!A:M,13,FALSE)*(I436-AB436),"")</f>
        <v/>
      </c>
      <c r="AA436" s="340" t="str">
        <f>IF(AND(C436&gt;0,D436&lt;&gt;"",S436=""),VLOOKUP(A436&amp;IF(H436="黑丝","黑","白")&amp;E436,经纬!A:N,14,FALSE)*(I436-AB436),"")</f>
        <v/>
      </c>
    </row>
    <row r="437" spans="4:27">
      <c r="D437" s="8" t="str">
        <f t="shared" si="29"/>
        <v/>
      </c>
      <c r="M437" s="24" t="str">
        <f t="array" ref="M437">LEFT(L437,MIN(FIND({"A","B","C"},MID(L437,2,LEN(L437))&amp;"ABC")))</f>
        <v/>
      </c>
      <c r="N437" s="24" t="str">
        <f t="array" ref="N437">SUBSTITUTE(L437,M437,"")</f>
        <v/>
      </c>
      <c r="W437" s="369" t="str">
        <f t="shared" si="26"/>
        <v/>
      </c>
      <c r="X437" s="258" t="str">
        <f t="shared" si="28"/>
        <v/>
      </c>
      <c r="Y437" s="36" t="str">
        <f t="shared" si="30"/>
        <v/>
      </c>
      <c r="Z437" s="340" t="str">
        <f>IF(AND(C437&gt;0,D437&lt;&gt;"",S437=""),VLOOKUP(A437&amp;IF(H437="黑丝","黑","白")&amp;E437,经纬!A:M,13,FALSE)*(I437-AB437),"")</f>
        <v/>
      </c>
      <c r="AA437" s="340" t="str">
        <f>IF(AND(C437&gt;0,D437&lt;&gt;"",S437=""),VLOOKUP(A437&amp;IF(H437="黑丝","黑","白")&amp;E437,经纬!A:N,14,FALSE)*(I437-AB437),"")</f>
        <v/>
      </c>
    </row>
    <row r="438" spans="4:27">
      <c r="D438" s="8" t="str">
        <f t="shared" si="29"/>
        <v/>
      </c>
      <c r="M438" s="24" t="str">
        <f t="array" ref="M438">LEFT(L438,MIN(FIND({"A","B","C"},MID(L438,2,LEN(L438))&amp;"ABC")))</f>
        <v/>
      </c>
      <c r="N438" s="24" t="str">
        <f t="array" ref="N438">SUBSTITUTE(L438,M438,"")</f>
        <v/>
      </c>
      <c r="W438" s="369" t="str">
        <f t="shared" si="26"/>
        <v/>
      </c>
      <c r="X438" s="258" t="str">
        <f t="shared" si="28"/>
        <v/>
      </c>
      <c r="Y438" s="36" t="str">
        <f t="shared" si="30"/>
        <v/>
      </c>
      <c r="Z438" s="340" t="str">
        <f>IF(AND(C438&gt;0,D438&lt;&gt;"",S438=""),VLOOKUP(A438&amp;IF(H438="黑丝","黑","白")&amp;E438,经纬!A:M,13,FALSE)*(I438-AB438),"")</f>
        <v/>
      </c>
      <c r="AA438" s="340" t="str">
        <f>IF(AND(C438&gt;0,D438&lt;&gt;"",S438=""),VLOOKUP(A438&amp;IF(H438="黑丝","黑","白")&amp;E438,经纬!A:N,14,FALSE)*(I438-AB438),"")</f>
        <v/>
      </c>
    </row>
    <row r="439" spans="4:27">
      <c r="D439" s="8" t="str">
        <f t="shared" si="29"/>
        <v/>
      </c>
      <c r="M439" s="24" t="str">
        <f t="array" ref="M439">LEFT(L439,MIN(FIND({"A","B","C"},MID(L439,2,LEN(L439))&amp;"ABC")))</f>
        <v/>
      </c>
      <c r="N439" s="24" t="str">
        <f t="array" ref="N439">SUBSTITUTE(L439,M439,"")</f>
        <v/>
      </c>
      <c r="W439" s="369" t="str">
        <f t="shared" si="26"/>
        <v/>
      </c>
      <c r="X439" s="258" t="str">
        <f t="shared" si="28"/>
        <v/>
      </c>
      <c r="Y439" s="36" t="str">
        <f t="shared" si="30"/>
        <v/>
      </c>
      <c r="Z439" s="340" t="str">
        <f>IF(AND(C439&gt;0,D439&lt;&gt;"",S439=""),VLOOKUP(A439&amp;IF(H439="黑丝","黑","白")&amp;E439,经纬!A:M,13,FALSE)*(I439-AB439),"")</f>
        <v/>
      </c>
      <c r="AA439" s="340" t="str">
        <f>IF(AND(C439&gt;0,D439&lt;&gt;"",S439=""),VLOOKUP(A439&amp;IF(H439="黑丝","黑","白")&amp;E439,经纬!A:N,14,FALSE)*(I439-AB439),"")</f>
        <v/>
      </c>
    </row>
    <row r="440" spans="4:27">
      <c r="D440" s="8" t="str">
        <f t="shared" si="29"/>
        <v/>
      </c>
      <c r="M440" s="24" t="str">
        <f t="array" ref="M440">LEFT(L440,MIN(FIND({"A","B","C"},MID(L440,2,LEN(L440))&amp;"ABC")))</f>
        <v/>
      </c>
      <c r="N440" s="24" t="str">
        <f t="array" ref="N440">SUBSTITUTE(L440,M440,"")</f>
        <v/>
      </c>
      <c r="W440" s="369" t="str">
        <f t="shared" si="26"/>
        <v/>
      </c>
      <c r="X440" s="258" t="str">
        <f t="shared" si="28"/>
        <v/>
      </c>
      <c r="Y440" s="36" t="str">
        <f t="shared" si="30"/>
        <v/>
      </c>
      <c r="Z440" s="340" t="str">
        <f>IF(AND(C440&gt;0,D440&lt;&gt;"",S440=""),VLOOKUP(A440&amp;IF(H440="黑丝","黑","白")&amp;E440,经纬!A:M,13,FALSE)*(I440-AB440),"")</f>
        <v/>
      </c>
      <c r="AA440" s="340" t="str">
        <f>IF(AND(C440&gt;0,D440&lt;&gt;"",S440=""),VLOOKUP(A440&amp;IF(H440="黑丝","黑","白")&amp;E440,经纬!A:N,14,FALSE)*(I440-AB440),"")</f>
        <v/>
      </c>
    </row>
    <row r="441" spans="4:27">
      <c r="D441" s="8" t="str">
        <f t="shared" si="29"/>
        <v/>
      </c>
      <c r="M441" s="24" t="str">
        <f t="array" ref="M441">LEFT(L441,MIN(FIND({"A","B","C"},MID(L441,2,LEN(L441))&amp;"ABC")))</f>
        <v/>
      </c>
      <c r="N441" s="24" t="str">
        <f t="array" ref="N441">SUBSTITUTE(L441,M441,"")</f>
        <v/>
      </c>
      <c r="W441" s="369" t="str">
        <f t="shared" si="26"/>
        <v/>
      </c>
      <c r="X441" s="258" t="str">
        <f t="shared" si="28"/>
        <v/>
      </c>
      <c r="Y441" s="36" t="str">
        <f t="shared" si="30"/>
        <v/>
      </c>
      <c r="Z441" s="340" t="str">
        <f>IF(AND(C441&gt;0,D441&lt;&gt;"",S441=""),VLOOKUP(A441&amp;IF(H441="黑丝","黑","白")&amp;E441,经纬!A:M,13,FALSE)*(I441-AB441),"")</f>
        <v/>
      </c>
      <c r="AA441" s="340" t="str">
        <f>IF(AND(C441&gt;0,D441&lt;&gt;"",S441=""),VLOOKUP(A441&amp;IF(H441="黑丝","黑","白")&amp;E441,经纬!A:N,14,FALSE)*(I441-AB441),"")</f>
        <v/>
      </c>
    </row>
    <row r="442" spans="4:27">
      <c r="D442" s="8" t="str">
        <f t="shared" si="29"/>
        <v/>
      </c>
      <c r="M442" s="24" t="str">
        <f t="array" ref="M442">LEFT(L442,MIN(FIND({"A","B","C"},MID(L442,2,LEN(L442))&amp;"ABC")))</f>
        <v/>
      </c>
      <c r="N442" s="24" t="str">
        <f t="array" ref="N442">SUBSTITUTE(L442,M442,"")</f>
        <v/>
      </c>
      <c r="W442" s="369" t="str">
        <f t="shared" si="26"/>
        <v/>
      </c>
      <c r="X442" s="258" t="str">
        <f t="shared" si="28"/>
        <v/>
      </c>
      <c r="Y442" s="36" t="str">
        <f t="shared" si="30"/>
        <v/>
      </c>
      <c r="Z442" s="340" t="str">
        <f>IF(AND(C442&gt;0,D442&lt;&gt;"",S442=""),VLOOKUP(A442&amp;IF(H442="黑丝","黑","白")&amp;E442,经纬!A:M,13,FALSE)*(I442-AB442),"")</f>
        <v/>
      </c>
      <c r="AA442" s="340" t="str">
        <f>IF(AND(C442&gt;0,D442&lt;&gt;"",S442=""),VLOOKUP(A442&amp;IF(H442="黑丝","黑","白")&amp;E442,经纬!A:N,14,FALSE)*(I442-AB442),"")</f>
        <v/>
      </c>
    </row>
    <row r="443" spans="4:27">
      <c r="D443" s="8" t="str">
        <f t="shared" si="29"/>
        <v/>
      </c>
      <c r="M443" s="24" t="str">
        <f t="array" ref="M443">LEFT(L443,MIN(FIND({"A","B","C"},MID(L443,2,LEN(L443))&amp;"ABC")))</f>
        <v/>
      </c>
      <c r="N443" s="24" t="str">
        <f t="array" ref="N443">SUBSTITUTE(L443,M443,"")</f>
        <v/>
      </c>
      <c r="W443" s="369" t="str">
        <f t="shared" si="26"/>
        <v/>
      </c>
      <c r="X443" s="258" t="str">
        <f t="shared" si="28"/>
        <v/>
      </c>
      <c r="Y443" s="36" t="str">
        <f t="shared" si="30"/>
        <v/>
      </c>
      <c r="Z443" s="340" t="str">
        <f>IF(AND(C443&gt;0,D443&lt;&gt;"",S443=""),VLOOKUP(A443&amp;IF(H443="黑丝","黑","白")&amp;E443,经纬!A:M,13,FALSE)*(I443-AB443),"")</f>
        <v/>
      </c>
      <c r="AA443" s="340" t="str">
        <f>IF(AND(C443&gt;0,D443&lt;&gt;"",S443=""),VLOOKUP(A443&amp;IF(H443="黑丝","黑","白")&amp;E443,经纬!A:N,14,FALSE)*(I443-AB443),"")</f>
        <v/>
      </c>
    </row>
    <row r="444" spans="4:27">
      <c r="D444" s="8" t="str">
        <f t="shared" si="29"/>
        <v/>
      </c>
      <c r="M444" s="24" t="str">
        <f t="array" ref="M444">LEFT(L444,MIN(FIND({"A","B","C"},MID(L444,2,LEN(L444))&amp;"ABC")))</f>
        <v/>
      </c>
      <c r="N444" s="24" t="str">
        <f t="array" ref="N444">SUBSTITUTE(L444,M444,"")</f>
        <v/>
      </c>
      <c r="W444" s="369" t="str">
        <f t="shared" si="26"/>
        <v/>
      </c>
      <c r="X444" s="258" t="str">
        <f t="shared" si="28"/>
        <v/>
      </c>
      <c r="Y444" s="36" t="str">
        <f t="shared" si="30"/>
        <v/>
      </c>
      <c r="Z444" s="340" t="str">
        <f>IF(AND(C444&gt;0,D444&lt;&gt;"",S444=""),VLOOKUP(A444&amp;IF(H444="黑丝","黑","白")&amp;E444,经纬!A:M,13,FALSE)*(I444-AB444),"")</f>
        <v/>
      </c>
      <c r="AA444" s="340" t="str">
        <f>IF(AND(C444&gt;0,D444&lt;&gt;"",S444=""),VLOOKUP(A444&amp;IF(H444="黑丝","黑","白")&amp;E444,经纬!A:N,14,FALSE)*(I444-AB444),"")</f>
        <v/>
      </c>
    </row>
    <row r="445" spans="4:27">
      <c r="D445" s="8" t="str">
        <f t="shared" si="29"/>
        <v/>
      </c>
      <c r="M445" s="24" t="str">
        <f t="array" ref="M445">LEFT(L445,MIN(FIND({"A","B","C"},MID(L445,2,LEN(L445))&amp;"ABC")))</f>
        <v/>
      </c>
      <c r="N445" s="24" t="str">
        <f t="array" ref="N445">SUBSTITUTE(L445,M445,"")</f>
        <v/>
      </c>
      <c r="W445" s="369" t="str">
        <f t="shared" si="26"/>
        <v/>
      </c>
      <c r="X445" s="258" t="str">
        <f t="shared" si="28"/>
        <v/>
      </c>
      <c r="Y445" s="36" t="str">
        <f t="shared" si="30"/>
        <v/>
      </c>
      <c r="Z445" s="340" t="str">
        <f>IF(AND(C445&gt;0,D445&lt;&gt;"",S445=""),VLOOKUP(A445&amp;IF(H445="黑丝","黑","白")&amp;E445,经纬!A:M,13,FALSE)*(I445-AB445),"")</f>
        <v/>
      </c>
      <c r="AA445" s="340" t="str">
        <f>IF(AND(C445&gt;0,D445&lt;&gt;"",S445=""),VLOOKUP(A445&amp;IF(H445="黑丝","黑","白")&amp;E445,经纬!A:N,14,FALSE)*(I445-AB445),"")</f>
        <v/>
      </c>
    </row>
    <row r="446" spans="4:27">
      <c r="D446" s="8" t="str">
        <f t="shared" si="29"/>
        <v/>
      </c>
      <c r="M446" s="24" t="str">
        <f t="array" ref="M446">LEFT(L446,MIN(FIND({"A","B","C"},MID(L446,2,LEN(L446))&amp;"ABC")))</f>
        <v/>
      </c>
      <c r="N446" s="24" t="str">
        <f t="array" ref="N446">SUBSTITUTE(L446,M446,"")</f>
        <v/>
      </c>
      <c r="W446" s="369" t="str">
        <f t="shared" si="26"/>
        <v/>
      </c>
      <c r="X446" s="258" t="str">
        <f t="shared" si="28"/>
        <v/>
      </c>
      <c r="Y446" s="36" t="str">
        <f t="shared" si="30"/>
        <v/>
      </c>
      <c r="Z446" s="340" t="str">
        <f>IF(AND(C446&gt;0,D446&lt;&gt;"",S446=""),VLOOKUP(A446&amp;IF(H446="黑丝","黑","白")&amp;E446,经纬!A:M,13,FALSE)*(I446-AB446),"")</f>
        <v/>
      </c>
      <c r="AA446" s="340" t="str">
        <f>IF(AND(C446&gt;0,D446&lt;&gt;"",S446=""),VLOOKUP(A446&amp;IF(H446="黑丝","黑","白")&amp;E446,经纬!A:N,14,FALSE)*(I446-AB446),"")</f>
        <v/>
      </c>
    </row>
    <row r="447" spans="4:27">
      <c r="D447" s="8" t="str">
        <f t="shared" si="29"/>
        <v/>
      </c>
      <c r="M447" s="24" t="str">
        <f t="array" ref="M447">LEFT(L447,MIN(FIND({"A","B","C"},MID(L447,2,LEN(L447))&amp;"ABC")))</f>
        <v/>
      </c>
      <c r="N447" s="24" t="str">
        <f t="array" ref="N447">SUBSTITUTE(L447,M447,"")</f>
        <v/>
      </c>
      <c r="W447" s="369" t="str">
        <f t="shared" si="26"/>
        <v/>
      </c>
      <c r="X447" s="258" t="str">
        <f t="shared" si="28"/>
        <v/>
      </c>
      <c r="Y447" s="36" t="str">
        <f t="shared" si="30"/>
        <v/>
      </c>
      <c r="Z447" s="340" t="str">
        <f>IF(AND(C447&gt;0,D447&lt;&gt;"",S447=""),VLOOKUP(A447&amp;IF(H447="黑丝","黑","白")&amp;E447,经纬!A:M,13,FALSE)*(I447-AB447),"")</f>
        <v/>
      </c>
      <c r="AA447" s="340" t="str">
        <f>IF(AND(C447&gt;0,D447&lt;&gt;"",S447=""),VLOOKUP(A447&amp;IF(H447="黑丝","黑","白")&amp;E447,经纬!A:N,14,FALSE)*(I447-AB447),"")</f>
        <v/>
      </c>
    </row>
    <row r="448" spans="4:27">
      <c r="D448" s="8" t="str">
        <f t="shared" si="29"/>
        <v/>
      </c>
      <c r="M448" s="24" t="str">
        <f t="array" ref="M448">LEFT(L448,MIN(FIND({"A","B","C"},MID(L448,2,LEN(L448))&amp;"ABC")))</f>
        <v/>
      </c>
      <c r="N448" s="24" t="str">
        <f t="array" ref="N448">SUBSTITUTE(L448,M448,"")</f>
        <v/>
      </c>
      <c r="W448" s="369" t="str">
        <f t="shared" si="26"/>
        <v/>
      </c>
      <c r="X448" s="258" t="str">
        <f t="shared" si="28"/>
        <v/>
      </c>
      <c r="Y448" s="36" t="str">
        <f t="shared" si="30"/>
        <v/>
      </c>
      <c r="Z448" s="340" t="str">
        <f>IF(AND(C448&gt;0,D448&lt;&gt;"",S448=""),VLOOKUP(A448&amp;IF(H448="黑丝","黑","白")&amp;E448,经纬!A:M,13,FALSE)*(I448-AB448),"")</f>
        <v/>
      </c>
      <c r="AA448" s="340" t="str">
        <f>IF(AND(C448&gt;0,D448&lt;&gt;"",S448=""),VLOOKUP(A448&amp;IF(H448="黑丝","黑","白")&amp;E448,经纬!A:N,14,FALSE)*(I448-AB448),"")</f>
        <v/>
      </c>
    </row>
    <row r="449" spans="4:27">
      <c r="D449" s="8" t="str">
        <f t="shared" si="29"/>
        <v/>
      </c>
      <c r="M449" s="24" t="str">
        <f t="array" ref="M449">LEFT(L449,MIN(FIND({"A","B","C"},MID(L449,2,LEN(L449))&amp;"ABC")))</f>
        <v/>
      </c>
      <c r="N449" s="24" t="str">
        <f t="array" ref="N449">SUBSTITUTE(L449,M449,"")</f>
        <v/>
      </c>
      <c r="W449" s="369" t="str">
        <f t="shared" si="26"/>
        <v/>
      </c>
      <c r="X449" s="258" t="str">
        <f t="shared" si="28"/>
        <v/>
      </c>
      <c r="Y449" s="36" t="str">
        <f t="shared" si="30"/>
        <v/>
      </c>
      <c r="Z449" s="340" t="str">
        <f>IF(AND(C449&gt;0,D449&lt;&gt;"",S449=""),VLOOKUP(A449&amp;IF(H449="黑丝","黑","白")&amp;E449,经纬!A:M,13,FALSE)*(I449-AB449),"")</f>
        <v/>
      </c>
      <c r="AA449" s="340" t="str">
        <f>IF(AND(C449&gt;0,D449&lt;&gt;"",S449=""),VLOOKUP(A449&amp;IF(H449="黑丝","黑","白")&amp;E449,经纬!A:N,14,FALSE)*(I449-AB449),"")</f>
        <v/>
      </c>
    </row>
    <row r="450" spans="4:27">
      <c r="D450" s="8" t="str">
        <f t="shared" si="29"/>
        <v/>
      </c>
      <c r="M450" s="24" t="str">
        <f t="array" ref="M450">LEFT(L450,MIN(FIND({"A","B","C"},MID(L450,2,LEN(L450))&amp;"ABC")))</f>
        <v/>
      </c>
      <c r="N450" s="24" t="str">
        <f t="array" ref="N450">SUBSTITUTE(L450,M450,"")</f>
        <v/>
      </c>
      <c r="W450" s="369" t="str">
        <f t="shared" si="26"/>
        <v/>
      </c>
      <c r="X450" s="258" t="str">
        <f t="shared" si="28"/>
        <v/>
      </c>
      <c r="Y450" s="36" t="str">
        <f t="shared" si="30"/>
        <v/>
      </c>
      <c r="Z450" s="340" t="str">
        <f>IF(AND(C450&gt;0,D450&lt;&gt;"",S450=""),VLOOKUP(A450&amp;IF(H450="黑丝","黑","白")&amp;E450,经纬!A:M,13,FALSE)*(I450-AB450),"")</f>
        <v/>
      </c>
      <c r="AA450" s="340" t="str">
        <f>IF(AND(C450&gt;0,D450&lt;&gt;"",S450=""),VLOOKUP(A450&amp;IF(H450="黑丝","黑","白")&amp;E450,经纬!A:N,14,FALSE)*(I450-AB450),"")</f>
        <v/>
      </c>
    </row>
    <row r="451" spans="4:27">
      <c r="D451" s="8" t="str">
        <f t="shared" si="29"/>
        <v/>
      </c>
      <c r="M451" s="24" t="str">
        <f t="array" ref="M451">LEFT(L451,MIN(FIND({"A","B","C"},MID(L451,2,LEN(L451))&amp;"ABC")))</f>
        <v/>
      </c>
      <c r="N451" s="24" t="str">
        <f t="array" ref="N451">SUBSTITUTE(L451,M451,"")</f>
        <v/>
      </c>
      <c r="W451" s="369" t="str">
        <f t="shared" ref="W451:W514" si="31">IF(A451="","",IF(S451&lt;&gt;"","",IF(D451&lt;&gt;"",(I451-AB451),Y451*IF(H451="黑丝",22,20)*0.9144/((K451/1000)*((G451+2)/100)))))</f>
        <v/>
      </c>
      <c r="X451" s="258" t="str">
        <f t="shared" si="28"/>
        <v/>
      </c>
      <c r="Y451" s="36" t="str">
        <f t="shared" si="30"/>
        <v/>
      </c>
      <c r="Z451" s="340" t="str">
        <f>IF(AND(C451&gt;0,D451&lt;&gt;"",S451=""),VLOOKUP(A451&amp;IF(H451="黑丝","黑","白")&amp;E451,经纬!A:M,13,FALSE)*(I451-AB451),"")</f>
        <v/>
      </c>
      <c r="AA451" s="340" t="str">
        <f>IF(AND(C451&gt;0,D451&lt;&gt;"",S451=""),VLOOKUP(A451&amp;IF(H451="黑丝","黑","白")&amp;E451,经纬!A:N,14,FALSE)*(I451-AB451),"")</f>
        <v/>
      </c>
    </row>
    <row r="452" spans="4:27">
      <c r="D452" s="8" t="str">
        <f t="shared" si="29"/>
        <v/>
      </c>
      <c r="M452" s="24" t="str">
        <f t="array" ref="M452">LEFT(L452,MIN(FIND({"A","B","C"},MID(L452,2,LEN(L452))&amp;"ABC")))</f>
        <v/>
      </c>
      <c r="N452" s="24" t="str">
        <f t="array" ref="N452">SUBSTITUTE(L452,M452,"")</f>
        <v/>
      </c>
      <c r="W452" s="369" t="str">
        <f t="shared" si="31"/>
        <v/>
      </c>
      <c r="X452" s="258" t="str">
        <f t="shared" si="28"/>
        <v/>
      </c>
      <c r="Y452" s="36" t="str">
        <f t="shared" si="30"/>
        <v/>
      </c>
      <c r="Z452" s="340" t="str">
        <f>IF(AND(C452&gt;0,D452&lt;&gt;"",S452=""),VLOOKUP(A452&amp;IF(H452="黑丝","黑","白")&amp;E452,经纬!A:M,13,FALSE)*(I452-AB452),"")</f>
        <v/>
      </c>
      <c r="AA452" s="340" t="str">
        <f>IF(AND(C452&gt;0,D452&lt;&gt;"",S452=""),VLOOKUP(A452&amp;IF(H452="黑丝","黑","白")&amp;E452,经纬!A:N,14,FALSE)*(I452-AB452),"")</f>
        <v/>
      </c>
    </row>
    <row r="453" spans="4:27">
      <c r="D453" s="8" t="str">
        <f t="shared" si="29"/>
        <v/>
      </c>
      <c r="M453" s="24" t="str">
        <f t="array" ref="M453">LEFT(L453,MIN(FIND({"A","B","C"},MID(L453,2,LEN(L453))&amp;"ABC")))</f>
        <v/>
      </c>
      <c r="N453" s="24" t="str">
        <f t="array" ref="N453">SUBSTITUTE(L453,M453,"")</f>
        <v/>
      </c>
      <c r="W453" s="369" t="str">
        <f t="shared" si="31"/>
        <v/>
      </c>
      <c r="X453" s="258" t="str">
        <f t="shared" si="28"/>
        <v/>
      </c>
      <c r="Y453" s="36" t="str">
        <f t="shared" si="30"/>
        <v/>
      </c>
      <c r="Z453" s="340" t="str">
        <f>IF(AND(C453&gt;0,D453&lt;&gt;"",S453=""),VLOOKUP(A453&amp;IF(H453="黑丝","黑","白")&amp;E453,经纬!A:M,13,FALSE)*(I453-AB453),"")</f>
        <v/>
      </c>
      <c r="AA453" s="340" t="str">
        <f>IF(AND(C453&gt;0,D453&lt;&gt;"",S453=""),VLOOKUP(A453&amp;IF(H453="黑丝","黑","白")&amp;E453,经纬!A:N,14,FALSE)*(I453-AB453),"")</f>
        <v/>
      </c>
    </row>
    <row r="454" spans="4:27">
      <c r="D454" s="8" t="str">
        <f t="shared" si="29"/>
        <v/>
      </c>
      <c r="M454" s="24" t="str">
        <f t="array" ref="M454">LEFT(L454,MIN(FIND({"A","B","C"},MID(L454,2,LEN(L454))&amp;"ABC")))</f>
        <v/>
      </c>
      <c r="N454" s="24" t="str">
        <f t="array" ref="N454">SUBSTITUTE(L454,M454,"")</f>
        <v/>
      </c>
      <c r="W454" s="369" t="str">
        <f t="shared" si="31"/>
        <v/>
      </c>
      <c r="X454" s="258" t="str">
        <f t="shared" si="28"/>
        <v/>
      </c>
      <c r="Y454" s="36" t="str">
        <f t="shared" si="30"/>
        <v/>
      </c>
      <c r="Z454" s="340" t="str">
        <f>IF(AND(C454&gt;0,D454&lt;&gt;"",S454=""),VLOOKUP(A454&amp;IF(H454="黑丝","黑","白")&amp;E454,经纬!A:M,13,FALSE)*(I454-AB454),"")</f>
        <v/>
      </c>
      <c r="AA454" s="340" t="str">
        <f>IF(AND(C454&gt;0,D454&lt;&gt;"",S454=""),VLOOKUP(A454&amp;IF(H454="黑丝","黑","白")&amp;E454,经纬!A:N,14,FALSE)*(I454-AB454),"")</f>
        <v/>
      </c>
    </row>
    <row r="455" spans="4:27">
      <c r="D455" s="8" t="str">
        <f t="shared" si="29"/>
        <v/>
      </c>
      <c r="M455" s="24" t="str">
        <f t="array" ref="M455">LEFT(L455,MIN(FIND({"A","B","C"},MID(L455,2,LEN(L455))&amp;"ABC")))</f>
        <v/>
      </c>
      <c r="N455" s="24" t="str">
        <f t="array" ref="N455">SUBSTITUTE(L455,M455,"")</f>
        <v/>
      </c>
      <c r="W455" s="369" t="str">
        <f t="shared" si="31"/>
        <v/>
      </c>
      <c r="X455" s="258" t="str">
        <f t="shared" si="28"/>
        <v/>
      </c>
      <c r="Y455" s="36" t="str">
        <f t="shared" si="30"/>
        <v/>
      </c>
      <c r="Z455" s="340" t="str">
        <f>IF(AND(C455&gt;0,D455&lt;&gt;"",S455=""),VLOOKUP(A455&amp;IF(H455="黑丝","黑","白")&amp;E455,经纬!A:M,13,FALSE)*(I455-AB455),"")</f>
        <v/>
      </c>
      <c r="AA455" s="340" t="str">
        <f>IF(AND(C455&gt;0,D455&lt;&gt;"",S455=""),VLOOKUP(A455&amp;IF(H455="黑丝","黑","白")&amp;E455,经纬!A:N,14,FALSE)*(I455-AB455),"")</f>
        <v/>
      </c>
    </row>
    <row r="456" spans="4:27">
      <c r="D456" s="8" t="str">
        <f t="shared" si="29"/>
        <v/>
      </c>
      <c r="M456" s="24" t="str">
        <f t="array" ref="M456">LEFT(L456,MIN(FIND({"A","B","C"},MID(L456,2,LEN(L456))&amp;"ABC")))</f>
        <v/>
      </c>
      <c r="N456" s="24" t="str">
        <f t="array" ref="N456">SUBSTITUTE(L456,M456,"")</f>
        <v/>
      </c>
      <c r="W456" s="369" t="str">
        <f t="shared" si="31"/>
        <v/>
      </c>
      <c r="X456" s="258" t="str">
        <f t="shared" si="28"/>
        <v/>
      </c>
      <c r="Y456" s="36" t="str">
        <f t="shared" si="30"/>
        <v/>
      </c>
      <c r="Z456" s="340" t="str">
        <f>IF(AND(C456&gt;0,D456&lt;&gt;"",S456=""),VLOOKUP(A456&amp;IF(H456="黑丝","黑","白")&amp;E456,经纬!A:M,13,FALSE)*(I456-AB456),"")</f>
        <v/>
      </c>
      <c r="AA456" s="340" t="str">
        <f>IF(AND(C456&gt;0,D456&lt;&gt;"",S456=""),VLOOKUP(A456&amp;IF(H456="黑丝","黑","白")&amp;E456,经纬!A:N,14,FALSE)*(I456-AB456),"")</f>
        <v/>
      </c>
    </row>
    <row r="457" spans="4:27">
      <c r="D457" s="8" t="str">
        <f t="shared" si="29"/>
        <v/>
      </c>
      <c r="M457" s="24" t="str">
        <f t="array" ref="M457">LEFT(L457,MIN(FIND({"A","B","C"},MID(L457,2,LEN(L457))&amp;"ABC")))</f>
        <v/>
      </c>
      <c r="N457" s="24" t="str">
        <f t="array" ref="N457">SUBSTITUTE(L457,M457,"")</f>
        <v/>
      </c>
      <c r="W457" s="369" t="str">
        <f t="shared" si="31"/>
        <v/>
      </c>
      <c r="X457" s="258" t="str">
        <f t="shared" si="28"/>
        <v/>
      </c>
      <c r="Y457" s="36" t="str">
        <f t="shared" si="30"/>
        <v/>
      </c>
      <c r="Z457" s="340" t="str">
        <f>IF(AND(C457&gt;0,D457&lt;&gt;"",S457=""),VLOOKUP(A457&amp;IF(H457="黑丝","黑","白")&amp;E457,经纬!A:M,13,FALSE)*(I457-AB457),"")</f>
        <v/>
      </c>
      <c r="AA457" s="340" t="str">
        <f>IF(AND(C457&gt;0,D457&lt;&gt;"",S457=""),VLOOKUP(A457&amp;IF(H457="黑丝","黑","白")&amp;E457,经纬!A:N,14,FALSE)*(I457-AB457),"")</f>
        <v/>
      </c>
    </row>
    <row r="458" spans="4:27">
      <c r="D458" s="8" t="str">
        <f t="shared" si="29"/>
        <v/>
      </c>
      <c r="M458" s="24" t="str">
        <f t="array" ref="M458">LEFT(L458,MIN(FIND({"A","B","C"},MID(L458,2,LEN(L458))&amp;"ABC")))</f>
        <v/>
      </c>
      <c r="N458" s="24" t="str">
        <f t="array" ref="N458">SUBSTITUTE(L458,M458,"")</f>
        <v/>
      </c>
      <c r="W458" s="369" t="str">
        <f t="shared" si="31"/>
        <v/>
      </c>
      <c r="X458" s="258" t="str">
        <f t="shared" si="28"/>
        <v/>
      </c>
      <c r="Y458" s="36" t="str">
        <f t="shared" si="30"/>
        <v/>
      </c>
      <c r="Z458" s="340" t="str">
        <f>IF(AND(C458&gt;0,D458&lt;&gt;"",S458=""),VLOOKUP(A458&amp;IF(H458="黑丝","黑","白")&amp;E458,经纬!A:M,13,FALSE)*(I458-AB458),"")</f>
        <v/>
      </c>
      <c r="AA458" s="340" t="str">
        <f>IF(AND(C458&gt;0,D458&lt;&gt;"",S458=""),VLOOKUP(A458&amp;IF(H458="黑丝","黑","白")&amp;E458,经纬!A:N,14,FALSE)*(I458-AB458),"")</f>
        <v/>
      </c>
    </row>
    <row r="459" spans="4:27">
      <c r="D459" s="8" t="str">
        <f t="shared" si="29"/>
        <v/>
      </c>
      <c r="M459" s="24" t="str">
        <f t="array" ref="M459">LEFT(L459,MIN(FIND({"A","B","C"},MID(L459,2,LEN(L459))&amp;"ABC")))</f>
        <v/>
      </c>
      <c r="N459" s="24" t="str">
        <f t="array" ref="N459">SUBSTITUTE(L459,M459,"")</f>
        <v/>
      </c>
      <c r="W459" s="369" t="str">
        <f t="shared" si="31"/>
        <v/>
      </c>
      <c r="X459" s="258" t="str">
        <f t="shared" si="28"/>
        <v/>
      </c>
      <c r="Y459" s="36" t="str">
        <f t="shared" si="30"/>
        <v/>
      </c>
      <c r="Z459" s="340" t="str">
        <f>IF(AND(C459&gt;0,D459&lt;&gt;"",S459=""),VLOOKUP(A459&amp;IF(H459="黑丝","黑","白")&amp;E459,经纬!A:M,13,FALSE)*(I459-AB459),"")</f>
        <v/>
      </c>
      <c r="AA459" s="340" t="str">
        <f>IF(AND(C459&gt;0,D459&lt;&gt;"",S459=""),VLOOKUP(A459&amp;IF(H459="黑丝","黑","白")&amp;E459,经纬!A:N,14,FALSE)*(I459-AB459),"")</f>
        <v/>
      </c>
    </row>
    <row r="460" spans="4:27">
      <c r="D460" s="8" t="str">
        <f t="shared" si="29"/>
        <v/>
      </c>
      <c r="M460" s="24" t="str">
        <f t="array" ref="M460">LEFT(L460,MIN(FIND({"A","B","C"},MID(L460,2,LEN(L460))&amp;"ABC")))</f>
        <v/>
      </c>
      <c r="N460" s="24" t="str">
        <f t="array" ref="N460">SUBSTITUTE(L460,M460,"")</f>
        <v/>
      </c>
      <c r="W460" s="369" t="str">
        <f t="shared" si="31"/>
        <v/>
      </c>
      <c r="X460" s="258" t="str">
        <f t="shared" si="28"/>
        <v/>
      </c>
      <c r="Y460" s="36" t="str">
        <f t="shared" si="30"/>
        <v/>
      </c>
      <c r="Z460" s="340" t="str">
        <f>IF(AND(C460&gt;0,D460&lt;&gt;"",S460=""),VLOOKUP(A460&amp;IF(H460="黑丝","黑","白")&amp;E460,经纬!A:M,13,FALSE)*(I460-AB460),"")</f>
        <v/>
      </c>
      <c r="AA460" s="340" t="str">
        <f>IF(AND(C460&gt;0,D460&lt;&gt;"",S460=""),VLOOKUP(A460&amp;IF(H460="黑丝","黑","白")&amp;E460,经纬!A:N,14,FALSE)*(I460-AB460),"")</f>
        <v/>
      </c>
    </row>
    <row r="461" spans="4:27">
      <c r="D461" s="8" t="str">
        <f t="shared" si="29"/>
        <v/>
      </c>
      <c r="M461" s="24" t="str">
        <f t="array" ref="M461">LEFT(L461,MIN(FIND({"A","B","C"},MID(L461,2,LEN(L461))&amp;"ABC")))</f>
        <v/>
      </c>
      <c r="N461" s="24" t="str">
        <f t="array" ref="N461">SUBSTITUTE(L461,M461,"")</f>
        <v/>
      </c>
      <c r="W461" s="369" t="str">
        <f t="shared" si="31"/>
        <v/>
      </c>
      <c r="X461" s="258" t="str">
        <f t="shared" si="28"/>
        <v/>
      </c>
      <c r="Y461" s="36" t="str">
        <f t="shared" si="30"/>
        <v/>
      </c>
      <c r="Z461" s="340" t="str">
        <f>IF(AND(C461&gt;0,D461&lt;&gt;"",S461=""),VLOOKUP(A461&amp;IF(H461="黑丝","黑","白")&amp;E461,经纬!A:M,13,FALSE)*(I461-AB461),"")</f>
        <v/>
      </c>
      <c r="AA461" s="340" t="str">
        <f>IF(AND(C461&gt;0,D461&lt;&gt;"",S461=""),VLOOKUP(A461&amp;IF(H461="黑丝","黑","白")&amp;E461,经纬!A:N,14,FALSE)*(I461-AB461),"")</f>
        <v/>
      </c>
    </row>
    <row r="462" spans="4:27">
      <c r="D462" s="8" t="str">
        <f t="shared" si="29"/>
        <v/>
      </c>
      <c r="M462" s="24" t="str">
        <f t="array" ref="M462">LEFT(L462,MIN(FIND({"A","B","C"},MID(L462,2,LEN(L462))&amp;"ABC")))</f>
        <v/>
      </c>
      <c r="N462" s="24" t="str">
        <f t="array" ref="N462">SUBSTITUTE(L462,M462,"")</f>
        <v/>
      </c>
      <c r="W462" s="369" t="str">
        <f t="shared" si="31"/>
        <v/>
      </c>
      <c r="X462" s="258" t="str">
        <f t="shared" si="28"/>
        <v/>
      </c>
      <c r="Y462" s="36" t="str">
        <f t="shared" si="30"/>
        <v/>
      </c>
      <c r="Z462" s="340" t="str">
        <f>IF(AND(C462&gt;0,D462&lt;&gt;"",S462=""),VLOOKUP(A462&amp;IF(H462="黑丝","黑","白")&amp;E462,经纬!A:M,13,FALSE)*(I462-AB462),"")</f>
        <v/>
      </c>
      <c r="AA462" s="340" t="str">
        <f>IF(AND(C462&gt;0,D462&lt;&gt;"",S462=""),VLOOKUP(A462&amp;IF(H462="黑丝","黑","白")&amp;E462,经纬!A:N,14,FALSE)*(I462-AB462),"")</f>
        <v/>
      </c>
    </row>
    <row r="463" spans="4:27">
      <c r="D463" s="8" t="str">
        <f t="shared" si="29"/>
        <v/>
      </c>
      <c r="M463" s="24" t="str">
        <f t="array" ref="M463">LEFT(L463,MIN(FIND({"A","B","C"},MID(L463,2,LEN(L463))&amp;"ABC")))</f>
        <v/>
      </c>
      <c r="N463" s="24" t="str">
        <f t="array" ref="N463">SUBSTITUTE(L463,M463,"")</f>
        <v/>
      </c>
      <c r="W463" s="369" t="str">
        <f t="shared" si="31"/>
        <v/>
      </c>
      <c r="X463" s="258" t="str">
        <f t="shared" si="28"/>
        <v/>
      </c>
      <c r="Y463" s="36" t="str">
        <f t="shared" si="30"/>
        <v/>
      </c>
      <c r="Z463" s="340" t="str">
        <f>IF(AND(C463&gt;0,D463&lt;&gt;"",S463=""),VLOOKUP(A463&amp;IF(H463="黑丝","黑","白")&amp;E463,经纬!A:M,13,FALSE)*(I463-AB463),"")</f>
        <v/>
      </c>
      <c r="AA463" s="340" t="str">
        <f>IF(AND(C463&gt;0,D463&lt;&gt;"",S463=""),VLOOKUP(A463&amp;IF(H463="黑丝","黑","白")&amp;E463,经纬!A:N,14,FALSE)*(I463-AB463),"")</f>
        <v/>
      </c>
    </row>
    <row r="464" spans="4:27">
      <c r="D464" s="8" t="str">
        <f t="shared" si="29"/>
        <v/>
      </c>
      <c r="M464" s="24" t="str">
        <f t="array" ref="M464">LEFT(L464,MIN(FIND({"A","B","C"},MID(L464,2,LEN(L464))&amp;"ABC")))</f>
        <v/>
      </c>
      <c r="N464" s="24" t="str">
        <f t="array" ref="N464">SUBSTITUTE(L464,M464,"")</f>
        <v/>
      </c>
      <c r="W464" s="369" t="str">
        <f t="shared" si="31"/>
        <v/>
      </c>
      <c r="X464" s="258" t="str">
        <f t="shared" si="28"/>
        <v/>
      </c>
      <c r="Y464" s="36" t="str">
        <f t="shared" si="30"/>
        <v/>
      </c>
      <c r="Z464" s="340" t="str">
        <f>IF(AND(C464&gt;0,D464&lt;&gt;"",S464=""),VLOOKUP(A464&amp;IF(H464="黑丝","黑","白")&amp;E464,经纬!A:M,13,FALSE)*(I464-AB464),"")</f>
        <v/>
      </c>
      <c r="AA464" s="340" t="str">
        <f>IF(AND(C464&gt;0,D464&lt;&gt;"",S464=""),VLOOKUP(A464&amp;IF(H464="黑丝","黑","白")&amp;E464,经纬!A:N,14,FALSE)*(I464-AB464),"")</f>
        <v/>
      </c>
    </row>
    <row r="465" spans="4:27">
      <c r="D465" s="8" t="str">
        <f t="shared" si="29"/>
        <v/>
      </c>
      <c r="M465" s="24" t="str">
        <f t="array" ref="M465">LEFT(L465,MIN(FIND({"A","B","C"},MID(L465,2,LEN(L465))&amp;"ABC")))</f>
        <v/>
      </c>
      <c r="N465" s="24" t="str">
        <f t="array" ref="N465">SUBSTITUTE(L465,M465,"")</f>
        <v/>
      </c>
      <c r="W465" s="369" t="str">
        <f t="shared" si="31"/>
        <v/>
      </c>
      <c r="X465" s="258" t="str">
        <f t="shared" si="28"/>
        <v/>
      </c>
      <c r="Y465" s="36" t="str">
        <f t="shared" si="30"/>
        <v/>
      </c>
      <c r="Z465" s="340" t="str">
        <f>IF(AND(C465&gt;0,D465&lt;&gt;"",S465=""),VLOOKUP(A465&amp;IF(H465="黑丝","黑","白")&amp;E465,经纬!A:M,13,FALSE)*(I465-AB465),"")</f>
        <v/>
      </c>
      <c r="AA465" s="340" t="str">
        <f>IF(AND(C465&gt;0,D465&lt;&gt;"",S465=""),VLOOKUP(A465&amp;IF(H465="黑丝","黑","白")&amp;E465,经纬!A:N,14,FALSE)*(I465-AB465),"")</f>
        <v/>
      </c>
    </row>
    <row r="466" spans="4:27">
      <c r="D466" s="8" t="str">
        <f t="shared" si="29"/>
        <v/>
      </c>
      <c r="M466" s="24" t="str">
        <f t="array" ref="M466">LEFT(L466,MIN(FIND({"A","B","C"},MID(L466,2,LEN(L466))&amp;"ABC")))</f>
        <v/>
      </c>
      <c r="N466" s="24" t="str">
        <f t="array" ref="N466">SUBSTITUTE(L466,M466,"")</f>
        <v/>
      </c>
      <c r="W466" s="369" t="str">
        <f t="shared" si="31"/>
        <v/>
      </c>
      <c r="X466" s="258" t="str">
        <f t="shared" si="28"/>
        <v/>
      </c>
      <c r="Y466" s="36" t="str">
        <f t="shared" si="30"/>
        <v/>
      </c>
      <c r="Z466" s="340" t="str">
        <f>IF(AND(C466&gt;0,D466&lt;&gt;"",S466=""),VLOOKUP(A466&amp;IF(H466="黑丝","黑","白")&amp;E466,经纬!A:M,13,FALSE)*(I466-AB466),"")</f>
        <v/>
      </c>
      <c r="AA466" s="340" t="str">
        <f>IF(AND(C466&gt;0,D466&lt;&gt;"",S466=""),VLOOKUP(A466&amp;IF(H466="黑丝","黑","白")&amp;E466,经纬!A:N,14,FALSE)*(I466-AB466),"")</f>
        <v/>
      </c>
    </row>
    <row r="467" spans="4:27">
      <c r="D467" s="8" t="str">
        <f t="shared" si="29"/>
        <v/>
      </c>
      <c r="M467" s="24" t="str">
        <f t="array" ref="M467">LEFT(L467,MIN(FIND({"A","B","C"},MID(L467,2,LEN(L467))&amp;"ABC")))</f>
        <v/>
      </c>
      <c r="N467" s="24" t="str">
        <f t="array" ref="N467">SUBSTITUTE(L467,M467,"")</f>
        <v/>
      </c>
      <c r="W467" s="369" t="str">
        <f t="shared" si="31"/>
        <v/>
      </c>
      <c r="X467" s="258" t="str">
        <f t="shared" si="28"/>
        <v/>
      </c>
      <c r="Y467" s="36" t="str">
        <f t="shared" si="30"/>
        <v/>
      </c>
      <c r="Z467" s="340" t="str">
        <f>IF(AND(C467&gt;0,D467&lt;&gt;"",S467=""),VLOOKUP(A467&amp;IF(H467="黑丝","黑","白")&amp;E467,经纬!A:M,13,FALSE)*(I467-AB467),"")</f>
        <v/>
      </c>
      <c r="AA467" s="340" t="str">
        <f>IF(AND(C467&gt;0,D467&lt;&gt;"",S467=""),VLOOKUP(A467&amp;IF(H467="黑丝","黑","白")&amp;E467,经纬!A:N,14,FALSE)*(I467-AB467),"")</f>
        <v/>
      </c>
    </row>
    <row r="468" spans="4:27">
      <c r="D468" s="8" t="str">
        <f t="shared" si="29"/>
        <v/>
      </c>
      <c r="M468" s="24" t="str">
        <f t="array" ref="M468">LEFT(L468,MIN(FIND({"A","B","C"},MID(L468,2,LEN(L468))&amp;"ABC")))</f>
        <v/>
      </c>
      <c r="N468" s="24" t="str">
        <f t="array" ref="N468">SUBSTITUTE(L468,M468,"")</f>
        <v/>
      </c>
      <c r="W468" s="369" t="str">
        <f t="shared" si="31"/>
        <v/>
      </c>
      <c r="X468" s="258" t="str">
        <f t="shared" si="28"/>
        <v/>
      </c>
      <c r="Y468" s="36" t="str">
        <f t="shared" si="30"/>
        <v/>
      </c>
      <c r="Z468" s="340" t="str">
        <f>IF(AND(C468&gt;0,D468&lt;&gt;"",S468=""),VLOOKUP(A468&amp;IF(H468="黑丝","黑","白")&amp;E468,经纬!A:M,13,FALSE)*(I468-AB468),"")</f>
        <v/>
      </c>
      <c r="AA468" s="340" t="str">
        <f>IF(AND(C468&gt;0,D468&lt;&gt;"",S468=""),VLOOKUP(A468&amp;IF(H468="黑丝","黑","白")&amp;E468,经纬!A:N,14,FALSE)*(I468-AB468),"")</f>
        <v/>
      </c>
    </row>
    <row r="469" spans="4:27">
      <c r="D469" s="8" t="str">
        <f t="shared" si="29"/>
        <v/>
      </c>
      <c r="M469" s="24" t="str">
        <f t="array" ref="M469">LEFT(L469,MIN(FIND({"A","B","C"},MID(L469,2,LEN(L469))&amp;"ABC")))</f>
        <v/>
      </c>
      <c r="N469" s="24" t="str">
        <f t="array" ref="N469">SUBSTITUTE(L469,M469,"")</f>
        <v/>
      </c>
      <c r="W469" s="369" t="str">
        <f t="shared" si="31"/>
        <v/>
      </c>
      <c r="X469" s="258" t="str">
        <f t="shared" si="28"/>
        <v/>
      </c>
      <c r="Y469" s="36" t="str">
        <f t="shared" si="30"/>
        <v/>
      </c>
      <c r="Z469" s="340" t="str">
        <f>IF(AND(C469&gt;0,D469&lt;&gt;"",S469=""),VLOOKUP(A469&amp;IF(H469="黑丝","黑","白")&amp;E469,经纬!A:M,13,FALSE)*(I469-AB469),"")</f>
        <v/>
      </c>
      <c r="AA469" s="340" t="str">
        <f>IF(AND(C469&gt;0,D469&lt;&gt;"",S469=""),VLOOKUP(A469&amp;IF(H469="黑丝","黑","白")&amp;E469,经纬!A:N,14,FALSE)*(I469-AB469),"")</f>
        <v/>
      </c>
    </row>
    <row r="470" spans="4:27">
      <c r="D470" s="8" t="str">
        <f t="shared" si="29"/>
        <v/>
      </c>
      <c r="M470" s="24" t="str">
        <f t="array" ref="M470">LEFT(L470,MIN(FIND({"A","B","C"},MID(L470,2,LEN(L470))&amp;"ABC")))</f>
        <v/>
      </c>
      <c r="N470" s="24" t="str">
        <f t="array" ref="N470">SUBSTITUTE(L470,M470,"")</f>
        <v/>
      </c>
      <c r="W470" s="369" t="str">
        <f t="shared" si="31"/>
        <v/>
      </c>
      <c r="X470" s="258" t="str">
        <f t="shared" si="28"/>
        <v/>
      </c>
      <c r="Y470" s="36" t="str">
        <f t="shared" si="30"/>
        <v/>
      </c>
      <c r="Z470" s="340" t="str">
        <f>IF(AND(C470&gt;0,D470&lt;&gt;"",S470=""),VLOOKUP(A470&amp;IF(H470="黑丝","黑","白")&amp;E470,经纬!A:M,13,FALSE)*(I470-AB470),"")</f>
        <v/>
      </c>
      <c r="AA470" s="340" t="str">
        <f>IF(AND(C470&gt;0,D470&lt;&gt;"",S470=""),VLOOKUP(A470&amp;IF(H470="黑丝","黑","白")&amp;E470,经纬!A:N,14,FALSE)*(I470-AB470),"")</f>
        <v/>
      </c>
    </row>
    <row r="471" spans="4:27">
      <c r="D471" s="8" t="str">
        <f t="shared" si="29"/>
        <v/>
      </c>
      <c r="M471" s="24" t="str">
        <f t="array" ref="M471">LEFT(L471,MIN(FIND({"A","B","C"},MID(L471,2,LEN(L471))&amp;"ABC")))</f>
        <v/>
      </c>
      <c r="N471" s="24" t="str">
        <f t="array" ref="N471">SUBSTITUTE(L471,M471,"")</f>
        <v/>
      </c>
      <c r="W471" s="369" t="str">
        <f t="shared" si="31"/>
        <v/>
      </c>
      <c r="X471" s="258" t="str">
        <f t="shared" si="28"/>
        <v/>
      </c>
      <c r="Y471" s="36" t="str">
        <f t="shared" si="30"/>
        <v/>
      </c>
      <c r="Z471" s="340" t="str">
        <f>IF(AND(C471&gt;0,D471&lt;&gt;"",S471=""),VLOOKUP(A471&amp;IF(H471="黑丝","黑","白")&amp;E471,经纬!A:M,13,FALSE)*(I471-AB471),"")</f>
        <v/>
      </c>
      <c r="AA471" s="340" t="str">
        <f>IF(AND(C471&gt;0,D471&lt;&gt;"",S471=""),VLOOKUP(A471&amp;IF(H471="黑丝","黑","白")&amp;E471,经纬!A:N,14,FALSE)*(I471-AB471),"")</f>
        <v/>
      </c>
    </row>
    <row r="472" spans="4:27">
      <c r="D472" s="8" t="str">
        <f t="shared" si="29"/>
        <v/>
      </c>
      <c r="M472" s="24" t="str">
        <f t="array" ref="M472">LEFT(L472,MIN(FIND({"A","B","C"},MID(L472,2,LEN(L472))&amp;"ABC")))</f>
        <v/>
      </c>
      <c r="N472" s="24" t="str">
        <f t="array" ref="N472">SUBSTITUTE(L472,M472,"")</f>
        <v/>
      </c>
      <c r="W472" s="369" t="str">
        <f t="shared" si="31"/>
        <v/>
      </c>
      <c r="X472" s="258" t="str">
        <f t="shared" si="28"/>
        <v/>
      </c>
      <c r="Y472" s="36" t="str">
        <f t="shared" si="30"/>
        <v/>
      </c>
      <c r="Z472" s="340" t="str">
        <f>IF(AND(C472&gt;0,D472&lt;&gt;"",S472=""),VLOOKUP(A472&amp;IF(H472="黑丝","黑","白")&amp;E472,经纬!A:M,13,FALSE)*(I472-AB472),"")</f>
        <v/>
      </c>
      <c r="AA472" s="340" t="str">
        <f>IF(AND(C472&gt;0,D472&lt;&gt;"",S472=""),VLOOKUP(A472&amp;IF(H472="黑丝","黑","白")&amp;E472,经纬!A:N,14,FALSE)*(I472-AB472),"")</f>
        <v/>
      </c>
    </row>
    <row r="473" spans="4:27">
      <c r="D473" s="8" t="str">
        <f t="shared" si="29"/>
        <v/>
      </c>
      <c r="M473" s="24" t="str">
        <f t="array" ref="M473">LEFT(L473,MIN(FIND({"A","B","C"},MID(L473,2,LEN(L473))&amp;"ABC")))</f>
        <v/>
      </c>
      <c r="N473" s="24" t="str">
        <f t="array" ref="N473">SUBSTITUTE(L473,M473,"")</f>
        <v/>
      </c>
      <c r="W473" s="369" t="str">
        <f t="shared" si="31"/>
        <v/>
      </c>
      <c r="X473" s="258" t="str">
        <f t="shared" si="28"/>
        <v/>
      </c>
      <c r="Y473" s="36" t="str">
        <f t="shared" si="30"/>
        <v/>
      </c>
      <c r="Z473" s="340" t="str">
        <f>IF(AND(C473&gt;0,D473&lt;&gt;"",S473=""),VLOOKUP(A473&amp;IF(H473="黑丝","黑","白")&amp;E473,经纬!A:M,13,FALSE)*(I473-AB473),"")</f>
        <v/>
      </c>
      <c r="AA473" s="340" t="str">
        <f>IF(AND(C473&gt;0,D473&lt;&gt;"",S473=""),VLOOKUP(A473&amp;IF(H473="黑丝","黑","白")&amp;E473,经纬!A:N,14,FALSE)*(I473-AB473),"")</f>
        <v/>
      </c>
    </row>
    <row r="474" spans="4:27">
      <c r="D474" s="8" t="str">
        <f t="shared" si="29"/>
        <v/>
      </c>
      <c r="M474" s="24" t="str">
        <f t="array" ref="M474">LEFT(L474,MIN(FIND({"A","B","C"},MID(L474,2,LEN(L474))&amp;"ABC")))</f>
        <v/>
      </c>
      <c r="N474" s="24" t="str">
        <f t="array" ref="N474">SUBSTITUTE(L474,M474,"")</f>
        <v/>
      </c>
      <c r="W474" s="369" t="str">
        <f t="shared" si="31"/>
        <v/>
      </c>
      <c r="X474" s="258" t="str">
        <f t="shared" si="28"/>
        <v/>
      </c>
      <c r="Y474" s="36" t="str">
        <f t="shared" si="30"/>
        <v/>
      </c>
      <c r="Z474" s="340" t="str">
        <f>IF(AND(C474&gt;0,D474&lt;&gt;"",S474=""),VLOOKUP(A474&amp;IF(H474="黑丝","黑","白")&amp;E474,经纬!A:M,13,FALSE)*(I474-AB474),"")</f>
        <v/>
      </c>
      <c r="AA474" s="340" t="str">
        <f>IF(AND(C474&gt;0,D474&lt;&gt;"",S474=""),VLOOKUP(A474&amp;IF(H474="黑丝","黑","白")&amp;E474,经纬!A:N,14,FALSE)*(I474-AB474),"")</f>
        <v/>
      </c>
    </row>
    <row r="475" spans="4:27">
      <c r="D475" s="8" t="str">
        <f t="shared" si="29"/>
        <v/>
      </c>
      <c r="M475" s="24" t="str">
        <f t="array" ref="M475">LEFT(L475,MIN(FIND({"A","B","C"},MID(L475,2,LEN(L475))&amp;"ABC")))</f>
        <v/>
      </c>
      <c r="N475" s="24" t="str">
        <f t="array" ref="N475">SUBSTITUTE(L475,M475,"")</f>
        <v/>
      </c>
      <c r="W475" s="369" t="str">
        <f t="shared" si="31"/>
        <v/>
      </c>
      <c r="X475" s="258" t="str">
        <f t="shared" si="28"/>
        <v/>
      </c>
      <c r="Y475" s="36" t="str">
        <f t="shared" si="30"/>
        <v/>
      </c>
      <c r="Z475" s="340" t="str">
        <f>IF(AND(C475&gt;0,D475&lt;&gt;"",S475=""),VLOOKUP(A475&amp;IF(H475="黑丝","黑","白")&amp;E475,经纬!A:M,13,FALSE)*(I475-AB475),"")</f>
        <v/>
      </c>
      <c r="AA475" s="340" t="str">
        <f>IF(AND(C475&gt;0,D475&lt;&gt;"",S475=""),VLOOKUP(A475&amp;IF(H475="黑丝","黑","白")&amp;E475,经纬!A:N,14,FALSE)*(I475-AB475),"")</f>
        <v/>
      </c>
    </row>
    <row r="476" spans="4:27">
      <c r="D476" s="8" t="str">
        <f t="shared" si="29"/>
        <v/>
      </c>
      <c r="M476" s="24" t="str">
        <f t="array" ref="M476">LEFT(L476,MIN(FIND({"A","B","C"},MID(L476,2,LEN(L476))&amp;"ABC")))</f>
        <v/>
      </c>
      <c r="N476" s="24" t="str">
        <f t="array" ref="N476">SUBSTITUTE(L476,M476,"")</f>
        <v/>
      </c>
      <c r="W476" s="369" t="str">
        <f t="shared" si="31"/>
        <v/>
      </c>
      <c r="X476" s="258" t="str">
        <f t="shared" ref="X476:X539" si="32">IF(B476="","",IF(S476&lt;&gt;"","",IF(AND(Z476&lt;&gt;"",AA476&lt;&gt;""),SUM(Z476:AA476),IF(AB476&lt;&gt;"",(I476/((1/((G476+2)/100*K476/1000))*0.9144)/IF(H476="黑丝",22,20)-AB476)*(IF(H476="黑丝",22,20)),I476/((1/((G476+2)/100*K476/1000))*0.9144)))))</f>
        <v/>
      </c>
      <c r="Y476" s="36" t="str">
        <f t="shared" si="30"/>
        <v/>
      </c>
      <c r="Z476" s="340" t="str">
        <f>IF(AND(C476&gt;0,D476&lt;&gt;"",S476=""),VLOOKUP(A476&amp;IF(H476="黑丝","黑","白")&amp;E476,经纬!A:M,13,FALSE)*(I476-AB476),"")</f>
        <v/>
      </c>
      <c r="AA476" s="340" t="str">
        <f>IF(AND(C476&gt;0,D476&lt;&gt;"",S476=""),VLOOKUP(A476&amp;IF(H476="黑丝","黑","白")&amp;E476,经纬!A:N,14,FALSE)*(I476-AB476),"")</f>
        <v/>
      </c>
    </row>
    <row r="477" spans="4:27">
      <c r="D477" s="8" t="str">
        <f t="shared" si="29"/>
        <v/>
      </c>
      <c r="M477" s="24" t="str">
        <f t="array" ref="M477">LEFT(L477,MIN(FIND({"A","B","C"},MID(L477,2,LEN(L477))&amp;"ABC")))</f>
        <v/>
      </c>
      <c r="N477" s="24" t="str">
        <f t="array" ref="N477">SUBSTITUTE(L477,M477,"")</f>
        <v/>
      </c>
      <c r="W477" s="369" t="str">
        <f t="shared" si="31"/>
        <v/>
      </c>
      <c r="X477" s="258" t="str">
        <f t="shared" si="32"/>
        <v/>
      </c>
      <c r="Y477" s="36" t="str">
        <f t="shared" si="30"/>
        <v/>
      </c>
      <c r="Z477" s="340" t="str">
        <f>IF(AND(C477&gt;0,D477&lt;&gt;"",S477=""),VLOOKUP(A477&amp;IF(H477="黑丝","黑","白")&amp;E477,经纬!A:M,13,FALSE)*(I477-AB477),"")</f>
        <v/>
      </c>
      <c r="AA477" s="340" t="str">
        <f>IF(AND(C477&gt;0,D477&lt;&gt;"",S477=""),VLOOKUP(A477&amp;IF(H477="黑丝","黑","白")&amp;E477,经纬!A:N,14,FALSE)*(I477-AB477),"")</f>
        <v/>
      </c>
    </row>
    <row r="478" spans="4:27">
      <c r="D478" s="8" t="str">
        <f t="shared" si="29"/>
        <v/>
      </c>
      <c r="M478" s="24" t="str">
        <f t="array" ref="M478">LEFT(L478,MIN(FIND({"A","B","C"},MID(L478,2,LEN(L478))&amp;"ABC")))</f>
        <v/>
      </c>
      <c r="N478" s="24" t="str">
        <f t="array" ref="N478">SUBSTITUTE(L478,M478,"")</f>
        <v/>
      </c>
      <c r="W478" s="369" t="str">
        <f t="shared" si="31"/>
        <v/>
      </c>
      <c r="X478" s="258" t="str">
        <f t="shared" si="32"/>
        <v/>
      </c>
      <c r="Y478" s="36" t="str">
        <f t="shared" si="30"/>
        <v/>
      </c>
      <c r="Z478" s="340" t="str">
        <f>IF(AND(C478&gt;0,D478&lt;&gt;"",S478=""),VLOOKUP(A478&amp;IF(H478="黑丝","黑","白")&amp;E478,经纬!A:M,13,FALSE)*(I478-AB478),"")</f>
        <v/>
      </c>
      <c r="AA478" s="340" t="str">
        <f>IF(AND(C478&gt;0,D478&lt;&gt;"",S478=""),VLOOKUP(A478&amp;IF(H478="黑丝","黑","白")&amp;E478,经纬!A:N,14,FALSE)*(I478-AB478),"")</f>
        <v/>
      </c>
    </row>
    <row r="479" spans="4:27">
      <c r="D479" s="8" t="str">
        <f t="shared" si="29"/>
        <v/>
      </c>
      <c r="M479" s="24" t="str">
        <f t="array" ref="M479">LEFT(L479,MIN(FIND({"A","B","C"},MID(L479,2,LEN(L479))&amp;"ABC")))</f>
        <v/>
      </c>
      <c r="N479" s="24" t="str">
        <f t="array" ref="N479">SUBSTITUTE(L479,M479,"")</f>
        <v/>
      </c>
      <c r="W479" s="369" t="str">
        <f t="shared" si="31"/>
        <v/>
      </c>
      <c r="X479" s="258" t="str">
        <f t="shared" si="32"/>
        <v/>
      </c>
      <c r="Y479" s="36" t="str">
        <f t="shared" si="30"/>
        <v/>
      </c>
      <c r="Z479" s="340" t="str">
        <f>IF(AND(C479&gt;0,D479&lt;&gt;"",S479=""),VLOOKUP(A479&amp;IF(H479="黑丝","黑","白")&amp;E479,经纬!A:M,13,FALSE)*(I479-AB479),"")</f>
        <v/>
      </c>
      <c r="AA479" s="340" t="str">
        <f>IF(AND(C479&gt;0,D479&lt;&gt;"",S479=""),VLOOKUP(A479&amp;IF(H479="黑丝","黑","白")&amp;E479,经纬!A:N,14,FALSE)*(I479-AB479),"")</f>
        <v/>
      </c>
    </row>
    <row r="480" spans="4:27">
      <c r="D480" s="8" t="str">
        <f t="shared" si="29"/>
        <v/>
      </c>
      <c r="M480" s="24" t="str">
        <f t="array" ref="M480">LEFT(L480,MIN(FIND({"A","B","C"},MID(L480,2,LEN(L480))&amp;"ABC")))</f>
        <v/>
      </c>
      <c r="N480" s="24" t="str">
        <f t="array" ref="N480">SUBSTITUTE(L480,M480,"")</f>
        <v/>
      </c>
      <c r="W480" s="369" t="str">
        <f t="shared" si="31"/>
        <v/>
      </c>
      <c r="X480" s="258" t="str">
        <f t="shared" si="32"/>
        <v/>
      </c>
      <c r="Y480" s="36" t="str">
        <f t="shared" si="30"/>
        <v/>
      </c>
      <c r="Z480" s="340" t="str">
        <f>IF(AND(C480&gt;0,D480&lt;&gt;"",S480=""),VLOOKUP(A480&amp;IF(H480="黑丝","黑","白")&amp;E480,经纬!A:M,13,FALSE)*(I480-AB480),"")</f>
        <v/>
      </c>
      <c r="AA480" s="340" t="str">
        <f>IF(AND(C480&gt;0,D480&lt;&gt;"",S480=""),VLOOKUP(A480&amp;IF(H480="黑丝","黑","白")&amp;E480,经纬!A:N,14,FALSE)*(I480-AB480),"")</f>
        <v/>
      </c>
    </row>
    <row r="481" spans="4:27">
      <c r="D481" s="8" t="str">
        <f t="shared" ref="D481:D544" si="33">IF(ISERROR(FIND("*",B481)),"",RIGHT(B481,LEN(B481)-FIND("*",B481)))</f>
        <v/>
      </c>
      <c r="M481" s="24" t="str">
        <f t="array" ref="M481">LEFT(L481,MIN(FIND({"A","B","C"},MID(L481,2,LEN(L481))&amp;"ABC")))</f>
        <v/>
      </c>
      <c r="N481" s="24" t="str">
        <f t="array" ref="N481">SUBSTITUTE(L481,M481,"")</f>
        <v/>
      </c>
      <c r="W481" s="369" t="str">
        <f t="shared" si="31"/>
        <v/>
      </c>
      <c r="X481" s="258" t="str">
        <f t="shared" si="32"/>
        <v/>
      </c>
      <c r="Y481" s="36" t="str">
        <f t="shared" si="30"/>
        <v/>
      </c>
      <c r="Z481" s="340" t="str">
        <f>IF(AND(C481&gt;0,D481&lt;&gt;"",S481=""),VLOOKUP(A481&amp;IF(H481="黑丝","黑","白")&amp;E481,经纬!A:M,13,FALSE)*(I481-AB481),"")</f>
        <v/>
      </c>
      <c r="AA481" s="340" t="str">
        <f>IF(AND(C481&gt;0,D481&lt;&gt;"",S481=""),VLOOKUP(A481&amp;IF(H481="黑丝","黑","白")&amp;E481,经纬!A:N,14,FALSE)*(I481-AB481),"")</f>
        <v/>
      </c>
    </row>
    <row r="482" spans="4:27">
      <c r="D482" s="8" t="str">
        <f t="shared" si="33"/>
        <v/>
      </c>
      <c r="M482" s="24" t="str">
        <f t="array" ref="M482">LEFT(L482,MIN(FIND({"A","B","C"},MID(L482,2,LEN(L482))&amp;"ABC")))</f>
        <v/>
      </c>
      <c r="N482" s="24" t="str">
        <f t="array" ref="N482">SUBSTITUTE(L482,M482,"")</f>
        <v/>
      </c>
      <c r="W482" s="369" t="str">
        <f t="shared" si="31"/>
        <v/>
      </c>
      <c r="X482" s="258" t="str">
        <f t="shared" si="32"/>
        <v/>
      </c>
      <c r="Y482" s="36" t="str">
        <f t="shared" si="30"/>
        <v/>
      </c>
      <c r="Z482" s="340" t="str">
        <f>IF(AND(C482&gt;0,D482&lt;&gt;"",S482=""),VLOOKUP(A482&amp;IF(H482="黑丝","黑","白")&amp;E482,经纬!A:M,13,FALSE)*(I482-AB482),"")</f>
        <v/>
      </c>
      <c r="AA482" s="340" t="str">
        <f>IF(AND(C482&gt;0,D482&lt;&gt;"",S482=""),VLOOKUP(A482&amp;IF(H482="黑丝","黑","白")&amp;E482,经纬!A:N,14,FALSE)*(I482-AB482),"")</f>
        <v/>
      </c>
    </row>
    <row r="483" spans="4:27">
      <c r="D483" s="8" t="str">
        <f t="shared" si="33"/>
        <v/>
      </c>
      <c r="M483" s="24" t="str">
        <f t="array" ref="M483">LEFT(L483,MIN(FIND({"A","B","C"},MID(L483,2,LEN(L483))&amp;"ABC")))</f>
        <v/>
      </c>
      <c r="N483" s="24" t="str">
        <f t="array" ref="N483">SUBSTITUTE(L483,M483,"")</f>
        <v/>
      </c>
      <c r="W483" s="369" t="str">
        <f t="shared" si="31"/>
        <v/>
      </c>
      <c r="X483" s="258" t="str">
        <f t="shared" si="32"/>
        <v/>
      </c>
      <c r="Y483" s="36" t="str">
        <f t="shared" si="30"/>
        <v/>
      </c>
      <c r="Z483" s="340" t="str">
        <f>IF(AND(C483&gt;0,D483&lt;&gt;"",S483=""),VLOOKUP(A483&amp;IF(H483="黑丝","黑","白")&amp;E483,经纬!A:M,13,FALSE)*(I483-AB483),"")</f>
        <v/>
      </c>
      <c r="AA483" s="340" t="str">
        <f>IF(AND(C483&gt;0,D483&lt;&gt;"",S483=""),VLOOKUP(A483&amp;IF(H483="黑丝","黑","白")&amp;E483,经纬!A:N,14,FALSE)*(I483-AB483),"")</f>
        <v/>
      </c>
    </row>
    <row r="484" spans="4:27">
      <c r="D484" s="8" t="str">
        <f t="shared" si="33"/>
        <v/>
      </c>
      <c r="M484" s="24" t="str">
        <f t="array" ref="M484">LEFT(L484,MIN(FIND({"A","B","C"},MID(L484,2,LEN(L484))&amp;"ABC")))</f>
        <v/>
      </c>
      <c r="N484" s="24" t="str">
        <f t="array" ref="N484">SUBSTITUTE(L484,M484,"")</f>
        <v/>
      </c>
      <c r="W484" s="369" t="str">
        <f t="shared" si="31"/>
        <v/>
      </c>
      <c r="X484" s="258" t="str">
        <f t="shared" si="32"/>
        <v/>
      </c>
      <c r="Y484" s="36" t="str">
        <f t="shared" si="30"/>
        <v/>
      </c>
      <c r="Z484" s="340" t="str">
        <f>IF(AND(C484&gt;0,D484&lt;&gt;"",S484=""),VLOOKUP(A484&amp;IF(H484="黑丝","黑","白")&amp;E484,经纬!A:M,13,FALSE)*(I484-AB484),"")</f>
        <v/>
      </c>
      <c r="AA484" s="340" t="str">
        <f>IF(AND(C484&gt;0,D484&lt;&gt;"",S484=""),VLOOKUP(A484&amp;IF(H484="黑丝","黑","白")&amp;E484,经纬!A:N,14,FALSE)*(I484-AB484),"")</f>
        <v/>
      </c>
    </row>
    <row r="485" spans="4:27">
      <c r="D485" s="8" t="str">
        <f t="shared" si="33"/>
        <v/>
      </c>
      <c r="M485" s="24" t="str">
        <f t="array" ref="M485">LEFT(L485,MIN(FIND({"A","B","C"},MID(L485,2,LEN(L485))&amp;"ABC")))</f>
        <v/>
      </c>
      <c r="N485" s="24" t="str">
        <f t="array" ref="N485">SUBSTITUTE(L485,M485,"")</f>
        <v/>
      </c>
      <c r="W485" s="369" t="str">
        <f t="shared" si="31"/>
        <v/>
      </c>
      <c r="X485" s="258" t="str">
        <f t="shared" si="32"/>
        <v/>
      </c>
      <c r="Y485" s="36" t="str">
        <f t="shared" si="30"/>
        <v/>
      </c>
      <c r="Z485" s="340" t="str">
        <f>IF(AND(C485&gt;0,D485&lt;&gt;"",S485=""),VLOOKUP(A485&amp;IF(H485="黑丝","黑","白")&amp;E485,经纬!A:M,13,FALSE)*(I485-AB485),"")</f>
        <v/>
      </c>
      <c r="AA485" s="340" t="str">
        <f>IF(AND(C485&gt;0,D485&lt;&gt;"",S485=""),VLOOKUP(A485&amp;IF(H485="黑丝","黑","白")&amp;E485,经纬!A:N,14,FALSE)*(I485-AB485),"")</f>
        <v/>
      </c>
    </row>
    <row r="486" spans="4:27">
      <c r="D486" s="8" t="str">
        <f t="shared" si="33"/>
        <v/>
      </c>
      <c r="M486" s="24" t="str">
        <f t="array" ref="M486">LEFT(L486,MIN(FIND({"A","B","C"},MID(L486,2,LEN(L486))&amp;"ABC")))</f>
        <v/>
      </c>
      <c r="N486" s="24" t="str">
        <f t="array" ref="N486">SUBSTITUTE(L486,M486,"")</f>
        <v/>
      </c>
      <c r="W486" s="369" t="str">
        <f t="shared" si="31"/>
        <v/>
      </c>
      <c r="X486" s="258" t="str">
        <f t="shared" si="32"/>
        <v/>
      </c>
      <c r="Y486" s="36" t="str">
        <f t="shared" si="30"/>
        <v/>
      </c>
      <c r="Z486" s="340" t="str">
        <f>IF(AND(C486&gt;0,D486&lt;&gt;"",S486=""),VLOOKUP(A486&amp;IF(H486="黑丝","黑","白")&amp;E486,经纬!A:M,13,FALSE)*(I486-AB486),"")</f>
        <v/>
      </c>
      <c r="AA486" s="340" t="str">
        <f>IF(AND(C486&gt;0,D486&lt;&gt;"",S486=""),VLOOKUP(A486&amp;IF(H486="黑丝","黑","白")&amp;E486,经纬!A:N,14,FALSE)*(I486-AB486),"")</f>
        <v/>
      </c>
    </row>
    <row r="487" spans="4:27">
      <c r="D487" s="8" t="str">
        <f t="shared" si="33"/>
        <v/>
      </c>
      <c r="M487" s="24" t="str">
        <f t="array" ref="M487">LEFT(L487,MIN(FIND({"A","B","C"},MID(L487,2,LEN(L487))&amp;"ABC")))</f>
        <v/>
      </c>
      <c r="N487" s="24" t="str">
        <f t="array" ref="N487">SUBSTITUTE(L487,M487,"")</f>
        <v/>
      </c>
      <c r="W487" s="369" t="str">
        <f t="shared" si="31"/>
        <v/>
      </c>
      <c r="X487" s="258" t="str">
        <f t="shared" si="32"/>
        <v/>
      </c>
      <c r="Y487" s="36" t="str">
        <f t="shared" si="30"/>
        <v/>
      </c>
      <c r="Z487" s="340" t="str">
        <f>IF(AND(C487&gt;0,D487&lt;&gt;"",S487=""),VLOOKUP(A487&amp;IF(H487="黑丝","黑","白")&amp;E487,经纬!A:M,13,FALSE)*(I487-AB487),"")</f>
        <v/>
      </c>
      <c r="AA487" s="340" t="str">
        <f>IF(AND(C487&gt;0,D487&lt;&gt;"",S487=""),VLOOKUP(A487&amp;IF(H487="黑丝","黑","白")&amp;E487,经纬!A:N,14,FALSE)*(I487-AB487),"")</f>
        <v/>
      </c>
    </row>
    <row r="488" spans="4:27">
      <c r="D488" s="8" t="str">
        <f t="shared" si="33"/>
        <v/>
      </c>
      <c r="M488" s="24" t="str">
        <f t="array" ref="M488">LEFT(L488,MIN(FIND({"A","B","C"},MID(L488,2,LEN(L488))&amp;"ABC")))</f>
        <v/>
      </c>
      <c r="N488" s="24" t="str">
        <f t="array" ref="N488">SUBSTITUTE(L488,M488,"")</f>
        <v/>
      </c>
      <c r="W488" s="369" t="str">
        <f t="shared" si="31"/>
        <v/>
      </c>
      <c r="X488" s="258" t="str">
        <f t="shared" si="32"/>
        <v/>
      </c>
      <c r="Y488" s="36" t="str">
        <f t="shared" si="30"/>
        <v/>
      </c>
      <c r="Z488" s="340" t="str">
        <f>IF(AND(C488&gt;0,D488&lt;&gt;"",S488=""),VLOOKUP(A488&amp;IF(H488="黑丝","黑","白")&amp;E488,经纬!A:M,13,FALSE)*(I488-AB488),"")</f>
        <v/>
      </c>
      <c r="AA488" s="340" t="str">
        <f>IF(AND(C488&gt;0,D488&lt;&gt;"",S488=""),VLOOKUP(A488&amp;IF(H488="黑丝","黑","白")&amp;E488,经纬!A:N,14,FALSE)*(I488-AB488),"")</f>
        <v/>
      </c>
    </row>
    <row r="489" spans="4:27">
      <c r="D489" s="8" t="str">
        <f t="shared" si="33"/>
        <v/>
      </c>
      <c r="M489" s="24" t="str">
        <f t="array" ref="M489">LEFT(L489,MIN(FIND({"A","B","C"},MID(L489,2,LEN(L489))&amp;"ABC")))</f>
        <v/>
      </c>
      <c r="N489" s="24" t="str">
        <f t="array" ref="N489">SUBSTITUTE(L489,M489,"")</f>
        <v/>
      </c>
      <c r="W489" s="369" t="str">
        <f t="shared" si="31"/>
        <v/>
      </c>
      <c r="X489" s="258" t="str">
        <f t="shared" si="32"/>
        <v/>
      </c>
      <c r="Y489" s="36" t="str">
        <f t="shared" ref="Y489:Y552" si="34">IF(OR(B489="",D489&lt;&gt;""),"",IF(S489&lt;&gt;"","",I489/((1/((G489+2)/100*K489/1000))*0.9144)/IF(H489="黑丝",22,20)-AB489))</f>
        <v/>
      </c>
      <c r="Z489" s="340" t="str">
        <f>IF(AND(C489&gt;0,D489&lt;&gt;"",S489=""),VLOOKUP(A489&amp;IF(H489="黑丝","黑","白")&amp;E489,经纬!A:M,13,FALSE)*(I489-AB489),"")</f>
        <v/>
      </c>
      <c r="AA489" s="340" t="str">
        <f>IF(AND(C489&gt;0,D489&lt;&gt;"",S489=""),VLOOKUP(A489&amp;IF(H489="黑丝","黑","白")&amp;E489,经纬!A:N,14,FALSE)*(I489-AB489),"")</f>
        <v/>
      </c>
    </row>
    <row r="490" spans="4:27">
      <c r="D490" s="8" t="str">
        <f t="shared" si="33"/>
        <v/>
      </c>
      <c r="M490" s="24" t="str">
        <f t="array" ref="M490">LEFT(L490,MIN(FIND({"A","B","C"},MID(L490,2,LEN(L490))&amp;"ABC")))</f>
        <v/>
      </c>
      <c r="N490" s="24" t="str">
        <f t="array" ref="N490">SUBSTITUTE(L490,M490,"")</f>
        <v/>
      </c>
      <c r="W490" s="369" t="str">
        <f t="shared" si="31"/>
        <v/>
      </c>
      <c r="X490" s="258" t="str">
        <f t="shared" si="32"/>
        <v/>
      </c>
      <c r="Y490" s="36" t="str">
        <f t="shared" si="34"/>
        <v/>
      </c>
      <c r="Z490" s="340" t="str">
        <f>IF(AND(C490&gt;0,D490&lt;&gt;"",S490=""),VLOOKUP(A490&amp;IF(H490="黑丝","黑","白")&amp;E490,经纬!A:M,13,FALSE)*(I490-AB490),"")</f>
        <v/>
      </c>
      <c r="AA490" s="340" t="str">
        <f>IF(AND(C490&gt;0,D490&lt;&gt;"",S490=""),VLOOKUP(A490&amp;IF(H490="黑丝","黑","白")&amp;E490,经纬!A:N,14,FALSE)*(I490-AB490),"")</f>
        <v/>
      </c>
    </row>
    <row r="491" spans="4:27">
      <c r="D491" s="8" t="str">
        <f t="shared" si="33"/>
        <v/>
      </c>
      <c r="M491" s="24" t="str">
        <f t="array" ref="M491">LEFT(L491,MIN(FIND({"A","B","C"},MID(L491,2,LEN(L491))&amp;"ABC")))</f>
        <v/>
      </c>
      <c r="N491" s="24" t="str">
        <f t="array" ref="N491">SUBSTITUTE(L491,M491,"")</f>
        <v/>
      </c>
      <c r="W491" s="369" t="str">
        <f t="shared" si="31"/>
        <v/>
      </c>
      <c r="X491" s="258" t="str">
        <f t="shared" si="32"/>
        <v/>
      </c>
      <c r="Y491" s="36" t="str">
        <f t="shared" si="34"/>
        <v/>
      </c>
      <c r="Z491" s="340" t="str">
        <f>IF(AND(C491&gt;0,D491&lt;&gt;"",S491=""),VLOOKUP(A491&amp;IF(H491="黑丝","黑","白")&amp;E491,经纬!A:M,13,FALSE)*(I491-AB491),"")</f>
        <v/>
      </c>
      <c r="AA491" s="340" t="str">
        <f>IF(AND(C491&gt;0,D491&lt;&gt;"",S491=""),VLOOKUP(A491&amp;IF(H491="黑丝","黑","白")&amp;E491,经纬!A:N,14,FALSE)*(I491-AB491),"")</f>
        <v/>
      </c>
    </row>
    <row r="492" spans="4:27">
      <c r="D492" s="8" t="str">
        <f t="shared" si="33"/>
        <v/>
      </c>
      <c r="M492" s="24" t="str">
        <f t="array" ref="M492">LEFT(L492,MIN(FIND({"A","B","C"},MID(L492,2,LEN(L492))&amp;"ABC")))</f>
        <v/>
      </c>
      <c r="N492" s="24" t="str">
        <f t="array" ref="N492">SUBSTITUTE(L492,M492,"")</f>
        <v/>
      </c>
      <c r="W492" s="369" t="str">
        <f t="shared" si="31"/>
        <v/>
      </c>
      <c r="X492" s="258" t="str">
        <f t="shared" si="32"/>
        <v/>
      </c>
      <c r="Y492" s="36" t="str">
        <f t="shared" si="34"/>
        <v/>
      </c>
      <c r="Z492" s="340" t="str">
        <f>IF(AND(C492&gt;0,D492&lt;&gt;"",S492=""),VLOOKUP(A492&amp;IF(H492="黑丝","黑","白")&amp;E492,经纬!A:M,13,FALSE)*(I492-AB492),"")</f>
        <v/>
      </c>
      <c r="AA492" s="340" t="str">
        <f>IF(AND(C492&gt;0,D492&lt;&gt;"",S492=""),VLOOKUP(A492&amp;IF(H492="黑丝","黑","白")&amp;E492,经纬!A:N,14,FALSE)*(I492-AB492),"")</f>
        <v/>
      </c>
    </row>
    <row r="493" spans="4:27">
      <c r="D493" s="8" t="str">
        <f t="shared" si="33"/>
        <v/>
      </c>
      <c r="M493" s="24" t="str">
        <f t="array" ref="M493">LEFT(L493,MIN(FIND({"A","B","C"},MID(L493,2,LEN(L493))&amp;"ABC")))</f>
        <v/>
      </c>
      <c r="N493" s="24" t="str">
        <f t="array" ref="N493">SUBSTITUTE(L493,M493,"")</f>
        <v/>
      </c>
      <c r="W493" s="369" t="str">
        <f t="shared" si="31"/>
        <v/>
      </c>
      <c r="X493" s="258" t="str">
        <f t="shared" si="32"/>
        <v/>
      </c>
      <c r="Y493" s="36" t="str">
        <f t="shared" si="34"/>
        <v/>
      </c>
      <c r="Z493" s="340" t="str">
        <f>IF(AND(C493&gt;0,D493&lt;&gt;"",S493=""),VLOOKUP(A493&amp;IF(H493="黑丝","黑","白")&amp;E493,经纬!A:M,13,FALSE)*(I493-AB493),"")</f>
        <v/>
      </c>
      <c r="AA493" s="340" t="str">
        <f>IF(AND(C493&gt;0,D493&lt;&gt;"",S493=""),VLOOKUP(A493&amp;IF(H493="黑丝","黑","白")&amp;E493,经纬!A:N,14,FALSE)*(I493-AB493),"")</f>
        <v/>
      </c>
    </row>
    <row r="494" spans="4:27">
      <c r="D494" s="8" t="str">
        <f t="shared" si="33"/>
        <v/>
      </c>
      <c r="M494" s="24" t="str">
        <f t="array" ref="M494">LEFT(L494,MIN(FIND({"A","B","C"},MID(L494,2,LEN(L494))&amp;"ABC")))</f>
        <v/>
      </c>
      <c r="N494" s="24" t="str">
        <f t="array" ref="N494">SUBSTITUTE(L494,M494,"")</f>
        <v/>
      </c>
      <c r="W494" s="369" t="str">
        <f t="shared" si="31"/>
        <v/>
      </c>
      <c r="X494" s="258" t="str">
        <f t="shared" si="32"/>
        <v/>
      </c>
      <c r="Y494" s="36" t="str">
        <f t="shared" si="34"/>
        <v/>
      </c>
      <c r="Z494" s="340" t="str">
        <f>IF(AND(C494&gt;0,D494&lt;&gt;"",S494=""),VLOOKUP(A494&amp;IF(H494="黑丝","黑","白")&amp;E494,经纬!A:M,13,FALSE)*(I494-AB494),"")</f>
        <v/>
      </c>
      <c r="AA494" s="340" t="str">
        <f>IF(AND(C494&gt;0,D494&lt;&gt;"",S494=""),VLOOKUP(A494&amp;IF(H494="黑丝","黑","白")&amp;E494,经纬!A:N,14,FALSE)*(I494-AB494),"")</f>
        <v/>
      </c>
    </row>
    <row r="495" spans="4:27">
      <c r="D495" s="8" t="str">
        <f t="shared" si="33"/>
        <v/>
      </c>
      <c r="M495" s="24" t="str">
        <f t="array" ref="M495">LEFT(L495,MIN(FIND({"A","B","C"},MID(L495,2,LEN(L495))&amp;"ABC")))</f>
        <v/>
      </c>
      <c r="N495" s="24" t="str">
        <f t="array" ref="N495">SUBSTITUTE(L495,M495,"")</f>
        <v/>
      </c>
      <c r="W495" s="369" t="str">
        <f t="shared" si="31"/>
        <v/>
      </c>
      <c r="X495" s="258" t="str">
        <f t="shared" si="32"/>
        <v/>
      </c>
      <c r="Y495" s="36" t="str">
        <f t="shared" si="34"/>
        <v/>
      </c>
      <c r="Z495" s="340" t="str">
        <f>IF(AND(C495&gt;0,D495&lt;&gt;"",S495=""),VLOOKUP(A495&amp;IF(H495="黑丝","黑","白")&amp;E495,经纬!A:M,13,FALSE)*(I495-AB495),"")</f>
        <v/>
      </c>
      <c r="AA495" s="340" t="str">
        <f>IF(AND(C495&gt;0,D495&lt;&gt;"",S495=""),VLOOKUP(A495&amp;IF(H495="黑丝","黑","白")&amp;E495,经纬!A:N,14,FALSE)*(I495-AB495),"")</f>
        <v/>
      </c>
    </row>
    <row r="496" spans="4:27">
      <c r="D496" s="8" t="str">
        <f t="shared" si="33"/>
        <v/>
      </c>
      <c r="M496" s="24" t="str">
        <f t="array" ref="M496">LEFT(L496,MIN(FIND({"A","B","C"},MID(L496,2,LEN(L496))&amp;"ABC")))</f>
        <v/>
      </c>
      <c r="N496" s="24" t="str">
        <f t="array" ref="N496">SUBSTITUTE(L496,M496,"")</f>
        <v/>
      </c>
      <c r="W496" s="369" t="str">
        <f t="shared" si="31"/>
        <v/>
      </c>
      <c r="X496" s="258" t="str">
        <f t="shared" si="32"/>
        <v/>
      </c>
      <c r="Y496" s="36" t="str">
        <f t="shared" si="34"/>
        <v/>
      </c>
      <c r="Z496" s="340" t="str">
        <f>IF(AND(C496&gt;0,D496&lt;&gt;"",S496=""),VLOOKUP(A496&amp;IF(H496="黑丝","黑","白")&amp;E496,经纬!A:M,13,FALSE)*(I496-AB496),"")</f>
        <v/>
      </c>
      <c r="AA496" s="340" t="str">
        <f>IF(AND(C496&gt;0,D496&lt;&gt;"",S496=""),VLOOKUP(A496&amp;IF(H496="黑丝","黑","白")&amp;E496,经纬!A:N,14,FALSE)*(I496-AB496),"")</f>
        <v/>
      </c>
    </row>
    <row r="497" spans="4:27">
      <c r="D497" s="8" t="str">
        <f t="shared" si="33"/>
        <v/>
      </c>
      <c r="M497" s="24" t="str">
        <f t="array" ref="M497">LEFT(L497,MIN(FIND({"A","B","C"},MID(L497,2,LEN(L497))&amp;"ABC")))</f>
        <v/>
      </c>
      <c r="N497" s="24" t="str">
        <f t="array" ref="N497">SUBSTITUTE(L497,M497,"")</f>
        <v/>
      </c>
      <c r="W497" s="369" t="str">
        <f t="shared" si="31"/>
        <v/>
      </c>
      <c r="X497" s="258" t="str">
        <f t="shared" si="32"/>
        <v/>
      </c>
      <c r="Y497" s="36" t="str">
        <f t="shared" si="34"/>
        <v/>
      </c>
      <c r="Z497" s="340" t="str">
        <f>IF(AND(C497&gt;0,D497&lt;&gt;"",S497=""),VLOOKUP(A497&amp;IF(H497="黑丝","黑","白")&amp;E497,经纬!A:M,13,FALSE)*(I497-AB497),"")</f>
        <v/>
      </c>
      <c r="AA497" s="340" t="str">
        <f>IF(AND(C497&gt;0,D497&lt;&gt;"",S497=""),VLOOKUP(A497&amp;IF(H497="黑丝","黑","白")&amp;E497,经纬!A:N,14,FALSE)*(I497-AB497),"")</f>
        <v/>
      </c>
    </row>
    <row r="498" spans="4:27">
      <c r="D498" s="8" t="str">
        <f t="shared" si="33"/>
        <v/>
      </c>
      <c r="M498" s="24" t="str">
        <f t="array" ref="M498">LEFT(L498,MIN(FIND({"A","B","C"},MID(L498,2,LEN(L498))&amp;"ABC")))</f>
        <v/>
      </c>
      <c r="N498" s="24" t="str">
        <f t="array" ref="N498">SUBSTITUTE(L498,M498,"")</f>
        <v/>
      </c>
      <c r="W498" s="369" t="str">
        <f t="shared" si="31"/>
        <v/>
      </c>
      <c r="X498" s="258" t="str">
        <f t="shared" si="32"/>
        <v/>
      </c>
      <c r="Y498" s="36" t="str">
        <f t="shared" si="34"/>
        <v/>
      </c>
      <c r="Z498" s="340" t="str">
        <f>IF(AND(C498&gt;0,D498&lt;&gt;"",S498=""),VLOOKUP(A498&amp;IF(H498="黑丝","黑","白")&amp;E498,经纬!A:M,13,FALSE)*(I498-AB498),"")</f>
        <v/>
      </c>
      <c r="AA498" s="340" t="str">
        <f>IF(AND(C498&gt;0,D498&lt;&gt;"",S498=""),VLOOKUP(A498&amp;IF(H498="黑丝","黑","白")&amp;E498,经纬!A:N,14,FALSE)*(I498-AB498),"")</f>
        <v/>
      </c>
    </row>
    <row r="499" spans="4:27">
      <c r="D499" s="8" t="str">
        <f t="shared" si="33"/>
        <v/>
      </c>
      <c r="M499" s="24" t="str">
        <f t="array" ref="M499">LEFT(L499,MIN(FIND({"A","B","C"},MID(L499,2,LEN(L499))&amp;"ABC")))</f>
        <v/>
      </c>
      <c r="N499" s="24" t="str">
        <f t="array" ref="N499">SUBSTITUTE(L499,M499,"")</f>
        <v/>
      </c>
      <c r="W499" s="369" t="str">
        <f t="shared" si="31"/>
        <v/>
      </c>
      <c r="X499" s="258" t="str">
        <f t="shared" si="32"/>
        <v/>
      </c>
      <c r="Y499" s="36" t="str">
        <f t="shared" si="34"/>
        <v/>
      </c>
      <c r="Z499" s="340" t="str">
        <f>IF(AND(C499&gt;0,D499&lt;&gt;"",S499=""),VLOOKUP(A499&amp;IF(H499="黑丝","黑","白")&amp;E499,经纬!A:M,13,FALSE)*(I499-AB499),"")</f>
        <v/>
      </c>
      <c r="AA499" s="340" t="str">
        <f>IF(AND(C499&gt;0,D499&lt;&gt;"",S499=""),VLOOKUP(A499&amp;IF(H499="黑丝","黑","白")&amp;E499,经纬!A:N,14,FALSE)*(I499-AB499),"")</f>
        <v/>
      </c>
    </row>
    <row r="500" spans="4:27">
      <c r="D500" s="8" t="str">
        <f t="shared" si="33"/>
        <v/>
      </c>
      <c r="M500" s="24" t="str">
        <f t="array" ref="M500">LEFT(L500,MIN(FIND({"A","B","C"},MID(L500,2,LEN(L500))&amp;"ABC")))</f>
        <v/>
      </c>
      <c r="N500" s="24" t="str">
        <f t="array" ref="N500">SUBSTITUTE(L500,M500,"")</f>
        <v/>
      </c>
      <c r="W500" s="369" t="str">
        <f t="shared" si="31"/>
        <v/>
      </c>
      <c r="X500" s="258" t="str">
        <f t="shared" si="32"/>
        <v/>
      </c>
      <c r="Y500" s="36" t="str">
        <f t="shared" si="34"/>
        <v/>
      </c>
      <c r="Z500" s="340" t="str">
        <f>IF(AND(C500&gt;0,D500&lt;&gt;"",S500=""),VLOOKUP(A500&amp;IF(H500="黑丝","黑","白")&amp;E500,经纬!A:M,13,FALSE)*(I500-AB500),"")</f>
        <v/>
      </c>
      <c r="AA500" s="340" t="str">
        <f>IF(AND(C500&gt;0,D500&lt;&gt;"",S500=""),VLOOKUP(A500&amp;IF(H500="黑丝","黑","白")&amp;E500,经纬!A:N,14,FALSE)*(I500-AB500),"")</f>
        <v/>
      </c>
    </row>
    <row r="501" spans="4:27">
      <c r="D501" s="8" t="str">
        <f t="shared" si="33"/>
        <v/>
      </c>
      <c r="M501" s="24" t="str">
        <f t="array" ref="M501">LEFT(L501,MIN(FIND({"A","B","C"},MID(L501,2,LEN(L501))&amp;"ABC")))</f>
        <v/>
      </c>
      <c r="N501" s="24" t="str">
        <f t="array" ref="N501">SUBSTITUTE(L501,M501,"")</f>
        <v/>
      </c>
      <c r="W501" s="369" t="str">
        <f t="shared" si="31"/>
        <v/>
      </c>
      <c r="X501" s="258" t="str">
        <f t="shared" si="32"/>
        <v/>
      </c>
      <c r="Y501" s="36" t="str">
        <f t="shared" si="34"/>
        <v/>
      </c>
      <c r="Z501" s="340" t="str">
        <f>IF(AND(C501&gt;0,D501&lt;&gt;"",S501=""),VLOOKUP(A501&amp;IF(H501="黑丝","黑","白")&amp;E501,经纬!A:M,13,FALSE)*(I501-AB501),"")</f>
        <v/>
      </c>
      <c r="AA501" s="340" t="str">
        <f>IF(AND(C501&gt;0,D501&lt;&gt;"",S501=""),VLOOKUP(A501&amp;IF(H501="黑丝","黑","白")&amp;E501,经纬!A:N,14,FALSE)*(I501-AB501),"")</f>
        <v/>
      </c>
    </row>
    <row r="502" spans="4:27">
      <c r="D502" s="8" t="str">
        <f t="shared" si="33"/>
        <v/>
      </c>
      <c r="M502" s="24" t="str">
        <f t="array" ref="M502">LEFT(L502,MIN(FIND({"A","B","C"},MID(L502,2,LEN(L502))&amp;"ABC")))</f>
        <v/>
      </c>
      <c r="N502" s="24" t="str">
        <f t="array" ref="N502">SUBSTITUTE(L502,M502,"")</f>
        <v/>
      </c>
      <c r="W502" s="369" t="str">
        <f t="shared" si="31"/>
        <v/>
      </c>
      <c r="X502" s="258" t="str">
        <f t="shared" si="32"/>
        <v/>
      </c>
      <c r="Y502" s="36" t="str">
        <f t="shared" si="34"/>
        <v/>
      </c>
      <c r="Z502" s="340" t="str">
        <f>IF(AND(C502&gt;0,D502&lt;&gt;"",S502=""),VLOOKUP(A502&amp;IF(H502="黑丝","黑","白")&amp;E502,经纬!A:M,13,FALSE)*(I502-AB502),"")</f>
        <v/>
      </c>
      <c r="AA502" s="340" t="str">
        <f>IF(AND(C502&gt;0,D502&lt;&gt;"",S502=""),VLOOKUP(A502&amp;IF(H502="黑丝","黑","白")&amp;E502,经纬!A:N,14,FALSE)*(I502-AB502),"")</f>
        <v/>
      </c>
    </row>
    <row r="503" spans="4:27">
      <c r="D503" s="8" t="str">
        <f t="shared" si="33"/>
        <v/>
      </c>
      <c r="M503" s="24" t="str">
        <f t="array" ref="M503">LEFT(L503,MIN(FIND({"A","B","C"},MID(L503,2,LEN(L503))&amp;"ABC")))</f>
        <v/>
      </c>
      <c r="N503" s="24" t="str">
        <f t="array" ref="N503">SUBSTITUTE(L503,M503,"")</f>
        <v/>
      </c>
      <c r="W503" s="369" t="str">
        <f t="shared" si="31"/>
        <v/>
      </c>
      <c r="X503" s="258" t="str">
        <f t="shared" si="32"/>
        <v/>
      </c>
      <c r="Y503" s="36" t="str">
        <f t="shared" si="34"/>
        <v/>
      </c>
      <c r="Z503" s="340" t="str">
        <f>IF(AND(C503&gt;0,D503&lt;&gt;"",S503=""),VLOOKUP(A503&amp;IF(H503="黑丝","黑","白")&amp;E503,经纬!A:M,13,FALSE)*(I503-AB503),"")</f>
        <v/>
      </c>
      <c r="AA503" s="340" t="str">
        <f>IF(AND(C503&gt;0,D503&lt;&gt;"",S503=""),VLOOKUP(A503&amp;IF(H503="黑丝","黑","白")&amp;E503,经纬!A:N,14,FALSE)*(I503-AB503),"")</f>
        <v/>
      </c>
    </row>
    <row r="504" spans="4:27">
      <c r="D504" s="8" t="str">
        <f t="shared" si="33"/>
        <v/>
      </c>
      <c r="M504" s="24" t="str">
        <f t="array" ref="M504">LEFT(L504,MIN(FIND({"A","B","C"},MID(L504,2,LEN(L504))&amp;"ABC")))</f>
        <v/>
      </c>
      <c r="N504" s="24" t="str">
        <f t="array" ref="N504">SUBSTITUTE(L504,M504,"")</f>
        <v/>
      </c>
      <c r="W504" s="369" t="str">
        <f t="shared" si="31"/>
        <v/>
      </c>
      <c r="X504" s="258" t="str">
        <f t="shared" si="32"/>
        <v/>
      </c>
      <c r="Y504" s="36" t="str">
        <f t="shared" si="34"/>
        <v/>
      </c>
      <c r="Z504" s="340" t="str">
        <f>IF(AND(C504&gt;0,D504&lt;&gt;"",S504=""),VLOOKUP(A504&amp;IF(H504="黑丝","黑","白")&amp;E504,经纬!A:M,13,FALSE)*(I504-AB504),"")</f>
        <v/>
      </c>
      <c r="AA504" s="340" t="str">
        <f>IF(AND(C504&gt;0,D504&lt;&gt;"",S504=""),VLOOKUP(A504&amp;IF(H504="黑丝","黑","白")&amp;E504,经纬!A:N,14,FALSE)*(I504-AB504),"")</f>
        <v/>
      </c>
    </row>
    <row r="505" spans="4:27">
      <c r="D505" s="8" t="str">
        <f t="shared" si="33"/>
        <v/>
      </c>
      <c r="M505" s="24" t="str">
        <f t="array" ref="M505">LEFT(L505,MIN(FIND({"A","B","C"},MID(L505,2,LEN(L505))&amp;"ABC")))</f>
        <v/>
      </c>
      <c r="N505" s="24" t="str">
        <f t="array" ref="N505">SUBSTITUTE(L505,M505,"")</f>
        <v/>
      </c>
      <c r="W505" s="369" t="str">
        <f t="shared" si="31"/>
        <v/>
      </c>
      <c r="X505" s="258" t="str">
        <f t="shared" si="32"/>
        <v/>
      </c>
      <c r="Y505" s="36" t="str">
        <f t="shared" si="34"/>
        <v/>
      </c>
      <c r="Z505" s="340" t="str">
        <f>IF(AND(C505&gt;0,D505&lt;&gt;"",S505=""),VLOOKUP(A505&amp;IF(H505="黑丝","黑","白")&amp;E505,经纬!A:M,13,FALSE)*(I505-AB505),"")</f>
        <v/>
      </c>
      <c r="AA505" s="340" t="str">
        <f>IF(AND(C505&gt;0,D505&lt;&gt;"",S505=""),VLOOKUP(A505&amp;IF(H505="黑丝","黑","白")&amp;E505,经纬!A:N,14,FALSE)*(I505-AB505),"")</f>
        <v/>
      </c>
    </row>
    <row r="506" spans="4:27">
      <c r="D506" s="8" t="str">
        <f t="shared" si="33"/>
        <v/>
      </c>
      <c r="M506" s="24" t="str">
        <f t="array" ref="M506">LEFT(L506,MIN(FIND({"A","B","C"},MID(L506,2,LEN(L506))&amp;"ABC")))</f>
        <v/>
      </c>
      <c r="N506" s="24" t="str">
        <f t="array" ref="N506">SUBSTITUTE(L506,M506,"")</f>
        <v/>
      </c>
      <c r="W506" s="369" t="str">
        <f t="shared" si="31"/>
        <v/>
      </c>
      <c r="X506" s="258" t="str">
        <f t="shared" si="32"/>
        <v/>
      </c>
      <c r="Y506" s="36" t="str">
        <f t="shared" si="34"/>
        <v/>
      </c>
      <c r="Z506" s="340" t="str">
        <f>IF(AND(C506&gt;0,D506&lt;&gt;"",S506=""),VLOOKUP(A506&amp;IF(H506="黑丝","黑","白")&amp;E506,经纬!A:M,13,FALSE)*(I506-AB506),"")</f>
        <v/>
      </c>
      <c r="AA506" s="340" t="str">
        <f>IF(AND(C506&gt;0,D506&lt;&gt;"",S506=""),VLOOKUP(A506&amp;IF(H506="黑丝","黑","白")&amp;E506,经纬!A:N,14,FALSE)*(I506-AB506),"")</f>
        <v/>
      </c>
    </row>
    <row r="507" spans="4:27">
      <c r="D507" s="8" t="str">
        <f t="shared" si="33"/>
        <v/>
      </c>
      <c r="M507" s="24" t="str">
        <f t="array" ref="M507">LEFT(L507,MIN(FIND({"A","B","C"},MID(L507,2,LEN(L507))&amp;"ABC")))</f>
        <v/>
      </c>
      <c r="N507" s="24" t="str">
        <f t="array" ref="N507">SUBSTITUTE(L507,M507,"")</f>
        <v/>
      </c>
      <c r="W507" s="369" t="str">
        <f t="shared" si="31"/>
        <v/>
      </c>
      <c r="X507" s="258" t="str">
        <f t="shared" si="32"/>
        <v/>
      </c>
      <c r="Y507" s="36" t="str">
        <f t="shared" si="34"/>
        <v/>
      </c>
      <c r="Z507" s="340" t="str">
        <f>IF(AND(C507&gt;0,D507&lt;&gt;"",S507=""),VLOOKUP(A507&amp;IF(H507="黑丝","黑","白")&amp;E507,经纬!A:M,13,FALSE)*(I507-AB507),"")</f>
        <v/>
      </c>
      <c r="AA507" s="340" t="str">
        <f>IF(AND(C507&gt;0,D507&lt;&gt;"",S507=""),VLOOKUP(A507&amp;IF(H507="黑丝","黑","白")&amp;E507,经纬!A:N,14,FALSE)*(I507-AB507),"")</f>
        <v/>
      </c>
    </row>
    <row r="508" spans="4:27">
      <c r="D508" s="8" t="str">
        <f t="shared" si="33"/>
        <v/>
      </c>
      <c r="M508" s="24" t="str">
        <f t="array" ref="M508">LEFT(L508,MIN(FIND({"A","B","C"},MID(L508,2,LEN(L508))&amp;"ABC")))</f>
        <v/>
      </c>
      <c r="N508" s="24" t="str">
        <f t="array" ref="N508">SUBSTITUTE(L508,M508,"")</f>
        <v/>
      </c>
      <c r="W508" s="369" t="str">
        <f t="shared" si="31"/>
        <v/>
      </c>
      <c r="X508" s="258" t="str">
        <f t="shared" si="32"/>
        <v/>
      </c>
      <c r="Y508" s="36" t="str">
        <f t="shared" si="34"/>
        <v/>
      </c>
      <c r="Z508" s="340" t="str">
        <f>IF(AND(C508&gt;0,D508&lt;&gt;"",S508=""),VLOOKUP(A508&amp;IF(H508="黑丝","黑","白")&amp;E508,经纬!A:M,13,FALSE)*(I508-AB508),"")</f>
        <v/>
      </c>
      <c r="AA508" s="340" t="str">
        <f>IF(AND(C508&gt;0,D508&lt;&gt;"",S508=""),VLOOKUP(A508&amp;IF(H508="黑丝","黑","白")&amp;E508,经纬!A:N,14,FALSE)*(I508-AB508),"")</f>
        <v/>
      </c>
    </row>
    <row r="509" spans="4:27">
      <c r="D509" s="8" t="str">
        <f t="shared" si="33"/>
        <v/>
      </c>
      <c r="M509" s="24" t="str">
        <f t="array" ref="M509">LEFT(L509,MIN(FIND({"A","B","C"},MID(L509,2,LEN(L509))&amp;"ABC")))</f>
        <v/>
      </c>
      <c r="N509" s="24" t="str">
        <f t="array" ref="N509">SUBSTITUTE(L509,M509,"")</f>
        <v/>
      </c>
      <c r="W509" s="369" t="str">
        <f t="shared" si="31"/>
        <v/>
      </c>
      <c r="X509" s="258" t="str">
        <f t="shared" si="32"/>
        <v/>
      </c>
      <c r="Y509" s="36" t="str">
        <f t="shared" si="34"/>
        <v/>
      </c>
      <c r="Z509" s="340" t="str">
        <f>IF(AND(C509&gt;0,D509&lt;&gt;"",S509=""),VLOOKUP(A509&amp;IF(H509="黑丝","黑","白")&amp;E509,经纬!A:M,13,FALSE)*(I509-AB509),"")</f>
        <v/>
      </c>
      <c r="AA509" s="340" t="str">
        <f>IF(AND(C509&gt;0,D509&lt;&gt;"",S509=""),VLOOKUP(A509&amp;IF(H509="黑丝","黑","白")&amp;E509,经纬!A:N,14,FALSE)*(I509-AB509),"")</f>
        <v/>
      </c>
    </row>
    <row r="510" spans="4:27">
      <c r="D510" s="8" t="str">
        <f t="shared" si="33"/>
        <v/>
      </c>
      <c r="M510" s="24" t="str">
        <f t="array" ref="M510">LEFT(L510,MIN(FIND({"A","B","C"},MID(L510,2,LEN(L510))&amp;"ABC")))</f>
        <v/>
      </c>
      <c r="N510" s="24" t="str">
        <f t="array" ref="N510">SUBSTITUTE(L510,M510,"")</f>
        <v/>
      </c>
      <c r="W510" s="369" t="str">
        <f t="shared" si="31"/>
        <v/>
      </c>
      <c r="X510" s="258" t="str">
        <f t="shared" si="32"/>
        <v/>
      </c>
      <c r="Y510" s="36" t="str">
        <f t="shared" si="34"/>
        <v/>
      </c>
      <c r="Z510" s="340" t="str">
        <f>IF(AND(C510&gt;0,D510&lt;&gt;"",S510=""),VLOOKUP(A510&amp;IF(H510="黑丝","黑","白")&amp;E510,经纬!A:M,13,FALSE)*(I510-AB510),"")</f>
        <v/>
      </c>
      <c r="AA510" s="340" t="str">
        <f>IF(AND(C510&gt;0,D510&lt;&gt;"",S510=""),VLOOKUP(A510&amp;IF(H510="黑丝","黑","白")&amp;E510,经纬!A:N,14,FALSE)*(I510-AB510),"")</f>
        <v/>
      </c>
    </row>
    <row r="511" spans="4:27">
      <c r="D511" s="8" t="str">
        <f t="shared" si="33"/>
        <v/>
      </c>
      <c r="M511" s="24" t="str">
        <f t="array" ref="M511">LEFT(L511,MIN(FIND({"A","B","C"},MID(L511,2,LEN(L511))&amp;"ABC")))</f>
        <v/>
      </c>
      <c r="N511" s="24" t="str">
        <f t="array" ref="N511">SUBSTITUTE(L511,M511,"")</f>
        <v/>
      </c>
      <c r="W511" s="369" t="str">
        <f t="shared" si="31"/>
        <v/>
      </c>
      <c r="X511" s="258" t="str">
        <f t="shared" si="32"/>
        <v/>
      </c>
      <c r="Y511" s="36" t="str">
        <f t="shared" si="34"/>
        <v/>
      </c>
      <c r="Z511" s="340" t="str">
        <f>IF(AND(C511&gt;0,D511&lt;&gt;"",S511=""),VLOOKUP(A511&amp;IF(H511="黑丝","黑","白")&amp;E511,经纬!A:M,13,FALSE)*(I511-AB511),"")</f>
        <v/>
      </c>
      <c r="AA511" s="340" t="str">
        <f>IF(AND(C511&gt;0,D511&lt;&gt;"",S511=""),VLOOKUP(A511&amp;IF(H511="黑丝","黑","白")&amp;E511,经纬!A:N,14,FALSE)*(I511-AB511),"")</f>
        <v/>
      </c>
    </row>
    <row r="512" spans="4:27">
      <c r="D512" s="8" t="str">
        <f t="shared" si="33"/>
        <v/>
      </c>
      <c r="M512" s="24" t="str">
        <f t="array" ref="M512">LEFT(L512,MIN(FIND({"A","B","C"},MID(L512,2,LEN(L512))&amp;"ABC")))</f>
        <v/>
      </c>
      <c r="N512" s="24" t="str">
        <f t="array" ref="N512">SUBSTITUTE(L512,M512,"")</f>
        <v/>
      </c>
      <c r="W512" s="369" t="str">
        <f t="shared" si="31"/>
        <v/>
      </c>
      <c r="X512" s="258" t="str">
        <f t="shared" si="32"/>
        <v/>
      </c>
      <c r="Y512" s="36" t="str">
        <f t="shared" si="34"/>
        <v/>
      </c>
      <c r="Z512" s="340" t="str">
        <f>IF(AND(C512&gt;0,D512&lt;&gt;"",S512=""),VLOOKUP(A512&amp;IF(H512="黑丝","黑","白")&amp;E512,经纬!A:M,13,FALSE)*(I512-AB512),"")</f>
        <v/>
      </c>
      <c r="AA512" s="340" t="str">
        <f>IF(AND(C512&gt;0,D512&lt;&gt;"",S512=""),VLOOKUP(A512&amp;IF(H512="黑丝","黑","白")&amp;E512,经纬!A:N,14,FALSE)*(I512-AB512),"")</f>
        <v/>
      </c>
    </row>
    <row r="513" spans="4:27">
      <c r="D513" s="8" t="str">
        <f t="shared" si="33"/>
        <v/>
      </c>
      <c r="M513" s="24" t="str">
        <f t="array" ref="M513">LEFT(L513,MIN(FIND({"A","B","C"},MID(L513,2,LEN(L513))&amp;"ABC")))</f>
        <v/>
      </c>
      <c r="N513" s="24" t="str">
        <f t="array" ref="N513">SUBSTITUTE(L513,M513,"")</f>
        <v/>
      </c>
      <c r="W513" s="369" t="str">
        <f t="shared" si="31"/>
        <v/>
      </c>
      <c r="X513" s="258" t="str">
        <f t="shared" si="32"/>
        <v/>
      </c>
      <c r="Y513" s="36" t="str">
        <f t="shared" si="34"/>
        <v/>
      </c>
      <c r="Z513" s="340" t="str">
        <f>IF(AND(C513&gt;0,D513&lt;&gt;"",S513=""),VLOOKUP(A513&amp;IF(H513="黑丝","黑","白")&amp;E513,经纬!A:M,13,FALSE)*(I513-AB513),"")</f>
        <v/>
      </c>
      <c r="AA513" s="340" t="str">
        <f>IF(AND(C513&gt;0,D513&lt;&gt;"",S513=""),VLOOKUP(A513&amp;IF(H513="黑丝","黑","白")&amp;E513,经纬!A:N,14,FALSE)*(I513-AB513),"")</f>
        <v/>
      </c>
    </row>
    <row r="514" spans="4:27">
      <c r="D514" s="8" t="str">
        <f t="shared" si="33"/>
        <v/>
      </c>
      <c r="M514" s="24" t="str">
        <f t="array" ref="M514">LEFT(L514,MIN(FIND({"A","B","C"},MID(L514,2,LEN(L514))&amp;"ABC")))</f>
        <v/>
      </c>
      <c r="N514" s="24" t="str">
        <f t="array" ref="N514">SUBSTITUTE(L514,M514,"")</f>
        <v/>
      </c>
      <c r="W514" s="369" t="str">
        <f t="shared" si="31"/>
        <v/>
      </c>
      <c r="X514" s="258" t="str">
        <f t="shared" si="32"/>
        <v/>
      </c>
      <c r="Y514" s="36" t="str">
        <f t="shared" si="34"/>
        <v/>
      </c>
      <c r="Z514" s="340" t="str">
        <f>IF(AND(C514&gt;0,D514&lt;&gt;"",S514=""),VLOOKUP(A514&amp;IF(H514="黑丝","黑","白")&amp;E514,经纬!A:M,13,FALSE)*(I514-AB514),"")</f>
        <v/>
      </c>
      <c r="AA514" s="340" t="str">
        <f>IF(AND(C514&gt;0,D514&lt;&gt;"",S514=""),VLOOKUP(A514&amp;IF(H514="黑丝","黑","白")&amp;E514,经纬!A:N,14,FALSE)*(I514-AB514),"")</f>
        <v/>
      </c>
    </row>
    <row r="515" spans="4:27">
      <c r="D515" s="8" t="str">
        <f t="shared" si="33"/>
        <v/>
      </c>
      <c r="M515" s="24" t="str">
        <f t="array" ref="M515">LEFT(L515,MIN(FIND({"A","B","C"},MID(L515,2,LEN(L515))&amp;"ABC")))</f>
        <v/>
      </c>
      <c r="N515" s="24" t="str">
        <f t="array" ref="N515">SUBSTITUTE(L515,M515,"")</f>
        <v/>
      </c>
      <c r="W515" s="369" t="str">
        <f t="shared" ref="W515:W578" si="35">IF(A515="","",IF(S515&lt;&gt;"","",IF(D515&lt;&gt;"",(I515-AB515),Y515*IF(H515="黑丝",22,20)*0.9144/((K515/1000)*((G515+2)/100)))))</f>
        <v/>
      </c>
      <c r="X515" s="258" t="str">
        <f t="shared" si="32"/>
        <v/>
      </c>
      <c r="Y515" s="36" t="str">
        <f t="shared" si="34"/>
        <v/>
      </c>
      <c r="Z515" s="340" t="str">
        <f>IF(AND(C515&gt;0,D515&lt;&gt;"",S515=""),VLOOKUP(A515&amp;IF(H515="黑丝","黑","白")&amp;E515,经纬!A:M,13,FALSE)*(I515-AB515),"")</f>
        <v/>
      </c>
      <c r="AA515" s="340" t="str">
        <f>IF(AND(C515&gt;0,D515&lt;&gt;"",S515=""),VLOOKUP(A515&amp;IF(H515="黑丝","黑","白")&amp;E515,经纬!A:N,14,FALSE)*(I515-AB515),"")</f>
        <v/>
      </c>
    </row>
    <row r="516" spans="4:27">
      <c r="D516" s="8" t="str">
        <f t="shared" si="33"/>
        <v/>
      </c>
      <c r="M516" s="24" t="str">
        <f t="array" ref="M516">LEFT(L516,MIN(FIND({"A","B","C"},MID(L516,2,LEN(L516))&amp;"ABC")))</f>
        <v/>
      </c>
      <c r="N516" s="24" t="str">
        <f t="array" ref="N516">SUBSTITUTE(L516,M516,"")</f>
        <v/>
      </c>
      <c r="W516" s="369" t="str">
        <f t="shared" si="35"/>
        <v/>
      </c>
      <c r="X516" s="258" t="str">
        <f t="shared" si="32"/>
        <v/>
      </c>
      <c r="Y516" s="36" t="str">
        <f t="shared" si="34"/>
        <v/>
      </c>
      <c r="Z516" s="340" t="str">
        <f>IF(AND(C516&gt;0,D516&lt;&gt;"",S516=""),VLOOKUP(A516&amp;IF(H516="黑丝","黑","白")&amp;E516,经纬!A:M,13,FALSE)*(I516-AB516),"")</f>
        <v/>
      </c>
      <c r="AA516" s="340" t="str">
        <f>IF(AND(C516&gt;0,D516&lt;&gt;"",S516=""),VLOOKUP(A516&amp;IF(H516="黑丝","黑","白")&amp;E516,经纬!A:N,14,FALSE)*(I516-AB516),"")</f>
        <v/>
      </c>
    </row>
    <row r="517" spans="4:27">
      <c r="D517" s="8" t="str">
        <f t="shared" si="33"/>
        <v/>
      </c>
      <c r="M517" s="24" t="str">
        <f t="array" ref="M517">LEFT(L517,MIN(FIND({"A","B","C"},MID(L517,2,LEN(L517))&amp;"ABC")))</f>
        <v/>
      </c>
      <c r="N517" s="24" t="str">
        <f t="array" ref="N517">SUBSTITUTE(L517,M517,"")</f>
        <v/>
      </c>
      <c r="W517" s="369" t="str">
        <f t="shared" si="35"/>
        <v/>
      </c>
      <c r="X517" s="258" t="str">
        <f t="shared" si="32"/>
        <v/>
      </c>
      <c r="Y517" s="36" t="str">
        <f t="shared" si="34"/>
        <v/>
      </c>
      <c r="Z517" s="340" t="str">
        <f>IF(AND(C517&gt;0,D517&lt;&gt;"",S517=""),VLOOKUP(A517&amp;IF(H517="黑丝","黑","白")&amp;E517,经纬!A:M,13,FALSE)*(I517-AB517),"")</f>
        <v/>
      </c>
      <c r="AA517" s="340" t="str">
        <f>IF(AND(C517&gt;0,D517&lt;&gt;"",S517=""),VLOOKUP(A517&amp;IF(H517="黑丝","黑","白")&amp;E517,经纬!A:N,14,FALSE)*(I517-AB517),"")</f>
        <v/>
      </c>
    </row>
    <row r="518" spans="4:27">
      <c r="D518" s="8" t="str">
        <f t="shared" si="33"/>
        <v/>
      </c>
      <c r="M518" s="24" t="str">
        <f t="array" ref="M518">LEFT(L518,MIN(FIND({"A","B","C"},MID(L518,2,LEN(L518))&amp;"ABC")))</f>
        <v/>
      </c>
      <c r="N518" s="24" t="str">
        <f t="array" ref="N518">SUBSTITUTE(L518,M518,"")</f>
        <v/>
      </c>
      <c r="W518" s="369" t="str">
        <f t="shared" si="35"/>
        <v/>
      </c>
      <c r="X518" s="258" t="str">
        <f t="shared" si="32"/>
        <v/>
      </c>
      <c r="Y518" s="36" t="str">
        <f t="shared" si="34"/>
        <v/>
      </c>
      <c r="Z518" s="340" t="str">
        <f>IF(AND(C518&gt;0,D518&lt;&gt;"",S518=""),VLOOKUP(A518&amp;IF(H518="黑丝","黑","白")&amp;E518,经纬!A:M,13,FALSE)*(I518-AB518),"")</f>
        <v/>
      </c>
      <c r="AA518" s="340" t="str">
        <f>IF(AND(C518&gt;0,D518&lt;&gt;"",S518=""),VLOOKUP(A518&amp;IF(H518="黑丝","黑","白")&amp;E518,经纬!A:N,14,FALSE)*(I518-AB518),"")</f>
        <v/>
      </c>
    </row>
    <row r="519" spans="4:27">
      <c r="D519" s="8" t="str">
        <f t="shared" si="33"/>
        <v/>
      </c>
      <c r="M519" s="24" t="str">
        <f t="array" ref="M519">LEFT(L519,MIN(FIND({"A","B","C"},MID(L519,2,LEN(L519))&amp;"ABC")))</f>
        <v/>
      </c>
      <c r="N519" s="24" t="str">
        <f t="array" ref="N519">SUBSTITUTE(L519,M519,"")</f>
        <v/>
      </c>
      <c r="W519" s="369" t="str">
        <f t="shared" si="35"/>
        <v/>
      </c>
      <c r="X519" s="258" t="str">
        <f t="shared" si="32"/>
        <v/>
      </c>
      <c r="Y519" s="36" t="str">
        <f t="shared" si="34"/>
        <v/>
      </c>
      <c r="Z519" s="340" t="str">
        <f>IF(AND(C519&gt;0,D519&lt;&gt;"",S519=""),VLOOKUP(A519&amp;IF(H519="黑丝","黑","白")&amp;E519,经纬!A:M,13,FALSE)*(I519-AB519),"")</f>
        <v/>
      </c>
      <c r="AA519" s="340" t="str">
        <f>IF(AND(C519&gt;0,D519&lt;&gt;"",S519=""),VLOOKUP(A519&amp;IF(H519="黑丝","黑","白")&amp;E519,经纬!A:N,14,FALSE)*(I519-AB519),"")</f>
        <v/>
      </c>
    </row>
    <row r="520" spans="4:27">
      <c r="D520" s="8" t="str">
        <f t="shared" si="33"/>
        <v/>
      </c>
      <c r="M520" s="24" t="str">
        <f t="array" ref="M520">LEFT(L520,MIN(FIND({"A","B","C"},MID(L520,2,LEN(L520))&amp;"ABC")))</f>
        <v/>
      </c>
      <c r="N520" s="24" t="str">
        <f t="array" ref="N520">SUBSTITUTE(L520,M520,"")</f>
        <v/>
      </c>
      <c r="W520" s="369" t="str">
        <f t="shared" si="35"/>
        <v/>
      </c>
      <c r="X520" s="258" t="str">
        <f t="shared" si="32"/>
        <v/>
      </c>
      <c r="Y520" s="36" t="str">
        <f t="shared" si="34"/>
        <v/>
      </c>
      <c r="Z520" s="340" t="str">
        <f>IF(AND(C520&gt;0,D520&lt;&gt;"",S520=""),VLOOKUP(A520&amp;IF(H520="黑丝","黑","白")&amp;E520,经纬!A:M,13,FALSE)*(I520-AB520),"")</f>
        <v/>
      </c>
      <c r="AA520" s="340" t="str">
        <f>IF(AND(C520&gt;0,D520&lt;&gt;"",S520=""),VLOOKUP(A520&amp;IF(H520="黑丝","黑","白")&amp;E520,经纬!A:N,14,FALSE)*(I520-AB520),"")</f>
        <v/>
      </c>
    </row>
    <row r="521" spans="4:27">
      <c r="D521" s="8" t="str">
        <f t="shared" si="33"/>
        <v/>
      </c>
      <c r="M521" s="24" t="str">
        <f t="array" ref="M521">LEFT(L521,MIN(FIND({"A","B","C"},MID(L521,2,LEN(L521))&amp;"ABC")))</f>
        <v/>
      </c>
      <c r="N521" s="24" t="str">
        <f t="array" ref="N521">SUBSTITUTE(L521,M521,"")</f>
        <v/>
      </c>
      <c r="W521" s="369" t="str">
        <f t="shared" si="35"/>
        <v/>
      </c>
      <c r="X521" s="258" t="str">
        <f t="shared" si="32"/>
        <v/>
      </c>
      <c r="Y521" s="36" t="str">
        <f t="shared" si="34"/>
        <v/>
      </c>
      <c r="Z521" s="340" t="str">
        <f>IF(AND(C521&gt;0,D521&lt;&gt;"",S521=""),VLOOKUP(A521&amp;IF(H521="黑丝","黑","白")&amp;E521,经纬!A:M,13,FALSE)*(I521-AB521),"")</f>
        <v/>
      </c>
      <c r="AA521" s="340" t="str">
        <f>IF(AND(C521&gt;0,D521&lt;&gt;"",S521=""),VLOOKUP(A521&amp;IF(H521="黑丝","黑","白")&amp;E521,经纬!A:N,14,FALSE)*(I521-AB521),"")</f>
        <v/>
      </c>
    </row>
    <row r="522" spans="4:27">
      <c r="D522" s="8" t="str">
        <f t="shared" si="33"/>
        <v/>
      </c>
      <c r="M522" s="24" t="str">
        <f t="array" ref="M522">LEFT(L522,MIN(FIND({"A","B","C"},MID(L522,2,LEN(L522))&amp;"ABC")))</f>
        <v/>
      </c>
      <c r="N522" s="24" t="str">
        <f t="array" ref="N522">SUBSTITUTE(L522,M522,"")</f>
        <v/>
      </c>
      <c r="W522" s="369" t="str">
        <f t="shared" si="35"/>
        <v/>
      </c>
      <c r="X522" s="258" t="str">
        <f t="shared" si="32"/>
        <v/>
      </c>
      <c r="Y522" s="36" t="str">
        <f t="shared" si="34"/>
        <v/>
      </c>
      <c r="Z522" s="340" t="str">
        <f>IF(AND(C522&gt;0,D522&lt;&gt;"",S522=""),VLOOKUP(A522&amp;IF(H522="黑丝","黑","白")&amp;E522,经纬!A:M,13,FALSE)*(I522-AB522),"")</f>
        <v/>
      </c>
      <c r="AA522" s="340" t="str">
        <f>IF(AND(C522&gt;0,D522&lt;&gt;"",S522=""),VLOOKUP(A522&amp;IF(H522="黑丝","黑","白")&amp;E522,经纬!A:N,14,FALSE)*(I522-AB522),"")</f>
        <v/>
      </c>
    </row>
    <row r="523" spans="4:27">
      <c r="D523" s="8" t="str">
        <f t="shared" si="33"/>
        <v/>
      </c>
      <c r="M523" s="24" t="str">
        <f t="array" ref="M523">LEFT(L523,MIN(FIND({"A","B","C"},MID(L523,2,LEN(L523))&amp;"ABC")))</f>
        <v/>
      </c>
      <c r="N523" s="24" t="str">
        <f t="array" ref="N523">SUBSTITUTE(L523,M523,"")</f>
        <v/>
      </c>
      <c r="W523" s="369" t="str">
        <f t="shared" si="35"/>
        <v/>
      </c>
      <c r="X523" s="258" t="str">
        <f t="shared" si="32"/>
        <v/>
      </c>
      <c r="Y523" s="36" t="str">
        <f t="shared" si="34"/>
        <v/>
      </c>
      <c r="Z523" s="340" t="str">
        <f>IF(AND(C523&gt;0,D523&lt;&gt;"",S523=""),VLOOKUP(A523&amp;IF(H523="黑丝","黑","白")&amp;E523,经纬!A:M,13,FALSE)*(I523-AB523),"")</f>
        <v/>
      </c>
      <c r="AA523" s="340" t="str">
        <f>IF(AND(C523&gt;0,D523&lt;&gt;"",S523=""),VLOOKUP(A523&amp;IF(H523="黑丝","黑","白")&amp;E523,经纬!A:N,14,FALSE)*(I523-AB523),"")</f>
        <v/>
      </c>
    </row>
    <row r="524" spans="4:27">
      <c r="D524" s="8" t="str">
        <f t="shared" si="33"/>
        <v/>
      </c>
      <c r="M524" s="24" t="str">
        <f t="array" ref="M524">LEFT(L524,MIN(FIND({"A","B","C"},MID(L524,2,LEN(L524))&amp;"ABC")))</f>
        <v/>
      </c>
      <c r="N524" s="24" t="str">
        <f t="array" ref="N524">SUBSTITUTE(L524,M524,"")</f>
        <v/>
      </c>
      <c r="W524" s="369" t="str">
        <f t="shared" si="35"/>
        <v/>
      </c>
      <c r="X524" s="258" t="str">
        <f t="shared" si="32"/>
        <v/>
      </c>
      <c r="Y524" s="36" t="str">
        <f t="shared" si="34"/>
        <v/>
      </c>
      <c r="Z524" s="340" t="str">
        <f>IF(AND(C524&gt;0,D524&lt;&gt;"",S524=""),VLOOKUP(A524&amp;IF(H524="黑丝","黑","白")&amp;E524,经纬!A:M,13,FALSE)*(I524-AB524),"")</f>
        <v/>
      </c>
      <c r="AA524" s="340" t="str">
        <f>IF(AND(C524&gt;0,D524&lt;&gt;"",S524=""),VLOOKUP(A524&amp;IF(H524="黑丝","黑","白")&amp;E524,经纬!A:N,14,FALSE)*(I524-AB524),"")</f>
        <v/>
      </c>
    </row>
    <row r="525" spans="4:27">
      <c r="D525" s="8" t="str">
        <f t="shared" si="33"/>
        <v/>
      </c>
      <c r="M525" s="24" t="str">
        <f t="array" ref="M525">LEFT(L525,MIN(FIND({"A","B","C"},MID(L525,2,LEN(L525))&amp;"ABC")))</f>
        <v/>
      </c>
      <c r="N525" s="24" t="str">
        <f t="array" ref="N525">SUBSTITUTE(L525,M525,"")</f>
        <v/>
      </c>
      <c r="W525" s="369" t="str">
        <f t="shared" si="35"/>
        <v/>
      </c>
      <c r="X525" s="258" t="str">
        <f t="shared" si="32"/>
        <v/>
      </c>
      <c r="Y525" s="36" t="str">
        <f t="shared" si="34"/>
        <v/>
      </c>
      <c r="Z525" s="340" t="str">
        <f>IF(AND(C525&gt;0,D525&lt;&gt;"",S525=""),VLOOKUP(A525&amp;IF(H525="黑丝","黑","白")&amp;E525,经纬!A:M,13,FALSE)*(I525-AB525),"")</f>
        <v/>
      </c>
      <c r="AA525" s="340" t="str">
        <f>IF(AND(C525&gt;0,D525&lt;&gt;"",S525=""),VLOOKUP(A525&amp;IF(H525="黑丝","黑","白")&amp;E525,经纬!A:N,14,FALSE)*(I525-AB525),"")</f>
        <v/>
      </c>
    </row>
    <row r="526" spans="4:27">
      <c r="D526" s="8" t="str">
        <f t="shared" si="33"/>
        <v/>
      </c>
      <c r="M526" s="24" t="str">
        <f t="array" ref="M526">LEFT(L526,MIN(FIND({"A","B","C"},MID(L526,2,LEN(L526))&amp;"ABC")))</f>
        <v/>
      </c>
      <c r="N526" s="24" t="str">
        <f t="array" ref="N526">SUBSTITUTE(L526,M526,"")</f>
        <v/>
      </c>
      <c r="W526" s="369" t="str">
        <f t="shared" si="35"/>
        <v/>
      </c>
      <c r="X526" s="258" t="str">
        <f t="shared" si="32"/>
        <v/>
      </c>
      <c r="Y526" s="36" t="str">
        <f t="shared" si="34"/>
        <v/>
      </c>
      <c r="Z526" s="340" t="str">
        <f>IF(AND(C526&gt;0,D526&lt;&gt;"",S526=""),VLOOKUP(A526&amp;IF(H526="黑丝","黑","白")&amp;E526,经纬!A:M,13,FALSE)*(I526-AB526),"")</f>
        <v/>
      </c>
      <c r="AA526" s="340" t="str">
        <f>IF(AND(C526&gt;0,D526&lt;&gt;"",S526=""),VLOOKUP(A526&amp;IF(H526="黑丝","黑","白")&amp;E526,经纬!A:N,14,FALSE)*(I526-AB526),"")</f>
        <v/>
      </c>
    </row>
    <row r="527" spans="4:27">
      <c r="D527" s="8" t="str">
        <f t="shared" si="33"/>
        <v/>
      </c>
      <c r="M527" s="24" t="str">
        <f t="array" ref="M527">LEFT(L527,MIN(FIND({"A","B","C"},MID(L527,2,LEN(L527))&amp;"ABC")))</f>
        <v/>
      </c>
      <c r="N527" s="24" t="str">
        <f t="array" ref="N527">SUBSTITUTE(L527,M527,"")</f>
        <v/>
      </c>
      <c r="W527" s="369" t="str">
        <f t="shared" si="35"/>
        <v/>
      </c>
      <c r="X527" s="258" t="str">
        <f t="shared" si="32"/>
        <v/>
      </c>
      <c r="Y527" s="36" t="str">
        <f t="shared" si="34"/>
        <v/>
      </c>
      <c r="Z527" s="340" t="str">
        <f>IF(AND(C527&gt;0,D527&lt;&gt;"",S527=""),VLOOKUP(A527&amp;IF(H527="黑丝","黑","白")&amp;E527,经纬!A:M,13,FALSE)*(I527-AB527),"")</f>
        <v/>
      </c>
      <c r="AA527" s="340" t="str">
        <f>IF(AND(C527&gt;0,D527&lt;&gt;"",S527=""),VLOOKUP(A527&amp;IF(H527="黑丝","黑","白")&amp;E527,经纬!A:N,14,FALSE)*(I527-AB527),"")</f>
        <v/>
      </c>
    </row>
    <row r="528" spans="4:27">
      <c r="D528" s="8" t="str">
        <f t="shared" si="33"/>
        <v/>
      </c>
      <c r="M528" s="24" t="str">
        <f t="array" ref="M528">LEFT(L528,MIN(FIND({"A","B","C"},MID(L528,2,LEN(L528))&amp;"ABC")))</f>
        <v/>
      </c>
      <c r="N528" s="24" t="str">
        <f t="array" ref="N528">SUBSTITUTE(L528,M528,"")</f>
        <v/>
      </c>
      <c r="W528" s="369" t="str">
        <f t="shared" si="35"/>
        <v/>
      </c>
      <c r="X528" s="258" t="str">
        <f t="shared" si="32"/>
        <v/>
      </c>
      <c r="Y528" s="36" t="str">
        <f t="shared" si="34"/>
        <v/>
      </c>
      <c r="Z528" s="340" t="str">
        <f>IF(AND(C528&gt;0,D528&lt;&gt;"",S528=""),VLOOKUP(A528&amp;IF(H528="黑丝","黑","白")&amp;E528,经纬!A:M,13,FALSE)*(I528-AB528),"")</f>
        <v/>
      </c>
      <c r="AA528" s="340" t="str">
        <f>IF(AND(C528&gt;0,D528&lt;&gt;"",S528=""),VLOOKUP(A528&amp;IF(H528="黑丝","黑","白")&amp;E528,经纬!A:N,14,FALSE)*(I528-AB528),"")</f>
        <v/>
      </c>
    </row>
    <row r="529" spans="4:27">
      <c r="D529" s="8" t="str">
        <f t="shared" si="33"/>
        <v/>
      </c>
      <c r="M529" s="24" t="str">
        <f t="array" ref="M529">LEFT(L529,MIN(FIND({"A","B","C"},MID(L529,2,LEN(L529))&amp;"ABC")))</f>
        <v/>
      </c>
      <c r="N529" s="24" t="str">
        <f t="array" ref="N529">SUBSTITUTE(L529,M529,"")</f>
        <v/>
      </c>
      <c r="W529" s="369" t="str">
        <f t="shared" si="35"/>
        <v/>
      </c>
      <c r="X529" s="258" t="str">
        <f t="shared" si="32"/>
        <v/>
      </c>
      <c r="Y529" s="36" t="str">
        <f t="shared" si="34"/>
        <v/>
      </c>
      <c r="Z529" s="340" t="str">
        <f>IF(AND(C529&gt;0,D529&lt;&gt;"",S529=""),VLOOKUP(A529&amp;IF(H529="黑丝","黑","白")&amp;E529,经纬!A:M,13,FALSE)*(I529-AB529),"")</f>
        <v/>
      </c>
      <c r="AA529" s="340" t="str">
        <f>IF(AND(C529&gt;0,D529&lt;&gt;"",S529=""),VLOOKUP(A529&amp;IF(H529="黑丝","黑","白")&amp;E529,经纬!A:N,14,FALSE)*(I529-AB529),"")</f>
        <v/>
      </c>
    </row>
    <row r="530" spans="4:27">
      <c r="D530" s="8" t="str">
        <f t="shared" si="33"/>
        <v/>
      </c>
      <c r="M530" s="24" t="str">
        <f t="array" ref="M530">LEFT(L530,MIN(FIND({"A","B","C"},MID(L530,2,LEN(L530))&amp;"ABC")))</f>
        <v/>
      </c>
      <c r="N530" s="24" t="str">
        <f t="array" ref="N530">SUBSTITUTE(L530,M530,"")</f>
        <v/>
      </c>
      <c r="W530" s="369" t="str">
        <f t="shared" si="35"/>
        <v/>
      </c>
      <c r="X530" s="258" t="str">
        <f t="shared" si="32"/>
        <v/>
      </c>
      <c r="Y530" s="36" t="str">
        <f t="shared" si="34"/>
        <v/>
      </c>
      <c r="Z530" s="340" t="str">
        <f>IF(AND(C530&gt;0,D530&lt;&gt;"",S530=""),VLOOKUP(A530&amp;IF(H530="黑丝","黑","白")&amp;E530,经纬!A:M,13,FALSE)*(I530-AB530),"")</f>
        <v/>
      </c>
      <c r="AA530" s="340" t="str">
        <f>IF(AND(C530&gt;0,D530&lt;&gt;"",S530=""),VLOOKUP(A530&amp;IF(H530="黑丝","黑","白")&amp;E530,经纬!A:N,14,FALSE)*(I530-AB530),"")</f>
        <v/>
      </c>
    </row>
    <row r="531" spans="4:27">
      <c r="D531" s="8" t="str">
        <f t="shared" si="33"/>
        <v/>
      </c>
      <c r="M531" s="24" t="str">
        <f t="array" ref="M531">LEFT(L531,MIN(FIND({"A","B","C"},MID(L531,2,LEN(L531))&amp;"ABC")))</f>
        <v/>
      </c>
      <c r="N531" s="24" t="str">
        <f t="array" ref="N531">SUBSTITUTE(L531,M531,"")</f>
        <v/>
      </c>
      <c r="W531" s="369" t="str">
        <f t="shared" si="35"/>
        <v/>
      </c>
      <c r="X531" s="258" t="str">
        <f t="shared" si="32"/>
        <v/>
      </c>
      <c r="Y531" s="36" t="str">
        <f t="shared" si="34"/>
        <v/>
      </c>
      <c r="Z531" s="340" t="str">
        <f>IF(AND(C531&gt;0,D531&lt;&gt;"",S531=""),VLOOKUP(A531&amp;IF(H531="黑丝","黑","白")&amp;E531,经纬!A:M,13,FALSE)*(I531-AB531),"")</f>
        <v/>
      </c>
      <c r="AA531" s="340" t="str">
        <f>IF(AND(C531&gt;0,D531&lt;&gt;"",S531=""),VLOOKUP(A531&amp;IF(H531="黑丝","黑","白")&amp;E531,经纬!A:N,14,FALSE)*(I531-AB531),"")</f>
        <v/>
      </c>
    </row>
    <row r="532" spans="4:27">
      <c r="D532" s="8" t="str">
        <f t="shared" si="33"/>
        <v/>
      </c>
      <c r="M532" s="24" t="str">
        <f t="array" ref="M532">LEFT(L532,MIN(FIND({"A","B","C"},MID(L532,2,LEN(L532))&amp;"ABC")))</f>
        <v/>
      </c>
      <c r="N532" s="24" t="str">
        <f t="array" ref="N532">SUBSTITUTE(L532,M532,"")</f>
        <v/>
      </c>
      <c r="W532" s="369" t="str">
        <f t="shared" si="35"/>
        <v/>
      </c>
      <c r="X532" s="258" t="str">
        <f t="shared" si="32"/>
        <v/>
      </c>
      <c r="Y532" s="36" t="str">
        <f t="shared" si="34"/>
        <v/>
      </c>
      <c r="Z532" s="340" t="str">
        <f>IF(AND(C532&gt;0,D532&lt;&gt;"",S532=""),VLOOKUP(A532&amp;IF(H532="黑丝","黑","白")&amp;E532,经纬!A:M,13,FALSE)*(I532-AB532),"")</f>
        <v/>
      </c>
      <c r="AA532" s="340" t="str">
        <f>IF(AND(C532&gt;0,D532&lt;&gt;"",S532=""),VLOOKUP(A532&amp;IF(H532="黑丝","黑","白")&amp;E532,经纬!A:N,14,FALSE)*(I532-AB532),"")</f>
        <v/>
      </c>
    </row>
    <row r="533" spans="4:27">
      <c r="D533" s="8" t="str">
        <f t="shared" si="33"/>
        <v/>
      </c>
      <c r="M533" s="24" t="str">
        <f t="array" ref="M533">LEFT(L533,MIN(FIND({"A","B","C"},MID(L533,2,LEN(L533))&amp;"ABC")))</f>
        <v/>
      </c>
      <c r="N533" s="24" t="str">
        <f t="array" ref="N533">SUBSTITUTE(L533,M533,"")</f>
        <v/>
      </c>
      <c r="W533" s="369" t="str">
        <f t="shared" si="35"/>
        <v/>
      </c>
      <c r="X533" s="258" t="str">
        <f t="shared" si="32"/>
        <v/>
      </c>
      <c r="Y533" s="36" t="str">
        <f t="shared" si="34"/>
        <v/>
      </c>
      <c r="Z533" s="340" t="str">
        <f>IF(AND(C533&gt;0,D533&lt;&gt;"",S533=""),VLOOKUP(A533&amp;IF(H533="黑丝","黑","白")&amp;E533,经纬!A:M,13,FALSE)*(I533-AB533),"")</f>
        <v/>
      </c>
      <c r="AA533" s="340" t="str">
        <f>IF(AND(C533&gt;0,D533&lt;&gt;"",S533=""),VLOOKUP(A533&amp;IF(H533="黑丝","黑","白")&amp;E533,经纬!A:N,14,FALSE)*(I533-AB533),"")</f>
        <v/>
      </c>
    </row>
    <row r="534" spans="4:27">
      <c r="D534" s="8" t="str">
        <f t="shared" si="33"/>
        <v/>
      </c>
      <c r="M534" s="24" t="str">
        <f t="array" ref="M534">LEFT(L534,MIN(FIND({"A","B","C"},MID(L534,2,LEN(L534))&amp;"ABC")))</f>
        <v/>
      </c>
      <c r="N534" s="24" t="str">
        <f t="array" ref="N534">SUBSTITUTE(L534,M534,"")</f>
        <v/>
      </c>
      <c r="W534" s="369" t="str">
        <f t="shared" si="35"/>
        <v/>
      </c>
      <c r="X534" s="258" t="str">
        <f t="shared" si="32"/>
        <v/>
      </c>
      <c r="Y534" s="36" t="str">
        <f t="shared" si="34"/>
        <v/>
      </c>
      <c r="Z534" s="340" t="str">
        <f>IF(AND(C534&gt;0,D534&lt;&gt;"",S534=""),VLOOKUP(A534&amp;IF(H534="黑丝","黑","白")&amp;E534,经纬!A:M,13,FALSE)*(I534-AB534),"")</f>
        <v/>
      </c>
      <c r="AA534" s="340" t="str">
        <f>IF(AND(C534&gt;0,D534&lt;&gt;"",S534=""),VLOOKUP(A534&amp;IF(H534="黑丝","黑","白")&amp;E534,经纬!A:N,14,FALSE)*(I534-AB534),"")</f>
        <v/>
      </c>
    </row>
    <row r="535" spans="4:27">
      <c r="D535" s="8" t="str">
        <f t="shared" si="33"/>
        <v/>
      </c>
      <c r="M535" s="24" t="str">
        <f t="array" ref="M535">LEFT(L535,MIN(FIND({"A","B","C"},MID(L535,2,LEN(L535))&amp;"ABC")))</f>
        <v/>
      </c>
      <c r="N535" s="24" t="str">
        <f t="array" ref="N535">SUBSTITUTE(L535,M535,"")</f>
        <v/>
      </c>
      <c r="W535" s="369" t="str">
        <f t="shared" si="35"/>
        <v/>
      </c>
      <c r="X535" s="258" t="str">
        <f t="shared" si="32"/>
        <v/>
      </c>
      <c r="Y535" s="36" t="str">
        <f t="shared" si="34"/>
        <v/>
      </c>
      <c r="Z535" s="340" t="str">
        <f>IF(AND(C535&gt;0,D535&lt;&gt;"",S535=""),VLOOKUP(A535&amp;IF(H535="黑丝","黑","白")&amp;E535,经纬!A:M,13,FALSE)*(I535-AB535),"")</f>
        <v/>
      </c>
      <c r="AA535" s="340" t="str">
        <f>IF(AND(C535&gt;0,D535&lt;&gt;"",S535=""),VLOOKUP(A535&amp;IF(H535="黑丝","黑","白")&amp;E535,经纬!A:N,14,FALSE)*(I535-AB535),"")</f>
        <v/>
      </c>
    </row>
    <row r="536" spans="4:27">
      <c r="D536" s="8" t="str">
        <f t="shared" si="33"/>
        <v/>
      </c>
      <c r="M536" s="24" t="str">
        <f t="array" ref="M536">LEFT(L536,MIN(FIND({"A","B","C"},MID(L536,2,LEN(L536))&amp;"ABC")))</f>
        <v/>
      </c>
      <c r="N536" s="24" t="str">
        <f t="array" ref="N536">SUBSTITUTE(L536,M536,"")</f>
        <v/>
      </c>
      <c r="W536" s="369" t="str">
        <f t="shared" si="35"/>
        <v/>
      </c>
      <c r="X536" s="258" t="str">
        <f t="shared" si="32"/>
        <v/>
      </c>
      <c r="Y536" s="36" t="str">
        <f t="shared" si="34"/>
        <v/>
      </c>
      <c r="Z536" s="340" t="str">
        <f>IF(AND(C536&gt;0,D536&lt;&gt;"",S536=""),VLOOKUP(A536&amp;IF(H536="黑丝","黑","白")&amp;E536,经纬!A:M,13,FALSE)*(I536-AB536),"")</f>
        <v/>
      </c>
      <c r="AA536" s="340" t="str">
        <f>IF(AND(C536&gt;0,D536&lt;&gt;"",S536=""),VLOOKUP(A536&amp;IF(H536="黑丝","黑","白")&amp;E536,经纬!A:N,14,FALSE)*(I536-AB536),"")</f>
        <v/>
      </c>
    </row>
    <row r="537" spans="4:27">
      <c r="D537" s="8" t="str">
        <f t="shared" si="33"/>
        <v/>
      </c>
      <c r="M537" s="24" t="str">
        <f t="array" ref="M537">LEFT(L537,MIN(FIND({"A","B","C"},MID(L537,2,LEN(L537))&amp;"ABC")))</f>
        <v/>
      </c>
      <c r="N537" s="24" t="str">
        <f t="array" ref="N537">SUBSTITUTE(L537,M537,"")</f>
        <v/>
      </c>
      <c r="W537" s="369" t="str">
        <f t="shared" si="35"/>
        <v/>
      </c>
      <c r="X537" s="258" t="str">
        <f t="shared" si="32"/>
        <v/>
      </c>
      <c r="Y537" s="36" t="str">
        <f t="shared" si="34"/>
        <v/>
      </c>
      <c r="Z537" s="340" t="str">
        <f>IF(AND(C537&gt;0,D537&lt;&gt;"",S537=""),VLOOKUP(A537&amp;IF(H537="黑丝","黑","白")&amp;E537,经纬!A:M,13,FALSE)*(I537-AB537),"")</f>
        <v/>
      </c>
      <c r="AA537" s="340" t="str">
        <f>IF(AND(C537&gt;0,D537&lt;&gt;"",S537=""),VLOOKUP(A537&amp;IF(H537="黑丝","黑","白")&amp;E537,经纬!A:N,14,FALSE)*(I537-AB537),"")</f>
        <v/>
      </c>
    </row>
    <row r="538" spans="4:27">
      <c r="D538" s="8" t="str">
        <f t="shared" si="33"/>
        <v/>
      </c>
      <c r="M538" s="24" t="str">
        <f t="array" ref="M538">LEFT(L538,MIN(FIND({"A","B","C"},MID(L538,2,LEN(L538))&amp;"ABC")))</f>
        <v/>
      </c>
      <c r="N538" s="24" t="str">
        <f t="array" ref="N538">SUBSTITUTE(L538,M538,"")</f>
        <v/>
      </c>
      <c r="W538" s="369" t="str">
        <f t="shared" si="35"/>
        <v/>
      </c>
      <c r="X538" s="258" t="str">
        <f t="shared" si="32"/>
        <v/>
      </c>
      <c r="Y538" s="36" t="str">
        <f t="shared" si="34"/>
        <v/>
      </c>
      <c r="Z538" s="340" t="str">
        <f>IF(AND(C538&gt;0,D538&lt;&gt;"",S538=""),VLOOKUP(A538&amp;IF(H538="黑丝","黑","白")&amp;E538,经纬!A:M,13,FALSE)*(I538-AB538),"")</f>
        <v/>
      </c>
      <c r="AA538" s="340" t="str">
        <f>IF(AND(C538&gt;0,D538&lt;&gt;"",S538=""),VLOOKUP(A538&amp;IF(H538="黑丝","黑","白")&amp;E538,经纬!A:N,14,FALSE)*(I538-AB538),"")</f>
        <v/>
      </c>
    </row>
    <row r="539" spans="4:27">
      <c r="D539" s="8" t="str">
        <f t="shared" si="33"/>
        <v/>
      </c>
      <c r="M539" s="24" t="str">
        <f t="array" ref="M539">LEFT(L539,MIN(FIND({"A","B","C"},MID(L539,2,LEN(L539))&amp;"ABC")))</f>
        <v/>
      </c>
      <c r="N539" s="24" t="str">
        <f t="array" ref="N539">SUBSTITUTE(L539,M539,"")</f>
        <v/>
      </c>
      <c r="W539" s="369" t="str">
        <f t="shared" si="35"/>
        <v/>
      </c>
      <c r="X539" s="258" t="str">
        <f t="shared" si="32"/>
        <v/>
      </c>
      <c r="Y539" s="36" t="str">
        <f t="shared" si="34"/>
        <v/>
      </c>
      <c r="Z539" s="340" t="str">
        <f>IF(AND(C539&gt;0,D539&lt;&gt;"",S539=""),VLOOKUP(A539&amp;IF(H539="黑丝","黑","白")&amp;E539,经纬!A:M,13,FALSE)*(I539-AB539),"")</f>
        <v/>
      </c>
      <c r="AA539" s="340" t="str">
        <f>IF(AND(C539&gt;0,D539&lt;&gt;"",S539=""),VLOOKUP(A539&amp;IF(H539="黑丝","黑","白")&amp;E539,经纬!A:N,14,FALSE)*(I539-AB539),"")</f>
        <v/>
      </c>
    </row>
    <row r="540" spans="4:27">
      <c r="D540" s="8" t="str">
        <f t="shared" si="33"/>
        <v/>
      </c>
      <c r="M540" s="24" t="str">
        <f t="array" ref="M540">LEFT(L540,MIN(FIND({"A","B","C"},MID(L540,2,LEN(L540))&amp;"ABC")))</f>
        <v/>
      </c>
      <c r="N540" s="24" t="str">
        <f t="array" ref="N540">SUBSTITUTE(L540,M540,"")</f>
        <v/>
      </c>
      <c r="W540" s="369" t="str">
        <f t="shared" si="35"/>
        <v/>
      </c>
      <c r="X540" s="258" t="str">
        <f t="shared" ref="X540:X603" si="36">IF(B540="","",IF(S540&lt;&gt;"","",IF(AND(Z540&lt;&gt;"",AA540&lt;&gt;""),SUM(Z540:AA540),IF(AB540&lt;&gt;"",(I540/((1/((G540+2)/100*K540/1000))*0.9144)/IF(H540="黑丝",22,20)-AB540)*(IF(H540="黑丝",22,20)),I540/((1/((G540+2)/100*K540/1000))*0.9144)))))</f>
        <v/>
      </c>
      <c r="Y540" s="36" t="str">
        <f t="shared" si="34"/>
        <v/>
      </c>
      <c r="Z540" s="340" t="str">
        <f>IF(AND(C540&gt;0,D540&lt;&gt;"",S540=""),VLOOKUP(A540&amp;IF(H540="黑丝","黑","白")&amp;E540,经纬!A:M,13,FALSE)*(I540-AB540),"")</f>
        <v/>
      </c>
      <c r="AA540" s="340" t="str">
        <f>IF(AND(C540&gt;0,D540&lt;&gt;"",S540=""),VLOOKUP(A540&amp;IF(H540="黑丝","黑","白")&amp;E540,经纬!A:N,14,FALSE)*(I540-AB540),"")</f>
        <v/>
      </c>
    </row>
    <row r="541" spans="4:27">
      <c r="D541" s="8" t="str">
        <f t="shared" si="33"/>
        <v/>
      </c>
      <c r="M541" s="24" t="str">
        <f t="array" ref="M541">LEFT(L541,MIN(FIND({"A","B","C"},MID(L541,2,LEN(L541))&amp;"ABC")))</f>
        <v/>
      </c>
      <c r="N541" s="24" t="str">
        <f t="array" ref="N541">SUBSTITUTE(L541,M541,"")</f>
        <v/>
      </c>
      <c r="W541" s="369" t="str">
        <f t="shared" si="35"/>
        <v/>
      </c>
      <c r="X541" s="258" t="str">
        <f t="shared" si="36"/>
        <v/>
      </c>
      <c r="Y541" s="36" t="str">
        <f t="shared" si="34"/>
        <v/>
      </c>
      <c r="Z541" s="340" t="str">
        <f>IF(AND(C541&gt;0,D541&lt;&gt;"",S541=""),VLOOKUP(A541&amp;IF(H541="黑丝","黑","白")&amp;E541,经纬!A:M,13,FALSE)*(I541-AB541),"")</f>
        <v/>
      </c>
      <c r="AA541" s="340" t="str">
        <f>IF(AND(C541&gt;0,D541&lt;&gt;"",S541=""),VLOOKUP(A541&amp;IF(H541="黑丝","黑","白")&amp;E541,经纬!A:N,14,FALSE)*(I541-AB541),"")</f>
        <v/>
      </c>
    </row>
    <row r="542" spans="4:27">
      <c r="D542" s="8" t="str">
        <f t="shared" si="33"/>
        <v/>
      </c>
      <c r="M542" s="24" t="str">
        <f t="array" ref="M542">LEFT(L542,MIN(FIND({"A","B","C"},MID(L542,2,LEN(L542))&amp;"ABC")))</f>
        <v/>
      </c>
      <c r="N542" s="24" t="str">
        <f t="array" ref="N542">SUBSTITUTE(L542,M542,"")</f>
        <v/>
      </c>
      <c r="W542" s="369" t="str">
        <f t="shared" si="35"/>
        <v/>
      </c>
      <c r="X542" s="258" t="str">
        <f t="shared" si="36"/>
        <v/>
      </c>
      <c r="Y542" s="36" t="str">
        <f t="shared" si="34"/>
        <v/>
      </c>
      <c r="Z542" s="340" t="str">
        <f>IF(AND(C542&gt;0,D542&lt;&gt;"",S542=""),VLOOKUP(A542&amp;IF(H542="黑丝","黑","白")&amp;E542,经纬!A:M,13,FALSE)*(I542-AB542),"")</f>
        <v/>
      </c>
      <c r="AA542" s="340" t="str">
        <f>IF(AND(C542&gt;0,D542&lt;&gt;"",S542=""),VLOOKUP(A542&amp;IF(H542="黑丝","黑","白")&amp;E542,经纬!A:N,14,FALSE)*(I542-AB542),"")</f>
        <v/>
      </c>
    </row>
    <row r="543" spans="4:27">
      <c r="D543" s="8" t="str">
        <f t="shared" si="33"/>
        <v/>
      </c>
      <c r="M543" s="24" t="str">
        <f t="array" ref="M543">LEFT(L543,MIN(FIND({"A","B","C"},MID(L543,2,LEN(L543))&amp;"ABC")))</f>
        <v/>
      </c>
      <c r="N543" s="24" t="str">
        <f t="array" ref="N543">SUBSTITUTE(L543,M543,"")</f>
        <v/>
      </c>
      <c r="W543" s="369" t="str">
        <f t="shared" si="35"/>
        <v/>
      </c>
      <c r="X543" s="258" t="str">
        <f t="shared" si="36"/>
        <v/>
      </c>
      <c r="Y543" s="36" t="str">
        <f t="shared" si="34"/>
        <v/>
      </c>
      <c r="Z543" s="340" t="str">
        <f>IF(AND(C543&gt;0,D543&lt;&gt;"",S543=""),VLOOKUP(A543&amp;IF(H543="黑丝","黑","白")&amp;E543,经纬!A:M,13,FALSE)*(I543-AB543),"")</f>
        <v/>
      </c>
      <c r="AA543" s="340" t="str">
        <f>IF(AND(C543&gt;0,D543&lt;&gt;"",S543=""),VLOOKUP(A543&amp;IF(H543="黑丝","黑","白")&amp;E543,经纬!A:N,14,FALSE)*(I543-AB543),"")</f>
        <v/>
      </c>
    </row>
    <row r="544" spans="4:27">
      <c r="D544" s="8" t="str">
        <f t="shared" si="33"/>
        <v/>
      </c>
      <c r="M544" s="24" t="str">
        <f t="array" ref="M544">LEFT(L544,MIN(FIND({"A","B","C"},MID(L544,2,LEN(L544))&amp;"ABC")))</f>
        <v/>
      </c>
      <c r="N544" s="24" t="str">
        <f t="array" ref="N544">SUBSTITUTE(L544,M544,"")</f>
        <v/>
      </c>
      <c r="W544" s="369" t="str">
        <f t="shared" si="35"/>
        <v/>
      </c>
      <c r="X544" s="258" t="str">
        <f t="shared" si="36"/>
        <v/>
      </c>
      <c r="Y544" s="36" t="str">
        <f t="shared" si="34"/>
        <v/>
      </c>
      <c r="Z544" s="340" t="str">
        <f>IF(AND(C544&gt;0,D544&lt;&gt;"",S544=""),VLOOKUP(A544&amp;IF(H544="黑丝","黑","白")&amp;E544,经纬!A:M,13,FALSE)*(I544-AB544),"")</f>
        <v/>
      </c>
      <c r="AA544" s="340" t="str">
        <f>IF(AND(C544&gt;0,D544&lt;&gt;"",S544=""),VLOOKUP(A544&amp;IF(H544="黑丝","黑","白")&amp;E544,经纬!A:N,14,FALSE)*(I544-AB544),"")</f>
        <v/>
      </c>
    </row>
    <row r="545" spans="4:27">
      <c r="D545" s="8" t="str">
        <f t="shared" ref="D545:D578" si="37">IF(ISERROR(FIND("*",B545)),"",RIGHT(B545,LEN(B545)-FIND("*",B545)))</f>
        <v/>
      </c>
      <c r="M545" s="24" t="str">
        <f t="array" ref="M545">LEFT(L545,MIN(FIND({"A","B","C"},MID(L545,2,LEN(L545))&amp;"ABC")))</f>
        <v/>
      </c>
      <c r="N545" s="24" t="str">
        <f t="array" ref="N545">SUBSTITUTE(L545,M545,"")</f>
        <v/>
      </c>
      <c r="W545" s="369" t="str">
        <f t="shared" si="35"/>
        <v/>
      </c>
      <c r="X545" s="258" t="str">
        <f t="shared" si="36"/>
        <v/>
      </c>
      <c r="Y545" s="36" t="str">
        <f t="shared" si="34"/>
        <v/>
      </c>
      <c r="Z545" s="340" t="str">
        <f>IF(AND(C545&gt;0,D545&lt;&gt;"",S545=""),VLOOKUP(A545&amp;IF(H545="黑丝","黑","白")&amp;E545,经纬!A:M,13,FALSE)*(I545-AB545),"")</f>
        <v/>
      </c>
      <c r="AA545" s="340" t="str">
        <f>IF(AND(C545&gt;0,D545&lt;&gt;"",S545=""),VLOOKUP(A545&amp;IF(H545="黑丝","黑","白")&amp;E545,经纬!A:N,14,FALSE)*(I545-AB545),"")</f>
        <v/>
      </c>
    </row>
    <row r="546" spans="4:27">
      <c r="D546" s="8" t="str">
        <f t="shared" si="37"/>
        <v/>
      </c>
      <c r="M546" s="24" t="str">
        <f t="array" ref="M546">LEFT(L546,MIN(FIND({"A","B","C"},MID(L546,2,LEN(L546))&amp;"ABC")))</f>
        <v/>
      </c>
      <c r="N546" s="24" t="str">
        <f t="array" ref="N546">SUBSTITUTE(L546,M546,"")</f>
        <v/>
      </c>
      <c r="W546" s="369" t="str">
        <f t="shared" si="35"/>
        <v/>
      </c>
      <c r="X546" s="258" t="str">
        <f t="shared" si="36"/>
        <v/>
      </c>
      <c r="Y546" s="36" t="str">
        <f t="shared" si="34"/>
        <v/>
      </c>
      <c r="Z546" s="340" t="str">
        <f>IF(AND(C546&gt;0,D546&lt;&gt;"",S546=""),VLOOKUP(A546&amp;IF(H546="黑丝","黑","白")&amp;E546,经纬!A:M,13,FALSE)*(I546-AB546),"")</f>
        <v/>
      </c>
      <c r="AA546" s="340" t="str">
        <f>IF(AND(C546&gt;0,D546&lt;&gt;"",S546=""),VLOOKUP(A546&amp;IF(H546="黑丝","黑","白")&amp;E546,经纬!A:N,14,FALSE)*(I546-AB546),"")</f>
        <v/>
      </c>
    </row>
    <row r="547" spans="4:27">
      <c r="D547" s="8" t="str">
        <f t="shared" si="37"/>
        <v/>
      </c>
      <c r="M547" s="24" t="str">
        <f t="array" ref="M547">LEFT(L547,MIN(FIND({"A","B","C"},MID(L547,2,LEN(L547))&amp;"ABC")))</f>
        <v/>
      </c>
      <c r="N547" s="24" t="str">
        <f t="array" ref="N547">SUBSTITUTE(L547,M547,"")</f>
        <v/>
      </c>
      <c r="W547" s="369" t="str">
        <f t="shared" si="35"/>
        <v/>
      </c>
      <c r="X547" s="258" t="str">
        <f t="shared" si="36"/>
        <v/>
      </c>
      <c r="Y547" s="36" t="str">
        <f t="shared" si="34"/>
        <v/>
      </c>
      <c r="Z547" s="340" t="str">
        <f>IF(AND(C547&gt;0,D547&lt;&gt;"",S547=""),VLOOKUP(A547&amp;IF(H547="黑丝","黑","白")&amp;E547,经纬!A:M,13,FALSE)*(I547-AB547),"")</f>
        <v/>
      </c>
      <c r="AA547" s="340" t="str">
        <f>IF(AND(C547&gt;0,D547&lt;&gt;"",S547=""),VLOOKUP(A547&amp;IF(H547="黑丝","黑","白")&amp;E547,经纬!A:N,14,FALSE)*(I547-AB547),"")</f>
        <v/>
      </c>
    </row>
    <row r="548" spans="4:27">
      <c r="D548" s="8" t="str">
        <f t="shared" si="37"/>
        <v/>
      </c>
      <c r="M548" s="24" t="str">
        <f t="array" ref="M548">LEFT(L548,MIN(FIND({"A","B","C"},MID(L548,2,LEN(L548))&amp;"ABC")))</f>
        <v/>
      </c>
      <c r="N548" s="24" t="str">
        <f t="array" ref="N548">SUBSTITUTE(L548,M548,"")</f>
        <v/>
      </c>
      <c r="W548" s="369" t="str">
        <f t="shared" si="35"/>
        <v/>
      </c>
      <c r="X548" s="258" t="str">
        <f t="shared" si="36"/>
        <v/>
      </c>
      <c r="Y548" s="36" t="str">
        <f t="shared" si="34"/>
        <v/>
      </c>
      <c r="Z548" s="340" t="str">
        <f>IF(AND(C548&gt;0,D548&lt;&gt;"",S548=""),VLOOKUP(A548&amp;IF(H548="黑丝","黑","白")&amp;E548,经纬!A:M,13,FALSE)*(I548-AB548),"")</f>
        <v/>
      </c>
      <c r="AA548" s="340" t="str">
        <f>IF(AND(C548&gt;0,D548&lt;&gt;"",S548=""),VLOOKUP(A548&amp;IF(H548="黑丝","黑","白")&amp;E548,经纬!A:N,14,FALSE)*(I548-AB548),"")</f>
        <v/>
      </c>
    </row>
    <row r="549" spans="4:27">
      <c r="D549" s="8" t="str">
        <f t="shared" si="37"/>
        <v/>
      </c>
      <c r="M549" s="24" t="str">
        <f t="array" ref="M549">LEFT(L549,MIN(FIND({"A","B","C"},MID(L549,2,LEN(L549))&amp;"ABC")))</f>
        <v/>
      </c>
      <c r="N549" s="24" t="str">
        <f t="array" ref="N549">SUBSTITUTE(L549,M549,"")</f>
        <v/>
      </c>
      <c r="W549" s="369" t="str">
        <f t="shared" si="35"/>
        <v/>
      </c>
      <c r="X549" s="258" t="str">
        <f t="shared" si="36"/>
        <v/>
      </c>
      <c r="Y549" s="36" t="str">
        <f t="shared" si="34"/>
        <v/>
      </c>
      <c r="Z549" s="340" t="str">
        <f>IF(AND(C549&gt;0,D549&lt;&gt;"",S549=""),VLOOKUP(A549&amp;IF(H549="黑丝","黑","白")&amp;E549,经纬!A:M,13,FALSE)*(I549-AB549),"")</f>
        <v/>
      </c>
      <c r="AA549" s="340" t="str">
        <f>IF(AND(C549&gt;0,D549&lt;&gt;"",S549=""),VLOOKUP(A549&amp;IF(H549="黑丝","黑","白")&amp;E549,经纬!A:N,14,FALSE)*(I549-AB549),"")</f>
        <v/>
      </c>
    </row>
    <row r="550" spans="4:27">
      <c r="D550" s="8" t="str">
        <f t="shared" si="37"/>
        <v/>
      </c>
      <c r="M550" s="24" t="str">
        <f t="array" ref="M550">LEFT(L550,MIN(FIND({"A","B","C"},MID(L550,2,LEN(L550))&amp;"ABC")))</f>
        <v/>
      </c>
      <c r="N550" s="24" t="str">
        <f t="array" ref="N550">SUBSTITUTE(L550,M550,"")</f>
        <v/>
      </c>
      <c r="W550" s="369" t="str">
        <f t="shared" si="35"/>
        <v/>
      </c>
      <c r="X550" s="258" t="str">
        <f t="shared" si="36"/>
        <v/>
      </c>
      <c r="Y550" s="36" t="str">
        <f t="shared" si="34"/>
        <v/>
      </c>
      <c r="Z550" s="340" t="str">
        <f>IF(AND(C550&gt;0,D550&lt;&gt;"",S550=""),VLOOKUP(A550&amp;IF(H550="黑丝","黑","白")&amp;E550,经纬!A:M,13,FALSE)*(I550-AB550),"")</f>
        <v/>
      </c>
      <c r="AA550" s="340" t="str">
        <f>IF(AND(C550&gt;0,D550&lt;&gt;"",S550=""),VLOOKUP(A550&amp;IF(H550="黑丝","黑","白")&amp;E550,经纬!A:N,14,FALSE)*(I550-AB550),"")</f>
        <v/>
      </c>
    </row>
    <row r="551" spans="4:27">
      <c r="D551" s="8" t="str">
        <f t="shared" si="37"/>
        <v/>
      </c>
      <c r="M551" s="24" t="str">
        <f t="array" ref="M551">LEFT(L551,MIN(FIND({"A","B","C"},MID(L551,2,LEN(L551))&amp;"ABC")))</f>
        <v/>
      </c>
      <c r="N551" s="24" t="str">
        <f t="array" ref="N551">SUBSTITUTE(L551,M551,"")</f>
        <v/>
      </c>
      <c r="W551" s="369" t="str">
        <f t="shared" si="35"/>
        <v/>
      </c>
      <c r="X551" s="258" t="str">
        <f t="shared" si="36"/>
        <v/>
      </c>
      <c r="Y551" s="36" t="str">
        <f t="shared" si="34"/>
        <v/>
      </c>
      <c r="Z551" s="340" t="str">
        <f>IF(AND(C551&gt;0,D551&lt;&gt;"",S551=""),VLOOKUP(A551&amp;IF(H551="黑丝","黑","白")&amp;E551,经纬!A:M,13,FALSE)*(I551-AB551),"")</f>
        <v/>
      </c>
      <c r="AA551" s="340" t="str">
        <f>IF(AND(C551&gt;0,D551&lt;&gt;"",S551=""),VLOOKUP(A551&amp;IF(H551="黑丝","黑","白")&amp;E551,经纬!A:N,14,FALSE)*(I551-AB551),"")</f>
        <v/>
      </c>
    </row>
    <row r="552" spans="4:27">
      <c r="D552" s="8" t="str">
        <f t="shared" si="37"/>
        <v/>
      </c>
      <c r="M552" s="24" t="str">
        <f t="array" ref="M552">LEFT(L552,MIN(FIND({"A","B","C"},MID(L552,2,LEN(L552))&amp;"ABC")))</f>
        <v/>
      </c>
      <c r="N552" s="24" t="str">
        <f t="array" ref="N552">SUBSTITUTE(L552,M552,"")</f>
        <v/>
      </c>
      <c r="W552" s="369" t="str">
        <f t="shared" si="35"/>
        <v/>
      </c>
      <c r="X552" s="258" t="str">
        <f t="shared" si="36"/>
        <v/>
      </c>
      <c r="Y552" s="36" t="str">
        <f t="shared" si="34"/>
        <v/>
      </c>
      <c r="Z552" s="340" t="str">
        <f>IF(AND(C552&gt;0,D552&lt;&gt;"",S552=""),VLOOKUP(A552&amp;IF(H552="黑丝","黑","白")&amp;E552,经纬!A:M,13,FALSE)*(I552-AB552),"")</f>
        <v/>
      </c>
      <c r="AA552" s="340" t="str">
        <f>IF(AND(C552&gt;0,D552&lt;&gt;"",S552=""),VLOOKUP(A552&amp;IF(H552="黑丝","黑","白")&amp;E552,经纬!A:N,14,FALSE)*(I552-AB552),"")</f>
        <v/>
      </c>
    </row>
    <row r="553" spans="4:27">
      <c r="D553" s="8" t="str">
        <f t="shared" si="37"/>
        <v/>
      </c>
      <c r="M553" s="24" t="str">
        <f t="array" ref="M553">LEFT(L553,MIN(FIND({"A","B","C"},MID(L553,2,LEN(L553))&amp;"ABC")))</f>
        <v/>
      </c>
      <c r="N553" s="24" t="str">
        <f t="array" ref="N553">SUBSTITUTE(L553,M553,"")</f>
        <v/>
      </c>
      <c r="W553" s="369" t="str">
        <f t="shared" si="35"/>
        <v/>
      </c>
      <c r="X553" s="258" t="str">
        <f t="shared" si="36"/>
        <v/>
      </c>
      <c r="Y553" s="36" t="str">
        <f t="shared" ref="Y553:Y616" si="38">IF(OR(B553="",D553&lt;&gt;""),"",IF(S553&lt;&gt;"","",I553/((1/((G553+2)/100*K553/1000))*0.9144)/IF(H553="黑丝",22,20)-AB553))</f>
        <v/>
      </c>
      <c r="Z553" s="340" t="str">
        <f>IF(AND(C553&gt;0,D553&lt;&gt;"",S553=""),VLOOKUP(A553&amp;IF(H553="黑丝","黑","白")&amp;E553,经纬!A:M,13,FALSE)*(I553-AB553),"")</f>
        <v/>
      </c>
      <c r="AA553" s="340" t="str">
        <f>IF(AND(C553&gt;0,D553&lt;&gt;"",S553=""),VLOOKUP(A553&amp;IF(H553="黑丝","黑","白")&amp;E553,经纬!A:N,14,FALSE)*(I553-AB553),"")</f>
        <v/>
      </c>
    </row>
    <row r="554" spans="4:27">
      <c r="D554" s="8" t="str">
        <f t="shared" si="37"/>
        <v/>
      </c>
      <c r="M554" s="24" t="str">
        <f t="array" ref="M554">LEFT(L554,MIN(FIND({"A","B","C"},MID(L554,2,LEN(L554))&amp;"ABC")))</f>
        <v/>
      </c>
      <c r="N554" s="24" t="str">
        <f t="array" ref="N554">SUBSTITUTE(L554,M554,"")</f>
        <v/>
      </c>
      <c r="W554" s="369" t="str">
        <f t="shared" si="35"/>
        <v/>
      </c>
      <c r="X554" s="258" t="str">
        <f t="shared" si="36"/>
        <v/>
      </c>
      <c r="Y554" s="36" t="str">
        <f t="shared" si="38"/>
        <v/>
      </c>
      <c r="Z554" s="340" t="str">
        <f>IF(AND(C554&gt;0,D554&lt;&gt;"",S554=""),VLOOKUP(A554&amp;IF(H554="黑丝","黑","白")&amp;E554,经纬!A:M,13,FALSE)*(I554-AB554),"")</f>
        <v/>
      </c>
      <c r="AA554" s="340" t="str">
        <f>IF(AND(C554&gt;0,D554&lt;&gt;"",S554=""),VLOOKUP(A554&amp;IF(H554="黑丝","黑","白")&amp;E554,经纬!A:N,14,FALSE)*(I554-AB554),"")</f>
        <v/>
      </c>
    </row>
    <row r="555" spans="4:27">
      <c r="D555" s="8" t="str">
        <f t="shared" si="37"/>
        <v/>
      </c>
      <c r="M555" s="24" t="str">
        <f t="array" ref="M555">LEFT(L555,MIN(FIND({"A","B","C"},MID(L555,2,LEN(L555))&amp;"ABC")))</f>
        <v/>
      </c>
      <c r="N555" s="24" t="str">
        <f t="array" ref="N555">SUBSTITUTE(L555,M555,"")</f>
        <v/>
      </c>
      <c r="W555" s="369" t="str">
        <f t="shared" si="35"/>
        <v/>
      </c>
      <c r="X555" s="258" t="str">
        <f t="shared" si="36"/>
        <v/>
      </c>
      <c r="Y555" s="36" t="str">
        <f t="shared" si="38"/>
        <v/>
      </c>
      <c r="Z555" s="340" t="str">
        <f>IF(AND(C555&gt;0,D555&lt;&gt;"",S555=""),VLOOKUP(A555&amp;IF(H555="黑丝","黑","白")&amp;E555,经纬!A:M,13,FALSE)*(I555-AB555),"")</f>
        <v/>
      </c>
      <c r="AA555" s="340" t="str">
        <f>IF(AND(C555&gt;0,D555&lt;&gt;"",S555=""),VLOOKUP(A555&amp;IF(H555="黑丝","黑","白")&amp;E555,经纬!A:N,14,FALSE)*(I555-AB555),"")</f>
        <v/>
      </c>
    </row>
    <row r="556" spans="4:27">
      <c r="D556" s="8" t="str">
        <f t="shared" si="37"/>
        <v/>
      </c>
      <c r="M556" s="24" t="str">
        <f t="array" ref="M556">LEFT(L556,MIN(FIND({"A","B","C"},MID(L556,2,LEN(L556))&amp;"ABC")))</f>
        <v/>
      </c>
      <c r="N556" s="24" t="str">
        <f t="array" ref="N556">SUBSTITUTE(L556,M556,"")</f>
        <v/>
      </c>
      <c r="W556" s="369" t="str">
        <f t="shared" si="35"/>
        <v/>
      </c>
      <c r="X556" s="258" t="str">
        <f t="shared" si="36"/>
        <v/>
      </c>
      <c r="Y556" s="36" t="str">
        <f t="shared" si="38"/>
        <v/>
      </c>
      <c r="Z556" s="340" t="str">
        <f>IF(AND(C556&gt;0,D556&lt;&gt;"",S556=""),VLOOKUP(A556&amp;IF(H556="黑丝","黑","白")&amp;E556,经纬!A:M,13,FALSE)*(I556-AB556),"")</f>
        <v/>
      </c>
      <c r="AA556" s="340" t="str">
        <f>IF(AND(C556&gt;0,D556&lt;&gt;"",S556=""),VLOOKUP(A556&amp;IF(H556="黑丝","黑","白")&amp;E556,经纬!A:N,14,FALSE)*(I556-AB556),"")</f>
        <v/>
      </c>
    </row>
    <row r="557" spans="4:27">
      <c r="D557" s="8" t="str">
        <f t="shared" si="37"/>
        <v/>
      </c>
      <c r="M557" s="24" t="str">
        <f t="array" ref="M557">LEFT(L557,MIN(FIND({"A","B","C"},MID(L557,2,LEN(L557))&amp;"ABC")))</f>
        <v/>
      </c>
      <c r="N557" s="24" t="str">
        <f t="array" ref="N557">SUBSTITUTE(L557,M557,"")</f>
        <v/>
      </c>
      <c r="W557" s="369" t="str">
        <f t="shared" si="35"/>
        <v/>
      </c>
      <c r="X557" s="258" t="str">
        <f t="shared" si="36"/>
        <v/>
      </c>
      <c r="Y557" s="36" t="str">
        <f t="shared" si="38"/>
        <v/>
      </c>
      <c r="Z557" s="340" t="str">
        <f>IF(AND(C557&gt;0,D557&lt;&gt;"",S557=""),VLOOKUP(A557&amp;IF(H557="黑丝","黑","白")&amp;E557,经纬!A:M,13,FALSE)*(I557-AB557),"")</f>
        <v/>
      </c>
      <c r="AA557" s="340" t="str">
        <f>IF(AND(C557&gt;0,D557&lt;&gt;"",S557=""),VLOOKUP(A557&amp;IF(H557="黑丝","黑","白")&amp;E557,经纬!A:N,14,FALSE)*(I557-AB557),"")</f>
        <v/>
      </c>
    </row>
    <row r="558" spans="4:27">
      <c r="D558" s="8" t="str">
        <f t="shared" si="37"/>
        <v/>
      </c>
      <c r="M558" s="24" t="str">
        <f t="array" ref="M558">LEFT(L558,MIN(FIND({"A","B","C"},MID(L558,2,LEN(L558))&amp;"ABC")))</f>
        <v/>
      </c>
      <c r="N558" s="24" t="str">
        <f t="array" ref="N558">SUBSTITUTE(L558,M558,"")</f>
        <v/>
      </c>
      <c r="W558" s="369" t="str">
        <f t="shared" si="35"/>
        <v/>
      </c>
      <c r="X558" s="258" t="str">
        <f t="shared" si="36"/>
        <v/>
      </c>
      <c r="Y558" s="36" t="str">
        <f t="shared" si="38"/>
        <v/>
      </c>
      <c r="Z558" s="340" t="str">
        <f>IF(AND(C558&gt;0,D558&lt;&gt;"",S558=""),VLOOKUP(A558&amp;IF(H558="黑丝","黑","白")&amp;E558,经纬!A:M,13,FALSE)*(I558-AB558),"")</f>
        <v/>
      </c>
      <c r="AA558" s="340" t="str">
        <f>IF(AND(C558&gt;0,D558&lt;&gt;"",S558=""),VLOOKUP(A558&amp;IF(H558="黑丝","黑","白")&amp;E558,经纬!A:N,14,FALSE)*(I558-AB558),"")</f>
        <v/>
      </c>
    </row>
    <row r="559" spans="4:27">
      <c r="D559" s="8" t="str">
        <f t="shared" si="37"/>
        <v/>
      </c>
      <c r="M559" s="24" t="str">
        <f t="array" ref="M559">LEFT(L559,MIN(FIND({"A","B","C"},MID(L559,2,LEN(L559))&amp;"ABC")))</f>
        <v/>
      </c>
      <c r="N559" s="24" t="str">
        <f t="array" ref="N559">SUBSTITUTE(L559,M559,"")</f>
        <v/>
      </c>
      <c r="W559" s="369" t="str">
        <f t="shared" si="35"/>
        <v/>
      </c>
      <c r="X559" s="258" t="str">
        <f t="shared" si="36"/>
        <v/>
      </c>
      <c r="Y559" s="36" t="str">
        <f t="shared" si="38"/>
        <v/>
      </c>
      <c r="Z559" s="340" t="str">
        <f>IF(AND(C559&gt;0,D559&lt;&gt;"",S559=""),VLOOKUP(A559&amp;IF(H559="黑丝","黑","白")&amp;E559,经纬!A:M,13,FALSE)*(I559-AB559),"")</f>
        <v/>
      </c>
      <c r="AA559" s="340" t="str">
        <f>IF(AND(C559&gt;0,D559&lt;&gt;"",S559=""),VLOOKUP(A559&amp;IF(H559="黑丝","黑","白")&amp;E559,经纬!A:N,14,FALSE)*(I559-AB559),"")</f>
        <v/>
      </c>
    </row>
    <row r="560" spans="4:27">
      <c r="D560" s="8" t="str">
        <f t="shared" si="37"/>
        <v/>
      </c>
      <c r="M560" s="24" t="str">
        <f t="array" ref="M560">LEFT(L560,MIN(FIND({"A","B","C"},MID(L560,2,LEN(L560))&amp;"ABC")))</f>
        <v/>
      </c>
      <c r="N560" s="24" t="str">
        <f t="array" ref="N560">SUBSTITUTE(L560,M560,"")</f>
        <v/>
      </c>
      <c r="W560" s="369" t="str">
        <f t="shared" si="35"/>
        <v/>
      </c>
      <c r="X560" s="258" t="str">
        <f t="shared" si="36"/>
        <v/>
      </c>
      <c r="Y560" s="36" t="str">
        <f t="shared" si="38"/>
        <v/>
      </c>
      <c r="Z560" s="340" t="str">
        <f>IF(AND(C560&gt;0,D560&lt;&gt;"",S560=""),VLOOKUP(A560&amp;IF(H560="黑丝","黑","白")&amp;E560,经纬!A:M,13,FALSE)*(I560-AB560),"")</f>
        <v/>
      </c>
      <c r="AA560" s="340" t="str">
        <f>IF(AND(C560&gt;0,D560&lt;&gt;"",S560=""),VLOOKUP(A560&amp;IF(H560="黑丝","黑","白")&amp;E560,经纬!A:N,14,FALSE)*(I560-AB560),"")</f>
        <v/>
      </c>
    </row>
    <row r="561" spans="4:27">
      <c r="D561" s="8" t="str">
        <f t="shared" si="37"/>
        <v/>
      </c>
      <c r="M561" s="24" t="str">
        <f t="array" ref="M561">LEFT(L561,MIN(FIND({"A","B","C"},MID(L561,2,LEN(L561))&amp;"ABC")))</f>
        <v/>
      </c>
      <c r="N561" s="24" t="str">
        <f t="array" ref="N561">SUBSTITUTE(L561,M561,"")</f>
        <v/>
      </c>
      <c r="W561" s="369" t="str">
        <f t="shared" si="35"/>
        <v/>
      </c>
      <c r="X561" s="258" t="str">
        <f t="shared" si="36"/>
        <v/>
      </c>
      <c r="Y561" s="36" t="str">
        <f t="shared" si="38"/>
        <v/>
      </c>
      <c r="Z561" s="340" t="str">
        <f>IF(AND(C561&gt;0,D561&lt;&gt;"",S561=""),VLOOKUP(A561&amp;IF(H561="黑丝","黑","白")&amp;E561,经纬!A:M,13,FALSE)*(I561-AB561),"")</f>
        <v/>
      </c>
      <c r="AA561" s="340" t="str">
        <f>IF(AND(C561&gt;0,D561&lt;&gt;"",S561=""),VLOOKUP(A561&amp;IF(H561="黑丝","黑","白")&amp;E561,经纬!A:N,14,FALSE)*(I561-AB561),"")</f>
        <v/>
      </c>
    </row>
    <row r="562" spans="4:27">
      <c r="D562" s="8" t="str">
        <f t="shared" si="37"/>
        <v/>
      </c>
      <c r="M562" s="24" t="str">
        <f t="array" ref="M562">LEFT(L562,MIN(FIND({"A","B","C"},MID(L562,2,LEN(L562))&amp;"ABC")))</f>
        <v/>
      </c>
      <c r="N562" s="24" t="str">
        <f t="array" ref="N562">SUBSTITUTE(L562,M562,"")</f>
        <v/>
      </c>
      <c r="W562" s="369" t="str">
        <f t="shared" si="35"/>
        <v/>
      </c>
      <c r="X562" s="258" t="str">
        <f t="shared" si="36"/>
        <v/>
      </c>
      <c r="Y562" s="36" t="str">
        <f t="shared" si="38"/>
        <v/>
      </c>
      <c r="Z562" s="340" t="str">
        <f>IF(AND(C562&gt;0,D562&lt;&gt;"",S562=""),VLOOKUP(A562&amp;IF(H562="黑丝","黑","白")&amp;E562,经纬!A:M,13,FALSE)*(I562-AB562),"")</f>
        <v/>
      </c>
      <c r="AA562" s="340" t="str">
        <f>IF(AND(C562&gt;0,D562&lt;&gt;"",S562=""),VLOOKUP(A562&amp;IF(H562="黑丝","黑","白")&amp;E562,经纬!A:N,14,FALSE)*(I562-AB562),"")</f>
        <v/>
      </c>
    </row>
    <row r="563" spans="4:27">
      <c r="D563" s="8" t="str">
        <f t="shared" si="37"/>
        <v/>
      </c>
      <c r="M563" s="24" t="str">
        <f t="array" ref="M563">LEFT(L563,MIN(FIND({"A","B","C"},MID(L563,2,LEN(L563))&amp;"ABC")))</f>
        <v/>
      </c>
      <c r="N563" s="24" t="str">
        <f t="array" ref="N563">SUBSTITUTE(L563,M563,"")</f>
        <v/>
      </c>
      <c r="W563" s="369" t="str">
        <f t="shared" si="35"/>
        <v/>
      </c>
      <c r="X563" s="258" t="str">
        <f t="shared" si="36"/>
        <v/>
      </c>
      <c r="Y563" s="36" t="str">
        <f t="shared" si="38"/>
        <v/>
      </c>
      <c r="Z563" s="340" t="str">
        <f>IF(AND(C563&gt;0,D563&lt;&gt;"",S563=""),VLOOKUP(A563&amp;IF(H563="黑丝","黑","白")&amp;E563,经纬!A:M,13,FALSE)*(I563-AB563),"")</f>
        <v/>
      </c>
      <c r="AA563" s="340" t="str">
        <f>IF(AND(C563&gt;0,D563&lt;&gt;"",S563=""),VLOOKUP(A563&amp;IF(H563="黑丝","黑","白")&amp;E563,经纬!A:N,14,FALSE)*(I563-AB563),"")</f>
        <v/>
      </c>
    </row>
    <row r="564" spans="4:27">
      <c r="D564" s="8" t="str">
        <f t="shared" si="37"/>
        <v/>
      </c>
      <c r="M564" s="24" t="str">
        <f t="array" ref="M564">LEFT(L564,MIN(FIND({"A","B","C"},MID(L564,2,LEN(L564))&amp;"ABC")))</f>
        <v/>
      </c>
      <c r="N564" s="24" t="str">
        <f t="array" ref="N564">SUBSTITUTE(L564,M564,"")</f>
        <v/>
      </c>
      <c r="W564" s="369" t="str">
        <f t="shared" si="35"/>
        <v/>
      </c>
      <c r="X564" s="258" t="str">
        <f t="shared" si="36"/>
        <v/>
      </c>
      <c r="Y564" s="36" t="str">
        <f t="shared" si="38"/>
        <v/>
      </c>
      <c r="Z564" s="340" t="str">
        <f>IF(AND(C564&gt;0,D564&lt;&gt;"",S564=""),VLOOKUP(A564&amp;IF(H564="黑丝","黑","白")&amp;E564,经纬!A:M,13,FALSE)*(I564-AB564),"")</f>
        <v/>
      </c>
      <c r="AA564" s="340" t="str">
        <f>IF(AND(C564&gt;0,D564&lt;&gt;"",S564=""),VLOOKUP(A564&amp;IF(H564="黑丝","黑","白")&amp;E564,经纬!A:N,14,FALSE)*(I564-AB564),"")</f>
        <v/>
      </c>
    </row>
    <row r="565" spans="4:27">
      <c r="D565" s="8" t="str">
        <f t="shared" si="37"/>
        <v/>
      </c>
      <c r="M565" s="24" t="str">
        <f t="array" ref="M565">LEFT(L565,MIN(FIND({"A","B","C"},MID(L565,2,LEN(L565))&amp;"ABC")))</f>
        <v/>
      </c>
      <c r="N565" s="24" t="str">
        <f t="array" ref="N565">SUBSTITUTE(L565,M565,"")</f>
        <v/>
      </c>
      <c r="W565" s="369" t="str">
        <f t="shared" si="35"/>
        <v/>
      </c>
      <c r="X565" s="258" t="str">
        <f t="shared" si="36"/>
        <v/>
      </c>
      <c r="Y565" s="36" t="str">
        <f t="shared" si="38"/>
        <v/>
      </c>
      <c r="Z565" s="340" t="str">
        <f>IF(AND(C565&gt;0,D565&lt;&gt;"",S565=""),VLOOKUP(A565&amp;IF(H565="黑丝","黑","白")&amp;E565,经纬!A:M,13,FALSE)*(I565-AB565),"")</f>
        <v/>
      </c>
      <c r="AA565" s="340" t="str">
        <f>IF(AND(C565&gt;0,D565&lt;&gt;"",S565=""),VLOOKUP(A565&amp;IF(H565="黑丝","黑","白")&amp;E565,经纬!A:N,14,FALSE)*(I565-AB565),"")</f>
        <v/>
      </c>
    </row>
    <row r="566" spans="4:27">
      <c r="D566" s="8" t="str">
        <f t="shared" si="37"/>
        <v/>
      </c>
      <c r="M566" s="24" t="str">
        <f t="array" ref="M566">LEFT(L566,MIN(FIND({"A","B","C"},MID(L566,2,LEN(L566))&amp;"ABC")))</f>
        <v/>
      </c>
      <c r="N566" s="24" t="str">
        <f t="array" ref="N566">SUBSTITUTE(L566,M566,"")</f>
        <v/>
      </c>
      <c r="W566" s="369" t="str">
        <f t="shared" si="35"/>
        <v/>
      </c>
      <c r="X566" s="258" t="str">
        <f t="shared" si="36"/>
        <v/>
      </c>
      <c r="Y566" s="36" t="str">
        <f t="shared" si="38"/>
        <v/>
      </c>
      <c r="Z566" s="340" t="str">
        <f>IF(AND(C566&gt;0,D566&lt;&gt;"",S566=""),VLOOKUP(A566&amp;IF(H566="黑丝","黑","白")&amp;E566,经纬!A:M,13,FALSE)*(I566-AB566),"")</f>
        <v/>
      </c>
      <c r="AA566" s="340" t="str">
        <f>IF(AND(C566&gt;0,D566&lt;&gt;"",S566=""),VLOOKUP(A566&amp;IF(H566="黑丝","黑","白")&amp;E566,经纬!A:N,14,FALSE)*(I566-AB566),"")</f>
        <v/>
      </c>
    </row>
    <row r="567" spans="4:27">
      <c r="D567" s="8" t="str">
        <f t="shared" si="37"/>
        <v/>
      </c>
      <c r="M567" s="24" t="str">
        <f t="array" ref="M567">LEFT(L567,MIN(FIND({"A","B","C"},MID(L567,2,LEN(L567))&amp;"ABC")))</f>
        <v/>
      </c>
      <c r="N567" s="24" t="str">
        <f t="array" ref="N567">SUBSTITUTE(L567,M567,"")</f>
        <v/>
      </c>
      <c r="W567" s="369" t="str">
        <f t="shared" si="35"/>
        <v/>
      </c>
      <c r="X567" s="258" t="str">
        <f t="shared" si="36"/>
        <v/>
      </c>
      <c r="Y567" s="36" t="str">
        <f t="shared" si="38"/>
        <v/>
      </c>
      <c r="Z567" s="340" t="str">
        <f>IF(AND(C567&gt;0,D567&lt;&gt;"",S567=""),VLOOKUP(A567&amp;IF(H567="黑丝","黑","白")&amp;E567,经纬!A:M,13,FALSE)*(I567-AB567),"")</f>
        <v/>
      </c>
      <c r="AA567" s="340" t="str">
        <f>IF(AND(C567&gt;0,D567&lt;&gt;"",S567=""),VLOOKUP(A567&amp;IF(H567="黑丝","黑","白")&amp;E567,经纬!A:N,14,FALSE)*(I567-AB567),"")</f>
        <v/>
      </c>
    </row>
    <row r="568" spans="4:27">
      <c r="D568" s="8" t="str">
        <f t="shared" si="37"/>
        <v/>
      </c>
      <c r="M568" s="24" t="str">
        <f t="array" ref="M568">LEFT(L568,MIN(FIND({"A","B","C"},MID(L568,2,LEN(L568))&amp;"ABC")))</f>
        <v/>
      </c>
      <c r="N568" s="24" t="str">
        <f t="array" ref="N568">SUBSTITUTE(L568,M568,"")</f>
        <v/>
      </c>
      <c r="W568" s="369" t="str">
        <f t="shared" si="35"/>
        <v/>
      </c>
      <c r="X568" s="258" t="str">
        <f t="shared" si="36"/>
        <v/>
      </c>
      <c r="Y568" s="36" t="str">
        <f t="shared" si="38"/>
        <v/>
      </c>
      <c r="Z568" s="340" t="str">
        <f>IF(AND(C568&gt;0,D568&lt;&gt;"",S568=""),VLOOKUP(A568&amp;IF(H568="黑丝","黑","白")&amp;E568,经纬!A:M,13,FALSE)*(I568-AB568),"")</f>
        <v/>
      </c>
      <c r="AA568" s="340" t="str">
        <f>IF(AND(C568&gt;0,D568&lt;&gt;"",S568=""),VLOOKUP(A568&amp;IF(H568="黑丝","黑","白")&amp;E568,经纬!A:N,14,FALSE)*(I568-AB568),"")</f>
        <v/>
      </c>
    </row>
    <row r="569" spans="4:27">
      <c r="D569" s="8" t="str">
        <f t="shared" si="37"/>
        <v/>
      </c>
      <c r="M569" s="24" t="str">
        <f t="array" ref="M569">LEFT(L569,MIN(FIND({"A","B","C"},MID(L569,2,LEN(L569))&amp;"ABC")))</f>
        <v/>
      </c>
      <c r="N569" s="24" t="str">
        <f t="array" ref="N569">SUBSTITUTE(L569,M569,"")</f>
        <v/>
      </c>
      <c r="W569" s="369" t="str">
        <f t="shared" si="35"/>
        <v/>
      </c>
      <c r="X569" s="258" t="str">
        <f t="shared" si="36"/>
        <v/>
      </c>
      <c r="Y569" s="36" t="str">
        <f t="shared" si="38"/>
        <v/>
      </c>
      <c r="Z569" s="340" t="str">
        <f>IF(AND(C569&gt;0,D569&lt;&gt;"",S569=""),VLOOKUP(A569&amp;IF(H569="黑丝","黑","白")&amp;E569,经纬!A:M,13,FALSE)*(I569-AB569),"")</f>
        <v/>
      </c>
      <c r="AA569" s="340" t="str">
        <f>IF(AND(C569&gt;0,D569&lt;&gt;"",S569=""),VLOOKUP(A569&amp;IF(H569="黑丝","黑","白")&amp;E569,经纬!A:N,14,FALSE)*(I569-AB569),"")</f>
        <v/>
      </c>
    </row>
    <row r="570" spans="4:27">
      <c r="D570" s="8" t="str">
        <f t="shared" si="37"/>
        <v/>
      </c>
      <c r="M570" s="24" t="str">
        <f t="array" ref="M570">LEFT(L570,MIN(FIND({"A","B","C"},MID(L570,2,LEN(L570))&amp;"ABC")))</f>
        <v/>
      </c>
      <c r="N570" s="24" t="str">
        <f t="array" ref="N570">SUBSTITUTE(L570,M570,"")</f>
        <v/>
      </c>
      <c r="W570" s="369" t="str">
        <f t="shared" si="35"/>
        <v/>
      </c>
      <c r="X570" s="258" t="str">
        <f t="shared" si="36"/>
        <v/>
      </c>
      <c r="Y570" s="36" t="str">
        <f t="shared" si="38"/>
        <v/>
      </c>
      <c r="Z570" s="340" t="str">
        <f>IF(AND(C570&gt;0,D570&lt;&gt;"",S570=""),VLOOKUP(A570&amp;IF(H570="黑丝","黑","白")&amp;E570,经纬!A:M,13,FALSE)*(I570-AB570),"")</f>
        <v/>
      </c>
      <c r="AA570" s="340" t="str">
        <f>IF(AND(C570&gt;0,D570&lt;&gt;"",S570=""),VLOOKUP(A570&amp;IF(H570="黑丝","黑","白")&amp;E570,经纬!A:N,14,FALSE)*(I570-AB570),"")</f>
        <v/>
      </c>
    </row>
    <row r="571" spans="4:27">
      <c r="D571" s="8" t="str">
        <f t="shared" si="37"/>
        <v/>
      </c>
      <c r="M571" s="24" t="str">
        <f t="array" ref="M571">LEFT(L571,MIN(FIND({"A","B","C"},MID(L571,2,LEN(L571))&amp;"ABC")))</f>
        <v/>
      </c>
      <c r="N571" s="24" t="str">
        <f t="array" ref="N571">SUBSTITUTE(L571,M571,"")</f>
        <v/>
      </c>
      <c r="W571" s="369" t="str">
        <f t="shared" si="35"/>
        <v/>
      </c>
      <c r="X571" s="258" t="str">
        <f t="shared" si="36"/>
        <v/>
      </c>
      <c r="Y571" s="36" t="str">
        <f t="shared" si="38"/>
        <v/>
      </c>
      <c r="Z571" s="340" t="str">
        <f>IF(AND(C571&gt;0,D571&lt;&gt;"",S571=""),VLOOKUP(A571&amp;IF(H571="黑丝","黑","白")&amp;E571,经纬!A:M,13,FALSE)*(I571-AB571),"")</f>
        <v/>
      </c>
      <c r="AA571" s="340" t="str">
        <f>IF(AND(C571&gt;0,D571&lt;&gt;"",S571=""),VLOOKUP(A571&amp;IF(H571="黑丝","黑","白")&amp;E571,经纬!A:N,14,FALSE)*(I571-AB571),"")</f>
        <v/>
      </c>
    </row>
    <row r="572" spans="4:27">
      <c r="D572" s="8" t="str">
        <f t="shared" si="37"/>
        <v/>
      </c>
      <c r="M572" s="24" t="str">
        <f t="array" ref="M572">LEFT(L572,MIN(FIND({"A","B","C"},MID(L572,2,LEN(L572))&amp;"ABC")))</f>
        <v/>
      </c>
      <c r="N572" s="24" t="str">
        <f t="array" ref="N572">SUBSTITUTE(L572,M572,"")</f>
        <v/>
      </c>
      <c r="W572" s="369" t="str">
        <f t="shared" si="35"/>
        <v/>
      </c>
      <c r="X572" s="258" t="str">
        <f t="shared" si="36"/>
        <v/>
      </c>
      <c r="Y572" s="36" t="str">
        <f t="shared" si="38"/>
        <v/>
      </c>
      <c r="Z572" s="340" t="str">
        <f>IF(AND(C572&gt;0,D572&lt;&gt;"",S572=""),VLOOKUP(A572&amp;IF(H572="黑丝","黑","白")&amp;E572,经纬!A:M,13,FALSE)*(I572-AB572),"")</f>
        <v/>
      </c>
      <c r="AA572" s="340" t="str">
        <f>IF(AND(C572&gt;0,D572&lt;&gt;"",S572=""),VLOOKUP(A572&amp;IF(H572="黑丝","黑","白")&amp;E572,经纬!A:N,14,FALSE)*(I572-AB572),"")</f>
        <v/>
      </c>
    </row>
    <row r="573" spans="4:27">
      <c r="D573" s="8" t="str">
        <f t="shared" si="37"/>
        <v/>
      </c>
      <c r="M573" s="24" t="str">
        <f t="array" ref="M573">LEFT(L573,MIN(FIND({"A","B","C"},MID(L573,2,LEN(L573))&amp;"ABC")))</f>
        <v/>
      </c>
      <c r="N573" s="24" t="str">
        <f t="array" ref="N573">SUBSTITUTE(L573,M573,"")</f>
        <v/>
      </c>
      <c r="W573" s="369" t="str">
        <f t="shared" si="35"/>
        <v/>
      </c>
      <c r="X573" s="258" t="str">
        <f t="shared" si="36"/>
        <v/>
      </c>
      <c r="Y573" s="36" t="str">
        <f t="shared" si="38"/>
        <v/>
      </c>
      <c r="Z573" s="340" t="str">
        <f>IF(AND(C573&gt;0,D573&lt;&gt;"",S573=""),VLOOKUP(A573&amp;IF(H573="黑丝","黑","白")&amp;E573,经纬!A:M,13,FALSE)*(I573-AB573),"")</f>
        <v/>
      </c>
      <c r="AA573" s="340" t="str">
        <f>IF(AND(C573&gt;0,D573&lt;&gt;"",S573=""),VLOOKUP(A573&amp;IF(H573="黑丝","黑","白")&amp;E573,经纬!A:N,14,FALSE)*(I573-AB573),"")</f>
        <v/>
      </c>
    </row>
    <row r="574" spans="4:27">
      <c r="D574" s="8" t="str">
        <f t="shared" si="37"/>
        <v/>
      </c>
      <c r="M574" s="24" t="str">
        <f t="array" ref="M574">LEFT(L574,MIN(FIND({"A","B","C"},MID(L574,2,LEN(L574))&amp;"ABC")))</f>
        <v/>
      </c>
      <c r="N574" s="24" t="str">
        <f t="array" ref="N574">SUBSTITUTE(L574,M574,"")</f>
        <v/>
      </c>
      <c r="W574" s="369" t="str">
        <f t="shared" si="35"/>
        <v/>
      </c>
      <c r="X574" s="258" t="str">
        <f t="shared" si="36"/>
        <v/>
      </c>
      <c r="Y574" s="36" t="str">
        <f t="shared" si="38"/>
        <v/>
      </c>
      <c r="Z574" s="340" t="str">
        <f>IF(AND(C574&gt;0,D574&lt;&gt;"",S574=""),VLOOKUP(A574&amp;IF(H574="黑丝","黑","白")&amp;E574,经纬!A:M,13,FALSE)*(I574-AB574),"")</f>
        <v/>
      </c>
      <c r="AA574" s="340" t="str">
        <f>IF(AND(C574&gt;0,D574&lt;&gt;"",S574=""),VLOOKUP(A574&amp;IF(H574="黑丝","黑","白")&amp;E574,经纬!A:N,14,FALSE)*(I574-AB574),"")</f>
        <v/>
      </c>
    </row>
    <row r="575" spans="4:27">
      <c r="D575" s="8" t="str">
        <f t="shared" si="37"/>
        <v/>
      </c>
      <c r="M575" s="24" t="str">
        <f t="array" ref="M575">LEFT(L575,MIN(FIND({"A","B","C"},MID(L575,2,LEN(L575))&amp;"ABC")))</f>
        <v/>
      </c>
      <c r="N575" s="24" t="str">
        <f t="array" ref="N575">SUBSTITUTE(L575,M575,"")</f>
        <v/>
      </c>
      <c r="W575" s="369" t="str">
        <f t="shared" si="35"/>
        <v/>
      </c>
      <c r="X575" s="258" t="str">
        <f t="shared" si="36"/>
        <v/>
      </c>
      <c r="Y575" s="36" t="str">
        <f t="shared" si="38"/>
        <v/>
      </c>
      <c r="Z575" s="340" t="str">
        <f>IF(AND(C575&gt;0,D575&lt;&gt;"",S575=""),VLOOKUP(A575&amp;IF(H575="黑丝","黑","白")&amp;E575,经纬!A:M,13,FALSE)*(I575-AB575),"")</f>
        <v/>
      </c>
      <c r="AA575" s="340" t="str">
        <f>IF(AND(C575&gt;0,D575&lt;&gt;"",S575=""),VLOOKUP(A575&amp;IF(H575="黑丝","黑","白")&amp;E575,经纬!A:N,14,FALSE)*(I575-AB575),"")</f>
        <v/>
      </c>
    </row>
    <row r="576" spans="4:27">
      <c r="D576" s="8" t="str">
        <f t="shared" si="37"/>
        <v/>
      </c>
      <c r="M576" s="24" t="str">
        <f t="array" ref="M576">LEFT(L576,MIN(FIND({"A","B","C"},MID(L576,2,LEN(L576))&amp;"ABC")))</f>
        <v/>
      </c>
      <c r="N576" s="24" t="str">
        <f t="array" ref="N576">SUBSTITUTE(L576,M576,"")</f>
        <v/>
      </c>
      <c r="W576" s="369" t="str">
        <f t="shared" si="35"/>
        <v/>
      </c>
      <c r="X576" s="258" t="str">
        <f t="shared" si="36"/>
        <v/>
      </c>
      <c r="Y576" s="36" t="str">
        <f t="shared" si="38"/>
        <v/>
      </c>
      <c r="Z576" s="340" t="str">
        <f>IF(AND(C576&gt;0,D576&lt;&gt;"",S576=""),VLOOKUP(A576&amp;IF(H576="黑丝","黑","白")&amp;E576,经纬!A:M,13,FALSE)*(I576-AB576),"")</f>
        <v/>
      </c>
      <c r="AA576" s="340" t="str">
        <f>IF(AND(C576&gt;0,D576&lt;&gt;"",S576=""),VLOOKUP(A576&amp;IF(H576="黑丝","黑","白")&amp;E576,经纬!A:N,14,FALSE)*(I576-AB576),"")</f>
        <v/>
      </c>
    </row>
    <row r="577" spans="4:27">
      <c r="D577" s="8" t="str">
        <f t="shared" si="37"/>
        <v/>
      </c>
      <c r="M577" s="24" t="str">
        <f t="array" ref="M577">LEFT(L577,MIN(FIND({"A","B","C"},MID(L577,2,LEN(L577))&amp;"ABC")))</f>
        <v/>
      </c>
      <c r="N577" s="24" t="str">
        <f t="array" ref="N577">SUBSTITUTE(L577,M577,"")</f>
        <v/>
      </c>
      <c r="W577" s="369" t="str">
        <f t="shared" si="35"/>
        <v/>
      </c>
      <c r="X577" s="258" t="str">
        <f t="shared" si="36"/>
        <v/>
      </c>
      <c r="Y577" s="36" t="str">
        <f t="shared" si="38"/>
        <v/>
      </c>
      <c r="Z577" s="340" t="str">
        <f>IF(AND(C577&gt;0,D577&lt;&gt;"",S577=""),VLOOKUP(A577&amp;IF(H577="黑丝","黑","白")&amp;E577,经纬!A:M,13,FALSE)*(I577-AB577),"")</f>
        <v/>
      </c>
      <c r="AA577" s="340" t="str">
        <f>IF(AND(C577&gt;0,D577&lt;&gt;"",S577=""),VLOOKUP(A577&amp;IF(H577="黑丝","黑","白")&amp;E577,经纬!A:N,14,FALSE)*(I577-AB577),"")</f>
        <v/>
      </c>
    </row>
    <row r="578" spans="4:27">
      <c r="D578" s="8" t="str">
        <f t="shared" si="37"/>
        <v/>
      </c>
      <c r="M578" s="24" t="str">
        <f t="array" ref="M578">LEFT(L578,MIN(FIND({"A","B","C"},MID(L578,2,LEN(L578))&amp;"ABC")))</f>
        <v/>
      </c>
      <c r="N578" s="24" t="str">
        <f t="array" ref="N578">SUBSTITUTE(L578,M578,"")</f>
        <v/>
      </c>
      <c r="W578" s="369" t="str">
        <f t="shared" si="35"/>
        <v/>
      </c>
      <c r="X578" s="258" t="str">
        <f t="shared" si="36"/>
        <v/>
      </c>
      <c r="Y578" s="36" t="str">
        <f t="shared" si="38"/>
        <v/>
      </c>
      <c r="Z578" s="340" t="str">
        <f>IF(AND(C578&gt;0,D578&lt;&gt;"",S578=""),VLOOKUP(A578&amp;IF(H578="黑丝","黑","白")&amp;E578,经纬!A:M,13,FALSE)*(I578-AB578),"")</f>
        <v/>
      </c>
      <c r="AA578" s="340" t="str">
        <f>IF(AND(C578&gt;0,D578&lt;&gt;"",S578=""),VLOOKUP(A578&amp;IF(H578="黑丝","黑","白")&amp;E578,经纬!A:N,14,FALSE)*(I578-AB578),"")</f>
        <v/>
      </c>
    </row>
    <row r="579" spans="4:27">
      <c r="M579" s="24" t="str">
        <f t="array" ref="M579">LEFT(L579,MIN(FIND({"A","B","C"},MID(L579,2,LEN(L579))&amp;"ABC")))</f>
        <v/>
      </c>
      <c r="N579" s="24" t="str">
        <f t="array" ref="N579">SUBSTITUTE(L579,M579,"")</f>
        <v/>
      </c>
      <c r="W579" s="369" t="str">
        <f t="shared" ref="W579:W641" si="39">IF(A579="","",IF(S579&lt;&gt;"","",IF(D579&lt;&gt;"",(I579-AB579),Y579*IF(H579="黑丝",22,20)*0.9144/((K579/1000)*((G579+2)/100)))))</f>
        <v/>
      </c>
      <c r="X579" s="258" t="str">
        <f t="shared" si="36"/>
        <v/>
      </c>
      <c r="Y579" s="36" t="str">
        <f t="shared" si="38"/>
        <v/>
      </c>
      <c r="Z579" s="340" t="str">
        <f>IF(AND(C579&gt;0,D579&lt;&gt;"",S579=""),VLOOKUP(A579&amp;IF(H579="黑丝","黑","白")&amp;E579,经纬!A:M,13,FALSE)*(I579-AB579),"")</f>
        <v/>
      </c>
      <c r="AA579" s="340" t="str">
        <f>IF(AND(C579&gt;0,D579&lt;&gt;"",S579=""),VLOOKUP(A579&amp;IF(H579="黑丝","黑","白")&amp;E579,经纬!A:N,14,FALSE)*(I579-AB579),"")</f>
        <v/>
      </c>
    </row>
    <row r="580" spans="4:27">
      <c r="M580" s="24" t="str">
        <f t="array" ref="M580">LEFT(L580,MIN(FIND({"A","B","C"},MID(L580,2,LEN(L580))&amp;"ABC")))</f>
        <v/>
      </c>
      <c r="N580" s="24" t="str">
        <f t="array" ref="N580">SUBSTITUTE(L580,M580,"")</f>
        <v/>
      </c>
      <c r="W580" s="369" t="str">
        <f t="shared" si="39"/>
        <v/>
      </c>
      <c r="X580" s="258" t="str">
        <f t="shared" si="36"/>
        <v/>
      </c>
      <c r="Y580" s="36" t="str">
        <f t="shared" si="38"/>
        <v/>
      </c>
      <c r="Z580" s="340" t="str">
        <f>IF(AND(C580&gt;0,D580&lt;&gt;"",S580=""),VLOOKUP(A580&amp;IF(H580="黑丝","黑","白")&amp;E580,经纬!A:M,13,FALSE)*(I580-AB580),"")</f>
        <v/>
      </c>
      <c r="AA580" s="340" t="str">
        <f>IF(AND(C580&gt;0,D580&lt;&gt;"",S580=""),VLOOKUP(A580&amp;IF(H580="黑丝","黑","白")&amp;E580,经纬!A:N,14,FALSE)*(I580-AB580),"")</f>
        <v/>
      </c>
    </row>
    <row r="581" spans="4:27">
      <c r="M581" s="24" t="str">
        <f t="array" ref="M581">LEFT(L581,MIN(FIND({"A","B","C"},MID(L581,2,LEN(L581))&amp;"ABC")))</f>
        <v/>
      </c>
      <c r="N581" s="24" t="str">
        <f t="array" ref="N581">SUBSTITUTE(L581,M581,"")</f>
        <v/>
      </c>
      <c r="W581" s="369" t="str">
        <f t="shared" si="39"/>
        <v/>
      </c>
      <c r="X581" s="258" t="str">
        <f t="shared" si="36"/>
        <v/>
      </c>
      <c r="Y581" s="36" t="str">
        <f t="shared" si="38"/>
        <v/>
      </c>
      <c r="Z581" s="340" t="str">
        <f>IF(AND(C581&gt;0,D581&lt;&gt;"",S581=""),VLOOKUP(A581&amp;IF(H581="黑丝","黑","白")&amp;E581,经纬!A:M,13,FALSE)*(I581-AB581),"")</f>
        <v/>
      </c>
      <c r="AA581" s="340" t="str">
        <f>IF(AND(C581&gt;0,D581&lt;&gt;"",S581=""),VLOOKUP(A581&amp;IF(H581="黑丝","黑","白")&amp;E581,经纬!A:N,14,FALSE)*(I581-AB581),"")</f>
        <v/>
      </c>
    </row>
    <row r="582" spans="4:27">
      <c r="M582" s="24" t="str">
        <f t="array" ref="M582">LEFT(L582,MIN(FIND({"A","B","C"},MID(L582,2,LEN(L582))&amp;"ABC")))</f>
        <v/>
      </c>
      <c r="N582" s="24" t="str">
        <f t="array" ref="N582">SUBSTITUTE(L582,M582,"")</f>
        <v/>
      </c>
      <c r="W582" s="369" t="str">
        <f t="shared" si="39"/>
        <v/>
      </c>
      <c r="X582" s="258" t="str">
        <f t="shared" si="36"/>
        <v/>
      </c>
      <c r="Y582" s="36" t="str">
        <f t="shared" si="38"/>
        <v/>
      </c>
      <c r="Z582" s="340" t="str">
        <f>IF(AND(C582&gt;0,D582&lt;&gt;"",S582=""),VLOOKUP(A582&amp;IF(H582="黑丝","黑","白")&amp;E582,经纬!A:M,13,FALSE)*(I582-AB582),"")</f>
        <v/>
      </c>
      <c r="AA582" s="340" t="str">
        <f>IF(AND(C582&gt;0,D582&lt;&gt;"",S582=""),VLOOKUP(A582&amp;IF(H582="黑丝","黑","白")&amp;E582,经纬!A:N,14,FALSE)*(I582-AB582),"")</f>
        <v/>
      </c>
    </row>
    <row r="583" spans="4:27">
      <c r="M583" s="24" t="str">
        <f t="array" ref="M583">LEFT(L583,MIN(FIND({"A","B","C"},MID(L583,2,LEN(L583))&amp;"ABC")))</f>
        <v/>
      </c>
      <c r="N583" s="24" t="str">
        <f t="array" ref="N583">SUBSTITUTE(L583,M583,"")</f>
        <v/>
      </c>
      <c r="W583" s="369" t="str">
        <f t="shared" si="39"/>
        <v/>
      </c>
      <c r="X583" s="258" t="str">
        <f t="shared" si="36"/>
        <v/>
      </c>
      <c r="Y583" s="36" t="str">
        <f t="shared" si="38"/>
        <v/>
      </c>
      <c r="Z583" s="340" t="str">
        <f>IF(AND(C583&gt;0,D583&lt;&gt;"",S583=""),VLOOKUP(A583&amp;IF(H583="黑丝","黑","白")&amp;E583,经纬!A:M,13,FALSE)*(I583-AB583),"")</f>
        <v/>
      </c>
      <c r="AA583" s="340" t="str">
        <f>IF(AND(C583&gt;0,D583&lt;&gt;"",S583=""),VLOOKUP(A583&amp;IF(H583="黑丝","黑","白")&amp;E583,经纬!A:N,14,FALSE)*(I583-AB583),"")</f>
        <v/>
      </c>
    </row>
    <row r="584" spans="4:27">
      <c r="M584" s="24" t="str">
        <f t="array" ref="M584">LEFT(L584,MIN(FIND({"A","B","C"},MID(L584,2,LEN(L584))&amp;"ABC")))</f>
        <v/>
      </c>
      <c r="N584" s="24" t="str">
        <f t="array" ref="N584">SUBSTITUTE(L584,M584,"")</f>
        <v/>
      </c>
      <c r="W584" s="369" t="str">
        <f t="shared" si="39"/>
        <v/>
      </c>
      <c r="X584" s="258" t="str">
        <f t="shared" si="36"/>
        <v/>
      </c>
      <c r="Y584" s="36" t="str">
        <f t="shared" si="38"/>
        <v/>
      </c>
      <c r="Z584" s="340" t="str">
        <f>IF(AND(C584&gt;0,D584&lt;&gt;"",S584=""),VLOOKUP(A584&amp;IF(H584="黑丝","黑","白")&amp;E584,经纬!A:M,13,FALSE)*(I584-AB584),"")</f>
        <v/>
      </c>
      <c r="AA584" s="340" t="str">
        <f>IF(AND(C584&gt;0,D584&lt;&gt;"",S584=""),VLOOKUP(A584&amp;IF(H584="黑丝","黑","白")&amp;E584,经纬!A:N,14,FALSE)*(I584-AB584),"")</f>
        <v/>
      </c>
    </row>
    <row r="585" spans="4:27">
      <c r="M585" s="24" t="str">
        <f t="array" ref="M585">LEFT(L585,MIN(FIND({"A","B","C"},MID(L585,2,LEN(L585))&amp;"ABC")))</f>
        <v/>
      </c>
      <c r="N585" s="24" t="str">
        <f t="array" ref="N585">SUBSTITUTE(L585,M585,"")</f>
        <v/>
      </c>
      <c r="W585" s="369" t="str">
        <f t="shared" si="39"/>
        <v/>
      </c>
      <c r="X585" s="258" t="str">
        <f t="shared" si="36"/>
        <v/>
      </c>
      <c r="Y585" s="36" t="str">
        <f t="shared" si="38"/>
        <v/>
      </c>
      <c r="Z585" s="340" t="str">
        <f>IF(AND(C585&gt;0,D585&lt;&gt;"",S585=""),VLOOKUP(A585&amp;IF(H585="黑丝","黑","白")&amp;E585,经纬!A:M,13,FALSE)*(I585-AB585),"")</f>
        <v/>
      </c>
      <c r="AA585" s="340" t="str">
        <f>IF(AND(C585&gt;0,D585&lt;&gt;"",S585=""),VLOOKUP(A585&amp;IF(H585="黑丝","黑","白")&amp;E585,经纬!A:N,14,FALSE)*(I585-AB585),"")</f>
        <v/>
      </c>
    </row>
    <row r="586" spans="4:27">
      <c r="M586" s="24" t="str">
        <f t="array" ref="M586">LEFT(L586,MIN(FIND({"A","B","C"},MID(L586,2,LEN(L586))&amp;"ABC")))</f>
        <v/>
      </c>
      <c r="N586" s="24" t="str">
        <f t="array" ref="N586">SUBSTITUTE(L586,M586,"")</f>
        <v/>
      </c>
      <c r="W586" s="369" t="str">
        <f t="shared" si="39"/>
        <v/>
      </c>
      <c r="X586" s="258" t="str">
        <f t="shared" si="36"/>
        <v/>
      </c>
      <c r="Y586" s="36" t="str">
        <f t="shared" si="38"/>
        <v/>
      </c>
      <c r="Z586" s="340" t="str">
        <f>IF(AND(C586&gt;0,D586&lt;&gt;"",S586=""),VLOOKUP(A586&amp;IF(H586="黑丝","黑","白")&amp;E586,经纬!A:M,13,FALSE)*(I586-AB586),"")</f>
        <v/>
      </c>
      <c r="AA586" s="340" t="str">
        <f>IF(AND(C586&gt;0,D586&lt;&gt;"",S586=""),VLOOKUP(A586&amp;IF(H586="黑丝","黑","白")&amp;E586,经纬!A:N,14,FALSE)*(I586-AB586),"")</f>
        <v/>
      </c>
    </row>
    <row r="587" spans="4:27">
      <c r="M587" s="24" t="str">
        <f t="array" ref="M587">LEFT(L587,MIN(FIND({"A","B","C"},MID(L587,2,LEN(L587))&amp;"ABC")))</f>
        <v/>
      </c>
      <c r="N587" s="24" t="str">
        <f t="array" ref="N587">SUBSTITUTE(L587,M587,"")</f>
        <v/>
      </c>
      <c r="W587" s="369" t="str">
        <f t="shared" si="39"/>
        <v/>
      </c>
      <c r="X587" s="258" t="str">
        <f t="shared" si="36"/>
        <v/>
      </c>
      <c r="Y587" s="36" t="str">
        <f t="shared" si="38"/>
        <v/>
      </c>
      <c r="Z587" s="340" t="str">
        <f>IF(AND(C587&gt;0,D587&lt;&gt;"",S587=""),VLOOKUP(A587&amp;IF(H587="黑丝","黑","白")&amp;E587,经纬!A:M,13,FALSE)*(I587-AB587),"")</f>
        <v/>
      </c>
      <c r="AA587" s="340" t="str">
        <f>IF(AND(C587&gt;0,D587&lt;&gt;"",S587=""),VLOOKUP(A587&amp;IF(H587="黑丝","黑","白")&amp;E587,经纬!A:N,14,FALSE)*(I587-AB587),"")</f>
        <v/>
      </c>
    </row>
    <row r="588" spans="4:27">
      <c r="M588" s="24" t="str">
        <f t="array" ref="M588">LEFT(L588,MIN(FIND({"A","B","C"},MID(L588,2,LEN(L588))&amp;"ABC")))</f>
        <v/>
      </c>
      <c r="N588" s="24" t="str">
        <f t="array" ref="N588">SUBSTITUTE(L588,M588,"")</f>
        <v/>
      </c>
      <c r="W588" s="369" t="str">
        <f t="shared" si="39"/>
        <v/>
      </c>
      <c r="X588" s="258" t="str">
        <f t="shared" si="36"/>
        <v/>
      </c>
      <c r="Y588" s="36" t="str">
        <f t="shared" si="38"/>
        <v/>
      </c>
      <c r="Z588" s="340" t="str">
        <f>IF(AND(C588&gt;0,D588&lt;&gt;"",S588=""),VLOOKUP(A588&amp;IF(H588="黑丝","黑","白")&amp;E588,经纬!A:M,13,FALSE)*(I588-AB588),"")</f>
        <v/>
      </c>
      <c r="AA588" s="340" t="str">
        <f>IF(AND(C588&gt;0,D588&lt;&gt;"",S588=""),VLOOKUP(A588&amp;IF(H588="黑丝","黑","白")&amp;E588,经纬!A:N,14,FALSE)*(I588-AB588),"")</f>
        <v/>
      </c>
    </row>
    <row r="589" spans="4:27">
      <c r="M589" s="24" t="str">
        <f t="array" ref="M589">LEFT(L589,MIN(FIND({"A","B","C"},MID(L589,2,LEN(L589))&amp;"ABC")))</f>
        <v/>
      </c>
      <c r="N589" s="24" t="str">
        <f t="array" ref="N589">SUBSTITUTE(L589,M589,"")</f>
        <v/>
      </c>
      <c r="W589" s="369" t="str">
        <f t="shared" si="39"/>
        <v/>
      </c>
      <c r="X589" s="258" t="str">
        <f t="shared" si="36"/>
        <v/>
      </c>
      <c r="Y589" s="36" t="str">
        <f t="shared" si="38"/>
        <v/>
      </c>
      <c r="Z589" s="340" t="str">
        <f>IF(AND(C589&gt;0,D589&lt;&gt;"",S589=""),VLOOKUP(A589&amp;IF(H589="黑丝","黑","白")&amp;E589,经纬!A:M,13,FALSE)*(I589-AB589),"")</f>
        <v/>
      </c>
      <c r="AA589" s="340" t="str">
        <f>IF(AND(C589&gt;0,D589&lt;&gt;"",S589=""),VLOOKUP(A589&amp;IF(H589="黑丝","黑","白")&amp;E589,经纬!A:N,14,FALSE)*(I589-AB589),"")</f>
        <v/>
      </c>
    </row>
    <row r="590" spans="4:27">
      <c r="M590" s="24" t="str">
        <f t="array" ref="M590">LEFT(L590,MIN(FIND({"A","B","C"},MID(L590,2,LEN(L590))&amp;"ABC")))</f>
        <v/>
      </c>
      <c r="N590" s="24" t="str">
        <f t="array" ref="N590">SUBSTITUTE(L590,M590,"")</f>
        <v/>
      </c>
      <c r="W590" s="369" t="str">
        <f t="shared" si="39"/>
        <v/>
      </c>
      <c r="X590" s="258" t="str">
        <f t="shared" si="36"/>
        <v/>
      </c>
      <c r="Y590" s="36" t="str">
        <f t="shared" si="38"/>
        <v/>
      </c>
      <c r="Z590" s="340" t="str">
        <f>IF(AND(C590&gt;0,D590&lt;&gt;"",S590=""),VLOOKUP(A590&amp;IF(H590="黑丝","黑","白")&amp;E590,经纬!A:M,13,FALSE)*(I590-AB590),"")</f>
        <v/>
      </c>
      <c r="AA590" s="340" t="str">
        <f>IF(AND(C590&gt;0,D590&lt;&gt;"",S590=""),VLOOKUP(A590&amp;IF(H590="黑丝","黑","白")&amp;E590,经纬!A:N,14,FALSE)*(I590-AB590),"")</f>
        <v/>
      </c>
    </row>
    <row r="591" spans="4:27">
      <c r="M591" s="24" t="str">
        <f t="array" ref="M591">LEFT(L591,MIN(FIND({"A","B","C"},MID(L591,2,LEN(L591))&amp;"ABC")))</f>
        <v/>
      </c>
      <c r="N591" s="24" t="str">
        <f t="array" ref="N591">SUBSTITUTE(L591,M591,"")</f>
        <v/>
      </c>
      <c r="W591" s="369" t="str">
        <f t="shared" si="39"/>
        <v/>
      </c>
      <c r="X591" s="258" t="str">
        <f t="shared" si="36"/>
        <v/>
      </c>
      <c r="Y591" s="36" t="str">
        <f t="shared" si="38"/>
        <v/>
      </c>
      <c r="Z591" s="340" t="str">
        <f>IF(AND(C591&gt;0,D591&lt;&gt;"",S591=""),VLOOKUP(A591&amp;IF(H591="黑丝","黑","白")&amp;E591,经纬!A:M,13,FALSE)*(I591-AB591),"")</f>
        <v/>
      </c>
      <c r="AA591" s="340" t="str">
        <f>IF(AND(C591&gt;0,D591&lt;&gt;"",S591=""),VLOOKUP(A591&amp;IF(H591="黑丝","黑","白")&amp;E591,经纬!A:N,14,FALSE)*(I591-AB591),"")</f>
        <v/>
      </c>
    </row>
    <row r="592" spans="4:27">
      <c r="M592" s="24" t="str">
        <f t="array" ref="M592">LEFT(L592,MIN(FIND({"A","B","C"},MID(L592,2,LEN(L592))&amp;"ABC")))</f>
        <v/>
      </c>
      <c r="N592" s="24" t="str">
        <f t="array" ref="N592">SUBSTITUTE(L592,M592,"")</f>
        <v/>
      </c>
      <c r="W592" s="369" t="str">
        <f t="shared" si="39"/>
        <v/>
      </c>
      <c r="X592" s="258" t="str">
        <f t="shared" si="36"/>
        <v/>
      </c>
      <c r="Y592" s="36" t="str">
        <f t="shared" si="38"/>
        <v/>
      </c>
      <c r="Z592" s="340" t="str">
        <f>IF(AND(C592&gt;0,D592&lt;&gt;"",S592=""),VLOOKUP(A592&amp;IF(H592="黑丝","黑","白")&amp;E592,经纬!A:M,13,FALSE)*(I592-AB592),"")</f>
        <v/>
      </c>
      <c r="AA592" s="340" t="str">
        <f>IF(AND(C592&gt;0,D592&lt;&gt;"",S592=""),VLOOKUP(A592&amp;IF(H592="黑丝","黑","白")&amp;E592,经纬!A:N,14,FALSE)*(I592-AB592),"")</f>
        <v/>
      </c>
    </row>
    <row r="593" spans="13:27">
      <c r="M593" s="24" t="str">
        <f t="array" ref="M593">LEFT(L593,MIN(FIND({"A","B","C"},MID(L593,2,LEN(L593))&amp;"ABC")))</f>
        <v/>
      </c>
      <c r="N593" s="24" t="str">
        <f t="array" ref="N593">SUBSTITUTE(L593,M593,"")</f>
        <v/>
      </c>
      <c r="W593" s="369" t="str">
        <f t="shared" si="39"/>
        <v/>
      </c>
      <c r="X593" s="258" t="str">
        <f t="shared" si="36"/>
        <v/>
      </c>
      <c r="Y593" s="36" t="str">
        <f t="shared" si="38"/>
        <v/>
      </c>
      <c r="Z593" s="340" t="str">
        <f>IF(AND(C593&gt;0,D593&lt;&gt;"",S593=""),VLOOKUP(A593&amp;IF(H593="黑丝","黑","白")&amp;E593,经纬!A:M,13,FALSE)*(I593-AB593),"")</f>
        <v/>
      </c>
      <c r="AA593" s="340" t="str">
        <f>IF(AND(C593&gt;0,D593&lt;&gt;"",S593=""),VLOOKUP(A593&amp;IF(H593="黑丝","黑","白")&amp;E593,经纬!A:N,14,FALSE)*(I593-AB593),"")</f>
        <v/>
      </c>
    </row>
    <row r="594" spans="13:27">
      <c r="M594" s="24" t="str">
        <f t="array" ref="M594">LEFT(L594,MIN(FIND({"A","B","C"},MID(L594,2,LEN(L594))&amp;"ABC")))</f>
        <v/>
      </c>
      <c r="N594" s="24" t="str">
        <f t="array" ref="N594">SUBSTITUTE(L594,M594,"")</f>
        <v/>
      </c>
      <c r="W594" s="369" t="str">
        <f t="shared" si="39"/>
        <v/>
      </c>
      <c r="X594" s="258" t="str">
        <f t="shared" si="36"/>
        <v/>
      </c>
      <c r="Y594" s="36" t="str">
        <f t="shared" si="38"/>
        <v/>
      </c>
      <c r="Z594" s="340" t="str">
        <f>IF(AND(C594&gt;0,D594&lt;&gt;"",S594=""),VLOOKUP(A594&amp;IF(H594="黑丝","黑","白")&amp;E594,经纬!A:M,13,FALSE)*(I594-AB594),"")</f>
        <v/>
      </c>
      <c r="AA594" s="340" t="str">
        <f>IF(AND(C594&gt;0,D594&lt;&gt;"",S594=""),VLOOKUP(A594&amp;IF(H594="黑丝","黑","白")&amp;E594,经纬!A:N,14,FALSE)*(I594-AB594),"")</f>
        <v/>
      </c>
    </row>
    <row r="595" spans="13:27">
      <c r="M595" s="24" t="str">
        <f t="array" ref="M595">LEFT(L595,MIN(FIND({"A","B","C"},MID(L595,2,LEN(L595))&amp;"ABC")))</f>
        <v/>
      </c>
      <c r="N595" s="24" t="str">
        <f t="array" ref="N595">SUBSTITUTE(L595,M595,"")</f>
        <v/>
      </c>
      <c r="W595" s="369" t="str">
        <f t="shared" si="39"/>
        <v/>
      </c>
      <c r="X595" s="258" t="str">
        <f t="shared" si="36"/>
        <v/>
      </c>
      <c r="Y595" s="36" t="str">
        <f t="shared" si="38"/>
        <v/>
      </c>
      <c r="Z595" s="340" t="str">
        <f>IF(AND(C595&gt;0,D595&lt;&gt;"",S595=""),VLOOKUP(A595&amp;IF(H595="黑丝","黑","白")&amp;E595,经纬!A:M,13,FALSE)*(I595-AB595),"")</f>
        <v/>
      </c>
      <c r="AA595" s="340" t="str">
        <f>IF(AND(C595&gt;0,D595&lt;&gt;"",S595=""),VLOOKUP(A595&amp;IF(H595="黑丝","黑","白")&amp;E595,经纬!A:N,14,FALSE)*(I595-AB595),"")</f>
        <v/>
      </c>
    </row>
    <row r="596" spans="13:27">
      <c r="M596" s="24" t="str">
        <f t="array" ref="M596">LEFT(L596,MIN(FIND({"A","B","C"},MID(L596,2,LEN(L596))&amp;"ABC")))</f>
        <v/>
      </c>
      <c r="N596" s="24" t="str">
        <f t="array" ref="N596">SUBSTITUTE(L596,M596,"")</f>
        <v/>
      </c>
      <c r="W596" s="369" t="str">
        <f t="shared" si="39"/>
        <v/>
      </c>
      <c r="X596" s="258" t="str">
        <f t="shared" si="36"/>
        <v/>
      </c>
      <c r="Y596" s="36" t="str">
        <f t="shared" si="38"/>
        <v/>
      </c>
      <c r="Z596" s="340" t="str">
        <f>IF(AND(C596&gt;0,D596&lt;&gt;"",S596=""),VLOOKUP(A596&amp;IF(H596="黑丝","黑","白")&amp;E596,经纬!A:M,13,FALSE)*(I596-AB596),"")</f>
        <v/>
      </c>
      <c r="AA596" s="340" t="str">
        <f>IF(AND(C596&gt;0,D596&lt;&gt;"",S596=""),VLOOKUP(A596&amp;IF(H596="黑丝","黑","白")&amp;E596,经纬!A:N,14,FALSE)*(I596-AB596),"")</f>
        <v/>
      </c>
    </row>
    <row r="597" spans="13:27">
      <c r="M597" s="24" t="str">
        <f t="array" ref="M597">LEFT(L597,MIN(FIND({"A","B","C"},MID(L597,2,LEN(L597))&amp;"ABC")))</f>
        <v/>
      </c>
      <c r="N597" s="24" t="str">
        <f t="array" ref="N597">SUBSTITUTE(L597,M597,"")</f>
        <v/>
      </c>
      <c r="W597" s="369" t="str">
        <f t="shared" si="39"/>
        <v/>
      </c>
      <c r="X597" s="258" t="str">
        <f t="shared" si="36"/>
        <v/>
      </c>
      <c r="Y597" s="36" t="str">
        <f t="shared" si="38"/>
        <v/>
      </c>
      <c r="Z597" s="340" t="str">
        <f>IF(AND(C597&gt;0,D597&lt;&gt;"",S597=""),VLOOKUP(A597&amp;IF(H597="黑丝","黑","白")&amp;E597,经纬!A:M,13,FALSE)*(I597-AB597),"")</f>
        <v/>
      </c>
      <c r="AA597" s="340" t="str">
        <f>IF(AND(C597&gt;0,D597&lt;&gt;"",S597=""),VLOOKUP(A597&amp;IF(H597="黑丝","黑","白")&amp;E597,经纬!A:N,14,FALSE)*(I597-AB597),"")</f>
        <v/>
      </c>
    </row>
    <row r="598" spans="13:27">
      <c r="M598" s="24" t="str">
        <f t="array" ref="M598">LEFT(L598,MIN(FIND({"A","B","C"},MID(L598,2,LEN(L598))&amp;"ABC")))</f>
        <v/>
      </c>
      <c r="N598" s="24" t="str">
        <f t="array" ref="N598">SUBSTITUTE(L598,M598,"")</f>
        <v/>
      </c>
      <c r="W598" s="369" t="str">
        <f t="shared" si="39"/>
        <v/>
      </c>
      <c r="X598" s="258" t="str">
        <f t="shared" si="36"/>
        <v/>
      </c>
      <c r="Y598" s="36" t="str">
        <f t="shared" si="38"/>
        <v/>
      </c>
      <c r="Z598" s="340" t="str">
        <f>IF(AND(C598&gt;0,D598&lt;&gt;"",S598=""),VLOOKUP(A598&amp;IF(H598="黑丝","黑","白")&amp;E598,经纬!A:M,13,FALSE)*(I598-AB598),"")</f>
        <v/>
      </c>
      <c r="AA598" s="340" t="str">
        <f>IF(AND(C598&gt;0,D598&lt;&gt;"",S598=""),VLOOKUP(A598&amp;IF(H598="黑丝","黑","白")&amp;E598,经纬!A:N,14,FALSE)*(I598-AB598),"")</f>
        <v/>
      </c>
    </row>
    <row r="599" spans="13:27">
      <c r="M599" s="24" t="str">
        <f t="array" ref="M599">LEFT(L599,MIN(FIND({"A","B","C"},MID(L599,2,LEN(L599))&amp;"ABC")))</f>
        <v/>
      </c>
      <c r="N599" s="24" t="str">
        <f t="array" ref="N599">SUBSTITUTE(L599,M599,"")</f>
        <v/>
      </c>
      <c r="W599" s="369" t="str">
        <f t="shared" si="39"/>
        <v/>
      </c>
      <c r="X599" s="258" t="str">
        <f t="shared" si="36"/>
        <v/>
      </c>
      <c r="Y599" s="36" t="str">
        <f t="shared" si="38"/>
        <v/>
      </c>
      <c r="Z599" s="340" t="str">
        <f>IF(AND(C599&gt;0,D599&lt;&gt;"",S599=""),VLOOKUP(A599&amp;IF(H599="黑丝","黑","白")&amp;E599,经纬!A:M,13,FALSE)*(I599-AB599),"")</f>
        <v/>
      </c>
      <c r="AA599" s="340" t="str">
        <f>IF(AND(C599&gt;0,D599&lt;&gt;"",S599=""),VLOOKUP(A599&amp;IF(H599="黑丝","黑","白")&amp;E599,经纬!A:N,14,FALSE)*(I599-AB599),"")</f>
        <v/>
      </c>
    </row>
    <row r="600" spans="13:27">
      <c r="M600" s="24" t="str">
        <f t="array" ref="M600">LEFT(L600,MIN(FIND({"A","B","C"},MID(L600,2,LEN(L600))&amp;"ABC")))</f>
        <v/>
      </c>
      <c r="N600" s="24" t="str">
        <f t="array" ref="N600">SUBSTITUTE(L600,M600,"")</f>
        <v/>
      </c>
      <c r="W600" s="369" t="str">
        <f t="shared" si="39"/>
        <v/>
      </c>
      <c r="X600" s="258" t="str">
        <f t="shared" si="36"/>
        <v/>
      </c>
      <c r="Y600" s="36" t="str">
        <f t="shared" si="38"/>
        <v/>
      </c>
      <c r="Z600" s="340" t="str">
        <f>IF(AND(C600&gt;0,D600&lt;&gt;"",S600=""),VLOOKUP(A600&amp;IF(H600="黑丝","黑","白")&amp;E600,经纬!A:M,13,FALSE)*(I600-AB600),"")</f>
        <v/>
      </c>
      <c r="AA600" s="340" t="str">
        <f>IF(AND(C600&gt;0,D600&lt;&gt;"",S600=""),VLOOKUP(A600&amp;IF(H600="黑丝","黑","白")&amp;E600,经纬!A:N,14,FALSE)*(I600-AB600),"")</f>
        <v/>
      </c>
    </row>
    <row r="601" spans="13:27">
      <c r="M601" s="24" t="str">
        <f t="array" ref="M601">LEFT(L601,MIN(FIND({"A","B","C"},MID(L601,2,LEN(L601))&amp;"ABC")))</f>
        <v/>
      </c>
      <c r="N601" s="24" t="str">
        <f t="array" ref="N601">SUBSTITUTE(L601,M601,"")</f>
        <v/>
      </c>
      <c r="W601" s="369" t="str">
        <f t="shared" si="39"/>
        <v/>
      </c>
      <c r="X601" s="258" t="str">
        <f t="shared" si="36"/>
        <v/>
      </c>
      <c r="Y601" s="36" t="str">
        <f t="shared" si="38"/>
        <v/>
      </c>
      <c r="Z601" s="340" t="str">
        <f>IF(AND(C601&gt;0,D601&lt;&gt;"",S601=""),VLOOKUP(A601&amp;IF(H601="黑丝","黑","白")&amp;E601,经纬!A:M,13,FALSE)*(I601-AB601),"")</f>
        <v/>
      </c>
      <c r="AA601" s="340" t="str">
        <f>IF(AND(C601&gt;0,D601&lt;&gt;"",S601=""),VLOOKUP(A601&amp;IF(H601="黑丝","黑","白")&amp;E601,经纬!A:N,14,FALSE)*(I601-AB601),"")</f>
        <v/>
      </c>
    </row>
    <row r="602" spans="13:27">
      <c r="M602" s="24" t="str">
        <f t="array" ref="M602">LEFT(L602,MIN(FIND({"A","B","C"},MID(L602,2,LEN(L602))&amp;"ABC")))</f>
        <v/>
      </c>
      <c r="N602" s="24" t="str">
        <f t="array" ref="N602">SUBSTITUTE(L602,M602,"")</f>
        <v/>
      </c>
      <c r="W602" s="369" t="str">
        <f t="shared" si="39"/>
        <v/>
      </c>
      <c r="X602" s="258" t="str">
        <f t="shared" si="36"/>
        <v/>
      </c>
      <c r="Y602" s="36" t="str">
        <f t="shared" si="38"/>
        <v/>
      </c>
      <c r="Z602" s="340" t="str">
        <f>IF(AND(C602&gt;0,D602&lt;&gt;"",S602=""),VLOOKUP(A602&amp;IF(H602="黑丝","黑","白")&amp;E602,经纬!A:M,13,FALSE)*(I602-AB602),"")</f>
        <v/>
      </c>
      <c r="AA602" s="340" t="str">
        <f>IF(AND(C602&gt;0,D602&lt;&gt;"",S602=""),VLOOKUP(A602&amp;IF(H602="黑丝","黑","白")&amp;E602,经纬!A:N,14,FALSE)*(I602-AB602),"")</f>
        <v/>
      </c>
    </row>
    <row r="603" spans="13:27">
      <c r="M603" s="24" t="str">
        <f t="array" ref="M603">LEFT(L603,MIN(FIND({"A","B","C"},MID(L603,2,LEN(L603))&amp;"ABC")))</f>
        <v/>
      </c>
      <c r="N603" s="24" t="str">
        <f t="array" ref="N603">SUBSTITUTE(L603,M603,"")</f>
        <v/>
      </c>
      <c r="W603" s="369" t="str">
        <f t="shared" si="39"/>
        <v/>
      </c>
      <c r="X603" s="258" t="str">
        <f t="shared" si="36"/>
        <v/>
      </c>
      <c r="Y603" s="36" t="str">
        <f t="shared" si="38"/>
        <v/>
      </c>
      <c r="Z603" s="340" t="str">
        <f>IF(AND(C603&gt;0,D603&lt;&gt;"",S603=""),VLOOKUP(A603&amp;IF(H603="黑丝","黑","白")&amp;E603,经纬!A:M,13,FALSE)*(I603-AB603),"")</f>
        <v/>
      </c>
      <c r="AA603" s="340" t="str">
        <f>IF(AND(C603&gt;0,D603&lt;&gt;"",S603=""),VLOOKUP(A603&amp;IF(H603="黑丝","黑","白")&amp;E603,经纬!A:N,14,FALSE)*(I603-AB603),"")</f>
        <v/>
      </c>
    </row>
    <row r="604" spans="13:27">
      <c r="M604" s="24" t="str">
        <f t="array" ref="M604">LEFT(L604,MIN(FIND({"A","B","C"},MID(L604,2,LEN(L604))&amp;"ABC")))</f>
        <v/>
      </c>
      <c r="N604" s="24" t="str">
        <f t="array" ref="N604">SUBSTITUTE(L604,M604,"")</f>
        <v/>
      </c>
      <c r="W604" s="369" t="str">
        <f t="shared" si="39"/>
        <v/>
      </c>
      <c r="X604" s="258" t="str">
        <f t="shared" ref="X604:X667" si="40">IF(B604="","",IF(S604&lt;&gt;"","",IF(AND(Z604&lt;&gt;"",AA604&lt;&gt;""),SUM(Z604:AA604),IF(AB604&lt;&gt;"",(I604/((1/((G604+2)/100*K604/1000))*0.9144)/IF(H604="黑丝",22,20)-AB604)*(IF(H604="黑丝",22,20)),I604/((1/((G604+2)/100*K604/1000))*0.9144)))))</f>
        <v/>
      </c>
      <c r="Y604" s="36" t="str">
        <f t="shared" si="38"/>
        <v/>
      </c>
      <c r="Z604" s="340" t="str">
        <f>IF(AND(C604&gt;0,D604&lt;&gt;"",S604=""),VLOOKUP(A604&amp;IF(H604="黑丝","黑","白")&amp;E604,经纬!A:M,13,FALSE)*(I604-AB604),"")</f>
        <v/>
      </c>
      <c r="AA604" s="340" t="str">
        <f>IF(AND(C604&gt;0,D604&lt;&gt;"",S604=""),VLOOKUP(A604&amp;IF(H604="黑丝","黑","白")&amp;E604,经纬!A:N,14,FALSE)*(I604-AB604),"")</f>
        <v/>
      </c>
    </row>
    <row r="605" spans="13:27">
      <c r="M605" s="24" t="str">
        <f t="array" ref="M605">LEFT(L605,MIN(FIND({"A","B","C"},MID(L605,2,LEN(L605))&amp;"ABC")))</f>
        <v/>
      </c>
      <c r="N605" s="24" t="str">
        <f t="array" ref="N605">SUBSTITUTE(L605,M605,"")</f>
        <v/>
      </c>
      <c r="W605" s="369" t="str">
        <f t="shared" si="39"/>
        <v/>
      </c>
      <c r="X605" s="258" t="str">
        <f t="shared" si="40"/>
        <v/>
      </c>
      <c r="Y605" s="36" t="str">
        <f t="shared" si="38"/>
        <v/>
      </c>
      <c r="Z605" s="340" t="str">
        <f>IF(AND(C605&gt;0,D605&lt;&gt;"",S605=""),VLOOKUP(A605&amp;IF(H605="黑丝","黑","白")&amp;E605,经纬!A:M,13,FALSE)*(I605-AB605),"")</f>
        <v/>
      </c>
      <c r="AA605" s="340" t="str">
        <f>IF(AND(C605&gt;0,D605&lt;&gt;"",S605=""),VLOOKUP(A605&amp;IF(H605="黑丝","黑","白")&amp;E605,经纬!A:N,14,FALSE)*(I605-AB605),"")</f>
        <v/>
      </c>
    </row>
    <row r="606" spans="13:27">
      <c r="M606" s="24" t="str">
        <f t="array" ref="M606">LEFT(L606,MIN(FIND({"A","B","C"},MID(L606,2,LEN(L606))&amp;"ABC")))</f>
        <v/>
      </c>
      <c r="N606" s="24" t="str">
        <f t="array" ref="N606">SUBSTITUTE(L606,M606,"")</f>
        <v/>
      </c>
      <c r="W606" s="369" t="str">
        <f t="shared" si="39"/>
        <v/>
      </c>
      <c r="X606" s="258" t="str">
        <f t="shared" si="40"/>
        <v/>
      </c>
      <c r="Y606" s="36" t="str">
        <f t="shared" si="38"/>
        <v/>
      </c>
      <c r="Z606" s="340" t="str">
        <f>IF(AND(C606&gt;0,D606&lt;&gt;"",S606=""),VLOOKUP(A606&amp;IF(H606="黑丝","黑","白")&amp;E606,经纬!A:M,13,FALSE)*(I606-AB606),"")</f>
        <v/>
      </c>
      <c r="AA606" s="340" t="str">
        <f>IF(AND(C606&gt;0,D606&lt;&gt;"",S606=""),VLOOKUP(A606&amp;IF(H606="黑丝","黑","白")&amp;E606,经纬!A:N,14,FALSE)*(I606-AB606),"")</f>
        <v/>
      </c>
    </row>
    <row r="607" spans="13:27">
      <c r="M607" s="24" t="str">
        <f t="array" ref="M607">LEFT(L607,MIN(FIND({"A","B","C"},MID(L607,2,LEN(L607))&amp;"ABC")))</f>
        <v/>
      </c>
      <c r="N607" s="24" t="str">
        <f t="array" ref="N607">SUBSTITUTE(L607,M607,"")</f>
        <v/>
      </c>
      <c r="W607" s="369" t="str">
        <f t="shared" si="39"/>
        <v/>
      </c>
      <c r="X607" s="258" t="str">
        <f t="shared" si="40"/>
        <v/>
      </c>
      <c r="Y607" s="36" t="str">
        <f t="shared" si="38"/>
        <v/>
      </c>
      <c r="Z607" s="340" t="str">
        <f>IF(AND(C607&gt;0,D607&lt;&gt;"",S607=""),VLOOKUP(A607&amp;IF(H607="黑丝","黑","白")&amp;E607,经纬!A:M,13,FALSE)*(I607-AB607),"")</f>
        <v/>
      </c>
      <c r="AA607" s="340" t="str">
        <f>IF(AND(C607&gt;0,D607&lt;&gt;"",S607=""),VLOOKUP(A607&amp;IF(H607="黑丝","黑","白")&amp;E607,经纬!A:N,14,FALSE)*(I607-AB607),"")</f>
        <v/>
      </c>
    </row>
    <row r="608" spans="13:27">
      <c r="M608" s="24" t="str">
        <f t="array" ref="M608">LEFT(L608,MIN(FIND({"A","B","C"},MID(L608,2,LEN(L608))&amp;"ABC")))</f>
        <v/>
      </c>
      <c r="N608" s="24" t="str">
        <f t="array" ref="N608">SUBSTITUTE(L608,M608,"")</f>
        <v/>
      </c>
      <c r="W608" s="369" t="str">
        <f t="shared" si="39"/>
        <v/>
      </c>
      <c r="X608" s="258" t="str">
        <f t="shared" si="40"/>
        <v/>
      </c>
      <c r="Y608" s="36" t="str">
        <f t="shared" si="38"/>
        <v/>
      </c>
      <c r="Z608" s="340" t="str">
        <f>IF(AND(C608&gt;0,D608&lt;&gt;"",S608=""),VLOOKUP(A608&amp;IF(H608="黑丝","黑","白")&amp;E608,经纬!A:M,13,FALSE)*(I608-AB608),"")</f>
        <v/>
      </c>
      <c r="AA608" s="340" t="str">
        <f>IF(AND(C608&gt;0,D608&lt;&gt;"",S608=""),VLOOKUP(A608&amp;IF(H608="黑丝","黑","白")&amp;E608,经纬!A:N,14,FALSE)*(I608-AB608),"")</f>
        <v/>
      </c>
    </row>
    <row r="609" spans="13:27">
      <c r="M609" s="24" t="str">
        <f t="array" ref="M609">LEFT(L609,MIN(FIND({"A","B","C"},MID(L609,2,LEN(L609))&amp;"ABC")))</f>
        <v/>
      </c>
      <c r="N609" s="24" t="str">
        <f t="array" ref="N609">SUBSTITUTE(L609,M609,"")</f>
        <v/>
      </c>
      <c r="W609" s="369" t="str">
        <f t="shared" si="39"/>
        <v/>
      </c>
      <c r="X609" s="258" t="str">
        <f t="shared" si="40"/>
        <v/>
      </c>
      <c r="Y609" s="36" t="str">
        <f t="shared" si="38"/>
        <v/>
      </c>
      <c r="Z609" s="340" t="str">
        <f>IF(AND(C609&gt;0,D609&lt;&gt;"",S609=""),VLOOKUP(A609&amp;IF(H609="黑丝","黑","白")&amp;E609,经纬!A:M,13,FALSE)*(I609-AB609),"")</f>
        <v/>
      </c>
      <c r="AA609" s="340" t="str">
        <f>IF(AND(C609&gt;0,D609&lt;&gt;"",S609=""),VLOOKUP(A609&amp;IF(H609="黑丝","黑","白")&amp;E609,经纬!A:N,14,FALSE)*(I609-AB609),"")</f>
        <v/>
      </c>
    </row>
    <row r="610" spans="13:27">
      <c r="M610" s="24" t="str">
        <f t="array" ref="M610">LEFT(L610,MIN(FIND({"A","B","C"},MID(L610,2,LEN(L610))&amp;"ABC")))</f>
        <v/>
      </c>
      <c r="N610" s="24" t="str">
        <f t="array" ref="N610">SUBSTITUTE(L610,M610,"")</f>
        <v/>
      </c>
      <c r="W610" s="369" t="str">
        <f t="shared" si="39"/>
        <v/>
      </c>
      <c r="X610" s="258" t="str">
        <f t="shared" si="40"/>
        <v/>
      </c>
      <c r="Y610" s="36" t="str">
        <f t="shared" si="38"/>
        <v/>
      </c>
      <c r="Z610" s="340" t="str">
        <f>IF(AND(C610&gt;0,D610&lt;&gt;"",S610=""),VLOOKUP(A610&amp;IF(H610="黑丝","黑","白")&amp;E610,经纬!A:M,13,FALSE)*(I610-AB610),"")</f>
        <v/>
      </c>
      <c r="AA610" s="340" t="str">
        <f>IF(AND(C610&gt;0,D610&lt;&gt;"",S610=""),VLOOKUP(A610&amp;IF(H610="黑丝","黑","白")&amp;E610,经纬!A:N,14,FALSE)*(I610-AB610),"")</f>
        <v/>
      </c>
    </row>
    <row r="611" spans="13:27">
      <c r="M611" s="24" t="str">
        <f t="array" ref="M611">LEFT(L611,MIN(FIND({"A","B","C"},MID(L611,2,LEN(L611))&amp;"ABC")))</f>
        <v/>
      </c>
      <c r="N611" s="24" t="str">
        <f t="array" ref="N611">SUBSTITUTE(L611,M611,"")</f>
        <v/>
      </c>
      <c r="W611" s="369" t="str">
        <f t="shared" si="39"/>
        <v/>
      </c>
      <c r="X611" s="258" t="str">
        <f t="shared" si="40"/>
        <v/>
      </c>
      <c r="Y611" s="36" t="str">
        <f t="shared" si="38"/>
        <v/>
      </c>
      <c r="Z611" s="340" t="str">
        <f>IF(AND(C611&gt;0,D611&lt;&gt;"",S611=""),VLOOKUP(A611&amp;IF(H611="黑丝","黑","白")&amp;E611,经纬!A:M,13,FALSE)*(I611-AB611),"")</f>
        <v/>
      </c>
      <c r="AA611" s="340" t="str">
        <f>IF(AND(C611&gt;0,D611&lt;&gt;"",S611=""),VLOOKUP(A611&amp;IF(H611="黑丝","黑","白")&amp;E611,经纬!A:N,14,FALSE)*(I611-AB611),"")</f>
        <v/>
      </c>
    </row>
    <row r="612" spans="13:27">
      <c r="M612" s="24" t="str">
        <f t="array" ref="M612">LEFT(L612,MIN(FIND({"A","B","C"},MID(L612,2,LEN(L612))&amp;"ABC")))</f>
        <v/>
      </c>
      <c r="N612" s="24" t="str">
        <f t="array" ref="N612">SUBSTITUTE(L612,M612,"")</f>
        <v/>
      </c>
      <c r="W612" s="369" t="str">
        <f t="shared" si="39"/>
        <v/>
      </c>
      <c r="X612" s="258" t="str">
        <f t="shared" si="40"/>
        <v/>
      </c>
      <c r="Y612" s="36" t="str">
        <f t="shared" si="38"/>
        <v/>
      </c>
      <c r="Z612" s="340" t="str">
        <f>IF(AND(C612&gt;0,D612&lt;&gt;"",S612=""),VLOOKUP(A612&amp;IF(H612="黑丝","黑","白")&amp;E612,经纬!A:M,13,FALSE)*(I612-AB612),"")</f>
        <v/>
      </c>
      <c r="AA612" s="340" t="str">
        <f>IF(AND(C612&gt;0,D612&lt;&gt;"",S612=""),VLOOKUP(A612&amp;IF(H612="黑丝","黑","白")&amp;E612,经纬!A:N,14,FALSE)*(I612-AB612),"")</f>
        <v/>
      </c>
    </row>
    <row r="613" spans="13:27">
      <c r="M613" s="24" t="str">
        <f t="array" ref="M613">LEFT(L613,MIN(FIND({"A","B","C"},MID(L613,2,LEN(L613))&amp;"ABC")))</f>
        <v/>
      </c>
      <c r="N613" s="24" t="str">
        <f t="array" ref="N613">SUBSTITUTE(L613,M613,"")</f>
        <v/>
      </c>
      <c r="W613" s="369" t="str">
        <f t="shared" si="39"/>
        <v/>
      </c>
      <c r="X613" s="258" t="str">
        <f t="shared" si="40"/>
        <v/>
      </c>
      <c r="Y613" s="36" t="str">
        <f t="shared" si="38"/>
        <v/>
      </c>
      <c r="Z613" s="340" t="str">
        <f>IF(AND(C613&gt;0,D613&lt;&gt;"",S613=""),VLOOKUP(A613&amp;IF(H613="黑丝","黑","白")&amp;E613,经纬!A:M,13,FALSE)*(I613-AB613),"")</f>
        <v/>
      </c>
      <c r="AA613" s="340" t="str">
        <f>IF(AND(C613&gt;0,D613&lt;&gt;"",S613=""),VLOOKUP(A613&amp;IF(H613="黑丝","黑","白")&amp;E613,经纬!A:N,14,FALSE)*(I613-AB613),"")</f>
        <v/>
      </c>
    </row>
    <row r="614" spans="13:27">
      <c r="M614" s="24" t="str">
        <f t="array" ref="M614">LEFT(L614,MIN(FIND({"A","B","C"},MID(L614,2,LEN(L614))&amp;"ABC")))</f>
        <v/>
      </c>
      <c r="N614" s="24" t="str">
        <f t="array" ref="N614">SUBSTITUTE(L614,M614,"")</f>
        <v/>
      </c>
      <c r="W614" s="369" t="str">
        <f t="shared" si="39"/>
        <v/>
      </c>
      <c r="X614" s="258" t="str">
        <f t="shared" si="40"/>
        <v/>
      </c>
      <c r="Y614" s="36" t="str">
        <f t="shared" si="38"/>
        <v/>
      </c>
      <c r="Z614" s="340" t="str">
        <f>IF(AND(C614&gt;0,D614&lt;&gt;"",S614=""),VLOOKUP(A614&amp;IF(H614="黑丝","黑","白")&amp;E614,经纬!A:M,13,FALSE)*(I614-AB614),"")</f>
        <v/>
      </c>
      <c r="AA614" s="340" t="str">
        <f>IF(AND(C614&gt;0,D614&lt;&gt;"",S614=""),VLOOKUP(A614&amp;IF(H614="黑丝","黑","白")&amp;E614,经纬!A:N,14,FALSE)*(I614-AB614),"")</f>
        <v/>
      </c>
    </row>
    <row r="615" spans="13:27">
      <c r="M615" s="24" t="str">
        <f t="array" ref="M615">LEFT(L615,MIN(FIND({"A","B","C"},MID(L615,2,LEN(L615))&amp;"ABC")))</f>
        <v/>
      </c>
      <c r="N615" s="24" t="str">
        <f t="array" ref="N615">SUBSTITUTE(L615,M615,"")</f>
        <v/>
      </c>
      <c r="W615" s="369" t="str">
        <f t="shared" si="39"/>
        <v/>
      </c>
      <c r="X615" s="258" t="str">
        <f t="shared" si="40"/>
        <v/>
      </c>
      <c r="Y615" s="36" t="str">
        <f t="shared" si="38"/>
        <v/>
      </c>
      <c r="Z615" s="340" t="str">
        <f>IF(AND(C615&gt;0,D615&lt;&gt;"",S615=""),VLOOKUP(A615&amp;IF(H615="黑丝","黑","白")&amp;E615,经纬!A:M,13,FALSE)*(I615-AB615),"")</f>
        <v/>
      </c>
      <c r="AA615" s="340" t="str">
        <f>IF(AND(C615&gt;0,D615&lt;&gt;"",S615=""),VLOOKUP(A615&amp;IF(H615="黑丝","黑","白")&amp;E615,经纬!A:N,14,FALSE)*(I615-AB615),"")</f>
        <v/>
      </c>
    </row>
    <row r="616" spans="13:27">
      <c r="M616" s="24" t="str">
        <f t="array" ref="M616">LEFT(L616,MIN(FIND({"A","B","C"},MID(L616,2,LEN(L616))&amp;"ABC")))</f>
        <v/>
      </c>
      <c r="N616" s="24" t="str">
        <f t="array" ref="N616">SUBSTITUTE(L616,M616,"")</f>
        <v/>
      </c>
      <c r="W616" s="369" t="str">
        <f t="shared" si="39"/>
        <v/>
      </c>
      <c r="X616" s="258" t="str">
        <f t="shared" si="40"/>
        <v/>
      </c>
      <c r="Y616" s="36" t="str">
        <f t="shared" si="38"/>
        <v/>
      </c>
      <c r="Z616" s="340" t="str">
        <f>IF(AND(C616&gt;0,D616&lt;&gt;"",S616=""),VLOOKUP(A616&amp;IF(H616="黑丝","黑","白")&amp;E616,经纬!A:M,13,FALSE)*(I616-AB616),"")</f>
        <v/>
      </c>
      <c r="AA616" s="340" t="str">
        <f>IF(AND(C616&gt;0,D616&lt;&gt;"",S616=""),VLOOKUP(A616&amp;IF(H616="黑丝","黑","白")&amp;E616,经纬!A:N,14,FALSE)*(I616-AB616),"")</f>
        <v/>
      </c>
    </row>
    <row r="617" spans="13:27">
      <c r="M617" s="24" t="str">
        <f t="array" ref="M617">LEFT(L617,MIN(FIND({"A","B","C"},MID(L617,2,LEN(L617))&amp;"ABC")))</f>
        <v/>
      </c>
      <c r="N617" s="24" t="str">
        <f t="array" ref="N617">SUBSTITUTE(L617,M617,"")</f>
        <v/>
      </c>
      <c r="W617" s="369" t="str">
        <f t="shared" si="39"/>
        <v/>
      </c>
      <c r="X617" s="258" t="str">
        <f t="shared" si="40"/>
        <v/>
      </c>
      <c r="Y617" s="36" t="str">
        <f t="shared" ref="Y617:Y680" si="41">IF(OR(B617="",D617&lt;&gt;""),"",IF(S617&lt;&gt;"","",I617/((1/((G617+2)/100*K617/1000))*0.9144)/IF(H617="黑丝",22,20)-AB617))</f>
        <v/>
      </c>
      <c r="Z617" s="340" t="str">
        <f>IF(AND(C617&gt;0,D617&lt;&gt;"",S617=""),VLOOKUP(A617&amp;IF(H617="黑丝","黑","白")&amp;E617,经纬!A:M,13,FALSE)*(I617-AB617),"")</f>
        <v/>
      </c>
      <c r="AA617" s="340" t="str">
        <f>IF(AND(C617&gt;0,D617&lt;&gt;"",S617=""),VLOOKUP(A617&amp;IF(H617="黑丝","黑","白")&amp;E617,经纬!A:N,14,FALSE)*(I617-AB617),"")</f>
        <v/>
      </c>
    </row>
    <row r="618" spans="13:27">
      <c r="M618" s="24" t="str">
        <f t="array" ref="M618">LEFT(L618,MIN(FIND({"A","B","C"},MID(L618,2,LEN(L618))&amp;"ABC")))</f>
        <v/>
      </c>
      <c r="N618" s="24" t="str">
        <f t="array" ref="N618">SUBSTITUTE(L618,M618,"")</f>
        <v/>
      </c>
      <c r="W618" s="369" t="str">
        <f t="shared" si="39"/>
        <v/>
      </c>
      <c r="X618" s="258" t="str">
        <f t="shared" si="40"/>
        <v/>
      </c>
      <c r="Y618" s="36" t="str">
        <f t="shared" si="41"/>
        <v/>
      </c>
      <c r="Z618" s="340" t="str">
        <f>IF(AND(C618&gt;0,D618&lt;&gt;"",S618=""),VLOOKUP(A618&amp;IF(H618="黑丝","黑","白")&amp;E618,经纬!A:M,13,FALSE)*(I618-AB618),"")</f>
        <v/>
      </c>
      <c r="AA618" s="340" t="str">
        <f>IF(AND(C618&gt;0,D618&lt;&gt;"",S618=""),VLOOKUP(A618&amp;IF(H618="黑丝","黑","白")&amp;E618,经纬!A:N,14,FALSE)*(I618-AB618),"")</f>
        <v/>
      </c>
    </row>
    <row r="619" spans="13:27">
      <c r="M619" s="24" t="str">
        <f t="array" ref="M619">LEFT(L619,MIN(FIND({"A","B","C"},MID(L619,2,LEN(L619))&amp;"ABC")))</f>
        <v/>
      </c>
      <c r="N619" s="24" t="str">
        <f t="array" ref="N619">SUBSTITUTE(L619,M619,"")</f>
        <v/>
      </c>
      <c r="W619" s="369" t="str">
        <f t="shared" si="39"/>
        <v/>
      </c>
      <c r="X619" s="258" t="str">
        <f t="shared" si="40"/>
        <v/>
      </c>
      <c r="Y619" s="36" t="str">
        <f t="shared" si="41"/>
        <v/>
      </c>
      <c r="Z619" s="340" t="str">
        <f>IF(AND(C619&gt;0,D619&lt;&gt;"",S619=""),VLOOKUP(A619&amp;IF(H619="黑丝","黑","白")&amp;E619,经纬!A:M,13,FALSE)*(I619-AB619),"")</f>
        <v/>
      </c>
      <c r="AA619" s="340" t="str">
        <f>IF(AND(C619&gt;0,D619&lt;&gt;"",S619=""),VLOOKUP(A619&amp;IF(H619="黑丝","黑","白")&amp;E619,经纬!A:N,14,FALSE)*(I619-AB619),"")</f>
        <v/>
      </c>
    </row>
    <row r="620" spans="13:27">
      <c r="M620" s="24" t="str">
        <f t="array" ref="M620">LEFT(L620,MIN(FIND({"A","B","C"},MID(L620,2,LEN(L620))&amp;"ABC")))</f>
        <v/>
      </c>
      <c r="N620" s="24" t="str">
        <f t="array" ref="N620">SUBSTITUTE(L620,M620,"")</f>
        <v/>
      </c>
      <c r="W620" s="369" t="str">
        <f t="shared" si="39"/>
        <v/>
      </c>
      <c r="X620" s="258" t="str">
        <f t="shared" si="40"/>
        <v/>
      </c>
      <c r="Y620" s="36" t="str">
        <f t="shared" si="41"/>
        <v/>
      </c>
      <c r="Z620" s="340" t="str">
        <f>IF(AND(C620&gt;0,D620&lt;&gt;"",S620=""),VLOOKUP(A620&amp;IF(H620="黑丝","黑","白")&amp;E620,经纬!A:M,13,FALSE)*(I620-AB620),"")</f>
        <v/>
      </c>
      <c r="AA620" s="340" t="str">
        <f>IF(AND(C620&gt;0,D620&lt;&gt;"",S620=""),VLOOKUP(A620&amp;IF(H620="黑丝","黑","白")&amp;E620,经纬!A:N,14,FALSE)*(I620-AB620),"")</f>
        <v/>
      </c>
    </row>
    <row r="621" spans="13:27">
      <c r="M621" s="24" t="str">
        <f t="array" ref="M621">LEFT(L621,MIN(FIND({"A","B","C"},MID(L621,2,LEN(L621))&amp;"ABC")))</f>
        <v/>
      </c>
      <c r="N621" s="24" t="str">
        <f t="array" ref="N621">SUBSTITUTE(L621,M621,"")</f>
        <v/>
      </c>
      <c r="W621" s="369" t="str">
        <f t="shared" si="39"/>
        <v/>
      </c>
      <c r="X621" s="258" t="str">
        <f t="shared" si="40"/>
        <v/>
      </c>
      <c r="Y621" s="36" t="str">
        <f t="shared" si="41"/>
        <v/>
      </c>
      <c r="Z621" s="340" t="str">
        <f>IF(AND(C621&gt;0,D621&lt;&gt;"",S621=""),VLOOKUP(A621&amp;IF(H621="黑丝","黑","白")&amp;E621,经纬!A:M,13,FALSE)*(I621-AB621),"")</f>
        <v/>
      </c>
      <c r="AA621" s="340" t="str">
        <f>IF(AND(C621&gt;0,D621&lt;&gt;"",S621=""),VLOOKUP(A621&amp;IF(H621="黑丝","黑","白")&amp;E621,经纬!A:N,14,FALSE)*(I621-AB621),"")</f>
        <v/>
      </c>
    </row>
    <row r="622" spans="13:27">
      <c r="M622" s="24" t="str">
        <f t="array" ref="M622">LEFT(L622,MIN(FIND({"A","B","C"},MID(L622,2,LEN(L622))&amp;"ABC")))</f>
        <v/>
      </c>
      <c r="N622" s="24" t="str">
        <f t="array" ref="N622">SUBSTITUTE(L622,M622,"")</f>
        <v/>
      </c>
      <c r="W622" s="369" t="str">
        <f t="shared" si="39"/>
        <v/>
      </c>
      <c r="X622" s="258" t="str">
        <f t="shared" si="40"/>
        <v/>
      </c>
      <c r="Y622" s="36" t="str">
        <f t="shared" si="41"/>
        <v/>
      </c>
      <c r="Z622" s="340" t="str">
        <f>IF(AND(C622&gt;0,D622&lt;&gt;"",S622=""),VLOOKUP(A622&amp;IF(H622="黑丝","黑","白")&amp;E622,经纬!A:M,13,FALSE)*(I622-AB622),"")</f>
        <v/>
      </c>
      <c r="AA622" s="340" t="str">
        <f>IF(AND(C622&gt;0,D622&lt;&gt;"",S622=""),VLOOKUP(A622&amp;IF(H622="黑丝","黑","白")&amp;E622,经纬!A:N,14,FALSE)*(I622-AB622),"")</f>
        <v/>
      </c>
    </row>
    <row r="623" spans="13:27">
      <c r="M623" s="24" t="str">
        <f t="array" ref="M623">LEFT(L623,MIN(FIND({"A","B","C"},MID(L623,2,LEN(L623))&amp;"ABC")))</f>
        <v/>
      </c>
      <c r="N623" s="24" t="str">
        <f t="array" ref="N623">SUBSTITUTE(L623,M623,"")</f>
        <v/>
      </c>
      <c r="W623" s="369" t="str">
        <f t="shared" si="39"/>
        <v/>
      </c>
      <c r="X623" s="258" t="str">
        <f t="shared" si="40"/>
        <v/>
      </c>
      <c r="Y623" s="36" t="str">
        <f t="shared" si="41"/>
        <v/>
      </c>
      <c r="Z623" s="340" t="str">
        <f>IF(AND(C623&gt;0,D623&lt;&gt;"",S623=""),VLOOKUP(A623&amp;IF(H623="黑丝","黑","白")&amp;E623,经纬!A:M,13,FALSE)*(I623-AB623),"")</f>
        <v/>
      </c>
      <c r="AA623" s="340" t="str">
        <f>IF(AND(C623&gt;0,D623&lt;&gt;"",S623=""),VLOOKUP(A623&amp;IF(H623="黑丝","黑","白")&amp;E623,经纬!A:N,14,FALSE)*(I623-AB623),"")</f>
        <v/>
      </c>
    </row>
    <row r="624" spans="13:27">
      <c r="M624" s="24" t="str">
        <f t="array" ref="M624">LEFT(L624,MIN(FIND({"A","B","C"},MID(L624,2,LEN(L624))&amp;"ABC")))</f>
        <v/>
      </c>
      <c r="N624" s="24" t="str">
        <f t="array" ref="N624">SUBSTITUTE(L624,M624,"")</f>
        <v/>
      </c>
      <c r="W624" s="369" t="str">
        <f t="shared" si="39"/>
        <v/>
      </c>
      <c r="X624" s="258" t="str">
        <f t="shared" si="40"/>
        <v/>
      </c>
      <c r="Y624" s="36" t="str">
        <f t="shared" si="41"/>
        <v/>
      </c>
      <c r="Z624" s="340" t="str">
        <f>IF(AND(C624&gt;0,D624&lt;&gt;"",S624=""),VLOOKUP(A624&amp;IF(H624="黑丝","黑","白")&amp;E624,经纬!A:M,13,FALSE)*(I624-AB624),"")</f>
        <v/>
      </c>
      <c r="AA624" s="340" t="str">
        <f>IF(AND(C624&gt;0,D624&lt;&gt;"",S624=""),VLOOKUP(A624&amp;IF(H624="黑丝","黑","白")&amp;E624,经纬!A:N,14,FALSE)*(I624-AB624),"")</f>
        <v/>
      </c>
    </row>
    <row r="625" spans="13:27">
      <c r="M625" s="24" t="str">
        <f t="array" ref="M625">LEFT(L625,MIN(FIND({"A","B","C"},MID(L625,2,LEN(L625))&amp;"ABC")))</f>
        <v/>
      </c>
      <c r="N625" s="24" t="str">
        <f t="array" ref="N625">SUBSTITUTE(L625,M625,"")</f>
        <v/>
      </c>
      <c r="W625" s="369" t="str">
        <f t="shared" si="39"/>
        <v/>
      </c>
      <c r="X625" s="258" t="str">
        <f t="shared" si="40"/>
        <v/>
      </c>
      <c r="Y625" s="36" t="str">
        <f t="shared" si="41"/>
        <v/>
      </c>
      <c r="Z625" s="340" t="str">
        <f>IF(AND(C625&gt;0,D625&lt;&gt;"",S625=""),VLOOKUP(A625&amp;IF(H625="黑丝","黑","白")&amp;E625,经纬!A:M,13,FALSE)*(I625-AB625),"")</f>
        <v/>
      </c>
      <c r="AA625" s="340" t="str">
        <f>IF(AND(C625&gt;0,D625&lt;&gt;"",S625=""),VLOOKUP(A625&amp;IF(H625="黑丝","黑","白")&amp;E625,经纬!A:N,14,FALSE)*(I625-AB625),"")</f>
        <v/>
      </c>
    </row>
    <row r="626" spans="13:27">
      <c r="M626" s="24" t="str">
        <f t="array" ref="M626">LEFT(L626,MIN(FIND({"A","B","C"},MID(L626,2,LEN(L626))&amp;"ABC")))</f>
        <v/>
      </c>
      <c r="N626" s="24" t="str">
        <f t="array" ref="N626">SUBSTITUTE(L626,M626,"")</f>
        <v/>
      </c>
      <c r="W626" s="369" t="str">
        <f t="shared" si="39"/>
        <v/>
      </c>
      <c r="X626" s="258" t="str">
        <f t="shared" si="40"/>
        <v/>
      </c>
      <c r="Y626" s="36" t="str">
        <f t="shared" si="41"/>
        <v/>
      </c>
      <c r="Z626" s="340" t="str">
        <f>IF(AND(C626&gt;0,D626&lt;&gt;"",S626=""),VLOOKUP(A626&amp;IF(H626="黑丝","黑","白")&amp;E626,经纬!A:M,13,FALSE)*(I626-AB626),"")</f>
        <v/>
      </c>
      <c r="AA626" s="340" t="str">
        <f>IF(AND(C626&gt;0,D626&lt;&gt;"",S626=""),VLOOKUP(A626&amp;IF(H626="黑丝","黑","白")&amp;E626,经纬!A:N,14,FALSE)*(I626-AB626),"")</f>
        <v/>
      </c>
    </row>
    <row r="627" spans="13:27">
      <c r="M627" s="24" t="str">
        <f t="array" ref="M627">LEFT(L627,MIN(FIND({"A","B","C"},MID(L627,2,LEN(L627))&amp;"ABC")))</f>
        <v/>
      </c>
      <c r="N627" s="24" t="str">
        <f t="array" ref="N627">SUBSTITUTE(L627,M627,"")</f>
        <v/>
      </c>
      <c r="W627" s="369" t="str">
        <f t="shared" si="39"/>
        <v/>
      </c>
      <c r="X627" s="258" t="str">
        <f t="shared" si="40"/>
        <v/>
      </c>
      <c r="Y627" s="36" t="str">
        <f t="shared" si="41"/>
        <v/>
      </c>
      <c r="Z627" s="340" t="str">
        <f>IF(AND(C627&gt;0,D627&lt;&gt;"",S627=""),VLOOKUP(A627&amp;IF(H627="黑丝","黑","白")&amp;E627,经纬!A:M,13,FALSE)*(I627-AB627),"")</f>
        <v/>
      </c>
      <c r="AA627" s="340" t="str">
        <f>IF(AND(C627&gt;0,D627&lt;&gt;"",S627=""),VLOOKUP(A627&amp;IF(H627="黑丝","黑","白")&amp;E627,经纬!A:N,14,FALSE)*(I627-AB627),"")</f>
        <v/>
      </c>
    </row>
    <row r="628" spans="13:27">
      <c r="M628" s="24" t="str">
        <f t="array" ref="M628">LEFT(L628,MIN(FIND({"A","B","C"},MID(L628,2,LEN(L628))&amp;"ABC")))</f>
        <v/>
      </c>
      <c r="N628" s="24" t="str">
        <f t="array" ref="N628">SUBSTITUTE(L628,M628,"")</f>
        <v/>
      </c>
      <c r="W628" s="369" t="str">
        <f t="shared" si="39"/>
        <v/>
      </c>
      <c r="X628" s="258" t="str">
        <f t="shared" si="40"/>
        <v/>
      </c>
      <c r="Y628" s="36" t="str">
        <f t="shared" si="41"/>
        <v/>
      </c>
      <c r="Z628" s="340" t="str">
        <f>IF(AND(C628&gt;0,D628&lt;&gt;"",S628=""),VLOOKUP(A628&amp;IF(H628="黑丝","黑","白")&amp;E628,经纬!A:M,13,FALSE)*(I628-AB628),"")</f>
        <v/>
      </c>
      <c r="AA628" s="340" t="str">
        <f>IF(AND(C628&gt;0,D628&lt;&gt;"",S628=""),VLOOKUP(A628&amp;IF(H628="黑丝","黑","白")&amp;E628,经纬!A:N,14,FALSE)*(I628-AB628),"")</f>
        <v/>
      </c>
    </row>
    <row r="629" spans="13:27">
      <c r="M629" s="24" t="str">
        <f t="array" ref="M629">LEFT(L629,MIN(FIND({"A","B","C"},MID(L629,2,LEN(L629))&amp;"ABC")))</f>
        <v/>
      </c>
      <c r="N629" s="24" t="str">
        <f t="array" ref="N629">SUBSTITUTE(L629,M629,"")</f>
        <v/>
      </c>
      <c r="W629" s="369" t="str">
        <f t="shared" si="39"/>
        <v/>
      </c>
      <c r="X629" s="258" t="str">
        <f t="shared" si="40"/>
        <v/>
      </c>
      <c r="Y629" s="36" t="str">
        <f t="shared" si="41"/>
        <v/>
      </c>
      <c r="Z629" s="340" t="str">
        <f>IF(AND(C629&gt;0,D629&lt;&gt;"",S629=""),VLOOKUP(A629&amp;IF(H629="黑丝","黑","白")&amp;E629,经纬!A:M,13,FALSE)*(I629-AB629),"")</f>
        <v/>
      </c>
      <c r="AA629" s="340" t="str">
        <f>IF(AND(C629&gt;0,D629&lt;&gt;"",S629=""),VLOOKUP(A629&amp;IF(H629="黑丝","黑","白")&amp;E629,经纬!A:N,14,FALSE)*(I629-AB629),"")</f>
        <v/>
      </c>
    </row>
    <row r="630" spans="13:27">
      <c r="M630" s="24" t="str">
        <f t="array" ref="M630">LEFT(L630,MIN(FIND({"A","B","C"},MID(L630,2,LEN(L630))&amp;"ABC")))</f>
        <v/>
      </c>
      <c r="N630" s="24" t="str">
        <f t="array" ref="N630">SUBSTITUTE(L630,M630,"")</f>
        <v/>
      </c>
      <c r="W630" s="369" t="str">
        <f t="shared" si="39"/>
        <v/>
      </c>
      <c r="X630" s="258" t="str">
        <f t="shared" si="40"/>
        <v/>
      </c>
      <c r="Y630" s="36" t="str">
        <f t="shared" si="41"/>
        <v/>
      </c>
      <c r="Z630" s="340" t="str">
        <f>IF(AND(C630&gt;0,D630&lt;&gt;"",S630=""),VLOOKUP(A630&amp;IF(H630="黑丝","黑","白")&amp;E630,经纬!A:M,13,FALSE)*(I630-AB630),"")</f>
        <v/>
      </c>
      <c r="AA630" s="340" t="str">
        <f>IF(AND(C630&gt;0,D630&lt;&gt;"",S630=""),VLOOKUP(A630&amp;IF(H630="黑丝","黑","白")&amp;E630,经纬!A:N,14,FALSE)*(I630-AB630),"")</f>
        <v/>
      </c>
    </row>
    <row r="631" spans="13:27">
      <c r="M631" s="24" t="str">
        <f t="array" ref="M631">LEFT(L631,MIN(FIND({"A","B","C"},MID(L631,2,LEN(L631))&amp;"ABC")))</f>
        <v/>
      </c>
      <c r="N631" s="24" t="str">
        <f t="array" ref="N631">SUBSTITUTE(L631,M631,"")</f>
        <v/>
      </c>
      <c r="W631" s="369" t="str">
        <f t="shared" si="39"/>
        <v/>
      </c>
      <c r="X631" s="258" t="str">
        <f t="shared" si="40"/>
        <v/>
      </c>
      <c r="Y631" s="36" t="str">
        <f t="shared" si="41"/>
        <v/>
      </c>
      <c r="Z631" s="340" t="str">
        <f>IF(AND(C631&gt;0,D631&lt;&gt;"",S631=""),VLOOKUP(A631&amp;IF(H631="黑丝","黑","白")&amp;E631,经纬!A:M,13,FALSE)*(I631-AB631),"")</f>
        <v/>
      </c>
      <c r="AA631" s="340" t="str">
        <f>IF(AND(C631&gt;0,D631&lt;&gt;"",S631=""),VLOOKUP(A631&amp;IF(H631="黑丝","黑","白")&amp;E631,经纬!A:N,14,FALSE)*(I631-AB631),"")</f>
        <v/>
      </c>
    </row>
    <row r="632" spans="13:27">
      <c r="M632" s="24" t="str">
        <f t="array" ref="M632">LEFT(L632,MIN(FIND({"A","B","C"},MID(L632,2,LEN(L632))&amp;"ABC")))</f>
        <v/>
      </c>
      <c r="N632" s="24" t="str">
        <f t="array" ref="N632">SUBSTITUTE(L632,M632,"")</f>
        <v/>
      </c>
      <c r="W632" s="369" t="str">
        <f t="shared" si="39"/>
        <v/>
      </c>
      <c r="X632" s="258" t="str">
        <f t="shared" si="40"/>
        <v/>
      </c>
      <c r="Y632" s="36" t="str">
        <f t="shared" si="41"/>
        <v/>
      </c>
      <c r="Z632" s="340" t="str">
        <f>IF(AND(C632&gt;0,D632&lt;&gt;"",S632=""),VLOOKUP(A632&amp;IF(H632="黑丝","黑","白")&amp;E632,经纬!A:M,13,FALSE)*(I632-AB632),"")</f>
        <v/>
      </c>
      <c r="AA632" s="340" t="str">
        <f>IF(AND(C632&gt;0,D632&lt;&gt;"",S632=""),VLOOKUP(A632&amp;IF(H632="黑丝","黑","白")&amp;E632,经纬!A:N,14,FALSE)*(I632-AB632),"")</f>
        <v/>
      </c>
    </row>
    <row r="633" spans="13:27">
      <c r="M633" s="24" t="str">
        <f t="array" ref="M633">LEFT(L633,MIN(FIND({"A","B","C"},MID(L633,2,LEN(L633))&amp;"ABC")))</f>
        <v/>
      </c>
      <c r="N633" s="24" t="str">
        <f t="array" ref="N633">SUBSTITUTE(L633,M633,"")</f>
        <v/>
      </c>
      <c r="W633" s="369" t="str">
        <f t="shared" si="39"/>
        <v/>
      </c>
      <c r="X633" s="258" t="str">
        <f t="shared" si="40"/>
        <v/>
      </c>
      <c r="Y633" s="36" t="str">
        <f t="shared" si="41"/>
        <v/>
      </c>
      <c r="Z633" s="340" t="str">
        <f>IF(AND(C633&gt;0,D633&lt;&gt;"",S633=""),VLOOKUP(A633&amp;IF(H633="黑丝","黑","白")&amp;E633,经纬!A:M,13,FALSE)*(I633-AB633),"")</f>
        <v/>
      </c>
      <c r="AA633" s="340" t="str">
        <f>IF(AND(C633&gt;0,D633&lt;&gt;"",S633=""),VLOOKUP(A633&amp;IF(H633="黑丝","黑","白")&amp;E633,经纬!A:N,14,FALSE)*(I633-AB633),"")</f>
        <v/>
      </c>
    </row>
    <row r="634" spans="13:27">
      <c r="M634" s="24" t="str">
        <f t="array" ref="M634">LEFT(L634,MIN(FIND({"A","B","C"},MID(L634,2,LEN(L634))&amp;"ABC")))</f>
        <v/>
      </c>
      <c r="N634" s="24" t="str">
        <f t="array" ref="N634">SUBSTITUTE(L634,M634,"")</f>
        <v/>
      </c>
      <c r="W634" s="369" t="str">
        <f t="shared" si="39"/>
        <v/>
      </c>
      <c r="X634" s="258" t="str">
        <f t="shared" si="40"/>
        <v/>
      </c>
      <c r="Y634" s="36" t="str">
        <f t="shared" si="41"/>
        <v/>
      </c>
      <c r="Z634" s="340" t="str">
        <f>IF(AND(C634&gt;0,D634&lt;&gt;"",S634=""),VLOOKUP(A634&amp;IF(H634="黑丝","黑","白")&amp;E634,经纬!A:M,13,FALSE)*(I634-AB634),"")</f>
        <v/>
      </c>
      <c r="AA634" s="340" t="str">
        <f>IF(AND(C634&gt;0,D634&lt;&gt;"",S634=""),VLOOKUP(A634&amp;IF(H634="黑丝","黑","白")&amp;E634,经纬!A:N,14,FALSE)*(I634-AB634),"")</f>
        <v/>
      </c>
    </row>
    <row r="635" spans="13:27">
      <c r="M635" s="24" t="str">
        <f t="array" ref="M635">LEFT(L635,MIN(FIND({"A","B","C"},MID(L635,2,LEN(L635))&amp;"ABC")))</f>
        <v/>
      </c>
      <c r="N635" s="24" t="str">
        <f t="array" ref="N635">SUBSTITUTE(L635,M635,"")</f>
        <v/>
      </c>
      <c r="W635" s="369" t="str">
        <f t="shared" si="39"/>
        <v/>
      </c>
      <c r="X635" s="258" t="str">
        <f t="shared" si="40"/>
        <v/>
      </c>
      <c r="Y635" s="36" t="str">
        <f t="shared" si="41"/>
        <v/>
      </c>
      <c r="Z635" s="340" t="str">
        <f>IF(AND(C635&gt;0,D635&lt;&gt;"",S635=""),VLOOKUP(A635&amp;IF(H635="黑丝","黑","白")&amp;E635,经纬!A:M,13,FALSE)*(I635-AB635),"")</f>
        <v/>
      </c>
      <c r="AA635" s="340" t="str">
        <f>IF(AND(C635&gt;0,D635&lt;&gt;"",S635=""),VLOOKUP(A635&amp;IF(H635="黑丝","黑","白")&amp;E635,经纬!A:N,14,FALSE)*(I635-AB635),"")</f>
        <v/>
      </c>
    </row>
    <row r="636" spans="13:27">
      <c r="M636" s="24" t="str">
        <f t="array" ref="M636">LEFT(L636,MIN(FIND({"A","B","C"},MID(L636,2,LEN(L636))&amp;"ABC")))</f>
        <v/>
      </c>
      <c r="N636" s="24" t="str">
        <f t="array" ref="N636">SUBSTITUTE(L636,M636,"")</f>
        <v/>
      </c>
      <c r="W636" s="369" t="str">
        <f t="shared" si="39"/>
        <v/>
      </c>
      <c r="X636" s="258" t="str">
        <f t="shared" si="40"/>
        <v/>
      </c>
      <c r="Y636" s="36" t="str">
        <f t="shared" si="41"/>
        <v/>
      </c>
      <c r="Z636" s="340" t="str">
        <f>IF(AND(C636&gt;0,D636&lt;&gt;"",S636=""),VLOOKUP(A636&amp;IF(H636="黑丝","黑","白")&amp;E636,经纬!A:M,13,FALSE)*(I636-AB636),"")</f>
        <v/>
      </c>
      <c r="AA636" s="340" t="str">
        <f>IF(AND(C636&gt;0,D636&lt;&gt;"",S636=""),VLOOKUP(A636&amp;IF(H636="黑丝","黑","白")&amp;E636,经纬!A:N,14,FALSE)*(I636-AB636),"")</f>
        <v/>
      </c>
    </row>
    <row r="637" spans="13:27">
      <c r="M637" s="24" t="str">
        <f t="array" ref="M637">LEFT(L637,MIN(FIND({"A","B","C"},MID(L637,2,LEN(L637))&amp;"ABC")))</f>
        <v/>
      </c>
      <c r="N637" s="24" t="str">
        <f t="array" ref="N637">SUBSTITUTE(L637,M637,"")</f>
        <v/>
      </c>
      <c r="W637" s="369" t="str">
        <f t="shared" si="39"/>
        <v/>
      </c>
      <c r="X637" s="258" t="str">
        <f t="shared" si="40"/>
        <v/>
      </c>
      <c r="Y637" s="36" t="str">
        <f t="shared" si="41"/>
        <v/>
      </c>
      <c r="Z637" s="340" t="str">
        <f>IF(AND(C637&gt;0,D637&lt;&gt;"",S637=""),VLOOKUP(A637&amp;IF(H637="黑丝","黑","白")&amp;E637,经纬!A:M,13,FALSE)*(I637-AB637),"")</f>
        <v/>
      </c>
      <c r="AA637" s="340" t="str">
        <f>IF(AND(C637&gt;0,D637&lt;&gt;"",S637=""),VLOOKUP(A637&amp;IF(H637="黑丝","黑","白")&amp;E637,经纬!A:N,14,FALSE)*(I637-AB637),"")</f>
        <v/>
      </c>
    </row>
    <row r="638" spans="13:27">
      <c r="M638" s="24" t="str">
        <f t="array" ref="M638">LEFT(L638,MIN(FIND({"A","B","C"},MID(L638,2,LEN(L638))&amp;"ABC")))</f>
        <v/>
      </c>
      <c r="N638" s="24" t="str">
        <f t="array" ref="N638">SUBSTITUTE(L638,M638,"")</f>
        <v/>
      </c>
      <c r="W638" s="369" t="str">
        <f t="shared" si="39"/>
        <v/>
      </c>
      <c r="X638" s="258" t="str">
        <f t="shared" si="40"/>
        <v/>
      </c>
      <c r="Y638" s="36" t="str">
        <f t="shared" si="41"/>
        <v/>
      </c>
      <c r="Z638" s="340" t="str">
        <f>IF(AND(C638&gt;0,D638&lt;&gt;"",S638=""),VLOOKUP(A638&amp;IF(H638="黑丝","黑","白")&amp;E638,经纬!A:M,13,FALSE)*(I638-AB638),"")</f>
        <v/>
      </c>
      <c r="AA638" s="340" t="str">
        <f>IF(AND(C638&gt;0,D638&lt;&gt;"",S638=""),VLOOKUP(A638&amp;IF(H638="黑丝","黑","白")&amp;E638,经纬!A:N,14,FALSE)*(I638-AB638),"")</f>
        <v/>
      </c>
    </row>
    <row r="639" spans="13:27">
      <c r="M639" s="24" t="str">
        <f t="array" ref="M639">LEFT(L639,MIN(FIND({"A","B","C"},MID(L639,2,LEN(L639))&amp;"ABC")))</f>
        <v/>
      </c>
      <c r="N639" s="24" t="str">
        <f t="array" ref="N639">SUBSTITUTE(L639,M639,"")</f>
        <v/>
      </c>
      <c r="W639" s="369" t="str">
        <f t="shared" si="39"/>
        <v/>
      </c>
      <c r="X639" s="258" t="str">
        <f t="shared" si="40"/>
        <v/>
      </c>
      <c r="Y639" s="36" t="str">
        <f t="shared" si="41"/>
        <v/>
      </c>
      <c r="Z639" s="340" t="str">
        <f>IF(AND(C639&gt;0,D639&lt;&gt;"",S639=""),VLOOKUP(A639&amp;IF(H639="黑丝","黑","白")&amp;E639,经纬!A:M,13,FALSE)*(I639-AB639),"")</f>
        <v/>
      </c>
      <c r="AA639" s="340" t="str">
        <f>IF(AND(C639&gt;0,D639&lt;&gt;"",S639=""),VLOOKUP(A639&amp;IF(H639="黑丝","黑","白")&amp;E639,经纬!A:N,14,FALSE)*(I639-AB639),"")</f>
        <v/>
      </c>
    </row>
    <row r="640" spans="13:27">
      <c r="M640" s="24" t="str">
        <f t="array" ref="M640">LEFT(L640,MIN(FIND({"A","B","C"},MID(L640,2,LEN(L640))&amp;"ABC")))</f>
        <v/>
      </c>
      <c r="N640" s="24" t="str">
        <f t="array" ref="N640">SUBSTITUTE(L640,M640,"")</f>
        <v/>
      </c>
      <c r="W640" s="369" t="str">
        <f t="shared" si="39"/>
        <v/>
      </c>
      <c r="X640" s="258" t="str">
        <f t="shared" si="40"/>
        <v/>
      </c>
      <c r="Y640" s="36" t="str">
        <f t="shared" si="41"/>
        <v/>
      </c>
      <c r="Z640" s="340" t="str">
        <f>IF(AND(C640&gt;0,D640&lt;&gt;"",S640=""),VLOOKUP(A640&amp;IF(H640="黑丝","黑","白")&amp;E640,经纬!A:M,13,FALSE)*(I640-AB640),"")</f>
        <v/>
      </c>
      <c r="AA640" s="340" t="str">
        <f>IF(AND(C640&gt;0,D640&lt;&gt;"",S640=""),VLOOKUP(A640&amp;IF(H640="黑丝","黑","白")&amp;E640,经纬!A:N,14,FALSE)*(I640-AB640),"")</f>
        <v/>
      </c>
    </row>
    <row r="641" spans="13:27">
      <c r="M641" s="24" t="str">
        <f t="array" ref="M641">LEFT(L641,MIN(FIND({"A","B","C"},MID(L641,2,LEN(L641))&amp;"ABC")))</f>
        <v/>
      </c>
      <c r="N641" s="24" t="str">
        <f t="array" ref="N641">SUBSTITUTE(L641,M641,"")</f>
        <v/>
      </c>
      <c r="W641" s="369" t="str">
        <f t="shared" si="39"/>
        <v/>
      </c>
      <c r="X641" s="258" t="str">
        <f t="shared" si="40"/>
        <v/>
      </c>
      <c r="Y641" s="36" t="str">
        <f t="shared" si="41"/>
        <v/>
      </c>
      <c r="Z641" s="340" t="str">
        <f>IF(AND(C641&gt;0,D641&lt;&gt;"",S641=""),VLOOKUP(A641&amp;IF(H641="黑丝","黑","白")&amp;E641,经纬!A:M,13,FALSE)*(I641-AB641),"")</f>
        <v/>
      </c>
      <c r="AA641" s="340" t="str">
        <f>IF(AND(C641&gt;0,D641&lt;&gt;"",S641=""),VLOOKUP(A641&amp;IF(H641="黑丝","黑","白")&amp;E641,经纬!A:N,14,FALSE)*(I641-AB641),"")</f>
        <v/>
      </c>
    </row>
    <row r="642" spans="13:27">
      <c r="M642" s="24" t="str">
        <f t="array" ref="M642">LEFT(L642,MIN(FIND({"A","B","C"},MID(L642,2,LEN(L642))&amp;"ABC")))</f>
        <v/>
      </c>
      <c r="N642" s="24" t="str">
        <f t="array" ref="N642">SUBSTITUTE(L642,M642,"")</f>
        <v/>
      </c>
      <c r="X642" s="258" t="str">
        <f t="shared" si="40"/>
        <v/>
      </c>
      <c r="Y642" s="36" t="str">
        <f t="shared" si="41"/>
        <v/>
      </c>
      <c r="Z642" s="340" t="str">
        <f>IF(AND(C642&gt;0,D642&lt;&gt;"",S642=""),VLOOKUP(A642&amp;IF(H642="黑丝","黑","白")&amp;E642,经纬!A:M,13,FALSE)*(I642-AB642),"")</f>
        <v/>
      </c>
      <c r="AA642" s="340" t="str">
        <f>IF(AND(C642&gt;0,D642&lt;&gt;"",S642=""),VLOOKUP(A642&amp;IF(H642="黑丝","黑","白")&amp;E642,经纬!A:N,14,FALSE)*(I642-AB642),"")</f>
        <v/>
      </c>
    </row>
    <row r="643" spans="13:27">
      <c r="M643" s="24" t="str">
        <f t="array" ref="M643">LEFT(L643,MIN(FIND({"A","B","C"},MID(L643,2,LEN(L643))&amp;"ABC")))</f>
        <v/>
      </c>
      <c r="N643" s="24" t="str">
        <f t="array" ref="N643">SUBSTITUTE(L643,M643,"")</f>
        <v/>
      </c>
      <c r="X643" s="258" t="str">
        <f t="shared" si="40"/>
        <v/>
      </c>
      <c r="Y643" s="36" t="str">
        <f t="shared" si="41"/>
        <v/>
      </c>
      <c r="Z643" s="340" t="str">
        <f>IF(AND(C643&gt;0,D643&lt;&gt;"",S643=""),VLOOKUP(A643&amp;IF(H643="黑丝","黑","白")&amp;E643,经纬!A:M,13,FALSE)*(I643-AB643),"")</f>
        <v/>
      </c>
      <c r="AA643" s="340" t="str">
        <f>IF(AND(C643&gt;0,D643&lt;&gt;"",S643=""),VLOOKUP(A643&amp;IF(H643="黑丝","黑","白")&amp;E643,经纬!A:N,14,FALSE)*(I643-AB643),"")</f>
        <v/>
      </c>
    </row>
    <row r="644" spans="13:27">
      <c r="M644" s="24" t="str">
        <f t="array" ref="M644">LEFT(L644,MIN(FIND({"A","B","C"},MID(L644,2,LEN(L644))&amp;"ABC")))</f>
        <v/>
      </c>
      <c r="N644" s="24" t="str">
        <f t="array" ref="N644">SUBSTITUTE(L644,M644,"")</f>
        <v/>
      </c>
      <c r="X644" s="258" t="str">
        <f t="shared" si="40"/>
        <v/>
      </c>
      <c r="Y644" s="36" t="str">
        <f t="shared" si="41"/>
        <v/>
      </c>
      <c r="Z644" s="340" t="str">
        <f>IF(AND(C644&gt;0,D644&lt;&gt;"",S644=""),VLOOKUP(A644&amp;IF(H644="黑丝","黑","白")&amp;E644,经纬!A:M,13,FALSE)*(I644-AB644),"")</f>
        <v/>
      </c>
      <c r="AA644" s="340" t="str">
        <f>IF(AND(C644&gt;0,D644&lt;&gt;"",S644=""),VLOOKUP(A644&amp;IF(H644="黑丝","黑","白")&amp;E644,经纬!A:N,14,FALSE)*(I644-AB644),"")</f>
        <v/>
      </c>
    </row>
    <row r="645" spans="13:27">
      <c r="M645" s="24" t="str">
        <f t="array" ref="M645">LEFT(L645,MIN(FIND({"A","B","C"},MID(L645,2,LEN(L645))&amp;"ABC")))</f>
        <v/>
      </c>
      <c r="N645" s="24" t="str">
        <f t="array" ref="N645">SUBSTITUTE(L645,M645,"")</f>
        <v/>
      </c>
      <c r="X645" s="258" t="str">
        <f t="shared" si="40"/>
        <v/>
      </c>
      <c r="Y645" s="36" t="str">
        <f t="shared" si="41"/>
        <v/>
      </c>
      <c r="Z645" s="340" t="str">
        <f>IF(AND(C645&gt;0,D645&lt;&gt;"",S645=""),VLOOKUP(A645&amp;IF(H645="黑丝","黑","白")&amp;E645,经纬!A:M,13,FALSE)*(I645-AB645),"")</f>
        <v/>
      </c>
      <c r="AA645" s="340" t="str">
        <f>IF(AND(C645&gt;0,D645&lt;&gt;"",S645=""),VLOOKUP(A645&amp;IF(H645="黑丝","黑","白")&amp;E645,经纬!A:N,14,FALSE)*(I645-AB645),"")</f>
        <v/>
      </c>
    </row>
    <row r="646" spans="13:27">
      <c r="M646" s="24" t="str">
        <f t="array" ref="M646">LEFT(L646,MIN(FIND({"A","B","C"},MID(L646,2,LEN(L646))&amp;"ABC")))</f>
        <v/>
      </c>
      <c r="N646" s="24" t="str">
        <f t="array" ref="N646">SUBSTITUTE(L646,M646,"")</f>
        <v/>
      </c>
      <c r="X646" s="258" t="str">
        <f t="shared" si="40"/>
        <v/>
      </c>
      <c r="Y646" s="36" t="str">
        <f t="shared" si="41"/>
        <v/>
      </c>
      <c r="Z646" s="340" t="str">
        <f>IF(AND(C646&gt;0,D646&lt;&gt;"",S646=""),VLOOKUP(A646&amp;IF(H646="黑丝","黑","白")&amp;E646,经纬!A:M,13,FALSE)*(I646-AB646),"")</f>
        <v/>
      </c>
      <c r="AA646" s="340" t="str">
        <f>IF(AND(C646&gt;0,D646&lt;&gt;"",S646=""),VLOOKUP(A646&amp;IF(H646="黑丝","黑","白")&amp;E646,经纬!A:N,14,FALSE)*(I646-AB646),"")</f>
        <v/>
      </c>
    </row>
    <row r="647" spans="13:27">
      <c r="M647" s="24" t="str">
        <f t="array" ref="M647">LEFT(L647,MIN(FIND({"A","B","C"},MID(L647,2,LEN(L647))&amp;"ABC")))</f>
        <v/>
      </c>
      <c r="N647" s="24" t="str">
        <f t="array" ref="N647">SUBSTITUTE(L647,M647,"")</f>
        <v/>
      </c>
      <c r="X647" s="258" t="str">
        <f t="shared" si="40"/>
        <v/>
      </c>
      <c r="Y647" s="36" t="str">
        <f t="shared" si="41"/>
        <v/>
      </c>
      <c r="Z647" s="340" t="str">
        <f>IF(AND(C647&gt;0,D647&lt;&gt;"",S647=""),VLOOKUP(A647&amp;IF(H647="黑丝","黑","白")&amp;E647,经纬!A:M,13,FALSE)*(I647-AB647),"")</f>
        <v/>
      </c>
      <c r="AA647" s="340" t="str">
        <f>IF(AND(C647&gt;0,D647&lt;&gt;"",S647=""),VLOOKUP(A647&amp;IF(H647="黑丝","黑","白")&amp;E647,经纬!A:N,14,FALSE)*(I647-AB647),"")</f>
        <v/>
      </c>
    </row>
    <row r="648" spans="13:27">
      <c r="M648" s="24" t="str">
        <f t="array" ref="M648">LEFT(L648,MIN(FIND({"A","B","C"},MID(L648,2,LEN(L648))&amp;"ABC")))</f>
        <v/>
      </c>
      <c r="N648" s="24" t="str">
        <f t="array" ref="N648">SUBSTITUTE(L648,M648,"")</f>
        <v/>
      </c>
      <c r="X648" s="258" t="str">
        <f t="shared" si="40"/>
        <v/>
      </c>
      <c r="Y648" s="36" t="str">
        <f t="shared" si="41"/>
        <v/>
      </c>
      <c r="Z648" s="340" t="str">
        <f>IF(AND(C648&gt;0,D648&lt;&gt;"",S648=""),VLOOKUP(A648&amp;IF(H648="黑丝","黑","白")&amp;E648,经纬!A:M,13,FALSE)*(I648-AB648),"")</f>
        <v/>
      </c>
      <c r="AA648" s="340" t="str">
        <f>IF(AND(C648&gt;0,D648&lt;&gt;"",S648=""),VLOOKUP(A648&amp;IF(H648="黑丝","黑","白")&amp;E648,经纬!A:N,14,FALSE)*(I648-AB648),"")</f>
        <v/>
      </c>
    </row>
    <row r="649" spans="13:27">
      <c r="M649" s="24" t="str">
        <f t="array" ref="M649">LEFT(L649,MIN(FIND({"A","B","C"},MID(L649,2,LEN(L649))&amp;"ABC")))</f>
        <v/>
      </c>
      <c r="N649" s="24" t="str">
        <f t="array" ref="N649">SUBSTITUTE(L649,M649,"")</f>
        <v/>
      </c>
      <c r="X649" s="258" t="str">
        <f t="shared" si="40"/>
        <v/>
      </c>
      <c r="Y649" s="36" t="str">
        <f t="shared" si="41"/>
        <v/>
      </c>
      <c r="Z649" s="340" t="str">
        <f>IF(AND(C649&gt;0,D649&lt;&gt;"",S649=""),VLOOKUP(A649&amp;IF(H649="黑丝","黑","白")&amp;E649,经纬!A:M,13,FALSE)*(I649-AB649),"")</f>
        <v/>
      </c>
      <c r="AA649" s="340" t="str">
        <f>IF(AND(C649&gt;0,D649&lt;&gt;"",S649=""),VLOOKUP(A649&amp;IF(H649="黑丝","黑","白")&amp;E649,经纬!A:N,14,FALSE)*(I649-AB649),"")</f>
        <v/>
      </c>
    </row>
    <row r="650" spans="13:27">
      <c r="M650" s="24" t="str">
        <f t="array" ref="M650">LEFT(L650,MIN(FIND({"A","B","C"},MID(L650,2,LEN(L650))&amp;"ABC")))</f>
        <v/>
      </c>
      <c r="N650" s="24" t="str">
        <f t="array" ref="N650">SUBSTITUTE(L650,M650,"")</f>
        <v/>
      </c>
      <c r="X650" s="258" t="str">
        <f t="shared" si="40"/>
        <v/>
      </c>
      <c r="Y650" s="36" t="str">
        <f t="shared" si="41"/>
        <v/>
      </c>
      <c r="Z650" s="340" t="str">
        <f>IF(AND(C650&gt;0,D650&lt;&gt;"",S650=""),VLOOKUP(A650&amp;IF(H650="黑丝","黑","白")&amp;E650,经纬!A:M,13,FALSE)*(I650-AB650),"")</f>
        <v/>
      </c>
      <c r="AA650" s="340" t="str">
        <f>IF(AND(C650&gt;0,D650&lt;&gt;"",S650=""),VLOOKUP(A650&amp;IF(H650="黑丝","黑","白")&amp;E650,经纬!A:N,14,FALSE)*(I650-AB650),"")</f>
        <v/>
      </c>
    </row>
    <row r="651" spans="13:27">
      <c r="M651" s="24" t="str">
        <f t="array" ref="M651">LEFT(L651,MIN(FIND({"A","B","C"},MID(L651,2,LEN(L651))&amp;"ABC")))</f>
        <v/>
      </c>
      <c r="N651" s="24" t="str">
        <f t="array" ref="N651">SUBSTITUTE(L651,M651,"")</f>
        <v/>
      </c>
      <c r="X651" s="258" t="str">
        <f t="shared" si="40"/>
        <v/>
      </c>
      <c r="Y651" s="36" t="str">
        <f t="shared" si="41"/>
        <v/>
      </c>
      <c r="Z651" s="340" t="str">
        <f>IF(AND(C651&gt;0,D651&lt;&gt;"",S651=""),VLOOKUP(A651&amp;IF(H651="黑丝","黑","白")&amp;E651,经纬!A:M,13,FALSE)*(I651-AB651),"")</f>
        <v/>
      </c>
      <c r="AA651" s="340" t="str">
        <f>IF(AND(C651&gt;0,D651&lt;&gt;"",S651=""),VLOOKUP(A651&amp;IF(H651="黑丝","黑","白")&amp;E651,经纬!A:N,14,FALSE)*(I651-AB651),"")</f>
        <v/>
      </c>
    </row>
    <row r="652" spans="13:27">
      <c r="M652" s="24" t="str">
        <f t="array" ref="M652">LEFT(L652,MIN(FIND({"A","B","C"},MID(L652,2,LEN(L652))&amp;"ABC")))</f>
        <v/>
      </c>
      <c r="N652" s="24" t="str">
        <f t="array" ref="N652">SUBSTITUTE(L652,M652,"")</f>
        <v/>
      </c>
      <c r="X652" s="258" t="str">
        <f t="shared" si="40"/>
        <v/>
      </c>
      <c r="Y652" s="36" t="str">
        <f t="shared" si="41"/>
        <v/>
      </c>
      <c r="Z652" s="340" t="str">
        <f>IF(AND(C652&gt;0,D652&lt;&gt;"",S652=""),VLOOKUP(A652&amp;IF(H652="黑丝","黑","白")&amp;E652,经纬!A:M,13,FALSE)*(I652-AB652),"")</f>
        <v/>
      </c>
      <c r="AA652" s="340" t="str">
        <f>IF(AND(C652&gt;0,D652&lt;&gt;"",S652=""),VLOOKUP(A652&amp;IF(H652="黑丝","黑","白")&amp;E652,经纬!A:N,14,FALSE)*(I652-AB652),"")</f>
        <v/>
      </c>
    </row>
    <row r="653" spans="13:27">
      <c r="M653" s="24" t="str">
        <f t="array" ref="M653">LEFT(L653,MIN(FIND({"A","B","C"},MID(L653,2,LEN(L653))&amp;"ABC")))</f>
        <v/>
      </c>
      <c r="N653" s="24" t="str">
        <f t="array" ref="N653">SUBSTITUTE(L653,M653,"")</f>
        <v/>
      </c>
      <c r="X653" s="258" t="str">
        <f t="shared" si="40"/>
        <v/>
      </c>
      <c r="Y653" s="36" t="str">
        <f t="shared" si="41"/>
        <v/>
      </c>
      <c r="Z653" s="340" t="str">
        <f>IF(AND(C653&gt;0,D653&lt;&gt;"",S653=""),VLOOKUP(A653&amp;IF(H653="黑丝","黑","白")&amp;E653,经纬!A:M,13,FALSE)*(I653-AB653),"")</f>
        <v/>
      </c>
      <c r="AA653" s="340" t="str">
        <f>IF(AND(C653&gt;0,D653&lt;&gt;"",S653=""),VLOOKUP(A653&amp;IF(H653="黑丝","黑","白")&amp;E653,经纬!A:N,14,FALSE)*(I653-AB653),"")</f>
        <v/>
      </c>
    </row>
    <row r="654" spans="13:27">
      <c r="M654" s="24" t="str">
        <f t="array" ref="M654">LEFT(L654,MIN(FIND({"A","B","C"},MID(L654,2,LEN(L654))&amp;"ABC")))</f>
        <v/>
      </c>
      <c r="N654" s="24" t="str">
        <f t="array" ref="N654">SUBSTITUTE(L654,M654,"")</f>
        <v/>
      </c>
      <c r="X654" s="258" t="str">
        <f t="shared" si="40"/>
        <v/>
      </c>
      <c r="Y654" s="36" t="str">
        <f t="shared" si="41"/>
        <v/>
      </c>
      <c r="Z654" s="340" t="str">
        <f>IF(AND(C654&gt;0,D654&lt;&gt;"",S654=""),VLOOKUP(A654&amp;IF(H654="黑丝","黑","白")&amp;E654,经纬!A:M,13,FALSE)*(I654-AB654),"")</f>
        <v/>
      </c>
      <c r="AA654" s="340" t="str">
        <f>IF(AND(C654&gt;0,D654&lt;&gt;"",S654=""),VLOOKUP(A654&amp;IF(H654="黑丝","黑","白")&amp;E654,经纬!A:N,14,FALSE)*(I654-AB654),"")</f>
        <v/>
      </c>
    </row>
    <row r="655" spans="13:27">
      <c r="M655" s="24" t="str">
        <f t="array" ref="M655">LEFT(L655,MIN(FIND({"A","B","C"},MID(L655,2,LEN(L655))&amp;"ABC")))</f>
        <v/>
      </c>
      <c r="N655" s="24" t="str">
        <f t="array" ref="N655">SUBSTITUTE(L655,M655,"")</f>
        <v/>
      </c>
      <c r="X655" s="258" t="str">
        <f t="shared" si="40"/>
        <v/>
      </c>
      <c r="Y655" s="36" t="str">
        <f t="shared" si="41"/>
        <v/>
      </c>
      <c r="Z655" s="340" t="str">
        <f>IF(AND(C655&gt;0,D655&lt;&gt;"",S655=""),VLOOKUP(A655&amp;IF(H655="黑丝","黑","白")&amp;E655,经纬!A:M,13,FALSE)*(I655-AB655),"")</f>
        <v/>
      </c>
      <c r="AA655" s="340" t="str">
        <f>IF(AND(C655&gt;0,D655&lt;&gt;"",S655=""),VLOOKUP(A655&amp;IF(H655="黑丝","黑","白")&amp;E655,经纬!A:N,14,FALSE)*(I655-AB655),"")</f>
        <v/>
      </c>
    </row>
    <row r="656" spans="13:27">
      <c r="M656" s="24" t="str">
        <f t="array" ref="M656">LEFT(L656,MIN(FIND({"A","B","C"},MID(L656,2,LEN(L656))&amp;"ABC")))</f>
        <v/>
      </c>
      <c r="N656" s="24" t="str">
        <f t="array" ref="N656">SUBSTITUTE(L656,M656,"")</f>
        <v/>
      </c>
      <c r="X656" s="258" t="str">
        <f t="shared" si="40"/>
        <v/>
      </c>
      <c r="Y656" s="36" t="str">
        <f t="shared" si="41"/>
        <v/>
      </c>
      <c r="Z656" s="340" t="str">
        <f>IF(AND(C656&gt;0,D656&lt;&gt;"",S656=""),VLOOKUP(A656&amp;IF(H656="黑丝","黑","白")&amp;E656,经纬!A:M,13,FALSE)*(I656-AB656),"")</f>
        <v/>
      </c>
      <c r="AA656" s="340" t="str">
        <f>IF(AND(C656&gt;0,D656&lt;&gt;"",S656=""),VLOOKUP(A656&amp;IF(H656="黑丝","黑","白")&amp;E656,经纬!A:N,14,FALSE)*(I656-AB656),"")</f>
        <v/>
      </c>
    </row>
    <row r="657" spans="13:27">
      <c r="M657" s="24" t="str">
        <f t="array" ref="M657">LEFT(L657,MIN(FIND({"A","B","C"},MID(L657,2,LEN(L657))&amp;"ABC")))</f>
        <v/>
      </c>
      <c r="N657" s="24" t="str">
        <f t="array" ref="N657">SUBSTITUTE(L657,M657,"")</f>
        <v/>
      </c>
      <c r="X657" s="258" t="str">
        <f t="shared" si="40"/>
        <v/>
      </c>
      <c r="Y657" s="36" t="str">
        <f t="shared" si="41"/>
        <v/>
      </c>
      <c r="Z657" s="340" t="str">
        <f>IF(AND(C657&gt;0,D657&lt;&gt;"",S657=""),VLOOKUP(A657&amp;IF(H657="黑丝","黑","白")&amp;E657,经纬!A:M,13,FALSE)*(I657-AB657),"")</f>
        <v/>
      </c>
      <c r="AA657" s="340" t="str">
        <f>IF(AND(C657&gt;0,D657&lt;&gt;"",S657=""),VLOOKUP(A657&amp;IF(H657="黑丝","黑","白")&amp;E657,经纬!A:N,14,FALSE)*(I657-AB657),"")</f>
        <v/>
      </c>
    </row>
    <row r="658" spans="13:27">
      <c r="M658" s="24" t="str">
        <f t="array" ref="M658">LEFT(L658,MIN(FIND({"A","B","C"},MID(L658,2,LEN(L658))&amp;"ABC")))</f>
        <v/>
      </c>
      <c r="N658" s="24" t="str">
        <f t="array" ref="N658">SUBSTITUTE(L658,M658,"")</f>
        <v/>
      </c>
      <c r="X658" s="258" t="str">
        <f t="shared" si="40"/>
        <v/>
      </c>
      <c r="Y658" s="36" t="str">
        <f t="shared" si="41"/>
        <v/>
      </c>
      <c r="Z658" s="340" t="str">
        <f>IF(AND(C658&gt;0,D658&lt;&gt;"",S658=""),VLOOKUP(A658&amp;IF(H658="黑丝","黑","白")&amp;E658,经纬!A:M,13,FALSE)*(I658-AB658),"")</f>
        <v/>
      </c>
      <c r="AA658" s="340" t="str">
        <f>IF(AND(C658&gt;0,D658&lt;&gt;"",S658=""),VLOOKUP(A658&amp;IF(H658="黑丝","黑","白")&amp;E658,经纬!A:N,14,FALSE)*(I658-AB658),"")</f>
        <v/>
      </c>
    </row>
    <row r="659" spans="13:27">
      <c r="M659" s="24" t="str">
        <f t="array" ref="M659">LEFT(L659,MIN(FIND({"A","B","C"},MID(L659,2,LEN(L659))&amp;"ABC")))</f>
        <v/>
      </c>
      <c r="N659" s="24" t="str">
        <f t="array" ref="N659">SUBSTITUTE(L659,M659,"")</f>
        <v/>
      </c>
      <c r="X659" s="258" t="str">
        <f t="shared" si="40"/>
        <v/>
      </c>
      <c r="Y659" s="36" t="str">
        <f t="shared" si="41"/>
        <v/>
      </c>
      <c r="Z659" s="340" t="str">
        <f>IF(AND(C659&gt;0,D659&lt;&gt;"",S659=""),VLOOKUP(A659&amp;IF(H659="黑丝","黑","白")&amp;E659,经纬!A:M,13,FALSE)*(I659-AB659),"")</f>
        <v/>
      </c>
      <c r="AA659" s="340" t="str">
        <f>IF(AND(C659&gt;0,D659&lt;&gt;"",S659=""),VLOOKUP(A659&amp;IF(H659="黑丝","黑","白")&amp;E659,经纬!A:N,14,FALSE)*(I659-AB659),"")</f>
        <v/>
      </c>
    </row>
    <row r="660" spans="13:27">
      <c r="M660" s="24" t="str">
        <f t="array" ref="M660">LEFT(L660,MIN(FIND({"A","B","C"},MID(L660,2,LEN(L660))&amp;"ABC")))</f>
        <v/>
      </c>
      <c r="N660" s="24" t="str">
        <f t="array" ref="N660">SUBSTITUTE(L660,M660,"")</f>
        <v/>
      </c>
      <c r="X660" s="258" t="str">
        <f t="shared" si="40"/>
        <v/>
      </c>
      <c r="Y660" s="36" t="str">
        <f t="shared" si="41"/>
        <v/>
      </c>
      <c r="Z660" s="340" t="str">
        <f>IF(AND(C660&gt;0,D660&lt;&gt;"",S660=""),VLOOKUP(A660&amp;IF(H660="黑丝","黑","白")&amp;E660,经纬!A:M,13,FALSE)*(I660-AB660),"")</f>
        <v/>
      </c>
      <c r="AA660" s="340" t="str">
        <f>IF(AND(C660&gt;0,D660&lt;&gt;"",S660=""),VLOOKUP(A660&amp;IF(H660="黑丝","黑","白")&amp;E660,经纬!A:N,14,FALSE)*(I660-AB660),"")</f>
        <v/>
      </c>
    </row>
    <row r="661" spans="13:27">
      <c r="M661" s="24" t="str">
        <f t="array" ref="M661">LEFT(L661,MIN(FIND({"A","B","C"},MID(L661,2,LEN(L661))&amp;"ABC")))</f>
        <v/>
      </c>
      <c r="N661" s="24" t="str">
        <f t="array" ref="N661">SUBSTITUTE(L661,M661,"")</f>
        <v/>
      </c>
      <c r="X661" s="258" t="str">
        <f t="shared" si="40"/>
        <v/>
      </c>
      <c r="Y661" s="36" t="str">
        <f t="shared" si="41"/>
        <v/>
      </c>
      <c r="Z661" s="340" t="str">
        <f>IF(AND(C661&gt;0,D661&lt;&gt;"",S661=""),VLOOKUP(A661&amp;IF(H661="黑丝","黑","白")&amp;E661,经纬!A:M,13,FALSE)*(I661-AB661),"")</f>
        <v/>
      </c>
      <c r="AA661" s="340" t="str">
        <f>IF(AND(C661&gt;0,D661&lt;&gt;"",S661=""),VLOOKUP(A661&amp;IF(H661="黑丝","黑","白")&amp;E661,经纬!A:N,14,FALSE)*(I661-AB661),"")</f>
        <v/>
      </c>
    </row>
    <row r="662" spans="13:27">
      <c r="M662" s="24" t="str">
        <f t="array" ref="M662">LEFT(L662,MIN(FIND({"A","B","C"},MID(L662,2,LEN(L662))&amp;"ABC")))</f>
        <v/>
      </c>
      <c r="N662" s="24" t="str">
        <f t="array" ref="N662">SUBSTITUTE(L662,M662,"")</f>
        <v/>
      </c>
      <c r="X662" s="258" t="str">
        <f t="shared" si="40"/>
        <v/>
      </c>
      <c r="Y662" s="36" t="str">
        <f t="shared" si="41"/>
        <v/>
      </c>
      <c r="Z662" s="340" t="str">
        <f>IF(AND(C662&gt;0,D662&lt;&gt;"",S662=""),VLOOKUP(A662&amp;IF(H662="黑丝","黑","白")&amp;E662,经纬!A:M,13,FALSE)*(I662-AB662),"")</f>
        <v/>
      </c>
      <c r="AA662" s="340" t="str">
        <f>IF(AND(C662&gt;0,D662&lt;&gt;"",S662=""),VLOOKUP(A662&amp;IF(H662="黑丝","黑","白")&amp;E662,经纬!A:N,14,FALSE)*(I662-AB662),"")</f>
        <v/>
      </c>
    </row>
    <row r="663" spans="13:27">
      <c r="M663" s="24" t="str">
        <f t="array" ref="M663">LEFT(L663,MIN(FIND({"A","B","C"},MID(L663,2,LEN(L663))&amp;"ABC")))</f>
        <v/>
      </c>
      <c r="N663" s="24" t="str">
        <f t="array" ref="N663">SUBSTITUTE(L663,M663,"")</f>
        <v/>
      </c>
      <c r="X663" s="258" t="str">
        <f t="shared" si="40"/>
        <v/>
      </c>
      <c r="Y663" s="36" t="str">
        <f t="shared" si="41"/>
        <v/>
      </c>
      <c r="Z663" s="340" t="str">
        <f>IF(AND(C663&gt;0,D663&lt;&gt;"",S663=""),VLOOKUP(A663&amp;IF(H663="黑丝","黑","白")&amp;E663,经纬!A:M,13,FALSE)*(I663-AB663),"")</f>
        <v/>
      </c>
      <c r="AA663" s="340" t="str">
        <f>IF(AND(C663&gt;0,D663&lt;&gt;"",S663=""),VLOOKUP(A663&amp;IF(H663="黑丝","黑","白")&amp;E663,经纬!A:N,14,FALSE)*(I663-AB663),"")</f>
        <v/>
      </c>
    </row>
    <row r="664" spans="13:27">
      <c r="M664" s="24" t="str">
        <f t="array" ref="M664">LEFT(L664,MIN(FIND({"A","B","C"},MID(L664,2,LEN(L664))&amp;"ABC")))</f>
        <v/>
      </c>
      <c r="N664" s="24" t="str">
        <f t="array" ref="N664">SUBSTITUTE(L664,M664,"")</f>
        <v/>
      </c>
      <c r="X664" s="258" t="str">
        <f t="shared" si="40"/>
        <v/>
      </c>
      <c r="Y664" s="36" t="str">
        <f t="shared" si="41"/>
        <v/>
      </c>
      <c r="Z664" s="340" t="str">
        <f>IF(AND(C664&gt;0,D664&lt;&gt;"",S664=""),VLOOKUP(A664&amp;IF(H664="黑丝","黑","白")&amp;E664,经纬!A:M,13,FALSE)*(I664-AB664),"")</f>
        <v/>
      </c>
      <c r="AA664" s="340" t="str">
        <f>IF(AND(C664&gt;0,D664&lt;&gt;"",S664=""),VLOOKUP(A664&amp;IF(H664="黑丝","黑","白")&amp;E664,经纬!A:N,14,FALSE)*(I664-AB664),"")</f>
        <v/>
      </c>
    </row>
    <row r="665" spans="13:27">
      <c r="M665" s="24" t="str">
        <f t="array" ref="M665">LEFT(L665,MIN(FIND({"A","B","C"},MID(L665,2,LEN(L665))&amp;"ABC")))</f>
        <v/>
      </c>
      <c r="N665" s="24" t="str">
        <f t="array" ref="N665">SUBSTITUTE(L665,M665,"")</f>
        <v/>
      </c>
      <c r="X665" s="258" t="str">
        <f t="shared" si="40"/>
        <v/>
      </c>
      <c r="Y665" s="36" t="str">
        <f t="shared" si="41"/>
        <v/>
      </c>
      <c r="Z665" s="340" t="str">
        <f>IF(AND(C665&gt;0,D665&lt;&gt;"",S665=""),VLOOKUP(A665&amp;IF(H665="黑丝","黑","白")&amp;E665,经纬!A:M,13,FALSE)*(I665-AB665),"")</f>
        <v/>
      </c>
      <c r="AA665" s="340" t="str">
        <f>IF(AND(C665&gt;0,D665&lt;&gt;"",S665=""),VLOOKUP(A665&amp;IF(H665="黑丝","黑","白")&amp;E665,经纬!A:N,14,FALSE)*(I665-AB665),"")</f>
        <v/>
      </c>
    </row>
    <row r="666" spans="13:27">
      <c r="M666" s="24" t="str">
        <f t="array" ref="M666">LEFT(L666,MIN(FIND({"A","B","C"},MID(L666,2,LEN(L666))&amp;"ABC")))</f>
        <v/>
      </c>
      <c r="N666" s="24" t="str">
        <f t="array" ref="N666">SUBSTITUTE(L666,M666,"")</f>
        <v/>
      </c>
      <c r="X666" s="258" t="str">
        <f t="shared" si="40"/>
        <v/>
      </c>
      <c r="Y666" s="36" t="str">
        <f t="shared" si="41"/>
        <v/>
      </c>
      <c r="Z666" s="340" t="str">
        <f>IF(AND(C666&gt;0,D666&lt;&gt;"",S666=""),VLOOKUP(A666&amp;IF(H666="黑丝","黑","白")&amp;E666,经纬!A:M,13,FALSE)*(I666-AB666),"")</f>
        <v/>
      </c>
      <c r="AA666" s="340" t="str">
        <f>IF(AND(C666&gt;0,D666&lt;&gt;"",S666=""),VLOOKUP(A666&amp;IF(H666="黑丝","黑","白")&amp;E666,经纬!A:N,14,FALSE)*(I666-AB666),"")</f>
        <v/>
      </c>
    </row>
    <row r="667" spans="13:27">
      <c r="M667" s="24" t="str">
        <f t="array" ref="M667">LEFT(L667,MIN(FIND({"A","B","C"},MID(L667,2,LEN(L667))&amp;"ABC")))</f>
        <v/>
      </c>
      <c r="N667" s="24" t="str">
        <f t="array" ref="N667">SUBSTITUTE(L667,M667,"")</f>
        <v/>
      </c>
      <c r="X667" s="258" t="str">
        <f t="shared" si="40"/>
        <v/>
      </c>
      <c r="Y667" s="36" t="str">
        <f t="shared" si="41"/>
        <v/>
      </c>
      <c r="Z667" s="340" t="str">
        <f>IF(AND(C667&gt;0,D667&lt;&gt;"",S667=""),VLOOKUP(A667&amp;IF(H667="黑丝","黑","白")&amp;E667,经纬!A:M,13,FALSE)*(I667-AB667),"")</f>
        <v/>
      </c>
      <c r="AA667" s="340" t="str">
        <f>IF(AND(C667&gt;0,D667&lt;&gt;"",S667=""),VLOOKUP(A667&amp;IF(H667="黑丝","黑","白")&amp;E667,经纬!A:N,14,FALSE)*(I667-AB667),"")</f>
        <v/>
      </c>
    </row>
    <row r="668" spans="13:27">
      <c r="M668" s="24" t="str">
        <f t="array" ref="M668">LEFT(L668,MIN(FIND({"A","B","C"},MID(L668,2,LEN(L668))&amp;"ABC")))</f>
        <v/>
      </c>
      <c r="N668" s="24" t="str">
        <f t="array" ref="N668">SUBSTITUTE(L668,M668,"")</f>
        <v/>
      </c>
      <c r="X668" s="258" t="str">
        <f t="shared" ref="X668:X731" si="42">IF(B668="","",IF(S668&lt;&gt;"","",IF(AND(Z668&lt;&gt;"",AA668&lt;&gt;""),SUM(Z668:AA668),IF(AB668&lt;&gt;"",(I668/((1/((G668+2)/100*K668/1000))*0.9144)/IF(H668="黑丝",22,20)-AB668)*(IF(H668="黑丝",22,20)),I668/((1/((G668+2)/100*K668/1000))*0.9144)))))</f>
        <v/>
      </c>
      <c r="Y668" s="36" t="str">
        <f t="shared" si="41"/>
        <v/>
      </c>
      <c r="Z668" s="340" t="str">
        <f>IF(AND(C668&gt;0,D668&lt;&gt;"",S668=""),VLOOKUP(A668&amp;IF(H668="黑丝","黑","白")&amp;E668,经纬!A:M,13,FALSE)*(I668-AB668),"")</f>
        <v/>
      </c>
      <c r="AA668" s="340" t="str">
        <f>IF(AND(C668&gt;0,D668&lt;&gt;"",S668=""),VLOOKUP(A668&amp;IF(H668="黑丝","黑","白")&amp;E668,经纬!A:N,14,FALSE)*(I668-AB668),"")</f>
        <v/>
      </c>
    </row>
    <row r="669" spans="13:27">
      <c r="M669" s="24" t="str">
        <f t="array" ref="M669">LEFT(L669,MIN(FIND({"A","B","C"},MID(L669,2,LEN(L669))&amp;"ABC")))</f>
        <v/>
      </c>
      <c r="N669" s="24" t="str">
        <f t="array" ref="N669">SUBSTITUTE(L669,M669,"")</f>
        <v/>
      </c>
      <c r="X669" s="258" t="str">
        <f t="shared" si="42"/>
        <v/>
      </c>
      <c r="Y669" s="36" t="str">
        <f t="shared" si="41"/>
        <v/>
      </c>
      <c r="Z669" s="340" t="str">
        <f>IF(AND(C669&gt;0,D669&lt;&gt;"",S669=""),VLOOKUP(A669&amp;IF(H669="黑丝","黑","白")&amp;E669,经纬!A:M,13,FALSE)*(I669-AB669),"")</f>
        <v/>
      </c>
      <c r="AA669" s="340" t="str">
        <f>IF(AND(C669&gt;0,D669&lt;&gt;"",S669=""),VLOOKUP(A669&amp;IF(H669="黑丝","黑","白")&amp;E669,经纬!A:N,14,FALSE)*(I669-AB669),"")</f>
        <v/>
      </c>
    </row>
    <row r="670" spans="13:27">
      <c r="M670" s="24" t="str">
        <f t="array" ref="M670">LEFT(L670,MIN(FIND({"A","B","C"},MID(L670,2,LEN(L670))&amp;"ABC")))</f>
        <v/>
      </c>
      <c r="N670" s="24" t="str">
        <f t="array" ref="N670">SUBSTITUTE(L670,M670,"")</f>
        <v/>
      </c>
      <c r="X670" s="258" t="str">
        <f t="shared" si="42"/>
        <v/>
      </c>
      <c r="Y670" s="36" t="str">
        <f t="shared" si="41"/>
        <v/>
      </c>
      <c r="Z670" s="340" t="str">
        <f>IF(AND(C670&gt;0,D670&lt;&gt;"",S670=""),VLOOKUP(A670&amp;IF(H670="黑丝","黑","白")&amp;E670,经纬!A:M,13,FALSE)*(I670-AB670),"")</f>
        <v/>
      </c>
      <c r="AA670" s="340" t="str">
        <f>IF(AND(C670&gt;0,D670&lt;&gt;"",S670=""),VLOOKUP(A670&amp;IF(H670="黑丝","黑","白")&amp;E670,经纬!A:N,14,FALSE)*(I670-AB670),"")</f>
        <v/>
      </c>
    </row>
    <row r="671" spans="13:27">
      <c r="M671" s="24" t="str">
        <f t="array" ref="M671">LEFT(L671,MIN(FIND({"A","B","C"},MID(L671,2,LEN(L671))&amp;"ABC")))</f>
        <v/>
      </c>
      <c r="N671" s="24" t="str">
        <f t="array" ref="N671">SUBSTITUTE(L671,M671,"")</f>
        <v/>
      </c>
      <c r="X671" s="258" t="str">
        <f t="shared" si="42"/>
        <v/>
      </c>
      <c r="Y671" s="36" t="str">
        <f t="shared" si="41"/>
        <v/>
      </c>
      <c r="Z671" s="340" t="str">
        <f>IF(AND(C671&gt;0,D671&lt;&gt;"",S671=""),VLOOKUP(A671&amp;IF(H671="黑丝","黑","白")&amp;E671,经纬!A:M,13,FALSE)*(I671-AB671),"")</f>
        <v/>
      </c>
      <c r="AA671" s="340" t="str">
        <f>IF(AND(C671&gt;0,D671&lt;&gt;"",S671=""),VLOOKUP(A671&amp;IF(H671="黑丝","黑","白")&amp;E671,经纬!A:N,14,FALSE)*(I671-AB671),"")</f>
        <v/>
      </c>
    </row>
    <row r="672" spans="13:27">
      <c r="M672" s="24" t="str">
        <f t="array" ref="M672">LEFT(L672,MIN(FIND({"A","B","C"},MID(L672,2,LEN(L672))&amp;"ABC")))</f>
        <v/>
      </c>
      <c r="N672" s="24" t="str">
        <f t="array" ref="N672">SUBSTITUTE(L672,M672,"")</f>
        <v/>
      </c>
      <c r="X672" s="258" t="str">
        <f t="shared" si="42"/>
        <v/>
      </c>
      <c r="Y672" s="36" t="str">
        <f t="shared" si="41"/>
        <v/>
      </c>
      <c r="Z672" s="340" t="str">
        <f>IF(AND(C672&gt;0,D672&lt;&gt;"",S672=""),VLOOKUP(A672&amp;IF(H672="黑丝","黑","白")&amp;E672,经纬!A:M,13,FALSE)*(I672-AB672),"")</f>
        <v/>
      </c>
      <c r="AA672" s="340" t="str">
        <f>IF(AND(C672&gt;0,D672&lt;&gt;"",S672=""),VLOOKUP(A672&amp;IF(H672="黑丝","黑","白")&amp;E672,经纬!A:N,14,FALSE)*(I672-AB672),"")</f>
        <v/>
      </c>
    </row>
    <row r="673" spans="13:27">
      <c r="M673" s="24" t="str">
        <f t="array" ref="M673">LEFT(L673,MIN(FIND({"A","B","C"},MID(L673,2,LEN(L673))&amp;"ABC")))</f>
        <v/>
      </c>
      <c r="N673" s="24" t="str">
        <f t="array" ref="N673">SUBSTITUTE(L673,M673,"")</f>
        <v/>
      </c>
      <c r="X673" s="258" t="str">
        <f t="shared" si="42"/>
        <v/>
      </c>
      <c r="Y673" s="36" t="str">
        <f t="shared" si="41"/>
        <v/>
      </c>
      <c r="Z673" s="340" t="str">
        <f>IF(AND(C673&gt;0,D673&lt;&gt;"",S673=""),VLOOKUP(A673&amp;IF(H673="黑丝","黑","白")&amp;E673,经纬!A:M,13,FALSE)*(I673-AB673),"")</f>
        <v/>
      </c>
      <c r="AA673" s="340" t="str">
        <f>IF(AND(C673&gt;0,D673&lt;&gt;"",S673=""),VLOOKUP(A673&amp;IF(H673="黑丝","黑","白")&amp;E673,经纬!A:N,14,FALSE)*(I673-AB673),"")</f>
        <v/>
      </c>
    </row>
    <row r="674" spans="13:27">
      <c r="M674" s="24" t="str">
        <f t="array" ref="M674">LEFT(L674,MIN(FIND({"A","B","C"},MID(L674,2,LEN(L674))&amp;"ABC")))</f>
        <v/>
      </c>
      <c r="N674" s="24" t="str">
        <f t="array" ref="N674">SUBSTITUTE(L674,M674,"")</f>
        <v/>
      </c>
      <c r="X674" s="258" t="str">
        <f t="shared" si="42"/>
        <v/>
      </c>
      <c r="Y674" s="36" t="str">
        <f t="shared" si="41"/>
        <v/>
      </c>
      <c r="Z674" s="340" t="str">
        <f>IF(AND(C674&gt;0,D674&lt;&gt;"",S674=""),VLOOKUP(A674&amp;IF(H674="黑丝","黑","白")&amp;E674,经纬!A:M,13,FALSE)*(I674-AB674),"")</f>
        <v/>
      </c>
      <c r="AA674" s="340" t="str">
        <f>IF(AND(C674&gt;0,D674&lt;&gt;"",S674=""),VLOOKUP(A674&amp;IF(H674="黑丝","黑","白")&amp;E674,经纬!A:N,14,FALSE)*(I674-AB674),"")</f>
        <v/>
      </c>
    </row>
    <row r="675" spans="13:27">
      <c r="M675" s="24" t="str">
        <f t="array" ref="M675">LEFT(L675,MIN(FIND({"A","B","C"},MID(L675,2,LEN(L675))&amp;"ABC")))</f>
        <v/>
      </c>
      <c r="N675" s="24" t="str">
        <f t="array" ref="N675">SUBSTITUTE(L675,M675,"")</f>
        <v/>
      </c>
      <c r="X675" s="258" t="str">
        <f t="shared" si="42"/>
        <v/>
      </c>
      <c r="Y675" s="36" t="str">
        <f t="shared" si="41"/>
        <v/>
      </c>
      <c r="Z675" s="340" t="str">
        <f>IF(AND(C675&gt;0,D675&lt;&gt;"",S675=""),VLOOKUP(A675&amp;IF(H675="黑丝","黑","白")&amp;E675,经纬!A:M,13,FALSE)*(I675-AB675),"")</f>
        <v/>
      </c>
      <c r="AA675" s="340" t="str">
        <f>IF(AND(C675&gt;0,D675&lt;&gt;"",S675=""),VLOOKUP(A675&amp;IF(H675="黑丝","黑","白")&amp;E675,经纬!A:N,14,FALSE)*(I675-AB675),"")</f>
        <v/>
      </c>
    </row>
    <row r="676" spans="13:27">
      <c r="M676" s="24" t="str">
        <f t="array" ref="M676">LEFT(L676,MIN(FIND({"A","B","C"},MID(L676,2,LEN(L676))&amp;"ABC")))</f>
        <v/>
      </c>
      <c r="N676" s="24" t="str">
        <f t="array" ref="N676">SUBSTITUTE(L676,M676,"")</f>
        <v/>
      </c>
      <c r="X676" s="258" t="str">
        <f t="shared" si="42"/>
        <v/>
      </c>
      <c r="Y676" s="36" t="str">
        <f t="shared" si="41"/>
        <v/>
      </c>
      <c r="Z676" s="340" t="str">
        <f>IF(AND(C676&gt;0,D676&lt;&gt;"",S676=""),VLOOKUP(A676&amp;IF(H676="黑丝","黑","白")&amp;E676,经纬!A:M,13,FALSE)*(I676-AB676),"")</f>
        <v/>
      </c>
      <c r="AA676" s="340" t="str">
        <f>IF(AND(C676&gt;0,D676&lt;&gt;"",S676=""),VLOOKUP(A676&amp;IF(H676="黑丝","黑","白")&amp;E676,经纬!A:N,14,FALSE)*(I676-AB676),"")</f>
        <v/>
      </c>
    </row>
    <row r="677" spans="13:27">
      <c r="M677" s="24" t="str">
        <f t="array" ref="M677">LEFT(L677,MIN(FIND({"A","B","C"},MID(L677,2,LEN(L677))&amp;"ABC")))</f>
        <v/>
      </c>
      <c r="N677" s="24" t="str">
        <f t="array" ref="N677">SUBSTITUTE(L677,M677,"")</f>
        <v/>
      </c>
      <c r="X677" s="258" t="str">
        <f t="shared" si="42"/>
        <v/>
      </c>
      <c r="Y677" s="36" t="str">
        <f t="shared" si="41"/>
        <v/>
      </c>
      <c r="Z677" s="340" t="str">
        <f>IF(AND(C677&gt;0,D677&lt;&gt;"",S677=""),VLOOKUP(A677&amp;IF(H677="黑丝","黑","白")&amp;E677,经纬!A:M,13,FALSE)*(I677-AB677),"")</f>
        <v/>
      </c>
      <c r="AA677" s="340" t="str">
        <f>IF(AND(C677&gt;0,D677&lt;&gt;"",S677=""),VLOOKUP(A677&amp;IF(H677="黑丝","黑","白")&amp;E677,经纬!A:N,14,FALSE)*(I677-AB677),"")</f>
        <v/>
      </c>
    </row>
    <row r="678" spans="13:27">
      <c r="M678" s="24" t="str">
        <f t="array" ref="M678">LEFT(L678,MIN(FIND({"A","B","C"},MID(L678,2,LEN(L678))&amp;"ABC")))</f>
        <v/>
      </c>
      <c r="N678" s="24" t="str">
        <f t="array" ref="N678">SUBSTITUTE(L678,M678,"")</f>
        <v/>
      </c>
      <c r="X678" s="258" t="str">
        <f t="shared" si="42"/>
        <v/>
      </c>
      <c r="Y678" s="36" t="str">
        <f t="shared" si="41"/>
        <v/>
      </c>
      <c r="Z678" s="340" t="str">
        <f>IF(AND(C678&gt;0,D678&lt;&gt;"",S678=""),VLOOKUP(A678&amp;IF(H678="黑丝","黑","白")&amp;E678,经纬!A:M,13,FALSE)*(I678-AB678),"")</f>
        <v/>
      </c>
      <c r="AA678" s="340" t="str">
        <f>IF(AND(C678&gt;0,D678&lt;&gt;"",S678=""),VLOOKUP(A678&amp;IF(H678="黑丝","黑","白")&amp;E678,经纬!A:N,14,FALSE)*(I678-AB678),"")</f>
        <v/>
      </c>
    </row>
    <row r="679" spans="13:27">
      <c r="M679" s="24" t="str">
        <f t="array" ref="M679">LEFT(L679,MIN(FIND({"A","B","C"},MID(L679,2,LEN(L679))&amp;"ABC")))</f>
        <v/>
      </c>
      <c r="N679" s="24" t="str">
        <f t="array" ref="N679">SUBSTITUTE(L679,M679,"")</f>
        <v/>
      </c>
      <c r="X679" s="258" t="str">
        <f t="shared" si="42"/>
        <v/>
      </c>
      <c r="Y679" s="36" t="str">
        <f t="shared" si="41"/>
        <v/>
      </c>
      <c r="Z679" s="340" t="str">
        <f>IF(AND(C679&gt;0,D679&lt;&gt;"",S679=""),VLOOKUP(A679&amp;IF(H679="黑丝","黑","白")&amp;E679,经纬!A:M,13,FALSE)*(I679-AB679),"")</f>
        <v/>
      </c>
      <c r="AA679" s="340" t="str">
        <f>IF(AND(C679&gt;0,D679&lt;&gt;"",S679=""),VLOOKUP(A679&amp;IF(H679="黑丝","黑","白")&amp;E679,经纬!A:N,14,FALSE)*(I679-AB679),"")</f>
        <v/>
      </c>
    </row>
    <row r="680" spans="13:27">
      <c r="M680" s="24" t="str">
        <f t="array" ref="M680">LEFT(L680,MIN(FIND({"A","B","C"},MID(L680,2,LEN(L680))&amp;"ABC")))</f>
        <v/>
      </c>
      <c r="N680" s="24" t="str">
        <f t="array" ref="N680">SUBSTITUTE(L680,M680,"")</f>
        <v/>
      </c>
      <c r="X680" s="258" t="str">
        <f t="shared" si="42"/>
        <v/>
      </c>
      <c r="Y680" s="36" t="str">
        <f t="shared" si="41"/>
        <v/>
      </c>
      <c r="Z680" s="340" t="str">
        <f>IF(AND(C680&gt;0,D680&lt;&gt;"",S680=""),VLOOKUP(A680&amp;IF(H680="黑丝","黑","白")&amp;E680,经纬!A:M,13,FALSE)*(I680-AB680),"")</f>
        <v/>
      </c>
      <c r="AA680" s="340" t="str">
        <f>IF(AND(C680&gt;0,D680&lt;&gt;"",S680=""),VLOOKUP(A680&amp;IF(H680="黑丝","黑","白")&amp;E680,经纬!A:N,14,FALSE)*(I680-AB680),"")</f>
        <v/>
      </c>
    </row>
    <row r="681" spans="13:27">
      <c r="M681" s="24" t="str">
        <f t="array" ref="M681">LEFT(L681,MIN(FIND({"A","B","C"},MID(L681,2,LEN(L681))&amp;"ABC")))</f>
        <v/>
      </c>
      <c r="N681" s="24" t="str">
        <f t="array" ref="N681">SUBSTITUTE(L681,M681,"")</f>
        <v/>
      </c>
      <c r="X681" s="258" t="str">
        <f t="shared" si="42"/>
        <v/>
      </c>
      <c r="Y681" s="36" t="str">
        <f t="shared" ref="Y681:Y744" si="43">IF(OR(B681="",D681&lt;&gt;""),"",IF(S681&lt;&gt;"","",I681/((1/((G681+2)/100*K681/1000))*0.9144)/IF(H681="黑丝",22,20)-AB681))</f>
        <v/>
      </c>
      <c r="Z681" s="340" t="str">
        <f>IF(AND(C681&gt;0,D681&lt;&gt;"",S681=""),VLOOKUP(A681&amp;IF(H681="黑丝","黑","白")&amp;E681,经纬!A:M,13,FALSE)*(I681-AB681),"")</f>
        <v/>
      </c>
      <c r="AA681" s="340" t="str">
        <f>IF(AND(C681&gt;0,D681&lt;&gt;"",S681=""),VLOOKUP(A681&amp;IF(H681="黑丝","黑","白")&amp;E681,经纬!A:N,14,FALSE)*(I681-AB681),"")</f>
        <v/>
      </c>
    </row>
    <row r="682" spans="13:27">
      <c r="M682" s="24" t="str">
        <f t="array" ref="M682">LEFT(L682,MIN(FIND({"A","B","C"},MID(L682,2,LEN(L682))&amp;"ABC")))</f>
        <v/>
      </c>
      <c r="N682" s="24" t="str">
        <f t="array" ref="N682">SUBSTITUTE(L682,M682,"")</f>
        <v/>
      </c>
      <c r="X682" s="258" t="str">
        <f t="shared" si="42"/>
        <v/>
      </c>
      <c r="Y682" s="36" t="str">
        <f t="shared" si="43"/>
        <v/>
      </c>
      <c r="Z682" s="340" t="str">
        <f>IF(AND(C682&gt;0,D682&lt;&gt;"",S682=""),VLOOKUP(A682&amp;IF(H682="黑丝","黑","白")&amp;E682,经纬!A:M,13,FALSE)*(I682-AB682),"")</f>
        <v/>
      </c>
      <c r="AA682" s="340" t="str">
        <f>IF(AND(C682&gt;0,D682&lt;&gt;"",S682=""),VLOOKUP(A682&amp;IF(H682="黑丝","黑","白")&amp;E682,经纬!A:N,14,FALSE)*(I682-AB682),"")</f>
        <v/>
      </c>
    </row>
    <row r="683" spans="13:27">
      <c r="M683" s="24" t="str">
        <f t="array" ref="M683">LEFT(L683,MIN(FIND({"A","B","C"},MID(L683,2,LEN(L683))&amp;"ABC")))</f>
        <v/>
      </c>
      <c r="N683" s="24" t="str">
        <f t="array" ref="N683">SUBSTITUTE(L683,M683,"")</f>
        <v/>
      </c>
      <c r="X683" s="258" t="str">
        <f t="shared" si="42"/>
        <v/>
      </c>
      <c r="Y683" s="36" t="str">
        <f t="shared" si="43"/>
        <v/>
      </c>
      <c r="Z683" s="340" t="str">
        <f>IF(AND(C683&gt;0,D683&lt;&gt;"",S683=""),VLOOKUP(A683&amp;IF(H683="黑丝","黑","白")&amp;E683,经纬!A:M,13,FALSE)*(I683-AB683),"")</f>
        <v/>
      </c>
      <c r="AA683" s="340" t="str">
        <f>IF(AND(C683&gt;0,D683&lt;&gt;"",S683=""),VLOOKUP(A683&amp;IF(H683="黑丝","黑","白")&amp;E683,经纬!A:N,14,FALSE)*(I683-AB683),"")</f>
        <v/>
      </c>
    </row>
    <row r="684" spans="13:27">
      <c r="M684" s="24" t="str">
        <f t="array" ref="M684">LEFT(L684,MIN(FIND({"A","B","C"},MID(L684,2,LEN(L684))&amp;"ABC")))</f>
        <v/>
      </c>
      <c r="N684" s="24" t="str">
        <f t="array" ref="N684">SUBSTITUTE(L684,M684,"")</f>
        <v/>
      </c>
      <c r="X684" s="258" t="str">
        <f t="shared" si="42"/>
        <v/>
      </c>
      <c r="Y684" s="36" t="str">
        <f t="shared" si="43"/>
        <v/>
      </c>
      <c r="Z684" s="340" t="str">
        <f>IF(AND(C684&gt;0,D684&lt;&gt;"",S684=""),VLOOKUP(A684&amp;IF(H684="黑丝","黑","白")&amp;E684,经纬!A:M,13,FALSE)*(I684-AB684),"")</f>
        <v/>
      </c>
      <c r="AA684" s="340" t="str">
        <f>IF(AND(C684&gt;0,D684&lt;&gt;"",S684=""),VLOOKUP(A684&amp;IF(H684="黑丝","黑","白")&amp;E684,经纬!A:N,14,FALSE)*(I684-AB684),"")</f>
        <v/>
      </c>
    </row>
    <row r="685" spans="13:27">
      <c r="M685" s="24" t="str">
        <f t="array" ref="M685">LEFT(L685,MIN(FIND({"A","B","C"},MID(L685,2,LEN(L685))&amp;"ABC")))</f>
        <v/>
      </c>
      <c r="N685" s="24" t="str">
        <f t="array" ref="N685">SUBSTITUTE(L685,M685,"")</f>
        <v/>
      </c>
      <c r="X685" s="258" t="str">
        <f t="shared" si="42"/>
        <v/>
      </c>
      <c r="Y685" s="36" t="str">
        <f t="shared" si="43"/>
        <v/>
      </c>
      <c r="Z685" s="340" t="str">
        <f>IF(AND(C685&gt;0,D685&lt;&gt;"",S685=""),VLOOKUP(A685&amp;IF(H685="黑丝","黑","白")&amp;E685,经纬!A:M,13,FALSE)*(I685-AB685),"")</f>
        <v/>
      </c>
      <c r="AA685" s="340" t="str">
        <f>IF(AND(C685&gt;0,D685&lt;&gt;"",S685=""),VLOOKUP(A685&amp;IF(H685="黑丝","黑","白")&amp;E685,经纬!A:N,14,FALSE)*(I685-AB685),"")</f>
        <v/>
      </c>
    </row>
    <row r="686" spans="13:27">
      <c r="M686" s="24" t="str">
        <f t="array" ref="M686">LEFT(L686,MIN(FIND({"A","B","C"},MID(L686,2,LEN(L686))&amp;"ABC")))</f>
        <v/>
      </c>
      <c r="N686" s="24" t="str">
        <f t="array" ref="N686">SUBSTITUTE(L686,M686,"")</f>
        <v/>
      </c>
      <c r="X686" s="258" t="str">
        <f t="shared" si="42"/>
        <v/>
      </c>
      <c r="Y686" s="36" t="str">
        <f t="shared" si="43"/>
        <v/>
      </c>
      <c r="Z686" s="340" t="str">
        <f>IF(AND(C686&gt;0,D686&lt;&gt;"",S686=""),VLOOKUP(A686&amp;IF(H686="黑丝","黑","白")&amp;E686,经纬!A:M,13,FALSE)*(I686-AB686),"")</f>
        <v/>
      </c>
      <c r="AA686" s="340" t="str">
        <f>IF(AND(C686&gt;0,D686&lt;&gt;"",S686=""),VLOOKUP(A686&amp;IF(H686="黑丝","黑","白")&amp;E686,经纬!A:N,14,FALSE)*(I686-AB686),"")</f>
        <v/>
      </c>
    </row>
    <row r="687" spans="13:27">
      <c r="M687" s="24" t="str">
        <f t="array" ref="M687">LEFT(L687,MIN(FIND({"A","B","C"},MID(L687,2,LEN(L687))&amp;"ABC")))</f>
        <v/>
      </c>
      <c r="N687" s="24" t="str">
        <f t="array" ref="N687">SUBSTITUTE(L687,M687,"")</f>
        <v/>
      </c>
      <c r="X687" s="258" t="str">
        <f t="shared" si="42"/>
        <v/>
      </c>
      <c r="Y687" s="36" t="str">
        <f t="shared" si="43"/>
        <v/>
      </c>
      <c r="Z687" s="340" t="str">
        <f>IF(AND(C687&gt;0,D687&lt;&gt;"",S687=""),VLOOKUP(A687&amp;IF(H687="黑丝","黑","白")&amp;E687,经纬!A:M,13,FALSE)*(I687-AB687),"")</f>
        <v/>
      </c>
      <c r="AA687" s="340" t="str">
        <f>IF(AND(C687&gt;0,D687&lt;&gt;"",S687=""),VLOOKUP(A687&amp;IF(H687="黑丝","黑","白")&amp;E687,经纬!A:N,14,FALSE)*(I687-AB687),"")</f>
        <v/>
      </c>
    </row>
    <row r="688" spans="13:27">
      <c r="M688" s="24" t="str">
        <f t="array" ref="M688">LEFT(L688,MIN(FIND({"A","B","C"},MID(L688,2,LEN(L688))&amp;"ABC")))</f>
        <v/>
      </c>
      <c r="N688" s="24" t="str">
        <f t="array" ref="N688">SUBSTITUTE(L688,M688,"")</f>
        <v/>
      </c>
      <c r="X688" s="258" t="str">
        <f t="shared" si="42"/>
        <v/>
      </c>
      <c r="Y688" s="36" t="str">
        <f t="shared" si="43"/>
        <v/>
      </c>
      <c r="Z688" s="340" t="str">
        <f>IF(AND(C688&gt;0,D688&lt;&gt;"",S688=""),VLOOKUP(A688&amp;IF(H688="黑丝","黑","白")&amp;E688,经纬!A:M,13,FALSE)*(I688-AB688),"")</f>
        <v/>
      </c>
      <c r="AA688" s="340" t="str">
        <f>IF(AND(C688&gt;0,D688&lt;&gt;"",S688=""),VLOOKUP(A688&amp;IF(H688="黑丝","黑","白")&amp;E688,经纬!A:N,14,FALSE)*(I688-AB688),"")</f>
        <v/>
      </c>
    </row>
    <row r="689" spans="13:27">
      <c r="M689" s="24" t="str">
        <f t="array" ref="M689">LEFT(L689,MIN(FIND({"A","B","C"},MID(L689,2,LEN(L689))&amp;"ABC")))</f>
        <v/>
      </c>
      <c r="N689" s="24" t="str">
        <f t="array" ref="N689">SUBSTITUTE(L689,M689,"")</f>
        <v/>
      </c>
      <c r="X689" s="258" t="str">
        <f t="shared" si="42"/>
        <v/>
      </c>
      <c r="Y689" s="36" t="str">
        <f t="shared" si="43"/>
        <v/>
      </c>
      <c r="Z689" s="340" t="str">
        <f>IF(AND(C689&gt;0,D689&lt;&gt;"",S689=""),VLOOKUP(A689&amp;IF(H689="黑丝","黑","白")&amp;E689,经纬!A:M,13,FALSE)*(I689-AB689),"")</f>
        <v/>
      </c>
      <c r="AA689" s="340" t="str">
        <f>IF(AND(C689&gt;0,D689&lt;&gt;"",S689=""),VLOOKUP(A689&amp;IF(H689="黑丝","黑","白")&amp;E689,经纬!A:N,14,FALSE)*(I689-AB689),"")</f>
        <v/>
      </c>
    </row>
    <row r="690" spans="13:27">
      <c r="M690" s="24" t="str">
        <f t="array" ref="M690">LEFT(L690,MIN(FIND({"A","B","C"},MID(L690,2,LEN(L690))&amp;"ABC")))</f>
        <v/>
      </c>
      <c r="N690" s="24" t="str">
        <f t="array" ref="N690">SUBSTITUTE(L690,M690,"")</f>
        <v/>
      </c>
      <c r="X690" s="258" t="str">
        <f t="shared" si="42"/>
        <v/>
      </c>
      <c r="Y690" s="36" t="str">
        <f t="shared" si="43"/>
        <v/>
      </c>
      <c r="Z690" s="340" t="str">
        <f>IF(AND(C690&gt;0,D690&lt;&gt;"",S690=""),VLOOKUP(A690&amp;IF(H690="黑丝","黑","白")&amp;E690,经纬!A:M,13,FALSE)*(I690-AB690),"")</f>
        <v/>
      </c>
      <c r="AA690" s="340" t="str">
        <f>IF(AND(C690&gt;0,D690&lt;&gt;"",S690=""),VLOOKUP(A690&amp;IF(H690="黑丝","黑","白")&amp;E690,经纬!A:N,14,FALSE)*(I690-AB690),"")</f>
        <v/>
      </c>
    </row>
    <row r="691" spans="13:27">
      <c r="M691" s="24" t="str">
        <f t="array" ref="M691">LEFT(L691,MIN(FIND({"A","B","C"},MID(L691,2,LEN(L691))&amp;"ABC")))</f>
        <v/>
      </c>
      <c r="N691" s="24" t="str">
        <f t="array" ref="N691">SUBSTITUTE(L691,M691,"")</f>
        <v/>
      </c>
      <c r="X691" s="258" t="str">
        <f t="shared" si="42"/>
        <v/>
      </c>
      <c r="Y691" s="36" t="str">
        <f t="shared" si="43"/>
        <v/>
      </c>
      <c r="Z691" s="340" t="str">
        <f>IF(AND(C691&gt;0,D691&lt;&gt;"",S691=""),VLOOKUP(A691&amp;IF(H691="黑丝","黑","白")&amp;E691,经纬!A:M,13,FALSE)*(I691-AB691),"")</f>
        <v/>
      </c>
      <c r="AA691" s="340" t="str">
        <f>IF(AND(C691&gt;0,D691&lt;&gt;"",S691=""),VLOOKUP(A691&amp;IF(H691="黑丝","黑","白")&amp;E691,经纬!A:N,14,FALSE)*(I691-AB691),"")</f>
        <v/>
      </c>
    </row>
    <row r="692" spans="13:27">
      <c r="M692" s="24" t="str">
        <f t="array" ref="M692">LEFT(L692,MIN(FIND({"A","B","C"},MID(L692,2,LEN(L692))&amp;"ABC")))</f>
        <v/>
      </c>
      <c r="N692" s="24" t="str">
        <f t="array" ref="N692">SUBSTITUTE(L692,M692,"")</f>
        <v/>
      </c>
      <c r="X692" s="258" t="str">
        <f t="shared" si="42"/>
        <v/>
      </c>
      <c r="Y692" s="36" t="str">
        <f t="shared" si="43"/>
        <v/>
      </c>
      <c r="Z692" s="340" t="str">
        <f>IF(AND(C692&gt;0,D692&lt;&gt;"",S692=""),VLOOKUP(A692&amp;IF(H692="黑丝","黑","白")&amp;E692,经纬!A:M,13,FALSE)*(I692-AB692),"")</f>
        <v/>
      </c>
      <c r="AA692" s="340" t="str">
        <f>IF(AND(C692&gt;0,D692&lt;&gt;"",S692=""),VLOOKUP(A692&amp;IF(H692="黑丝","黑","白")&amp;E692,经纬!A:N,14,FALSE)*(I692-AB692),"")</f>
        <v/>
      </c>
    </row>
    <row r="693" spans="13:27">
      <c r="M693" s="24" t="str">
        <f t="array" ref="M693">LEFT(L693,MIN(FIND({"A","B","C"},MID(L693,2,LEN(L693))&amp;"ABC")))</f>
        <v/>
      </c>
      <c r="N693" s="24" t="str">
        <f t="array" ref="N693">SUBSTITUTE(L693,M693,"")</f>
        <v/>
      </c>
      <c r="X693" s="258" t="str">
        <f t="shared" si="42"/>
        <v/>
      </c>
      <c r="Y693" s="36" t="str">
        <f t="shared" si="43"/>
        <v/>
      </c>
      <c r="Z693" s="340" t="str">
        <f>IF(AND(C693&gt;0,D693&lt;&gt;"",S693=""),VLOOKUP(A693&amp;IF(H693="黑丝","黑","白")&amp;E693,经纬!A:M,13,FALSE)*(I693-AB693),"")</f>
        <v/>
      </c>
      <c r="AA693" s="340" t="str">
        <f>IF(AND(C693&gt;0,D693&lt;&gt;"",S693=""),VLOOKUP(A693&amp;IF(H693="黑丝","黑","白")&amp;E693,经纬!A:N,14,FALSE)*(I693-AB693),"")</f>
        <v/>
      </c>
    </row>
    <row r="694" spans="13:27">
      <c r="M694" s="24" t="str">
        <f t="array" ref="M694">LEFT(L694,MIN(FIND({"A","B","C"},MID(L694,2,LEN(L694))&amp;"ABC")))</f>
        <v/>
      </c>
      <c r="N694" s="24" t="str">
        <f t="array" ref="N694">SUBSTITUTE(L694,M694,"")</f>
        <v/>
      </c>
      <c r="X694" s="258" t="str">
        <f t="shared" si="42"/>
        <v/>
      </c>
      <c r="Y694" s="36" t="str">
        <f t="shared" si="43"/>
        <v/>
      </c>
      <c r="Z694" s="340" t="str">
        <f>IF(AND(C694&gt;0,D694&lt;&gt;"",S694=""),VLOOKUP(A694&amp;IF(H694="黑丝","黑","白")&amp;E694,经纬!A:M,13,FALSE)*(I694-AB694),"")</f>
        <v/>
      </c>
      <c r="AA694" s="340" t="str">
        <f>IF(AND(C694&gt;0,D694&lt;&gt;"",S694=""),VLOOKUP(A694&amp;IF(H694="黑丝","黑","白")&amp;E694,经纬!A:N,14,FALSE)*(I694-AB694),"")</f>
        <v/>
      </c>
    </row>
    <row r="695" spans="13:27">
      <c r="M695" s="24" t="str">
        <f t="array" ref="M695">LEFT(L695,MIN(FIND({"A","B","C"},MID(L695,2,LEN(L695))&amp;"ABC")))</f>
        <v/>
      </c>
      <c r="N695" s="24" t="str">
        <f t="array" ref="N695">SUBSTITUTE(L695,M695,"")</f>
        <v/>
      </c>
      <c r="X695" s="258" t="str">
        <f t="shared" si="42"/>
        <v/>
      </c>
      <c r="Y695" s="36" t="str">
        <f t="shared" si="43"/>
        <v/>
      </c>
      <c r="Z695" s="340" t="str">
        <f>IF(AND(C695&gt;0,D695&lt;&gt;"",S695=""),VLOOKUP(A695&amp;IF(H695="黑丝","黑","白")&amp;E695,经纬!A:M,13,FALSE)*(I695-AB695),"")</f>
        <v/>
      </c>
      <c r="AA695" s="340" t="str">
        <f>IF(AND(C695&gt;0,D695&lt;&gt;"",S695=""),VLOOKUP(A695&amp;IF(H695="黑丝","黑","白")&amp;E695,经纬!A:N,14,FALSE)*(I695-AB695),"")</f>
        <v/>
      </c>
    </row>
    <row r="696" spans="13:27">
      <c r="M696" s="24" t="str">
        <f t="array" ref="M696">LEFT(L696,MIN(FIND({"A","B","C"},MID(L696,2,LEN(L696))&amp;"ABC")))</f>
        <v/>
      </c>
      <c r="N696" s="24" t="str">
        <f t="array" ref="N696">SUBSTITUTE(L696,M696,"")</f>
        <v/>
      </c>
      <c r="X696" s="258" t="str">
        <f t="shared" si="42"/>
        <v/>
      </c>
      <c r="Y696" s="36" t="str">
        <f t="shared" si="43"/>
        <v/>
      </c>
      <c r="Z696" s="340" t="str">
        <f>IF(AND(C696&gt;0,D696&lt;&gt;"",S696=""),VLOOKUP(A696&amp;IF(H696="黑丝","黑","白")&amp;E696,经纬!A:M,13,FALSE)*(I696-AB696),"")</f>
        <v/>
      </c>
      <c r="AA696" s="340" t="str">
        <f>IF(AND(C696&gt;0,D696&lt;&gt;"",S696=""),VLOOKUP(A696&amp;IF(H696="黑丝","黑","白")&amp;E696,经纬!A:N,14,FALSE)*(I696-AB696),"")</f>
        <v/>
      </c>
    </row>
    <row r="697" spans="13:27">
      <c r="M697" s="24" t="str">
        <f t="array" ref="M697">LEFT(L697,MIN(FIND({"A","B","C"},MID(L697,2,LEN(L697))&amp;"ABC")))</f>
        <v/>
      </c>
      <c r="N697" s="24" t="str">
        <f t="array" ref="N697">SUBSTITUTE(L697,M697,"")</f>
        <v/>
      </c>
      <c r="X697" s="258" t="str">
        <f t="shared" si="42"/>
        <v/>
      </c>
      <c r="Y697" s="36" t="str">
        <f t="shared" si="43"/>
        <v/>
      </c>
      <c r="Z697" s="340" t="str">
        <f>IF(AND(C697&gt;0,D697&lt;&gt;"",S697=""),VLOOKUP(A697&amp;IF(H697="黑丝","黑","白")&amp;E697,经纬!A:M,13,FALSE)*(I697-AB697),"")</f>
        <v/>
      </c>
      <c r="AA697" s="340" t="str">
        <f>IF(AND(C697&gt;0,D697&lt;&gt;"",S697=""),VLOOKUP(A697&amp;IF(H697="黑丝","黑","白")&amp;E697,经纬!A:N,14,FALSE)*(I697-AB697),"")</f>
        <v/>
      </c>
    </row>
    <row r="698" spans="13:27">
      <c r="M698" s="24" t="str">
        <f t="array" ref="M698">LEFT(L698,MIN(FIND({"A","B","C"},MID(L698,2,LEN(L698))&amp;"ABC")))</f>
        <v/>
      </c>
      <c r="N698" s="24" t="str">
        <f t="array" ref="N698">SUBSTITUTE(L698,M698,"")</f>
        <v/>
      </c>
      <c r="X698" s="258" t="str">
        <f t="shared" si="42"/>
        <v/>
      </c>
      <c r="Y698" s="36" t="str">
        <f t="shared" si="43"/>
        <v/>
      </c>
      <c r="Z698" s="340" t="str">
        <f>IF(AND(C698&gt;0,D698&lt;&gt;"",S698=""),VLOOKUP(A698&amp;IF(H698="黑丝","黑","白")&amp;E698,经纬!A:M,13,FALSE)*(I698-AB698),"")</f>
        <v/>
      </c>
      <c r="AA698" s="340" t="str">
        <f>IF(AND(C698&gt;0,D698&lt;&gt;"",S698=""),VLOOKUP(A698&amp;IF(H698="黑丝","黑","白")&amp;E698,经纬!A:N,14,FALSE)*(I698-AB698),"")</f>
        <v/>
      </c>
    </row>
    <row r="699" spans="13:27">
      <c r="M699" s="24" t="str">
        <f t="array" ref="M699">LEFT(L699,MIN(FIND({"A","B","C"},MID(L699,2,LEN(L699))&amp;"ABC")))</f>
        <v/>
      </c>
      <c r="N699" s="24" t="str">
        <f t="array" ref="N699">SUBSTITUTE(L699,M699,"")</f>
        <v/>
      </c>
      <c r="X699" s="258" t="str">
        <f t="shared" si="42"/>
        <v/>
      </c>
      <c r="Y699" s="36" t="str">
        <f t="shared" si="43"/>
        <v/>
      </c>
      <c r="Z699" s="340" t="str">
        <f>IF(AND(C699&gt;0,D699&lt;&gt;"",S699=""),VLOOKUP(A699&amp;IF(H699="黑丝","黑","白")&amp;E699,经纬!A:M,13,FALSE)*(I699-AB699),"")</f>
        <v/>
      </c>
      <c r="AA699" s="340" t="str">
        <f>IF(AND(C699&gt;0,D699&lt;&gt;"",S699=""),VLOOKUP(A699&amp;IF(H699="黑丝","黑","白")&amp;E699,经纬!A:N,14,FALSE)*(I699-AB699),"")</f>
        <v/>
      </c>
    </row>
    <row r="700" spans="13:27">
      <c r="M700" s="24" t="str">
        <f t="array" ref="M700">LEFT(L700,MIN(FIND({"A","B","C"},MID(L700,2,LEN(L700))&amp;"ABC")))</f>
        <v/>
      </c>
      <c r="N700" s="24" t="str">
        <f t="array" ref="N700">SUBSTITUTE(L700,M700,"")</f>
        <v/>
      </c>
      <c r="X700" s="258" t="str">
        <f t="shared" si="42"/>
        <v/>
      </c>
      <c r="Y700" s="36" t="str">
        <f t="shared" si="43"/>
        <v/>
      </c>
      <c r="Z700" s="340" t="str">
        <f>IF(AND(C700&gt;0,D700&lt;&gt;"",S700=""),VLOOKUP(A700&amp;IF(H700="黑丝","黑","白")&amp;E700,经纬!A:M,13,FALSE)*(I700-AB700),"")</f>
        <v/>
      </c>
      <c r="AA700" s="340" t="str">
        <f>IF(AND(C700&gt;0,D700&lt;&gt;"",S700=""),VLOOKUP(A700&amp;IF(H700="黑丝","黑","白")&amp;E700,经纬!A:N,14,FALSE)*(I700-AB700),"")</f>
        <v/>
      </c>
    </row>
    <row r="701" spans="13:27">
      <c r="M701" s="24" t="str">
        <f t="array" ref="M701">LEFT(L701,MIN(FIND({"A","B","C"},MID(L701,2,LEN(L701))&amp;"ABC")))</f>
        <v/>
      </c>
      <c r="N701" s="24" t="str">
        <f t="array" ref="N701">SUBSTITUTE(L701,M701,"")</f>
        <v/>
      </c>
      <c r="X701" s="258" t="str">
        <f t="shared" si="42"/>
        <v/>
      </c>
      <c r="Y701" s="36" t="str">
        <f t="shared" si="43"/>
        <v/>
      </c>
      <c r="Z701" s="340" t="str">
        <f>IF(AND(C701&gt;0,D701&lt;&gt;"",S701=""),VLOOKUP(A701&amp;IF(H701="黑丝","黑","白")&amp;E701,经纬!A:M,13,FALSE)*(I701-AB701),"")</f>
        <v/>
      </c>
      <c r="AA701" s="340" t="str">
        <f>IF(AND(C701&gt;0,D701&lt;&gt;"",S701=""),VLOOKUP(A701&amp;IF(H701="黑丝","黑","白")&amp;E701,经纬!A:N,14,FALSE)*(I701-AB701),"")</f>
        <v/>
      </c>
    </row>
    <row r="702" spans="13:27">
      <c r="M702" s="24" t="str">
        <f t="array" ref="M702">LEFT(L702,MIN(FIND({"A","B","C"},MID(L702,2,LEN(L702))&amp;"ABC")))</f>
        <v/>
      </c>
      <c r="N702" s="24" t="str">
        <f t="array" ref="N702">SUBSTITUTE(L702,M702,"")</f>
        <v/>
      </c>
      <c r="X702" s="258" t="str">
        <f t="shared" si="42"/>
        <v/>
      </c>
      <c r="Y702" s="36" t="str">
        <f t="shared" si="43"/>
        <v/>
      </c>
      <c r="Z702" s="340" t="str">
        <f>IF(AND(C702&gt;0,D702&lt;&gt;"",S702=""),VLOOKUP(A702&amp;IF(H702="黑丝","黑","白")&amp;E702,经纬!A:M,13,FALSE)*(I702-AB702),"")</f>
        <v/>
      </c>
      <c r="AA702" s="340" t="str">
        <f>IF(AND(C702&gt;0,D702&lt;&gt;"",S702=""),VLOOKUP(A702&amp;IF(H702="黑丝","黑","白")&amp;E702,经纬!A:N,14,FALSE)*(I702-AB702),"")</f>
        <v/>
      </c>
    </row>
    <row r="703" spans="13:27">
      <c r="M703" s="24" t="str">
        <f t="array" ref="M703">LEFT(L703,MIN(FIND({"A","B","C"},MID(L703,2,LEN(L703))&amp;"ABC")))</f>
        <v/>
      </c>
      <c r="N703" s="24" t="str">
        <f t="array" ref="N703">SUBSTITUTE(L703,M703,"")</f>
        <v/>
      </c>
      <c r="X703" s="258" t="str">
        <f t="shared" si="42"/>
        <v/>
      </c>
      <c r="Y703" s="36" t="str">
        <f t="shared" si="43"/>
        <v/>
      </c>
      <c r="Z703" s="340" t="str">
        <f>IF(AND(C703&gt;0,D703&lt;&gt;"",S703=""),VLOOKUP(A703&amp;IF(H703="黑丝","黑","白")&amp;E703,经纬!A:M,13,FALSE)*(I703-AB703),"")</f>
        <v/>
      </c>
      <c r="AA703" s="340" t="str">
        <f>IF(AND(C703&gt;0,D703&lt;&gt;"",S703=""),VLOOKUP(A703&amp;IF(H703="黑丝","黑","白")&amp;E703,经纬!A:N,14,FALSE)*(I703-AB703),"")</f>
        <v/>
      </c>
    </row>
    <row r="704" spans="13:27">
      <c r="M704" s="24" t="str">
        <f t="array" ref="M704">LEFT(L704,MIN(FIND({"A","B","C"},MID(L704,2,LEN(L704))&amp;"ABC")))</f>
        <v/>
      </c>
      <c r="N704" s="24" t="str">
        <f t="array" ref="N704">SUBSTITUTE(L704,M704,"")</f>
        <v/>
      </c>
      <c r="X704" s="258" t="str">
        <f t="shared" si="42"/>
        <v/>
      </c>
      <c r="Y704" s="36" t="str">
        <f t="shared" si="43"/>
        <v/>
      </c>
      <c r="Z704" s="340" t="str">
        <f>IF(AND(C704&gt;0,D704&lt;&gt;"",S704=""),VLOOKUP(A704&amp;IF(H704="黑丝","黑","白")&amp;E704,经纬!A:M,13,FALSE)*(I704-AB704),"")</f>
        <v/>
      </c>
      <c r="AA704" s="340" t="str">
        <f>IF(AND(C704&gt;0,D704&lt;&gt;"",S704=""),VLOOKUP(A704&amp;IF(H704="黑丝","黑","白")&amp;E704,经纬!A:N,14,FALSE)*(I704-AB704),"")</f>
        <v/>
      </c>
    </row>
    <row r="705" spans="13:27">
      <c r="M705" s="24" t="str">
        <f t="array" ref="M705">LEFT(L705,MIN(FIND({"A","B","C"},MID(L705,2,LEN(L705))&amp;"ABC")))</f>
        <v/>
      </c>
      <c r="N705" s="24" t="str">
        <f t="array" ref="N705">SUBSTITUTE(L705,M705,"")</f>
        <v/>
      </c>
      <c r="X705" s="258" t="str">
        <f t="shared" si="42"/>
        <v/>
      </c>
      <c r="Y705" s="36" t="str">
        <f t="shared" si="43"/>
        <v/>
      </c>
      <c r="Z705" s="340" t="str">
        <f>IF(AND(C705&gt;0,D705&lt;&gt;"",S705=""),VLOOKUP(A705&amp;IF(H705="黑丝","黑","白")&amp;E705,经纬!A:M,13,FALSE)*(I705-AB705),"")</f>
        <v/>
      </c>
      <c r="AA705" s="340" t="str">
        <f>IF(AND(C705&gt;0,D705&lt;&gt;"",S705=""),VLOOKUP(A705&amp;IF(H705="黑丝","黑","白")&amp;E705,经纬!A:N,14,FALSE)*(I705-AB705),"")</f>
        <v/>
      </c>
    </row>
    <row r="706" spans="13:27">
      <c r="M706" s="24" t="str">
        <f t="array" ref="M706">LEFT(L706,MIN(FIND({"A","B","C"},MID(L706,2,LEN(L706))&amp;"ABC")))</f>
        <v/>
      </c>
      <c r="N706" s="24" t="str">
        <f t="array" ref="N706">SUBSTITUTE(L706,M706,"")</f>
        <v/>
      </c>
      <c r="X706" s="258" t="str">
        <f t="shared" si="42"/>
        <v/>
      </c>
      <c r="Y706" s="36" t="str">
        <f t="shared" si="43"/>
        <v/>
      </c>
      <c r="Z706" s="340" t="str">
        <f>IF(AND(C706&gt;0,D706&lt;&gt;"",S706=""),VLOOKUP(A706&amp;IF(H706="黑丝","黑","白")&amp;E706,经纬!A:M,13,FALSE)*(I706-AB706),"")</f>
        <v/>
      </c>
      <c r="AA706" s="340" t="str">
        <f>IF(AND(C706&gt;0,D706&lt;&gt;"",S706=""),VLOOKUP(A706&amp;IF(H706="黑丝","黑","白")&amp;E706,经纬!A:N,14,FALSE)*(I706-AB706),"")</f>
        <v/>
      </c>
    </row>
    <row r="707" spans="13:27">
      <c r="M707" s="24" t="str">
        <f t="array" ref="M707">LEFT(L707,MIN(FIND({"A","B","C"},MID(L707,2,LEN(L707))&amp;"ABC")))</f>
        <v/>
      </c>
      <c r="N707" s="24" t="str">
        <f t="array" ref="N707">SUBSTITUTE(L707,M707,"")</f>
        <v/>
      </c>
      <c r="X707" s="258" t="str">
        <f t="shared" si="42"/>
        <v/>
      </c>
      <c r="Y707" s="36" t="str">
        <f t="shared" si="43"/>
        <v/>
      </c>
      <c r="Z707" s="340" t="str">
        <f>IF(AND(C707&gt;0,D707&lt;&gt;"",S707=""),VLOOKUP(A707&amp;IF(H707="黑丝","黑","白")&amp;E707,经纬!A:M,13,FALSE)*(I707-AB707),"")</f>
        <v/>
      </c>
      <c r="AA707" s="340" t="str">
        <f>IF(AND(C707&gt;0,D707&lt;&gt;"",S707=""),VLOOKUP(A707&amp;IF(H707="黑丝","黑","白")&amp;E707,经纬!A:N,14,FALSE)*(I707-AB707),"")</f>
        <v/>
      </c>
    </row>
    <row r="708" spans="13:27">
      <c r="M708" s="24" t="str">
        <f t="array" ref="M708">LEFT(L708,MIN(FIND({"A","B","C"},MID(L708,2,LEN(L708))&amp;"ABC")))</f>
        <v/>
      </c>
      <c r="N708" s="24" t="str">
        <f t="array" ref="N708">SUBSTITUTE(L708,M708,"")</f>
        <v/>
      </c>
      <c r="X708" s="258" t="str">
        <f t="shared" si="42"/>
        <v/>
      </c>
      <c r="Y708" s="36" t="str">
        <f t="shared" si="43"/>
        <v/>
      </c>
      <c r="Z708" s="340" t="str">
        <f>IF(AND(C708&gt;0,D708&lt;&gt;"",S708=""),VLOOKUP(A708&amp;IF(H708="黑丝","黑","白")&amp;E708,经纬!A:M,13,FALSE)*(I708-AB708),"")</f>
        <v/>
      </c>
      <c r="AA708" s="340" t="str">
        <f>IF(AND(C708&gt;0,D708&lt;&gt;"",S708=""),VLOOKUP(A708&amp;IF(H708="黑丝","黑","白")&amp;E708,经纬!A:N,14,FALSE)*(I708-AB708),"")</f>
        <v/>
      </c>
    </row>
    <row r="709" spans="13:27">
      <c r="M709" s="24" t="str">
        <f t="array" ref="M709">LEFT(L709,MIN(FIND({"A","B","C"},MID(L709,2,LEN(L709))&amp;"ABC")))</f>
        <v/>
      </c>
      <c r="N709" s="24" t="str">
        <f t="array" ref="N709">SUBSTITUTE(L709,M709,"")</f>
        <v/>
      </c>
      <c r="X709" s="258" t="str">
        <f t="shared" si="42"/>
        <v/>
      </c>
      <c r="Y709" s="36" t="str">
        <f t="shared" si="43"/>
        <v/>
      </c>
      <c r="Z709" s="340" t="str">
        <f>IF(AND(C709&gt;0,D709&lt;&gt;"",S709=""),VLOOKUP(A709&amp;IF(H709="黑丝","黑","白")&amp;E709,经纬!A:M,13,FALSE)*(I709-AB709),"")</f>
        <v/>
      </c>
      <c r="AA709" s="340" t="str">
        <f>IF(AND(C709&gt;0,D709&lt;&gt;"",S709=""),VLOOKUP(A709&amp;IF(H709="黑丝","黑","白")&amp;E709,经纬!A:N,14,FALSE)*(I709-AB709),"")</f>
        <v/>
      </c>
    </row>
    <row r="710" spans="13:27">
      <c r="M710" s="24" t="str">
        <f t="array" ref="M710">LEFT(L710,MIN(FIND({"A","B","C"},MID(L710,2,LEN(L710))&amp;"ABC")))</f>
        <v/>
      </c>
      <c r="N710" s="24" t="str">
        <f t="array" ref="N710">SUBSTITUTE(L710,M710,"")</f>
        <v/>
      </c>
      <c r="X710" s="258" t="str">
        <f t="shared" si="42"/>
        <v/>
      </c>
      <c r="Y710" s="36" t="str">
        <f t="shared" si="43"/>
        <v/>
      </c>
      <c r="Z710" s="340" t="str">
        <f>IF(AND(C710&gt;0,D710&lt;&gt;"",S710=""),VLOOKUP(A710&amp;IF(H710="黑丝","黑","白")&amp;E710,经纬!A:M,13,FALSE)*(I710-AB710),"")</f>
        <v/>
      </c>
      <c r="AA710" s="340" t="str">
        <f>IF(AND(C710&gt;0,D710&lt;&gt;"",S710=""),VLOOKUP(A710&amp;IF(H710="黑丝","黑","白")&amp;E710,经纬!A:N,14,FALSE)*(I710-AB710),"")</f>
        <v/>
      </c>
    </row>
    <row r="711" spans="13:27">
      <c r="M711" s="24" t="str">
        <f t="array" ref="M711">LEFT(L711,MIN(FIND({"A","B","C"},MID(L711,2,LEN(L711))&amp;"ABC")))</f>
        <v/>
      </c>
      <c r="N711" s="24" t="str">
        <f t="array" ref="N711">SUBSTITUTE(L711,M711,"")</f>
        <v/>
      </c>
      <c r="X711" s="258" t="str">
        <f t="shared" si="42"/>
        <v/>
      </c>
      <c r="Y711" s="36" t="str">
        <f t="shared" si="43"/>
        <v/>
      </c>
      <c r="Z711" s="340" t="str">
        <f>IF(AND(C711&gt;0,D711&lt;&gt;"",S711=""),VLOOKUP(A711&amp;IF(H711="黑丝","黑","白")&amp;E711,经纬!A:M,13,FALSE)*(I711-AB711),"")</f>
        <v/>
      </c>
      <c r="AA711" s="340" t="str">
        <f>IF(AND(C711&gt;0,D711&lt;&gt;"",S711=""),VLOOKUP(A711&amp;IF(H711="黑丝","黑","白")&amp;E711,经纬!A:N,14,FALSE)*(I711-AB711),"")</f>
        <v/>
      </c>
    </row>
    <row r="712" spans="13:27">
      <c r="M712" s="24" t="str">
        <f t="array" ref="M712">LEFT(L712,MIN(FIND({"A","B","C"},MID(L712,2,LEN(L712))&amp;"ABC")))</f>
        <v/>
      </c>
      <c r="N712" s="24" t="str">
        <f t="array" ref="N712">SUBSTITUTE(L712,M712,"")</f>
        <v/>
      </c>
      <c r="X712" s="258" t="str">
        <f t="shared" si="42"/>
        <v/>
      </c>
      <c r="Y712" s="36" t="str">
        <f t="shared" si="43"/>
        <v/>
      </c>
      <c r="Z712" s="340" t="str">
        <f>IF(AND(C712&gt;0,D712&lt;&gt;"",S712=""),VLOOKUP(A712&amp;IF(H712="黑丝","黑","白")&amp;E712,经纬!A:M,13,FALSE)*(I712-AB712),"")</f>
        <v/>
      </c>
      <c r="AA712" s="340" t="str">
        <f>IF(AND(C712&gt;0,D712&lt;&gt;"",S712=""),VLOOKUP(A712&amp;IF(H712="黑丝","黑","白")&amp;E712,经纬!A:N,14,FALSE)*(I712-AB712),"")</f>
        <v/>
      </c>
    </row>
    <row r="713" spans="13:27">
      <c r="M713" s="24" t="str">
        <f t="array" ref="M713">LEFT(L713,MIN(FIND({"A","B","C"},MID(L713,2,LEN(L713))&amp;"ABC")))</f>
        <v/>
      </c>
      <c r="N713" s="24" t="str">
        <f t="array" ref="N713">SUBSTITUTE(L713,M713,"")</f>
        <v/>
      </c>
      <c r="X713" s="258" t="str">
        <f t="shared" si="42"/>
        <v/>
      </c>
      <c r="Y713" s="36" t="str">
        <f t="shared" si="43"/>
        <v/>
      </c>
      <c r="Z713" s="340" t="str">
        <f>IF(AND(C713&gt;0,D713&lt;&gt;"",S713=""),VLOOKUP(A713&amp;IF(H713="黑丝","黑","白")&amp;E713,经纬!A:M,13,FALSE)*(I713-AB713),"")</f>
        <v/>
      </c>
      <c r="AA713" s="340" t="str">
        <f>IF(AND(C713&gt;0,D713&lt;&gt;"",S713=""),VLOOKUP(A713&amp;IF(H713="黑丝","黑","白")&amp;E713,经纬!A:N,14,FALSE)*(I713-AB713),"")</f>
        <v/>
      </c>
    </row>
    <row r="714" spans="13:27">
      <c r="M714" s="24" t="str">
        <f t="array" ref="M714">LEFT(L714,MIN(FIND({"A","B","C"},MID(L714,2,LEN(L714))&amp;"ABC")))</f>
        <v/>
      </c>
      <c r="N714" s="24" t="str">
        <f t="array" ref="N714">SUBSTITUTE(L714,M714,"")</f>
        <v/>
      </c>
      <c r="X714" s="258" t="str">
        <f t="shared" si="42"/>
        <v/>
      </c>
      <c r="Y714" s="36" t="str">
        <f t="shared" si="43"/>
        <v/>
      </c>
      <c r="Z714" s="340" t="str">
        <f>IF(AND(C714&gt;0,D714&lt;&gt;"",S714=""),VLOOKUP(A714&amp;IF(H714="黑丝","黑","白")&amp;E714,经纬!A:M,13,FALSE)*(I714-AB714),"")</f>
        <v/>
      </c>
      <c r="AA714" s="340" t="str">
        <f>IF(AND(C714&gt;0,D714&lt;&gt;"",S714=""),VLOOKUP(A714&amp;IF(H714="黑丝","黑","白")&amp;E714,经纬!A:N,14,FALSE)*(I714-AB714),"")</f>
        <v/>
      </c>
    </row>
    <row r="715" spans="13:27">
      <c r="M715" s="24" t="str">
        <f t="array" ref="M715">LEFT(L715,MIN(FIND({"A","B","C"},MID(L715,2,LEN(L715))&amp;"ABC")))</f>
        <v/>
      </c>
      <c r="N715" s="24" t="str">
        <f t="array" ref="N715">SUBSTITUTE(L715,M715,"")</f>
        <v/>
      </c>
      <c r="X715" s="258" t="str">
        <f t="shared" si="42"/>
        <v/>
      </c>
      <c r="Y715" s="36" t="str">
        <f t="shared" si="43"/>
        <v/>
      </c>
      <c r="Z715" s="340" t="str">
        <f>IF(AND(C715&gt;0,D715&lt;&gt;"",S715=""),VLOOKUP(A715&amp;IF(H715="黑丝","黑","白")&amp;E715,经纬!A:M,13,FALSE)*(I715-AB715),"")</f>
        <v/>
      </c>
      <c r="AA715" s="340" t="str">
        <f>IF(AND(C715&gt;0,D715&lt;&gt;"",S715=""),VLOOKUP(A715&amp;IF(H715="黑丝","黑","白")&amp;E715,经纬!A:N,14,FALSE)*(I715-AB715),"")</f>
        <v/>
      </c>
    </row>
    <row r="716" spans="13:27">
      <c r="M716" s="24" t="str">
        <f t="array" ref="M716">LEFT(L716,MIN(FIND({"A","B","C"},MID(L716,2,LEN(L716))&amp;"ABC")))</f>
        <v/>
      </c>
      <c r="N716" s="24" t="str">
        <f t="array" ref="N716">SUBSTITUTE(L716,M716,"")</f>
        <v/>
      </c>
      <c r="X716" s="258" t="str">
        <f t="shared" si="42"/>
        <v/>
      </c>
      <c r="Y716" s="36" t="str">
        <f t="shared" si="43"/>
        <v/>
      </c>
      <c r="Z716" s="340" t="str">
        <f>IF(AND(C716&gt;0,D716&lt;&gt;"",S716=""),VLOOKUP(A716&amp;IF(H716="黑丝","黑","白")&amp;E716,经纬!A:M,13,FALSE)*(I716-AB716),"")</f>
        <v/>
      </c>
      <c r="AA716" s="340" t="str">
        <f>IF(AND(C716&gt;0,D716&lt;&gt;"",S716=""),VLOOKUP(A716&amp;IF(H716="黑丝","黑","白")&amp;E716,经纬!A:N,14,FALSE)*(I716-AB716),"")</f>
        <v/>
      </c>
    </row>
    <row r="717" spans="13:27">
      <c r="M717" s="24" t="str">
        <f t="array" ref="M717">LEFT(L717,MIN(FIND({"A","B","C"},MID(L717,2,LEN(L717))&amp;"ABC")))</f>
        <v/>
      </c>
      <c r="N717" s="24" t="str">
        <f t="array" ref="N717">SUBSTITUTE(L717,M717,"")</f>
        <v/>
      </c>
      <c r="X717" s="258" t="str">
        <f t="shared" si="42"/>
        <v/>
      </c>
      <c r="Y717" s="36" t="str">
        <f t="shared" si="43"/>
        <v/>
      </c>
      <c r="Z717" s="340" t="str">
        <f>IF(AND(C717&gt;0,D717&lt;&gt;"",S717=""),VLOOKUP(A717&amp;IF(H717="黑丝","黑","白")&amp;E717,经纬!A:M,13,FALSE)*(I717-AB717),"")</f>
        <v/>
      </c>
      <c r="AA717" s="340" t="str">
        <f>IF(AND(C717&gt;0,D717&lt;&gt;"",S717=""),VLOOKUP(A717&amp;IF(H717="黑丝","黑","白")&amp;E717,经纬!A:N,14,FALSE)*(I717-AB717),"")</f>
        <v/>
      </c>
    </row>
    <row r="718" spans="13:27">
      <c r="M718" s="24" t="str">
        <f t="array" ref="M718">LEFT(L718,MIN(FIND({"A","B","C"},MID(L718,2,LEN(L718))&amp;"ABC")))</f>
        <v/>
      </c>
      <c r="N718" s="24" t="str">
        <f t="array" ref="N718">SUBSTITUTE(L718,M718,"")</f>
        <v/>
      </c>
      <c r="X718" s="258" t="str">
        <f t="shared" si="42"/>
        <v/>
      </c>
      <c r="Y718" s="36" t="str">
        <f t="shared" si="43"/>
        <v/>
      </c>
      <c r="Z718" s="340" t="str">
        <f>IF(AND(C718&gt;0,D718&lt;&gt;"",S718=""),VLOOKUP(A718&amp;IF(H718="黑丝","黑","白")&amp;E718,经纬!A:M,13,FALSE)*(I718-AB718),"")</f>
        <v/>
      </c>
      <c r="AA718" s="340" t="str">
        <f>IF(AND(C718&gt;0,D718&lt;&gt;"",S718=""),VLOOKUP(A718&amp;IF(H718="黑丝","黑","白")&amp;E718,经纬!A:N,14,FALSE)*(I718-AB718),"")</f>
        <v/>
      </c>
    </row>
    <row r="719" spans="13:27">
      <c r="M719" s="24" t="str">
        <f t="array" ref="M719">LEFT(L719,MIN(FIND({"A","B","C"},MID(L719,2,LEN(L719))&amp;"ABC")))</f>
        <v/>
      </c>
      <c r="N719" s="24" t="str">
        <f t="array" ref="N719">SUBSTITUTE(L719,M719,"")</f>
        <v/>
      </c>
      <c r="X719" s="258" t="str">
        <f t="shared" si="42"/>
        <v/>
      </c>
      <c r="Y719" s="36" t="str">
        <f t="shared" si="43"/>
        <v/>
      </c>
      <c r="Z719" s="340" t="str">
        <f>IF(AND(C719&gt;0,D719&lt;&gt;"",S719=""),VLOOKUP(A719&amp;IF(H719="黑丝","黑","白")&amp;E719,经纬!A:M,13,FALSE)*(I719-AB719),"")</f>
        <v/>
      </c>
      <c r="AA719" s="340" t="str">
        <f>IF(AND(C719&gt;0,D719&lt;&gt;"",S719=""),VLOOKUP(A719&amp;IF(H719="黑丝","黑","白")&amp;E719,经纬!A:N,14,FALSE)*(I719-AB719),"")</f>
        <v/>
      </c>
    </row>
    <row r="720" spans="13:27">
      <c r="M720" s="24" t="str">
        <f t="array" ref="M720">LEFT(L720,MIN(FIND({"A","B","C"},MID(L720,2,LEN(L720))&amp;"ABC")))</f>
        <v/>
      </c>
      <c r="N720" s="24" t="str">
        <f t="array" ref="N720">SUBSTITUTE(L720,M720,"")</f>
        <v/>
      </c>
      <c r="X720" s="258" t="str">
        <f t="shared" si="42"/>
        <v/>
      </c>
      <c r="Y720" s="36" t="str">
        <f t="shared" si="43"/>
        <v/>
      </c>
      <c r="Z720" s="340" t="str">
        <f>IF(AND(C720&gt;0,D720&lt;&gt;"",S720=""),VLOOKUP(A720&amp;IF(H720="黑丝","黑","白")&amp;E720,经纬!A:M,13,FALSE)*(I720-AB720),"")</f>
        <v/>
      </c>
      <c r="AA720" s="340" t="str">
        <f>IF(AND(C720&gt;0,D720&lt;&gt;"",S720=""),VLOOKUP(A720&amp;IF(H720="黑丝","黑","白")&amp;E720,经纬!A:N,14,FALSE)*(I720-AB720),"")</f>
        <v/>
      </c>
    </row>
    <row r="721" spans="13:27">
      <c r="M721" s="24" t="str">
        <f t="array" ref="M721">LEFT(L721,MIN(FIND({"A","B","C"},MID(L721,2,LEN(L721))&amp;"ABC")))</f>
        <v/>
      </c>
      <c r="N721" s="24" t="str">
        <f t="array" ref="N721">SUBSTITUTE(L721,M721,"")</f>
        <v/>
      </c>
      <c r="X721" s="258" t="str">
        <f t="shared" si="42"/>
        <v/>
      </c>
      <c r="Y721" s="36" t="str">
        <f t="shared" si="43"/>
        <v/>
      </c>
      <c r="Z721" s="340" t="str">
        <f>IF(AND(C721&gt;0,D721&lt;&gt;"",S721=""),VLOOKUP(A721&amp;IF(H721="黑丝","黑","白")&amp;E721,经纬!A:M,13,FALSE)*(I721-AB721),"")</f>
        <v/>
      </c>
      <c r="AA721" s="340" t="str">
        <f>IF(AND(C721&gt;0,D721&lt;&gt;"",S721=""),VLOOKUP(A721&amp;IF(H721="黑丝","黑","白")&amp;E721,经纬!A:N,14,FALSE)*(I721-AB721),"")</f>
        <v/>
      </c>
    </row>
    <row r="722" spans="13:27">
      <c r="M722" s="24" t="str">
        <f t="array" ref="M722">LEFT(L722,MIN(FIND({"A","B","C"},MID(L722,2,LEN(L722))&amp;"ABC")))</f>
        <v/>
      </c>
      <c r="N722" s="24" t="str">
        <f t="array" ref="N722">SUBSTITUTE(L722,M722,"")</f>
        <v/>
      </c>
      <c r="X722" s="258" t="str">
        <f t="shared" si="42"/>
        <v/>
      </c>
      <c r="Y722" s="36" t="str">
        <f t="shared" si="43"/>
        <v/>
      </c>
      <c r="Z722" s="340" t="str">
        <f>IF(AND(C722&gt;0,D722&lt;&gt;"",S722=""),VLOOKUP(A722&amp;IF(H722="黑丝","黑","白")&amp;E722,经纬!A:M,13,FALSE)*(I722-AB722),"")</f>
        <v/>
      </c>
      <c r="AA722" s="340" t="str">
        <f>IF(AND(C722&gt;0,D722&lt;&gt;"",S722=""),VLOOKUP(A722&amp;IF(H722="黑丝","黑","白")&amp;E722,经纬!A:N,14,FALSE)*(I722-AB722),"")</f>
        <v/>
      </c>
    </row>
    <row r="723" spans="13:27">
      <c r="M723" s="24" t="str">
        <f t="array" ref="M723">LEFT(L723,MIN(FIND({"A","B","C"},MID(L723,2,LEN(L723))&amp;"ABC")))</f>
        <v/>
      </c>
      <c r="N723" s="24" t="str">
        <f t="array" ref="N723">SUBSTITUTE(L723,M723,"")</f>
        <v/>
      </c>
      <c r="X723" s="258" t="str">
        <f t="shared" si="42"/>
        <v/>
      </c>
      <c r="Y723" s="36" t="str">
        <f t="shared" si="43"/>
        <v/>
      </c>
      <c r="Z723" s="340" t="str">
        <f>IF(AND(C723&gt;0,D723&lt;&gt;"",S723=""),VLOOKUP(A723&amp;IF(H723="黑丝","黑","白")&amp;E723,经纬!A:M,13,FALSE)*(I723-AB723),"")</f>
        <v/>
      </c>
      <c r="AA723" s="340" t="str">
        <f>IF(AND(C723&gt;0,D723&lt;&gt;"",S723=""),VLOOKUP(A723&amp;IF(H723="黑丝","黑","白")&amp;E723,经纬!A:N,14,FALSE)*(I723-AB723),"")</f>
        <v/>
      </c>
    </row>
    <row r="724" spans="13:27">
      <c r="M724" s="24" t="str">
        <f t="array" ref="M724">LEFT(L724,MIN(FIND({"A","B","C"},MID(L724,2,LEN(L724))&amp;"ABC")))</f>
        <v/>
      </c>
      <c r="N724" s="24" t="str">
        <f t="array" ref="N724">SUBSTITUTE(L724,M724,"")</f>
        <v/>
      </c>
      <c r="X724" s="258" t="str">
        <f t="shared" si="42"/>
        <v/>
      </c>
      <c r="Y724" s="36" t="str">
        <f t="shared" si="43"/>
        <v/>
      </c>
      <c r="Z724" s="340" t="str">
        <f>IF(AND(C724&gt;0,D724&lt;&gt;"",S724=""),VLOOKUP(A724&amp;IF(H724="黑丝","黑","白")&amp;E724,经纬!A:M,13,FALSE)*(I724-AB724),"")</f>
        <v/>
      </c>
      <c r="AA724" s="340" t="str">
        <f>IF(AND(C724&gt;0,D724&lt;&gt;"",S724=""),VLOOKUP(A724&amp;IF(H724="黑丝","黑","白")&amp;E724,经纬!A:N,14,FALSE)*(I724-AB724),"")</f>
        <v/>
      </c>
    </row>
    <row r="725" spans="13:27">
      <c r="M725" s="24" t="str">
        <f t="array" ref="M725">LEFT(L725,MIN(FIND({"A","B","C"},MID(L725,2,LEN(L725))&amp;"ABC")))</f>
        <v/>
      </c>
      <c r="N725" s="24" t="str">
        <f t="array" ref="N725">SUBSTITUTE(L725,M725,"")</f>
        <v/>
      </c>
      <c r="X725" s="258" t="str">
        <f t="shared" si="42"/>
        <v/>
      </c>
      <c r="Y725" s="36" t="str">
        <f t="shared" si="43"/>
        <v/>
      </c>
      <c r="Z725" s="340" t="str">
        <f>IF(AND(C725&gt;0,D725&lt;&gt;"",S725=""),VLOOKUP(A725&amp;IF(H725="黑丝","黑","白")&amp;E725,经纬!A:M,13,FALSE)*(I725-AB725),"")</f>
        <v/>
      </c>
      <c r="AA725" s="340" t="str">
        <f>IF(AND(C725&gt;0,D725&lt;&gt;"",S725=""),VLOOKUP(A725&amp;IF(H725="黑丝","黑","白")&amp;E725,经纬!A:N,14,FALSE)*(I725-AB725),"")</f>
        <v/>
      </c>
    </row>
    <row r="726" spans="13:27">
      <c r="M726" s="24" t="str">
        <f t="array" ref="M726">LEFT(L726,MIN(FIND({"A","B","C"},MID(L726,2,LEN(L726))&amp;"ABC")))</f>
        <v/>
      </c>
      <c r="N726" s="24" t="str">
        <f t="array" ref="N726">SUBSTITUTE(L726,M726,"")</f>
        <v/>
      </c>
      <c r="X726" s="258" t="str">
        <f t="shared" si="42"/>
        <v/>
      </c>
      <c r="Y726" s="36" t="str">
        <f t="shared" si="43"/>
        <v/>
      </c>
      <c r="Z726" s="340" t="str">
        <f>IF(AND(C726&gt;0,D726&lt;&gt;"",S726=""),VLOOKUP(A726&amp;IF(H726="黑丝","黑","白")&amp;E726,经纬!A:M,13,FALSE)*(I726-AB726),"")</f>
        <v/>
      </c>
      <c r="AA726" s="340" t="str">
        <f>IF(AND(C726&gt;0,D726&lt;&gt;"",S726=""),VLOOKUP(A726&amp;IF(H726="黑丝","黑","白")&amp;E726,经纬!A:N,14,FALSE)*(I726-AB726),"")</f>
        <v/>
      </c>
    </row>
    <row r="727" spans="13:27">
      <c r="M727" s="24" t="str">
        <f t="array" ref="M727">LEFT(L727,MIN(FIND({"A","B","C"},MID(L727,2,LEN(L727))&amp;"ABC")))</f>
        <v/>
      </c>
      <c r="N727" s="24" t="str">
        <f t="array" ref="N727">SUBSTITUTE(L727,M727,"")</f>
        <v/>
      </c>
      <c r="X727" s="258" t="str">
        <f t="shared" si="42"/>
        <v/>
      </c>
      <c r="Y727" s="36" t="str">
        <f t="shared" si="43"/>
        <v/>
      </c>
      <c r="Z727" s="340" t="str">
        <f>IF(AND(C727&gt;0,D727&lt;&gt;"",S727=""),VLOOKUP(A727&amp;IF(H727="黑丝","黑","白")&amp;E727,经纬!A:M,13,FALSE)*(I727-AB727),"")</f>
        <v/>
      </c>
      <c r="AA727" s="340" t="str">
        <f>IF(AND(C727&gt;0,D727&lt;&gt;"",S727=""),VLOOKUP(A727&amp;IF(H727="黑丝","黑","白")&amp;E727,经纬!A:N,14,FALSE)*(I727-AB727),"")</f>
        <v/>
      </c>
    </row>
    <row r="728" spans="13:27">
      <c r="M728" s="24" t="str">
        <f t="array" ref="M728">LEFT(L728,MIN(FIND({"A","B","C"},MID(L728,2,LEN(L728))&amp;"ABC")))</f>
        <v/>
      </c>
      <c r="N728" s="24" t="str">
        <f t="array" ref="N728">SUBSTITUTE(L728,M728,"")</f>
        <v/>
      </c>
      <c r="X728" s="258" t="str">
        <f t="shared" si="42"/>
        <v/>
      </c>
      <c r="Y728" s="36" t="str">
        <f t="shared" si="43"/>
        <v/>
      </c>
      <c r="Z728" s="340" t="str">
        <f>IF(AND(C728&gt;0,D728&lt;&gt;"",S728=""),VLOOKUP(A728&amp;IF(H728="黑丝","黑","白")&amp;E728,经纬!A:M,13,FALSE)*(I728-AB728),"")</f>
        <v/>
      </c>
      <c r="AA728" s="340" t="str">
        <f>IF(AND(C728&gt;0,D728&lt;&gt;"",S728=""),VLOOKUP(A728&amp;IF(H728="黑丝","黑","白")&amp;E728,经纬!A:N,14,FALSE)*(I728-AB728),"")</f>
        <v/>
      </c>
    </row>
    <row r="729" spans="13:27">
      <c r="M729" s="24" t="str">
        <f t="array" ref="M729">LEFT(L729,MIN(FIND({"A","B","C"},MID(L729,2,LEN(L729))&amp;"ABC")))</f>
        <v/>
      </c>
      <c r="N729" s="24" t="str">
        <f t="array" ref="N729">SUBSTITUTE(L729,M729,"")</f>
        <v/>
      </c>
      <c r="X729" s="258" t="str">
        <f t="shared" si="42"/>
        <v/>
      </c>
      <c r="Y729" s="36" t="str">
        <f t="shared" si="43"/>
        <v/>
      </c>
      <c r="Z729" s="340" t="str">
        <f>IF(AND(C729&gt;0,D729&lt;&gt;"",S729=""),VLOOKUP(A729&amp;IF(H729="黑丝","黑","白")&amp;E729,经纬!A:M,13,FALSE)*(I729-AB729),"")</f>
        <v/>
      </c>
      <c r="AA729" s="340" t="str">
        <f>IF(AND(C729&gt;0,D729&lt;&gt;"",S729=""),VLOOKUP(A729&amp;IF(H729="黑丝","黑","白")&amp;E729,经纬!A:N,14,FALSE)*(I729-AB729),"")</f>
        <v/>
      </c>
    </row>
    <row r="730" spans="13:27">
      <c r="M730" s="24" t="str">
        <f t="array" ref="M730">LEFT(L730,MIN(FIND({"A","B","C"},MID(L730,2,LEN(L730))&amp;"ABC")))</f>
        <v/>
      </c>
      <c r="N730" s="24" t="str">
        <f t="array" ref="N730">SUBSTITUTE(L730,M730,"")</f>
        <v/>
      </c>
      <c r="X730" s="258" t="str">
        <f t="shared" si="42"/>
        <v/>
      </c>
      <c r="Y730" s="36" t="str">
        <f t="shared" si="43"/>
        <v/>
      </c>
      <c r="Z730" s="340" t="str">
        <f>IF(AND(C730&gt;0,D730&lt;&gt;"",S730=""),VLOOKUP(A730&amp;IF(H730="黑丝","黑","白")&amp;E730,经纬!A:M,13,FALSE)*(I730-AB730),"")</f>
        <v/>
      </c>
      <c r="AA730" s="340" t="str">
        <f>IF(AND(C730&gt;0,D730&lt;&gt;"",S730=""),VLOOKUP(A730&amp;IF(H730="黑丝","黑","白")&amp;E730,经纬!A:N,14,FALSE)*(I730-AB730),"")</f>
        <v/>
      </c>
    </row>
    <row r="731" spans="13:27">
      <c r="M731" s="24" t="str">
        <f t="array" ref="M731">LEFT(L731,MIN(FIND({"A","B","C"},MID(L731,2,LEN(L731))&amp;"ABC")))</f>
        <v/>
      </c>
      <c r="N731" s="24" t="str">
        <f t="array" ref="N731">SUBSTITUTE(L731,M731,"")</f>
        <v/>
      </c>
      <c r="X731" s="258" t="str">
        <f t="shared" si="42"/>
        <v/>
      </c>
      <c r="Y731" s="36" t="str">
        <f t="shared" si="43"/>
        <v/>
      </c>
      <c r="Z731" s="340" t="str">
        <f>IF(AND(C731&gt;0,D731&lt;&gt;"",S731=""),VLOOKUP(A731&amp;IF(H731="黑丝","黑","白")&amp;E731,经纬!A:M,13,FALSE)*(I731-AB731),"")</f>
        <v/>
      </c>
      <c r="AA731" s="340" t="str">
        <f>IF(AND(C731&gt;0,D731&lt;&gt;"",S731=""),VLOOKUP(A731&amp;IF(H731="黑丝","黑","白")&amp;E731,经纬!A:N,14,FALSE)*(I731-AB731),"")</f>
        <v/>
      </c>
    </row>
    <row r="732" spans="13:27">
      <c r="M732" s="24" t="str">
        <f t="array" ref="M732">LEFT(L732,MIN(FIND({"A","B","C"},MID(L732,2,LEN(L732))&amp;"ABC")))</f>
        <v/>
      </c>
      <c r="N732" s="24" t="str">
        <f t="array" ref="N732">SUBSTITUTE(L732,M732,"")</f>
        <v/>
      </c>
      <c r="X732" s="258" t="str">
        <f t="shared" ref="X732:X795" si="44">IF(B732="","",IF(S732&lt;&gt;"","",IF(AND(Z732&lt;&gt;"",AA732&lt;&gt;""),SUM(Z732:AA732),IF(AB732&lt;&gt;"",(I732/((1/((G732+2)/100*K732/1000))*0.9144)/IF(H732="黑丝",22,20)-AB732)*(IF(H732="黑丝",22,20)),I732/((1/((G732+2)/100*K732/1000))*0.9144)))))</f>
        <v/>
      </c>
      <c r="Y732" s="36" t="str">
        <f t="shared" si="43"/>
        <v/>
      </c>
      <c r="Z732" s="340" t="str">
        <f>IF(AND(C732&gt;0,D732&lt;&gt;"",S732=""),VLOOKUP(A732&amp;IF(H732="黑丝","黑","白")&amp;E732,经纬!A:M,13,FALSE)*(I732-AB732),"")</f>
        <v/>
      </c>
      <c r="AA732" s="340" t="str">
        <f>IF(AND(C732&gt;0,D732&lt;&gt;"",S732=""),VLOOKUP(A732&amp;IF(H732="黑丝","黑","白")&amp;E732,经纬!A:N,14,FALSE)*(I732-AB732),"")</f>
        <v/>
      </c>
    </row>
    <row r="733" spans="13:27">
      <c r="M733" s="24" t="str">
        <f t="array" ref="M733">LEFT(L733,MIN(FIND({"A","B","C"},MID(L733,2,LEN(L733))&amp;"ABC")))</f>
        <v/>
      </c>
      <c r="N733" s="24" t="str">
        <f t="array" ref="N733">SUBSTITUTE(L733,M733,"")</f>
        <v/>
      </c>
      <c r="X733" s="258" t="str">
        <f t="shared" si="44"/>
        <v/>
      </c>
      <c r="Y733" s="36" t="str">
        <f t="shared" si="43"/>
        <v/>
      </c>
      <c r="Z733" s="340" t="str">
        <f>IF(AND(C733&gt;0,D733&lt;&gt;"",S733=""),VLOOKUP(A733&amp;IF(H733="黑丝","黑","白")&amp;E733,经纬!A:M,13,FALSE)*(I733-AB733),"")</f>
        <v/>
      </c>
      <c r="AA733" s="340" t="str">
        <f>IF(AND(C733&gt;0,D733&lt;&gt;"",S733=""),VLOOKUP(A733&amp;IF(H733="黑丝","黑","白")&amp;E733,经纬!A:N,14,FALSE)*(I733-AB733),"")</f>
        <v/>
      </c>
    </row>
    <row r="734" spans="13:27">
      <c r="M734" s="24" t="str">
        <f t="array" ref="M734">LEFT(L734,MIN(FIND({"A","B","C"},MID(L734,2,LEN(L734))&amp;"ABC")))</f>
        <v/>
      </c>
      <c r="N734" s="24" t="str">
        <f t="array" ref="N734">SUBSTITUTE(L734,M734,"")</f>
        <v/>
      </c>
      <c r="X734" s="258" t="str">
        <f t="shared" si="44"/>
        <v/>
      </c>
      <c r="Y734" s="36" t="str">
        <f t="shared" si="43"/>
        <v/>
      </c>
      <c r="Z734" s="340" t="str">
        <f>IF(AND(C734&gt;0,D734&lt;&gt;"",S734=""),VLOOKUP(A734&amp;IF(H734="黑丝","黑","白")&amp;E734,经纬!A:M,13,FALSE)*(I734-AB734),"")</f>
        <v/>
      </c>
      <c r="AA734" s="340" t="str">
        <f>IF(AND(C734&gt;0,D734&lt;&gt;"",S734=""),VLOOKUP(A734&amp;IF(H734="黑丝","黑","白")&amp;E734,经纬!A:N,14,FALSE)*(I734-AB734),"")</f>
        <v/>
      </c>
    </row>
    <row r="735" spans="13:27">
      <c r="M735" s="24" t="str">
        <f t="array" ref="M735">LEFT(L735,MIN(FIND({"A","B","C"},MID(L735,2,LEN(L735))&amp;"ABC")))</f>
        <v/>
      </c>
      <c r="N735" s="24" t="str">
        <f t="array" ref="N735">SUBSTITUTE(L735,M735,"")</f>
        <v/>
      </c>
      <c r="X735" s="258" t="str">
        <f t="shared" si="44"/>
        <v/>
      </c>
      <c r="Y735" s="36" t="str">
        <f t="shared" si="43"/>
        <v/>
      </c>
      <c r="Z735" s="340" t="str">
        <f>IF(AND(C735&gt;0,D735&lt;&gt;"",S735=""),VLOOKUP(A735&amp;IF(H735="黑丝","黑","白")&amp;E735,经纬!A:M,13,FALSE)*(I735-AB735),"")</f>
        <v/>
      </c>
      <c r="AA735" s="340" t="str">
        <f>IF(AND(C735&gt;0,D735&lt;&gt;"",S735=""),VLOOKUP(A735&amp;IF(H735="黑丝","黑","白")&amp;E735,经纬!A:N,14,FALSE)*(I735-AB735),"")</f>
        <v/>
      </c>
    </row>
    <row r="736" spans="13:27">
      <c r="M736" s="24" t="str">
        <f t="array" ref="M736">LEFT(L736,MIN(FIND({"A","B","C"},MID(L736,2,LEN(L736))&amp;"ABC")))</f>
        <v/>
      </c>
      <c r="N736" s="24" t="str">
        <f t="array" ref="N736">SUBSTITUTE(L736,M736,"")</f>
        <v/>
      </c>
      <c r="X736" s="258" t="str">
        <f t="shared" si="44"/>
        <v/>
      </c>
      <c r="Y736" s="36" t="str">
        <f t="shared" si="43"/>
        <v/>
      </c>
      <c r="Z736" s="340" t="str">
        <f>IF(AND(C736&gt;0,D736&lt;&gt;"",S736=""),VLOOKUP(A736&amp;IF(H736="黑丝","黑","白")&amp;E736,经纬!A:M,13,FALSE)*(I736-AB736),"")</f>
        <v/>
      </c>
      <c r="AA736" s="340" t="str">
        <f>IF(AND(C736&gt;0,D736&lt;&gt;"",S736=""),VLOOKUP(A736&amp;IF(H736="黑丝","黑","白")&amp;E736,经纬!A:N,14,FALSE)*(I736-AB736),"")</f>
        <v/>
      </c>
    </row>
    <row r="737" spans="13:27">
      <c r="M737" s="24" t="str">
        <f t="array" ref="M737">LEFT(L737,MIN(FIND({"A","B","C"},MID(L737,2,LEN(L737))&amp;"ABC")))</f>
        <v/>
      </c>
      <c r="N737" s="24" t="str">
        <f t="array" ref="N737">SUBSTITUTE(L737,M737,"")</f>
        <v/>
      </c>
      <c r="X737" s="258" t="str">
        <f t="shared" si="44"/>
        <v/>
      </c>
      <c r="Y737" s="36" t="str">
        <f t="shared" si="43"/>
        <v/>
      </c>
      <c r="Z737" s="340" t="str">
        <f>IF(AND(C737&gt;0,D737&lt;&gt;"",S737=""),VLOOKUP(A737&amp;IF(H737="黑丝","黑","白")&amp;E737,经纬!A:M,13,FALSE)*(I737-AB737),"")</f>
        <v/>
      </c>
      <c r="AA737" s="340" t="str">
        <f>IF(AND(C737&gt;0,D737&lt;&gt;"",S737=""),VLOOKUP(A737&amp;IF(H737="黑丝","黑","白")&amp;E737,经纬!A:N,14,FALSE)*(I737-AB737),"")</f>
        <v/>
      </c>
    </row>
    <row r="738" spans="13:27">
      <c r="M738" s="24" t="str">
        <f t="array" ref="M738">LEFT(L738,MIN(FIND({"A","B","C"},MID(L738,2,LEN(L738))&amp;"ABC")))</f>
        <v/>
      </c>
      <c r="N738" s="24" t="str">
        <f t="array" ref="N738">SUBSTITUTE(L738,M738,"")</f>
        <v/>
      </c>
      <c r="X738" s="258" t="str">
        <f t="shared" si="44"/>
        <v/>
      </c>
      <c r="Y738" s="36" t="str">
        <f t="shared" si="43"/>
        <v/>
      </c>
      <c r="Z738" s="340" t="str">
        <f>IF(AND(C738&gt;0,D738&lt;&gt;"",S738=""),VLOOKUP(A738&amp;IF(H738="黑丝","黑","白")&amp;E738,经纬!A:M,13,FALSE)*(I738-AB738),"")</f>
        <v/>
      </c>
      <c r="AA738" s="340" t="str">
        <f>IF(AND(C738&gt;0,D738&lt;&gt;"",S738=""),VLOOKUP(A738&amp;IF(H738="黑丝","黑","白")&amp;E738,经纬!A:N,14,FALSE)*(I738-AB738),"")</f>
        <v/>
      </c>
    </row>
    <row r="739" spans="13:27">
      <c r="M739" s="24" t="str">
        <f t="array" ref="M739">LEFT(L739,MIN(FIND({"A","B","C"},MID(L739,2,LEN(L739))&amp;"ABC")))</f>
        <v/>
      </c>
      <c r="N739" s="24" t="str">
        <f t="array" ref="N739">SUBSTITUTE(L739,M739,"")</f>
        <v/>
      </c>
      <c r="X739" s="258" t="str">
        <f t="shared" si="44"/>
        <v/>
      </c>
      <c r="Y739" s="36" t="str">
        <f t="shared" si="43"/>
        <v/>
      </c>
      <c r="Z739" s="340" t="str">
        <f>IF(AND(C739&gt;0,D739&lt;&gt;"",S739=""),VLOOKUP(A739&amp;IF(H739="黑丝","黑","白")&amp;E739,经纬!A:M,13,FALSE)*(I739-AB739),"")</f>
        <v/>
      </c>
      <c r="AA739" s="340" t="str">
        <f>IF(AND(C739&gt;0,D739&lt;&gt;"",S739=""),VLOOKUP(A739&amp;IF(H739="黑丝","黑","白")&amp;E739,经纬!A:N,14,FALSE)*(I739-AB739),"")</f>
        <v/>
      </c>
    </row>
    <row r="740" spans="13:27">
      <c r="M740" s="24" t="str">
        <f t="array" ref="M740">LEFT(L740,MIN(FIND({"A","B","C"},MID(L740,2,LEN(L740))&amp;"ABC")))</f>
        <v/>
      </c>
      <c r="N740" s="24" t="str">
        <f t="array" ref="N740">SUBSTITUTE(L740,M740,"")</f>
        <v/>
      </c>
      <c r="X740" s="258" t="str">
        <f t="shared" si="44"/>
        <v/>
      </c>
      <c r="Y740" s="36" t="str">
        <f t="shared" si="43"/>
        <v/>
      </c>
      <c r="Z740" s="340" t="str">
        <f>IF(AND(C740&gt;0,D740&lt;&gt;"",S740=""),VLOOKUP(A740&amp;IF(H740="黑丝","黑","白")&amp;E740,经纬!A:M,13,FALSE)*(I740-AB740),"")</f>
        <v/>
      </c>
      <c r="AA740" s="340" t="str">
        <f>IF(AND(C740&gt;0,D740&lt;&gt;"",S740=""),VLOOKUP(A740&amp;IF(H740="黑丝","黑","白")&amp;E740,经纬!A:N,14,FALSE)*(I740-AB740),"")</f>
        <v/>
      </c>
    </row>
    <row r="741" spans="13:27">
      <c r="M741" s="24" t="str">
        <f t="array" ref="M741">LEFT(L741,MIN(FIND({"A","B","C"},MID(L741,2,LEN(L741))&amp;"ABC")))</f>
        <v/>
      </c>
      <c r="N741" s="24" t="str">
        <f t="array" ref="N741">SUBSTITUTE(L741,M741,"")</f>
        <v/>
      </c>
      <c r="X741" s="258" t="str">
        <f t="shared" si="44"/>
        <v/>
      </c>
      <c r="Y741" s="36" t="str">
        <f t="shared" si="43"/>
        <v/>
      </c>
      <c r="Z741" s="340" t="str">
        <f>IF(AND(C741&gt;0,D741&lt;&gt;"",S741=""),VLOOKUP(A741&amp;IF(H741="黑丝","黑","白")&amp;E741,经纬!A:M,13,FALSE)*(I741-AB741),"")</f>
        <v/>
      </c>
      <c r="AA741" s="340" t="str">
        <f>IF(AND(C741&gt;0,D741&lt;&gt;"",S741=""),VLOOKUP(A741&amp;IF(H741="黑丝","黑","白")&amp;E741,经纬!A:N,14,FALSE)*(I741-AB741),"")</f>
        <v/>
      </c>
    </row>
    <row r="742" spans="13:27">
      <c r="M742" s="24" t="str">
        <f t="array" ref="M742">LEFT(L742,MIN(FIND({"A","B","C"},MID(L742,2,LEN(L742))&amp;"ABC")))</f>
        <v/>
      </c>
      <c r="N742" s="24" t="str">
        <f t="array" ref="N742">SUBSTITUTE(L742,M742,"")</f>
        <v/>
      </c>
      <c r="X742" s="258" t="str">
        <f t="shared" si="44"/>
        <v/>
      </c>
      <c r="Y742" s="36" t="str">
        <f t="shared" si="43"/>
        <v/>
      </c>
      <c r="Z742" s="340" t="str">
        <f>IF(AND(C742&gt;0,D742&lt;&gt;"",S742=""),VLOOKUP(A742&amp;IF(H742="黑丝","黑","白")&amp;E742,经纬!A:M,13,FALSE)*(I742-AB742),"")</f>
        <v/>
      </c>
      <c r="AA742" s="340" t="str">
        <f>IF(AND(C742&gt;0,D742&lt;&gt;"",S742=""),VLOOKUP(A742&amp;IF(H742="黑丝","黑","白")&amp;E742,经纬!A:N,14,FALSE)*(I742-AB742),"")</f>
        <v/>
      </c>
    </row>
    <row r="743" spans="13:27">
      <c r="M743" s="24" t="str">
        <f t="array" ref="M743">LEFT(L743,MIN(FIND({"A","B","C"},MID(L743,2,LEN(L743))&amp;"ABC")))</f>
        <v/>
      </c>
      <c r="N743" s="24" t="str">
        <f t="array" ref="N743">SUBSTITUTE(L743,M743,"")</f>
        <v/>
      </c>
      <c r="X743" s="258" t="str">
        <f t="shared" si="44"/>
        <v/>
      </c>
      <c r="Y743" s="36" t="str">
        <f t="shared" si="43"/>
        <v/>
      </c>
      <c r="Z743" s="340" t="str">
        <f>IF(AND(C743&gt;0,D743&lt;&gt;"",S743=""),VLOOKUP(A743&amp;IF(H743="黑丝","黑","白")&amp;E743,经纬!A:M,13,FALSE)*(I743-AB743),"")</f>
        <v/>
      </c>
      <c r="AA743" s="340" t="str">
        <f>IF(AND(C743&gt;0,D743&lt;&gt;"",S743=""),VLOOKUP(A743&amp;IF(H743="黑丝","黑","白")&amp;E743,经纬!A:N,14,FALSE)*(I743-AB743),"")</f>
        <v/>
      </c>
    </row>
    <row r="744" spans="13:27">
      <c r="M744" s="24" t="str">
        <f t="array" ref="M744">LEFT(L744,MIN(FIND({"A","B","C"},MID(L744,2,LEN(L744))&amp;"ABC")))</f>
        <v/>
      </c>
      <c r="N744" s="24" t="str">
        <f t="array" ref="N744">SUBSTITUTE(L744,M744,"")</f>
        <v/>
      </c>
      <c r="X744" s="258" t="str">
        <f t="shared" si="44"/>
        <v/>
      </c>
      <c r="Y744" s="36" t="str">
        <f t="shared" si="43"/>
        <v/>
      </c>
      <c r="Z744" s="340" t="str">
        <f>IF(AND(C744&gt;0,D744&lt;&gt;"",S744=""),VLOOKUP(A744&amp;IF(H744="黑丝","黑","白")&amp;E744,经纬!A:M,13,FALSE)*(I744-AB744),"")</f>
        <v/>
      </c>
      <c r="AA744" s="340" t="str">
        <f>IF(AND(C744&gt;0,D744&lt;&gt;"",S744=""),VLOOKUP(A744&amp;IF(H744="黑丝","黑","白")&amp;E744,经纬!A:N,14,FALSE)*(I744-AB744),"")</f>
        <v/>
      </c>
    </row>
    <row r="745" spans="13:27">
      <c r="M745" s="24" t="str">
        <f t="array" ref="M745">LEFT(L745,MIN(FIND({"A","B","C"},MID(L745,2,LEN(L745))&amp;"ABC")))</f>
        <v/>
      </c>
      <c r="N745" s="24" t="str">
        <f t="array" ref="N745">SUBSTITUTE(L745,M745,"")</f>
        <v/>
      </c>
      <c r="X745" s="258" t="str">
        <f t="shared" si="44"/>
        <v/>
      </c>
      <c r="Y745" s="36" t="str">
        <f t="shared" ref="Y745:Y808" si="45">IF(OR(B745="",D745&lt;&gt;""),"",IF(S745&lt;&gt;"","",I745/((1/((G745+2)/100*K745/1000))*0.9144)/IF(H745="黑丝",22,20)-AB745))</f>
        <v/>
      </c>
      <c r="Z745" s="340" t="str">
        <f>IF(AND(C745&gt;0,D745&lt;&gt;"",S745=""),VLOOKUP(A745&amp;IF(H745="黑丝","黑","白")&amp;E745,经纬!A:M,13,FALSE)*(I745-AB745),"")</f>
        <v/>
      </c>
      <c r="AA745" s="340" t="str">
        <f>IF(AND(C745&gt;0,D745&lt;&gt;"",S745=""),VLOOKUP(A745&amp;IF(H745="黑丝","黑","白")&amp;E745,经纬!A:N,14,FALSE)*(I745-AB745),"")</f>
        <v/>
      </c>
    </row>
    <row r="746" spans="13:27">
      <c r="M746" s="24" t="str">
        <f t="array" ref="M746">LEFT(L746,MIN(FIND({"A","B","C"},MID(L746,2,LEN(L746))&amp;"ABC")))</f>
        <v/>
      </c>
      <c r="N746" s="24" t="str">
        <f t="array" ref="N746">SUBSTITUTE(L746,M746,"")</f>
        <v/>
      </c>
      <c r="X746" s="258" t="str">
        <f t="shared" si="44"/>
        <v/>
      </c>
      <c r="Y746" s="36" t="str">
        <f t="shared" si="45"/>
        <v/>
      </c>
      <c r="Z746" s="340" t="str">
        <f>IF(AND(C746&gt;0,D746&lt;&gt;"",S746=""),VLOOKUP(A746&amp;IF(H746="黑丝","黑","白")&amp;E746,经纬!A:M,13,FALSE)*(I746-AB746),"")</f>
        <v/>
      </c>
      <c r="AA746" s="340" t="str">
        <f>IF(AND(C746&gt;0,D746&lt;&gt;"",S746=""),VLOOKUP(A746&amp;IF(H746="黑丝","黑","白")&amp;E746,经纬!A:N,14,FALSE)*(I746-AB746),"")</f>
        <v/>
      </c>
    </row>
    <row r="747" spans="13:27">
      <c r="M747" s="24" t="str">
        <f t="array" ref="M747">LEFT(L747,MIN(FIND({"A","B","C"},MID(L747,2,LEN(L747))&amp;"ABC")))</f>
        <v/>
      </c>
      <c r="N747" s="24" t="str">
        <f t="array" ref="N747">SUBSTITUTE(L747,M747,"")</f>
        <v/>
      </c>
      <c r="X747" s="258" t="str">
        <f t="shared" si="44"/>
        <v/>
      </c>
      <c r="Y747" s="36" t="str">
        <f t="shared" si="45"/>
        <v/>
      </c>
      <c r="Z747" s="340" t="str">
        <f>IF(AND(C747&gt;0,D747&lt;&gt;"",S747=""),VLOOKUP(A747&amp;IF(H747="黑丝","黑","白")&amp;E747,经纬!A:M,13,FALSE)*(I747-AB747),"")</f>
        <v/>
      </c>
      <c r="AA747" s="340" t="str">
        <f>IF(AND(C747&gt;0,D747&lt;&gt;"",S747=""),VLOOKUP(A747&amp;IF(H747="黑丝","黑","白")&amp;E747,经纬!A:N,14,FALSE)*(I747-AB747),"")</f>
        <v/>
      </c>
    </row>
    <row r="748" spans="13:27">
      <c r="M748" s="24" t="str">
        <f t="array" ref="M748">LEFT(L748,MIN(FIND({"A","B","C"},MID(L748,2,LEN(L748))&amp;"ABC")))</f>
        <v/>
      </c>
      <c r="N748" s="24" t="str">
        <f t="array" ref="N748">SUBSTITUTE(L748,M748,"")</f>
        <v/>
      </c>
      <c r="X748" s="258" t="str">
        <f t="shared" si="44"/>
        <v/>
      </c>
      <c r="Y748" s="36" t="str">
        <f t="shared" si="45"/>
        <v/>
      </c>
      <c r="Z748" s="340" t="str">
        <f>IF(AND(C748&gt;0,D748&lt;&gt;"",S748=""),VLOOKUP(A748&amp;IF(H748="黑丝","黑","白")&amp;E748,经纬!A:M,13,FALSE)*(I748-AB748),"")</f>
        <v/>
      </c>
      <c r="AA748" s="340" t="str">
        <f>IF(AND(C748&gt;0,D748&lt;&gt;"",S748=""),VLOOKUP(A748&amp;IF(H748="黑丝","黑","白")&amp;E748,经纬!A:N,14,FALSE)*(I748-AB748),"")</f>
        <v/>
      </c>
    </row>
    <row r="749" spans="13:27">
      <c r="M749" s="24" t="str">
        <f t="array" ref="M749">LEFT(L749,MIN(FIND({"A","B","C"},MID(L749,2,LEN(L749))&amp;"ABC")))</f>
        <v/>
      </c>
      <c r="N749" s="24" t="str">
        <f t="array" ref="N749">SUBSTITUTE(L749,M749,"")</f>
        <v/>
      </c>
      <c r="X749" s="258" t="str">
        <f t="shared" si="44"/>
        <v/>
      </c>
      <c r="Y749" s="36" t="str">
        <f t="shared" si="45"/>
        <v/>
      </c>
      <c r="Z749" s="340" t="str">
        <f>IF(AND(C749&gt;0,D749&lt;&gt;"",S749=""),VLOOKUP(A749&amp;IF(H749="黑丝","黑","白")&amp;E749,经纬!A:M,13,FALSE)*(I749-AB749),"")</f>
        <v/>
      </c>
      <c r="AA749" s="340" t="str">
        <f>IF(AND(C749&gt;0,D749&lt;&gt;"",S749=""),VLOOKUP(A749&amp;IF(H749="黑丝","黑","白")&amp;E749,经纬!A:N,14,FALSE)*(I749-AB749),"")</f>
        <v/>
      </c>
    </row>
    <row r="750" spans="13:27">
      <c r="M750" s="24" t="str">
        <f t="array" ref="M750">LEFT(L750,MIN(FIND({"A","B","C"},MID(L750,2,LEN(L750))&amp;"ABC")))</f>
        <v/>
      </c>
      <c r="N750" s="24" t="str">
        <f t="array" ref="N750">SUBSTITUTE(L750,M750,"")</f>
        <v/>
      </c>
      <c r="X750" s="258" t="str">
        <f t="shared" si="44"/>
        <v/>
      </c>
      <c r="Y750" s="36" t="str">
        <f t="shared" si="45"/>
        <v/>
      </c>
      <c r="Z750" s="340" t="str">
        <f>IF(AND(C750&gt;0,D750&lt;&gt;"",S750=""),VLOOKUP(A750&amp;IF(H750="黑丝","黑","白")&amp;E750,经纬!A:M,13,FALSE)*(I750-AB750),"")</f>
        <v/>
      </c>
      <c r="AA750" s="340" t="str">
        <f>IF(AND(C750&gt;0,D750&lt;&gt;"",S750=""),VLOOKUP(A750&amp;IF(H750="黑丝","黑","白")&amp;E750,经纬!A:N,14,FALSE)*(I750-AB750),"")</f>
        <v/>
      </c>
    </row>
    <row r="751" spans="13:27">
      <c r="M751" s="24" t="str">
        <f t="array" ref="M751">LEFT(L751,MIN(FIND({"A","B","C"},MID(L751,2,LEN(L751))&amp;"ABC")))</f>
        <v/>
      </c>
      <c r="N751" s="24" t="str">
        <f t="array" ref="N751">SUBSTITUTE(L751,M751,"")</f>
        <v/>
      </c>
      <c r="X751" s="258" t="str">
        <f t="shared" si="44"/>
        <v/>
      </c>
      <c r="Y751" s="36" t="str">
        <f t="shared" si="45"/>
        <v/>
      </c>
      <c r="Z751" s="340" t="str">
        <f>IF(AND(C751&gt;0,D751&lt;&gt;"",S751=""),VLOOKUP(A751&amp;IF(H751="黑丝","黑","白")&amp;E751,经纬!A:M,13,FALSE)*(I751-AB751),"")</f>
        <v/>
      </c>
      <c r="AA751" s="340" t="str">
        <f>IF(AND(C751&gt;0,D751&lt;&gt;"",S751=""),VLOOKUP(A751&amp;IF(H751="黑丝","黑","白")&amp;E751,经纬!A:N,14,FALSE)*(I751-AB751),"")</f>
        <v/>
      </c>
    </row>
    <row r="752" spans="13:27">
      <c r="M752" s="24" t="str">
        <f t="array" ref="M752">LEFT(L752,MIN(FIND({"A","B","C"},MID(L752,2,LEN(L752))&amp;"ABC")))</f>
        <v/>
      </c>
      <c r="N752" s="24" t="str">
        <f t="array" ref="N752">SUBSTITUTE(L752,M752,"")</f>
        <v/>
      </c>
      <c r="X752" s="258" t="str">
        <f t="shared" si="44"/>
        <v/>
      </c>
      <c r="Y752" s="36" t="str">
        <f t="shared" si="45"/>
        <v/>
      </c>
      <c r="Z752" s="340" t="str">
        <f>IF(AND(C752&gt;0,D752&lt;&gt;"",S752=""),VLOOKUP(A752&amp;IF(H752="黑丝","黑","白")&amp;E752,经纬!A:M,13,FALSE)*(I752-AB752),"")</f>
        <v/>
      </c>
      <c r="AA752" s="340" t="str">
        <f>IF(AND(C752&gt;0,D752&lt;&gt;"",S752=""),VLOOKUP(A752&amp;IF(H752="黑丝","黑","白")&amp;E752,经纬!A:N,14,FALSE)*(I752-AB752),"")</f>
        <v/>
      </c>
    </row>
    <row r="753" spans="13:27">
      <c r="M753" s="24" t="str">
        <f t="array" ref="M753">LEFT(L753,MIN(FIND({"A","B","C"},MID(L753,2,LEN(L753))&amp;"ABC")))</f>
        <v/>
      </c>
      <c r="N753" s="24" t="str">
        <f t="array" ref="N753">SUBSTITUTE(L753,M753,"")</f>
        <v/>
      </c>
      <c r="X753" s="258" t="str">
        <f t="shared" si="44"/>
        <v/>
      </c>
      <c r="Y753" s="36" t="str">
        <f t="shared" si="45"/>
        <v/>
      </c>
      <c r="Z753" s="340" t="str">
        <f>IF(AND(C753&gt;0,D753&lt;&gt;"",S753=""),VLOOKUP(A753&amp;IF(H753="黑丝","黑","白")&amp;E753,经纬!A:M,13,FALSE)*(I753-AB753),"")</f>
        <v/>
      </c>
      <c r="AA753" s="340" t="str">
        <f>IF(AND(C753&gt;0,D753&lt;&gt;"",S753=""),VLOOKUP(A753&amp;IF(H753="黑丝","黑","白")&amp;E753,经纬!A:N,14,FALSE)*(I753-AB753),"")</f>
        <v/>
      </c>
    </row>
    <row r="754" spans="13:27">
      <c r="M754" s="24" t="str">
        <f t="array" ref="M754">LEFT(L754,MIN(FIND({"A","B","C"},MID(L754,2,LEN(L754))&amp;"ABC")))</f>
        <v/>
      </c>
      <c r="N754" s="24" t="str">
        <f t="array" ref="N754">SUBSTITUTE(L754,M754,"")</f>
        <v/>
      </c>
      <c r="X754" s="258" t="str">
        <f t="shared" si="44"/>
        <v/>
      </c>
      <c r="Y754" s="36" t="str">
        <f t="shared" si="45"/>
        <v/>
      </c>
      <c r="Z754" s="340" t="str">
        <f>IF(AND(C754&gt;0,D754&lt;&gt;"",S754=""),VLOOKUP(A754&amp;IF(H754="黑丝","黑","白")&amp;E754,经纬!A:M,13,FALSE)*(I754-AB754),"")</f>
        <v/>
      </c>
      <c r="AA754" s="340" t="str">
        <f>IF(AND(C754&gt;0,D754&lt;&gt;"",S754=""),VLOOKUP(A754&amp;IF(H754="黑丝","黑","白")&amp;E754,经纬!A:N,14,FALSE)*(I754-AB754),"")</f>
        <v/>
      </c>
    </row>
    <row r="755" spans="13:27">
      <c r="M755" s="24" t="str">
        <f t="array" ref="M755">LEFT(L755,MIN(FIND({"A","B","C"},MID(L755,2,LEN(L755))&amp;"ABC")))</f>
        <v/>
      </c>
      <c r="N755" s="24" t="str">
        <f t="array" ref="N755">SUBSTITUTE(L755,M755,"")</f>
        <v/>
      </c>
      <c r="X755" s="258" t="str">
        <f t="shared" si="44"/>
        <v/>
      </c>
      <c r="Y755" s="36" t="str">
        <f t="shared" si="45"/>
        <v/>
      </c>
      <c r="Z755" s="340" t="str">
        <f>IF(AND(C755&gt;0,D755&lt;&gt;"",S755=""),VLOOKUP(A755&amp;IF(H755="黑丝","黑","白")&amp;E755,经纬!A:M,13,FALSE)*(I755-AB755),"")</f>
        <v/>
      </c>
      <c r="AA755" s="340" t="str">
        <f>IF(AND(C755&gt;0,D755&lt;&gt;"",S755=""),VLOOKUP(A755&amp;IF(H755="黑丝","黑","白")&amp;E755,经纬!A:N,14,FALSE)*(I755-AB755),"")</f>
        <v/>
      </c>
    </row>
    <row r="756" spans="13:27">
      <c r="M756" s="24" t="str">
        <f t="array" ref="M756">LEFT(L756,MIN(FIND({"A","B","C"},MID(L756,2,LEN(L756))&amp;"ABC")))</f>
        <v/>
      </c>
      <c r="N756" s="24" t="str">
        <f t="array" ref="N756">SUBSTITUTE(L756,M756,"")</f>
        <v/>
      </c>
      <c r="X756" s="258" t="str">
        <f t="shared" si="44"/>
        <v/>
      </c>
      <c r="Y756" s="36" t="str">
        <f t="shared" si="45"/>
        <v/>
      </c>
      <c r="Z756" s="340" t="str">
        <f>IF(AND(C756&gt;0,D756&lt;&gt;"",S756=""),VLOOKUP(A756&amp;IF(H756="黑丝","黑","白")&amp;E756,经纬!A:M,13,FALSE)*(I756-AB756),"")</f>
        <v/>
      </c>
      <c r="AA756" s="340" t="str">
        <f>IF(AND(C756&gt;0,D756&lt;&gt;"",S756=""),VLOOKUP(A756&amp;IF(H756="黑丝","黑","白")&amp;E756,经纬!A:N,14,FALSE)*(I756-AB756),"")</f>
        <v/>
      </c>
    </row>
    <row r="757" spans="13:27">
      <c r="M757" s="24" t="str">
        <f t="array" ref="M757">LEFT(L757,MIN(FIND({"A","B","C"},MID(L757,2,LEN(L757))&amp;"ABC")))</f>
        <v/>
      </c>
      <c r="N757" s="24" t="str">
        <f t="array" ref="N757">SUBSTITUTE(L757,M757,"")</f>
        <v/>
      </c>
      <c r="X757" s="258" t="str">
        <f t="shared" si="44"/>
        <v/>
      </c>
      <c r="Y757" s="36" t="str">
        <f t="shared" si="45"/>
        <v/>
      </c>
      <c r="Z757" s="340" t="str">
        <f>IF(AND(C757&gt;0,D757&lt;&gt;"",S757=""),VLOOKUP(A757&amp;IF(H757="黑丝","黑","白")&amp;E757,经纬!A:M,13,FALSE)*(I757-AB757),"")</f>
        <v/>
      </c>
      <c r="AA757" s="340" t="str">
        <f>IF(AND(C757&gt;0,D757&lt;&gt;"",S757=""),VLOOKUP(A757&amp;IF(H757="黑丝","黑","白")&amp;E757,经纬!A:N,14,FALSE)*(I757-AB757),"")</f>
        <v/>
      </c>
    </row>
    <row r="758" spans="13:27">
      <c r="M758" s="24" t="str">
        <f t="array" ref="M758">LEFT(L758,MIN(FIND({"A","B","C"},MID(L758,2,LEN(L758))&amp;"ABC")))</f>
        <v/>
      </c>
      <c r="N758" s="24" t="str">
        <f t="array" ref="N758">SUBSTITUTE(L758,M758,"")</f>
        <v/>
      </c>
      <c r="X758" s="258" t="str">
        <f t="shared" si="44"/>
        <v/>
      </c>
      <c r="Y758" s="36" t="str">
        <f t="shared" si="45"/>
        <v/>
      </c>
      <c r="Z758" s="340" t="str">
        <f>IF(AND(C758&gt;0,D758&lt;&gt;"",S758=""),VLOOKUP(A758&amp;IF(H758="黑丝","黑","白")&amp;E758,经纬!A:M,13,FALSE)*(I758-AB758),"")</f>
        <v/>
      </c>
      <c r="AA758" s="340" t="str">
        <f>IF(AND(C758&gt;0,D758&lt;&gt;"",S758=""),VLOOKUP(A758&amp;IF(H758="黑丝","黑","白")&amp;E758,经纬!A:N,14,FALSE)*(I758-AB758),"")</f>
        <v/>
      </c>
    </row>
    <row r="759" spans="13:27">
      <c r="M759" s="24" t="str">
        <f t="array" ref="M759">LEFT(L759,MIN(FIND({"A","B","C"},MID(L759,2,LEN(L759))&amp;"ABC")))</f>
        <v/>
      </c>
      <c r="N759" s="24" t="str">
        <f t="array" ref="N759">SUBSTITUTE(L759,M759,"")</f>
        <v/>
      </c>
      <c r="X759" s="258" t="str">
        <f t="shared" si="44"/>
        <v/>
      </c>
      <c r="Y759" s="36" t="str">
        <f t="shared" si="45"/>
        <v/>
      </c>
      <c r="Z759" s="340" t="str">
        <f>IF(AND(C759&gt;0,D759&lt;&gt;"",S759=""),VLOOKUP(A759&amp;IF(H759="黑丝","黑","白")&amp;E759,经纬!A:M,13,FALSE)*(I759-AB759),"")</f>
        <v/>
      </c>
      <c r="AA759" s="340" t="str">
        <f>IF(AND(C759&gt;0,D759&lt;&gt;"",S759=""),VLOOKUP(A759&amp;IF(H759="黑丝","黑","白")&amp;E759,经纬!A:N,14,FALSE)*(I759-AB759),"")</f>
        <v/>
      </c>
    </row>
    <row r="760" spans="13:27">
      <c r="M760" s="24" t="str">
        <f t="array" ref="M760">LEFT(L760,MIN(FIND({"A","B","C"},MID(L760,2,LEN(L760))&amp;"ABC")))</f>
        <v/>
      </c>
      <c r="N760" s="24" t="str">
        <f t="array" ref="N760">SUBSTITUTE(L760,M760,"")</f>
        <v/>
      </c>
      <c r="X760" s="258" t="str">
        <f t="shared" si="44"/>
        <v/>
      </c>
      <c r="Y760" s="36" t="str">
        <f t="shared" si="45"/>
        <v/>
      </c>
      <c r="Z760" s="340" t="str">
        <f>IF(AND(C760&gt;0,D760&lt;&gt;"",S760=""),VLOOKUP(A760&amp;IF(H760="黑丝","黑","白")&amp;E760,经纬!A:M,13,FALSE)*(I760-AB760),"")</f>
        <v/>
      </c>
      <c r="AA760" s="340" t="str">
        <f>IF(AND(C760&gt;0,D760&lt;&gt;"",S760=""),VLOOKUP(A760&amp;IF(H760="黑丝","黑","白")&amp;E760,经纬!A:N,14,FALSE)*(I760-AB760),"")</f>
        <v/>
      </c>
    </row>
    <row r="761" spans="13:27">
      <c r="M761" s="24" t="str">
        <f t="array" ref="M761">LEFT(L761,MIN(FIND({"A","B","C"},MID(L761,2,LEN(L761))&amp;"ABC")))</f>
        <v/>
      </c>
      <c r="N761" s="24" t="str">
        <f t="array" ref="N761">SUBSTITUTE(L761,M761,"")</f>
        <v/>
      </c>
      <c r="X761" s="258" t="str">
        <f t="shared" si="44"/>
        <v/>
      </c>
      <c r="Y761" s="36" t="str">
        <f t="shared" si="45"/>
        <v/>
      </c>
      <c r="Z761" s="340" t="str">
        <f>IF(AND(C761&gt;0,D761&lt;&gt;"",S761=""),VLOOKUP(A761&amp;IF(H761="黑丝","黑","白")&amp;E761,经纬!A:M,13,FALSE)*(I761-AB761),"")</f>
        <v/>
      </c>
      <c r="AA761" s="340" t="str">
        <f>IF(AND(C761&gt;0,D761&lt;&gt;"",S761=""),VLOOKUP(A761&amp;IF(H761="黑丝","黑","白")&amp;E761,经纬!A:N,14,FALSE)*(I761-AB761),"")</f>
        <v/>
      </c>
    </row>
    <row r="762" spans="13:27">
      <c r="M762" s="24" t="str">
        <f t="array" ref="M762">LEFT(L762,MIN(FIND({"A","B","C"},MID(L762,2,LEN(L762))&amp;"ABC")))</f>
        <v/>
      </c>
      <c r="N762" s="24" t="str">
        <f t="array" ref="N762">SUBSTITUTE(L762,M762,"")</f>
        <v/>
      </c>
      <c r="X762" s="258" t="str">
        <f t="shared" si="44"/>
        <v/>
      </c>
      <c r="Y762" s="36" t="str">
        <f t="shared" si="45"/>
        <v/>
      </c>
      <c r="Z762" s="340" t="str">
        <f>IF(AND(C762&gt;0,D762&lt;&gt;"",S762=""),VLOOKUP(A762&amp;IF(H762="黑丝","黑","白")&amp;E762,经纬!A:M,13,FALSE)*(I762-AB762),"")</f>
        <v/>
      </c>
      <c r="AA762" s="340" t="str">
        <f>IF(AND(C762&gt;0,D762&lt;&gt;"",S762=""),VLOOKUP(A762&amp;IF(H762="黑丝","黑","白")&amp;E762,经纬!A:N,14,FALSE)*(I762-AB762),"")</f>
        <v/>
      </c>
    </row>
    <row r="763" spans="13:27">
      <c r="M763" s="24" t="str">
        <f t="array" ref="M763">LEFT(L763,MIN(FIND({"A","B","C"},MID(L763,2,LEN(L763))&amp;"ABC")))</f>
        <v/>
      </c>
      <c r="N763" s="24" t="str">
        <f t="array" ref="N763">SUBSTITUTE(L763,M763,"")</f>
        <v/>
      </c>
      <c r="X763" s="258" t="str">
        <f t="shared" si="44"/>
        <v/>
      </c>
      <c r="Y763" s="36" t="str">
        <f t="shared" si="45"/>
        <v/>
      </c>
      <c r="Z763" s="340" t="str">
        <f>IF(AND(C763&gt;0,D763&lt;&gt;"",S763=""),VLOOKUP(A763&amp;IF(H763="黑丝","黑","白")&amp;E763,经纬!A:M,13,FALSE)*(I763-AB763),"")</f>
        <v/>
      </c>
      <c r="AA763" s="340" t="str">
        <f>IF(AND(C763&gt;0,D763&lt;&gt;"",S763=""),VLOOKUP(A763&amp;IF(H763="黑丝","黑","白")&amp;E763,经纬!A:N,14,FALSE)*(I763-AB763),"")</f>
        <v/>
      </c>
    </row>
    <row r="764" spans="13:27">
      <c r="M764" s="24" t="str">
        <f t="array" ref="M764">LEFT(L764,MIN(FIND({"A","B","C"},MID(L764,2,LEN(L764))&amp;"ABC")))</f>
        <v/>
      </c>
      <c r="N764" s="24" t="str">
        <f t="array" ref="N764">SUBSTITUTE(L764,M764,"")</f>
        <v/>
      </c>
      <c r="X764" s="258" t="str">
        <f t="shared" si="44"/>
        <v/>
      </c>
      <c r="Y764" s="36" t="str">
        <f t="shared" si="45"/>
        <v/>
      </c>
      <c r="Z764" s="340" t="str">
        <f>IF(AND(C764&gt;0,D764&lt;&gt;"",S764=""),VLOOKUP(A764&amp;IF(H764="黑丝","黑","白")&amp;E764,经纬!A:M,13,FALSE)*(I764-AB764),"")</f>
        <v/>
      </c>
      <c r="AA764" s="340" t="str">
        <f>IF(AND(C764&gt;0,D764&lt;&gt;"",S764=""),VLOOKUP(A764&amp;IF(H764="黑丝","黑","白")&amp;E764,经纬!A:N,14,FALSE)*(I764-AB764),"")</f>
        <v/>
      </c>
    </row>
    <row r="765" spans="13:27">
      <c r="M765" s="24" t="str">
        <f t="array" ref="M765">LEFT(L765,MIN(FIND({"A","B","C"},MID(L765,2,LEN(L765))&amp;"ABC")))</f>
        <v/>
      </c>
      <c r="N765" s="24" t="str">
        <f t="array" ref="N765">SUBSTITUTE(L765,M765,"")</f>
        <v/>
      </c>
      <c r="X765" s="258" t="str">
        <f t="shared" si="44"/>
        <v/>
      </c>
      <c r="Y765" s="36" t="str">
        <f t="shared" si="45"/>
        <v/>
      </c>
      <c r="Z765" s="340" t="str">
        <f>IF(AND(C765&gt;0,D765&lt;&gt;"",S765=""),VLOOKUP(A765&amp;IF(H765="黑丝","黑","白")&amp;E765,经纬!A:M,13,FALSE)*(I765-AB765),"")</f>
        <v/>
      </c>
      <c r="AA765" s="340" t="str">
        <f>IF(AND(C765&gt;0,D765&lt;&gt;"",S765=""),VLOOKUP(A765&amp;IF(H765="黑丝","黑","白")&amp;E765,经纬!A:N,14,FALSE)*(I765-AB765),"")</f>
        <v/>
      </c>
    </row>
    <row r="766" spans="13:27">
      <c r="M766" s="24" t="str">
        <f t="array" ref="M766">LEFT(L766,MIN(FIND({"A","B","C"},MID(L766,2,LEN(L766))&amp;"ABC")))</f>
        <v/>
      </c>
      <c r="N766" s="24" t="str">
        <f t="array" ref="N766">SUBSTITUTE(L766,M766,"")</f>
        <v/>
      </c>
      <c r="X766" s="258" t="str">
        <f t="shared" si="44"/>
        <v/>
      </c>
      <c r="Y766" s="36" t="str">
        <f t="shared" si="45"/>
        <v/>
      </c>
      <c r="Z766" s="340" t="str">
        <f>IF(AND(C766&gt;0,D766&lt;&gt;"",S766=""),VLOOKUP(A766&amp;IF(H766="黑丝","黑","白")&amp;E766,经纬!A:M,13,FALSE)*(I766-AB766),"")</f>
        <v/>
      </c>
      <c r="AA766" s="340" t="str">
        <f>IF(AND(C766&gt;0,D766&lt;&gt;"",S766=""),VLOOKUP(A766&amp;IF(H766="黑丝","黑","白")&amp;E766,经纬!A:N,14,FALSE)*(I766-AB766),"")</f>
        <v/>
      </c>
    </row>
    <row r="767" spans="13:27">
      <c r="M767" s="24" t="str">
        <f t="array" ref="M767">LEFT(L767,MIN(FIND({"A","B","C"},MID(L767,2,LEN(L767))&amp;"ABC")))</f>
        <v/>
      </c>
      <c r="N767" s="24" t="str">
        <f t="array" ref="N767">SUBSTITUTE(L767,M767,"")</f>
        <v/>
      </c>
      <c r="X767" s="258" t="str">
        <f t="shared" si="44"/>
        <v/>
      </c>
      <c r="Y767" s="36" t="str">
        <f t="shared" si="45"/>
        <v/>
      </c>
      <c r="Z767" s="340" t="str">
        <f>IF(AND(C767&gt;0,D767&lt;&gt;"",S767=""),VLOOKUP(A767&amp;IF(H767="黑丝","黑","白")&amp;E767,经纬!A:M,13,FALSE)*(I767-AB767),"")</f>
        <v/>
      </c>
      <c r="AA767" s="340" t="str">
        <f>IF(AND(C767&gt;0,D767&lt;&gt;"",S767=""),VLOOKUP(A767&amp;IF(H767="黑丝","黑","白")&amp;E767,经纬!A:N,14,FALSE)*(I767-AB767),"")</f>
        <v/>
      </c>
    </row>
    <row r="768" spans="13:27">
      <c r="M768" s="24" t="str">
        <f t="array" ref="M768">LEFT(L768,MIN(FIND({"A","B","C"},MID(L768,2,LEN(L768))&amp;"ABC")))</f>
        <v/>
      </c>
      <c r="N768" s="24" t="str">
        <f t="array" ref="N768">SUBSTITUTE(L768,M768,"")</f>
        <v/>
      </c>
      <c r="X768" s="258" t="str">
        <f t="shared" si="44"/>
        <v/>
      </c>
      <c r="Y768" s="36" t="str">
        <f t="shared" si="45"/>
        <v/>
      </c>
      <c r="Z768" s="340" t="str">
        <f>IF(AND(C768&gt;0,D768&lt;&gt;"",S768=""),VLOOKUP(A768&amp;IF(H768="黑丝","黑","白")&amp;E768,经纬!A:M,13,FALSE)*(I768-AB768),"")</f>
        <v/>
      </c>
      <c r="AA768" s="340" t="str">
        <f>IF(AND(C768&gt;0,D768&lt;&gt;"",S768=""),VLOOKUP(A768&amp;IF(H768="黑丝","黑","白")&amp;E768,经纬!A:N,14,FALSE)*(I768-AB768),"")</f>
        <v/>
      </c>
    </row>
    <row r="769" spans="13:27">
      <c r="M769" s="24" t="str">
        <f t="array" ref="M769">LEFT(L769,MIN(FIND({"A","B","C"},MID(L769,2,LEN(L769))&amp;"ABC")))</f>
        <v/>
      </c>
      <c r="N769" s="24" t="str">
        <f t="array" ref="N769">SUBSTITUTE(L769,M769,"")</f>
        <v/>
      </c>
      <c r="X769" s="258" t="str">
        <f t="shared" si="44"/>
        <v/>
      </c>
      <c r="Y769" s="36" t="str">
        <f t="shared" si="45"/>
        <v/>
      </c>
      <c r="Z769" s="340" t="str">
        <f>IF(AND(C769&gt;0,D769&lt;&gt;"",S769=""),VLOOKUP(A769&amp;IF(H769="黑丝","黑","白")&amp;E769,经纬!A:M,13,FALSE)*(I769-AB769),"")</f>
        <v/>
      </c>
      <c r="AA769" s="340" t="str">
        <f>IF(AND(C769&gt;0,D769&lt;&gt;"",S769=""),VLOOKUP(A769&amp;IF(H769="黑丝","黑","白")&amp;E769,经纬!A:N,14,FALSE)*(I769-AB769),"")</f>
        <v/>
      </c>
    </row>
    <row r="770" spans="13:27">
      <c r="M770" s="24" t="str">
        <f t="array" ref="M770">LEFT(L770,MIN(FIND({"A","B","C"},MID(L770,2,LEN(L770))&amp;"ABC")))</f>
        <v/>
      </c>
      <c r="N770" s="24" t="str">
        <f t="array" ref="N770">SUBSTITUTE(L770,M770,"")</f>
        <v/>
      </c>
      <c r="X770" s="258" t="str">
        <f t="shared" si="44"/>
        <v/>
      </c>
      <c r="Y770" s="36" t="str">
        <f t="shared" si="45"/>
        <v/>
      </c>
      <c r="Z770" s="340" t="str">
        <f>IF(AND(C770&gt;0,D770&lt;&gt;"",S770=""),VLOOKUP(A770&amp;IF(H770="黑丝","黑","白")&amp;E770,经纬!A:M,13,FALSE)*(I770-AB770),"")</f>
        <v/>
      </c>
      <c r="AA770" s="340" t="str">
        <f>IF(AND(C770&gt;0,D770&lt;&gt;"",S770=""),VLOOKUP(A770&amp;IF(H770="黑丝","黑","白")&amp;E770,经纬!A:N,14,FALSE)*(I770-AB770),"")</f>
        <v/>
      </c>
    </row>
    <row r="771" spans="13:27">
      <c r="M771" s="24" t="str">
        <f t="array" ref="M771">LEFT(L771,MIN(FIND({"A","B","C"},MID(L771,2,LEN(L771))&amp;"ABC")))</f>
        <v/>
      </c>
      <c r="N771" s="24" t="str">
        <f t="array" ref="N771">SUBSTITUTE(L771,M771,"")</f>
        <v/>
      </c>
      <c r="X771" s="258" t="str">
        <f t="shared" si="44"/>
        <v/>
      </c>
      <c r="Y771" s="36" t="str">
        <f t="shared" si="45"/>
        <v/>
      </c>
      <c r="Z771" s="340" t="str">
        <f>IF(AND(C771&gt;0,D771&lt;&gt;"",S771=""),VLOOKUP(A771&amp;IF(H771="黑丝","黑","白")&amp;E771,经纬!A:M,13,FALSE)*(I771-AB771),"")</f>
        <v/>
      </c>
      <c r="AA771" s="340" t="str">
        <f>IF(AND(C771&gt;0,D771&lt;&gt;"",S771=""),VLOOKUP(A771&amp;IF(H771="黑丝","黑","白")&amp;E771,经纬!A:N,14,FALSE)*(I771-AB771),"")</f>
        <v/>
      </c>
    </row>
    <row r="772" spans="13:27">
      <c r="M772" s="24" t="str">
        <f t="array" ref="M772">LEFT(L772,MIN(FIND({"A","B","C"},MID(L772,2,LEN(L772))&amp;"ABC")))</f>
        <v/>
      </c>
      <c r="N772" s="24" t="str">
        <f t="array" ref="N772">SUBSTITUTE(L772,M772,"")</f>
        <v/>
      </c>
      <c r="X772" s="258" t="str">
        <f t="shared" si="44"/>
        <v/>
      </c>
      <c r="Y772" s="36" t="str">
        <f t="shared" si="45"/>
        <v/>
      </c>
      <c r="Z772" s="340" t="str">
        <f>IF(AND(C772&gt;0,D772&lt;&gt;"",S772=""),VLOOKUP(A772&amp;IF(H772="黑丝","黑","白")&amp;E772,经纬!A:M,13,FALSE)*(I772-AB772),"")</f>
        <v/>
      </c>
      <c r="AA772" s="340" t="str">
        <f>IF(AND(C772&gt;0,D772&lt;&gt;"",S772=""),VLOOKUP(A772&amp;IF(H772="黑丝","黑","白")&amp;E772,经纬!A:N,14,FALSE)*(I772-AB772),"")</f>
        <v/>
      </c>
    </row>
    <row r="773" spans="13:27">
      <c r="M773" s="24" t="str">
        <f t="array" ref="M773">LEFT(L773,MIN(FIND({"A","B","C"},MID(L773,2,LEN(L773))&amp;"ABC")))</f>
        <v/>
      </c>
      <c r="N773" s="24" t="str">
        <f t="array" ref="N773">SUBSTITUTE(L773,M773,"")</f>
        <v/>
      </c>
      <c r="X773" s="258" t="str">
        <f t="shared" si="44"/>
        <v/>
      </c>
      <c r="Y773" s="36" t="str">
        <f t="shared" si="45"/>
        <v/>
      </c>
      <c r="Z773" s="340" t="str">
        <f>IF(AND(C773&gt;0,D773&lt;&gt;"",S773=""),VLOOKUP(A773&amp;IF(H773="黑丝","黑","白")&amp;E773,经纬!A:M,13,FALSE)*(I773-AB773),"")</f>
        <v/>
      </c>
      <c r="AA773" s="340" t="str">
        <f>IF(AND(C773&gt;0,D773&lt;&gt;"",S773=""),VLOOKUP(A773&amp;IF(H773="黑丝","黑","白")&amp;E773,经纬!A:N,14,FALSE)*(I773-AB773),"")</f>
        <v/>
      </c>
    </row>
    <row r="774" spans="13:27">
      <c r="M774" s="24" t="str">
        <f t="array" ref="M774">LEFT(L774,MIN(FIND({"A","B","C"},MID(L774,2,LEN(L774))&amp;"ABC")))</f>
        <v/>
      </c>
      <c r="N774" s="24" t="str">
        <f t="array" ref="N774">SUBSTITUTE(L774,M774,"")</f>
        <v/>
      </c>
      <c r="X774" s="258" t="str">
        <f t="shared" si="44"/>
        <v/>
      </c>
      <c r="Y774" s="36" t="str">
        <f t="shared" si="45"/>
        <v/>
      </c>
      <c r="Z774" s="340" t="str">
        <f>IF(AND(C774&gt;0,D774&lt;&gt;"",S774=""),VLOOKUP(A774&amp;IF(H774="黑丝","黑","白")&amp;E774,经纬!A:M,13,FALSE)*(I774-AB774),"")</f>
        <v/>
      </c>
      <c r="AA774" s="340" t="str">
        <f>IF(AND(C774&gt;0,D774&lt;&gt;"",S774=""),VLOOKUP(A774&amp;IF(H774="黑丝","黑","白")&amp;E774,经纬!A:N,14,FALSE)*(I774-AB774),"")</f>
        <v/>
      </c>
    </row>
    <row r="775" spans="13:27">
      <c r="M775" s="24" t="str">
        <f t="array" ref="M775">LEFT(L775,MIN(FIND({"A","B","C"},MID(L775,2,LEN(L775))&amp;"ABC")))</f>
        <v/>
      </c>
      <c r="N775" s="24" t="str">
        <f t="array" ref="N775">SUBSTITUTE(L775,M775,"")</f>
        <v/>
      </c>
      <c r="X775" s="258" t="str">
        <f t="shared" si="44"/>
        <v/>
      </c>
      <c r="Y775" s="36" t="str">
        <f t="shared" si="45"/>
        <v/>
      </c>
      <c r="Z775" s="340" t="str">
        <f>IF(AND(C775&gt;0,D775&lt;&gt;"",S775=""),VLOOKUP(A775&amp;IF(H775="黑丝","黑","白")&amp;E775,经纬!A:M,13,FALSE)*(I775-AB775),"")</f>
        <v/>
      </c>
      <c r="AA775" s="340" t="str">
        <f>IF(AND(C775&gt;0,D775&lt;&gt;"",S775=""),VLOOKUP(A775&amp;IF(H775="黑丝","黑","白")&amp;E775,经纬!A:N,14,FALSE)*(I775-AB775),"")</f>
        <v/>
      </c>
    </row>
    <row r="776" spans="13:27">
      <c r="M776" s="24" t="str">
        <f t="array" ref="M776">LEFT(L776,MIN(FIND({"A","B","C"},MID(L776,2,LEN(L776))&amp;"ABC")))</f>
        <v/>
      </c>
      <c r="N776" s="24" t="str">
        <f t="array" ref="N776">SUBSTITUTE(L776,M776,"")</f>
        <v/>
      </c>
      <c r="X776" s="258" t="str">
        <f t="shared" si="44"/>
        <v/>
      </c>
      <c r="Y776" s="36" t="str">
        <f t="shared" si="45"/>
        <v/>
      </c>
      <c r="Z776" s="340" t="str">
        <f>IF(AND(C776&gt;0,D776&lt;&gt;"",S776=""),VLOOKUP(A776&amp;IF(H776="黑丝","黑","白")&amp;E776,经纬!A:M,13,FALSE)*(I776-AB776),"")</f>
        <v/>
      </c>
      <c r="AA776" s="340" t="str">
        <f>IF(AND(C776&gt;0,D776&lt;&gt;"",S776=""),VLOOKUP(A776&amp;IF(H776="黑丝","黑","白")&amp;E776,经纬!A:N,14,FALSE)*(I776-AB776),"")</f>
        <v/>
      </c>
    </row>
    <row r="777" spans="13:27">
      <c r="M777" s="24" t="str">
        <f t="array" ref="M777">LEFT(L777,MIN(FIND({"A","B","C"},MID(L777,2,LEN(L777))&amp;"ABC")))</f>
        <v/>
      </c>
      <c r="N777" s="24" t="str">
        <f t="array" ref="N777">SUBSTITUTE(L777,M777,"")</f>
        <v/>
      </c>
      <c r="X777" s="258" t="str">
        <f t="shared" si="44"/>
        <v/>
      </c>
      <c r="Y777" s="36" t="str">
        <f t="shared" si="45"/>
        <v/>
      </c>
      <c r="Z777" s="340" t="str">
        <f>IF(AND(C777&gt;0,D777&lt;&gt;"",S777=""),VLOOKUP(A777&amp;IF(H777="黑丝","黑","白")&amp;E777,经纬!A:M,13,FALSE)*(I777-AB777),"")</f>
        <v/>
      </c>
      <c r="AA777" s="340" t="str">
        <f>IF(AND(C777&gt;0,D777&lt;&gt;"",S777=""),VLOOKUP(A777&amp;IF(H777="黑丝","黑","白")&amp;E777,经纬!A:N,14,FALSE)*(I777-AB777),"")</f>
        <v/>
      </c>
    </row>
    <row r="778" spans="13:27">
      <c r="M778" s="24" t="str">
        <f t="array" ref="M778">LEFT(L778,MIN(FIND({"A","B","C"},MID(L778,2,LEN(L778))&amp;"ABC")))</f>
        <v/>
      </c>
      <c r="N778" s="24" t="str">
        <f t="array" ref="N778">SUBSTITUTE(L778,M778,"")</f>
        <v/>
      </c>
      <c r="X778" s="258" t="str">
        <f t="shared" si="44"/>
        <v/>
      </c>
      <c r="Y778" s="36" t="str">
        <f t="shared" si="45"/>
        <v/>
      </c>
      <c r="Z778" s="340" t="str">
        <f>IF(AND(C778&gt;0,D778&lt;&gt;"",S778=""),VLOOKUP(A778&amp;IF(H778="黑丝","黑","白")&amp;E778,经纬!A:M,13,FALSE)*(I778-AB778),"")</f>
        <v/>
      </c>
      <c r="AA778" s="340" t="str">
        <f>IF(AND(C778&gt;0,D778&lt;&gt;"",S778=""),VLOOKUP(A778&amp;IF(H778="黑丝","黑","白")&amp;E778,经纬!A:N,14,FALSE)*(I778-AB778),"")</f>
        <v/>
      </c>
    </row>
    <row r="779" spans="13:27">
      <c r="M779" s="24" t="str">
        <f t="array" ref="M779">LEFT(L779,MIN(FIND({"A","B","C"},MID(L779,2,LEN(L779))&amp;"ABC")))</f>
        <v/>
      </c>
      <c r="N779" s="24" t="str">
        <f t="array" ref="N779">SUBSTITUTE(L779,M779,"")</f>
        <v/>
      </c>
      <c r="X779" s="258" t="str">
        <f t="shared" si="44"/>
        <v/>
      </c>
      <c r="Y779" s="36" t="str">
        <f t="shared" si="45"/>
        <v/>
      </c>
      <c r="Z779" s="340" t="str">
        <f>IF(AND(C779&gt;0,D779&lt;&gt;"",S779=""),VLOOKUP(A779&amp;IF(H779="黑丝","黑","白")&amp;E779,经纬!A:M,13,FALSE)*(I779-AB779),"")</f>
        <v/>
      </c>
      <c r="AA779" s="340" t="str">
        <f>IF(AND(C779&gt;0,D779&lt;&gt;"",S779=""),VLOOKUP(A779&amp;IF(H779="黑丝","黑","白")&amp;E779,经纬!A:N,14,FALSE)*(I779-AB779),"")</f>
        <v/>
      </c>
    </row>
    <row r="780" spans="13:27">
      <c r="M780" s="24" t="str">
        <f t="array" ref="M780">LEFT(L780,MIN(FIND({"A","B","C"},MID(L780,2,LEN(L780))&amp;"ABC")))</f>
        <v/>
      </c>
      <c r="N780" s="24" t="str">
        <f t="array" ref="N780">SUBSTITUTE(L780,M780,"")</f>
        <v/>
      </c>
      <c r="X780" s="258" t="str">
        <f t="shared" si="44"/>
        <v/>
      </c>
      <c r="Y780" s="36" t="str">
        <f t="shared" si="45"/>
        <v/>
      </c>
      <c r="Z780" s="340" t="str">
        <f>IF(AND(C780&gt;0,D780&lt;&gt;"",S780=""),VLOOKUP(A780&amp;IF(H780="黑丝","黑","白")&amp;E780,经纬!A:M,13,FALSE)*(I780-AB780),"")</f>
        <v/>
      </c>
      <c r="AA780" s="340" t="str">
        <f>IF(AND(C780&gt;0,D780&lt;&gt;"",S780=""),VLOOKUP(A780&amp;IF(H780="黑丝","黑","白")&amp;E780,经纬!A:N,14,FALSE)*(I780-AB780),"")</f>
        <v/>
      </c>
    </row>
    <row r="781" spans="13:27">
      <c r="M781" s="24" t="str">
        <f t="array" ref="M781">LEFT(L781,MIN(FIND({"A","B","C"},MID(L781,2,LEN(L781))&amp;"ABC")))</f>
        <v/>
      </c>
      <c r="N781" s="24" t="str">
        <f t="array" ref="N781">SUBSTITUTE(L781,M781,"")</f>
        <v/>
      </c>
      <c r="X781" s="258" t="str">
        <f t="shared" si="44"/>
        <v/>
      </c>
      <c r="Y781" s="36" t="str">
        <f t="shared" si="45"/>
        <v/>
      </c>
      <c r="Z781" s="340" t="str">
        <f>IF(AND(C781&gt;0,D781&lt;&gt;"",S781=""),VLOOKUP(A781&amp;IF(H781="黑丝","黑","白")&amp;E781,经纬!A:M,13,FALSE)*(I781-AB781),"")</f>
        <v/>
      </c>
      <c r="AA781" s="340" t="str">
        <f>IF(AND(C781&gt;0,D781&lt;&gt;"",S781=""),VLOOKUP(A781&amp;IF(H781="黑丝","黑","白")&amp;E781,经纬!A:N,14,FALSE)*(I781-AB781),"")</f>
        <v/>
      </c>
    </row>
    <row r="782" spans="13:27">
      <c r="M782" s="24" t="str">
        <f t="array" ref="M782">LEFT(L782,MIN(FIND({"A","B","C"},MID(L782,2,LEN(L782))&amp;"ABC")))</f>
        <v/>
      </c>
      <c r="N782" s="24" t="str">
        <f t="array" ref="N782">SUBSTITUTE(L782,M782,"")</f>
        <v/>
      </c>
      <c r="X782" s="258" t="str">
        <f t="shared" si="44"/>
        <v/>
      </c>
      <c r="Y782" s="36" t="str">
        <f t="shared" si="45"/>
        <v/>
      </c>
      <c r="Z782" s="340" t="str">
        <f>IF(AND(C782&gt;0,D782&lt;&gt;"",S782=""),VLOOKUP(A782&amp;IF(H782="黑丝","黑","白")&amp;E782,经纬!A:M,13,FALSE)*(I782-AB782),"")</f>
        <v/>
      </c>
      <c r="AA782" s="340" t="str">
        <f>IF(AND(C782&gt;0,D782&lt;&gt;"",S782=""),VLOOKUP(A782&amp;IF(H782="黑丝","黑","白")&amp;E782,经纬!A:N,14,FALSE)*(I782-AB782),"")</f>
        <v/>
      </c>
    </row>
    <row r="783" spans="13:27">
      <c r="M783" s="24" t="str">
        <f t="array" ref="M783">LEFT(L783,MIN(FIND({"A","B","C"},MID(L783,2,LEN(L783))&amp;"ABC")))</f>
        <v/>
      </c>
      <c r="N783" s="24" t="str">
        <f t="array" ref="N783">SUBSTITUTE(L783,M783,"")</f>
        <v/>
      </c>
      <c r="X783" s="258" t="str">
        <f t="shared" si="44"/>
        <v/>
      </c>
      <c r="Y783" s="36" t="str">
        <f t="shared" si="45"/>
        <v/>
      </c>
      <c r="Z783" s="340" t="str">
        <f>IF(AND(C783&gt;0,D783&lt;&gt;"",S783=""),VLOOKUP(A783&amp;IF(H783="黑丝","黑","白")&amp;E783,经纬!A:M,13,FALSE)*(I783-AB783),"")</f>
        <v/>
      </c>
      <c r="AA783" s="340" t="str">
        <f>IF(AND(C783&gt;0,D783&lt;&gt;"",S783=""),VLOOKUP(A783&amp;IF(H783="黑丝","黑","白")&amp;E783,经纬!A:N,14,FALSE)*(I783-AB783),"")</f>
        <v/>
      </c>
    </row>
    <row r="784" spans="13:27">
      <c r="M784" s="24" t="str">
        <f t="array" ref="M784">LEFT(L784,MIN(FIND({"A","B","C"},MID(L784,2,LEN(L784))&amp;"ABC")))</f>
        <v/>
      </c>
      <c r="N784" s="24" t="str">
        <f t="array" ref="N784">SUBSTITUTE(L784,M784,"")</f>
        <v/>
      </c>
      <c r="X784" s="258" t="str">
        <f t="shared" si="44"/>
        <v/>
      </c>
      <c r="Y784" s="36" t="str">
        <f t="shared" si="45"/>
        <v/>
      </c>
      <c r="Z784" s="340" t="str">
        <f>IF(AND(C784&gt;0,D784&lt;&gt;"",S784=""),VLOOKUP(A784&amp;IF(H784="黑丝","黑","白")&amp;E784,经纬!A:M,13,FALSE)*(I784-AB784),"")</f>
        <v/>
      </c>
      <c r="AA784" s="340" t="str">
        <f>IF(AND(C784&gt;0,D784&lt;&gt;"",S784=""),VLOOKUP(A784&amp;IF(H784="黑丝","黑","白")&amp;E784,经纬!A:N,14,FALSE)*(I784-AB784),"")</f>
        <v/>
      </c>
    </row>
    <row r="785" spans="13:27">
      <c r="M785" s="24" t="str">
        <f t="array" ref="M785">LEFT(L785,MIN(FIND({"A","B","C"},MID(L785,2,LEN(L785))&amp;"ABC")))</f>
        <v/>
      </c>
      <c r="N785" s="24" t="str">
        <f t="array" ref="N785">SUBSTITUTE(L785,M785,"")</f>
        <v/>
      </c>
      <c r="X785" s="258" t="str">
        <f t="shared" si="44"/>
        <v/>
      </c>
      <c r="Y785" s="36" t="str">
        <f t="shared" si="45"/>
        <v/>
      </c>
      <c r="Z785" s="340" t="str">
        <f>IF(AND(C785&gt;0,D785&lt;&gt;"",S785=""),VLOOKUP(A785&amp;IF(H785="黑丝","黑","白")&amp;E785,经纬!A:M,13,FALSE)*(I785-AB785),"")</f>
        <v/>
      </c>
      <c r="AA785" s="340" t="str">
        <f>IF(AND(C785&gt;0,D785&lt;&gt;"",S785=""),VLOOKUP(A785&amp;IF(H785="黑丝","黑","白")&amp;E785,经纬!A:N,14,FALSE)*(I785-AB785),"")</f>
        <v/>
      </c>
    </row>
    <row r="786" spans="13:27">
      <c r="M786" s="24" t="str">
        <f t="array" ref="M786">LEFT(L786,MIN(FIND({"A","B","C"},MID(L786,2,LEN(L786))&amp;"ABC")))</f>
        <v/>
      </c>
      <c r="N786" s="24" t="str">
        <f t="array" ref="N786">SUBSTITUTE(L786,M786,"")</f>
        <v/>
      </c>
      <c r="X786" s="258" t="str">
        <f t="shared" si="44"/>
        <v/>
      </c>
      <c r="Y786" s="36" t="str">
        <f t="shared" si="45"/>
        <v/>
      </c>
      <c r="Z786" s="340" t="str">
        <f>IF(AND(C786&gt;0,D786&lt;&gt;"",S786=""),VLOOKUP(A786&amp;IF(H786="黑丝","黑","白")&amp;E786,经纬!A:M,13,FALSE)*(I786-AB786),"")</f>
        <v/>
      </c>
      <c r="AA786" s="340" t="str">
        <f>IF(AND(C786&gt;0,D786&lt;&gt;"",S786=""),VLOOKUP(A786&amp;IF(H786="黑丝","黑","白")&amp;E786,经纬!A:N,14,FALSE)*(I786-AB786),"")</f>
        <v/>
      </c>
    </row>
    <row r="787" spans="13:27">
      <c r="M787" s="24" t="str">
        <f t="array" ref="M787">LEFT(L787,MIN(FIND({"A","B","C"},MID(L787,2,LEN(L787))&amp;"ABC")))</f>
        <v/>
      </c>
      <c r="N787" s="24" t="str">
        <f t="array" ref="N787">SUBSTITUTE(L787,M787,"")</f>
        <v/>
      </c>
      <c r="X787" s="258" t="str">
        <f t="shared" si="44"/>
        <v/>
      </c>
      <c r="Y787" s="36" t="str">
        <f t="shared" si="45"/>
        <v/>
      </c>
      <c r="Z787" s="340" t="str">
        <f>IF(AND(C787&gt;0,D787&lt;&gt;"",S787=""),VLOOKUP(A787&amp;IF(H787="黑丝","黑","白")&amp;E787,经纬!A:M,13,FALSE)*(I787-AB787),"")</f>
        <v/>
      </c>
      <c r="AA787" s="340" t="str">
        <f>IF(AND(C787&gt;0,D787&lt;&gt;"",S787=""),VLOOKUP(A787&amp;IF(H787="黑丝","黑","白")&amp;E787,经纬!A:N,14,FALSE)*(I787-AB787),"")</f>
        <v/>
      </c>
    </row>
    <row r="788" spans="13:27">
      <c r="M788" s="24" t="str">
        <f t="array" ref="M788">LEFT(L788,MIN(FIND({"A","B","C"},MID(L788,2,LEN(L788))&amp;"ABC")))</f>
        <v/>
      </c>
      <c r="N788" s="24" t="str">
        <f t="array" ref="N788">SUBSTITUTE(L788,M788,"")</f>
        <v/>
      </c>
      <c r="X788" s="258" t="str">
        <f t="shared" si="44"/>
        <v/>
      </c>
      <c r="Y788" s="36" t="str">
        <f t="shared" si="45"/>
        <v/>
      </c>
      <c r="Z788" s="340" t="str">
        <f>IF(AND(C788&gt;0,D788&lt;&gt;"",S788=""),VLOOKUP(A788&amp;IF(H788="黑丝","黑","白")&amp;E788,经纬!A:M,13,FALSE)*(I788-AB788),"")</f>
        <v/>
      </c>
      <c r="AA788" s="340" t="str">
        <f>IF(AND(C788&gt;0,D788&lt;&gt;"",S788=""),VLOOKUP(A788&amp;IF(H788="黑丝","黑","白")&amp;E788,经纬!A:N,14,FALSE)*(I788-AB788),"")</f>
        <v/>
      </c>
    </row>
    <row r="789" spans="13:27">
      <c r="M789" s="24" t="str">
        <f t="array" ref="M789">LEFT(L789,MIN(FIND({"A","B","C"},MID(L789,2,LEN(L789))&amp;"ABC")))</f>
        <v/>
      </c>
      <c r="N789" s="24" t="str">
        <f t="array" ref="N789">SUBSTITUTE(L789,M789,"")</f>
        <v/>
      </c>
      <c r="X789" s="258" t="str">
        <f t="shared" si="44"/>
        <v/>
      </c>
      <c r="Y789" s="36" t="str">
        <f t="shared" si="45"/>
        <v/>
      </c>
      <c r="Z789" s="340" t="str">
        <f>IF(AND(C789&gt;0,D789&lt;&gt;"",S789=""),VLOOKUP(A789&amp;IF(H789="黑丝","黑","白")&amp;E789,经纬!A:M,13,FALSE)*(I789-AB789),"")</f>
        <v/>
      </c>
      <c r="AA789" s="340" t="str">
        <f>IF(AND(C789&gt;0,D789&lt;&gt;"",S789=""),VLOOKUP(A789&amp;IF(H789="黑丝","黑","白")&amp;E789,经纬!A:N,14,FALSE)*(I789-AB789),"")</f>
        <v/>
      </c>
    </row>
    <row r="790" spans="13:27">
      <c r="M790" s="24" t="str">
        <f t="array" ref="M790">LEFT(L790,MIN(FIND({"A","B","C"},MID(L790,2,LEN(L790))&amp;"ABC")))</f>
        <v/>
      </c>
      <c r="N790" s="24" t="str">
        <f t="array" ref="N790">SUBSTITUTE(L790,M790,"")</f>
        <v/>
      </c>
      <c r="X790" s="258" t="str">
        <f t="shared" si="44"/>
        <v/>
      </c>
      <c r="Y790" s="36" t="str">
        <f t="shared" si="45"/>
        <v/>
      </c>
      <c r="Z790" s="340" t="str">
        <f>IF(AND(C790&gt;0,D790&lt;&gt;"",S790=""),VLOOKUP(A790&amp;IF(H790="黑丝","黑","白")&amp;E790,经纬!A:M,13,FALSE)*(I790-AB790),"")</f>
        <v/>
      </c>
      <c r="AA790" s="340" t="str">
        <f>IF(AND(C790&gt;0,D790&lt;&gt;"",S790=""),VLOOKUP(A790&amp;IF(H790="黑丝","黑","白")&amp;E790,经纬!A:N,14,FALSE)*(I790-AB790),"")</f>
        <v/>
      </c>
    </row>
    <row r="791" spans="13:27">
      <c r="M791" s="24" t="str">
        <f t="array" ref="M791">LEFT(L791,MIN(FIND({"A","B","C"},MID(L791,2,LEN(L791))&amp;"ABC")))</f>
        <v/>
      </c>
      <c r="N791" s="24" t="str">
        <f t="array" ref="N791">SUBSTITUTE(L791,M791,"")</f>
        <v/>
      </c>
      <c r="X791" s="258" t="str">
        <f t="shared" si="44"/>
        <v/>
      </c>
      <c r="Y791" s="36" t="str">
        <f t="shared" si="45"/>
        <v/>
      </c>
      <c r="Z791" s="340" t="str">
        <f>IF(AND(C791&gt;0,D791&lt;&gt;"",S791=""),VLOOKUP(A791&amp;IF(H791="黑丝","黑","白")&amp;E791,经纬!A:M,13,FALSE)*(I791-AB791),"")</f>
        <v/>
      </c>
      <c r="AA791" s="340" t="str">
        <f>IF(AND(C791&gt;0,D791&lt;&gt;"",S791=""),VLOOKUP(A791&amp;IF(H791="黑丝","黑","白")&amp;E791,经纬!A:N,14,FALSE)*(I791-AB791),"")</f>
        <v/>
      </c>
    </row>
    <row r="792" spans="13:27">
      <c r="M792" s="24" t="str">
        <f t="array" ref="M792">LEFT(L792,MIN(FIND({"A","B","C"},MID(L792,2,LEN(L792))&amp;"ABC")))</f>
        <v/>
      </c>
      <c r="N792" s="24" t="str">
        <f t="array" ref="N792">SUBSTITUTE(L792,M792,"")</f>
        <v/>
      </c>
      <c r="X792" s="258" t="str">
        <f t="shared" si="44"/>
        <v/>
      </c>
      <c r="Y792" s="36" t="str">
        <f t="shared" si="45"/>
        <v/>
      </c>
      <c r="Z792" s="340" t="str">
        <f>IF(AND(C792&gt;0,D792&lt;&gt;"",S792=""),VLOOKUP(A792&amp;IF(H792="黑丝","黑","白")&amp;E792,经纬!A:M,13,FALSE)*(I792-AB792),"")</f>
        <v/>
      </c>
      <c r="AA792" s="340" t="str">
        <f>IF(AND(C792&gt;0,D792&lt;&gt;"",S792=""),VLOOKUP(A792&amp;IF(H792="黑丝","黑","白")&amp;E792,经纬!A:N,14,FALSE)*(I792-AB792),"")</f>
        <v/>
      </c>
    </row>
    <row r="793" spans="13:27">
      <c r="M793" s="24" t="str">
        <f t="array" ref="M793">LEFT(L793,MIN(FIND({"A","B","C"},MID(L793,2,LEN(L793))&amp;"ABC")))</f>
        <v/>
      </c>
      <c r="N793" s="24" t="str">
        <f t="array" ref="N793">SUBSTITUTE(L793,M793,"")</f>
        <v/>
      </c>
      <c r="X793" s="258" t="str">
        <f t="shared" si="44"/>
        <v/>
      </c>
      <c r="Y793" s="36" t="str">
        <f t="shared" si="45"/>
        <v/>
      </c>
      <c r="Z793" s="340" t="str">
        <f>IF(AND(C793&gt;0,D793&lt;&gt;"",S793=""),VLOOKUP(A793&amp;IF(H793="黑丝","黑","白")&amp;E793,经纬!A:M,13,FALSE)*(I793-AB793),"")</f>
        <v/>
      </c>
      <c r="AA793" s="340" t="str">
        <f>IF(AND(C793&gt;0,D793&lt;&gt;"",S793=""),VLOOKUP(A793&amp;IF(H793="黑丝","黑","白")&amp;E793,经纬!A:N,14,FALSE)*(I793-AB793),"")</f>
        <v/>
      </c>
    </row>
    <row r="794" spans="13:27">
      <c r="M794" s="24" t="str">
        <f t="array" ref="M794">LEFT(L794,MIN(FIND({"A","B","C"},MID(L794,2,LEN(L794))&amp;"ABC")))</f>
        <v/>
      </c>
      <c r="N794" s="24" t="str">
        <f t="array" ref="N794">SUBSTITUTE(L794,M794,"")</f>
        <v/>
      </c>
      <c r="X794" s="258" t="str">
        <f t="shared" si="44"/>
        <v/>
      </c>
      <c r="Y794" s="36" t="str">
        <f t="shared" si="45"/>
        <v/>
      </c>
      <c r="Z794" s="340" t="str">
        <f>IF(AND(C794&gt;0,D794&lt;&gt;"",S794=""),VLOOKUP(A794&amp;IF(H794="黑丝","黑","白")&amp;E794,经纬!A:M,13,FALSE)*(I794-AB794),"")</f>
        <v/>
      </c>
      <c r="AA794" s="340" t="str">
        <f>IF(AND(C794&gt;0,D794&lt;&gt;"",S794=""),VLOOKUP(A794&amp;IF(H794="黑丝","黑","白")&amp;E794,经纬!A:N,14,FALSE)*(I794-AB794),"")</f>
        <v/>
      </c>
    </row>
    <row r="795" spans="13:27">
      <c r="M795" s="24" t="str">
        <f t="array" ref="M795">LEFT(L795,MIN(FIND({"A","B","C"},MID(L795,2,LEN(L795))&amp;"ABC")))</f>
        <v/>
      </c>
      <c r="N795" s="24" t="str">
        <f t="array" ref="N795">SUBSTITUTE(L795,M795,"")</f>
        <v/>
      </c>
      <c r="X795" s="258" t="str">
        <f t="shared" si="44"/>
        <v/>
      </c>
      <c r="Y795" s="36" t="str">
        <f t="shared" si="45"/>
        <v/>
      </c>
      <c r="Z795" s="340" t="str">
        <f>IF(AND(C795&gt;0,D795&lt;&gt;"",S795=""),VLOOKUP(A795&amp;IF(H795="黑丝","黑","白")&amp;E795,经纬!A:M,13,FALSE)*(I795-AB795),"")</f>
        <v/>
      </c>
      <c r="AA795" s="340" t="str">
        <f>IF(AND(C795&gt;0,D795&lt;&gt;"",S795=""),VLOOKUP(A795&amp;IF(H795="黑丝","黑","白")&amp;E795,经纬!A:N,14,FALSE)*(I795-AB795),"")</f>
        <v/>
      </c>
    </row>
    <row r="796" spans="13:27">
      <c r="M796" s="24" t="str">
        <f t="array" ref="M796">LEFT(L796,MIN(FIND({"A","B","C"},MID(L796,2,LEN(L796))&amp;"ABC")))</f>
        <v/>
      </c>
      <c r="N796" s="24" t="str">
        <f t="array" ref="N796">SUBSTITUTE(L796,M796,"")</f>
        <v/>
      </c>
      <c r="X796" s="258" t="str">
        <f t="shared" ref="X796:X859" si="46">IF(B796="","",IF(S796&lt;&gt;"","",IF(AND(Z796&lt;&gt;"",AA796&lt;&gt;""),SUM(Z796:AA796),IF(AB796&lt;&gt;"",(I796/((1/((G796+2)/100*K796/1000))*0.9144)/IF(H796="黑丝",22,20)-AB796)*(IF(H796="黑丝",22,20)),I796/((1/((G796+2)/100*K796/1000))*0.9144)))))</f>
        <v/>
      </c>
      <c r="Y796" s="36" t="str">
        <f t="shared" si="45"/>
        <v/>
      </c>
      <c r="Z796" s="340" t="str">
        <f>IF(AND(C796&gt;0,D796&lt;&gt;"",S796=""),VLOOKUP(A796&amp;IF(H796="黑丝","黑","白")&amp;E796,经纬!A:M,13,FALSE)*(I796-AB796),"")</f>
        <v/>
      </c>
      <c r="AA796" s="340" t="str">
        <f>IF(AND(C796&gt;0,D796&lt;&gt;"",S796=""),VLOOKUP(A796&amp;IF(H796="黑丝","黑","白")&amp;E796,经纬!A:N,14,FALSE)*(I796-AB796),"")</f>
        <v/>
      </c>
    </row>
    <row r="797" spans="13:27">
      <c r="M797" s="24" t="str">
        <f t="array" ref="M797">LEFT(L797,MIN(FIND({"A","B","C"},MID(L797,2,LEN(L797))&amp;"ABC")))</f>
        <v/>
      </c>
      <c r="N797" s="24" t="str">
        <f t="array" ref="N797">SUBSTITUTE(L797,M797,"")</f>
        <v/>
      </c>
      <c r="X797" s="258" t="str">
        <f t="shared" si="46"/>
        <v/>
      </c>
      <c r="Y797" s="36" t="str">
        <f t="shared" si="45"/>
        <v/>
      </c>
      <c r="Z797" s="340" t="str">
        <f>IF(AND(C797&gt;0,D797&lt;&gt;"",S797=""),VLOOKUP(A797&amp;IF(H797="黑丝","黑","白")&amp;E797,经纬!A:M,13,FALSE)*(I797-AB797),"")</f>
        <v/>
      </c>
      <c r="AA797" s="340" t="str">
        <f>IF(AND(C797&gt;0,D797&lt;&gt;"",S797=""),VLOOKUP(A797&amp;IF(H797="黑丝","黑","白")&amp;E797,经纬!A:N,14,FALSE)*(I797-AB797),"")</f>
        <v/>
      </c>
    </row>
    <row r="798" spans="13:27">
      <c r="M798" s="24" t="str">
        <f t="array" ref="M798">LEFT(L798,MIN(FIND({"A","B","C"},MID(L798,2,LEN(L798))&amp;"ABC")))</f>
        <v/>
      </c>
      <c r="N798" s="24" t="str">
        <f t="array" ref="N798">SUBSTITUTE(L798,M798,"")</f>
        <v/>
      </c>
      <c r="X798" s="258" t="str">
        <f t="shared" si="46"/>
        <v/>
      </c>
      <c r="Y798" s="36" t="str">
        <f t="shared" si="45"/>
        <v/>
      </c>
      <c r="Z798" s="340" t="str">
        <f>IF(AND(C798&gt;0,D798&lt;&gt;"",S798=""),VLOOKUP(A798&amp;IF(H798="黑丝","黑","白")&amp;E798,经纬!A:M,13,FALSE)*(I798-AB798),"")</f>
        <v/>
      </c>
      <c r="AA798" s="340" t="str">
        <f>IF(AND(C798&gt;0,D798&lt;&gt;"",S798=""),VLOOKUP(A798&amp;IF(H798="黑丝","黑","白")&amp;E798,经纬!A:N,14,FALSE)*(I798-AB798),"")</f>
        <v/>
      </c>
    </row>
    <row r="799" spans="13:27">
      <c r="M799" s="24" t="str">
        <f t="array" ref="M799">LEFT(L799,MIN(FIND({"A","B","C"},MID(L799,2,LEN(L799))&amp;"ABC")))</f>
        <v/>
      </c>
      <c r="N799" s="24" t="str">
        <f t="array" ref="N799">SUBSTITUTE(L799,M799,"")</f>
        <v/>
      </c>
      <c r="X799" s="258" t="str">
        <f t="shared" si="46"/>
        <v/>
      </c>
      <c r="Y799" s="36" t="str">
        <f t="shared" si="45"/>
        <v/>
      </c>
      <c r="Z799" s="340" t="str">
        <f>IF(AND(C799&gt;0,D799&lt;&gt;"",S799=""),VLOOKUP(A799&amp;IF(H799="黑丝","黑","白")&amp;E799,经纬!A:M,13,FALSE)*(I799-AB799),"")</f>
        <v/>
      </c>
      <c r="AA799" s="340" t="str">
        <f>IF(AND(C799&gt;0,D799&lt;&gt;"",S799=""),VLOOKUP(A799&amp;IF(H799="黑丝","黑","白")&amp;E799,经纬!A:N,14,FALSE)*(I799-AB799),"")</f>
        <v/>
      </c>
    </row>
    <row r="800" spans="13:27">
      <c r="M800" s="24" t="str">
        <f t="array" ref="M800">LEFT(L800,MIN(FIND({"A","B","C"},MID(L800,2,LEN(L800))&amp;"ABC")))</f>
        <v/>
      </c>
      <c r="N800" s="24" t="str">
        <f t="array" ref="N800">SUBSTITUTE(L800,M800,"")</f>
        <v/>
      </c>
      <c r="X800" s="258" t="str">
        <f t="shared" si="46"/>
        <v/>
      </c>
      <c r="Y800" s="36" t="str">
        <f t="shared" si="45"/>
        <v/>
      </c>
      <c r="Z800" s="340" t="str">
        <f>IF(AND(C800&gt;0,D800&lt;&gt;"",S800=""),VLOOKUP(A800&amp;IF(H800="黑丝","黑","白")&amp;E800,经纬!A:M,13,FALSE)*(I800-AB800),"")</f>
        <v/>
      </c>
      <c r="AA800" s="340" t="str">
        <f>IF(AND(C800&gt;0,D800&lt;&gt;"",S800=""),VLOOKUP(A800&amp;IF(H800="黑丝","黑","白")&amp;E800,经纬!A:N,14,FALSE)*(I800-AB800),"")</f>
        <v/>
      </c>
    </row>
    <row r="801" spans="13:27">
      <c r="M801" s="24" t="str">
        <f t="array" ref="M801">LEFT(L801,MIN(FIND({"A","B","C"},MID(L801,2,LEN(L801))&amp;"ABC")))</f>
        <v/>
      </c>
      <c r="N801" s="24" t="str">
        <f t="array" ref="N801">SUBSTITUTE(L801,M801,"")</f>
        <v/>
      </c>
      <c r="X801" s="258" t="str">
        <f t="shared" si="46"/>
        <v/>
      </c>
      <c r="Y801" s="36" t="str">
        <f t="shared" si="45"/>
        <v/>
      </c>
      <c r="Z801" s="340" t="str">
        <f>IF(AND(C801&gt;0,D801&lt;&gt;"",S801=""),VLOOKUP(A801&amp;IF(H801="黑丝","黑","白")&amp;E801,经纬!A:M,13,FALSE)*(I801-AB801),"")</f>
        <v/>
      </c>
      <c r="AA801" s="340" t="str">
        <f>IF(AND(C801&gt;0,D801&lt;&gt;"",S801=""),VLOOKUP(A801&amp;IF(H801="黑丝","黑","白")&amp;E801,经纬!A:N,14,FALSE)*(I801-AB801),"")</f>
        <v/>
      </c>
    </row>
    <row r="802" spans="13:27">
      <c r="M802" s="24" t="str">
        <f t="array" ref="M802">LEFT(L802,MIN(FIND({"A","B","C"},MID(L802,2,LEN(L802))&amp;"ABC")))</f>
        <v/>
      </c>
      <c r="N802" s="24" t="str">
        <f t="array" ref="N802">SUBSTITUTE(L802,M802,"")</f>
        <v/>
      </c>
      <c r="X802" s="258" t="str">
        <f t="shared" si="46"/>
        <v/>
      </c>
      <c r="Y802" s="36" t="str">
        <f t="shared" si="45"/>
        <v/>
      </c>
      <c r="Z802" s="340" t="str">
        <f>IF(AND(C802&gt;0,D802&lt;&gt;"",S802=""),VLOOKUP(A802&amp;IF(H802="黑丝","黑","白")&amp;E802,经纬!A:M,13,FALSE)*(I802-AB802),"")</f>
        <v/>
      </c>
      <c r="AA802" s="340" t="str">
        <f>IF(AND(C802&gt;0,D802&lt;&gt;"",S802=""),VLOOKUP(A802&amp;IF(H802="黑丝","黑","白")&amp;E802,经纬!A:N,14,FALSE)*(I802-AB802),"")</f>
        <v/>
      </c>
    </row>
    <row r="803" spans="13:27">
      <c r="M803" s="24" t="str">
        <f t="array" ref="M803">LEFT(L803,MIN(FIND({"A","B","C"},MID(L803,2,LEN(L803))&amp;"ABC")))</f>
        <v/>
      </c>
      <c r="N803" s="24" t="str">
        <f t="array" ref="N803">SUBSTITUTE(L803,M803,"")</f>
        <v/>
      </c>
      <c r="X803" s="258" t="str">
        <f t="shared" si="46"/>
        <v/>
      </c>
      <c r="Y803" s="36" t="str">
        <f t="shared" si="45"/>
        <v/>
      </c>
      <c r="Z803" s="340" t="str">
        <f>IF(AND(C803&gt;0,D803&lt;&gt;"",S803=""),VLOOKUP(A803&amp;IF(H803="黑丝","黑","白")&amp;E803,经纬!A:M,13,FALSE)*(I803-AB803),"")</f>
        <v/>
      </c>
      <c r="AA803" s="340" t="str">
        <f>IF(AND(C803&gt;0,D803&lt;&gt;"",S803=""),VLOOKUP(A803&amp;IF(H803="黑丝","黑","白")&amp;E803,经纬!A:N,14,FALSE)*(I803-AB803),"")</f>
        <v/>
      </c>
    </row>
    <row r="804" spans="13:27">
      <c r="M804" s="24" t="str">
        <f t="array" ref="M804">LEFT(L804,MIN(FIND({"A","B","C"},MID(L804,2,LEN(L804))&amp;"ABC")))</f>
        <v/>
      </c>
      <c r="N804" s="24" t="str">
        <f t="array" ref="N804">SUBSTITUTE(L804,M804,"")</f>
        <v/>
      </c>
      <c r="X804" s="258" t="str">
        <f t="shared" si="46"/>
        <v/>
      </c>
      <c r="Y804" s="36" t="str">
        <f t="shared" si="45"/>
        <v/>
      </c>
      <c r="Z804" s="340" t="str">
        <f>IF(AND(C804&gt;0,D804&lt;&gt;"",S804=""),VLOOKUP(A804&amp;IF(H804="黑丝","黑","白")&amp;E804,经纬!A:M,13,FALSE)*(I804-AB804),"")</f>
        <v/>
      </c>
      <c r="AA804" s="340" t="str">
        <f>IF(AND(C804&gt;0,D804&lt;&gt;"",S804=""),VLOOKUP(A804&amp;IF(H804="黑丝","黑","白")&amp;E804,经纬!A:N,14,FALSE)*(I804-AB804),"")</f>
        <v/>
      </c>
    </row>
    <row r="805" spans="13:27">
      <c r="M805" s="24" t="str">
        <f t="array" ref="M805">LEFT(L805,MIN(FIND({"A","B","C"},MID(L805,2,LEN(L805))&amp;"ABC")))</f>
        <v/>
      </c>
      <c r="N805" s="24" t="str">
        <f t="array" ref="N805">SUBSTITUTE(L805,M805,"")</f>
        <v/>
      </c>
      <c r="X805" s="258" t="str">
        <f t="shared" si="46"/>
        <v/>
      </c>
      <c r="Y805" s="36" t="str">
        <f t="shared" si="45"/>
        <v/>
      </c>
      <c r="Z805" s="340" t="str">
        <f>IF(AND(C805&gt;0,D805&lt;&gt;"",S805=""),VLOOKUP(A805&amp;IF(H805="黑丝","黑","白")&amp;E805,经纬!A:M,13,FALSE)*(I805-AB805),"")</f>
        <v/>
      </c>
      <c r="AA805" s="340" t="str">
        <f>IF(AND(C805&gt;0,D805&lt;&gt;"",S805=""),VLOOKUP(A805&amp;IF(H805="黑丝","黑","白")&amp;E805,经纬!A:N,14,FALSE)*(I805-AB805),"")</f>
        <v/>
      </c>
    </row>
    <row r="806" spans="13:27">
      <c r="M806" s="24" t="str">
        <f t="array" ref="M806">LEFT(L806,MIN(FIND({"A","B","C"},MID(L806,2,LEN(L806))&amp;"ABC")))</f>
        <v/>
      </c>
      <c r="N806" s="24" t="str">
        <f t="array" ref="N806">SUBSTITUTE(L806,M806,"")</f>
        <v/>
      </c>
      <c r="X806" s="258" t="str">
        <f t="shared" si="46"/>
        <v/>
      </c>
      <c r="Y806" s="36" t="str">
        <f t="shared" si="45"/>
        <v/>
      </c>
      <c r="Z806" s="340" t="str">
        <f>IF(AND(C806&gt;0,D806&lt;&gt;"",S806=""),VLOOKUP(A806&amp;IF(H806="黑丝","黑","白")&amp;E806,经纬!A:M,13,FALSE)*(I806-AB806),"")</f>
        <v/>
      </c>
      <c r="AA806" s="340" t="str">
        <f>IF(AND(C806&gt;0,D806&lt;&gt;"",S806=""),VLOOKUP(A806&amp;IF(H806="黑丝","黑","白")&amp;E806,经纬!A:N,14,FALSE)*(I806-AB806),"")</f>
        <v/>
      </c>
    </row>
    <row r="807" spans="13:27">
      <c r="M807" s="24" t="str">
        <f t="array" ref="M807">LEFT(L807,MIN(FIND({"A","B","C"},MID(L807,2,LEN(L807))&amp;"ABC")))</f>
        <v/>
      </c>
      <c r="N807" s="24" t="str">
        <f t="array" ref="N807">SUBSTITUTE(L807,M807,"")</f>
        <v/>
      </c>
      <c r="X807" s="258" t="str">
        <f t="shared" si="46"/>
        <v/>
      </c>
      <c r="Y807" s="36" t="str">
        <f t="shared" si="45"/>
        <v/>
      </c>
      <c r="Z807" s="340" t="str">
        <f>IF(AND(C807&gt;0,D807&lt;&gt;"",S807=""),VLOOKUP(A807&amp;IF(H807="黑丝","黑","白")&amp;E807,经纬!A:M,13,FALSE)*(I807-AB807),"")</f>
        <v/>
      </c>
      <c r="AA807" s="340" t="str">
        <f>IF(AND(C807&gt;0,D807&lt;&gt;"",S807=""),VLOOKUP(A807&amp;IF(H807="黑丝","黑","白")&amp;E807,经纬!A:N,14,FALSE)*(I807-AB807),"")</f>
        <v/>
      </c>
    </row>
    <row r="808" spans="13:27">
      <c r="M808" s="24" t="str">
        <f t="array" ref="M808">LEFT(L808,MIN(FIND({"A","B","C"},MID(L808,2,LEN(L808))&amp;"ABC")))</f>
        <v/>
      </c>
      <c r="N808" s="24" t="str">
        <f t="array" ref="N808">SUBSTITUTE(L808,M808,"")</f>
        <v/>
      </c>
      <c r="X808" s="258" t="str">
        <f t="shared" si="46"/>
        <v/>
      </c>
      <c r="Y808" s="36" t="str">
        <f t="shared" si="45"/>
        <v/>
      </c>
      <c r="Z808" s="340" t="str">
        <f>IF(AND(C808&gt;0,D808&lt;&gt;"",S808=""),VLOOKUP(A808&amp;IF(H808="黑丝","黑","白")&amp;E808,经纬!A:M,13,FALSE)*(I808-AB808),"")</f>
        <v/>
      </c>
      <c r="AA808" s="340" t="str">
        <f>IF(AND(C808&gt;0,D808&lt;&gt;"",S808=""),VLOOKUP(A808&amp;IF(H808="黑丝","黑","白")&amp;E808,经纬!A:N,14,FALSE)*(I808-AB808),"")</f>
        <v/>
      </c>
    </row>
    <row r="809" spans="13:27">
      <c r="M809" s="24" t="str">
        <f t="array" ref="M809">LEFT(L809,MIN(FIND({"A","B","C"},MID(L809,2,LEN(L809))&amp;"ABC")))</f>
        <v/>
      </c>
      <c r="N809" s="24" t="str">
        <f t="array" ref="N809">SUBSTITUTE(L809,M809,"")</f>
        <v/>
      </c>
      <c r="X809" s="258" t="str">
        <f t="shared" si="46"/>
        <v/>
      </c>
      <c r="Y809" s="36" t="str">
        <f t="shared" ref="Y809:Y872" si="47">IF(OR(B809="",D809&lt;&gt;""),"",IF(S809&lt;&gt;"","",I809/((1/((G809+2)/100*K809/1000))*0.9144)/IF(H809="黑丝",22,20)-AB809))</f>
        <v/>
      </c>
      <c r="Z809" s="340" t="str">
        <f>IF(AND(C809&gt;0,D809&lt;&gt;"",S809=""),VLOOKUP(A809&amp;IF(H809="黑丝","黑","白")&amp;E809,经纬!A:M,13,FALSE)*(I809-AB809),"")</f>
        <v/>
      </c>
      <c r="AA809" s="340" t="str">
        <f>IF(AND(C809&gt;0,D809&lt;&gt;"",S809=""),VLOOKUP(A809&amp;IF(H809="黑丝","黑","白")&amp;E809,经纬!A:N,14,FALSE)*(I809-AB809),"")</f>
        <v/>
      </c>
    </row>
    <row r="810" spans="13:27">
      <c r="M810" s="24" t="str">
        <f t="array" ref="M810">LEFT(L810,MIN(FIND({"A","B","C"},MID(L810,2,LEN(L810))&amp;"ABC")))</f>
        <v/>
      </c>
      <c r="N810" s="24" t="str">
        <f t="array" ref="N810">SUBSTITUTE(L810,M810,"")</f>
        <v/>
      </c>
      <c r="X810" s="258" t="str">
        <f t="shared" si="46"/>
        <v/>
      </c>
      <c r="Y810" s="36" t="str">
        <f t="shared" si="47"/>
        <v/>
      </c>
      <c r="Z810" s="340" t="str">
        <f>IF(AND(C810&gt;0,D810&lt;&gt;"",S810=""),VLOOKUP(A810&amp;IF(H810="黑丝","黑","白")&amp;E810,经纬!A:M,13,FALSE)*(I810-AB810),"")</f>
        <v/>
      </c>
      <c r="AA810" s="340" t="str">
        <f>IF(AND(C810&gt;0,D810&lt;&gt;"",S810=""),VLOOKUP(A810&amp;IF(H810="黑丝","黑","白")&amp;E810,经纬!A:N,14,FALSE)*(I810-AB810),"")</f>
        <v/>
      </c>
    </row>
    <row r="811" spans="13:27">
      <c r="M811" s="24" t="str">
        <f t="array" ref="M811">LEFT(L811,MIN(FIND({"A","B","C"},MID(L811,2,LEN(L811))&amp;"ABC")))</f>
        <v/>
      </c>
      <c r="N811" s="24" t="str">
        <f t="array" ref="N811">SUBSTITUTE(L811,M811,"")</f>
        <v/>
      </c>
      <c r="X811" s="258" t="str">
        <f t="shared" si="46"/>
        <v/>
      </c>
      <c r="Y811" s="36" t="str">
        <f t="shared" si="47"/>
        <v/>
      </c>
      <c r="Z811" s="340" t="str">
        <f>IF(AND(C811&gt;0,D811&lt;&gt;"",S811=""),VLOOKUP(A811&amp;IF(H811="黑丝","黑","白")&amp;E811,经纬!A:M,13,FALSE)*(I811-AB811),"")</f>
        <v/>
      </c>
      <c r="AA811" s="340" t="str">
        <f>IF(AND(C811&gt;0,D811&lt;&gt;"",S811=""),VLOOKUP(A811&amp;IF(H811="黑丝","黑","白")&amp;E811,经纬!A:N,14,FALSE)*(I811-AB811),"")</f>
        <v/>
      </c>
    </row>
    <row r="812" spans="13:27">
      <c r="M812" s="24" t="str">
        <f t="array" ref="M812">LEFT(L812,MIN(FIND({"A","B","C"},MID(L812,2,LEN(L812))&amp;"ABC")))</f>
        <v/>
      </c>
      <c r="N812" s="24" t="str">
        <f t="array" ref="N812">SUBSTITUTE(L812,M812,"")</f>
        <v/>
      </c>
      <c r="X812" s="258" t="str">
        <f t="shared" si="46"/>
        <v/>
      </c>
      <c r="Y812" s="36" t="str">
        <f t="shared" si="47"/>
        <v/>
      </c>
      <c r="Z812" s="340" t="str">
        <f>IF(AND(C812&gt;0,D812&lt;&gt;"",S812=""),VLOOKUP(A812&amp;IF(H812="黑丝","黑","白")&amp;E812,经纬!A:M,13,FALSE)*(I812-AB812),"")</f>
        <v/>
      </c>
      <c r="AA812" s="340" t="str">
        <f>IF(AND(C812&gt;0,D812&lt;&gt;"",S812=""),VLOOKUP(A812&amp;IF(H812="黑丝","黑","白")&amp;E812,经纬!A:N,14,FALSE)*(I812-AB812),"")</f>
        <v/>
      </c>
    </row>
    <row r="813" spans="13:27">
      <c r="M813" s="24" t="str">
        <f t="array" ref="M813">LEFT(L813,MIN(FIND({"A","B","C"},MID(L813,2,LEN(L813))&amp;"ABC")))</f>
        <v/>
      </c>
      <c r="N813" s="24" t="str">
        <f t="array" ref="N813">SUBSTITUTE(L813,M813,"")</f>
        <v/>
      </c>
      <c r="X813" s="258" t="str">
        <f t="shared" si="46"/>
        <v/>
      </c>
      <c r="Y813" s="36" t="str">
        <f t="shared" si="47"/>
        <v/>
      </c>
      <c r="Z813" s="340" t="str">
        <f>IF(AND(C813&gt;0,D813&lt;&gt;"",S813=""),VLOOKUP(A813&amp;IF(H813="黑丝","黑","白")&amp;E813,经纬!A:M,13,FALSE)*(I813-AB813),"")</f>
        <v/>
      </c>
      <c r="AA813" s="340" t="str">
        <f>IF(AND(C813&gt;0,D813&lt;&gt;"",S813=""),VLOOKUP(A813&amp;IF(H813="黑丝","黑","白")&amp;E813,经纬!A:N,14,FALSE)*(I813-AB813),"")</f>
        <v/>
      </c>
    </row>
    <row r="814" spans="13:27">
      <c r="M814" s="24" t="str">
        <f t="array" ref="M814">LEFT(L814,MIN(FIND({"A","B","C"},MID(L814,2,LEN(L814))&amp;"ABC")))</f>
        <v/>
      </c>
      <c r="N814" s="24" t="str">
        <f t="array" ref="N814">SUBSTITUTE(L814,M814,"")</f>
        <v/>
      </c>
      <c r="X814" s="258" t="str">
        <f t="shared" si="46"/>
        <v/>
      </c>
      <c r="Y814" s="36" t="str">
        <f t="shared" si="47"/>
        <v/>
      </c>
      <c r="Z814" s="340" t="str">
        <f>IF(AND(C814&gt;0,D814&lt;&gt;"",S814=""),VLOOKUP(A814&amp;IF(H814="黑丝","黑","白")&amp;E814,经纬!A:M,13,FALSE)*(I814-AB814),"")</f>
        <v/>
      </c>
      <c r="AA814" s="340" t="str">
        <f>IF(AND(C814&gt;0,D814&lt;&gt;"",S814=""),VLOOKUP(A814&amp;IF(H814="黑丝","黑","白")&amp;E814,经纬!A:N,14,FALSE)*(I814-AB814),"")</f>
        <v/>
      </c>
    </row>
    <row r="815" spans="13:27">
      <c r="M815" s="24" t="str">
        <f t="array" ref="M815">LEFT(L815,MIN(FIND({"A","B","C"},MID(L815,2,LEN(L815))&amp;"ABC")))</f>
        <v/>
      </c>
      <c r="N815" s="24" t="str">
        <f t="array" ref="N815">SUBSTITUTE(L815,M815,"")</f>
        <v/>
      </c>
      <c r="X815" s="258" t="str">
        <f t="shared" si="46"/>
        <v/>
      </c>
      <c r="Y815" s="36" t="str">
        <f t="shared" si="47"/>
        <v/>
      </c>
      <c r="Z815" s="340" t="str">
        <f>IF(AND(C815&gt;0,D815&lt;&gt;"",S815=""),VLOOKUP(A815&amp;IF(H815="黑丝","黑","白")&amp;E815,经纬!A:M,13,FALSE)*(I815-AB815),"")</f>
        <v/>
      </c>
      <c r="AA815" s="340" t="str">
        <f>IF(AND(C815&gt;0,D815&lt;&gt;"",S815=""),VLOOKUP(A815&amp;IF(H815="黑丝","黑","白")&amp;E815,经纬!A:N,14,FALSE)*(I815-AB815),"")</f>
        <v/>
      </c>
    </row>
    <row r="816" spans="13:27">
      <c r="M816" s="24" t="str">
        <f t="array" ref="M816">LEFT(L816,MIN(FIND({"A","B","C"},MID(L816,2,LEN(L816))&amp;"ABC")))</f>
        <v/>
      </c>
      <c r="N816" s="24" t="str">
        <f t="array" ref="N816">SUBSTITUTE(L816,M816,"")</f>
        <v/>
      </c>
      <c r="X816" s="258" t="str">
        <f t="shared" si="46"/>
        <v/>
      </c>
      <c r="Y816" s="36" t="str">
        <f t="shared" si="47"/>
        <v/>
      </c>
      <c r="Z816" s="340" t="str">
        <f>IF(AND(C816&gt;0,D816&lt;&gt;"",S816=""),VLOOKUP(A816&amp;IF(H816="黑丝","黑","白")&amp;E816,经纬!A:M,13,FALSE)*(I816-AB816),"")</f>
        <v/>
      </c>
      <c r="AA816" s="340" t="str">
        <f>IF(AND(C816&gt;0,D816&lt;&gt;"",S816=""),VLOOKUP(A816&amp;IF(H816="黑丝","黑","白")&amp;E816,经纬!A:N,14,FALSE)*(I816-AB816),"")</f>
        <v/>
      </c>
    </row>
    <row r="817" spans="13:27">
      <c r="M817" s="24" t="str">
        <f t="array" ref="M817">LEFT(L817,MIN(FIND({"A","B","C"},MID(L817,2,LEN(L817))&amp;"ABC")))</f>
        <v/>
      </c>
      <c r="N817" s="24" t="str">
        <f t="array" ref="N817">SUBSTITUTE(L817,M817,"")</f>
        <v/>
      </c>
      <c r="X817" s="258" t="str">
        <f t="shared" si="46"/>
        <v/>
      </c>
      <c r="Y817" s="36" t="str">
        <f t="shared" si="47"/>
        <v/>
      </c>
      <c r="Z817" s="340" t="str">
        <f>IF(AND(C817&gt;0,D817&lt;&gt;"",S817=""),VLOOKUP(A817&amp;IF(H817="黑丝","黑","白")&amp;E817,经纬!A:M,13,FALSE)*(I817-AB817),"")</f>
        <v/>
      </c>
      <c r="AA817" s="340" t="str">
        <f>IF(AND(C817&gt;0,D817&lt;&gt;"",S817=""),VLOOKUP(A817&amp;IF(H817="黑丝","黑","白")&amp;E817,经纬!A:N,14,FALSE)*(I817-AB817),"")</f>
        <v/>
      </c>
    </row>
    <row r="818" spans="13:27">
      <c r="M818" s="24" t="str">
        <f t="array" ref="M818">LEFT(L818,MIN(FIND({"A","B","C"},MID(L818,2,LEN(L818))&amp;"ABC")))</f>
        <v/>
      </c>
      <c r="N818" s="24" t="str">
        <f t="array" ref="N818">SUBSTITUTE(L818,M818,"")</f>
        <v/>
      </c>
      <c r="X818" s="258" t="str">
        <f t="shared" si="46"/>
        <v/>
      </c>
      <c r="Y818" s="36" t="str">
        <f t="shared" si="47"/>
        <v/>
      </c>
      <c r="Z818" s="340" t="str">
        <f>IF(AND(C818&gt;0,D818&lt;&gt;"",S818=""),VLOOKUP(A818&amp;IF(H818="黑丝","黑","白")&amp;E818,经纬!A:M,13,FALSE)*(I818-AB818),"")</f>
        <v/>
      </c>
      <c r="AA818" s="340" t="str">
        <f>IF(AND(C818&gt;0,D818&lt;&gt;"",S818=""),VLOOKUP(A818&amp;IF(H818="黑丝","黑","白")&amp;E818,经纬!A:N,14,FALSE)*(I818-AB818),"")</f>
        <v/>
      </c>
    </row>
    <row r="819" spans="13:27">
      <c r="M819" s="24" t="str">
        <f t="array" ref="M819">LEFT(L819,MIN(FIND({"A","B","C"},MID(L819,2,LEN(L819))&amp;"ABC")))</f>
        <v/>
      </c>
      <c r="N819" s="24" t="str">
        <f t="array" ref="N819">SUBSTITUTE(L819,M819,"")</f>
        <v/>
      </c>
      <c r="X819" s="258" t="str">
        <f t="shared" si="46"/>
        <v/>
      </c>
      <c r="Y819" s="36" t="str">
        <f t="shared" si="47"/>
        <v/>
      </c>
      <c r="Z819" s="340" t="str">
        <f>IF(AND(C819&gt;0,D819&lt;&gt;"",S819=""),VLOOKUP(A819&amp;IF(H819="黑丝","黑","白")&amp;E819,经纬!A:M,13,FALSE)*(I819-AB819),"")</f>
        <v/>
      </c>
      <c r="AA819" s="340" t="str">
        <f>IF(AND(C819&gt;0,D819&lt;&gt;"",S819=""),VLOOKUP(A819&amp;IF(H819="黑丝","黑","白")&amp;E819,经纬!A:N,14,FALSE)*(I819-AB819),"")</f>
        <v/>
      </c>
    </row>
    <row r="820" spans="13:27">
      <c r="M820" s="24" t="str">
        <f t="array" ref="M820">LEFT(L820,MIN(FIND({"A","B","C"},MID(L820,2,LEN(L820))&amp;"ABC")))</f>
        <v/>
      </c>
      <c r="N820" s="24" t="str">
        <f t="array" ref="N820">SUBSTITUTE(L820,M820,"")</f>
        <v/>
      </c>
      <c r="X820" s="258" t="str">
        <f t="shared" si="46"/>
        <v/>
      </c>
      <c r="Y820" s="36" t="str">
        <f t="shared" si="47"/>
        <v/>
      </c>
      <c r="Z820" s="340" t="str">
        <f>IF(AND(C820&gt;0,D820&lt;&gt;"",S820=""),VLOOKUP(A820&amp;IF(H820="黑丝","黑","白")&amp;E820,经纬!A:M,13,FALSE)*(I820-AB820),"")</f>
        <v/>
      </c>
      <c r="AA820" s="340" t="str">
        <f>IF(AND(C820&gt;0,D820&lt;&gt;"",S820=""),VLOOKUP(A820&amp;IF(H820="黑丝","黑","白")&amp;E820,经纬!A:N,14,FALSE)*(I820-AB820),"")</f>
        <v/>
      </c>
    </row>
    <row r="821" spans="13:27">
      <c r="M821" s="24" t="str">
        <f t="array" ref="M821">LEFT(L821,MIN(FIND({"A","B","C"},MID(L821,2,LEN(L821))&amp;"ABC")))</f>
        <v/>
      </c>
      <c r="N821" s="24" t="str">
        <f t="array" ref="N821">SUBSTITUTE(L821,M821,"")</f>
        <v/>
      </c>
      <c r="X821" s="258" t="str">
        <f t="shared" si="46"/>
        <v/>
      </c>
      <c r="Y821" s="36" t="str">
        <f t="shared" si="47"/>
        <v/>
      </c>
      <c r="Z821" s="340" t="str">
        <f>IF(AND(C821&gt;0,D821&lt;&gt;"",S821=""),VLOOKUP(A821&amp;IF(H821="黑丝","黑","白")&amp;E821,经纬!A:M,13,FALSE)*(I821-AB821),"")</f>
        <v/>
      </c>
      <c r="AA821" s="340" t="str">
        <f>IF(AND(C821&gt;0,D821&lt;&gt;"",S821=""),VLOOKUP(A821&amp;IF(H821="黑丝","黑","白")&amp;E821,经纬!A:N,14,FALSE)*(I821-AB821),"")</f>
        <v/>
      </c>
    </row>
    <row r="822" spans="13:27">
      <c r="M822" s="24" t="str">
        <f t="array" ref="M822">LEFT(L822,MIN(FIND({"A","B","C"},MID(L822,2,LEN(L822))&amp;"ABC")))</f>
        <v/>
      </c>
      <c r="N822" s="24" t="str">
        <f t="array" ref="N822">SUBSTITUTE(L822,M822,"")</f>
        <v/>
      </c>
      <c r="X822" s="258" t="str">
        <f t="shared" si="46"/>
        <v/>
      </c>
      <c r="Y822" s="36" t="str">
        <f t="shared" si="47"/>
        <v/>
      </c>
      <c r="Z822" s="340" t="str">
        <f>IF(AND(C822&gt;0,D822&lt;&gt;"",S822=""),VLOOKUP(A822&amp;IF(H822="黑丝","黑","白")&amp;E822,经纬!A:M,13,FALSE)*(I822-AB822),"")</f>
        <v/>
      </c>
      <c r="AA822" s="340" t="str">
        <f>IF(AND(C822&gt;0,D822&lt;&gt;"",S822=""),VLOOKUP(A822&amp;IF(H822="黑丝","黑","白")&amp;E822,经纬!A:N,14,FALSE)*(I822-AB822),"")</f>
        <v/>
      </c>
    </row>
    <row r="823" spans="13:27">
      <c r="M823" s="24" t="str">
        <f t="array" ref="M823">LEFT(L823,MIN(FIND({"A","B","C"},MID(L823,2,LEN(L823))&amp;"ABC")))</f>
        <v/>
      </c>
      <c r="N823" s="24" t="str">
        <f t="array" ref="N823">SUBSTITUTE(L823,M823,"")</f>
        <v/>
      </c>
      <c r="X823" s="258" t="str">
        <f t="shared" si="46"/>
        <v/>
      </c>
      <c r="Y823" s="36" t="str">
        <f t="shared" si="47"/>
        <v/>
      </c>
      <c r="Z823" s="340" t="str">
        <f>IF(AND(C823&gt;0,D823&lt;&gt;"",S823=""),VLOOKUP(A823&amp;IF(H823="黑丝","黑","白")&amp;E823,经纬!A:M,13,FALSE)*(I823-AB823),"")</f>
        <v/>
      </c>
      <c r="AA823" s="340" t="str">
        <f>IF(AND(C823&gt;0,D823&lt;&gt;"",S823=""),VLOOKUP(A823&amp;IF(H823="黑丝","黑","白")&amp;E823,经纬!A:N,14,FALSE)*(I823-AB823),"")</f>
        <v/>
      </c>
    </row>
    <row r="824" spans="13:27">
      <c r="M824" s="24" t="str">
        <f t="array" ref="M824">LEFT(L824,MIN(FIND({"A","B","C"},MID(L824,2,LEN(L824))&amp;"ABC")))</f>
        <v/>
      </c>
      <c r="N824" s="24" t="str">
        <f t="array" ref="N824">SUBSTITUTE(L824,M824,"")</f>
        <v/>
      </c>
      <c r="X824" s="258" t="str">
        <f t="shared" si="46"/>
        <v/>
      </c>
      <c r="Y824" s="36" t="str">
        <f t="shared" si="47"/>
        <v/>
      </c>
      <c r="Z824" s="340" t="str">
        <f>IF(AND(C824&gt;0,D824&lt;&gt;"",S824=""),VLOOKUP(A824&amp;IF(H824="黑丝","黑","白")&amp;E824,经纬!A:M,13,FALSE)*(I824-AB824),"")</f>
        <v/>
      </c>
      <c r="AA824" s="340" t="str">
        <f>IF(AND(C824&gt;0,D824&lt;&gt;"",S824=""),VLOOKUP(A824&amp;IF(H824="黑丝","黑","白")&amp;E824,经纬!A:N,14,FALSE)*(I824-AB824),"")</f>
        <v/>
      </c>
    </row>
    <row r="825" spans="13:27">
      <c r="M825" s="24" t="str">
        <f t="array" ref="M825">LEFT(L825,MIN(FIND({"A","B","C"},MID(L825,2,LEN(L825))&amp;"ABC")))</f>
        <v/>
      </c>
      <c r="N825" s="24" t="str">
        <f t="array" ref="N825">SUBSTITUTE(L825,M825,"")</f>
        <v/>
      </c>
      <c r="X825" s="258" t="str">
        <f t="shared" si="46"/>
        <v/>
      </c>
      <c r="Y825" s="36" t="str">
        <f t="shared" si="47"/>
        <v/>
      </c>
      <c r="Z825" s="340" t="str">
        <f>IF(AND(C825&gt;0,D825&lt;&gt;"",S825=""),VLOOKUP(A825&amp;IF(H825="黑丝","黑","白")&amp;E825,经纬!A:M,13,FALSE)*(I825-AB825),"")</f>
        <v/>
      </c>
      <c r="AA825" s="340" t="str">
        <f>IF(AND(C825&gt;0,D825&lt;&gt;"",S825=""),VLOOKUP(A825&amp;IF(H825="黑丝","黑","白")&amp;E825,经纬!A:N,14,FALSE)*(I825-AB825),"")</f>
        <v/>
      </c>
    </row>
    <row r="826" spans="13:27">
      <c r="M826" s="24" t="str">
        <f t="array" ref="M826">LEFT(L826,MIN(FIND({"A","B","C"},MID(L826,2,LEN(L826))&amp;"ABC")))</f>
        <v/>
      </c>
      <c r="N826" s="24" t="str">
        <f t="array" ref="N826">SUBSTITUTE(L826,M826,"")</f>
        <v/>
      </c>
      <c r="X826" s="258" t="str">
        <f t="shared" si="46"/>
        <v/>
      </c>
      <c r="Y826" s="36" t="str">
        <f t="shared" si="47"/>
        <v/>
      </c>
      <c r="Z826" s="340" t="str">
        <f>IF(AND(C826&gt;0,D826&lt;&gt;"",S826=""),VLOOKUP(A826&amp;IF(H826="黑丝","黑","白")&amp;E826,经纬!A:M,13,FALSE)*(I826-AB826),"")</f>
        <v/>
      </c>
      <c r="AA826" s="340" t="str">
        <f>IF(AND(C826&gt;0,D826&lt;&gt;"",S826=""),VLOOKUP(A826&amp;IF(H826="黑丝","黑","白")&amp;E826,经纬!A:N,14,FALSE)*(I826-AB826),"")</f>
        <v/>
      </c>
    </row>
    <row r="827" spans="13:27">
      <c r="M827" s="24" t="str">
        <f t="array" ref="M827">LEFT(L827,MIN(FIND({"A","B","C"},MID(L827,2,LEN(L827))&amp;"ABC")))</f>
        <v/>
      </c>
      <c r="N827" s="24" t="str">
        <f t="array" ref="N827">SUBSTITUTE(L827,M827,"")</f>
        <v/>
      </c>
      <c r="X827" s="258" t="str">
        <f t="shared" si="46"/>
        <v/>
      </c>
      <c r="Y827" s="36" t="str">
        <f t="shared" si="47"/>
        <v/>
      </c>
      <c r="Z827" s="340" t="str">
        <f>IF(AND(C827&gt;0,D827&lt;&gt;"",S827=""),VLOOKUP(A827&amp;IF(H827="黑丝","黑","白")&amp;E827,经纬!A:M,13,FALSE)*(I827-AB827),"")</f>
        <v/>
      </c>
      <c r="AA827" s="340" t="str">
        <f>IF(AND(C827&gt;0,D827&lt;&gt;"",S827=""),VLOOKUP(A827&amp;IF(H827="黑丝","黑","白")&amp;E827,经纬!A:N,14,FALSE)*(I827-AB827),"")</f>
        <v/>
      </c>
    </row>
    <row r="828" spans="13:27">
      <c r="M828" s="24" t="str">
        <f t="array" ref="M828">LEFT(L828,MIN(FIND({"A","B","C"},MID(L828,2,LEN(L828))&amp;"ABC")))</f>
        <v/>
      </c>
      <c r="N828" s="24" t="str">
        <f t="array" ref="N828">SUBSTITUTE(L828,M828,"")</f>
        <v/>
      </c>
      <c r="X828" s="258" t="str">
        <f t="shared" si="46"/>
        <v/>
      </c>
      <c r="Y828" s="36" t="str">
        <f t="shared" si="47"/>
        <v/>
      </c>
      <c r="Z828" s="340" t="str">
        <f>IF(AND(C828&gt;0,D828&lt;&gt;"",S828=""),VLOOKUP(A828&amp;IF(H828="黑丝","黑","白")&amp;E828,经纬!A:M,13,FALSE)*(I828-AB828),"")</f>
        <v/>
      </c>
      <c r="AA828" s="340" t="str">
        <f>IF(AND(C828&gt;0,D828&lt;&gt;"",S828=""),VLOOKUP(A828&amp;IF(H828="黑丝","黑","白")&amp;E828,经纬!A:N,14,FALSE)*(I828-AB828),"")</f>
        <v/>
      </c>
    </row>
    <row r="829" spans="13:27">
      <c r="M829" s="24" t="str">
        <f t="array" ref="M829">LEFT(L829,MIN(FIND({"A","B","C"},MID(L829,2,LEN(L829))&amp;"ABC")))</f>
        <v/>
      </c>
      <c r="N829" s="24" t="str">
        <f t="array" ref="N829">SUBSTITUTE(L829,M829,"")</f>
        <v/>
      </c>
      <c r="X829" s="258" t="str">
        <f t="shared" si="46"/>
        <v/>
      </c>
      <c r="Y829" s="36" t="str">
        <f t="shared" si="47"/>
        <v/>
      </c>
      <c r="Z829" s="340" t="str">
        <f>IF(AND(C829&gt;0,D829&lt;&gt;"",S829=""),VLOOKUP(A829&amp;IF(H829="黑丝","黑","白")&amp;E829,经纬!A:M,13,FALSE)*(I829-AB829),"")</f>
        <v/>
      </c>
      <c r="AA829" s="340" t="str">
        <f>IF(AND(C829&gt;0,D829&lt;&gt;"",S829=""),VLOOKUP(A829&amp;IF(H829="黑丝","黑","白")&amp;E829,经纬!A:N,14,FALSE)*(I829-AB829),"")</f>
        <v/>
      </c>
    </row>
    <row r="830" spans="13:27">
      <c r="M830" s="24" t="str">
        <f t="array" ref="M830">LEFT(L830,MIN(FIND({"A","B","C"},MID(L830,2,LEN(L830))&amp;"ABC")))</f>
        <v/>
      </c>
      <c r="N830" s="24" t="str">
        <f t="array" ref="N830">SUBSTITUTE(L830,M830,"")</f>
        <v/>
      </c>
      <c r="X830" s="258" t="str">
        <f t="shared" si="46"/>
        <v/>
      </c>
      <c r="Y830" s="36" t="str">
        <f t="shared" si="47"/>
        <v/>
      </c>
      <c r="Z830" s="340" t="str">
        <f>IF(AND(C830&gt;0,D830&lt;&gt;"",S830=""),VLOOKUP(A830&amp;IF(H830="黑丝","黑","白")&amp;E830,经纬!A:M,13,FALSE)*(I830-AB830),"")</f>
        <v/>
      </c>
      <c r="AA830" s="340" t="str">
        <f>IF(AND(C830&gt;0,D830&lt;&gt;"",S830=""),VLOOKUP(A830&amp;IF(H830="黑丝","黑","白")&amp;E830,经纬!A:N,14,FALSE)*(I830-AB830),"")</f>
        <v/>
      </c>
    </row>
    <row r="831" spans="13:27">
      <c r="M831" s="24" t="str">
        <f t="array" ref="M831">LEFT(L831,MIN(FIND({"A","B","C"},MID(L831,2,LEN(L831))&amp;"ABC")))</f>
        <v/>
      </c>
      <c r="N831" s="24" t="str">
        <f t="array" ref="N831">SUBSTITUTE(L831,M831,"")</f>
        <v/>
      </c>
      <c r="X831" s="258" t="str">
        <f t="shared" si="46"/>
        <v/>
      </c>
      <c r="Y831" s="36" t="str">
        <f t="shared" si="47"/>
        <v/>
      </c>
      <c r="Z831" s="340" t="str">
        <f>IF(AND(C831&gt;0,D831&lt;&gt;"",S831=""),VLOOKUP(A831&amp;IF(H831="黑丝","黑","白")&amp;E831,经纬!A:M,13,FALSE)*(I831-AB831),"")</f>
        <v/>
      </c>
      <c r="AA831" s="340" t="str">
        <f>IF(AND(C831&gt;0,D831&lt;&gt;"",S831=""),VLOOKUP(A831&amp;IF(H831="黑丝","黑","白")&amp;E831,经纬!A:N,14,FALSE)*(I831-AB831),"")</f>
        <v/>
      </c>
    </row>
    <row r="832" spans="13:27">
      <c r="M832" s="24" t="str">
        <f t="array" ref="M832">LEFT(L832,MIN(FIND({"A","B","C"},MID(L832,2,LEN(L832))&amp;"ABC")))</f>
        <v/>
      </c>
      <c r="N832" s="24" t="str">
        <f t="array" ref="N832">SUBSTITUTE(L832,M832,"")</f>
        <v/>
      </c>
      <c r="X832" s="258" t="str">
        <f t="shared" si="46"/>
        <v/>
      </c>
      <c r="Y832" s="36" t="str">
        <f t="shared" si="47"/>
        <v/>
      </c>
      <c r="Z832" s="340" t="str">
        <f>IF(AND(C832&gt;0,D832&lt;&gt;"",S832=""),VLOOKUP(A832&amp;IF(H832="黑丝","黑","白")&amp;E832,经纬!A:M,13,FALSE)*(I832-AB832),"")</f>
        <v/>
      </c>
      <c r="AA832" s="340" t="str">
        <f>IF(AND(C832&gt;0,D832&lt;&gt;"",S832=""),VLOOKUP(A832&amp;IF(H832="黑丝","黑","白")&amp;E832,经纬!A:N,14,FALSE)*(I832-AB832),"")</f>
        <v/>
      </c>
    </row>
    <row r="833" spans="13:27">
      <c r="M833" s="24" t="str">
        <f t="array" ref="M833">LEFT(L833,MIN(FIND({"A","B","C"},MID(L833,2,LEN(L833))&amp;"ABC")))</f>
        <v/>
      </c>
      <c r="N833" s="24" t="str">
        <f t="array" ref="N833">SUBSTITUTE(L833,M833,"")</f>
        <v/>
      </c>
      <c r="X833" s="258" t="str">
        <f t="shared" si="46"/>
        <v/>
      </c>
      <c r="Y833" s="36" t="str">
        <f t="shared" si="47"/>
        <v/>
      </c>
      <c r="Z833" s="340" t="str">
        <f>IF(AND(C833&gt;0,D833&lt;&gt;"",S833=""),VLOOKUP(A833&amp;IF(H833="黑丝","黑","白")&amp;E833,经纬!A:M,13,FALSE)*(I833-AB833),"")</f>
        <v/>
      </c>
      <c r="AA833" s="340" t="str">
        <f>IF(AND(C833&gt;0,D833&lt;&gt;"",S833=""),VLOOKUP(A833&amp;IF(H833="黑丝","黑","白")&amp;E833,经纬!A:N,14,FALSE)*(I833-AB833),"")</f>
        <v/>
      </c>
    </row>
    <row r="834" spans="13:27">
      <c r="M834" s="24" t="str">
        <f t="array" ref="M834">LEFT(L834,MIN(FIND({"A","B","C"},MID(L834,2,LEN(L834))&amp;"ABC")))</f>
        <v/>
      </c>
      <c r="N834" s="24" t="str">
        <f t="array" ref="N834">SUBSTITUTE(L834,M834,"")</f>
        <v/>
      </c>
      <c r="X834" s="258" t="str">
        <f t="shared" si="46"/>
        <v/>
      </c>
      <c r="Y834" s="36" t="str">
        <f t="shared" si="47"/>
        <v/>
      </c>
      <c r="Z834" s="340" t="str">
        <f>IF(AND(C834&gt;0,D834&lt;&gt;"",S834=""),VLOOKUP(A834&amp;IF(H834="黑丝","黑","白")&amp;E834,经纬!A:M,13,FALSE)*(I834-AB834),"")</f>
        <v/>
      </c>
      <c r="AA834" s="340" t="str">
        <f>IF(AND(C834&gt;0,D834&lt;&gt;"",S834=""),VLOOKUP(A834&amp;IF(H834="黑丝","黑","白")&amp;E834,经纬!A:N,14,FALSE)*(I834-AB834),"")</f>
        <v/>
      </c>
    </row>
    <row r="835" spans="13:27">
      <c r="M835" s="24" t="str">
        <f t="array" ref="M835">LEFT(L835,MIN(FIND({"A","B","C"},MID(L835,2,LEN(L835))&amp;"ABC")))</f>
        <v/>
      </c>
      <c r="N835" s="24" t="str">
        <f t="array" ref="N835">SUBSTITUTE(L835,M835,"")</f>
        <v/>
      </c>
      <c r="X835" s="258" t="str">
        <f t="shared" si="46"/>
        <v/>
      </c>
      <c r="Y835" s="36" t="str">
        <f t="shared" si="47"/>
        <v/>
      </c>
      <c r="Z835" s="340" t="str">
        <f>IF(AND(C835&gt;0,D835&lt;&gt;"",S835=""),VLOOKUP(A835&amp;IF(H835="黑丝","黑","白")&amp;E835,经纬!A:M,13,FALSE)*(I835-AB835),"")</f>
        <v/>
      </c>
      <c r="AA835" s="340" t="str">
        <f>IF(AND(C835&gt;0,D835&lt;&gt;"",S835=""),VLOOKUP(A835&amp;IF(H835="黑丝","黑","白")&amp;E835,经纬!A:N,14,FALSE)*(I835-AB835),"")</f>
        <v/>
      </c>
    </row>
    <row r="836" spans="13:27">
      <c r="M836" s="24" t="str">
        <f t="array" ref="M836">LEFT(L836,MIN(FIND({"A","B","C"},MID(L836,2,LEN(L836))&amp;"ABC")))</f>
        <v/>
      </c>
      <c r="N836" s="24" t="str">
        <f t="array" ref="N836">SUBSTITUTE(L836,M836,"")</f>
        <v/>
      </c>
      <c r="X836" s="258" t="str">
        <f t="shared" si="46"/>
        <v/>
      </c>
      <c r="Y836" s="36" t="str">
        <f t="shared" si="47"/>
        <v/>
      </c>
      <c r="Z836" s="340" t="str">
        <f>IF(AND(C836&gt;0,D836&lt;&gt;"",S836=""),VLOOKUP(A836&amp;IF(H836="黑丝","黑","白")&amp;E836,经纬!A:M,13,FALSE)*(I836-AB836),"")</f>
        <v/>
      </c>
      <c r="AA836" s="340" t="str">
        <f>IF(AND(C836&gt;0,D836&lt;&gt;"",S836=""),VLOOKUP(A836&amp;IF(H836="黑丝","黑","白")&amp;E836,经纬!A:N,14,FALSE)*(I836-AB836),"")</f>
        <v/>
      </c>
    </row>
    <row r="837" spans="13:27">
      <c r="M837" s="24" t="str">
        <f t="array" ref="M837">LEFT(L837,MIN(FIND({"A","B","C"},MID(L837,2,LEN(L837))&amp;"ABC")))</f>
        <v/>
      </c>
      <c r="N837" s="24" t="str">
        <f t="array" ref="N837">SUBSTITUTE(L837,M837,"")</f>
        <v/>
      </c>
      <c r="X837" s="258" t="str">
        <f t="shared" si="46"/>
        <v/>
      </c>
      <c r="Y837" s="36" t="str">
        <f t="shared" si="47"/>
        <v/>
      </c>
      <c r="Z837" s="340" t="str">
        <f>IF(AND(C837&gt;0,D837&lt;&gt;"",S837=""),VLOOKUP(A837&amp;IF(H837="黑丝","黑","白")&amp;E837,经纬!A:M,13,FALSE)*(I837-AB837),"")</f>
        <v/>
      </c>
      <c r="AA837" s="340" t="str">
        <f>IF(AND(C837&gt;0,D837&lt;&gt;"",S837=""),VLOOKUP(A837&amp;IF(H837="黑丝","黑","白")&amp;E837,经纬!A:N,14,FALSE)*(I837-AB837),"")</f>
        <v/>
      </c>
    </row>
    <row r="838" spans="13:27">
      <c r="M838" s="24" t="str">
        <f t="array" ref="M838">LEFT(L838,MIN(FIND({"A","B","C"},MID(L838,2,LEN(L838))&amp;"ABC")))</f>
        <v/>
      </c>
      <c r="N838" s="24" t="str">
        <f t="array" ref="N838">SUBSTITUTE(L838,M838,"")</f>
        <v/>
      </c>
      <c r="X838" s="258" t="str">
        <f t="shared" si="46"/>
        <v/>
      </c>
      <c r="Y838" s="36" t="str">
        <f t="shared" si="47"/>
        <v/>
      </c>
      <c r="Z838" s="340" t="str">
        <f>IF(AND(C838&gt;0,D838&lt;&gt;"",S838=""),VLOOKUP(A838&amp;IF(H838="黑丝","黑","白")&amp;E838,经纬!A:M,13,FALSE)*(I838-AB838),"")</f>
        <v/>
      </c>
      <c r="AA838" s="340" t="str">
        <f>IF(AND(C838&gt;0,D838&lt;&gt;"",S838=""),VLOOKUP(A838&amp;IF(H838="黑丝","黑","白")&amp;E838,经纬!A:N,14,FALSE)*(I838-AB838),"")</f>
        <v/>
      </c>
    </row>
    <row r="839" spans="13:27">
      <c r="M839" s="24" t="str">
        <f t="array" ref="M839">LEFT(L839,MIN(FIND({"A","B","C"},MID(L839,2,LEN(L839))&amp;"ABC")))</f>
        <v/>
      </c>
      <c r="N839" s="24" t="str">
        <f t="array" ref="N839">SUBSTITUTE(L839,M839,"")</f>
        <v/>
      </c>
      <c r="X839" s="258" t="str">
        <f t="shared" si="46"/>
        <v/>
      </c>
      <c r="Y839" s="36" t="str">
        <f t="shared" si="47"/>
        <v/>
      </c>
      <c r="Z839" s="340" t="str">
        <f>IF(AND(C839&gt;0,D839&lt;&gt;"",S839=""),VLOOKUP(A839&amp;IF(H839="黑丝","黑","白")&amp;E839,经纬!A:M,13,FALSE)*(I839-AB839),"")</f>
        <v/>
      </c>
      <c r="AA839" s="340" t="str">
        <f>IF(AND(C839&gt;0,D839&lt;&gt;"",S839=""),VLOOKUP(A839&amp;IF(H839="黑丝","黑","白")&amp;E839,经纬!A:N,14,FALSE)*(I839-AB839),"")</f>
        <v/>
      </c>
    </row>
    <row r="840" spans="13:27">
      <c r="M840" s="24" t="str">
        <f t="array" ref="M840">LEFT(L840,MIN(FIND({"A","B","C"},MID(L840,2,LEN(L840))&amp;"ABC")))</f>
        <v/>
      </c>
      <c r="N840" s="24" t="str">
        <f t="array" ref="N840">SUBSTITUTE(L840,M840,"")</f>
        <v/>
      </c>
      <c r="X840" s="258" t="str">
        <f t="shared" si="46"/>
        <v/>
      </c>
      <c r="Y840" s="36" t="str">
        <f t="shared" si="47"/>
        <v/>
      </c>
      <c r="Z840" s="340" t="str">
        <f>IF(AND(C840&gt;0,D840&lt;&gt;"",S840=""),VLOOKUP(A840&amp;IF(H840="黑丝","黑","白")&amp;E840,经纬!A:M,13,FALSE)*(I840-AB840),"")</f>
        <v/>
      </c>
      <c r="AA840" s="340" t="str">
        <f>IF(AND(C840&gt;0,D840&lt;&gt;"",S840=""),VLOOKUP(A840&amp;IF(H840="黑丝","黑","白")&amp;E840,经纬!A:N,14,FALSE)*(I840-AB840),"")</f>
        <v/>
      </c>
    </row>
    <row r="841" spans="13:27">
      <c r="M841" s="24" t="str">
        <f t="array" ref="M841">LEFT(L841,MIN(FIND({"A","B","C"},MID(L841,2,LEN(L841))&amp;"ABC")))</f>
        <v/>
      </c>
      <c r="N841" s="24" t="str">
        <f t="array" ref="N841">SUBSTITUTE(L841,M841,"")</f>
        <v/>
      </c>
      <c r="X841" s="258" t="str">
        <f t="shared" si="46"/>
        <v/>
      </c>
      <c r="Y841" s="36" t="str">
        <f t="shared" si="47"/>
        <v/>
      </c>
      <c r="Z841" s="340" t="str">
        <f>IF(AND(C841&gt;0,D841&lt;&gt;"",S841=""),VLOOKUP(A841&amp;IF(H841="黑丝","黑","白")&amp;E841,经纬!A:M,13,FALSE)*(I841-AB841),"")</f>
        <v/>
      </c>
      <c r="AA841" s="340" t="str">
        <f>IF(AND(C841&gt;0,D841&lt;&gt;"",S841=""),VLOOKUP(A841&amp;IF(H841="黑丝","黑","白")&amp;E841,经纬!A:N,14,FALSE)*(I841-AB841),"")</f>
        <v/>
      </c>
    </row>
    <row r="842" spans="13:27">
      <c r="M842" s="24" t="str">
        <f t="array" ref="M842">LEFT(L842,MIN(FIND({"A","B","C"},MID(L842,2,LEN(L842))&amp;"ABC")))</f>
        <v/>
      </c>
      <c r="N842" s="24" t="str">
        <f t="array" ref="N842">SUBSTITUTE(L842,M842,"")</f>
        <v/>
      </c>
      <c r="X842" s="258" t="str">
        <f t="shared" si="46"/>
        <v/>
      </c>
      <c r="Y842" s="36" t="str">
        <f t="shared" si="47"/>
        <v/>
      </c>
      <c r="Z842" s="340" t="str">
        <f>IF(AND(C842&gt;0,D842&lt;&gt;"",S842=""),VLOOKUP(A842&amp;IF(H842="黑丝","黑","白")&amp;E842,经纬!A:M,13,FALSE)*(I842-AB842),"")</f>
        <v/>
      </c>
      <c r="AA842" s="340" t="str">
        <f>IF(AND(C842&gt;0,D842&lt;&gt;"",S842=""),VLOOKUP(A842&amp;IF(H842="黑丝","黑","白")&amp;E842,经纬!A:N,14,FALSE)*(I842-AB842),"")</f>
        <v/>
      </c>
    </row>
    <row r="843" spans="13:27">
      <c r="M843" s="24" t="str">
        <f t="array" ref="M843">LEFT(L843,MIN(FIND({"A","B","C"},MID(L843,2,LEN(L843))&amp;"ABC")))</f>
        <v/>
      </c>
      <c r="N843" s="24" t="str">
        <f t="array" ref="N843">SUBSTITUTE(L843,M843,"")</f>
        <v/>
      </c>
      <c r="X843" s="258" t="str">
        <f t="shared" si="46"/>
        <v/>
      </c>
      <c r="Y843" s="36" t="str">
        <f t="shared" si="47"/>
        <v/>
      </c>
      <c r="Z843" s="340" t="str">
        <f>IF(AND(C843&gt;0,D843&lt;&gt;"",S843=""),VLOOKUP(A843&amp;IF(H843="黑丝","黑","白")&amp;E843,经纬!A:M,13,FALSE)*(I843-AB843),"")</f>
        <v/>
      </c>
      <c r="AA843" s="340" t="str">
        <f>IF(AND(C843&gt;0,D843&lt;&gt;"",S843=""),VLOOKUP(A843&amp;IF(H843="黑丝","黑","白")&amp;E843,经纬!A:N,14,FALSE)*(I843-AB843),"")</f>
        <v/>
      </c>
    </row>
    <row r="844" spans="13:27">
      <c r="M844" s="24" t="str">
        <f t="array" ref="M844">LEFT(L844,MIN(FIND({"A","B","C"},MID(L844,2,LEN(L844))&amp;"ABC")))</f>
        <v/>
      </c>
      <c r="N844" s="24" t="str">
        <f t="array" ref="N844">SUBSTITUTE(L844,M844,"")</f>
        <v/>
      </c>
      <c r="X844" s="258" t="str">
        <f t="shared" si="46"/>
        <v/>
      </c>
      <c r="Y844" s="36" t="str">
        <f t="shared" si="47"/>
        <v/>
      </c>
      <c r="Z844" s="340" t="str">
        <f>IF(AND(C844&gt;0,D844&lt;&gt;"",S844=""),VLOOKUP(A844&amp;IF(H844="黑丝","黑","白")&amp;E844,经纬!A:M,13,FALSE)*(I844-AB844),"")</f>
        <v/>
      </c>
      <c r="AA844" s="340" t="str">
        <f>IF(AND(C844&gt;0,D844&lt;&gt;"",S844=""),VLOOKUP(A844&amp;IF(H844="黑丝","黑","白")&amp;E844,经纬!A:N,14,FALSE)*(I844-AB844),"")</f>
        <v/>
      </c>
    </row>
    <row r="845" spans="13:27">
      <c r="M845" s="24" t="str">
        <f t="array" ref="M845">LEFT(L845,MIN(FIND({"A","B","C"},MID(L845,2,LEN(L845))&amp;"ABC")))</f>
        <v/>
      </c>
      <c r="N845" s="24" t="str">
        <f t="array" ref="N845">SUBSTITUTE(L845,M845,"")</f>
        <v/>
      </c>
      <c r="X845" s="258" t="str">
        <f t="shared" si="46"/>
        <v/>
      </c>
      <c r="Y845" s="36" t="str">
        <f t="shared" si="47"/>
        <v/>
      </c>
      <c r="Z845" s="340" t="str">
        <f>IF(AND(C845&gt;0,D845&lt;&gt;"",S845=""),VLOOKUP(A845&amp;IF(H845="黑丝","黑","白")&amp;E845,经纬!A:M,13,FALSE)*(I845-AB845),"")</f>
        <v/>
      </c>
      <c r="AA845" s="340" t="str">
        <f>IF(AND(C845&gt;0,D845&lt;&gt;"",S845=""),VLOOKUP(A845&amp;IF(H845="黑丝","黑","白")&amp;E845,经纬!A:N,14,FALSE)*(I845-AB845),"")</f>
        <v/>
      </c>
    </row>
    <row r="846" spans="13:27">
      <c r="M846" s="24" t="str">
        <f t="array" ref="M846">LEFT(L846,MIN(FIND({"A","B","C"},MID(L846,2,LEN(L846))&amp;"ABC")))</f>
        <v/>
      </c>
      <c r="N846" s="24" t="str">
        <f t="array" ref="N846">SUBSTITUTE(L846,M846,"")</f>
        <v/>
      </c>
      <c r="X846" s="258" t="str">
        <f t="shared" si="46"/>
        <v/>
      </c>
      <c r="Y846" s="36" t="str">
        <f t="shared" si="47"/>
        <v/>
      </c>
      <c r="Z846" s="340" t="str">
        <f>IF(AND(C846&gt;0,D846&lt;&gt;"",S846=""),VLOOKUP(A846&amp;IF(H846="黑丝","黑","白")&amp;E846,经纬!A:M,13,FALSE)*(I846-AB846),"")</f>
        <v/>
      </c>
      <c r="AA846" s="340" t="str">
        <f>IF(AND(C846&gt;0,D846&lt;&gt;"",S846=""),VLOOKUP(A846&amp;IF(H846="黑丝","黑","白")&amp;E846,经纬!A:N,14,FALSE)*(I846-AB846),"")</f>
        <v/>
      </c>
    </row>
    <row r="847" spans="13:27">
      <c r="M847" s="24" t="str">
        <f t="array" ref="M847">LEFT(L847,MIN(FIND({"A","B","C"},MID(L847,2,LEN(L847))&amp;"ABC")))</f>
        <v/>
      </c>
      <c r="N847" s="24" t="str">
        <f t="array" ref="N847">SUBSTITUTE(L847,M847,"")</f>
        <v/>
      </c>
      <c r="X847" s="258" t="str">
        <f t="shared" si="46"/>
        <v/>
      </c>
      <c r="Y847" s="36" t="str">
        <f t="shared" si="47"/>
        <v/>
      </c>
      <c r="Z847" s="340" t="str">
        <f>IF(AND(C847&gt;0,D847&lt;&gt;"",S847=""),VLOOKUP(A847&amp;IF(H847="黑丝","黑","白")&amp;E847,经纬!A:M,13,FALSE)*(I847-AB847),"")</f>
        <v/>
      </c>
      <c r="AA847" s="340" t="str">
        <f>IF(AND(C847&gt;0,D847&lt;&gt;"",S847=""),VLOOKUP(A847&amp;IF(H847="黑丝","黑","白")&amp;E847,经纬!A:N,14,FALSE)*(I847-AB847),"")</f>
        <v/>
      </c>
    </row>
    <row r="848" spans="13:27">
      <c r="M848" s="24" t="str">
        <f t="array" ref="M848">LEFT(L848,MIN(FIND({"A","B","C"},MID(L848,2,LEN(L848))&amp;"ABC")))</f>
        <v/>
      </c>
      <c r="N848" s="24" t="str">
        <f t="array" ref="N848">SUBSTITUTE(L848,M848,"")</f>
        <v/>
      </c>
      <c r="X848" s="258" t="str">
        <f t="shared" si="46"/>
        <v/>
      </c>
      <c r="Y848" s="36" t="str">
        <f t="shared" si="47"/>
        <v/>
      </c>
      <c r="Z848" s="340" t="str">
        <f>IF(AND(C848&gt;0,D848&lt;&gt;"",S848=""),VLOOKUP(A848&amp;IF(H848="黑丝","黑","白")&amp;E848,经纬!A:M,13,FALSE)*(I848-AB848),"")</f>
        <v/>
      </c>
      <c r="AA848" s="340" t="str">
        <f>IF(AND(C848&gt;0,D848&lt;&gt;"",S848=""),VLOOKUP(A848&amp;IF(H848="黑丝","黑","白")&amp;E848,经纬!A:N,14,FALSE)*(I848-AB848),"")</f>
        <v/>
      </c>
    </row>
    <row r="849" spans="13:27">
      <c r="M849" s="24" t="str">
        <f t="array" ref="M849">LEFT(L849,MIN(FIND({"A","B","C"},MID(L849,2,LEN(L849))&amp;"ABC")))</f>
        <v/>
      </c>
      <c r="N849" s="24" t="str">
        <f t="array" ref="N849">SUBSTITUTE(L849,M849,"")</f>
        <v/>
      </c>
      <c r="X849" s="258" t="str">
        <f t="shared" si="46"/>
        <v/>
      </c>
      <c r="Y849" s="36" t="str">
        <f t="shared" si="47"/>
        <v/>
      </c>
      <c r="Z849" s="340" t="str">
        <f>IF(AND(C849&gt;0,D849&lt;&gt;"",S849=""),VLOOKUP(A849&amp;IF(H849="黑丝","黑","白")&amp;E849,经纬!A:M,13,FALSE)*(I849-AB849),"")</f>
        <v/>
      </c>
      <c r="AA849" s="340" t="str">
        <f>IF(AND(C849&gt;0,D849&lt;&gt;"",S849=""),VLOOKUP(A849&amp;IF(H849="黑丝","黑","白")&amp;E849,经纬!A:N,14,FALSE)*(I849-AB849),"")</f>
        <v/>
      </c>
    </row>
    <row r="850" spans="13:27">
      <c r="M850" s="24" t="str">
        <f t="array" ref="M850">LEFT(L850,MIN(FIND({"A","B","C"},MID(L850,2,LEN(L850))&amp;"ABC")))</f>
        <v/>
      </c>
      <c r="N850" s="24" t="str">
        <f t="array" ref="N850">SUBSTITUTE(L850,M850,"")</f>
        <v/>
      </c>
      <c r="X850" s="258" t="str">
        <f t="shared" si="46"/>
        <v/>
      </c>
      <c r="Y850" s="36" t="str">
        <f t="shared" si="47"/>
        <v/>
      </c>
      <c r="Z850" s="340" t="str">
        <f>IF(AND(C850&gt;0,D850&lt;&gt;"",S850=""),VLOOKUP(A850&amp;IF(H850="黑丝","黑","白")&amp;E850,经纬!A:M,13,FALSE)*(I850-AB850),"")</f>
        <v/>
      </c>
      <c r="AA850" s="340" t="str">
        <f>IF(AND(C850&gt;0,D850&lt;&gt;"",S850=""),VLOOKUP(A850&amp;IF(H850="黑丝","黑","白")&amp;E850,经纬!A:N,14,FALSE)*(I850-AB850),"")</f>
        <v/>
      </c>
    </row>
    <row r="851" spans="13:27">
      <c r="M851" s="24" t="str">
        <f t="array" ref="M851">LEFT(L851,MIN(FIND({"A","B","C"},MID(L851,2,LEN(L851))&amp;"ABC")))</f>
        <v/>
      </c>
      <c r="N851" s="24" t="str">
        <f t="array" ref="N851">SUBSTITUTE(L851,M851,"")</f>
        <v/>
      </c>
      <c r="X851" s="258" t="str">
        <f t="shared" si="46"/>
        <v/>
      </c>
      <c r="Y851" s="36" t="str">
        <f t="shared" si="47"/>
        <v/>
      </c>
      <c r="Z851" s="340" t="str">
        <f>IF(AND(C851&gt;0,D851&lt;&gt;"",S851=""),VLOOKUP(A851&amp;IF(H851="黑丝","黑","白")&amp;E851,经纬!A:M,13,FALSE)*(I851-AB851),"")</f>
        <v/>
      </c>
      <c r="AA851" s="340" t="str">
        <f>IF(AND(C851&gt;0,D851&lt;&gt;"",S851=""),VLOOKUP(A851&amp;IF(H851="黑丝","黑","白")&amp;E851,经纬!A:N,14,FALSE)*(I851-AB851),"")</f>
        <v/>
      </c>
    </row>
    <row r="852" spans="13:27">
      <c r="M852" s="24" t="str">
        <f t="array" ref="M852">LEFT(L852,MIN(FIND({"A","B","C"},MID(L852,2,LEN(L852))&amp;"ABC")))</f>
        <v/>
      </c>
      <c r="N852" s="24" t="str">
        <f t="array" ref="N852">SUBSTITUTE(L852,M852,"")</f>
        <v/>
      </c>
      <c r="X852" s="258" t="str">
        <f t="shared" si="46"/>
        <v/>
      </c>
      <c r="Y852" s="36" t="str">
        <f t="shared" si="47"/>
        <v/>
      </c>
      <c r="Z852" s="340" t="str">
        <f>IF(AND(C852&gt;0,D852&lt;&gt;"",S852=""),VLOOKUP(A852&amp;IF(H852="黑丝","黑","白")&amp;E852,经纬!A:M,13,FALSE)*(I852-AB852),"")</f>
        <v/>
      </c>
      <c r="AA852" s="340" t="str">
        <f>IF(AND(C852&gt;0,D852&lt;&gt;"",S852=""),VLOOKUP(A852&amp;IF(H852="黑丝","黑","白")&amp;E852,经纬!A:N,14,FALSE)*(I852-AB852),"")</f>
        <v/>
      </c>
    </row>
    <row r="853" spans="13:27">
      <c r="M853" s="24" t="str">
        <f t="array" ref="M853">LEFT(L853,MIN(FIND({"A","B","C"},MID(L853,2,LEN(L853))&amp;"ABC")))</f>
        <v/>
      </c>
      <c r="N853" s="24" t="str">
        <f t="array" ref="N853">SUBSTITUTE(L853,M853,"")</f>
        <v/>
      </c>
      <c r="X853" s="258" t="str">
        <f t="shared" si="46"/>
        <v/>
      </c>
      <c r="Y853" s="36" t="str">
        <f t="shared" si="47"/>
        <v/>
      </c>
      <c r="Z853" s="340" t="str">
        <f>IF(AND(C853&gt;0,D853&lt;&gt;"",S853=""),VLOOKUP(A853&amp;IF(H853="黑丝","黑","白")&amp;E853,经纬!A:M,13,FALSE)*(I853-AB853),"")</f>
        <v/>
      </c>
      <c r="AA853" s="340" t="str">
        <f>IF(AND(C853&gt;0,D853&lt;&gt;"",S853=""),VLOOKUP(A853&amp;IF(H853="黑丝","黑","白")&amp;E853,经纬!A:N,14,FALSE)*(I853-AB853),"")</f>
        <v/>
      </c>
    </row>
    <row r="854" spans="13:27">
      <c r="M854" s="24" t="str">
        <f t="array" ref="M854">LEFT(L854,MIN(FIND({"A","B","C"},MID(L854,2,LEN(L854))&amp;"ABC")))</f>
        <v/>
      </c>
      <c r="N854" s="24" t="str">
        <f t="array" ref="N854">SUBSTITUTE(L854,M854,"")</f>
        <v/>
      </c>
      <c r="X854" s="258" t="str">
        <f t="shared" si="46"/>
        <v/>
      </c>
      <c r="Y854" s="36" t="str">
        <f t="shared" si="47"/>
        <v/>
      </c>
      <c r="Z854" s="340" t="str">
        <f>IF(AND(C854&gt;0,D854&lt;&gt;"",S854=""),VLOOKUP(A854&amp;IF(H854="黑丝","黑","白")&amp;E854,经纬!A:M,13,FALSE)*(I854-AB854),"")</f>
        <v/>
      </c>
      <c r="AA854" s="340" t="str">
        <f>IF(AND(C854&gt;0,D854&lt;&gt;"",S854=""),VLOOKUP(A854&amp;IF(H854="黑丝","黑","白")&amp;E854,经纬!A:N,14,FALSE)*(I854-AB854),"")</f>
        <v/>
      </c>
    </row>
    <row r="855" spans="13:27">
      <c r="M855" s="24" t="str">
        <f t="array" ref="M855">LEFT(L855,MIN(FIND({"A","B","C"},MID(L855,2,LEN(L855))&amp;"ABC")))</f>
        <v/>
      </c>
      <c r="N855" s="24" t="str">
        <f t="array" ref="N855">SUBSTITUTE(L855,M855,"")</f>
        <v/>
      </c>
      <c r="X855" s="258" t="str">
        <f t="shared" si="46"/>
        <v/>
      </c>
      <c r="Y855" s="36" t="str">
        <f t="shared" si="47"/>
        <v/>
      </c>
      <c r="Z855" s="340" t="str">
        <f>IF(AND(C855&gt;0,D855&lt;&gt;"",S855=""),VLOOKUP(A855&amp;IF(H855="黑丝","黑","白")&amp;E855,经纬!A:M,13,FALSE)*(I855-AB855),"")</f>
        <v/>
      </c>
      <c r="AA855" s="340" t="str">
        <f>IF(AND(C855&gt;0,D855&lt;&gt;"",S855=""),VLOOKUP(A855&amp;IF(H855="黑丝","黑","白")&amp;E855,经纬!A:N,14,FALSE)*(I855-AB855),"")</f>
        <v/>
      </c>
    </row>
    <row r="856" spans="13:27">
      <c r="M856" s="24" t="str">
        <f t="array" ref="M856">LEFT(L856,MIN(FIND({"A","B","C"},MID(L856,2,LEN(L856))&amp;"ABC")))</f>
        <v/>
      </c>
      <c r="N856" s="24" t="str">
        <f t="array" ref="N856">SUBSTITUTE(L856,M856,"")</f>
        <v/>
      </c>
      <c r="X856" s="258" t="str">
        <f t="shared" si="46"/>
        <v/>
      </c>
      <c r="Y856" s="36" t="str">
        <f t="shared" si="47"/>
        <v/>
      </c>
      <c r="Z856" s="340" t="str">
        <f>IF(AND(C856&gt;0,D856&lt;&gt;"",S856=""),VLOOKUP(A856&amp;IF(H856="黑丝","黑","白")&amp;E856,经纬!A:M,13,FALSE)*(I856-AB856),"")</f>
        <v/>
      </c>
      <c r="AA856" s="340" t="str">
        <f>IF(AND(C856&gt;0,D856&lt;&gt;"",S856=""),VLOOKUP(A856&amp;IF(H856="黑丝","黑","白")&amp;E856,经纬!A:N,14,FALSE)*(I856-AB856),"")</f>
        <v/>
      </c>
    </row>
    <row r="857" spans="13:27">
      <c r="M857" s="24" t="str">
        <f t="array" ref="M857">LEFT(L857,MIN(FIND({"A","B","C"},MID(L857,2,LEN(L857))&amp;"ABC")))</f>
        <v/>
      </c>
      <c r="N857" s="24" t="str">
        <f t="array" ref="N857">SUBSTITUTE(L857,M857,"")</f>
        <v/>
      </c>
      <c r="X857" s="258" t="str">
        <f t="shared" si="46"/>
        <v/>
      </c>
      <c r="Y857" s="36" t="str">
        <f t="shared" si="47"/>
        <v/>
      </c>
      <c r="Z857" s="340" t="str">
        <f>IF(AND(C857&gt;0,D857&lt;&gt;"",S857=""),VLOOKUP(A857&amp;IF(H857="黑丝","黑","白")&amp;E857,经纬!A:M,13,FALSE)*(I857-AB857),"")</f>
        <v/>
      </c>
      <c r="AA857" s="340" t="str">
        <f>IF(AND(C857&gt;0,D857&lt;&gt;"",S857=""),VLOOKUP(A857&amp;IF(H857="黑丝","黑","白")&amp;E857,经纬!A:N,14,FALSE)*(I857-AB857),"")</f>
        <v/>
      </c>
    </row>
    <row r="858" spans="13:27">
      <c r="M858" s="24" t="str">
        <f t="array" ref="M858">LEFT(L858,MIN(FIND({"A","B","C"},MID(L858,2,LEN(L858))&amp;"ABC")))</f>
        <v/>
      </c>
      <c r="N858" s="24" t="str">
        <f t="array" ref="N858">SUBSTITUTE(L858,M858,"")</f>
        <v/>
      </c>
      <c r="X858" s="258" t="str">
        <f t="shared" si="46"/>
        <v/>
      </c>
      <c r="Y858" s="36" t="str">
        <f t="shared" si="47"/>
        <v/>
      </c>
      <c r="Z858" s="340" t="str">
        <f>IF(AND(C858&gt;0,D858&lt;&gt;"",S858=""),VLOOKUP(A858&amp;IF(H858="黑丝","黑","白")&amp;E858,经纬!A:M,13,FALSE)*(I858-AB858),"")</f>
        <v/>
      </c>
      <c r="AA858" s="340" t="str">
        <f>IF(AND(C858&gt;0,D858&lt;&gt;"",S858=""),VLOOKUP(A858&amp;IF(H858="黑丝","黑","白")&amp;E858,经纬!A:N,14,FALSE)*(I858-AB858),"")</f>
        <v/>
      </c>
    </row>
    <row r="859" spans="13:27">
      <c r="M859" s="24" t="str">
        <f t="array" ref="M859">LEFT(L859,MIN(FIND({"A","B","C"},MID(L859,2,LEN(L859))&amp;"ABC")))</f>
        <v/>
      </c>
      <c r="N859" s="24" t="str">
        <f t="array" ref="N859">SUBSTITUTE(L859,M859,"")</f>
        <v/>
      </c>
      <c r="X859" s="258" t="str">
        <f t="shared" si="46"/>
        <v/>
      </c>
      <c r="Y859" s="36" t="str">
        <f t="shared" si="47"/>
        <v/>
      </c>
      <c r="Z859" s="340" t="str">
        <f>IF(AND(C859&gt;0,D859&lt;&gt;"",S859=""),VLOOKUP(A859&amp;IF(H859="黑丝","黑","白")&amp;E859,经纬!A:M,13,FALSE)*(I859-AB859),"")</f>
        <v/>
      </c>
      <c r="AA859" s="340" t="str">
        <f>IF(AND(C859&gt;0,D859&lt;&gt;"",S859=""),VLOOKUP(A859&amp;IF(H859="黑丝","黑","白")&amp;E859,经纬!A:N,14,FALSE)*(I859-AB859),"")</f>
        <v/>
      </c>
    </row>
    <row r="860" spans="13:27">
      <c r="M860" s="24" t="str">
        <f t="array" ref="M860">LEFT(L860,MIN(FIND({"A","B","C"},MID(L860,2,LEN(L860))&amp;"ABC")))</f>
        <v/>
      </c>
      <c r="N860" s="24" t="str">
        <f t="array" ref="N860">SUBSTITUTE(L860,M860,"")</f>
        <v/>
      </c>
      <c r="X860" s="258" t="str">
        <f t="shared" ref="X860:X923" si="48">IF(B860="","",IF(S860&lt;&gt;"","",IF(AND(Z860&lt;&gt;"",AA860&lt;&gt;""),SUM(Z860:AA860),IF(AB860&lt;&gt;"",(I860/((1/((G860+2)/100*K860/1000))*0.9144)/IF(H860="黑丝",22,20)-AB860)*(IF(H860="黑丝",22,20)),I860/((1/((G860+2)/100*K860/1000))*0.9144)))))</f>
        <v/>
      </c>
      <c r="Y860" s="36" t="str">
        <f t="shared" si="47"/>
        <v/>
      </c>
      <c r="Z860" s="340" t="str">
        <f>IF(AND(C860&gt;0,D860&lt;&gt;"",S860=""),VLOOKUP(A860&amp;IF(H860="黑丝","黑","白")&amp;E860,经纬!A:M,13,FALSE)*(I860-AB860),"")</f>
        <v/>
      </c>
      <c r="AA860" s="340" t="str">
        <f>IF(AND(C860&gt;0,D860&lt;&gt;"",S860=""),VLOOKUP(A860&amp;IF(H860="黑丝","黑","白")&amp;E860,经纬!A:N,14,FALSE)*(I860-AB860),"")</f>
        <v/>
      </c>
    </row>
    <row r="861" spans="13:27">
      <c r="M861" s="24" t="str">
        <f t="array" ref="M861">LEFT(L861,MIN(FIND({"A","B","C"},MID(L861,2,LEN(L861))&amp;"ABC")))</f>
        <v/>
      </c>
      <c r="N861" s="24" t="str">
        <f t="array" ref="N861">SUBSTITUTE(L861,M861,"")</f>
        <v/>
      </c>
      <c r="X861" s="258" t="str">
        <f t="shared" si="48"/>
        <v/>
      </c>
      <c r="Y861" s="36" t="str">
        <f t="shared" si="47"/>
        <v/>
      </c>
      <c r="Z861" s="340" t="str">
        <f>IF(AND(C861&gt;0,D861&lt;&gt;"",S861=""),VLOOKUP(A861&amp;IF(H861="黑丝","黑","白")&amp;E861,经纬!A:M,13,FALSE)*(I861-AB861),"")</f>
        <v/>
      </c>
      <c r="AA861" s="340" t="str">
        <f>IF(AND(C861&gt;0,D861&lt;&gt;"",S861=""),VLOOKUP(A861&amp;IF(H861="黑丝","黑","白")&amp;E861,经纬!A:N,14,FALSE)*(I861-AB861),"")</f>
        <v/>
      </c>
    </row>
    <row r="862" spans="13:27">
      <c r="M862" s="24" t="str">
        <f t="array" ref="M862">LEFT(L862,MIN(FIND({"A","B","C"},MID(L862,2,LEN(L862))&amp;"ABC")))</f>
        <v/>
      </c>
      <c r="N862" s="24" t="str">
        <f t="array" ref="N862">SUBSTITUTE(L862,M862,"")</f>
        <v/>
      </c>
      <c r="X862" s="258" t="str">
        <f t="shared" si="48"/>
        <v/>
      </c>
      <c r="Y862" s="36" t="str">
        <f t="shared" si="47"/>
        <v/>
      </c>
      <c r="Z862" s="340" t="str">
        <f>IF(AND(C862&gt;0,D862&lt;&gt;"",S862=""),VLOOKUP(A862&amp;IF(H862="黑丝","黑","白")&amp;E862,经纬!A:M,13,FALSE)*(I862-AB862),"")</f>
        <v/>
      </c>
      <c r="AA862" s="340" t="str">
        <f>IF(AND(C862&gt;0,D862&lt;&gt;"",S862=""),VLOOKUP(A862&amp;IF(H862="黑丝","黑","白")&amp;E862,经纬!A:N,14,FALSE)*(I862-AB862),"")</f>
        <v/>
      </c>
    </row>
    <row r="863" spans="13:27">
      <c r="M863" s="24" t="str">
        <f t="array" ref="M863">LEFT(L863,MIN(FIND({"A","B","C"},MID(L863,2,LEN(L863))&amp;"ABC")))</f>
        <v/>
      </c>
      <c r="N863" s="24" t="str">
        <f t="array" ref="N863">SUBSTITUTE(L863,M863,"")</f>
        <v/>
      </c>
      <c r="X863" s="258" t="str">
        <f t="shared" si="48"/>
        <v/>
      </c>
      <c r="Y863" s="36" t="str">
        <f t="shared" si="47"/>
        <v/>
      </c>
      <c r="Z863" s="340" t="str">
        <f>IF(AND(C863&gt;0,D863&lt;&gt;"",S863=""),VLOOKUP(A863&amp;IF(H863="黑丝","黑","白")&amp;E863,经纬!A:M,13,FALSE)*(I863-AB863),"")</f>
        <v/>
      </c>
      <c r="AA863" s="340" t="str">
        <f>IF(AND(C863&gt;0,D863&lt;&gt;"",S863=""),VLOOKUP(A863&amp;IF(H863="黑丝","黑","白")&amp;E863,经纬!A:N,14,FALSE)*(I863-AB863),"")</f>
        <v/>
      </c>
    </row>
    <row r="864" spans="13:27">
      <c r="M864" s="24" t="str">
        <f t="array" ref="M864">LEFT(L864,MIN(FIND({"A","B","C"},MID(L864,2,LEN(L864))&amp;"ABC")))</f>
        <v/>
      </c>
      <c r="N864" s="24" t="str">
        <f t="array" ref="N864">SUBSTITUTE(L864,M864,"")</f>
        <v/>
      </c>
      <c r="X864" s="258" t="str">
        <f t="shared" si="48"/>
        <v/>
      </c>
      <c r="Y864" s="36" t="str">
        <f t="shared" si="47"/>
        <v/>
      </c>
      <c r="Z864" s="340" t="str">
        <f>IF(AND(C864&gt;0,D864&lt;&gt;"",S864=""),VLOOKUP(A864&amp;IF(H864="黑丝","黑","白")&amp;E864,经纬!A:M,13,FALSE)*(I864-AB864),"")</f>
        <v/>
      </c>
      <c r="AA864" s="340" t="str">
        <f>IF(AND(C864&gt;0,D864&lt;&gt;"",S864=""),VLOOKUP(A864&amp;IF(H864="黑丝","黑","白")&amp;E864,经纬!A:N,14,FALSE)*(I864-AB864),"")</f>
        <v/>
      </c>
    </row>
    <row r="865" spans="13:27">
      <c r="M865" s="24" t="str">
        <f t="array" ref="M865">LEFT(L865,MIN(FIND({"A","B","C"},MID(L865,2,LEN(L865))&amp;"ABC")))</f>
        <v/>
      </c>
      <c r="N865" s="24" t="str">
        <f t="array" ref="N865">SUBSTITUTE(L865,M865,"")</f>
        <v/>
      </c>
      <c r="X865" s="258" t="str">
        <f t="shared" si="48"/>
        <v/>
      </c>
      <c r="Y865" s="36" t="str">
        <f t="shared" si="47"/>
        <v/>
      </c>
      <c r="Z865" s="340" t="str">
        <f>IF(AND(C865&gt;0,D865&lt;&gt;"",S865=""),VLOOKUP(A865&amp;IF(H865="黑丝","黑","白")&amp;E865,经纬!A:M,13,FALSE)*(I865-AB865),"")</f>
        <v/>
      </c>
      <c r="AA865" s="340" t="str">
        <f>IF(AND(C865&gt;0,D865&lt;&gt;"",S865=""),VLOOKUP(A865&amp;IF(H865="黑丝","黑","白")&amp;E865,经纬!A:N,14,FALSE)*(I865-AB865),"")</f>
        <v/>
      </c>
    </row>
    <row r="866" spans="13:27">
      <c r="M866" s="24" t="str">
        <f t="array" ref="M866">LEFT(L866,MIN(FIND({"A","B","C"},MID(L866,2,LEN(L866))&amp;"ABC")))</f>
        <v/>
      </c>
      <c r="N866" s="24" t="str">
        <f t="array" ref="N866">SUBSTITUTE(L866,M866,"")</f>
        <v/>
      </c>
      <c r="X866" s="258" t="str">
        <f t="shared" si="48"/>
        <v/>
      </c>
      <c r="Y866" s="36" t="str">
        <f t="shared" si="47"/>
        <v/>
      </c>
      <c r="Z866" s="340" t="str">
        <f>IF(AND(C866&gt;0,D866&lt;&gt;"",S866=""),VLOOKUP(A866&amp;IF(H866="黑丝","黑","白")&amp;E866,经纬!A:M,13,FALSE)*(I866-AB866),"")</f>
        <v/>
      </c>
      <c r="AA866" s="340" t="str">
        <f>IF(AND(C866&gt;0,D866&lt;&gt;"",S866=""),VLOOKUP(A866&amp;IF(H866="黑丝","黑","白")&amp;E866,经纬!A:N,14,FALSE)*(I866-AB866),"")</f>
        <v/>
      </c>
    </row>
    <row r="867" spans="13:27">
      <c r="M867" s="24" t="str">
        <f t="array" ref="M867">LEFT(L867,MIN(FIND({"A","B","C"},MID(L867,2,LEN(L867))&amp;"ABC")))</f>
        <v/>
      </c>
      <c r="N867" s="24" t="str">
        <f t="array" ref="N867">SUBSTITUTE(L867,M867,"")</f>
        <v/>
      </c>
      <c r="X867" s="258" t="str">
        <f t="shared" si="48"/>
        <v/>
      </c>
      <c r="Y867" s="36" t="str">
        <f t="shared" si="47"/>
        <v/>
      </c>
      <c r="Z867" s="340" t="str">
        <f>IF(AND(C867&gt;0,D867&lt;&gt;"",S867=""),VLOOKUP(A867&amp;IF(H867="黑丝","黑","白")&amp;E867,经纬!A:M,13,FALSE)*(I867-AB867),"")</f>
        <v/>
      </c>
      <c r="AA867" s="340" t="str">
        <f>IF(AND(C867&gt;0,D867&lt;&gt;"",S867=""),VLOOKUP(A867&amp;IF(H867="黑丝","黑","白")&amp;E867,经纬!A:N,14,FALSE)*(I867-AB867),"")</f>
        <v/>
      </c>
    </row>
    <row r="868" spans="13:27">
      <c r="M868" s="24" t="str">
        <f t="array" ref="M868">LEFT(L868,MIN(FIND({"A","B","C"},MID(L868,2,LEN(L868))&amp;"ABC")))</f>
        <v/>
      </c>
      <c r="N868" s="24" t="str">
        <f t="array" ref="N868">SUBSTITUTE(L868,M868,"")</f>
        <v/>
      </c>
      <c r="X868" s="258" t="str">
        <f t="shared" si="48"/>
        <v/>
      </c>
      <c r="Y868" s="36" t="str">
        <f t="shared" si="47"/>
        <v/>
      </c>
      <c r="Z868" s="340" t="str">
        <f>IF(AND(C868&gt;0,D868&lt;&gt;"",S868=""),VLOOKUP(A868&amp;IF(H868="黑丝","黑","白")&amp;E868,经纬!A:M,13,FALSE)*(I868-AB868),"")</f>
        <v/>
      </c>
      <c r="AA868" s="340" t="str">
        <f>IF(AND(C868&gt;0,D868&lt;&gt;"",S868=""),VLOOKUP(A868&amp;IF(H868="黑丝","黑","白")&amp;E868,经纬!A:N,14,FALSE)*(I868-AB868),"")</f>
        <v/>
      </c>
    </row>
    <row r="869" spans="13:27">
      <c r="M869" s="24" t="str">
        <f t="array" ref="M869">LEFT(L869,MIN(FIND({"A","B","C"},MID(L869,2,LEN(L869))&amp;"ABC")))</f>
        <v/>
      </c>
      <c r="N869" s="24" t="str">
        <f t="array" ref="N869">SUBSTITUTE(L869,M869,"")</f>
        <v/>
      </c>
      <c r="X869" s="258" t="str">
        <f t="shared" si="48"/>
        <v/>
      </c>
      <c r="Y869" s="36" t="str">
        <f t="shared" si="47"/>
        <v/>
      </c>
      <c r="Z869" s="340" t="str">
        <f>IF(AND(C869&gt;0,D869&lt;&gt;"",S869=""),VLOOKUP(A869&amp;IF(H869="黑丝","黑","白")&amp;E869,经纬!A:M,13,FALSE)*(I869-AB869),"")</f>
        <v/>
      </c>
      <c r="AA869" s="340" t="str">
        <f>IF(AND(C869&gt;0,D869&lt;&gt;"",S869=""),VLOOKUP(A869&amp;IF(H869="黑丝","黑","白")&amp;E869,经纬!A:N,14,FALSE)*(I869-AB869),"")</f>
        <v/>
      </c>
    </row>
    <row r="870" spans="13:27">
      <c r="M870" s="24" t="str">
        <f t="array" ref="M870">LEFT(L870,MIN(FIND({"A","B","C"},MID(L870,2,LEN(L870))&amp;"ABC")))</f>
        <v/>
      </c>
      <c r="N870" s="24" t="str">
        <f t="array" ref="N870">SUBSTITUTE(L870,M870,"")</f>
        <v/>
      </c>
      <c r="X870" s="258" t="str">
        <f t="shared" si="48"/>
        <v/>
      </c>
      <c r="Y870" s="36" t="str">
        <f t="shared" si="47"/>
        <v/>
      </c>
      <c r="Z870" s="340" t="str">
        <f>IF(AND(C870&gt;0,D870&lt;&gt;"",S870=""),VLOOKUP(A870&amp;IF(H870="黑丝","黑","白")&amp;E870,经纬!A:M,13,FALSE)*(I870-AB870),"")</f>
        <v/>
      </c>
      <c r="AA870" s="340" t="str">
        <f>IF(AND(C870&gt;0,D870&lt;&gt;"",S870=""),VLOOKUP(A870&amp;IF(H870="黑丝","黑","白")&amp;E870,经纬!A:N,14,FALSE)*(I870-AB870),"")</f>
        <v/>
      </c>
    </row>
    <row r="871" spans="13:27">
      <c r="M871" s="24" t="str">
        <f t="array" ref="M871">LEFT(L871,MIN(FIND({"A","B","C"},MID(L871,2,LEN(L871))&amp;"ABC")))</f>
        <v/>
      </c>
      <c r="N871" s="24" t="str">
        <f t="array" ref="N871">SUBSTITUTE(L871,M871,"")</f>
        <v/>
      </c>
      <c r="X871" s="258" t="str">
        <f t="shared" si="48"/>
        <v/>
      </c>
      <c r="Y871" s="36" t="str">
        <f t="shared" si="47"/>
        <v/>
      </c>
      <c r="Z871" s="340" t="str">
        <f>IF(AND(C871&gt;0,D871&lt;&gt;"",S871=""),VLOOKUP(A871&amp;IF(H871="黑丝","黑","白")&amp;E871,经纬!A:M,13,FALSE)*(I871-AB871),"")</f>
        <v/>
      </c>
      <c r="AA871" s="340" t="str">
        <f>IF(AND(C871&gt;0,D871&lt;&gt;"",S871=""),VLOOKUP(A871&amp;IF(H871="黑丝","黑","白")&amp;E871,经纬!A:N,14,FALSE)*(I871-AB871),"")</f>
        <v/>
      </c>
    </row>
    <row r="872" spans="13:27">
      <c r="M872" s="24" t="str">
        <f t="array" ref="M872">LEFT(L872,MIN(FIND({"A","B","C"},MID(L872,2,LEN(L872))&amp;"ABC")))</f>
        <v/>
      </c>
      <c r="N872" s="24" t="str">
        <f t="array" ref="N872">SUBSTITUTE(L872,M872,"")</f>
        <v/>
      </c>
      <c r="X872" s="258" t="str">
        <f t="shared" si="48"/>
        <v/>
      </c>
      <c r="Y872" s="36" t="str">
        <f t="shared" si="47"/>
        <v/>
      </c>
      <c r="Z872" s="340" t="str">
        <f>IF(AND(C872&gt;0,D872&lt;&gt;"",S872=""),VLOOKUP(A872&amp;IF(H872="黑丝","黑","白")&amp;E872,经纬!A:M,13,FALSE)*(I872-AB872),"")</f>
        <v/>
      </c>
      <c r="AA872" s="340" t="str">
        <f>IF(AND(C872&gt;0,D872&lt;&gt;"",S872=""),VLOOKUP(A872&amp;IF(H872="黑丝","黑","白")&amp;E872,经纬!A:N,14,FALSE)*(I872-AB872),"")</f>
        <v/>
      </c>
    </row>
    <row r="873" spans="13:27">
      <c r="M873" s="24" t="str">
        <f t="array" ref="M873">LEFT(L873,MIN(FIND({"A","B","C"},MID(L873,2,LEN(L873))&amp;"ABC")))</f>
        <v/>
      </c>
      <c r="N873" s="24" t="str">
        <f t="array" ref="N873">SUBSTITUTE(L873,M873,"")</f>
        <v/>
      </c>
      <c r="X873" s="258" t="str">
        <f t="shared" si="48"/>
        <v/>
      </c>
      <c r="Y873" s="36" t="str">
        <f t="shared" ref="Y873:Y936" si="49">IF(OR(B873="",D873&lt;&gt;""),"",IF(S873&lt;&gt;"","",I873/((1/((G873+2)/100*K873/1000))*0.9144)/IF(H873="黑丝",22,20)-AB873))</f>
        <v/>
      </c>
      <c r="Z873" s="340" t="str">
        <f>IF(AND(C873&gt;0,D873&lt;&gt;"",S873=""),VLOOKUP(A873&amp;IF(H873="黑丝","黑","白")&amp;E873,经纬!A:M,13,FALSE)*(I873-AB873),"")</f>
        <v/>
      </c>
      <c r="AA873" s="340" t="str">
        <f>IF(AND(C873&gt;0,D873&lt;&gt;"",S873=""),VLOOKUP(A873&amp;IF(H873="黑丝","黑","白")&amp;E873,经纬!A:N,14,FALSE)*(I873-AB873),"")</f>
        <v/>
      </c>
    </row>
    <row r="874" spans="13:27">
      <c r="M874" s="24" t="str">
        <f t="array" ref="M874">LEFT(L874,MIN(FIND({"A","B","C"},MID(L874,2,LEN(L874))&amp;"ABC")))</f>
        <v/>
      </c>
      <c r="N874" s="24" t="str">
        <f t="array" ref="N874">SUBSTITUTE(L874,M874,"")</f>
        <v/>
      </c>
      <c r="X874" s="258" t="str">
        <f t="shared" si="48"/>
        <v/>
      </c>
      <c r="Y874" s="36" t="str">
        <f t="shared" si="49"/>
        <v/>
      </c>
      <c r="Z874" s="340" t="str">
        <f>IF(AND(C874&gt;0,D874&lt;&gt;"",S874=""),VLOOKUP(A874&amp;IF(H874="黑丝","黑","白")&amp;E874,经纬!A:M,13,FALSE)*(I874-AB874),"")</f>
        <v/>
      </c>
      <c r="AA874" s="340" t="str">
        <f>IF(AND(C874&gt;0,D874&lt;&gt;"",S874=""),VLOOKUP(A874&amp;IF(H874="黑丝","黑","白")&amp;E874,经纬!A:N,14,FALSE)*(I874-AB874),"")</f>
        <v/>
      </c>
    </row>
    <row r="875" spans="13:27">
      <c r="M875" s="24" t="str">
        <f t="array" ref="M875">LEFT(L875,MIN(FIND({"A","B","C"},MID(L875,2,LEN(L875))&amp;"ABC")))</f>
        <v/>
      </c>
      <c r="N875" s="24" t="str">
        <f t="array" ref="N875">SUBSTITUTE(L875,M875,"")</f>
        <v/>
      </c>
      <c r="X875" s="258" t="str">
        <f t="shared" si="48"/>
        <v/>
      </c>
      <c r="Y875" s="36" t="str">
        <f t="shared" si="49"/>
        <v/>
      </c>
      <c r="Z875" s="340" t="str">
        <f>IF(AND(C875&gt;0,D875&lt;&gt;"",S875=""),VLOOKUP(A875&amp;IF(H875="黑丝","黑","白")&amp;E875,经纬!A:M,13,FALSE)*(I875-AB875),"")</f>
        <v/>
      </c>
      <c r="AA875" s="340" t="str">
        <f>IF(AND(C875&gt;0,D875&lt;&gt;"",S875=""),VLOOKUP(A875&amp;IF(H875="黑丝","黑","白")&amp;E875,经纬!A:N,14,FALSE)*(I875-AB875),"")</f>
        <v/>
      </c>
    </row>
    <row r="876" spans="13:27">
      <c r="M876" s="24" t="str">
        <f t="array" ref="M876">LEFT(L876,MIN(FIND({"A","B","C"},MID(L876,2,LEN(L876))&amp;"ABC")))</f>
        <v/>
      </c>
      <c r="N876" s="24" t="str">
        <f t="array" ref="N876">SUBSTITUTE(L876,M876,"")</f>
        <v/>
      </c>
      <c r="X876" s="258" t="str">
        <f t="shared" si="48"/>
        <v/>
      </c>
      <c r="Y876" s="36" t="str">
        <f t="shared" si="49"/>
        <v/>
      </c>
      <c r="Z876" s="340" t="str">
        <f>IF(AND(C876&gt;0,D876&lt;&gt;"",S876=""),VLOOKUP(A876&amp;IF(H876="黑丝","黑","白")&amp;E876,经纬!A:M,13,FALSE)*(I876-AB876),"")</f>
        <v/>
      </c>
      <c r="AA876" s="340" t="str">
        <f>IF(AND(C876&gt;0,D876&lt;&gt;"",S876=""),VLOOKUP(A876&amp;IF(H876="黑丝","黑","白")&amp;E876,经纬!A:N,14,FALSE)*(I876-AB876),"")</f>
        <v/>
      </c>
    </row>
    <row r="877" spans="13:27">
      <c r="M877" s="24" t="str">
        <f t="array" ref="M877">LEFT(L877,MIN(FIND({"A","B","C"},MID(L877,2,LEN(L877))&amp;"ABC")))</f>
        <v/>
      </c>
      <c r="N877" s="24" t="str">
        <f t="array" ref="N877">SUBSTITUTE(L877,M877,"")</f>
        <v/>
      </c>
      <c r="X877" s="258" t="str">
        <f t="shared" si="48"/>
        <v/>
      </c>
      <c r="Y877" s="36" t="str">
        <f t="shared" si="49"/>
        <v/>
      </c>
      <c r="Z877" s="340" t="str">
        <f>IF(AND(C877&gt;0,D877&lt;&gt;"",S877=""),VLOOKUP(A877&amp;IF(H877="黑丝","黑","白")&amp;E877,经纬!A:M,13,FALSE)*(I877-AB877),"")</f>
        <v/>
      </c>
      <c r="AA877" s="340" t="str">
        <f>IF(AND(C877&gt;0,D877&lt;&gt;"",S877=""),VLOOKUP(A877&amp;IF(H877="黑丝","黑","白")&amp;E877,经纬!A:N,14,FALSE)*(I877-AB877),"")</f>
        <v/>
      </c>
    </row>
    <row r="878" spans="13:27">
      <c r="M878" s="24" t="str">
        <f t="array" ref="M878">LEFT(L878,MIN(FIND({"A","B","C"},MID(L878,2,LEN(L878))&amp;"ABC")))</f>
        <v/>
      </c>
      <c r="N878" s="24" t="str">
        <f t="array" ref="N878">SUBSTITUTE(L878,M878,"")</f>
        <v/>
      </c>
      <c r="X878" s="258" t="str">
        <f t="shared" si="48"/>
        <v/>
      </c>
      <c r="Y878" s="36" t="str">
        <f t="shared" si="49"/>
        <v/>
      </c>
      <c r="Z878" s="340" t="str">
        <f>IF(AND(C878&gt;0,D878&lt;&gt;"",S878=""),VLOOKUP(A878&amp;IF(H878="黑丝","黑","白")&amp;E878,经纬!A:M,13,FALSE)*(I878-AB878),"")</f>
        <v/>
      </c>
      <c r="AA878" s="340" t="str">
        <f>IF(AND(C878&gt;0,D878&lt;&gt;"",S878=""),VLOOKUP(A878&amp;IF(H878="黑丝","黑","白")&amp;E878,经纬!A:N,14,FALSE)*(I878-AB878),"")</f>
        <v/>
      </c>
    </row>
    <row r="879" spans="13:27">
      <c r="M879" s="24" t="str">
        <f t="array" ref="M879">LEFT(L879,MIN(FIND({"A","B","C"},MID(L879,2,LEN(L879))&amp;"ABC")))</f>
        <v/>
      </c>
      <c r="N879" s="24" t="str">
        <f t="array" ref="N879">SUBSTITUTE(L879,M879,"")</f>
        <v/>
      </c>
      <c r="X879" s="258" t="str">
        <f t="shared" si="48"/>
        <v/>
      </c>
      <c r="Y879" s="36" t="str">
        <f t="shared" si="49"/>
        <v/>
      </c>
      <c r="Z879" s="340" t="str">
        <f>IF(AND(C879&gt;0,D879&lt;&gt;"",S879=""),VLOOKUP(A879&amp;IF(H879="黑丝","黑","白")&amp;E879,经纬!A:M,13,FALSE)*(I879-AB879),"")</f>
        <v/>
      </c>
      <c r="AA879" s="340" t="str">
        <f>IF(AND(C879&gt;0,D879&lt;&gt;"",S879=""),VLOOKUP(A879&amp;IF(H879="黑丝","黑","白")&amp;E879,经纬!A:N,14,FALSE)*(I879-AB879),"")</f>
        <v/>
      </c>
    </row>
    <row r="880" spans="13:27">
      <c r="M880" s="24" t="str">
        <f t="array" ref="M880">LEFT(L880,MIN(FIND({"A","B","C"},MID(L880,2,LEN(L880))&amp;"ABC")))</f>
        <v/>
      </c>
      <c r="N880" s="24" t="str">
        <f t="array" ref="N880">SUBSTITUTE(L880,M880,"")</f>
        <v/>
      </c>
      <c r="X880" s="258" t="str">
        <f t="shared" si="48"/>
        <v/>
      </c>
      <c r="Y880" s="36" t="str">
        <f t="shared" si="49"/>
        <v/>
      </c>
      <c r="Z880" s="340" t="str">
        <f>IF(AND(C880&gt;0,D880&lt;&gt;"",S880=""),VLOOKUP(A880&amp;IF(H880="黑丝","黑","白")&amp;E880,经纬!A:M,13,FALSE)*(I880-AB880),"")</f>
        <v/>
      </c>
      <c r="AA880" s="340" t="str">
        <f>IF(AND(C880&gt;0,D880&lt;&gt;"",S880=""),VLOOKUP(A880&amp;IF(H880="黑丝","黑","白")&amp;E880,经纬!A:N,14,FALSE)*(I880-AB880),"")</f>
        <v/>
      </c>
    </row>
    <row r="881" spans="13:27">
      <c r="M881" s="24" t="str">
        <f t="array" ref="M881">LEFT(L881,MIN(FIND({"A","B","C"},MID(L881,2,LEN(L881))&amp;"ABC")))</f>
        <v/>
      </c>
      <c r="N881" s="24" t="str">
        <f t="array" ref="N881">SUBSTITUTE(L881,M881,"")</f>
        <v/>
      </c>
      <c r="X881" s="258" t="str">
        <f t="shared" si="48"/>
        <v/>
      </c>
      <c r="Y881" s="36" t="str">
        <f t="shared" si="49"/>
        <v/>
      </c>
      <c r="Z881" s="340" t="str">
        <f>IF(AND(C881&gt;0,D881&lt;&gt;"",S881=""),VLOOKUP(A881&amp;IF(H881="黑丝","黑","白")&amp;E881,经纬!A:M,13,FALSE)*(I881-AB881),"")</f>
        <v/>
      </c>
      <c r="AA881" s="340" t="str">
        <f>IF(AND(C881&gt;0,D881&lt;&gt;"",S881=""),VLOOKUP(A881&amp;IF(H881="黑丝","黑","白")&amp;E881,经纬!A:N,14,FALSE)*(I881-AB881),"")</f>
        <v/>
      </c>
    </row>
    <row r="882" spans="13:27">
      <c r="M882" s="24" t="str">
        <f t="array" ref="M882">LEFT(L882,MIN(FIND({"A","B","C"},MID(L882,2,LEN(L882))&amp;"ABC")))</f>
        <v/>
      </c>
      <c r="N882" s="24" t="str">
        <f t="array" ref="N882">SUBSTITUTE(L882,M882,"")</f>
        <v/>
      </c>
      <c r="X882" s="258" t="str">
        <f t="shared" si="48"/>
        <v/>
      </c>
      <c r="Y882" s="36" t="str">
        <f t="shared" si="49"/>
        <v/>
      </c>
      <c r="Z882" s="340" t="str">
        <f>IF(AND(C882&gt;0,D882&lt;&gt;"",S882=""),VLOOKUP(A882&amp;IF(H882="黑丝","黑","白")&amp;E882,经纬!A:M,13,FALSE)*(I882-AB882),"")</f>
        <v/>
      </c>
      <c r="AA882" s="340" t="str">
        <f>IF(AND(C882&gt;0,D882&lt;&gt;"",S882=""),VLOOKUP(A882&amp;IF(H882="黑丝","黑","白")&amp;E882,经纬!A:N,14,FALSE)*(I882-AB882),"")</f>
        <v/>
      </c>
    </row>
    <row r="883" spans="13:27">
      <c r="M883" s="24" t="str">
        <f t="array" ref="M883">LEFT(L883,MIN(FIND({"A","B","C"},MID(L883,2,LEN(L883))&amp;"ABC")))</f>
        <v/>
      </c>
      <c r="N883" s="24" t="str">
        <f t="array" ref="N883">SUBSTITUTE(L883,M883,"")</f>
        <v/>
      </c>
      <c r="X883" s="258" t="str">
        <f t="shared" si="48"/>
        <v/>
      </c>
      <c r="Y883" s="36" t="str">
        <f t="shared" si="49"/>
        <v/>
      </c>
      <c r="Z883" s="340" t="str">
        <f>IF(AND(C883&gt;0,D883&lt;&gt;"",S883=""),VLOOKUP(A883&amp;IF(H883="黑丝","黑","白")&amp;E883,经纬!A:M,13,FALSE)*(I883-AB883),"")</f>
        <v/>
      </c>
      <c r="AA883" s="340" t="str">
        <f>IF(AND(C883&gt;0,D883&lt;&gt;"",S883=""),VLOOKUP(A883&amp;IF(H883="黑丝","黑","白")&amp;E883,经纬!A:N,14,FALSE)*(I883-AB883),"")</f>
        <v/>
      </c>
    </row>
    <row r="884" spans="13:27">
      <c r="M884" s="24" t="str">
        <f t="array" ref="M884">LEFT(L884,MIN(FIND({"A","B","C"},MID(L884,2,LEN(L884))&amp;"ABC")))</f>
        <v/>
      </c>
      <c r="N884" s="24" t="str">
        <f t="array" ref="N884">SUBSTITUTE(L884,M884,"")</f>
        <v/>
      </c>
      <c r="X884" s="258" t="str">
        <f t="shared" si="48"/>
        <v/>
      </c>
      <c r="Y884" s="36" t="str">
        <f t="shared" si="49"/>
        <v/>
      </c>
      <c r="Z884" s="340" t="str">
        <f>IF(AND(C884&gt;0,D884&lt;&gt;"",S884=""),VLOOKUP(A884&amp;IF(H884="黑丝","黑","白")&amp;E884,经纬!A:M,13,FALSE)*(I884-AB884),"")</f>
        <v/>
      </c>
      <c r="AA884" s="340" t="str">
        <f>IF(AND(C884&gt;0,D884&lt;&gt;"",S884=""),VLOOKUP(A884&amp;IF(H884="黑丝","黑","白")&amp;E884,经纬!A:N,14,FALSE)*(I884-AB884),"")</f>
        <v/>
      </c>
    </row>
    <row r="885" spans="13:27">
      <c r="M885" s="24" t="str">
        <f t="array" ref="M885">LEFT(L885,MIN(FIND({"A","B","C"},MID(L885,2,LEN(L885))&amp;"ABC")))</f>
        <v/>
      </c>
      <c r="N885" s="24" t="str">
        <f t="array" ref="N885">SUBSTITUTE(L885,M885,"")</f>
        <v/>
      </c>
      <c r="X885" s="258" t="str">
        <f t="shared" si="48"/>
        <v/>
      </c>
      <c r="Y885" s="36" t="str">
        <f t="shared" si="49"/>
        <v/>
      </c>
      <c r="Z885" s="340" t="str">
        <f>IF(AND(C885&gt;0,D885&lt;&gt;"",S885=""),VLOOKUP(A885&amp;IF(H885="黑丝","黑","白")&amp;E885,经纬!A:M,13,FALSE)*(I885-AB885),"")</f>
        <v/>
      </c>
      <c r="AA885" s="340" t="str">
        <f>IF(AND(C885&gt;0,D885&lt;&gt;"",S885=""),VLOOKUP(A885&amp;IF(H885="黑丝","黑","白")&amp;E885,经纬!A:N,14,FALSE)*(I885-AB885),"")</f>
        <v/>
      </c>
    </row>
    <row r="886" spans="13:27">
      <c r="M886" s="24" t="str">
        <f t="array" ref="M886">LEFT(L886,MIN(FIND({"A","B","C"},MID(L886,2,LEN(L886))&amp;"ABC")))</f>
        <v/>
      </c>
      <c r="N886" s="24" t="str">
        <f t="array" ref="N886">SUBSTITUTE(L886,M886,"")</f>
        <v/>
      </c>
      <c r="X886" s="258" t="str">
        <f t="shared" si="48"/>
        <v/>
      </c>
      <c r="Y886" s="36" t="str">
        <f t="shared" si="49"/>
        <v/>
      </c>
      <c r="Z886" s="340" t="str">
        <f>IF(AND(C886&gt;0,D886&lt;&gt;"",S886=""),VLOOKUP(A886&amp;IF(H886="黑丝","黑","白")&amp;E886,经纬!A:M,13,FALSE)*(I886-AB886),"")</f>
        <v/>
      </c>
      <c r="AA886" s="340" t="str">
        <f>IF(AND(C886&gt;0,D886&lt;&gt;"",S886=""),VLOOKUP(A886&amp;IF(H886="黑丝","黑","白")&amp;E886,经纬!A:N,14,FALSE)*(I886-AB886),"")</f>
        <v/>
      </c>
    </row>
    <row r="887" spans="13:27">
      <c r="M887" s="24" t="str">
        <f t="array" ref="M887">LEFT(L887,MIN(FIND({"A","B","C"},MID(L887,2,LEN(L887))&amp;"ABC")))</f>
        <v/>
      </c>
      <c r="N887" s="24" t="str">
        <f t="array" ref="N887">SUBSTITUTE(L887,M887,"")</f>
        <v/>
      </c>
      <c r="X887" s="258" t="str">
        <f t="shared" si="48"/>
        <v/>
      </c>
      <c r="Y887" s="36" t="str">
        <f t="shared" si="49"/>
        <v/>
      </c>
      <c r="Z887" s="340" t="str">
        <f>IF(AND(C887&gt;0,D887&lt;&gt;"",S887=""),VLOOKUP(A887&amp;IF(H887="黑丝","黑","白")&amp;E887,经纬!A:M,13,FALSE)*(I887-AB887),"")</f>
        <v/>
      </c>
      <c r="AA887" s="340" t="str">
        <f>IF(AND(C887&gt;0,D887&lt;&gt;"",S887=""),VLOOKUP(A887&amp;IF(H887="黑丝","黑","白")&amp;E887,经纬!A:N,14,FALSE)*(I887-AB887),"")</f>
        <v/>
      </c>
    </row>
    <row r="888" spans="13:27">
      <c r="M888" s="24" t="str">
        <f t="array" ref="M888">LEFT(L888,MIN(FIND({"A","B","C"},MID(L888,2,LEN(L888))&amp;"ABC")))</f>
        <v/>
      </c>
      <c r="N888" s="24" t="str">
        <f t="array" ref="N888">SUBSTITUTE(L888,M888,"")</f>
        <v/>
      </c>
      <c r="X888" s="258" t="str">
        <f t="shared" si="48"/>
        <v/>
      </c>
      <c r="Y888" s="36" t="str">
        <f t="shared" si="49"/>
        <v/>
      </c>
      <c r="Z888" s="340" t="str">
        <f>IF(AND(C888&gt;0,D888&lt;&gt;"",S888=""),VLOOKUP(A888&amp;IF(H888="黑丝","黑","白")&amp;E888,经纬!A:M,13,FALSE)*(I888-AB888),"")</f>
        <v/>
      </c>
      <c r="AA888" s="340" t="str">
        <f>IF(AND(C888&gt;0,D888&lt;&gt;"",S888=""),VLOOKUP(A888&amp;IF(H888="黑丝","黑","白")&amp;E888,经纬!A:N,14,FALSE)*(I888-AB888),"")</f>
        <v/>
      </c>
    </row>
    <row r="889" spans="13:27">
      <c r="M889" s="24" t="str">
        <f t="array" ref="M889">LEFT(L889,MIN(FIND({"A","B","C"},MID(L889,2,LEN(L889))&amp;"ABC")))</f>
        <v/>
      </c>
      <c r="N889" s="24" t="str">
        <f t="array" ref="N889">SUBSTITUTE(L889,M889,"")</f>
        <v/>
      </c>
      <c r="X889" s="258" t="str">
        <f t="shared" si="48"/>
        <v/>
      </c>
      <c r="Y889" s="36" t="str">
        <f t="shared" si="49"/>
        <v/>
      </c>
      <c r="Z889" s="340" t="str">
        <f>IF(AND(C889&gt;0,D889&lt;&gt;"",S889=""),VLOOKUP(A889&amp;IF(H889="黑丝","黑","白")&amp;E889,经纬!A:M,13,FALSE)*(I889-AB889),"")</f>
        <v/>
      </c>
      <c r="AA889" s="340" t="str">
        <f>IF(AND(C889&gt;0,D889&lt;&gt;"",S889=""),VLOOKUP(A889&amp;IF(H889="黑丝","黑","白")&amp;E889,经纬!A:N,14,FALSE)*(I889-AB889),"")</f>
        <v/>
      </c>
    </row>
    <row r="890" spans="13:27">
      <c r="M890" s="24" t="str">
        <f t="array" ref="M890">LEFT(L890,MIN(FIND({"A","B","C"},MID(L890,2,LEN(L890))&amp;"ABC")))</f>
        <v/>
      </c>
      <c r="N890" s="24" t="str">
        <f t="array" ref="N890">SUBSTITUTE(L890,M890,"")</f>
        <v/>
      </c>
      <c r="X890" s="258" t="str">
        <f t="shared" si="48"/>
        <v/>
      </c>
      <c r="Y890" s="36" t="str">
        <f t="shared" si="49"/>
        <v/>
      </c>
      <c r="Z890" s="340" t="str">
        <f>IF(AND(C890&gt;0,D890&lt;&gt;"",S890=""),VLOOKUP(A890&amp;IF(H890="黑丝","黑","白")&amp;E890,经纬!A:M,13,FALSE)*(I890-AB890),"")</f>
        <v/>
      </c>
      <c r="AA890" s="340" t="str">
        <f>IF(AND(C890&gt;0,D890&lt;&gt;"",S890=""),VLOOKUP(A890&amp;IF(H890="黑丝","黑","白")&amp;E890,经纬!A:N,14,FALSE)*(I890-AB890),"")</f>
        <v/>
      </c>
    </row>
    <row r="891" spans="13:27">
      <c r="M891" s="24" t="str">
        <f t="array" ref="M891">LEFT(L891,MIN(FIND({"A","B","C"},MID(L891,2,LEN(L891))&amp;"ABC")))</f>
        <v/>
      </c>
      <c r="N891" s="24" t="str">
        <f t="array" ref="N891">SUBSTITUTE(L891,M891,"")</f>
        <v/>
      </c>
      <c r="X891" s="258" t="str">
        <f t="shared" si="48"/>
        <v/>
      </c>
      <c r="Y891" s="36" t="str">
        <f t="shared" si="49"/>
        <v/>
      </c>
      <c r="Z891" s="340" t="str">
        <f>IF(AND(C891&gt;0,D891&lt;&gt;"",S891=""),VLOOKUP(A891&amp;IF(H891="黑丝","黑","白")&amp;E891,经纬!A:M,13,FALSE)*(I891-AB891),"")</f>
        <v/>
      </c>
      <c r="AA891" s="340" t="str">
        <f>IF(AND(C891&gt;0,D891&lt;&gt;"",S891=""),VLOOKUP(A891&amp;IF(H891="黑丝","黑","白")&amp;E891,经纬!A:N,14,FALSE)*(I891-AB891),"")</f>
        <v/>
      </c>
    </row>
    <row r="892" spans="13:27">
      <c r="M892" s="24" t="str">
        <f t="array" ref="M892">LEFT(L892,MIN(FIND({"A","B","C"},MID(L892,2,LEN(L892))&amp;"ABC")))</f>
        <v/>
      </c>
      <c r="N892" s="24" t="str">
        <f t="array" ref="N892">SUBSTITUTE(L892,M892,"")</f>
        <v/>
      </c>
      <c r="X892" s="258" t="str">
        <f t="shared" si="48"/>
        <v/>
      </c>
      <c r="Y892" s="36" t="str">
        <f t="shared" si="49"/>
        <v/>
      </c>
      <c r="Z892" s="340" t="str">
        <f>IF(AND(C892&gt;0,D892&lt;&gt;"",S892=""),VLOOKUP(A892&amp;IF(H892="黑丝","黑","白")&amp;E892,经纬!A:M,13,FALSE)*(I892-AB892),"")</f>
        <v/>
      </c>
      <c r="AA892" s="340" t="str">
        <f>IF(AND(C892&gt;0,D892&lt;&gt;"",S892=""),VLOOKUP(A892&amp;IF(H892="黑丝","黑","白")&amp;E892,经纬!A:N,14,FALSE)*(I892-AB892),"")</f>
        <v/>
      </c>
    </row>
    <row r="893" spans="13:27">
      <c r="M893" s="24" t="str">
        <f t="array" ref="M893">LEFT(L893,MIN(FIND({"A","B","C"},MID(L893,2,LEN(L893))&amp;"ABC")))</f>
        <v/>
      </c>
      <c r="N893" s="24" t="str">
        <f t="array" ref="N893">SUBSTITUTE(L893,M893,"")</f>
        <v/>
      </c>
      <c r="X893" s="258" t="str">
        <f t="shared" si="48"/>
        <v/>
      </c>
      <c r="Y893" s="36" t="str">
        <f t="shared" si="49"/>
        <v/>
      </c>
      <c r="Z893" s="340" t="str">
        <f>IF(AND(C893&gt;0,D893&lt;&gt;"",S893=""),VLOOKUP(A893&amp;IF(H893="黑丝","黑","白")&amp;E893,经纬!A:M,13,FALSE)*(I893-AB893),"")</f>
        <v/>
      </c>
      <c r="AA893" s="340" t="str">
        <f>IF(AND(C893&gt;0,D893&lt;&gt;"",S893=""),VLOOKUP(A893&amp;IF(H893="黑丝","黑","白")&amp;E893,经纬!A:N,14,FALSE)*(I893-AB893),"")</f>
        <v/>
      </c>
    </row>
    <row r="894" spans="13:27">
      <c r="M894" s="24" t="str">
        <f t="array" ref="M894">LEFT(L894,MIN(FIND({"A","B","C"},MID(L894,2,LEN(L894))&amp;"ABC")))</f>
        <v/>
      </c>
      <c r="N894" s="24" t="str">
        <f t="array" ref="N894">SUBSTITUTE(L894,M894,"")</f>
        <v/>
      </c>
      <c r="X894" s="258" t="str">
        <f t="shared" si="48"/>
        <v/>
      </c>
      <c r="Y894" s="36" t="str">
        <f t="shared" si="49"/>
        <v/>
      </c>
      <c r="Z894" s="340" t="str">
        <f>IF(AND(C894&gt;0,D894&lt;&gt;"",S894=""),VLOOKUP(A894&amp;IF(H894="黑丝","黑","白")&amp;E894,经纬!A:M,13,FALSE)*(I894-AB894),"")</f>
        <v/>
      </c>
      <c r="AA894" s="340" t="str">
        <f>IF(AND(C894&gt;0,D894&lt;&gt;"",S894=""),VLOOKUP(A894&amp;IF(H894="黑丝","黑","白")&amp;E894,经纬!A:N,14,FALSE)*(I894-AB894),"")</f>
        <v/>
      </c>
    </row>
    <row r="895" spans="13:27">
      <c r="M895" s="24" t="str">
        <f t="array" ref="M895">LEFT(L895,MIN(FIND({"A","B","C"},MID(L895,2,LEN(L895))&amp;"ABC")))</f>
        <v/>
      </c>
      <c r="N895" s="24" t="str">
        <f t="array" ref="N895">SUBSTITUTE(L895,M895,"")</f>
        <v/>
      </c>
      <c r="X895" s="258" t="str">
        <f t="shared" si="48"/>
        <v/>
      </c>
      <c r="Y895" s="36" t="str">
        <f t="shared" si="49"/>
        <v/>
      </c>
      <c r="Z895" s="340" t="str">
        <f>IF(AND(C895&gt;0,D895&lt;&gt;"",S895=""),VLOOKUP(A895&amp;IF(H895="黑丝","黑","白")&amp;E895,经纬!A:M,13,FALSE)*(I895-AB895),"")</f>
        <v/>
      </c>
      <c r="AA895" s="340" t="str">
        <f>IF(AND(C895&gt;0,D895&lt;&gt;"",S895=""),VLOOKUP(A895&amp;IF(H895="黑丝","黑","白")&amp;E895,经纬!A:N,14,FALSE)*(I895-AB895),"")</f>
        <v/>
      </c>
    </row>
    <row r="896" spans="13:27">
      <c r="M896" s="24" t="str">
        <f t="array" ref="M896">LEFT(L896,MIN(FIND({"A","B","C"},MID(L896,2,LEN(L896))&amp;"ABC")))</f>
        <v/>
      </c>
      <c r="N896" s="24" t="str">
        <f t="array" ref="N896">SUBSTITUTE(L896,M896,"")</f>
        <v/>
      </c>
      <c r="X896" s="258" t="str">
        <f t="shared" si="48"/>
        <v/>
      </c>
      <c r="Y896" s="36" t="str">
        <f t="shared" si="49"/>
        <v/>
      </c>
      <c r="Z896" s="340" t="str">
        <f>IF(AND(C896&gt;0,D896&lt;&gt;"",S896=""),VLOOKUP(A896&amp;IF(H896="黑丝","黑","白")&amp;E896,经纬!A:M,13,FALSE)*(I896-AB896),"")</f>
        <v/>
      </c>
      <c r="AA896" s="340" t="str">
        <f>IF(AND(C896&gt;0,D896&lt;&gt;"",S896=""),VLOOKUP(A896&amp;IF(H896="黑丝","黑","白")&amp;E896,经纬!A:N,14,FALSE)*(I896-AB896),"")</f>
        <v/>
      </c>
    </row>
    <row r="897" spans="13:27">
      <c r="M897" s="24" t="str">
        <f t="array" ref="M897">LEFT(L897,MIN(FIND({"A","B","C"},MID(L897,2,LEN(L897))&amp;"ABC")))</f>
        <v/>
      </c>
      <c r="N897" s="24" t="str">
        <f t="array" ref="N897">SUBSTITUTE(L897,M897,"")</f>
        <v/>
      </c>
      <c r="X897" s="258" t="str">
        <f t="shared" si="48"/>
        <v/>
      </c>
      <c r="Y897" s="36" t="str">
        <f t="shared" si="49"/>
        <v/>
      </c>
      <c r="Z897" s="340" t="str">
        <f>IF(AND(C897&gt;0,D897&lt;&gt;"",S897=""),VLOOKUP(A897&amp;IF(H897="黑丝","黑","白")&amp;E897,经纬!A:M,13,FALSE)*(I897-AB897),"")</f>
        <v/>
      </c>
      <c r="AA897" s="340" t="str">
        <f>IF(AND(C897&gt;0,D897&lt;&gt;"",S897=""),VLOOKUP(A897&amp;IF(H897="黑丝","黑","白")&amp;E897,经纬!A:N,14,FALSE)*(I897-AB897),"")</f>
        <v/>
      </c>
    </row>
    <row r="898" spans="13:27">
      <c r="M898" s="24" t="str">
        <f t="array" ref="M898">LEFT(L898,MIN(FIND({"A","B","C"},MID(L898,2,LEN(L898))&amp;"ABC")))</f>
        <v/>
      </c>
      <c r="N898" s="24" t="str">
        <f t="array" ref="N898">SUBSTITUTE(L898,M898,"")</f>
        <v/>
      </c>
      <c r="X898" s="258" t="str">
        <f t="shared" si="48"/>
        <v/>
      </c>
      <c r="Y898" s="36" t="str">
        <f t="shared" si="49"/>
        <v/>
      </c>
      <c r="Z898" s="340" t="str">
        <f>IF(AND(C898&gt;0,D898&lt;&gt;"",S898=""),VLOOKUP(A898&amp;IF(H898="黑丝","黑","白")&amp;E898,经纬!A:M,13,FALSE)*(I898-AB898),"")</f>
        <v/>
      </c>
      <c r="AA898" s="340" t="str">
        <f>IF(AND(C898&gt;0,D898&lt;&gt;"",S898=""),VLOOKUP(A898&amp;IF(H898="黑丝","黑","白")&amp;E898,经纬!A:N,14,FALSE)*(I898-AB898),"")</f>
        <v/>
      </c>
    </row>
    <row r="899" spans="13:27">
      <c r="M899" s="24" t="str">
        <f t="array" ref="M899">LEFT(L899,MIN(FIND({"A","B","C"},MID(L899,2,LEN(L899))&amp;"ABC")))</f>
        <v/>
      </c>
      <c r="N899" s="24" t="str">
        <f t="array" ref="N899">SUBSTITUTE(L899,M899,"")</f>
        <v/>
      </c>
      <c r="X899" s="258" t="str">
        <f t="shared" si="48"/>
        <v/>
      </c>
      <c r="Y899" s="36" t="str">
        <f t="shared" si="49"/>
        <v/>
      </c>
      <c r="Z899" s="340" t="str">
        <f>IF(AND(C899&gt;0,D899&lt;&gt;"",S899=""),VLOOKUP(A899&amp;IF(H899="黑丝","黑","白")&amp;E899,经纬!A:M,13,FALSE)*(I899-AB899),"")</f>
        <v/>
      </c>
      <c r="AA899" s="340" t="str">
        <f>IF(AND(C899&gt;0,D899&lt;&gt;"",S899=""),VLOOKUP(A899&amp;IF(H899="黑丝","黑","白")&amp;E899,经纬!A:N,14,FALSE)*(I899-AB899),"")</f>
        <v/>
      </c>
    </row>
    <row r="900" spans="13:27">
      <c r="M900" s="24" t="str">
        <f t="array" ref="M900">LEFT(L900,MIN(FIND({"A","B","C"},MID(L900,2,LEN(L900))&amp;"ABC")))</f>
        <v/>
      </c>
      <c r="N900" s="24" t="str">
        <f t="array" ref="N900">SUBSTITUTE(L900,M900,"")</f>
        <v/>
      </c>
      <c r="X900" s="258" t="str">
        <f t="shared" si="48"/>
        <v/>
      </c>
      <c r="Y900" s="36" t="str">
        <f t="shared" si="49"/>
        <v/>
      </c>
      <c r="Z900" s="340" t="str">
        <f>IF(AND(C900&gt;0,D900&lt;&gt;"",S900=""),VLOOKUP(A900&amp;IF(H900="黑丝","黑","白")&amp;E900,经纬!A:M,13,FALSE)*(I900-AB900),"")</f>
        <v/>
      </c>
      <c r="AA900" s="340" t="str">
        <f>IF(AND(C900&gt;0,D900&lt;&gt;"",S900=""),VLOOKUP(A900&amp;IF(H900="黑丝","黑","白")&amp;E900,经纬!A:N,14,FALSE)*(I900-AB900),"")</f>
        <v/>
      </c>
    </row>
    <row r="901" spans="13:27">
      <c r="M901" s="24" t="str">
        <f t="array" ref="M901">LEFT(L901,MIN(FIND({"A","B","C"},MID(L901,2,LEN(L901))&amp;"ABC")))</f>
        <v/>
      </c>
      <c r="N901" s="24" t="str">
        <f t="array" ref="N901">SUBSTITUTE(L901,M901,"")</f>
        <v/>
      </c>
      <c r="X901" s="258" t="str">
        <f t="shared" si="48"/>
        <v/>
      </c>
      <c r="Y901" s="36" t="str">
        <f t="shared" si="49"/>
        <v/>
      </c>
      <c r="Z901" s="340" t="str">
        <f>IF(AND(C901&gt;0,D901&lt;&gt;"",S901=""),VLOOKUP(A901&amp;IF(H901="黑丝","黑","白")&amp;E901,经纬!A:M,13,FALSE)*(I901-AB901),"")</f>
        <v/>
      </c>
      <c r="AA901" s="340" t="str">
        <f>IF(AND(C901&gt;0,D901&lt;&gt;"",S901=""),VLOOKUP(A901&amp;IF(H901="黑丝","黑","白")&amp;E901,经纬!A:N,14,FALSE)*(I901-AB901),"")</f>
        <v/>
      </c>
    </row>
    <row r="902" spans="13:27">
      <c r="M902" s="24" t="str">
        <f t="array" ref="M902">LEFT(L902,MIN(FIND({"A","B","C"},MID(L902,2,LEN(L902))&amp;"ABC")))</f>
        <v/>
      </c>
      <c r="N902" s="24" t="str">
        <f t="array" ref="N902">SUBSTITUTE(L902,M902,"")</f>
        <v/>
      </c>
      <c r="X902" s="258" t="str">
        <f t="shared" si="48"/>
        <v/>
      </c>
      <c r="Y902" s="36" t="str">
        <f t="shared" si="49"/>
        <v/>
      </c>
      <c r="Z902" s="340" t="str">
        <f>IF(AND(C902&gt;0,D902&lt;&gt;"",S902=""),VLOOKUP(A902&amp;IF(H902="黑丝","黑","白")&amp;E902,经纬!A:M,13,FALSE)*(I902-AB902),"")</f>
        <v/>
      </c>
      <c r="AA902" s="340" t="str">
        <f>IF(AND(C902&gt;0,D902&lt;&gt;"",S902=""),VLOOKUP(A902&amp;IF(H902="黑丝","黑","白")&amp;E902,经纬!A:N,14,FALSE)*(I902-AB902),"")</f>
        <v/>
      </c>
    </row>
    <row r="903" spans="13:27">
      <c r="M903" s="24" t="str">
        <f t="array" ref="M903">LEFT(L903,MIN(FIND({"A","B","C"},MID(L903,2,LEN(L903))&amp;"ABC")))</f>
        <v/>
      </c>
      <c r="N903" s="24" t="str">
        <f t="array" ref="N903">SUBSTITUTE(L903,M903,"")</f>
        <v/>
      </c>
      <c r="X903" s="258" t="str">
        <f t="shared" si="48"/>
        <v/>
      </c>
      <c r="Y903" s="36" t="str">
        <f t="shared" si="49"/>
        <v/>
      </c>
      <c r="Z903" s="340" t="str">
        <f>IF(AND(C903&gt;0,D903&lt;&gt;"",S903=""),VLOOKUP(A903&amp;IF(H903="黑丝","黑","白")&amp;E903,经纬!A:M,13,FALSE)*(I903-AB903),"")</f>
        <v/>
      </c>
      <c r="AA903" s="340" t="str">
        <f>IF(AND(C903&gt;0,D903&lt;&gt;"",S903=""),VLOOKUP(A903&amp;IF(H903="黑丝","黑","白")&amp;E903,经纬!A:N,14,FALSE)*(I903-AB903),"")</f>
        <v/>
      </c>
    </row>
    <row r="904" spans="13:27">
      <c r="M904" s="24" t="str">
        <f t="array" ref="M904">LEFT(L904,MIN(FIND({"A","B","C"},MID(L904,2,LEN(L904))&amp;"ABC")))</f>
        <v/>
      </c>
      <c r="N904" s="24" t="str">
        <f t="array" ref="N904">SUBSTITUTE(L904,M904,"")</f>
        <v/>
      </c>
      <c r="X904" s="258" t="str">
        <f t="shared" si="48"/>
        <v/>
      </c>
      <c r="Y904" s="36" t="str">
        <f t="shared" si="49"/>
        <v/>
      </c>
      <c r="Z904" s="340" t="str">
        <f>IF(AND(C904&gt;0,D904&lt;&gt;"",S904=""),VLOOKUP(A904&amp;IF(H904="黑丝","黑","白")&amp;E904,经纬!A:M,13,FALSE)*(I904-AB904),"")</f>
        <v/>
      </c>
      <c r="AA904" s="340" t="str">
        <f>IF(AND(C904&gt;0,D904&lt;&gt;"",S904=""),VLOOKUP(A904&amp;IF(H904="黑丝","黑","白")&amp;E904,经纬!A:N,14,FALSE)*(I904-AB904),"")</f>
        <v/>
      </c>
    </row>
    <row r="905" spans="13:27">
      <c r="M905" s="24" t="str">
        <f t="array" ref="M905">LEFT(L905,MIN(FIND({"A","B","C"},MID(L905,2,LEN(L905))&amp;"ABC")))</f>
        <v/>
      </c>
      <c r="N905" s="24" t="str">
        <f t="array" ref="N905">SUBSTITUTE(L905,M905,"")</f>
        <v/>
      </c>
      <c r="X905" s="258" t="str">
        <f t="shared" si="48"/>
        <v/>
      </c>
      <c r="Y905" s="36" t="str">
        <f t="shared" si="49"/>
        <v/>
      </c>
      <c r="Z905" s="340" t="str">
        <f>IF(AND(C905&gt;0,D905&lt;&gt;"",S905=""),VLOOKUP(A905&amp;IF(H905="黑丝","黑","白")&amp;E905,经纬!A:M,13,FALSE)*(I905-AB905),"")</f>
        <v/>
      </c>
      <c r="AA905" s="340" t="str">
        <f>IF(AND(C905&gt;0,D905&lt;&gt;"",S905=""),VLOOKUP(A905&amp;IF(H905="黑丝","黑","白")&amp;E905,经纬!A:N,14,FALSE)*(I905-AB905),"")</f>
        <v/>
      </c>
    </row>
    <row r="906" spans="13:27">
      <c r="M906" s="24" t="str">
        <f t="array" ref="M906">LEFT(L906,MIN(FIND({"A","B","C"},MID(L906,2,LEN(L906))&amp;"ABC")))</f>
        <v/>
      </c>
      <c r="N906" s="24" t="str">
        <f t="array" ref="N906">SUBSTITUTE(L906,M906,"")</f>
        <v/>
      </c>
      <c r="X906" s="258" t="str">
        <f t="shared" si="48"/>
        <v/>
      </c>
      <c r="Y906" s="36" t="str">
        <f t="shared" si="49"/>
        <v/>
      </c>
      <c r="Z906" s="340" t="str">
        <f>IF(AND(C906&gt;0,D906&lt;&gt;"",S906=""),VLOOKUP(A906&amp;IF(H906="黑丝","黑","白")&amp;E906,经纬!A:M,13,FALSE)*(I906-AB906),"")</f>
        <v/>
      </c>
      <c r="AA906" s="340" t="str">
        <f>IF(AND(C906&gt;0,D906&lt;&gt;"",S906=""),VLOOKUP(A906&amp;IF(H906="黑丝","黑","白")&amp;E906,经纬!A:N,14,FALSE)*(I906-AB906),"")</f>
        <v/>
      </c>
    </row>
    <row r="907" spans="13:27">
      <c r="M907" s="24" t="str">
        <f t="array" ref="M907">LEFT(L907,MIN(FIND({"A","B","C"},MID(L907,2,LEN(L907))&amp;"ABC")))</f>
        <v/>
      </c>
      <c r="N907" s="24" t="str">
        <f t="array" ref="N907">SUBSTITUTE(L907,M907,"")</f>
        <v/>
      </c>
      <c r="X907" s="258" t="str">
        <f t="shared" si="48"/>
        <v/>
      </c>
      <c r="Y907" s="36" t="str">
        <f t="shared" si="49"/>
        <v/>
      </c>
      <c r="Z907" s="340" t="str">
        <f>IF(AND(C907&gt;0,D907&lt;&gt;"",S907=""),VLOOKUP(A907&amp;IF(H907="黑丝","黑","白")&amp;E907,经纬!A:M,13,FALSE)*(I907-AB907),"")</f>
        <v/>
      </c>
      <c r="AA907" s="340" t="str">
        <f>IF(AND(C907&gt;0,D907&lt;&gt;"",S907=""),VLOOKUP(A907&amp;IF(H907="黑丝","黑","白")&amp;E907,经纬!A:N,14,FALSE)*(I907-AB907),"")</f>
        <v/>
      </c>
    </row>
    <row r="908" spans="13:27">
      <c r="M908" s="24" t="str">
        <f t="array" ref="M908">LEFT(L908,MIN(FIND({"A","B","C"},MID(L908,2,LEN(L908))&amp;"ABC")))</f>
        <v/>
      </c>
      <c r="N908" s="24" t="str">
        <f t="array" ref="N908">SUBSTITUTE(L908,M908,"")</f>
        <v/>
      </c>
      <c r="X908" s="258" t="str">
        <f t="shared" si="48"/>
        <v/>
      </c>
      <c r="Y908" s="36" t="str">
        <f t="shared" si="49"/>
        <v/>
      </c>
      <c r="Z908" s="340" t="str">
        <f>IF(AND(C908&gt;0,D908&lt;&gt;"",S908=""),VLOOKUP(A908&amp;IF(H908="黑丝","黑","白")&amp;E908,经纬!A:M,13,FALSE)*(I908-AB908),"")</f>
        <v/>
      </c>
      <c r="AA908" s="340" t="str">
        <f>IF(AND(C908&gt;0,D908&lt;&gt;"",S908=""),VLOOKUP(A908&amp;IF(H908="黑丝","黑","白")&amp;E908,经纬!A:N,14,FALSE)*(I908-AB908),"")</f>
        <v/>
      </c>
    </row>
    <row r="909" spans="13:27">
      <c r="M909" s="24" t="str">
        <f t="array" ref="M909">LEFT(L909,MIN(FIND({"A","B","C"},MID(L909,2,LEN(L909))&amp;"ABC")))</f>
        <v/>
      </c>
      <c r="N909" s="24" t="str">
        <f t="array" ref="N909">SUBSTITUTE(L909,M909,"")</f>
        <v/>
      </c>
      <c r="X909" s="258" t="str">
        <f t="shared" si="48"/>
        <v/>
      </c>
      <c r="Y909" s="36" t="str">
        <f t="shared" si="49"/>
        <v/>
      </c>
      <c r="Z909" s="340" t="str">
        <f>IF(AND(C909&gt;0,D909&lt;&gt;"",S909=""),VLOOKUP(A909&amp;IF(H909="黑丝","黑","白")&amp;E909,经纬!A:M,13,FALSE)*(I909-AB909),"")</f>
        <v/>
      </c>
      <c r="AA909" s="340" t="str">
        <f>IF(AND(C909&gt;0,D909&lt;&gt;"",S909=""),VLOOKUP(A909&amp;IF(H909="黑丝","黑","白")&amp;E909,经纬!A:N,14,FALSE)*(I909-AB909),"")</f>
        <v/>
      </c>
    </row>
    <row r="910" spans="13:27">
      <c r="M910" s="24" t="str">
        <f t="array" ref="M910">LEFT(L910,MIN(FIND({"A","B","C"},MID(L910,2,LEN(L910))&amp;"ABC")))</f>
        <v/>
      </c>
      <c r="N910" s="24" t="str">
        <f t="array" ref="N910">SUBSTITUTE(L910,M910,"")</f>
        <v/>
      </c>
      <c r="X910" s="258" t="str">
        <f t="shared" si="48"/>
        <v/>
      </c>
      <c r="Y910" s="36" t="str">
        <f t="shared" si="49"/>
        <v/>
      </c>
      <c r="Z910" s="340" t="str">
        <f>IF(AND(C910&gt;0,D910&lt;&gt;"",S910=""),VLOOKUP(A910&amp;IF(H910="黑丝","黑","白")&amp;E910,经纬!A:M,13,FALSE)*(I910-AB910),"")</f>
        <v/>
      </c>
      <c r="AA910" s="340" t="str">
        <f>IF(AND(C910&gt;0,D910&lt;&gt;"",S910=""),VLOOKUP(A910&amp;IF(H910="黑丝","黑","白")&amp;E910,经纬!A:N,14,FALSE)*(I910-AB910),"")</f>
        <v/>
      </c>
    </row>
    <row r="911" spans="13:27">
      <c r="M911" s="24" t="str">
        <f t="array" ref="M911">LEFT(L911,MIN(FIND({"A","B","C"},MID(L911,2,LEN(L911))&amp;"ABC")))</f>
        <v/>
      </c>
      <c r="N911" s="24" t="str">
        <f t="array" ref="N911">SUBSTITUTE(L911,M911,"")</f>
        <v/>
      </c>
      <c r="X911" s="258" t="str">
        <f t="shared" si="48"/>
        <v/>
      </c>
      <c r="Y911" s="36" t="str">
        <f t="shared" si="49"/>
        <v/>
      </c>
      <c r="Z911" s="340" t="str">
        <f>IF(AND(C911&gt;0,D911&lt;&gt;"",S911=""),VLOOKUP(A911&amp;IF(H911="黑丝","黑","白")&amp;E911,经纬!A:M,13,FALSE)*(I911-AB911),"")</f>
        <v/>
      </c>
      <c r="AA911" s="340" t="str">
        <f>IF(AND(C911&gt;0,D911&lt;&gt;"",S911=""),VLOOKUP(A911&amp;IF(H911="黑丝","黑","白")&amp;E911,经纬!A:N,14,FALSE)*(I911-AB911),"")</f>
        <v/>
      </c>
    </row>
    <row r="912" spans="13:27">
      <c r="M912" s="24" t="str">
        <f t="array" ref="M912">LEFT(L912,MIN(FIND({"A","B","C"},MID(L912,2,LEN(L912))&amp;"ABC")))</f>
        <v/>
      </c>
      <c r="N912" s="24" t="str">
        <f t="array" ref="N912">SUBSTITUTE(L912,M912,"")</f>
        <v/>
      </c>
      <c r="X912" s="258" t="str">
        <f t="shared" si="48"/>
        <v/>
      </c>
      <c r="Y912" s="36" t="str">
        <f t="shared" si="49"/>
        <v/>
      </c>
      <c r="Z912" s="340" t="str">
        <f>IF(AND(C912&gt;0,D912&lt;&gt;"",S912=""),VLOOKUP(A912&amp;IF(H912="黑丝","黑","白")&amp;E912,经纬!A:M,13,FALSE)*(I912-AB912),"")</f>
        <v/>
      </c>
      <c r="AA912" s="340" t="str">
        <f>IF(AND(C912&gt;0,D912&lt;&gt;"",S912=""),VLOOKUP(A912&amp;IF(H912="黑丝","黑","白")&amp;E912,经纬!A:N,14,FALSE)*(I912-AB912),"")</f>
        <v/>
      </c>
    </row>
    <row r="913" spans="13:27">
      <c r="M913" s="24" t="str">
        <f t="array" ref="M913">LEFT(L913,MIN(FIND({"A","B","C"},MID(L913,2,LEN(L913))&amp;"ABC")))</f>
        <v/>
      </c>
      <c r="N913" s="24" t="str">
        <f t="array" ref="N913">SUBSTITUTE(L913,M913,"")</f>
        <v/>
      </c>
      <c r="X913" s="258" t="str">
        <f t="shared" si="48"/>
        <v/>
      </c>
      <c r="Y913" s="36" t="str">
        <f t="shared" si="49"/>
        <v/>
      </c>
      <c r="Z913" s="340" t="str">
        <f>IF(AND(C913&gt;0,D913&lt;&gt;"",S913=""),VLOOKUP(A913&amp;IF(H913="黑丝","黑","白")&amp;E913,经纬!A:M,13,FALSE)*(I913-AB913),"")</f>
        <v/>
      </c>
      <c r="AA913" s="340" t="str">
        <f>IF(AND(C913&gt;0,D913&lt;&gt;"",S913=""),VLOOKUP(A913&amp;IF(H913="黑丝","黑","白")&amp;E913,经纬!A:N,14,FALSE)*(I913-AB913),"")</f>
        <v/>
      </c>
    </row>
    <row r="914" spans="13:27">
      <c r="M914" s="24" t="str">
        <f t="array" ref="M914">LEFT(L914,MIN(FIND({"A","B","C"},MID(L914,2,LEN(L914))&amp;"ABC")))</f>
        <v/>
      </c>
      <c r="N914" s="24" t="str">
        <f t="array" ref="N914">SUBSTITUTE(L914,M914,"")</f>
        <v/>
      </c>
      <c r="X914" s="258" t="str">
        <f t="shared" si="48"/>
        <v/>
      </c>
      <c r="Y914" s="36" t="str">
        <f t="shared" si="49"/>
        <v/>
      </c>
      <c r="Z914" s="340" t="str">
        <f>IF(AND(C914&gt;0,D914&lt;&gt;"",S914=""),VLOOKUP(A914&amp;IF(H914="黑丝","黑","白")&amp;E914,经纬!A:M,13,FALSE)*(I914-AB914),"")</f>
        <v/>
      </c>
      <c r="AA914" s="340" t="str">
        <f>IF(AND(C914&gt;0,D914&lt;&gt;"",S914=""),VLOOKUP(A914&amp;IF(H914="黑丝","黑","白")&amp;E914,经纬!A:N,14,FALSE)*(I914-AB914),"")</f>
        <v/>
      </c>
    </row>
    <row r="915" spans="13:27">
      <c r="M915" s="24" t="str">
        <f t="array" ref="M915">LEFT(L915,MIN(FIND({"A","B","C"},MID(L915,2,LEN(L915))&amp;"ABC")))</f>
        <v/>
      </c>
      <c r="N915" s="24" t="str">
        <f t="array" ref="N915">SUBSTITUTE(L915,M915,"")</f>
        <v/>
      </c>
      <c r="X915" s="258" t="str">
        <f t="shared" si="48"/>
        <v/>
      </c>
      <c r="Y915" s="36" t="str">
        <f t="shared" si="49"/>
        <v/>
      </c>
      <c r="Z915" s="340" t="str">
        <f>IF(AND(C915&gt;0,D915&lt;&gt;"",S915=""),VLOOKUP(A915&amp;IF(H915="黑丝","黑","白")&amp;E915,经纬!A:M,13,FALSE)*(I915-AB915),"")</f>
        <v/>
      </c>
      <c r="AA915" s="340" t="str">
        <f>IF(AND(C915&gt;0,D915&lt;&gt;"",S915=""),VLOOKUP(A915&amp;IF(H915="黑丝","黑","白")&amp;E915,经纬!A:N,14,FALSE)*(I915-AB915),"")</f>
        <v/>
      </c>
    </row>
    <row r="916" spans="13:27">
      <c r="M916" s="24" t="str">
        <f t="array" ref="M916">LEFT(L916,MIN(FIND({"A","B","C"},MID(L916,2,LEN(L916))&amp;"ABC")))</f>
        <v/>
      </c>
      <c r="N916" s="24" t="str">
        <f t="array" ref="N916">SUBSTITUTE(L916,M916,"")</f>
        <v/>
      </c>
      <c r="X916" s="258" t="str">
        <f t="shared" si="48"/>
        <v/>
      </c>
      <c r="Y916" s="36" t="str">
        <f t="shared" si="49"/>
        <v/>
      </c>
      <c r="Z916" s="340" t="str">
        <f>IF(AND(C916&gt;0,D916&lt;&gt;"",S916=""),VLOOKUP(A916&amp;IF(H916="黑丝","黑","白")&amp;E916,经纬!A:M,13,FALSE)*(I916-AB916),"")</f>
        <v/>
      </c>
      <c r="AA916" s="340" t="str">
        <f>IF(AND(C916&gt;0,D916&lt;&gt;"",S916=""),VLOOKUP(A916&amp;IF(H916="黑丝","黑","白")&amp;E916,经纬!A:N,14,FALSE)*(I916-AB916),"")</f>
        <v/>
      </c>
    </row>
    <row r="917" spans="13:27">
      <c r="M917" s="24" t="str">
        <f t="array" ref="M917">LEFT(L917,MIN(FIND({"A","B","C"},MID(L917,2,LEN(L917))&amp;"ABC")))</f>
        <v/>
      </c>
      <c r="N917" s="24" t="str">
        <f t="array" ref="N917">SUBSTITUTE(L917,M917,"")</f>
        <v/>
      </c>
      <c r="X917" s="258" t="str">
        <f t="shared" si="48"/>
        <v/>
      </c>
      <c r="Y917" s="36" t="str">
        <f t="shared" si="49"/>
        <v/>
      </c>
      <c r="Z917" s="340" t="str">
        <f>IF(AND(C917&gt;0,D917&lt;&gt;"",S917=""),VLOOKUP(A917&amp;IF(H917="黑丝","黑","白")&amp;E917,经纬!A:M,13,FALSE)*(I917-AB917),"")</f>
        <v/>
      </c>
      <c r="AA917" s="340" t="str">
        <f>IF(AND(C917&gt;0,D917&lt;&gt;"",S917=""),VLOOKUP(A917&amp;IF(H917="黑丝","黑","白")&amp;E917,经纬!A:N,14,FALSE)*(I917-AB917),"")</f>
        <v/>
      </c>
    </row>
    <row r="918" spans="13:27">
      <c r="M918" s="24" t="str">
        <f t="array" ref="M918">LEFT(L918,MIN(FIND({"A","B","C"},MID(L918,2,LEN(L918))&amp;"ABC")))</f>
        <v/>
      </c>
      <c r="N918" s="24" t="str">
        <f t="array" ref="N918">SUBSTITUTE(L918,M918,"")</f>
        <v/>
      </c>
      <c r="X918" s="258" t="str">
        <f t="shared" si="48"/>
        <v/>
      </c>
      <c r="Y918" s="36" t="str">
        <f t="shared" si="49"/>
        <v/>
      </c>
      <c r="Z918" s="340" t="str">
        <f>IF(AND(C918&gt;0,D918&lt;&gt;"",S918=""),VLOOKUP(A918&amp;IF(H918="黑丝","黑","白")&amp;E918,经纬!A:M,13,FALSE)*(I918-AB918),"")</f>
        <v/>
      </c>
      <c r="AA918" s="340" t="str">
        <f>IF(AND(C918&gt;0,D918&lt;&gt;"",S918=""),VLOOKUP(A918&amp;IF(H918="黑丝","黑","白")&amp;E918,经纬!A:N,14,FALSE)*(I918-AB918),"")</f>
        <v/>
      </c>
    </row>
    <row r="919" spans="13:27">
      <c r="M919" s="24" t="str">
        <f t="array" ref="M919">LEFT(L919,MIN(FIND({"A","B","C"},MID(L919,2,LEN(L919))&amp;"ABC")))</f>
        <v/>
      </c>
      <c r="N919" s="24" t="str">
        <f t="array" ref="N919">SUBSTITUTE(L919,M919,"")</f>
        <v/>
      </c>
      <c r="X919" s="258" t="str">
        <f t="shared" si="48"/>
        <v/>
      </c>
      <c r="Y919" s="36" t="str">
        <f t="shared" si="49"/>
        <v/>
      </c>
      <c r="Z919" s="340" t="str">
        <f>IF(AND(C919&gt;0,D919&lt;&gt;"",S919=""),VLOOKUP(A919&amp;IF(H919="黑丝","黑","白")&amp;E919,经纬!A:M,13,FALSE)*(I919-AB919),"")</f>
        <v/>
      </c>
      <c r="AA919" s="340" t="str">
        <f>IF(AND(C919&gt;0,D919&lt;&gt;"",S919=""),VLOOKUP(A919&amp;IF(H919="黑丝","黑","白")&amp;E919,经纬!A:N,14,FALSE)*(I919-AB919),"")</f>
        <v/>
      </c>
    </row>
    <row r="920" spans="13:27">
      <c r="M920" s="24" t="str">
        <f t="array" ref="M920">LEFT(L920,MIN(FIND({"A","B","C"},MID(L920,2,LEN(L920))&amp;"ABC")))</f>
        <v/>
      </c>
      <c r="N920" s="24" t="str">
        <f t="array" ref="N920">SUBSTITUTE(L920,M920,"")</f>
        <v/>
      </c>
      <c r="X920" s="258" t="str">
        <f t="shared" si="48"/>
        <v/>
      </c>
      <c r="Y920" s="36" t="str">
        <f t="shared" si="49"/>
        <v/>
      </c>
      <c r="Z920" s="340" t="str">
        <f>IF(AND(C920&gt;0,D920&lt;&gt;"",S920=""),VLOOKUP(A920&amp;IF(H920="黑丝","黑","白")&amp;E920,经纬!A:M,13,FALSE)*(I920-AB920),"")</f>
        <v/>
      </c>
      <c r="AA920" s="340" t="str">
        <f>IF(AND(C920&gt;0,D920&lt;&gt;"",S920=""),VLOOKUP(A920&amp;IF(H920="黑丝","黑","白")&amp;E920,经纬!A:N,14,FALSE)*(I920-AB920),"")</f>
        <v/>
      </c>
    </row>
    <row r="921" spans="13:27">
      <c r="M921" s="24" t="str">
        <f t="array" ref="M921">LEFT(L921,MIN(FIND({"A","B","C"},MID(L921,2,LEN(L921))&amp;"ABC")))</f>
        <v/>
      </c>
      <c r="N921" s="24" t="str">
        <f t="array" ref="N921">SUBSTITUTE(L921,M921,"")</f>
        <v/>
      </c>
      <c r="X921" s="258" t="str">
        <f t="shared" si="48"/>
        <v/>
      </c>
      <c r="Y921" s="36" t="str">
        <f t="shared" si="49"/>
        <v/>
      </c>
      <c r="Z921" s="340" t="str">
        <f>IF(AND(C921&gt;0,D921&lt;&gt;"",S921=""),VLOOKUP(A921&amp;IF(H921="黑丝","黑","白")&amp;E921,经纬!A:M,13,FALSE)*(I921-AB921),"")</f>
        <v/>
      </c>
      <c r="AA921" s="340" t="str">
        <f>IF(AND(C921&gt;0,D921&lt;&gt;"",S921=""),VLOOKUP(A921&amp;IF(H921="黑丝","黑","白")&amp;E921,经纬!A:N,14,FALSE)*(I921-AB921),"")</f>
        <v/>
      </c>
    </row>
    <row r="922" spans="13:27">
      <c r="M922" s="24" t="str">
        <f t="array" ref="M922">LEFT(L922,MIN(FIND({"A","B","C"},MID(L922,2,LEN(L922))&amp;"ABC")))</f>
        <v/>
      </c>
      <c r="N922" s="24" t="str">
        <f t="array" ref="N922">SUBSTITUTE(L922,M922,"")</f>
        <v/>
      </c>
      <c r="X922" s="258" t="str">
        <f t="shared" si="48"/>
        <v/>
      </c>
      <c r="Y922" s="36" t="str">
        <f t="shared" si="49"/>
        <v/>
      </c>
      <c r="Z922" s="340" t="str">
        <f>IF(AND(C922&gt;0,D922&lt;&gt;"",S922=""),VLOOKUP(A922&amp;IF(H922="黑丝","黑","白")&amp;E922,经纬!A:M,13,FALSE)*(I922-AB922),"")</f>
        <v/>
      </c>
      <c r="AA922" s="340" t="str">
        <f>IF(AND(C922&gt;0,D922&lt;&gt;"",S922=""),VLOOKUP(A922&amp;IF(H922="黑丝","黑","白")&amp;E922,经纬!A:N,14,FALSE)*(I922-AB922),"")</f>
        <v/>
      </c>
    </row>
    <row r="923" spans="13:27">
      <c r="M923" s="24" t="str">
        <f t="array" ref="M923">LEFT(L923,MIN(FIND({"A","B","C"},MID(L923,2,LEN(L923))&amp;"ABC")))</f>
        <v/>
      </c>
      <c r="N923" s="24" t="str">
        <f t="array" ref="N923">SUBSTITUTE(L923,M923,"")</f>
        <v/>
      </c>
      <c r="X923" s="258" t="str">
        <f t="shared" si="48"/>
        <v/>
      </c>
      <c r="Y923" s="36" t="str">
        <f t="shared" si="49"/>
        <v/>
      </c>
      <c r="Z923" s="340" t="str">
        <f>IF(AND(C923&gt;0,D923&lt;&gt;"",S923=""),VLOOKUP(A923&amp;IF(H923="黑丝","黑","白")&amp;E923,经纬!A:M,13,FALSE)*(I923-AB923),"")</f>
        <v/>
      </c>
      <c r="AA923" s="340" t="str">
        <f>IF(AND(C923&gt;0,D923&lt;&gt;"",S923=""),VLOOKUP(A923&amp;IF(H923="黑丝","黑","白")&amp;E923,经纬!A:N,14,FALSE)*(I923-AB923),"")</f>
        <v/>
      </c>
    </row>
    <row r="924" spans="13:27">
      <c r="M924" s="24" t="str">
        <f t="array" ref="M924">LEFT(L924,MIN(FIND({"A","B","C"},MID(L924,2,LEN(L924))&amp;"ABC")))</f>
        <v/>
      </c>
      <c r="N924" s="24" t="str">
        <f t="array" ref="N924">SUBSTITUTE(L924,M924,"")</f>
        <v/>
      </c>
      <c r="X924" s="258" t="str">
        <f t="shared" ref="X924:X987" si="50">IF(B924="","",IF(S924&lt;&gt;"","",IF(AND(Z924&lt;&gt;"",AA924&lt;&gt;""),SUM(Z924:AA924),IF(AB924&lt;&gt;"",(I924/((1/((G924+2)/100*K924/1000))*0.9144)/IF(H924="黑丝",22,20)-AB924)*(IF(H924="黑丝",22,20)),I924/((1/((G924+2)/100*K924/1000))*0.9144)))))</f>
        <v/>
      </c>
      <c r="Y924" s="36" t="str">
        <f t="shared" si="49"/>
        <v/>
      </c>
      <c r="Z924" s="340" t="str">
        <f>IF(AND(C924&gt;0,D924&lt;&gt;"",S924=""),VLOOKUP(A924&amp;IF(H924="黑丝","黑","白")&amp;E924,经纬!A:M,13,FALSE)*(I924-AB924),"")</f>
        <v/>
      </c>
      <c r="AA924" s="340" t="str">
        <f>IF(AND(C924&gt;0,D924&lt;&gt;"",S924=""),VLOOKUP(A924&amp;IF(H924="黑丝","黑","白")&amp;E924,经纬!A:N,14,FALSE)*(I924-AB924),"")</f>
        <v/>
      </c>
    </row>
    <row r="925" spans="13:27">
      <c r="M925" s="24" t="str">
        <f t="array" ref="M925">LEFT(L925,MIN(FIND({"A","B","C"},MID(L925,2,LEN(L925))&amp;"ABC")))</f>
        <v/>
      </c>
      <c r="N925" s="24" t="str">
        <f t="array" ref="N925">SUBSTITUTE(L925,M925,"")</f>
        <v/>
      </c>
      <c r="X925" s="258" t="str">
        <f t="shared" si="50"/>
        <v/>
      </c>
      <c r="Y925" s="36" t="str">
        <f t="shared" si="49"/>
        <v/>
      </c>
      <c r="Z925" s="340" t="str">
        <f>IF(AND(C925&gt;0,D925&lt;&gt;"",S925=""),VLOOKUP(A925&amp;IF(H925="黑丝","黑","白")&amp;E925,经纬!A:M,13,FALSE)*(I925-AB925),"")</f>
        <v/>
      </c>
      <c r="AA925" s="340" t="str">
        <f>IF(AND(C925&gt;0,D925&lt;&gt;"",S925=""),VLOOKUP(A925&amp;IF(H925="黑丝","黑","白")&amp;E925,经纬!A:N,14,FALSE)*(I925-AB925),"")</f>
        <v/>
      </c>
    </row>
    <row r="926" spans="13:27">
      <c r="M926" s="24" t="str">
        <f t="array" ref="M926">LEFT(L926,MIN(FIND({"A","B","C"},MID(L926,2,LEN(L926))&amp;"ABC")))</f>
        <v/>
      </c>
      <c r="N926" s="24" t="str">
        <f t="array" ref="N926">SUBSTITUTE(L926,M926,"")</f>
        <v/>
      </c>
      <c r="X926" s="258" t="str">
        <f t="shared" si="50"/>
        <v/>
      </c>
      <c r="Y926" s="36" t="str">
        <f t="shared" si="49"/>
        <v/>
      </c>
      <c r="Z926" s="340" t="str">
        <f>IF(AND(C926&gt;0,D926&lt;&gt;"",S926=""),VLOOKUP(A926&amp;IF(H926="黑丝","黑","白")&amp;E926,经纬!A:M,13,FALSE)*(I926-AB926),"")</f>
        <v/>
      </c>
      <c r="AA926" s="340" t="str">
        <f>IF(AND(C926&gt;0,D926&lt;&gt;"",S926=""),VLOOKUP(A926&amp;IF(H926="黑丝","黑","白")&amp;E926,经纬!A:N,14,FALSE)*(I926-AB926),"")</f>
        <v/>
      </c>
    </row>
    <row r="927" spans="13:27">
      <c r="M927" s="24" t="str">
        <f t="array" ref="M927">LEFT(L927,MIN(FIND({"A","B","C"},MID(L927,2,LEN(L927))&amp;"ABC")))</f>
        <v/>
      </c>
      <c r="N927" s="24" t="str">
        <f t="array" ref="N927">SUBSTITUTE(L927,M927,"")</f>
        <v/>
      </c>
      <c r="X927" s="258" t="str">
        <f t="shared" si="50"/>
        <v/>
      </c>
      <c r="Y927" s="36" t="str">
        <f t="shared" si="49"/>
        <v/>
      </c>
      <c r="Z927" s="340" t="str">
        <f>IF(AND(C927&gt;0,D927&lt;&gt;"",S927=""),VLOOKUP(A927&amp;IF(H927="黑丝","黑","白")&amp;E927,经纬!A:M,13,FALSE)*(I927-AB927),"")</f>
        <v/>
      </c>
      <c r="AA927" s="340" t="str">
        <f>IF(AND(C927&gt;0,D927&lt;&gt;"",S927=""),VLOOKUP(A927&amp;IF(H927="黑丝","黑","白")&amp;E927,经纬!A:N,14,FALSE)*(I927-AB927),"")</f>
        <v/>
      </c>
    </row>
    <row r="928" spans="13:27">
      <c r="M928" s="24" t="str">
        <f t="array" ref="M928">LEFT(L928,MIN(FIND({"A","B","C"},MID(L928,2,LEN(L928))&amp;"ABC")))</f>
        <v/>
      </c>
      <c r="N928" s="24" t="str">
        <f t="array" ref="N928">SUBSTITUTE(L928,M928,"")</f>
        <v/>
      </c>
      <c r="X928" s="258" t="str">
        <f t="shared" si="50"/>
        <v/>
      </c>
      <c r="Y928" s="36" t="str">
        <f t="shared" si="49"/>
        <v/>
      </c>
      <c r="Z928" s="340" t="str">
        <f>IF(AND(C928&gt;0,D928&lt;&gt;"",S928=""),VLOOKUP(A928&amp;IF(H928="黑丝","黑","白")&amp;E928,经纬!A:M,13,FALSE)*(I928-AB928),"")</f>
        <v/>
      </c>
      <c r="AA928" s="340" t="str">
        <f>IF(AND(C928&gt;0,D928&lt;&gt;"",S928=""),VLOOKUP(A928&amp;IF(H928="黑丝","黑","白")&amp;E928,经纬!A:N,14,FALSE)*(I928-AB928),"")</f>
        <v/>
      </c>
    </row>
    <row r="929" spans="13:27">
      <c r="M929" s="24" t="str">
        <f t="array" ref="M929">LEFT(L929,MIN(FIND({"A","B","C"},MID(L929,2,LEN(L929))&amp;"ABC")))</f>
        <v/>
      </c>
      <c r="N929" s="24" t="str">
        <f t="array" ref="N929">SUBSTITUTE(L929,M929,"")</f>
        <v/>
      </c>
      <c r="X929" s="258" t="str">
        <f t="shared" si="50"/>
        <v/>
      </c>
      <c r="Y929" s="36" t="str">
        <f t="shared" si="49"/>
        <v/>
      </c>
      <c r="Z929" s="340" t="str">
        <f>IF(AND(C929&gt;0,D929&lt;&gt;"",S929=""),VLOOKUP(A929&amp;IF(H929="黑丝","黑","白")&amp;E929,经纬!A:M,13,FALSE)*(I929-AB929),"")</f>
        <v/>
      </c>
      <c r="AA929" s="340" t="str">
        <f>IF(AND(C929&gt;0,D929&lt;&gt;"",S929=""),VLOOKUP(A929&amp;IF(H929="黑丝","黑","白")&amp;E929,经纬!A:N,14,FALSE)*(I929-AB929),"")</f>
        <v/>
      </c>
    </row>
    <row r="930" spans="13:27">
      <c r="M930" s="24" t="str">
        <f t="array" ref="M930">LEFT(L930,MIN(FIND({"A","B","C"},MID(L930,2,LEN(L930))&amp;"ABC")))</f>
        <v/>
      </c>
      <c r="N930" s="24" t="str">
        <f t="array" ref="N930">SUBSTITUTE(L930,M930,"")</f>
        <v/>
      </c>
      <c r="X930" s="258" t="str">
        <f t="shared" si="50"/>
        <v/>
      </c>
      <c r="Y930" s="36" t="str">
        <f t="shared" si="49"/>
        <v/>
      </c>
      <c r="Z930" s="340" t="str">
        <f>IF(AND(C930&gt;0,D930&lt;&gt;"",S930=""),VLOOKUP(A930&amp;IF(H930="黑丝","黑","白")&amp;E930,经纬!A:M,13,FALSE)*(I930-AB930),"")</f>
        <v/>
      </c>
      <c r="AA930" s="340" t="str">
        <f>IF(AND(C930&gt;0,D930&lt;&gt;"",S930=""),VLOOKUP(A930&amp;IF(H930="黑丝","黑","白")&amp;E930,经纬!A:N,14,FALSE)*(I930-AB930),"")</f>
        <v/>
      </c>
    </row>
    <row r="931" spans="13:27">
      <c r="M931" s="24" t="str">
        <f t="array" ref="M931">LEFT(L931,MIN(FIND({"A","B","C"},MID(L931,2,LEN(L931))&amp;"ABC")))</f>
        <v/>
      </c>
      <c r="N931" s="24" t="str">
        <f t="array" ref="N931">SUBSTITUTE(L931,M931,"")</f>
        <v/>
      </c>
      <c r="X931" s="258" t="str">
        <f t="shared" si="50"/>
        <v/>
      </c>
      <c r="Y931" s="36" t="str">
        <f t="shared" si="49"/>
        <v/>
      </c>
      <c r="Z931" s="340" t="str">
        <f>IF(AND(C931&gt;0,D931&lt;&gt;"",S931=""),VLOOKUP(A931&amp;IF(H931="黑丝","黑","白")&amp;E931,经纬!A:M,13,FALSE)*(I931-AB931),"")</f>
        <v/>
      </c>
      <c r="AA931" s="340" t="str">
        <f>IF(AND(C931&gt;0,D931&lt;&gt;"",S931=""),VLOOKUP(A931&amp;IF(H931="黑丝","黑","白")&amp;E931,经纬!A:N,14,FALSE)*(I931-AB931),"")</f>
        <v/>
      </c>
    </row>
    <row r="932" spans="13:27">
      <c r="M932" s="24" t="str">
        <f t="array" ref="M932">LEFT(L932,MIN(FIND({"A","B","C"},MID(L932,2,LEN(L932))&amp;"ABC")))</f>
        <v/>
      </c>
      <c r="N932" s="24" t="str">
        <f t="array" ref="N932">SUBSTITUTE(L932,M932,"")</f>
        <v/>
      </c>
      <c r="X932" s="258" t="str">
        <f t="shared" si="50"/>
        <v/>
      </c>
      <c r="Y932" s="36" t="str">
        <f t="shared" si="49"/>
        <v/>
      </c>
      <c r="Z932" s="340" t="str">
        <f>IF(AND(C932&gt;0,D932&lt;&gt;"",S932=""),VLOOKUP(A932&amp;IF(H932="黑丝","黑","白")&amp;E932,经纬!A:M,13,FALSE)*(I932-AB932),"")</f>
        <v/>
      </c>
      <c r="AA932" s="340" t="str">
        <f>IF(AND(C932&gt;0,D932&lt;&gt;"",S932=""),VLOOKUP(A932&amp;IF(H932="黑丝","黑","白")&amp;E932,经纬!A:N,14,FALSE)*(I932-AB932),"")</f>
        <v/>
      </c>
    </row>
    <row r="933" spans="13:27">
      <c r="M933" s="24" t="str">
        <f t="array" ref="M933">LEFT(L933,MIN(FIND({"A","B","C"},MID(L933,2,LEN(L933))&amp;"ABC")))</f>
        <v/>
      </c>
      <c r="N933" s="24" t="str">
        <f t="array" ref="N933">SUBSTITUTE(L933,M933,"")</f>
        <v/>
      </c>
      <c r="X933" s="258" t="str">
        <f t="shared" si="50"/>
        <v/>
      </c>
      <c r="Y933" s="36" t="str">
        <f t="shared" si="49"/>
        <v/>
      </c>
      <c r="Z933" s="340" t="str">
        <f>IF(AND(C933&gt;0,D933&lt;&gt;"",S933=""),VLOOKUP(A933&amp;IF(H933="黑丝","黑","白")&amp;E933,经纬!A:M,13,FALSE)*(I933-AB933),"")</f>
        <v/>
      </c>
      <c r="AA933" s="340" t="str">
        <f>IF(AND(C933&gt;0,D933&lt;&gt;"",S933=""),VLOOKUP(A933&amp;IF(H933="黑丝","黑","白")&amp;E933,经纬!A:N,14,FALSE)*(I933-AB933),"")</f>
        <v/>
      </c>
    </row>
    <row r="934" spans="13:27">
      <c r="M934" s="24" t="str">
        <f t="array" ref="M934">LEFT(L934,MIN(FIND({"A","B","C"},MID(L934,2,LEN(L934))&amp;"ABC")))</f>
        <v/>
      </c>
      <c r="N934" s="24" t="str">
        <f t="array" ref="N934">SUBSTITUTE(L934,M934,"")</f>
        <v/>
      </c>
      <c r="X934" s="258" t="str">
        <f t="shared" si="50"/>
        <v/>
      </c>
      <c r="Y934" s="36" t="str">
        <f t="shared" si="49"/>
        <v/>
      </c>
      <c r="Z934" s="340" t="str">
        <f>IF(AND(C934&gt;0,D934&lt;&gt;"",S934=""),VLOOKUP(A934&amp;IF(H934="黑丝","黑","白")&amp;E934,经纬!A:M,13,FALSE)*(I934-AB934),"")</f>
        <v/>
      </c>
      <c r="AA934" s="340" t="str">
        <f>IF(AND(C934&gt;0,D934&lt;&gt;"",S934=""),VLOOKUP(A934&amp;IF(H934="黑丝","黑","白")&amp;E934,经纬!A:N,14,FALSE)*(I934-AB934),"")</f>
        <v/>
      </c>
    </row>
    <row r="935" spans="13:27">
      <c r="M935" s="24" t="str">
        <f t="array" ref="M935">LEFT(L935,MIN(FIND({"A","B","C"},MID(L935,2,LEN(L935))&amp;"ABC")))</f>
        <v/>
      </c>
      <c r="N935" s="24" t="str">
        <f t="array" ref="N935">SUBSTITUTE(L935,M935,"")</f>
        <v/>
      </c>
      <c r="X935" s="258" t="str">
        <f t="shared" si="50"/>
        <v/>
      </c>
      <c r="Y935" s="36" t="str">
        <f t="shared" si="49"/>
        <v/>
      </c>
      <c r="Z935" s="340" t="str">
        <f>IF(AND(C935&gt;0,D935&lt;&gt;"",S935=""),VLOOKUP(A935&amp;IF(H935="黑丝","黑","白")&amp;E935,经纬!A:M,13,FALSE)*(I935-AB935),"")</f>
        <v/>
      </c>
      <c r="AA935" s="340" t="str">
        <f>IF(AND(C935&gt;0,D935&lt;&gt;"",S935=""),VLOOKUP(A935&amp;IF(H935="黑丝","黑","白")&amp;E935,经纬!A:N,14,FALSE)*(I935-AB935),"")</f>
        <v/>
      </c>
    </row>
    <row r="936" spans="13:27">
      <c r="M936" s="24" t="str">
        <f t="array" ref="M936">LEFT(L936,MIN(FIND({"A","B","C"},MID(L936,2,LEN(L936))&amp;"ABC")))</f>
        <v/>
      </c>
      <c r="N936" s="24" t="str">
        <f t="array" ref="N936">SUBSTITUTE(L936,M936,"")</f>
        <v/>
      </c>
      <c r="X936" s="258" t="str">
        <f t="shared" si="50"/>
        <v/>
      </c>
      <c r="Y936" s="36" t="str">
        <f t="shared" si="49"/>
        <v/>
      </c>
      <c r="Z936" s="340" t="str">
        <f>IF(AND(C936&gt;0,D936&lt;&gt;"",S936=""),VLOOKUP(A936&amp;IF(H936="黑丝","黑","白")&amp;E936,经纬!A:M,13,FALSE)*(I936-AB936),"")</f>
        <v/>
      </c>
      <c r="AA936" s="340" t="str">
        <f>IF(AND(C936&gt;0,D936&lt;&gt;"",S936=""),VLOOKUP(A936&amp;IF(H936="黑丝","黑","白")&amp;E936,经纬!A:N,14,FALSE)*(I936-AB936),"")</f>
        <v/>
      </c>
    </row>
    <row r="937" spans="13:27">
      <c r="M937" s="24" t="str">
        <f t="array" ref="M937">LEFT(L937,MIN(FIND({"A","B","C"},MID(L937,2,LEN(L937))&amp;"ABC")))</f>
        <v/>
      </c>
      <c r="N937" s="24" t="str">
        <f t="array" ref="N937">SUBSTITUTE(L937,M937,"")</f>
        <v/>
      </c>
      <c r="X937" s="258" t="str">
        <f t="shared" si="50"/>
        <v/>
      </c>
      <c r="Y937" s="36" t="str">
        <f t="shared" ref="Y937:Y1000" si="51">IF(OR(B937="",D937&lt;&gt;""),"",IF(S937&lt;&gt;"","",I937/((1/((G937+2)/100*K937/1000))*0.9144)/IF(H937="黑丝",22,20)-AB937))</f>
        <v/>
      </c>
      <c r="Z937" s="340" t="str">
        <f>IF(AND(C937&gt;0,D937&lt;&gt;"",S937=""),VLOOKUP(A937&amp;IF(H937="黑丝","黑","白")&amp;E937,经纬!A:M,13,FALSE)*(I937-AB937),"")</f>
        <v/>
      </c>
      <c r="AA937" s="340" t="str">
        <f>IF(AND(C937&gt;0,D937&lt;&gt;"",S937=""),VLOOKUP(A937&amp;IF(H937="黑丝","黑","白")&amp;E937,经纬!A:N,14,FALSE)*(I937-AB937),"")</f>
        <v/>
      </c>
    </row>
    <row r="938" spans="13:27">
      <c r="M938" s="24" t="str">
        <f t="array" ref="M938">LEFT(L938,MIN(FIND({"A","B","C"},MID(L938,2,LEN(L938))&amp;"ABC")))</f>
        <v/>
      </c>
      <c r="N938" s="24" t="str">
        <f t="array" ref="N938">SUBSTITUTE(L938,M938,"")</f>
        <v/>
      </c>
      <c r="X938" s="258" t="str">
        <f t="shared" si="50"/>
        <v/>
      </c>
      <c r="Y938" s="36" t="str">
        <f t="shared" si="51"/>
        <v/>
      </c>
      <c r="Z938" s="340" t="str">
        <f>IF(AND(C938&gt;0,D938&lt;&gt;"",S938=""),VLOOKUP(A938&amp;IF(H938="黑丝","黑","白")&amp;E938,经纬!A:M,13,FALSE)*(I938-AB938),"")</f>
        <v/>
      </c>
      <c r="AA938" s="340" t="str">
        <f>IF(AND(C938&gt;0,D938&lt;&gt;"",S938=""),VLOOKUP(A938&amp;IF(H938="黑丝","黑","白")&amp;E938,经纬!A:N,14,FALSE)*(I938-AB938),"")</f>
        <v/>
      </c>
    </row>
    <row r="939" spans="13:27">
      <c r="M939" s="24" t="str">
        <f t="array" ref="M939">LEFT(L939,MIN(FIND({"A","B","C"},MID(L939,2,LEN(L939))&amp;"ABC")))</f>
        <v/>
      </c>
      <c r="N939" s="24" t="str">
        <f t="array" ref="N939">SUBSTITUTE(L939,M939,"")</f>
        <v/>
      </c>
      <c r="X939" s="258" t="str">
        <f t="shared" si="50"/>
        <v/>
      </c>
      <c r="Y939" s="36" t="str">
        <f t="shared" si="51"/>
        <v/>
      </c>
      <c r="Z939" s="340" t="str">
        <f>IF(AND(C939&gt;0,D939&lt;&gt;"",S939=""),VLOOKUP(A939&amp;IF(H939="黑丝","黑","白")&amp;E939,经纬!A:M,13,FALSE)*(I939-AB939),"")</f>
        <v/>
      </c>
      <c r="AA939" s="340" t="str">
        <f>IF(AND(C939&gt;0,D939&lt;&gt;"",S939=""),VLOOKUP(A939&amp;IF(H939="黑丝","黑","白")&amp;E939,经纬!A:N,14,FALSE)*(I939-AB939),"")</f>
        <v/>
      </c>
    </row>
    <row r="940" spans="13:27">
      <c r="M940" s="24" t="str">
        <f t="array" ref="M940">LEFT(L940,MIN(FIND({"A","B","C"},MID(L940,2,LEN(L940))&amp;"ABC")))</f>
        <v/>
      </c>
      <c r="N940" s="24" t="str">
        <f t="array" ref="N940">SUBSTITUTE(L940,M940,"")</f>
        <v/>
      </c>
      <c r="X940" s="258" t="str">
        <f t="shared" si="50"/>
        <v/>
      </c>
      <c r="Y940" s="36" t="str">
        <f t="shared" si="51"/>
        <v/>
      </c>
      <c r="Z940" s="340" t="str">
        <f>IF(AND(C940&gt;0,D940&lt;&gt;"",S940=""),VLOOKUP(A940&amp;IF(H940="黑丝","黑","白")&amp;E940,经纬!A:M,13,FALSE)*(I940-AB940),"")</f>
        <v/>
      </c>
      <c r="AA940" s="340" t="str">
        <f>IF(AND(C940&gt;0,D940&lt;&gt;"",S940=""),VLOOKUP(A940&amp;IF(H940="黑丝","黑","白")&amp;E940,经纬!A:N,14,FALSE)*(I940-AB940),"")</f>
        <v/>
      </c>
    </row>
    <row r="941" spans="13:27">
      <c r="M941" s="24" t="str">
        <f t="array" ref="M941">LEFT(L941,MIN(FIND({"A","B","C"},MID(L941,2,LEN(L941))&amp;"ABC")))</f>
        <v/>
      </c>
      <c r="N941" s="24" t="str">
        <f t="array" ref="N941">SUBSTITUTE(L941,M941,"")</f>
        <v/>
      </c>
      <c r="X941" s="258" t="str">
        <f t="shared" si="50"/>
        <v/>
      </c>
      <c r="Y941" s="36" t="str">
        <f t="shared" si="51"/>
        <v/>
      </c>
      <c r="Z941" s="340" t="str">
        <f>IF(AND(C941&gt;0,D941&lt;&gt;"",S941=""),VLOOKUP(A941&amp;IF(H941="黑丝","黑","白")&amp;E941,经纬!A:M,13,FALSE)*(I941-AB941),"")</f>
        <v/>
      </c>
      <c r="AA941" s="340" t="str">
        <f>IF(AND(C941&gt;0,D941&lt;&gt;"",S941=""),VLOOKUP(A941&amp;IF(H941="黑丝","黑","白")&amp;E941,经纬!A:N,14,FALSE)*(I941-AB941),"")</f>
        <v/>
      </c>
    </row>
    <row r="942" spans="13:27">
      <c r="M942" s="24" t="str">
        <f t="array" ref="M942">LEFT(L942,MIN(FIND({"A","B","C"},MID(L942,2,LEN(L942))&amp;"ABC")))</f>
        <v/>
      </c>
      <c r="N942" s="24" t="str">
        <f t="array" ref="N942">SUBSTITUTE(L942,M942,"")</f>
        <v/>
      </c>
      <c r="X942" s="258" t="str">
        <f t="shared" si="50"/>
        <v/>
      </c>
      <c r="Y942" s="36" t="str">
        <f t="shared" si="51"/>
        <v/>
      </c>
      <c r="Z942" s="340" t="str">
        <f>IF(AND(C942&gt;0,D942&lt;&gt;"",S942=""),VLOOKUP(A942&amp;IF(H942="黑丝","黑","白")&amp;E942,经纬!A:M,13,FALSE)*(I942-AB942),"")</f>
        <v/>
      </c>
      <c r="AA942" s="340" t="str">
        <f>IF(AND(C942&gt;0,D942&lt;&gt;"",S942=""),VLOOKUP(A942&amp;IF(H942="黑丝","黑","白")&amp;E942,经纬!A:N,14,FALSE)*(I942-AB942),"")</f>
        <v/>
      </c>
    </row>
    <row r="943" spans="13:27">
      <c r="M943" s="24" t="str">
        <f t="array" ref="M943">LEFT(L943,MIN(FIND({"A","B","C"},MID(L943,2,LEN(L943))&amp;"ABC")))</f>
        <v/>
      </c>
      <c r="N943" s="24" t="str">
        <f t="array" ref="N943">SUBSTITUTE(L943,M943,"")</f>
        <v/>
      </c>
      <c r="X943" s="258" t="str">
        <f t="shared" si="50"/>
        <v/>
      </c>
      <c r="Y943" s="36" t="str">
        <f t="shared" si="51"/>
        <v/>
      </c>
      <c r="Z943" s="340" t="str">
        <f>IF(AND(C943&gt;0,D943&lt;&gt;"",S943=""),VLOOKUP(A943&amp;IF(H943="黑丝","黑","白")&amp;E943,经纬!A:M,13,FALSE)*(I943-AB943),"")</f>
        <v/>
      </c>
      <c r="AA943" s="340" t="str">
        <f>IF(AND(C943&gt;0,D943&lt;&gt;"",S943=""),VLOOKUP(A943&amp;IF(H943="黑丝","黑","白")&amp;E943,经纬!A:N,14,FALSE)*(I943-AB943),"")</f>
        <v/>
      </c>
    </row>
    <row r="944" spans="13:27">
      <c r="M944" s="24" t="str">
        <f t="array" ref="M944">LEFT(L944,MIN(FIND({"A","B","C"},MID(L944,2,LEN(L944))&amp;"ABC")))</f>
        <v/>
      </c>
      <c r="N944" s="24" t="str">
        <f t="array" ref="N944">SUBSTITUTE(L944,M944,"")</f>
        <v/>
      </c>
      <c r="X944" s="258" t="str">
        <f t="shared" si="50"/>
        <v/>
      </c>
      <c r="Y944" s="36" t="str">
        <f t="shared" si="51"/>
        <v/>
      </c>
      <c r="Z944" s="340" t="str">
        <f>IF(AND(C944&gt;0,D944&lt;&gt;"",S944=""),VLOOKUP(A944&amp;IF(H944="黑丝","黑","白")&amp;E944,经纬!A:M,13,FALSE)*(I944-AB944),"")</f>
        <v/>
      </c>
      <c r="AA944" s="340" t="str">
        <f>IF(AND(C944&gt;0,D944&lt;&gt;"",S944=""),VLOOKUP(A944&amp;IF(H944="黑丝","黑","白")&amp;E944,经纬!A:N,14,FALSE)*(I944-AB944),"")</f>
        <v/>
      </c>
    </row>
    <row r="945" spans="13:27">
      <c r="M945" s="24" t="str">
        <f t="array" ref="M945">LEFT(L945,MIN(FIND({"A","B","C"},MID(L945,2,LEN(L945))&amp;"ABC")))</f>
        <v/>
      </c>
      <c r="N945" s="24" t="str">
        <f t="array" ref="N945">SUBSTITUTE(L945,M945,"")</f>
        <v/>
      </c>
      <c r="X945" s="258" t="str">
        <f t="shared" si="50"/>
        <v/>
      </c>
      <c r="Y945" s="36" t="str">
        <f t="shared" si="51"/>
        <v/>
      </c>
      <c r="Z945" s="340" t="str">
        <f>IF(AND(C945&gt;0,D945&lt;&gt;"",S945=""),VLOOKUP(A945&amp;IF(H945="黑丝","黑","白")&amp;E945,经纬!A:M,13,FALSE)*(I945-AB945),"")</f>
        <v/>
      </c>
      <c r="AA945" s="340" t="str">
        <f>IF(AND(C945&gt;0,D945&lt;&gt;"",S945=""),VLOOKUP(A945&amp;IF(H945="黑丝","黑","白")&amp;E945,经纬!A:N,14,FALSE)*(I945-AB945),"")</f>
        <v/>
      </c>
    </row>
    <row r="946" spans="13:27">
      <c r="M946" s="24" t="str">
        <f t="array" ref="M946">LEFT(L946,MIN(FIND({"A","B","C"},MID(L946,2,LEN(L946))&amp;"ABC")))</f>
        <v/>
      </c>
      <c r="N946" s="24" t="str">
        <f t="array" ref="N946">SUBSTITUTE(L946,M946,"")</f>
        <v/>
      </c>
      <c r="X946" s="258" t="str">
        <f t="shared" si="50"/>
        <v/>
      </c>
      <c r="Y946" s="36" t="str">
        <f t="shared" si="51"/>
        <v/>
      </c>
      <c r="Z946" s="340" t="str">
        <f>IF(AND(C946&gt;0,D946&lt;&gt;"",S946=""),VLOOKUP(A946&amp;IF(H946="黑丝","黑","白")&amp;E946,经纬!A:M,13,FALSE)*(I946-AB946),"")</f>
        <v/>
      </c>
      <c r="AA946" s="340" t="str">
        <f>IF(AND(C946&gt;0,D946&lt;&gt;"",S946=""),VLOOKUP(A946&amp;IF(H946="黑丝","黑","白")&amp;E946,经纬!A:N,14,FALSE)*(I946-AB946),"")</f>
        <v/>
      </c>
    </row>
    <row r="947" spans="13:27">
      <c r="M947" s="24" t="str">
        <f t="array" ref="M947">LEFT(L947,MIN(FIND({"A","B","C"},MID(L947,2,LEN(L947))&amp;"ABC")))</f>
        <v/>
      </c>
      <c r="N947" s="24" t="str">
        <f t="array" ref="N947">SUBSTITUTE(L947,M947,"")</f>
        <v/>
      </c>
      <c r="X947" s="258" t="str">
        <f t="shared" si="50"/>
        <v/>
      </c>
      <c r="Y947" s="36" t="str">
        <f t="shared" si="51"/>
        <v/>
      </c>
      <c r="Z947" s="340" t="str">
        <f>IF(AND(C947&gt;0,D947&lt;&gt;"",S947=""),VLOOKUP(A947&amp;IF(H947="黑丝","黑","白")&amp;E947,经纬!A:M,13,FALSE)*(I947-AB947),"")</f>
        <v/>
      </c>
      <c r="AA947" s="340" t="str">
        <f>IF(AND(C947&gt;0,D947&lt;&gt;"",S947=""),VLOOKUP(A947&amp;IF(H947="黑丝","黑","白")&amp;E947,经纬!A:N,14,FALSE)*(I947-AB947),"")</f>
        <v/>
      </c>
    </row>
    <row r="948" spans="13:27">
      <c r="M948" s="24" t="str">
        <f t="array" ref="M948">LEFT(L948,MIN(FIND({"A","B","C"},MID(L948,2,LEN(L948))&amp;"ABC")))</f>
        <v/>
      </c>
      <c r="N948" s="24" t="str">
        <f t="array" ref="N948">SUBSTITUTE(L948,M948,"")</f>
        <v/>
      </c>
      <c r="X948" s="258" t="str">
        <f t="shared" si="50"/>
        <v/>
      </c>
      <c r="Y948" s="36" t="str">
        <f t="shared" si="51"/>
        <v/>
      </c>
      <c r="Z948" s="340" t="str">
        <f>IF(AND(C948&gt;0,D948&lt;&gt;"",S948=""),VLOOKUP(A948&amp;IF(H948="黑丝","黑","白")&amp;E948,经纬!A:M,13,FALSE)*(I948-AB948),"")</f>
        <v/>
      </c>
      <c r="AA948" s="340" t="str">
        <f>IF(AND(C948&gt;0,D948&lt;&gt;"",S948=""),VLOOKUP(A948&amp;IF(H948="黑丝","黑","白")&amp;E948,经纬!A:N,14,FALSE)*(I948-AB948),"")</f>
        <v/>
      </c>
    </row>
    <row r="949" spans="13:27">
      <c r="M949" s="24" t="str">
        <f t="array" ref="M949">LEFT(L949,MIN(FIND({"A","B","C"},MID(L949,2,LEN(L949))&amp;"ABC")))</f>
        <v/>
      </c>
      <c r="N949" s="24" t="str">
        <f t="array" ref="N949">SUBSTITUTE(L949,M949,"")</f>
        <v/>
      </c>
      <c r="X949" s="258" t="str">
        <f t="shared" si="50"/>
        <v/>
      </c>
      <c r="Y949" s="36" t="str">
        <f t="shared" si="51"/>
        <v/>
      </c>
      <c r="Z949" s="340" t="str">
        <f>IF(AND(C949&gt;0,D949&lt;&gt;"",S949=""),VLOOKUP(A949&amp;IF(H949="黑丝","黑","白")&amp;E949,经纬!A:M,13,FALSE)*(I949-AB949),"")</f>
        <v/>
      </c>
      <c r="AA949" s="340" t="str">
        <f>IF(AND(C949&gt;0,D949&lt;&gt;"",S949=""),VLOOKUP(A949&amp;IF(H949="黑丝","黑","白")&amp;E949,经纬!A:N,14,FALSE)*(I949-AB949),"")</f>
        <v/>
      </c>
    </row>
    <row r="950" spans="13:27">
      <c r="M950" s="24" t="str">
        <f t="array" ref="M950">LEFT(L950,MIN(FIND({"A","B","C"},MID(L950,2,LEN(L950))&amp;"ABC")))</f>
        <v/>
      </c>
      <c r="N950" s="24" t="str">
        <f t="array" ref="N950">SUBSTITUTE(L950,M950,"")</f>
        <v/>
      </c>
      <c r="X950" s="258" t="str">
        <f t="shared" si="50"/>
        <v/>
      </c>
      <c r="Y950" s="36" t="str">
        <f t="shared" si="51"/>
        <v/>
      </c>
      <c r="Z950" s="340" t="str">
        <f>IF(AND(C950&gt;0,D950&lt;&gt;"",S950=""),VLOOKUP(A950&amp;IF(H950="黑丝","黑","白")&amp;E950,经纬!A:M,13,FALSE)*(I950-AB950),"")</f>
        <v/>
      </c>
      <c r="AA950" s="340" t="str">
        <f>IF(AND(C950&gt;0,D950&lt;&gt;"",S950=""),VLOOKUP(A950&amp;IF(H950="黑丝","黑","白")&amp;E950,经纬!A:N,14,FALSE)*(I950-AB950),"")</f>
        <v/>
      </c>
    </row>
    <row r="951" spans="13:27">
      <c r="M951" s="24" t="str">
        <f t="array" ref="M951">LEFT(L951,MIN(FIND({"A","B","C"},MID(L951,2,LEN(L951))&amp;"ABC")))</f>
        <v/>
      </c>
      <c r="N951" s="24" t="str">
        <f t="array" ref="N951">SUBSTITUTE(L951,M951,"")</f>
        <v/>
      </c>
      <c r="X951" s="258" t="str">
        <f t="shared" si="50"/>
        <v/>
      </c>
      <c r="Y951" s="36" t="str">
        <f t="shared" si="51"/>
        <v/>
      </c>
      <c r="Z951" s="340" t="str">
        <f>IF(AND(C951&gt;0,D951&lt;&gt;"",S951=""),VLOOKUP(A951&amp;IF(H951="黑丝","黑","白")&amp;E951,经纬!A:M,13,FALSE)*(I951-AB951),"")</f>
        <v/>
      </c>
      <c r="AA951" s="340" t="str">
        <f>IF(AND(C951&gt;0,D951&lt;&gt;"",S951=""),VLOOKUP(A951&amp;IF(H951="黑丝","黑","白")&amp;E951,经纬!A:N,14,FALSE)*(I951-AB951),"")</f>
        <v/>
      </c>
    </row>
    <row r="952" spans="13:27">
      <c r="M952" s="24" t="str">
        <f t="array" ref="M952">LEFT(L952,MIN(FIND({"A","B","C"},MID(L952,2,LEN(L952))&amp;"ABC")))</f>
        <v/>
      </c>
      <c r="N952" s="24" t="str">
        <f t="array" ref="N952">SUBSTITUTE(L952,M952,"")</f>
        <v/>
      </c>
      <c r="X952" s="258" t="str">
        <f t="shared" si="50"/>
        <v/>
      </c>
      <c r="Y952" s="36" t="str">
        <f t="shared" si="51"/>
        <v/>
      </c>
      <c r="Z952" s="340" t="str">
        <f>IF(AND(C952&gt;0,D952&lt;&gt;"",S952=""),VLOOKUP(A952&amp;IF(H952="黑丝","黑","白")&amp;E952,经纬!A:M,13,FALSE)*(I952-AB952),"")</f>
        <v/>
      </c>
      <c r="AA952" s="340" t="str">
        <f>IF(AND(C952&gt;0,D952&lt;&gt;"",S952=""),VLOOKUP(A952&amp;IF(H952="黑丝","黑","白")&amp;E952,经纬!A:N,14,FALSE)*(I952-AB952),"")</f>
        <v/>
      </c>
    </row>
    <row r="953" spans="13:27">
      <c r="M953" s="24" t="str">
        <f t="array" ref="M953">LEFT(L953,MIN(FIND({"A","B","C"},MID(L953,2,LEN(L953))&amp;"ABC")))</f>
        <v/>
      </c>
      <c r="N953" s="24" t="str">
        <f t="array" ref="N953">SUBSTITUTE(L953,M953,"")</f>
        <v/>
      </c>
      <c r="X953" s="258" t="str">
        <f t="shared" si="50"/>
        <v/>
      </c>
      <c r="Y953" s="36" t="str">
        <f t="shared" si="51"/>
        <v/>
      </c>
      <c r="Z953" s="340" t="str">
        <f>IF(AND(C953&gt;0,D953&lt;&gt;"",S953=""),VLOOKUP(A953&amp;IF(H953="黑丝","黑","白")&amp;E953,经纬!A:M,13,FALSE)*(I953-AB953),"")</f>
        <v/>
      </c>
      <c r="AA953" s="340" t="str">
        <f>IF(AND(C953&gt;0,D953&lt;&gt;"",S953=""),VLOOKUP(A953&amp;IF(H953="黑丝","黑","白")&amp;E953,经纬!A:N,14,FALSE)*(I953-AB953),"")</f>
        <v/>
      </c>
    </row>
    <row r="954" spans="13:27">
      <c r="M954" s="24" t="str">
        <f t="array" ref="M954">LEFT(L954,MIN(FIND({"A","B","C"},MID(L954,2,LEN(L954))&amp;"ABC")))</f>
        <v/>
      </c>
      <c r="N954" s="24" t="str">
        <f t="array" ref="N954">SUBSTITUTE(L954,M954,"")</f>
        <v/>
      </c>
      <c r="X954" s="258" t="str">
        <f t="shared" si="50"/>
        <v/>
      </c>
      <c r="Y954" s="36" t="str">
        <f t="shared" si="51"/>
        <v/>
      </c>
      <c r="Z954" s="340" t="str">
        <f>IF(AND(C954&gt;0,D954&lt;&gt;"",S954=""),VLOOKUP(A954&amp;IF(H954="黑丝","黑","白")&amp;E954,经纬!A:M,13,FALSE)*(I954-AB954),"")</f>
        <v/>
      </c>
      <c r="AA954" s="340" t="str">
        <f>IF(AND(C954&gt;0,D954&lt;&gt;"",S954=""),VLOOKUP(A954&amp;IF(H954="黑丝","黑","白")&amp;E954,经纬!A:N,14,FALSE)*(I954-AB954),"")</f>
        <v/>
      </c>
    </row>
    <row r="955" spans="13:27">
      <c r="M955" s="24" t="str">
        <f t="array" ref="M955">LEFT(L955,MIN(FIND({"A","B","C"},MID(L955,2,LEN(L955))&amp;"ABC")))</f>
        <v/>
      </c>
      <c r="N955" s="24" t="str">
        <f t="array" ref="N955">SUBSTITUTE(L955,M955,"")</f>
        <v/>
      </c>
      <c r="X955" s="258" t="str">
        <f t="shared" si="50"/>
        <v/>
      </c>
      <c r="Y955" s="36" t="str">
        <f t="shared" si="51"/>
        <v/>
      </c>
      <c r="Z955" s="340" t="str">
        <f>IF(AND(C955&gt;0,D955&lt;&gt;"",S955=""),VLOOKUP(A955&amp;IF(H955="黑丝","黑","白")&amp;E955,经纬!A:M,13,FALSE)*(I955-AB955),"")</f>
        <v/>
      </c>
      <c r="AA955" s="340" t="str">
        <f>IF(AND(C955&gt;0,D955&lt;&gt;"",S955=""),VLOOKUP(A955&amp;IF(H955="黑丝","黑","白")&amp;E955,经纬!A:N,14,FALSE)*(I955-AB955),"")</f>
        <v/>
      </c>
    </row>
    <row r="956" spans="13:27">
      <c r="M956" s="24" t="str">
        <f t="array" ref="M956">LEFT(L956,MIN(FIND({"A","B","C"},MID(L956,2,LEN(L956))&amp;"ABC")))</f>
        <v/>
      </c>
      <c r="N956" s="24" t="str">
        <f t="array" ref="N956">SUBSTITUTE(L956,M956,"")</f>
        <v/>
      </c>
      <c r="X956" s="258" t="str">
        <f t="shared" si="50"/>
        <v/>
      </c>
      <c r="Y956" s="36" t="str">
        <f t="shared" si="51"/>
        <v/>
      </c>
      <c r="Z956" s="340" t="str">
        <f>IF(AND(C956&gt;0,D956&lt;&gt;"",S956=""),VLOOKUP(A956&amp;IF(H956="黑丝","黑","白")&amp;E956,经纬!A:M,13,FALSE)*(I956-AB956),"")</f>
        <v/>
      </c>
      <c r="AA956" s="340" t="str">
        <f>IF(AND(C956&gt;0,D956&lt;&gt;"",S956=""),VLOOKUP(A956&amp;IF(H956="黑丝","黑","白")&amp;E956,经纬!A:N,14,FALSE)*(I956-AB956),"")</f>
        <v/>
      </c>
    </row>
    <row r="957" spans="13:27">
      <c r="M957" s="24" t="str">
        <f t="array" ref="M957">LEFT(L957,MIN(FIND({"A","B","C"},MID(L957,2,LEN(L957))&amp;"ABC")))</f>
        <v/>
      </c>
      <c r="N957" s="24" t="str">
        <f t="array" ref="N957">SUBSTITUTE(L957,M957,"")</f>
        <v/>
      </c>
      <c r="X957" s="258" t="str">
        <f t="shared" si="50"/>
        <v/>
      </c>
      <c r="Y957" s="36" t="str">
        <f t="shared" si="51"/>
        <v/>
      </c>
      <c r="Z957" s="340" t="str">
        <f>IF(AND(C957&gt;0,D957&lt;&gt;"",S957=""),VLOOKUP(A957&amp;IF(H957="黑丝","黑","白")&amp;E957,经纬!A:M,13,FALSE)*(I957-AB957),"")</f>
        <v/>
      </c>
      <c r="AA957" s="340" t="str">
        <f>IF(AND(C957&gt;0,D957&lt;&gt;"",S957=""),VLOOKUP(A957&amp;IF(H957="黑丝","黑","白")&amp;E957,经纬!A:N,14,FALSE)*(I957-AB957),"")</f>
        <v/>
      </c>
    </row>
    <row r="958" spans="13:27">
      <c r="M958" s="24" t="str">
        <f t="array" ref="M958">LEFT(L958,MIN(FIND({"A","B","C"},MID(L958,2,LEN(L958))&amp;"ABC")))</f>
        <v/>
      </c>
      <c r="N958" s="24" t="str">
        <f t="array" ref="N958">SUBSTITUTE(L958,M958,"")</f>
        <v/>
      </c>
      <c r="X958" s="258" t="str">
        <f t="shared" si="50"/>
        <v/>
      </c>
      <c r="Y958" s="36" t="str">
        <f t="shared" si="51"/>
        <v/>
      </c>
      <c r="Z958" s="340" t="str">
        <f>IF(AND(C958&gt;0,D958&lt;&gt;"",S958=""),VLOOKUP(A958&amp;IF(H958="黑丝","黑","白")&amp;E958,经纬!A:M,13,FALSE)*(I958-AB958),"")</f>
        <v/>
      </c>
      <c r="AA958" s="340" t="str">
        <f>IF(AND(C958&gt;0,D958&lt;&gt;"",S958=""),VLOOKUP(A958&amp;IF(H958="黑丝","黑","白")&amp;E958,经纬!A:N,14,FALSE)*(I958-AB958),"")</f>
        <v/>
      </c>
    </row>
    <row r="959" spans="13:27">
      <c r="M959" s="24" t="str">
        <f t="array" ref="M959">LEFT(L959,MIN(FIND({"A","B","C"},MID(L959,2,LEN(L959))&amp;"ABC")))</f>
        <v/>
      </c>
      <c r="N959" s="24" t="str">
        <f t="array" ref="N959">SUBSTITUTE(L959,M959,"")</f>
        <v/>
      </c>
      <c r="X959" s="258" t="str">
        <f t="shared" si="50"/>
        <v/>
      </c>
      <c r="Y959" s="36" t="str">
        <f t="shared" si="51"/>
        <v/>
      </c>
      <c r="Z959" s="340" t="str">
        <f>IF(AND(C959&gt;0,D959&lt;&gt;"",S959=""),VLOOKUP(A959&amp;IF(H959="黑丝","黑","白")&amp;E959,经纬!A:M,13,FALSE)*(I959-AB959),"")</f>
        <v/>
      </c>
      <c r="AA959" s="340" t="str">
        <f>IF(AND(C959&gt;0,D959&lt;&gt;"",S959=""),VLOOKUP(A959&amp;IF(H959="黑丝","黑","白")&amp;E959,经纬!A:N,14,FALSE)*(I959-AB959),"")</f>
        <v/>
      </c>
    </row>
    <row r="960" spans="13:27">
      <c r="M960" s="24" t="str">
        <f t="array" ref="M960">LEFT(L960,MIN(FIND({"A","B","C"},MID(L960,2,LEN(L960))&amp;"ABC")))</f>
        <v/>
      </c>
      <c r="N960" s="24" t="str">
        <f t="array" ref="N960">SUBSTITUTE(L960,M960,"")</f>
        <v/>
      </c>
      <c r="X960" s="258" t="str">
        <f t="shared" si="50"/>
        <v/>
      </c>
      <c r="Y960" s="36" t="str">
        <f t="shared" si="51"/>
        <v/>
      </c>
      <c r="Z960" s="340" t="str">
        <f>IF(AND(C960&gt;0,D960&lt;&gt;"",S960=""),VLOOKUP(A960&amp;IF(H960="黑丝","黑","白")&amp;E960,经纬!A:M,13,FALSE)*(I960-AB960),"")</f>
        <v/>
      </c>
      <c r="AA960" s="340" t="str">
        <f>IF(AND(C960&gt;0,D960&lt;&gt;"",S960=""),VLOOKUP(A960&amp;IF(H960="黑丝","黑","白")&amp;E960,经纬!A:N,14,FALSE)*(I960-AB960),"")</f>
        <v/>
      </c>
    </row>
    <row r="961" spans="13:27">
      <c r="M961" s="24" t="str">
        <f t="array" ref="M961">LEFT(L961,MIN(FIND({"A","B","C"},MID(L961,2,LEN(L961))&amp;"ABC")))</f>
        <v/>
      </c>
      <c r="N961" s="24" t="str">
        <f t="array" ref="N961">SUBSTITUTE(L961,M961,"")</f>
        <v/>
      </c>
      <c r="X961" s="258" t="str">
        <f t="shared" si="50"/>
        <v/>
      </c>
      <c r="Y961" s="36" t="str">
        <f t="shared" si="51"/>
        <v/>
      </c>
      <c r="Z961" s="340" t="str">
        <f>IF(AND(C961&gt;0,D961&lt;&gt;"",S961=""),VLOOKUP(A961&amp;IF(H961="黑丝","黑","白")&amp;E961,经纬!A:M,13,FALSE)*(I961-AB961),"")</f>
        <v/>
      </c>
      <c r="AA961" s="340" t="str">
        <f>IF(AND(C961&gt;0,D961&lt;&gt;"",S961=""),VLOOKUP(A961&amp;IF(H961="黑丝","黑","白")&amp;E961,经纬!A:N,14,FALSE)*(I961-AB961),"")</f>
        <v/>
      </c>
    </row>
    <row r="962" spans="13:27">
      <c r="M962" s="24" t="str">
        <f t="array" ref="M962">LEFT(L962,MIN(FIND({"A","B","C"},MID(L962,2,LEN(L962))&amp;"ABC")))</f>
        <v/>
      </c>
      <c r="N962" s="24" t="str">
        <f t="array" ref="N962">SUBSTITUTE(L962,M962,"")</f>
        <v/>
      </c>
      <c r="X962" s="258" t="str">
        <f t="shared" si="50"/>
        <v/>
      </c>
      <c r="Y962" s="36" t="str">
        <f t="shared" si="51"/>
        <v/>
      </c>
      <c r="Z962" s="340" t="str">
        <f>IF(AND(C962&gt;0,D962&lt;&gt;"",S962=""),VLOOKUP(A962&amp;IF(H962="黑丝","黑","白")&amp;E962,经纬!A:M,13,FALSE)*(I962-AB962),"")</f>
        <v/>
      </c>
      <c r="AA962" s="340" t="str">
        <f>IF(AND(C962&gt;0,D962&lt;&gt;"",S962=""),VLOOKUP(A962&amp;IF(H962="黑丝","黑","白")&amp;E962,经纬!A:N,14,FALSE)*(I962-AB962),"")</f>
        <v/>
      </c>
    </row>
    <row r="963" spans="13:27">
      <c r="M963" s="24" t="str">
        <f t="array" ref="M963">LEFT(L963,MIN(FIND({"A","B","C"},MID(L963,2,LEN(L963))&amp;"ABC")))</f>
        <v/>
      </c>
      <c r="N963" s="24" t="str">
        <f t="array" ref="N963">SUBSTITUTE(L963,M963,"")</f>
        <v/>
      </c>
      <c r="X963" s="258" t="str">
        <f t="shared" si="50"/>
        <v/>
      </c>
      <c r="Y963" s="36" t="str">
        <f t="shared" si="51"/>
        <v/>
      </c>
      <c r="Z963" s="340" t="str">
        <f>IF(AND(C963&gt;0,D963&lt;&gt;"",S963=""),VLOOKUP(A963&amp;IF(H963="黑丝","黑","白")&amp;E963,经纬!A:M,13,FALSE)*(I963-AB963),"")</f>
        <v/>
      </c>
      <c r="AA963" s="340" t="str">
        <f>IF(AND(C963&gt;0,D963&lt;&gt;"",S963=""),VLOOKUP(A963&amp;IF(H963="黑丝","黑","白")&amp;E963,经纬!A:N,14,FALSE)*(I963-AB963),"")</f>
        <v/>
      </c>
    </row>
    <row r="964" spans="13:27">
      <c r="M964" s="24" t="str">
        <f t="array" ref="M964">LEFT(L964,MIN(FIND({"A","B","C"},MID(L964,2,LEN(L964))&amp;"ABC")))</f>
        <v/>
      </c>
      <c r="N964" s="24" t="str">
        <f t="array" ref="N964">SUBSTITUTE(L964,M964,"")</f>
        <v/>
      </c>
      <c r="X964" s="258" t="str">
        <f t="shared" si="50"/>
        <v/>
      </c>
      <c r="Y964" s="36" t="str">
        <f t="shared" si="51"/>
        <v/>
      </c>
      <c r="Z964" s="340" t="str">
        <f>IF(AND(C964&gt;0,D964&lt;&gt;"",S964=""),VLOOKUP(A964&amp;IF(H964="黑丝","黑","白")&amp;E964,经纬!A:M,13,FALSE)*(I964-AB964),"")</f>
        <v/>
      </c>
      <c r="AA964" s="340" t="str">
        <f>IF(AND(C964&gt;0,D964&lt;&gt;"",S964=""),VLOOKUP(A964&amp;IF(H964="黑丝","黑","白")&amp;E964,经纬!A:N,14,FALSE)*(I964-AB964),"")</f>
        <v/>
      </c>
    </row>
    <row r="965" spans="13:27">
      <c r="M965" s="24" t="str">
        <f t="array" ref="M965">LEFT(L965,MIN(FIND({"A","B","C"},MID(L965,2,LEN(L965))&amp;"ABC")))</f>
        <v/>
      </c>
      <c r="N965" s="24" t="str">
        <f t="array" ref="N965">SUBSTITUTE(L965,M965,"")</f>
        <v/>
      </c>
      <c r="X965" s="258" t="str">
        <f t="shared" si="50"/>
        <v/>
      </c>
      <c r="Y965" s="36" t="str">
        <f t="shared" si="51"/>
        <v/>
      </c>
      <c r="Z965" s="340" t="str">
        <f>IF(AND(C965&gt;0,D965&lt;&gt;"",S965=""),VLOOKUP(A965&amp;IF(H965="黑丝","黑","白")&amp;E965,经纬!A:M,13,FALSE)*(I965-AB965),"")</f>
        <v/>
      </c>
      <c r="AA965" s="340" t="str">
        <f>IF(AND(C965&gt;0,D965&lt;&gt;"",S965=""),VLOOKUP(A965&amp;IF(H965="黑丝","黑","白")&amp;E965,经纬!A:N,14,FALSE)*(I965-AB965),"")</f>
        <v/>
      </c>
    </row>
    <row r="966" spans="13:27">
      <c r="M966" s="24" t="str">
        <f t="array" ref="M966">LEFT(L966,MIN(FIND({"A","B","C"},MID(L966,2,LEN(L966))&amp;"ABC")))</f>
        <v/>
      </c>
      <c r="N966" s="24" t="str">
        <f t="array" ref="N966">SUBSTITUTE(L966,M966,"")</f>
        <v/>
      </c>
      <c r="X966" s="258" t="str">
        <f t="shared" si="50"/>
        <v/>
      </c>
      <c r="Y966" s="36" t="str">
        <f t="shared" si="51"/>
        <v/>
      </c>
      <c r="Z966" s="340" t="str">
        <f>IF(AND(C966&gt;0,D966&lt;&gt;"",S966=""),VLOOKUP(A966&amp;IF(H966="黑丝","黑","白")&amp;E966,经纬!A:M,13,FALSE)*(I966-AB966),"")</f>
        <v/>
      </c>
      <c r="AA966" s="340" t="str">
        <f>IF(AND(C966&gt;0,D966&lt;&gt;"",S966=""),VLOOKUP(A966&amp;IF(H966="黑丝","黑","白")&amp;E966,经纬!A:N,14,FALSE)*(I966-AB966),"")</f>
        <v/>
      </c>
    </row>
    <row r="967" spans="13:27">
      <c r="M967" s="24" t="str">
        <f t="array" ref="M967">LEFT(L967,MIN(FIND({"A","B","C"},MID(L967,2,LEN(L967))&amp;"ABC")))</f>
        <v/>
      </c>
      <c r="N967" s="24" t="str">
        <f t="array" ref="N967">SUBSTITUTE(L967,M967,"")</f>
        <v/>
      </c>
      <c r="X967" s="258" t="str">
        <f t="shared" si="50"/>
        <v/>
      </c>
      <c r="Y967" s="36" t="str">
        <f t="shared" si="51"/>
        <v/>
      </c>
      <c r="Z967" s="340" t="str">
        <f>IF(AND(C967&gt;0,D967&lt;&gt;"",S967=""),VLOOKUP(A967&amp;IF(H967="黑丝","黑","白")&amp;E967,经纬!A:M,13,FALSE)*(I967-AB967),"")</f>
        <v/>
      </c>
      <c r="AA967" s="340" t="str">
        <f>IF(AND(C967&gt;0,D967&lt;&gt;"",S967=""),VLOOKUP(A967&amp;IF(H967="黑丝","黑","白")&amp;E967,经纬!A:N,14,FALSE)*(I967-AB967),"")</f>
        <v/>
      </c>
    </row>
    <row r="968" spans="13:27">
      <c r="M968" s="24" t="str">
        <f t="array" ref="M968">LEFT(L968,MIN(FIND({"A","B","C"},MID(L968,2,LEN(L968))&amp;"ABC")))</f>
        <v/>
      </c>
      <c r="N968" s="24" t="str">
        <f t="array" ref="N968">SUBSTITUTE(L968,M968,"")</f>
        <v/>
      </c>
      <c r="X968" s="258" t="str">
        <f t="shared" si="50"/>
        <v/>
      </c>
      <c r="Y968" s="36" t="str">
        <f t="shared" si="51"/>
        <v/>
      </c>
      <c r="Z968" s="340" t="str">
        <f>IF(AND(C968&gt;0,D968&lt;&gt;"",S968=""),VLOOKUP(A968&amp;IF(H968="黑丝","黑","白")&amp;E968,经纬!A:M,13,FALSE)*(I968-AB968),"")</f>
        <v/>
      </c>
      <c r="AA968" s="340" t="str">
        <f>IF(AND(C968&gt;0,D968&lt;&gt;"",S968=""),VLOOKUP(A968&amp;IF(H968="黑丝","黑","白")&amp;E968,经纬!A:N,14,FALSE)*(I968-AB968),"")</f>
        <v/>
      </c>
    </row>
    <row r="969" spans="13:27">
      <c r="M969" s="24" t="str">
        <f t="array" ref="M969">LEFT(L969,MIN(FIND({"A","B","C"},MID(L969,2,LEN(L969))&amp;"ABC")))</f>
        <v/>
      </c>
      <c r="N969" s="24" t="str">
        <f t="array" ref="N969">SUBSTITUTE(L969,M969,"")</f>
        <v/>
      </c>
      <c r="X969" s="258" t="str">
        <f t="shared" si="50"/>
        <v/>
      </c>
      <c r="Y969" s="36" t="str">
        <f t="shared" si="51"/>
        <v/>
      </c>
      <c r="Z969" s="340" t="str">
        <f>IF(AND(C969&gt;0,D969&lt;&gt;"",S969=""),VLOOKUP(A969&amp;IF(H969="黑丝","黑","白")&amp;E969,经纬!A:M,13,FALSE)*(I969-AB969),"")</f>
        <v/>
      </c>
      <c r="AA969" s="340" t="str">
        <f>IF(AND(C969&gt;0,D969&lt;&gt;"",S969=""),VLOOKUP(A969&amp;IF(H969="黑丝","黑","白")&amp;E969,经纬!A:N,14,FALSE)*(I969-AB969),"")</f>
        <v/>
      </c>
    </row>
    <row r="970" spans="13:27">
      <c r="M970" s="24" t="str">
        <f t="array" ref="M970">LEFT(L970,MIN(FIND({"A","B","C"},MID(L970,2,LEN(L970))&amp;"ABC")))</f>
        <v/>
      </c>
      <c r="N970" s="24" t="str">
        <f t="array" ref="N970">SUBSTITUTE(L970,M970,"")</f>
        <v/>
      </c>
      <c r="X970" s="258" t="str">
        <f t="shared" si="50"/>
        <v/>
      </c>
      <c r="Y970" s="36" t="str">
        <f t="shared" si="51"/>
        <v/>
      </c>
      <c r="Z970" s="340" t="str">
        <f>IF(AND(C970&gt;0,D970&lt;&gt;"",S970=""),VLOOKUP(A970&amp;IF(H970="黑丝","黑","白")&amp;E970,经纬!A:M,13,FALSE)*(I970-AB970),"")</f>
        <v/>
      </c>
      <c r="AA970" s="340" t="str">
        <f>IF(AND(C970&gt;0,D970&lt;&gt;"",S970=""),VLOOKUP(A970&amp;IF(H970="黑丝","黑","白")&amp;E970,经纬!A:N,14,FALSE)*(I970-AB970),"")</f>
        <v/>
      </c>
    </row>
    <row r="971" spans="13:27">
      <c r="M971" s="24" t="str">
        <f t="array" ref="M971">LEFT(L971,MIN(FIND({"A","B","C"},MID(L971,2,LEN(L971))&amp;"ABC")))</f>
        <v/>
      </c>
      <c r="N971" s="24" t="str">
        <f t="array" ref="N971">SUBSTITUTE(L971,M971,"")</f>
        <v/>
      </c>
      <c r="X971" s="258" t="str">
        <f t="shared" si="50"/>
        <v/>
      </c>
      <c r="Y971" s="36" t="str">
        <f t="shared" si="51"/>
        <v/>
      </c>
      <c r="Z971" s="340" t="str">
        <f>IF(AND(C971&gt;0,D971&lt;&gt;"",S971=""),VLOOKUP(A971&amp;IF(H971="黑丝","黑","白")&amp;E971,经纬!A:M,13,FALSE)*(I971-AB971),"")</f>
        <v/>
      </c>
      <c r="AA971" s="340" t="str">
        <f>IF(AND(C971&gt;0,D971&lt;&gt;"",S971=""),VLOOKUP(A971&amp;IF(H971="黑丝","黑","白")&amp;E971,经纬!A:N,14,FALSE)*(I971-AB971),"")</f>
        <v/>
      </c>
    </row>
    <row r="972" spans="13:27">
      <c r="M972" s="24" t="str">
        <f t="array" ref="M972">LEFT(L972,MIN(FIND({"A","B","C"},MID(L972,2,LEN(L972))&amp;"ABC")))</f>
        <v/>
      </c>
      <c r="N972" s="24" t="str">
        <f t="array" ref="N972">SUBSTITUTE(L972,M972,"")</f>
        <v/>
      </c>
      <c r="X972" s="258" t="str">
        <f t="shared" si="50"/>
        <v/>
      </c>
      <c r="Y972" s="36" t="str">
        <f t="shared" si="51"/>
        <v/>
      </c>
      <c r="Z972" s="340" t="str">
        <f>IF(AND(C972&gt;0,D972&lt;&gt;"",S972=""),VLOOKUP(A972&amp;IF(H972="黑丝","黑","白")&amp;E972,经纬!A:M,13,FALSE)*(I972-AB972),"")</f>
        <v/>
      </c>
      <c r="AA972" s="340" t="str">
        <f>IF(AND(C972&gt;0,D972&lt;&gt;"",S972=""),VLOOKUP(A972&amp;IF(H972="黑丝","黑","白")&amp;E972,经纬!A:N,14,FALSE)*(I972-AB972),"")</f>
        <v/>
      </c>
    </row>
    <row r="973" spans="13:27">
      <c r="M973" s="24" t="str">
        <f t="array" ref="M973">LEFT(L973,MIN(FIND({"A","B","C"},MID(L973,2,LEN(L973))&amp;"ABC")))</f>
        <v/>
      </c>
      <c r="N973" s="24" t="str">
        <f t="array" ref="N973">SUBSTITUTE(L973,M973,"")</f>
        <v/>
      </c>
      <c r="X973" s="258" t="str">
        <f t="shared" si="50"/>
        <v/>
      </c>
      <c r="Y973" s="36" t="str">
        <f t="shared" si="51"/>
        <v/>
      </c>
      <c r="Z973" s="340" t="str">
        <f>IF(AND(C973&gt;0,D973&lt;&gt;"",S973=""),VLOOKUP(A973&amp;IF(H973="黑丝","黑","白")&amp;E973,经纬!A:M,13,FALSE)*(I973-AB973),"")</f>
        <v/>
      </c>
      <c r="AA973" s="340" t="str">
        <f>IF(AND(C973&gt;0,D973&lt;&gt;"",S973=""),VLOOKUP(A973&amp;IF(H973="黑丝","黑","白")&amp;E973,经纬!A:N,14,FALSE)*(I973-AB973),"")</f>
        <v/>
      </c>
    </row>
    <row r="974" spans="13:27">
      <c r="M974" s="24" t="str">
        <f t="array" ref="M974">LEFT(L974,MIN(FIND({"A","B","C"},MID(L974,2,LEN(L974))&amp;"ABC")))</f>
        <v/>
      </c>
      <c r="N974" s="24" t="str">
        <f t="array" ref="N974">SUBSTITUTE(L974,M974,"")</f>
        <v/>
      </c>
      <c r="X974" s="258" t="str">
        <f t="shared" si="50"/>
        <v/>
      </c>
      <c r="Y974" s="36" t="str">
        <f t="shared" si="51"/>
        <v/>
      </c>
      <c r="Z974" s="340" t="str">
        <f>IF(AND(C974&gt;0,D974&lt;&gt;"",S974=""),VLOOKUP(A974&amp;IF(H974="黑丝","黑","白")&amp;E974,经纬!A:M,13,FALSE)*(I974-AB974),"")</f>
        <v/>
      </c>
      <c r="AA974" s="340" t="str">
        <f>IF(AND(C974&gt;0,D974&lt;&gt;"",S974=""),VLOOKUP(A974&amp;IF(H974="黑丝","黑","白")&amp;E974,经纬!A:N,14,FALSE)*(I974-AB974),"")</f>
        <v/>
      </c>
    </row>
    <row r="975" spans="13:27">
      <c r="M975" s="24" t="str">
        <f t="array" ref="M975">LEFT(L975,MIN(FIND({"A","B","C"},MID(L975,2,LEN(L975))&amp;"ABC")))</f>
        <v/>
      </c>
      <c r="N975" s="24" t="str">
        <f t="array" ref="N975">SUBSTITUTE(L975,M975,"")</f>
        <v/>
      </c>
      <c r="X975" s="258" t="str">
        <f t="shared" si="50"/>
        <v/>
      </c>
      <c r="Y975" s="36" t="str">
        <f t="shared" si="51"/>
        <v/>
      </c>
      <c r="Z975" s="340" t="str">
        <f>IF(AND(C975&gt;0,D975&lt;&gt;"",S975=""),VLOOKUP(A975&amp;IF(H975="黑丝","黑","白")&amp;E975,经纬!A:M,13,FALSE)*(I975-AB975),"")</f>
        <v/>
      </c>
      <c r="AA975" s="340" t="str">
        <f>IF(AND(C975&gt;0,D975&lt;&gt;"",S975=""),VLOOKUP(A975&amp;IF(H975="黑丝","黑","白")&amp;E975,经纬!A:N,14,FALSE)*(I975-AB975),"")</f>
        <v/>
      </c>
    </row>
    <row r="976" spans="13:27">
      <c r="M976" s="24" t="str">
        <f t="array" ref="M976">LEFT(L976,MIN(FIND({"A","B","C"},MID(L976,2,LEN(L976))&amp;"ABC")))</f>
        <v/>
      </c>
      <c r="N976" s="24" t="str">
        <f t="array" ref="N976">SUBSTITUTE(L976,M976,"")</f>
        <v/>
      </c>
      <c r="X976" s="258" t="str">
        <f t="shared" si="50"/>
        <v/>
      </c>
      <c r="Y976" s="36" t="str">
        <f t="shared" si="51"/>
        <v/>
      </c>
      <c r="Z976" s="340" t="str">
        <f>IF(AND(C976&gt;0,D976&lt;&gt;"",S976=""),VLOOKUP(A976&amp;IF(H976="黑丝","黑","白")&amp;E976,经纬!A:M,13,FALSE)*(I976-AB976),"")</f>
        <v/>
      </c>
      <c r="AA976" s="340" t="str">
        <f>IF(AND(C976&gt;0,D976&lt;&gt;"",S976=""),VLOOKUP(A976&amp;IF(H976="黑丝","黑","白")&amp;E976,经纬!A:N,14,FALSE)*(I976-AB976),"")</f>
        <v/>
      </c>
    </row>
    <row r="977" spans="13:27">
      <c r="M977" s="24" t="str">
        <f t="array" ref="M977">LEFT(L977,MIN(FIND({"A","B","C"},MID(L977,2,LEN(L977))&amp;"ABC")))</f>
        <v/>
      </c>
      <c r="N977" s="24" t="str">
        <f t="array" ref="N977">SUBSTITUTE(L977,M977,"")</f>
        <v/>
      </c>
      <c r="X977" s="258" t="str">
        <f t="shared" si="50"/>
        <v/>
      </c>
      <c r="Y977" s="36" t="str">
        <f t="shared" si="51"/>
        <v/>
      </c>
      <c r="Z977" s="340" t="str">
        <f>IF(AND(C977&gt;0,D977&lt;&gt;"",S977=""),VLOOKUP(A977&amp;IF(H977="黑丝","黑","白")&amp;E977,经纬!A:M,13,FALSE)*(I977-AB977),"")</f>
        <v/>
      </c>
      <c r="AA977" s="340" t="str">
        <f>IF(AND(C977&gt;0,D977&lt;&gt;"",S977=""),VLOOKUP(A977&amp;IF(H977="黑丝","黑","白")&amp;E977,经纬!A:N,14,FALSE)*(I977-AB977),"")</f>
        <v/>
      </c>
    </row>
    <row r="978" spans="13:27">
      <c r="M978" s="24" t="str">
        <f t="array" ref="M978">LEFT(L978,MIN(FIND({"A","B","C"},MID(L978,2,LEN(L978))&amp;"ABC")))</f>
        <v/>
      </c>
      <c r="N978" s="24" t="str">
        <f t="array" ref="N978">SUBSTITUTE(L978,M978,"")</f>
        <v/>
      </c>
      <c r="X978" s="258" t="str">
        <f t="shared" si="50"/>
        <v/>
      </c>
      <c r="Y978" s="36" t="str">
        <f t="shared" si="51"/>
        <v/>
      </c>
      <c r="Z978" s="340" t="str">
        <f>IF(AND(C978&gt;0,D978&lt;&gt;"",S978=""),VLOOKUP(A978&amp;IF(H978="黑丝","黑","白")&amp;E978,经纬!A:M,13,FALSE)*(I978-AB978),"")</f>
        <v/>
      </c>
      <c r="AA978" s="340" t="str">
        <f>IF(AND(C978&gt;0,D978&lt;&gt;"",S978=""),VLOOKUP(A978&amp;IF(H978="黑丝","黑","白")&amp;E978,经纬!A:N,14,FALSE)*(I978-AB978),"")</f>
        <v/>
      </c>
    </row>
    <row r="979" spans="13:27">
      <c r="M979" s="24" t="str">
        <f t="array" ref="M979">LEFT(L979,MIN(FIND({"A","B","C"},MID(L979,2,LEN(L979))&amp;"ABC")))</f>
        <v/>
      </c>
      <c r="N979" s="24" t="str">
        <f t="array" ref="N979">SUBSTITUTE(L979,M979,"")</f>
        <v/>
      </c>
      <c r="X979" s="258" t="str">
        <f t="shared" si="50"/>
        <v/>
      </c>
      <c r="Y979" s="36" t="str">
        <f t="shared" si="51"/>
        <v/>
      </c>
      <c r="Z979" s="340" t="str">
        <f>IF(AND(C979&gt;0,D979&lt;&gt;"",S979=""),VLOOKUP(A979&amp;IF(H979="黑丝","黑","白")&amp;E979,经纬!A:M,13,FALSE)*(I979-AB979),"")</f>
        <v/>
      </c>
      <c r="AA979" s="340" t="str">
        <f>IF(AND(C979&gt;0,D979&lt;&gt;"",S979=""),VLOOKUP(A979&amp;IF(H979="黑丝","黑","白")&amp;E979,经纬!A:N,14,FALSE)*(I979-AB979),"")</f>
        <v/>
      </c>
    </row>
    <row r="980" spans="13:27">
      <c r="M980" s="24" t="str">
        <f t="array" ref="M980">LEFT(L980,MIN(FIND({"A","B","C"},MID(L980,2,LEN(L980))&amp;"ABC")))</f>
        <v/>
      </c>
      <c r="N980" s="24" t="str">
        <f t="array" ref="N980">SUBSTITUTE(L980,M980,"")</f>
        <v/>
      </c>
      <c r="X980" s="258" t="str">
        <f t="shared" si="50"/>
        <v/>
      </c>
      <c r="Y980" s="36" t="str">
        <f t="shared" si="51"/>
        <v/>
      </c>
      <c r="Z980" s="340" t="str">
        <f>IF(AND(C980&gt;0,D980&lt;&gt;"",S980=""),VLOOKUP(A980&amp;IF(H980="黑丝","黑","白")&amp;E980,经纬!A:M,13,FALSE)*(I980-AB980),"")</f>
        <v/>
      </c>
      <c r="AA980" s="340" t="str">
        <f>IF(AND(C980&gt;0,D980&lt;&gt;"",S980=""),VLOOKUP(A980&amp;IF(H980="黑丝","黑","白")&amp;E980,经纬!A:N,14,FALSE)*(I980-AB980),"")</f>
        <v/>
      </c>
    </row>
    <row r="981" spans="13:27">
      <c r="M981" s="24" t="str">
        <f t="array" ref="M981">LEFT(L981,MIN(FIND({"A","B","C"},MID(L981,2,LEN(L981))&amp;"ABC")))</f>
        <v/>
      </c>
      <c r="N981" s="24" t="str">
        <f t="array" ref="N981">SUBSTITUTE(L981,M981,"")</f>
        <v/>
      </c>
      <c r="X981" s="258" t="str">
        <f t="shared" si="50"/>
        <v/>
      </c>
      <c r="Y981" s="36" t="str">
        <f t="shared" si="51"/>
        <v/>
      </c>
      <c r="Z981" s="340" t="str">
        <f>IF(AND(C981&gt;0,D981&lt;&gt;"",S981=""),VLOOKUP(A981&amp;IF(H981="黑丝","黑","白")&amp;E981,经纬!A:M,13,FALSE)*(I981-AB981),"")</f>
        <v/>
      </c>
      <c r="AA981" s="340" t="str">
        <f>IF(AND(C981&gt;0,D981&lt;&gt;"",S981=""),VLOOKUP(A981&amp;IF(H981="黑丝","黑","白")&amp;E981,经纬!A:N,14,FALSE)*(I981-AB981),"")</f>
        <v/>
      </c>
    </row>
    <row r="982" spans="13:27">
      <c r="M982" s="24" t="str">
        <f t="array" ref="M982">LEFT(L982,MIN(FIND({"A","B","C"},MID(L982,2,LEN(L982))&amp;"ABC")))</f>
        <v/>
      </c>
      <c r="N982" s="24" t="str">
        <f t="array" ref="N982">SUBSTITUTE(L982,M982,"")</f>
        <v/>
      </c>
      <c r="X982" s="258" t="str">
        <f t="shared" si="50"/>
        <v/>
      </c>
      <c r="Y982" s="36" t="str">
        <f t="shared" si="51"/>
        <v/>
      </c>
      <c r="Z982" s="340" t="str">
        <f>IF(AND(C982&gt;0,D982&lt;&gt;"",S982=""),VLOOKUP(A982&amp;IF(H982="黑丝","黑","白")&amp;E982,经纬!A:M,13,FALSE)*(I982-AB982),"")</f>
        <v/>
      </c>
      <c r="AA982" s="340" t="str">
        <f>IF(AND(C982&gt;0,D982&lt;&gt;"",S982=""),VLOOKUP(A982&amp;IF(H982="黑丝","黑","白")&amp;E982,经纬!A:N,14,FALSE)*(I982-AB982),"")</f>
        <v/>
      </c>
    </row>
    <row r="983" spans="13:27">
      <c r="M983" s="24" t="str">
        <f t="array" ref="M983">LEFT(L983,MIN(FIND({"A","B","C"},MID(L983,2,LEN(L983))&amp;"ABC")))</f>
        <v/>
      </c>
      <c r="N983" s="24" t="str">
        <f t="array" ref="N983">SUBSTITUTE(L983,M983,"")</f>
        <v/>
      </c>
      <c r="X983" s="258" t="str">
        <f t="shared" si="50"/>
        <v/>
      </c>
      <c r="Y983" s="36" t="str">
        <f t="shared" si="51"/>
        <v/>
      </c>
      <c r="Z983" s="340" t="str">
        <f>IF(AND(C983&gt;0,D983&lt;&gt;"",S983=""),VLOOKUP(A983&amp;IF(H983="黑丝","黑","白")&amp;E983,经纬!A:M,13,FALSE)*(I983-AB983),"")</f>
        <v/>
      </c>
      <c r="AA983" s="340" t="str">
        <f>IF(AND(C983&gt;0,D983&lt;&gt;"",S983=""),VLOOKUP(A983&amp;IF(H983="黑丝","黑","白")&amp;E983,经纬!A:N,14,FALSE)*(I983-AB983),"")</f>
        <v/>
      </c>
    </row>
    <row r="984" spans="13:27">
      <c r="M984" s="24" t="str">
        <f t="array" ref="M984">LEFT(L984,MIN(FIND({"A","B","C"},MID(L984,2,LEN(L984))&amp;"ABC")))</f>
        <v/>
      </c>
      <c r="N984" s="24" t="str">
        <f t="array" ref="N984">SUBSTITUTE(L984,M984,"")</f>
        <v/>
      </c>
      <c r="X984" s="258" t="str">
        <f t="shared" si="50"/>
        <v/>
      </c>
      <c r="Y984" s="36" t="str">
        <f t="shared" si="51"/>
        <v/>
      </c>
      <c r="Z984" s="340" t="str">
        <f>IF(AND(C984&gt;0,D984&lt;&gt;"",S984=""),VLOOKUP(A984&amp;IF(H984="黑丝","黑","白")&amp;E984,经纬!A:M,13,FALSE)*(I984-AB984),"")</f>
        <v/>
      </c>
      <c r="AA984" s="340" t="str">
        <f>IF(AND(C984&gt;0,D984&lt;&gt;"",S984=""),VLOOKUP(A984&amp;IF(H984="黑丝","黑","白")&amp;E984,经纬!A:N,14,FALSE)*(I984-AB984),"")</f>
        <v/>
      </c>
    </row>
    <row r="985" spans="13:27">
      <c r="M985" s="24" t="str">
        <f t="array" ref="M985">LEFT(L985,MIN(FIND({"A","B","C"},MID(L985,2,LEN(L985))&amp;"ABC")))</f>
        <v/>
      </c>
      <c r="N985" s="24" t="str">
        <f t="array" ref="N985">SUBSTITUTE(L985,M985,"")</f>
        <v/>
      </c>
      <c r="X985" s="258" t="str">
        <f t="shared" si="50"/>
        <v/>
      </c>
      <c r="Y985" s="36" t="str">
        <f t="shared" si="51"/>
        <v/>
      </c>
      <c r="Z985" s="340" t="str">
        <f>IF(AND(C985&gt;0,D985&lt;&gt;"",S985=""),VLOOKUP(A985&amp;IF(H985="黑丝","黑","白")&amp;E985,经纬!A:M,13,FALSE)*(I985-AB985),"")</f>
        <v/>
      </c>
      <c r="AA985" s="340" t="str">
        <f>IF(AND(C985&gt;0,D985&lt;&gt;"",S985=""),VLOOKUP(A985&amp;IF(H985="黑丝","黑","白")&amp;E985,经纬!A:N,14,FALSE)*(I985-AB985),"")</f>
        <v/>
      </c>
    </row>
    <row r="986" spans="13:27">
      <c r="M986" s="24" t="str">
        <f t="array" ref="M986">LEFT(L986,MIN(FIND({"A","B","C"},MID(L986,2,LEN(L986))&amp;"ABC")))</f>
        <v/>
      </c>
      <c r="N986" s="24" t="str">
        <f t="array" ref="N986">SUBSTITUTE(L986,M986,"")</f>
        <v/>
      </c>
      <c r="X986" s="258" t="str">
        <f t="shared" si="50"/>
        <v/>
      </c>
      <c r="Y986" s="36" t="str">
        <f t="shared" si="51"/>
        <v/>
      </c>
      <c r="Z986" s="340" t="str">
        <f>IF(AND(C986&gt;0,D986&lt;&gt;"",S986=""),VLOOKUP(A986&amp;IF(H986="黑丝","黑","白")&amp;E986,经纬!A:M,13,FALSE)*(I986-AB986),"")</f>
        <v/>
      </c>
      <c r="AA986" s="340" t="str">
        <f>IF(AND(C986&gt;0,D986&lt;&gt;"",S986=""),VLOOKUP(A986&amp;IF(H986="黑丝","黑","白")&amp;E986,经纬!A:N,14,FALSE)*(I986-AB986),"")</f>
        <v/>
      </c>
    </row>
    <row r="987" spans="13:27">
      <c r="M987" s="24" t="str">
        <f t="array" ref="M987">LEFT(L987,MIN(FIND({"A","B","C"},MID(L987,2,LEN(L987))&amp;"ABC")))</f>
        <v/>
      </c>
      <c r="N987" s="24" t="str">
        <f t="array" ref="N987">SUBSTITUTE(L987,M987,"")</f>
        <v/>
      </c>
      <c r="X987" s="258" t="str">
        <f t="shared" si="50"/>
        <v/>
      </c>
      <c r="Y987" s="36" t="str">
        <f t="shared" si="51"/>
        <v/>
      </c>
      <c r="Z987" s="340" t="str">
        <f>IF(AND(C987&gt;0,D987&lt;&gt;"",S987=""),VLOOKUP(A987&amp;IF(H987="黑丝","黑","白")&amp;E987,经纬!A:M,13,FALSE)*(I987-AB987),"")</f>
        <v/>
      </c>
      <c r="AA987" s="340" t="str">
        <f>IF(AND(C987&gt;0,D987&lt;&gt;"",S987=""),VLOOKUP(A987&amp;IF(H987="黑丝","黑","白")&amp;E987,经纬!A:N,14,FALSE)*(I987-AB987),"")</f>
        <v/>
      </c>
    </row>
    <row r="988" spans="13:27">
      <c r="M988" s="24" t="str">
        <f t="array" ref="M988">LEFT(L988,MIN(FIND({"A","B","C"},MID(L988,2,LEN(L988))&amp;"ABC")))</f>
        <v/>
      </c>
      <c r="N988" s="24" t="str">
        <f t="array" ref="N988">SUBSTITUTE(L988,M988,"")</f>
        <v/>
      </c>
      <c r="X988" s="258" t="str">
        <f t="shared" ref="X988:X1051" si="52">IF(B988="","",IF(S988&lt;&gt;"","",IF(AND(Z988&lt;&gt;"",AA988&lt;&gt;""),SUM(Z988:AA988),IF(AB988&lt;&gt;"",(I988/((1/((G988+2)/100*K988/1000))*0.9144)/IF(H988="黑丝",22,20)-AB988)*(IF(H988="黑丝",22,20)),I988/((1/((G988+2)/100*K988/1000))*0.9144)))))</f>
        <v/>
      </c>
      <c r="Y988" s="36" t="str">
        <f t="shared" si="51"/>
        <v/>
      </c>
      <c r="Z988" s="340" t="str">
        <f>IF(AND(C988&gt;0,D988&lt;&gt;"",S988=""),VLOOKUP(A988&amp;IF(H988="黑丝","黑","白")&amp;E988,经纬!A:M,13,FALSE)*(I988-AB988),"")</f>
        <v/>
      </c>
      <c r="AA988" s="340" t="str">
        <f>IF(AND(C988&gt;0,D988&lt;&gt;"",S988=""),VLOOKUP(A988&amp;IF(H988="黑丝","黑","白")&amp;E988,经纬!A:N,14,FALSE)*(I988-AB988),"")</f>
        <v/>
      </c>
    </row>
    <row r="989" spans="13:27">
      <c r="M989" s="24" t="str">
        <f t="array" ref="M989">LEFT(L989,MIN(FIND({"A","B","C"},MID(L989,2,LEN(L989))&amp;"ABC")))</f>
        <v/>
      </c>
      <c r="N989" s="24" t="str">
        <f t="array" ref="N989">SUBSTITUTE(L989,M989,"")</f>
        <v/>
      </c>
      <c r="X989" s="258" t="str">
        <f t="shared" si="52"/>
        <v/>
      </c>
      <c r="Y989" s="36" t="str">
        <f t="shared" si="51"/>
        <v/>
      </c>
      <c r="Z989" s="340" t="str">
        <f>IF(AND(C989&gt;0,D989&lt;&gt;"",S989=""),VLOOKUP(A989&amp;IF(H989="黑丝","黑","白")&amp;E989,经纬!A:M,13,FALSE)*(I989-AB989),"")</f>
        <v/>
      </c>
      <c r="AA989" s="340" t="str">
        <f>IF(AND(C989&gt;0,D989&lt;&gt;"",S989=""),VLOOKUP(A989&amp;IF(H989="黑丝","黑","白")&amp;E989,经纬!A:N,14,FALSE)*(I989-AB989),"")</f>
        <v/>
      </c>
    </row>
    <row r="990" spans="13:27">
      <c r="M990" s="24" t="str">
        <f t="array" ref="M990">LEFT(L990,MIN(FIND({"A","B","C"},MID(L990,2,LEN(L990))&amp;"ABC")))</f>
        <v/>
      </c>
      <c r="N990" s="24" t="str">
        <f t="array" ref="N990">SUBSTITUTE(L990,M990,"")</f>
        <v/>
      </c>
      <c r="X990" s="258" t="str">
        <f t="shared" si="52"/>
        <v/>
      </c>
      <c r="Y990" s="36" t="str">
        <f t="shared" si="51"/>
        <v/>
      </c>
      <c r="Z990" s="340" t="str">
        <f>IF(AND(C990&gt;0,D990&lt;&gt;"",S990=""),VLOOKUP(A990&amp;IF(H990="黑丝","黑","白")&amp;E990,经纬!A:M,13,FALSE)*(I990-AB990),"")</f>
        <v/>
      </c>
      <c r="AA990" s="340" t="str">
        <f>IF(AND(C990&gt;0,D990&lt;&gt;"",S990=""),VLOOKUP(A990&amp;IF(H990="黑丝","黑","白")&amp;E990,经纬!A:N,14,FALSE)*(I990-AB990),"")</f>
        <v/>
      </c>
    </row>
    <row r="991" spans="13:27">
      <c r="M991" s="24" t="str">
        <f t="array" ref="M991">LEFT(L991,MIN(FIND({"A","B","C"},MID(L991,2,LEN(L991))&amp;"ABC")))</f>
        <v/>
      </c>
      <c r="N991" s="24" t="str">
        <f t="array" ref="N991">SUBSTITUTE(L991,M991,"")</f>
        <v/>
      </c>
      <c r="X991" s="258" t="str">
        <f t="shared" si="52"/>
        <v/>
      </c>
      <c r="Y991" s="36" t="str">
        <f t="shared" si="51"/>
        <v/>
      </c>
      <c r="Z991" s="340" t="str">
        <f>IF(AND(C991&gt;0,D991&lt;&gt;"",S991=""),VLOOKUP(A991&amp;IF(H991="黑丝","黑","白")&amp;E991,经纬!A:M,13,FALSE)*(I991-AB991),"")</f>
        <v/>
      </c>
      <c r="AA991" s="340" t="str">
        <f>IF(AND(C991&gt;0,D991&lt;&gt;"",S991=""),VLOOKUP(A991&amp;IF(H991="黑丝","黑","白")&amp;E991,经纬!A:N,14,FALSE)*(I991-AB991),"")</f>
        <v/>
      </c>
    </row>
    <row r="992" spans="13:27">
      <c r="M992" s="24" t="str">
        <f t="array" ref="M992">LEFT(L992,MIN(FIND({"A","B","C"},MID(L992,2,LEN(L992))&amp;"ABC")))</f>
        <v/>
      </c>
      <c r="N992" s="24" t="str">
        <f t="array" ref="N992">SUBSTITUTE(L992,M992,"")</f>
        <v/>
      </c>
      <c r="X992" s="258" t="str">
        <f t="shared" si="52"/>
        <v/>
      </c>
      <c r="Y992" s="36" t="str">
        <f t="shared" si="51"/>
        <v/>
      </c>
      <c r="Z992" s="340" t="str">
        <f>IF(AND(C992&gt;0,D992&lt;&gt;"",S992=""),VLOOKUP(A992&amp;IF(H992="黑丝","黑","白")&amp;E992,经纬!A:M,13,FALSE)*(I992-AB992),"")</f>
        <v/>
      </c>
      <c r="AA992" s="340" t="str">
        <f>IF(AND(C992&gt;0,D992&lt;&gt;"",S992=""),VLOOKUP(A992&amp;IF(H992="黑丝","黑","白")&amp;E992,经纬!A:N,14,FALSE)*(I992-AB992),"")</f>
        <v/>
      </c>
    </row>
    <row r="993" spans="13:27">
      <c r="M993" s="24" t="str">
        <f t="array" ref="M993">LEFT(L993,MIN(FIND({"A","B","C"},MID(L993,2,LEN(L993))&amp;"ABC")))</f>
        <v/>
      </c>
      <c r="N993" s="24" t="str">
        <f t="array" ref="N993">SUBSTITUTE(L993,M993,"")</f>
        <v/>
      </c>
      <c r="X993" s="258" t="str">
        <f t="shared" si="52"/>
        <v/>
      </c>
      <c r="Y993" s="36" t="str">
        <f t="shared" si="51"/>
        <v/>
      </c>
      <c r="Z993" s="340" t="str">
        <f>IF(AND(C993&gt;0,D993&lt;&gt;"",S993=""),VLOOKUP(A993&amp;IF(H993="黑丝","黑","白")&amp;E993,经纬!A:M,13,FALSE)*(I993-AB993),"")</f>
        <v/>
      </c>
      <c r="AA993" s="340" t="str">
        <f>IF(AND(C993&gt;0,D993&lt;&gt;"",S993=""),VLOOKUP(A993&amp;IF(H993="黑丝","黑","白")&amp;E993,经纬!A:N,14,FALSE)*(I993-AB993),"")</f>
        <v/>
      </c>
    </row>
    <row r="994" spans="13:27">
      <c r="M994" s="24" t="str">
        <f t="array" ref="M994">LEFT(L994,MIN(FIND({"A","B","C"},MID(L994,2,LEN(L994))&amp;"ABC")))</f>
        <v/>
      </c>
      <c r="N994" s="24" t="str">
        <f t="array" ref="N994">SUBSTITUTE(L994,M994,"")</f>
        <v/>
      </c>
      <c r="X994" s="258" t="str">
        <f t="shared" si="52"/>
        <v/>
      </c>
      <c r="Y994" s="36" t="str">
        <f t="shared" si="51"/>
        <v/>
      </c>
      <c r="Z994" s="340" t="str">
        <f>IF(AND(C994&gt;0,D994&lt;&gt;"",S994=""),VLOOKUP(A994&amp;IF(H994="黑丝","黑","白")&amp;E994,经纬!A:M,13,FALSE)*(I994-AB994),"")</f>
        <v/>
      </c>
      <c r="AA994" s="340" t="str">
        <f>IF(AND(C994&gt;0,D994&lt;&gt;"",S994=""),VLOOKUP(A994&amp;IF(H994="黑丝","黑","白")&amp;E994,经纬!A:N,14,FALSE)*(I994-AB994),"")</f>
        <v/>
      </c>
    </row>
    <row r="995" spans="13:27">
      <c r="M995" s="24" t="str">
        <f t="array" ref="M995">LEFT(L995,MIN(FIND({"A","B","C"},MID(L995,2,LEN(L995))&amp;"ABC")))</f>
        <v/>
      </c>
      <c r="N995" s="24" t="str">
        <f t="array" ref="N995">SUBSTITUTE(L995,M995,"")</f>
        <v/>
      </c>
      <c r="X995" s="258" t="str">
        <f t="shared" si="52"/>
        <v/>
      </c>
      <c r="Y995" s="36" t="str">
        <f t="shared" si="51"/>
        <v/>
      </c>
      <c r="Z995" s="340" t="str">
        <f>IF(AND(C995&gt;0,D995&lt;&gt;"",S995=""),VLOOKUP(A995&amp;IF(H995="黑丝","黑","白")&amp;E995,经纬!A:M,13,FALSE)*(I995-AB995),"")</f>
        <v/>
      </c>
      <c r="AA995" s="340" t="str">
        <f>IF(AND(C995&gt;0,D995&lt;&gt;"",S995=""),VLOOKUP(A995&amp;IF(H995="黑丝","黑","白")&amp;E995,经纬!A:N,14,FALSE)*(I995-AB995),"")</f>
        <v/>
      </c>
    </row>
    <row r="996" spans="13:27">
      <c r="M996" s="24" t="str">
        <f t="array" ref="M996">LEFT(L996,MIN(FIND({"A","B","C"},MID(L996,2,LEN(L996))&amp;"ABC")))</f>
        <v/>
      </c>
      <c r="N996" s="24" t="str">
        <f t="array" ref="N996">SUBSTITUTE(L996,M996,"")</f>
        <v/>
      </c>
      <c r="X996" s="258" t="str">
        <f t="shared" si="52"/>
        <v/>
      </c>
      <c r="Y996" s="36" t="str">
        <f t="shared" si="51"/>
        <v/>
      </c>
      <c r="Z996" s="340" t="str">
        <f>IF(AND(C996&gt;0,D996&lt;&gt;"",S996=""),VLOOKUP(A996&amp;IF(H996="黑丝","黑","白")&amp;E996,经纬!A:M,13,FALSE)*(I996-AB996),"")</f>
        <v/>
      </c>
      <c r="AA996" s="340" t="str">
        <f>IF(AND(C996&gt;0,D996&lt;&gt;"",S996=""),VLOOKUP(A996&amp;IF(H996="黑丝","黑","白")&amp;E996,经纬!A:N,14,FALSE)*(I996-AB996),"")</f>
        <v/>
      </c>
    </row>
    <row r="997" spans="13:27">
      <c r="M997" s="24" t="str">
        <f t="array" ref="M997">LEFT(L997,MIN(FIND({"A","B","C"},MID(L997,2,LEN(L997))&amp;"ABC")))</f>
        <v/>
      </c>
      <c r="N997" s="24" t="str">
        <f t="array" ref="N997">SUBSTITUTE(L997,M997,"")</f>
        <v/>
      </c>
      <c r="X997" s="258" t="str">
        <f t="shared" si="52"/>
        <v/>
      </c>
      <c r="Y997" s="36" t="str">
        <f t="shared" si="51"/>
        <v/>
      </c>
      <c r="Z997" s="340" t="str">
        <f>IF(AND(C997&gt;0,D997&lt;&gt;"",S997=""),VLOOKUP(A997&amp;IF(H997="黑丝","黑","白")&amp;E997,经纬!A:M,13,FALSE)*(I997-AB997),"")</f>
        <v/>
      </c>
      <c r="AA997" s="340" t="str">
        <f>IF(AND(C997&gt;0,D997&lt;&gt;"",S997=""),VLOOKUP(A997&amp;IF(H997="黑丝","黑","白")&amp;E997,经纬!A:N,14,FALSE)*(I997-AB997),"")</f>
        <v/>
      </c>
    </row>
    <row r="998" spans="13:27">
      <c r="M998" s="24" t="str">
        <f t="array" ref="M998">LEFT(L998,MIN(FIND({"A","B","C"},MID(L998,2,LEN(L998))&amp;"ABC")))</f>
        <v/>
      </c>
      <c r="N998" s="24" t="str">
        <f t="array" ref="N998">SUBSTITUTE(L998,M998,"")</f>
        <v/>
      </c>
      <c r="X998" s="258" t="str">
        <f t="shared" si="52"/>
        <v/>
      </c>
      <c r="Y998" s="36" t="str">
        <f t="shared" si="51"/>
        <v/>
      </c>
      <c r="Z998" s="340" t="str">
        <f>IF(AND(C998&gt;0,D998&lt;&gt;"",S998=""),VLOOKUP(A998&amp;IF(H998="黑丝","黑","白")&amp;E998,经纬!A:M,13,FALSE)*(I998-AB998),"")</f>
        <v/>
      </c>
      <c r="AA998" s="340" t="str">
        <f>IF(AND(C998&gt;0,D998&lt;&gt;"",S998=""),VLOOKUP(A998&amp;IF(H998="黑丝","黑","白")&amp;E998,经纬!A:N,14,FALSE)*(I998-AB998),"")</f>
        <v/>
      </c>
    </row>
    <row r="999" spans="13:27">
      <c r="M999" s="24" t="str">
        <f t="array" ref="M999">LEFT(L999,MIN(FIND({"A","B","C"},MID(L999,2,LEN(L999))&amp;"ABC")))</f>
        <v/>
      </c>
      <c r="N999" s="24" t="str">
        <f t="array" ref="N999">SUBSTITUTE(L999,M999,"")</f>
        <v/>
      </c>
      <c r="X999" s="258" t="str">
        <f t="shared" si="52"/>
        <v/>
      </c>
      <c r="Y999" s="36" t="str">
        <f t="shared" si="51"/>
        <v/>
      </c>
      <c r="Z999" s="340" t="str">
        <f>IF(AND(C999&gt;0,D999&lt;&gt;"",S999=""),VLOOKUP(A999&amp;IF(H999="黑丝","黑","白")&amp;E999,经纬!A:M,13,FALSE)*(I999-AB999),"")</f>
        <v/>
      </c>
      <c r="AA999" s="340" t="str">
        <f>IF(AND(C999&gt;0,D999&lt;&gt;"",S999=""),VLOOKUP(A999&amp;IF(H999="黑丝","黑","白")&amp;E999,经纬!A:N,14,FALSE)*(I999-AB999),"")</f>
        <v/>
      </c>
    </row>
    <row r="1000" spans="13:27">
      <c r="M1000" s="24" t="str">
        <f t="array" ref="M1000">LEFT(L1000,MIN(FIND({"A","B","C"},MID(L1000,2,LEN(L1000))&amp;"ABC")))</f>
        <v/>
      </c>
      <c r="N1000" s="24" t="str">
        <f t="array" ref="N1000">SUBSTITUTE(L1000,M1000,"")</f>
        <v/>
      </c>
      <c r="X1000" s="258" t="str">
        <f t="shared" si="52"/>
        <v/>
      </c>
      <c r="Y1000" s="36" t="str">
        <f t="shared" si="51"/>
        <v/>
      </c>
      <c r="Z1000" s="340" t="str">
        <f>IF(AND(C1000&gt;0,D1000&lt;&gt;"",S1000=""),VLOOKUP(A1000&amp;IF(H1000="黑丝","黑","白")&amp;E1000,经纬!A:M,13,FALSE)*(I1000-AB1000),"")</f>
        <v/>
      </c>
      <c r="AA1000" s="340" t="str">
        <f>IF(AND(C1000&gt;0,D1000&lt;&gt;"",S1000=""),VLOOKUP(A1000&amp;IF(H1000="黑丝","黑","白")&amp;E1000,经纬!A:N,14,FALSE)*(I1000-AB1000),"")</f>
        <v/>
      </c>
    </row>
    <row r="1001" spans="13:27">
      <c r="M1001" s="24" t="str">
        <f t="array" ref="M1001">LEFT(L1001,MIN(FIND({"A","B","C"},MID(L1001,2,LEN(L1001))&amp;"ABC")))</f>
        <v/>
      </c>
      <c r="N1001" s="24" t="str">
        <f t="array" ref="N1001">SUBSTITUTE(L1001,M1001,"")</f>
        <v/>
      </c>
      <c r="X1001" s="258" t="str">
        <f t="shared" si="52"/>
        <v/>
      </c>
      <c r="Y1001" s="36" t="str">
        <f t="shared" ref="Y1001:Y1064" si="53">IF(OR(B1001="",D1001&lt;&gt;""),"",IF(S1001&lt;&gt;"","",I1001/((1/((G1001+2)/100*K1001/1000))*0.9144)/IF(H1001="黑丝",22,20)-AB1001))</f>
        <v/>
      </c>
      <c r="Z1001" s="340" t="str">
        <f>IF(AND(C1001&gt;0,D1001&lt;&gt;"",S1001=""),VLOOKUP(A1001&amp;IF(H1001="黑丝","黑","白")&amp;E1001,经纬!A:M,13,FALSE)*(I1001-AB1001),"")</f>
        <v/>
      </c>
      <c r="AA1001" s="340" t="str">
        <f>IF(AND(C1001&gt;0,D1001&lt;&gt;"",S1001=""),VLOOKUP(A1001&amp;IF(H1001="黑丝","黑","白")&amp;E1001,经纬!A:N,14,FALSE)*(I1001-AB1001),"")</f>
        <v/>
      </c>
    </row>
    <row r="1002" spans="13:27">
      <c r="M1002" s="24" t="str">
        <f t="array" ref="M1002">LEFT(L1002,MIN(FIND({"A","B","C"},MID(L1002,2,LEN(L1002))&amp;"ABC")))</f>
        <v/>
      </c>
      <c r="N1002" s="24" t="str">
        <f t="array" ref="N1002">SUBSTITUTE(L1002,M1002,"")</f>
        <v/>
      </c>
      <c r="X1002" s="258" t="str">
        <f t="shared" si="52"/>
        <v/>
      </c>
      <c r="Y1002" s="36" t="str">
        <f t="shared" si="53"/>
        <v/>
      </c>
      <c r="Z1002" s="340" t="str">
        <f>IF(AND(C1002&gt;0,D1002&lt;&gt;"",S1002=""),VLOOKUP(A1002&amp;IF(H1002="黑丝","黑","白")&amp;E1002,经纬!A:M,13,FALSE)*(I1002-AB1002),"")</f>
        <v/>
      </c>
      <c r="AA1002" s="340" t="str">
        <f>IF(AND(C1002&gt;0,D1002&lt;&gt;"",S1002=""),VLOOKUP(A1002&amp;IF(H1002="黑丝","黑","白")&amp;E1002,经纬!A:N,14,FALSE)*(I1002-AB1002),"")</f>
        <v/>
      </c>
    </row>
    <row r="1003" spans="13:27">
      <c r="M1003" s="24" t="str">
        <f t="array" ref="M1003">LEFT(L1003,MIN(FIND({"A","B","C"},MID(L1003,2,LEN(L1003))&amp;"ABC")))</f>
        <v/>
      </c>
      <c r="N1003" s="24" t="str">
        <f t="array" ref="N1003">SUBSTITUTE(L1003,M1003,"")</f>
        <v/>
      </c>
      <c r="X1003" s="258" t="str">
        <f t="shared" si="52"/>
        <v/>
      </c>
      <c r="Y1003" s="36" t="str">
        <f t="shared" si="53"/>
        <v/>
      </c>
      <c r="Z1003" s="340" t="str">
        <f>IF(AND(C1003&gt;0,D1003&lt;&gt;"",S1003=""),VLOOKUP(A1003&amp;IF(H1003="黑丝","黑","白")&amp;E1003,经纬!A:M,13,FALSE)*(I1003-AB1003),"")</f>
        <v/>
      </c>
      <c r="AA1003" s="340" t="str">
        <f>IF(AND(C1003&gt;0,D1003&lt;&gt;"",S1003=""),VLOOKUP(A1003&amp;IF(H1003="黑丝","黑","白")&amp;E1003,经纬!A:N,14,FALSE)*(I1003-AB1003),"")</f>
        <v/>
      </c>
    </row>
    <row r="1004" spans="13:27">
      <c r="M1004" s="24" t="str">
        <f t="array" ref="M1004">LEFT(L1004,MIN(FIND({"A","B","C"},MID(L1004,2,LEN(L1004))&amp;"ABC")))</f>
        <v/>
      </c>
      <c r="N1004" s="24" t="str">
        <f t="array" ref="N1004">SUBSTITUTE(L1004,M1004,"")</f>
        <v/>
      </c>
      <c r="X1004" s="258" t="str">
        <f t="shared" si="52"/>
        <v/>
      </c>
      <c r="Y1004" s="36" t="str">
        <f t="shared" si="53"/>
        <v/>
      </c>
      <c r="Z1004" s="340" t="str">
        <f>IF(AND(C1004&gt;0,D1004&lt;&gt;"",S1004=""),VLOOKUP(A1004&amp;IF(H1004="黑丝","黑","白")&amp;E1004,经纬!A:M,13,FALSE)*(I1004-AB1004),"")</f>
        <v/>
      </c>
      <c r="AA1004" s="340" t="str">
        <f>IF(AND(C1004&gt;0,D1004&lt;&gt;"",S1004=""),VLOOKUP(A1004&amp;IF(H1004="黑丝","黑","白")&amp;E1004,经纬!A:N,14,FALSE)*(I1004-AB1004),"")</f>
        <v/>
      </c>
    </row>
    <row r="1005" spans="13:27">
      <c r="M1005" s="24" t="str">
        <f t="array" ref="M1005">LEFT(L1005,MIN(FIND({"A","B","C"},MID(L1005,2,LEN(L1005))&amp;"ABC")))</f>
        <v/>
      </c>
      <c r="N1005" s="24" t="str">
        <f t="array" ref="N1005">SUBSTITUTE(L1005,M1005,"")</f>
        <v/>
      </c>
      <c r="X1005" s="258" t="str">
        <f t="shared" si="52"/>
        <v/>
      </c>
      <c r="Y1005" s="36" t="str">
        <f t="shared" si="53"/>
        <v/>
      </c>
      <c r="Z1005" s="340" t="str">
        <f>IF(AND(C1005&gt;0,D1005&lt;&gt;"",S1005=""),VLOOKUP(A1005&amp;IF(H1005="黑丝","黑","白")&amp;E1005,经纬!A:M,13,FALSE)*(I1005-AB1005),"")</f>
        <v/>
      </c>
      <c r="AA1005" s="340" t="str">
        <f>IF(AND(C1005&gt;0,D1005&lt;&gt;"",S1005=""),VLOOKUP(A1005&amp;IF(H1005="黑丝","黑","白")&amp;E1005,经纬!A:N,14,FALSE)*(I1005-AB1005),"")</f>
        <v/>
      </c>
    </row>
    <row r="1006" spans="13:27">
      <c r="M1006" s="24" t="str">
        <f t="array" ref="M1006">LEFT(L1006,MIN(FIND({"A","B","C"},MID(L1006,2,LEN(L1006))&amp;"ABC")))</f>
        <v/>
      </c>
      <c r="N1006" s="24" t="str">
        <f t="array" ref="N1006">SUBSTITUTE(L1006,M1006,"")</f>
        <v/>
      </c>
      <c r="X1006" s="258" t="str">
        <f t="shared" si="52"/>
        <v/>
      </c>
      <c r="Y1006" s="36" t="str">
        <f t="shared" si="53"/>
        <v/>
      </c>
      <c r="Z1006" s="340" t="str">
        <f>IF(AND(C1006&gt;0,D1006&lt;&gt;"",S1006=""),VLOOKUP(A1006&amp;IF(H1006="黑丝","黑","白")&amp;E1006,经纬!A:M,13,FALSE)*(I1006-AB1006),"")</f>
        <v/>
      </c>
      <c r="AA1006" s="340" t="str">
        <f>IF(AND(C1006&gt;0,D1006&lt;&gt;"",S1006=""),VLOOKUP(A1006&amp;IF(H1006="黑丝","黑","白")&amp;E1006,经纬!A:N,14,FALSE)*(I1006-AB1006),"")</f>
        <v/>
      </c>
    </row>
    <row r="1007" spans="13:27">
      <c r="M1007" s="24" t="str">
        <f t="array" ref="M1007">LEFT(L1007,MIN(FIND({"A","B","C"},MID(L1007,2,LEN(L1007))&amp;"ABC")))</f>
        <v/>
      </c>
      <c r="N1007" s="24" t="str">
        <f t="array" ref="N1007">SUBSTITUTE(L1007,M1007,"")</f>
        <v/>
      </c>
      <c r="X1007" s="258" t="str">
        <f t="shared" si="52"/>
        <v/>
      </c>
      <c r="Y1007" s="36" t="str">
        <f t="shared" si="53"/>
        <v/>
      </c>
      <c r="Z1007" s="340" t="str">
        <f>IF(AND(C1007&gt;0,D1007&lt;&gt;"",S1007=""),VLOOKUP(A1007&amp;IF(H1007="黑丝","黑","白")&amp;E1007,经纬!A:M,13,FALSE)*(I1007-AB1007),"")</f>
        <v/>
      </c>
      <c r="AA1007" s="340" t="str">
        <f>IF(AND(C1007&gt;0,D1007&lt;&gt;"",S1007=""),VLOOKUP(A1007&amp;IF(H1007="黑丝","黑","白")&amp;E1007,经纬!A:N,14,FALSE)*(I1007-AB1007),"")</f>
        <v/>
      </c>
    </row>
    <row r="1008" spans="13:27">
      <c r="M1008" s="24" t="str">
        <f t="array" ref="M1008">LEFT(L1008,MIN(FIND({"A","B","C"},MID(L1008,2,LEN(L1008))&amp;"ABC")))</f>
        <v/>
      </c>
      <c r="N1008" s="24" t="str">
        <f t="array" ref="N1008">SUBSTITUTE(L1008,M1008,"")</f>
        <v/>
      </c>
      <c r="X1008" s="258" t="str">
        <f t="shared" si="52"/>
        <v/>
      </c>
      <c r="Y1008" s="36" t="str">
        <f t="shared" si="53"/>
        <v/>
      </c>
      <c r="Z1008" s="340" t="str">
        <f>IF(AND(C1008&gt;0,D1008&lt;&gt;"",S1008=""),VLOOKUP(A1008&amp;IF(H1008="黑丝","黑","白")&amp;E1008,经纬!A:M,13,FALSE)*(I1008-AB1008),"")</f>
        <v/>
      </c>
      <c r="AA1008" s="340" t="str">
        <f>IF(AND(C1008&gt;0,D1008&lt;&gt;"",S1008=""),VLOOKUP(A1008&amp;IF(H1008="黑丝","黑","白")&amp;E1008,经纬!A:N,14,FALSE)*(I1008-AB1008),"")</f>
        <v/>
      </c>
    </row>
    <row r="1009" spans="13:27">
      <c r="M1009" s="24" t="str">
        <f t="array" ref="M1009">LEFT(L1009,MIN(FIND({"A","B","C"},MID(L1009,2,LEN(L1009))&amp;"ABC")))</f>
        <v/>
      </c>
      <c r="N1009" s="24" t="str">
        <f t="array" ref="N1009">SUBSTITUTE(L1009,M1009,"")</f>
        <v/>
      </c>
      <c r="X1009" s="258" t="str">
        <f t="shared" si="52"/>
        <v/>
      </c>
      <c r="Y1009" s="36" t="str">
        <f t="shared" si="53"/>
        <v/>
      </c>
      <c r="Z1009" s="340" t="str">
        <f>IF(AND(C1009&gt;0,D1009&lt;&gt;"",S1009=""),VLOOKUP(A1009&amp;IF(H1009="黑丝","黑","白")&amp;E1009,经纬!A:M,13,FALSE)*(I1009-AB1009),"")</f>
        <v/>
      </c>
      <c r="AA1009" s="340" t="str">
        <f>IF(AND(C1009&gt;0,D1009&lt;&gt;"",S1009=""),VLOOKUP(A1009&amp;IF(H1009="黑丝","黑","白")&amp;E1009,经纬!A:N,14,FALSE)*(I1009-AB1009),"")</f>
        <v/>
      </c>
    </row>
    <row r="1010" spans="13:27">
      <c r="M1010" s="24" t="str">
        <f t="array" ref="M1010">LEFT(L1010,MIN(FIND({"A","B","C"},MID(L1010,2,LEN(L1010))&amp;"ABC")))</f>
        <v/>
      </c>
      <c r="N1010" s="24" t="str">
        <f t="array" ref="N1010">SUBSTITUTE(L1010,M1010,"")</f>
        <v/>
      </c>
      <c r="X1010" s="258" t="str">
        <f t="shared" si="52"/>
        <v/>
      </c>
      <c r="Y1010" s="36" t="str">
        <f t="shared" si="53"/>
        <v/>
      </c>
      <c r="Z1010" s="340" t="str">
        <f>IF(AND(C1010&gt;0,D1010&lt;&gt;"",S1010=""),VLOOKUP(A1010&amp;IF(H1010="黑丝","黑","白")&amp;E1010,经纬!A:M,13,FALSE)*(I1010-AB1010),"")</f>
        <v/>
      </c>
      <c r="AA1010" s="340" t="str">
        <f>IF(AND(C1010&gt;0,D1010&lt;&gt;"",S1010=""),VLOOKUP(A1010&amp;IF(H1010="黑丝","黑","白")&amp;E1010,经纬!A:N,14,FALSE)*(I1010-AB1010),"")</f>
        <v/>
      </c>
    </row>
    <row r="1011" spans="13:27">
      <c r="M1011" s="24" t="str">
        <f t="array" ref="M1011">LEFT(L1011,MIN(FIND({"A","B","C"},MID(L1011,2,LEN(L1011))&amp;"ABC")))</f>
        <v/>
      </c>
      <c r="N1011" s="24" t="str">
        <f t="array" ref="N1011">SUBSTITUTE(L1011,M1011,"")</f>
        <v/>
      </c>
      <c r="X1011" s="258" t="str">
        <f t="shared" si="52"/>
        <v/>
      </c>
      <c r="Y1011" s="36" t="str">
        <f t="shared" si="53"/>
        <v/>
      </c>
      <c r="Z1011" s="340" t="str">
        <f>IF(AND(C1011&gt;0,D1011&lt;&gt;"",S1011=""),VLOOKUP(A1011&amp;IF(H1011="黑丝","黑","白")&amp;E1011,经纬!A:M,13,FALSE)*(I1011-AB1011),"")</f>
        <v/>
      </c>
      <c r="AA1011" s="340" t="str">
        <f>IF(AND(C1011&gt;0,D1011&lt;&gt;"",S1011=""),VLOOKUP(A1011&amp;IF(H1011="黑丝","黑","白")&amp;E1011,经纬!A:N,14,FALSE)*(I1011-AB1011),"")</f>
        <v/>
      </c>
    </row>
    <row r="1012" spans="13:27">
      <c r="M1012" s="24" t="str">
        <f t="array" ref="M1012">LEFT(L1012,MIN(FIND({"A","B","C"},MID(L1012,2,LEN(L1012))&amp;"ABC")))</f>
        <v/>
      </c>
      <c r="N1012" s="24" t="str">
        <f t="array" ref="N1012">SUBSTITUTE(L1012,M1012,"")</f>
        <v/>
      </c>
      <c r="X1012" s="258" t="str">
        <f t="shared" si="52"/>
        <v/>
      </c>
      <c r="Y1012" s="36" t="str">
        <f t="shared" si="53"/>
        <v/>
      </c>
      <c r="Z1012" s="340" t="str">
        <f>IF(AND(C1012&gt;0,D1012&lt;&gt;"",S1012=""),VLOOKUP(A1012&amp;IF(H1012="黑丝","黑","白")&amp;E1012,经纬!A:M,13,FALSE)*(I1012-AB1012),"")</f>
        <v/>
      </c>
      <c r="AA1012" s="340" t="str">
        <f>IF(AND(C1012&gt;0,D1012&lt;&gt;"",S1012=""),VLOOKUP(A1012&amp;IF(H1012="黑丝","黑","白")&amp;E1012,经纬!A:N,14,FALSE)*(I1012-AB1012),"")</f>
        <v/>
      </c>
    </row>
    <row r="1013" spans="13:27">
      <c r="M1013" s="24" t="str">
        <f t="array" ref="M1013">LEFT(L1013,MIN(FIND({"A","B","C"},MID(L1013,2,LEN(L1013))&amp;"ABC")))</f>
        <v/>
      </c>
      <c r="N1013" s="24" t="str">
        <f t="array" ref="N1013">SUBSTITUTE(L1013,M1013,"")</f>
        <v/>
      </c>
      <c r="X1013" s="258" t="str">
        <f t="shared" si="52"/>
        <v/>
      </c>
      <c r="Y1013" s="36" t="str">
        <f t="shared" si="53"/>
        <v/>
      </c>
      <c r="Z1013" s="340" t="str">
        <f>IF(AND(C1013&gt;0,D1013&lt;&gt;"",S1013=""),VLOOKUP(A1013&amp;IF(H1013="黑丝","黑","白")&amp;E1013,经纬!A:M,13,FALSE)*(I1013-AB1013),"")</f>
        <v/>
      </c>
      <c r="AA1013" s="340" t="str">
        <f>IF(AND(C1013&gt;0,D1013&lt;&gt;"",S1013=""),VLOOKUP(A1013&amp;IF(H1013="黑丝","黑","白")&amp;E1013,经纬!A:N,14,FALSE)*(I1013-AB1013),"")</f>
        <v/>
      </c>
    </row>
    <row r="1014" spans="13:27">
      <c r="M1014" s="24" t="str">
        <f t="array" ref="M1014">LEFT(L1014,MIN(FIND({"A","B","C"},MID(L1014,2,LEN(L1014))&amp;"ABC")))</f>
        <v/>
      </c>
      <c r="N1014" s="24" t="str">
        <f t="array" ref="N1014">SUBSTITUTE(L1014,M1014,"")</f>
        <v/>
      </c>
      <c r="X1014" s="258" t="str">
        <f t="shared" si="52"/>
        <v/>
      </c>
      <c r="Y1014" s="36" t="str">
        <f t="shared" si="53"/>
        <v/>
      </c>
      <c r="Z1014" s="340" t="str">
        <f>IF(AND(C1014&gt;0,D1014&lt;&gt;"",S1014=""),VLOOKUP(A1014&amp;IF(H1014="黑丝","黑","白")&amp;E1014,经纬!A:M,13,FALSE)*(I1014-AB1014),"")</f>
        <v/>
      </c>
      <c r="AA1014" s="340" t="str">
        <f>IF(AND(C1014&gt;0,D1014&lt;&gt;"",S1014=""),VLOOKUP(A1014&amp;IF(H1014="黑丝","黑","白")&amp;E1014,经纬!A:N,14,FALSE)*(I1014-AB1014),"")</f>
        <v/>
      </c>
    </row>
    <row r="1015" spans="13:27">
      <c r="M1015" s="24" t="str">
        <f t="array" ref="M1015">LEFT(L1015,MIN(FIND({"A","B","C"},MID(L1015,2,LEN(L1015))&amp;"ABC")))</f>
        <v/>
      </c>
      <c r="N1015" s="24" t="str">
        <f t="array" ref="N1015">SUBSTITUTE(L1015,M1015,"")</f>
        <v/>
      </c>
      <c r="X1015" s="258" t="str">
        <f t="shared" si="52"/>
        <v/>
      </c>
      <c r="Y1015" s="36" t="str">
        <f t="shared" si="53"/>
        <v/>
      </c>
      <c r="Z1015" s="340" t="str">
        <f>IF(AND(C1015&gt;0,D1015&lt;&gt;"",S1015=""),VLOOKUP(A1015&amp;IF(H1015="黑丝","黑","白")&amp;E1015,经纬!A:M,13,FALSE)*(I1015-AB1015),"")</f>
        <v/>
      </c>
      <c r="AA1015" s="340" t="str">
        <f>IF(AND(C1015&gt;0,D1015&lt;&gt;"",S1015=""),VLOOKUP(A1015&amp;IF(H1015="黑丝","黑","白")&amp;E1015,经纬!A:N,14,FALSE)*(I1015-AB1015),"")</f>
        <v/>
      </c>
    </row>
    <row r="1016" spans="13:27">
      <c r="M1016" s="24" t="str">
        <f t="array" ref="M1016">LEFT(L1016,MIN(FIND({"A","B","C"},MID(L1016,2,LEN(L1016))&amp;"ABC")))</f>
        <v/>
      </c>
      <c r="N1016" s="24" t="str">
        <f t="array" ref="N1016">SUBSTITUTE(L1016,M1016,"")</f>
        <v/>
      </c>
      <c r="X1016" s="258" t="str">
        <f t="shared" si="52"/>
        <v/>
      </c>
      <c r="Y1016" s="36" t="str">
        <f t="shared" si="53"/>
        <v/>
      </c>
      <c r="Z1016" s="340" t="str">
        <f>IF(AND(C1016&gt;0,D1016&lt;&gt;"",S1016=""),VLOOKUP(A1016&amp;IF(H1016="黑丝","黑","白")&amp;E1016,经纬!A:M,13,FALSE)*(I1016-AB1016),"")</f>
        <v/>
      </c>
      <c r="AA1016" s="340" t="str">
        <f>IF(AND(C1016&gt;0,D1016&lt;&gt;"",S1016=""),VLOOKUP(A1016&amp;IF(H1016="黑丝","黑","白")&amp;E1016,经纬!A:N,14,FALSE)*(I1016-AB1016),"")</f>
        <v/>
      </c>
    </row>
    <row r="1017" spans="13:27">
      <c r="M1017" s="24" t="str">
        <f t="array" ref="M1017">LEFT(L1017,MIN(FIND({"A","B","C"},MID(L1017,2,LEN(L1017))&amp;"ABC")))</f>
        <v/>
      </c>
      <c r="N1017" s="24" t="str">
        <f t="array" ref="N1017">SUBSTITUTE(L1017,M1017,"")</f>
        <v/>
      </c>
      <c r="X1017" s="258" t="str">
        <f t="shared" si="52"/>
        <v/>
      </c>
      <c r="Y1017" s="36" t="str">
        <f t="shared" si="53"/>
        <v/>
      </c>
      <c r="Z1017" s="340" t="str">
        <f>IF(AND(C1017&gt;0,D1017&lt;&gt;"",S1017=""),VLOOKUP(A1017&amp;IF(H1017="黑丝","黑","白")&amp;E1017,经纬!A:M,13,FALSE)*(I1017-AB1017),"")</f>
        <v/>
      </c>
      <c r="AA1017" s="340" t="str">
        <f>IF(AND(C1017&gt;0,D1017&lt;&gt;"",S1017=""),VLOOKUP(A1017&amp;IF(H1017="黑丝","黑","白")&amp;E1017,经纬!A:N,14,FALSE)*(I1017-AB1017),"")</f>
        <v/>
      </c>
    </row>
    <row r="1018" spans="13:27">
      <c r="M1018" s="24" t="str">
        <f t="array" ref="M1018">LEFT(L1018,MIN(FIND({"A","B","C"},MID(L1018,2,LEN(L1018))&amp;"ABC")))</f>
        <v/>
      </c>
      <c r="N1018" s="24" t="str">
        <f t="array" ref="N1018">SUBSTITUTE(L1018,M1018,"")</f>
        <v/>
      </c>
      <c r="X1018" s="258" t="str">
        <f t="shared" si="52"/>
        <v/>
      </c>
      <c r="Y1018" s="36" t="str">
        <f t="shared" si="53"/>
        <v/>
      </c>
      <c r="Z1018" s="340" t="str">
        <f>IF(AND(C1018&gt;0,D1018&lt;&gt;"",S1018=""),VLOOKUP(A1018&amp;IF(H1018="黑丝","黑","白")&amp;E1018,经纬!A:M,13,FALSE)*(I1018-AB1018),"")</f>
        <v/>
      </c>
      <c r="AA1018" s="340" t="str">
        <f>IF(AND(C1018&gt;0,D1018&lt;&gt;"",S1018=""),VLOOKUP(A1018&amp;IF(H1018="黑丝","黑","白")&amp;E1018,经纬!A:N,14,FALSE)*(I1018-AB1018),"")</f>
        <v/>
      </c>
    </row>
    <row r="1019" spans="13:27">
      <c r="M1019" s="24" t="str">
        <f t="array" ref="M1019">LEFT(L1019,MIN(FIND({"A","B","C"},MID(L1019,2,LEN(L1019))&amp;"ABC")))</f>
        <v/>
      </c>
      <c r="N1019" s="24" t="str">
        <f t="array" ref="N1019">SUBSTITUTE(L1019,M1019,"")</f>
        <v/>
      </c>
      <c r="X1019" s="258" t="str">
        <f t="shared" si="52"/>
        <v/>
      </c>
      <c r="Y1019" s="36" t="str">
        <f t="shared" si="53"/>
        <v/>
      </c>
      <c r="Z1019" s="340" t="str">
        <f>IF(AND(C1019&gt;0,D1019&lt;&gt;"",S1019=""),VLOOKUP(A1019&amp;IF(H1019="黑丝","黑","白")&amp;E1019,经纬!A:M,13,FALSE)*(I1019-AB1019),"")</f>
        <v/>
      </c>
      <c r="AA1019" s="340" t="str">
        <f>IF(AND(C1019&gt;0,D1019&lt;&gt;"",S1019=""),VLOOKUP(A1019&amp;IF(H1019="黑丝","黑","白")&amp;E1019,经纬!A:N,14,FALSE)*(I1019-AB1019),"")</f>
        <v/>
      </c>
    </row>
    <row r="1020" spans="13:27">
      <c r="M1020" s="24" t="str">
        <f t="array" ref="M1020">LEFT(L1020,MIN(FIND({"A","B","C"},MID(L1020,2,LEN(L1020))&amp;"ABC")))</f>
        <v/>
      </c>
      <c r="N1020" s="24" t="str">
        <f t="array" ref="N1020">SUBSTITUTE(L1020,M1020,"")</f>
        <v/>
      </c>
      <c r="X1020" s="258" t="str">
        <f t="shared" si="52"/>
        <v/>
      </c>
      <c r="Y1020" s="36" t="str">
        <f t="shared" si="53"/>
        <v/>
      </c>
      <c r="Z1020" s="340" t="str">
        <f>IF(AND(C1020&gt;0,D1020&lt;&gt;"",S1020=""),VLOOKUP(A1020&amp;IF(H1020="黑丝","黑","白")&amp;E1020,经纬!A:M,13,FALSE)*(I1020-AB1020),"")</f>
        <v/>
      </c>
      <c r="AA1020" s="340" t="str">
        <f>IF(AND(C1020&gt;0,D1020&lt;&gt;"",S1020=""),VLOOKUP(A1020&amp;IF(H1020="黑丝","黑","白")&amp;E1020,经纬!A:N,14,FALSE)*(I1020-AB1020),"")</f>
        <v/>
      </c>
    </row>
    <row r="1021" spans="13:27">
      <c r="M1021" s="24" t="str">
        <f t="array" ref="M1021">LEFT(L1021,MIN(FIND({"A","B","C"},MID(L1021,2,LEN(L1021))&amp;"ABC")))</f>
        <v/>
      </c>
      <c r="N1021" s="24" t="str">
        <f t="array" ref="N1021">SUBSTITUTE(L1021,M1021,"")</f>
        <v/>
      </c>
      <c r="X1021" s="258" t="str">
        <f t="shared" si="52"/>
        <v/>
      </c>
      <c r="Y1021" s="36" t="str">
        <f t="shared" si="53"/>
        <v/>
      </c>
      <c r="Z1021" s="340" t="str">
        <f>IF(AND(C1021&gt;0,D1021&lt;&gt;"",S1021=""),VLOOKUP(A1021&amp;IF(H1021="黑丝","黑","白")&amp;E1021,经纬!A:M,13,FALSE)*(I1021-AB1021),"")</f>
        <v/>
      </c>
      <c r="AA1021" s="340" t="str">
        <f>IF(AND(C1021&gt;0,D1021&lt;&gt;"",S1021=""),VLOOKUP(A1021&amp;IF(H1021="黑丝","黑","白")&amp;E1021,经纬!A:N,14,FALSE)*(I1021-AB1021),"")</f>
        <v/>
      </c>
    </row>
    <row r="1022" spans="13:27">
      <c r="M1022" s="24" t="str">
        <f t="array" ref="M1022">LEFT(L1022,MIN(FIND({"A","B","C"},MID(L1022,2,LEN(L1022))&amp;"ABC")))</f>
        <v/>
      </c>
      <c r="N1022" s="24" t="str">
        <f t="array" ref="N1022">SUBSTITUTE(L1022,M1022,"")</f>
        <v/>
      </c>
      <c r="X1022" s="258" t="str">
        <f t="shared" si="52"/>
        <v/>
      </c>
      <c r="Y1022" s="36" t="str">
        <f t="shared" si="53"/>
        <v/>
      </c>
      <c r="Z1022" s="340" t="str">
        <f>IF(AND(C1022&gt;0,D1022&lt;&gt;"",S1022=""),VLOOKUP(A1022&amp;IF(H1022="黑丝","黑","白")&amp;E1022,经纬!A:M,13,FALSE)*(I1022-AB1022),"")</f>
        <v/>
      </c>
      <c r="AA1022" s="340" t="str">
        <f>IF(AND(C1022&gt;0,D1022&lt;&gt;"",S1022=""),VLOOKUP(A1022&amp;IF(H1022="黑丝","黑","白")&amp;E1022,经纬!A:N,14,FALSE)*(I1022-AB1022),"")</f>
        <v/>
      </c>
    </row>
    <row r="1023" spans="13:27">
      <c r="M1023" s="24" t="str">
        <f t="array" ref="M1023">LEFT(L1023,MIN(FIND({"A","B","C"},MID(L1023,2,LEN(L1023))&amp;"ABC")))</f>
        <v/>
      </c>
      <c r="N1023" s="24" t="str">
        <f t="array" ref="N1023">SUBSTITUTE(L1023,M1023,"")</f>
        <v/>
      </c>
      <c r="X1023" s="258" t="str">
        <f t="shared" si="52"/>
        <v/>
      </c>
      <c r="Y1023" s="36" t="str">
        <f t="shared" si="53"/>
        <v/>
      </c>
      <c r="Z1023" s="340" t="str">
        <f>IF(AND(C1023&gt;0,D1023&lt;&gt;"",S1023=""),VLOOKUP(A1023&amp;IF(H1023="黑丝","黑","白")&amp;E1023,经纬!A:M,13,FALSE)*(I1023-AB1023),"")</f>
        <v/>
      </c>
      <c r="AA1023" s="340" t="str">
        <f>IF(AND(C1023&gt;0,D1023&lt;&gt;"",S1023=""),VLOOKUP(A1023&amp;IF(H1023="黑丝","黑","白")&amp;E1023,经纬!A:N,14,FALSE)*(I1023-AB1023),"")</f>
        <v/>
      </c>
    </row>
    <row r="1024" spans="13:27">
      <c r="M1024" s="24" t="str">
        <f t="array" ref="M1024">LEFT(L1024,MIN(FIND({"A","B","C"},MID(L1024,2,LEN(L1024))&amp;"ABC")))</f>
        <v/>
      </c>
      <c r="N1024" s="24" t="str">
        <f t="array" ref="N1024">SUBSTITUTE(L1024,M1024,"")</f>
        <v/>
      </c>
      <c r="X1024" s="258" t="str">
        <f t="shared" si="52"/>
        <v/>
      </c>
      <c r="Y1024" s="36" t="str">
        <f t="shared" si="53"/>
        <v/>
      </c>
      <c r="Z1024" s="340" t="str">
        <f>IF(AND(C1024&gt;0,D1024&lt;&gt;"",S1024=""),VLOOKUP(A1024&amp;IF(H1024="黑丝","黑","白")&amp;E1024,经纬!A:M,13,FALSE)*(I1024-AB1024),"")</f>
        <v/>
      </c>
      <c r="AA1024" s="340" t="str">
        <f>IF(AND(C1024&gt;0,D1024&lt;&gt;"",S1024=""),VLOOKUP(A1024&amp;IF(H1024="黑丝","黑","白")&amp;E1024,经纬!A:N,14,FALSE)*(I1024-AB1024),"")</f>
        <v/>
      </c>
    </row>
    <row r="1025" spans="13:27">
      <c r="M1025" s="24" t="str">
        <f t="array" ref="M1025">LEFT(L1025,MIN(FIND({"A","B","C"},MID(L1025,2,LEN(L1025))&amp;"ABC")))</f>
        <v/>
      </c>
      <c r="N1025" s="24" t="str">
        <f t="array" ref="N1025">SUBSTITUTE(L1025,M1025,"")</f>
        <v/>
      </c>
      <c r="X1025" s="258" t="str">
        <f t="shared" si="52"/>
        <v/>
      </c>
      <c r="Y1025" s="36" t="str">
        <f t="shared" si="53"/>
        <v/>
      </c>
      <c r="Z1025" s="340" t="str">
        <f>IF(AND(C1025&gt;0,D1025&lt;&gt;"",S1025=""),VLOOKUP(A1025&amp;IF(H1025="黑丝","黑","白")&amp;E1025,经纬!A:M,13,FALSE)*(I1025-AB1025),"")</f>
        <v/>
      </c>
      <c r="AA1025" s="340" t="str">
        <f>IF(AND(C1025&gt;0,D1025&lt;&gt;"",S1025=""),VLOOKUP(A1025&amp;IF(H1025="黑丝","黑","白")&amp;E1025,经纬!A:N,14,FALSE)*(I1025-AB1025),"")</f>
        <v/>
      </c>
    </row>
    <row r="1026" spans="13:27">
      <c r="M1026" s="24" t="str">
        <f t="array" ref="M1026">LEFT(L1026,MIN(FIND({"A","B","C"},MID(L1026,2,LEN(L1026))&amp;"ABC")))</f>
        <v/>
      </c>
      <c r="N1026" s="24" t="str">
        <f t="array" ref="N1026">SUBSTITUTE(L1026,M1026,"")</f>
        <v/>
      </c>
      <c r="X1026" s="258" t="str">
        <f t="shared" si="52"/>
        <v/>
      </c>
      <c r="Y1026" s="36" t="str">
        <f t="shared" si="53"/>
        <v/>
      </c>
      <c r="Z1026" s="340" t="str">
        <f>IF(AND(C1026&gt;0,D1026&lt;&gt;"",S1026=""),VLOOKUP(A1026&amp;IF(H1026="黑丝","黑","白")&amp;E1026,经纬!A:M,13,FALSE)*(I1026-AB1026),"")</f>
        <v/>
      </c>
      <c r="AA1026" s="340" t="str">
        <f>IF(AND(C1026&gt;0,D1026&lt;&gt;"",S1026=""),VLOOKUP(A1026&amp;IF(H1026="黑丝","黑","白")&amp;E1026,经纬!A:N,14,FALSE)*(I1026-AB1026),"")</f>
        <v/>
      </c>
    </row>
    <row r="1027" spans="13:27">
      <c r="M1027" s="24" t="str">
        <f t="array" ref="M1027">LEFT(L1027,MIN(FIND({"A","B","C"},MID(L1027,2,LEN(L1027))&amp;"ABC")))</f>
        <v/>
      </c>
      <c r="N1027" s="24" t="str">
        <f t="array" ref="N1027">SUBSTITUTE(L1027,M1027,"")</f>
        <v/>
      </c>
      <c r="X1027" s="258" t="str">
        <f t="shared" si="52"/>
        <v/>
      </c>
      <c r="Y1027" s="36" t="str">
        <f t="shared" si="53"/>
        <v/>
      </c>
      <c r="Z1027" s="340" t="str">
        <f>IF(AND(C1027&gt;0,D1027&lt;&gt;"",S1027=""),VLOOKUP(A1027&amp;IF(H1027="黑丝","黑","白")&amp;E1027,经纬!A:M,13,FALSE)*(I1027-AB1027),"")</f>
        <v/>
      </c>
      <c r="AA1027" s="340" t="str">
        <f>IF(AND(C1027&gt;0,D1027&lt;&gt;"",S1027=""),VLOOKUP(A1027&amp;IF(H1027="黑丝","黑","白")&amp;E1027,经纬!A:N,14,FALSE)*(I1027-AB1027),"")</f>
        <v/>
      </c>
    </row>
    <row r="1028" spans="13:27">
      <c r="M1028" s="24" t="str">
        <f t="array" ref="M1028">LEFT(L1028,MIN(FIND({"A","B","C"},MID(L1028,2,LEN(L1028))&amp;"ABC")))</f>
        <v/>
      </c>
      <c r="N1028" s="24" t="str">
        <f t="array" ref="N1028">SUBSTITUTE(L1028,M1028,"")</f>
        <v/>
      </c>
      <c r="X1028" s="258" t="str">
        <f t="shared" si="52"/>
        <v/>
      </c>
      <c r="Y1028" s="36" t="str">
        <f t="shared" si="53"/>
        <v/>
      </c>
      <c r="Z1028" s="340" t="str">
        <f>IF(AND(C1028&gt;0,D1028&lt;&gt;"",S1028=""),VLOOKUP(A1028&amp;IF(H1028="黑丝","黑","白")&amp;E1028,经纬!A:M,13,FALSE)*(I1028-AB1028),"")</f>
        <v/>
      </c>
      <c r="AA1028" s="340" t="str">
        <f>IF(AND(C1028&gt;0,D1028&lt;&gt;"",S1028=""),VLOOKUP(A1028&amp;IF(H1028="黑丝","黑","白")&amp;E1028,经纬!A:N,14,FALSE)*(I1028-AB1028),"")</f>
        <v/>
      </c>
    </row>
    <row r="1029" spans="13:27">
      <c r="M1029" s="24" t="str">
        <f t="array" ref="M1029">LEFT(L1029,MIN(FIND({"A","B","C"},MID(L1029,2,LEN(L1029))&amp;"ABC")))</f>
        <v/>
      </c>
      <c r="N1029" s="24" t="str">
        <f t="array" ref="N1029">SUBSTITUTE(L1029,M1029,"")</f>
        <v/>
      </c>
      <c r="X1029" s="258" t="str">
        <f t="shared" si="52"/>
        <v/>
      </c>
      <c r="Y1029" s="36" t="str">
        <f t="shared" si="53"/>
        <v/>
      </c>
      <c r="Z1029" s="340" t="str">
        <f>IF(AND(C1029&gt;0,D1029&lt;&gt;"",S1029=""),VLOOKUP(A1029&amp;IF(H1029="黑丝","黑","白")&amp;E1029,经纬!A:M,13,FALSE)*(I1029-AB1029),"")</f>
        <v/>
      </c>
      <c r="AA1029" s="340" t="str">
        <f>IF(AND(C1029&gt;0,D1029&lt;&gt;"",S1029=""),VLOOKUP(A1029&amp;IF(H1029="黑丝","黑","白")&amp;E1029,经纬!A:N,14,FALSE)*(I1029-AB1029),"")</f>
        <v/>
      </c>
    </row>
    <row r="1030" spans="13:27">
      <c r="M1030" s="24" t="str">
        <f t="array" ref="M1030">LEFT(L1030,MIN(FIND({"A","B","C"},MID(L1030,2,LEN(L1030))&amp;"ABC")))</f>
        <v/>
      </c>
      <c r="N1030" s="24" t="str">
        <f t="array" ref="N1030">SUBSTITUTE(L1030,M1030,"")</f>
        <v/>
      </c>
      <c r="X1030" s="258" t="str">
        <f t="shared" si="52"/>
        <v/>
      </c>
      <c r="Y1030" s="36" t="str">
        <f t="shared" si="53"/>
        <v/>
      </c>
      <c r="Z1030" s="340" t="str">
        <f>IF(AND(C1030&gt;0,D1030&lt;&gt;"",S1030=""),VLOOKUP(A1030&amp;IF(H1030="黑丝","黑","白")&amp;E1030,经纬!A:M,13,FALSE)*(I1030-AB1030),"")</f>
        <v/>
      </c>
      <c r="AA1030" s="340" t="str">
        <f>IF(AND(C1030&gt;0,D1030&lt;&gt;"",S1030=""),VLOOKUP(A1030&amp;IF(H1030="黑丝","黑","白")&amp;E1030,经纬!A:N,14,FALSE)*(I1030-AB1030),"")</f>
        <v/>
      </c>
    </row>
    <row r="1031" spans="13:27">
      <c r="M1031" s="24" t="str">
        <f t="array" ref="M1031">LEFT(L1031,MIN(FIND({"A","B","C"},MID(L1031,2,LEN(L1031))&amp;"ABC")))</f>
        <v/>
      </c>
      <c r="N1031" s="24" t="str">
        <f t="array" ref="N1031">SUBSTITUTE(L1031,M1031,"")</f>
        <v/>
      </c>
      <c r="X1031" s="258" t="str">
        <f t="shared" si="52"/>
        <v/>
      </c>
      <c r="Y1031" s="36" t="str">
        <f t="shared" si="53"/>
        <v/>
      </c>
      <c r="Z1031" s="340" t="str">
        <f>IF(AND(C1031&gt;0,D1031&lt;&gt;"",S1031=""),VLOOKUP(A1031&amp;IF(H1031="黑丝","黑","白")&amp;E1031,经纬!A:M,13,FALSE)*(I1031-AB1031),"")</f>
        <v/>
      </c>
      <c r="AA1031" s="340" t="str">
        <f>IF(AND(C1031&gt;0,D1031&lt;&gt;"",S1031=""),VLOOKUP(A1031&amp;IF(H1031="黑丝","黑","白")&amp;E1031,经纬!A:N,14,FALSE)*(I1031-AB1031),"")</f>
        <v/>
      </c>
    </row>
    <row r="1032" spans="13:27">
      <c r="M1032" s="24" t="str">
        <f t="array" ref="M1032">LEFT(L1032,MIN(FIND({"A","B","C"},MID(L1032,2,LEN(L1032))&amp;"ABC")))</f>
        <v/>
      </c>
      <c r="N1032" s="24" t="str">
        <f t="array" ref="N1032">SUBSTITUTE(L1032,M1032,"")</f>
        <v/>
      </c>
      <c r="X1032" s="258" t="str">
        <f t="shared" si="52"/>
        <v/>
      </c>
      <c r="Y1032" s="36" t="str">
        <f t="shared" si="53"/>
        <v/>
      </c>
      <c r="Z1032" s="340" t="str">
        <f>IF(AND(C1032&gt;0,D1032&lt;&gt;"",S1032=""),VLOOKUP(A1032&amp;IF(H1032="黑丝","黑","白")&amp;E1032,经纬!A:M,13,FALSE)*(I1032-AB1032),"")</f>
        <v/>
      </c>
      <c r="AA1032" s="340" t="str">
        <f>IF(AND(C1032&gt;0,D1032&lt;&gt;"",S1032=""),VLOOKUP(A1032&amp;IF(H1032="黑丝","黑","白")&amp;E1032,经纬!A:N,14,FALSE)*(I1032-AB1032),"")</f>
        <v/>
      </c>
    </row>
    <row r="1033" spans="13:27">
      <c r="M1033" s="24" t="str">
        <f t="array" ref="M1033">LEFT(L1033,MIN(FIND({"A","B","C"},MID(L1033,2,LEN(L1033))&amp;"ABC")))</f>
        <v/>
      </c>
      <c r="N1033" s="24" t="str">
        <f t="array" ref="N1033">SUBSTITUTE(L1033,M1033,"")</f>
        <v/>
      </c>
      <c r="X1033" s="258" t="str">
        <f t="shared" si="52"/>
        <v/>
      </c>
      <c r="Y1033" s="36" t="str">
        <f t="shared" si="53"/>
        <v/>
      </c>
      <c r="Z1033" s="340" t="str">
        <f>IF(AND(C1033&gt;0,D1033&lt;&gt;"",S1033=""),VLOOKUP(A1033&amp;IF(H1033="黑丝","黑","白")&amp;E1033,经纬!A:M,13,FALSE)*(I1033-AB1033),"")</f>
        <v/>
      </c>
      <c r="AA1033" s="340" t="str">
        <f>IF(AND(C1033&gt;0,D1033&lt;&gt;"",S1033=""),VLOOKUP(A1033&amp;IF(H1033="黑丝","黑","白")&amp;E1033,经纬!A:N,14,FALSE)*(I1033-AB1033),"")</f>
        <v/>
      </c>
    </row>
    <row r="1034" spans="13:27">
      <c r="M1034" s="24" t="str">
        <f t="array" ref="M1034">LEFT(L1034,MIN(FIND({"A","B","C"},MID(L1034,2,LEN(L1034))&amp;"ABC")))</f>
        <v/>
      </c>
      <c r="N1034" s="24" t="str">
        <f t="array" ref="N1034">SUBSTITUTE(L1034,M1034,"")</f>
        <v/>
      </c>
      <c r="X1034" s="258" t="str">
        <f t="shared" si="52"/>
        <v/>
      </c>
      <c r="Y1034" s="36" t="str">
        <f t="shared" si="53"/>
        <v/>
      </c>
      <c r="Z1034" s="340" t="str">
        <f>IF(AND(C1034&gt;0,D1034&lt;&gt;"",S1034=""),VLOOKUP(A1034&amp;IF(H1034="黑丝","黑","白")&amp;E1034,经纬!A:M,13,FALSE)*(I1034-AB1034),"")</f>
        <v/>
      </c>
      <c r="AA1034" s="340" t="str">
        <f>IF(AND(C1034&gt;0,D1034&lt;&gt;"",S1034=""),VLOOKUP(A1034&amp;IF(H1034="黑丝","黑","白")&amp;E1034,经纬!A:N,14,FALSE)*(I1034-AB1034),"")</f>
        <v/>
      </c>
    </row>
    <row r="1035" spans="13:27">
      <c r="M1035" s="24" t="str">
        <f t="array" ref="M1035">LEFT(L1035,MIN(FIND({"A","B","C"},MID(L1035,2,LEN(L1035))&amp;"ABC")))</f>
        <v/>
      </c>
      <c r="N1035" s="24" t="str">
        <f t="array" ref="N1035">SUBSTITUTE(L1035,M1035,"")</f>
        <v/>
      </c>
      <c r="X1035" s="258" t="str">
        <f t="shared" si="52"/>
        <v/>
      </c>
      <c r="Y1035" s="36" t="str">
        <f t="shared" si="53"/>
        <v/>
      </c>
      <c r="Z1035" s="340" t="str">
        <f>IF(AND(C1035&gt;0,D1035&lt;&gt;"",S1035=""),VLOOKUP(A1035&amp;IF(H1035="黑丝","黑","白")&amp;E1035,经纬!A:M,13,FALSE)*(I1035-AB1035),"")</f>
        <v/>
      </c>
      <c r="AA1035" s="340" t="str">
        <f>IF(AND(C1035&gt;0,D1035&lt;&gt;"",S1035=""),VLOOKUP(A1035&amp;IF(H1035="黑丝","黑","白")&amp;E1035,经纬!A:N,14,FALSE)*(I1035-AB1035),"")</f>
        <v/>
      </c>
    </row>
    <row r="1036" spans="13:27">
      <c r="M1036" s="24" t="str">
        <f t="array" ref="M1036">LEFT(L1036,MIN(FIND({"A","B","C"},MID(L1036,2,LEN(L1036))&amp;"ABC")))</f>
        <v/>
      </c>
      <c r="N1036" s="24" t="str">
        <f t="array" ref="N1036">SUBSTITUTE(L1036,M1036,"")</f>
        <v/>
      </c>
      <c r="X1036" s="258" t="str">
        <f t="shared" si="52"/>
        <v/>
      </c>
      <c r="Y1036" s="36" t="str">
        <f t="shared" si="53"/>
        <v/>
      </c>
      <c r="Z1036" s="340" t="str">
        <f>IF(AND(C1036&gt;0,D1036&lt;&gt;"",S1036=""),VLOOKUP(A1036&amp;IF(H1036="黑丝","黑","白")&amp;E1036,经纬!A:M,13,FALSE)*(I1036-AB1036),"")</f>
        <v/>
      </c>
      <c r="AA1036" s="340" t="str">
        <f>IF(AND(C1036&gt;0,D1036&lt;&gt;"",S1036=""),VLOOKUP(A1036&amp;IF(H1036="黑丝","黑","白")&amp;E1036,经纬!A:N,14,FALSE)*(I1036-AB1036),"")</f>
        <v/>
      </c>
    </row>
    <row r="1037" spans="13:27">
      <c r="M1037" s="24" t="str">
        <f t="array" ref="M1037">LEFT(L1037,MIN(FIND({"A","B","C"},MID(L1037,2,LEN(L1037))&amp;"ABC")))</f>
        <v/>
      </c>
      <c r="N1037" s="24" t="str">
        <f t="array" ref="N1037">SUBSTITUTE(L1037,M1037,"")</f>
        <v/>
      </c>
      <c r="X1037" s="258" t="str">
        <f t="shared" si="52"/>
        <v/>
      </c>
      <c r="Y1037" s="36" t="str">
        <f t="shared" si="53"/>
        <v/>
      </c>
      <c r="Z1037" s="340" t="str">
        <f>IF(AND(C1037&gt;0,D1037&lt;&gt;"",S1037=""),VLOOKUP(A1037&amp;IF(H1037="黑丝","黑","白")&amp;E1037,经纬!A:M,13,FALSE)*(I1037-AB1037),"")</f>
        <v/>
      </c>
      <c r="AA1037" s="340" t="str">
        <f>IF(AND(C1037&gt;0,D1037&lt;&gt;"",S1037=""),VLOOKUP(A1037&amp;IF(H1037="黑丝","黑","白")&amp;E1037,经纬!A:N,14,FALSE)*(I1037-AB1037),"")</f>
        <v/>
      </c>
    </row>
    <row r="1038" spans="13:27">
      <c r="M1038" s="24" t="str">
        <f t="array" ref="M1038">LEFT(L1038,MIN(FIND({"A","B","C"},MID(L1038,2,LEN(L1038))&amp;"ABC")))</f>
        <v/>
      </c>
      <c r="N1038" s="24" t="str">
        <f t="array" ref="N1038">SUBSTITUTE(L1038,M1038,"")</f>
        <v/>
      </c>
      <c r="X1038" s="258" t="str">
        <f t="shared" si="52"/>
        <v/>
      </c>
      <c r="Y1038" s="36" t="str">
        <f t="shared" si="53"/>
        <v/>
      </c>
      <c r="Z1038" s="340" t="str">
        <f>IF(AND(C1038&gt;0,D1038&lt;&gt;"",S1038=""),VLOOKUP(A1038&amp;IF(H1038="黑丝","黑","白")&amp;E1038,经纬!A:M,13,FALSE)*(I1038-AB1038),"")</f>
        <v/>
      </c>
      <c r="AA1038" s="340" t="str">
        <f>IF(AND(C1038&gt;0,D1038&lt;&gt;"",S1038=""),VLOOKUP(A1038&amp;IF(H1038="黑丝","黑","白")&amp;E1038,经纬!A:N,14,FALSE)*(I1038-AB1038),"")</f>
        <v/>
      </c>
    </row>
    <row r="1039" spans="13:27">
      <c r="M1039" s="24" t="str">
        <f t="array" ref="M1039">LEFT(L1039,MIN(FIND({"A","B","C"},MID(L1039,2,LEN(L1039))&amp;"ABC")))</f>
        <v/>
      </c>
      <c r="N1039" s="24" t="str">
        <f t="array" ref="N1039">SUBSTITUTE(L1039,M1039,"")</f>
        <v/>
      </c>
      <c r="X1039" s="258" t="str">
        <f t="shared" si="52"/>
        <v/>
      </c>
      <c r="Y1039" s="36" t="str">
        <f t="shared" si="53"/>
        <v/>
      </c>
      <c r="Z1039" s="340" t="str">
        <f>IF(AND(C1039&gt;0,D1039&lt;&gt;"",S1039=""),VLOOKUP(A1039&amp;IF(H1039="黑丝","黑","白")&amp;E1039,经纬!A:M,13,FALSE)*(I1039-AB1039),"")</f>
        <v/>
      </c>
      <c r="AA1039" s="340" t="str">
        <f>IF(AND(C1039&gt;0,D1039&lt;&gt;"",S1039=""),VLOOKUP(A1039&amp;IF(H1039="黑丝","黑","白")&amp;E1039,经纬!A:N,14,FALSE)*(I1039-AB1039),"")</f>
        <v/>
      </c>
    </row>
    <row r="1040" spans="13:27">
      <c r="M1040" s="24" t="str">
        <f t="array" ref="M1040">LEFT(L1040,MIN(FIND({"A","B","C"},MID(L1040,2,LEN(L1040))&amp;"ABC")))</f>
        <v/>
      </c>
      <c r="N1040" s="24" t="str">
        <f t="array" ref="N1040">SUBSTITUTE(L1040,M1040,"")</f>
        <v/>
      </c>
      <c r="X1040" s="258" t="str">
        <f t="shared" si="52"/>
        <v/>
      </c>
      <c r="Y1040" s="36" t="str">
        <f t="shared" si="53"/>
        <v/>
      </c>
      <c r="Z1040" s="340" t="str">
        <f>IF(AND(C1040&gt;0,D1040&lt;&gt;"",S1040=""),VLOOKUP(A1040&amp;IF(H1040="黑丝","黑","白")&amp;E1040,经纬!A:M,13,FALSE)*(I1040-AB1040),"")</f>
        <v/>
      </c>
      <c r="AA1040" s="340" t="str">
        <f>IF(AND(C1040&gt;0,D1040&lt;&gt;"",S1040=""),VLOOKUP(A1040&amp;IF(H1040="黑丝","黑","白")&amp;E1040,经纬!A:N,14,FALSE)*(I1040-AB1040),"")</f>
        <v/>
      </c>
    </row>
    <row r="1041" spans="13:27">
      <c r="M1041" s="24" t="str">
        <f t="array" ref="M1041">LEFT(L1041,MIN(FIND({"A","B","C"},MID(L1041,2,LEN(L1041))&amp;"ABC")))</f>
        <v/>
      </c>
      <c r="N1041" s="24" t="str">
        <f t="array" ref="N1041">SUBSTITUTE(L1041,M1041,"")</f>
        <v/>
      </c>
      <c r="X1041" s="258" t="str">
        <f t="shared" si="52"/>
        <v/>
      </c>
      <c r="Y1041" s="36" t="str">
        <f t="shared" si="53"/>
        <v/>
      </c>
      <c r="Z1041" s="340" t="str">
        <f>IF(AND(C1041&gt;0,D1041&lt;&gt;"",S1041=""),VLOOKUP(A1041&amp;IF(H1041="黑丝","黑","白")&amp;E1041,经纬!A:M,13,FALSE)*(I1041-AB1041),"")</f>
        <v/>
      </c>
      <c r="AA1041" s="340" t="str">
        <f>IF(AND(C1041&gt;0,D1041&lt;&gt;"",S1041=""),VLOOKUP(A1041&amp;IF(H1041="黑丝","黑","白")&amp;E1041,经纬!A:N,14,FALSE)*(I1041-AB1041),"")</f>
        <v/>
      </c>
    </row>
    <row r="1042" spans="13:27">
      <c r="M1042" s="24" t="str">
        <f t="array" ref="M1042">LEFT(L1042,MIN(FIND({"A","B","C"},MID(L1042,2,LEN(L1042))&amp;"ABC")))</f>
        <v/>
      </c>
      <c r="N1042" s="24" t="str">
        <f t="array" ref="N1042">SUBSTITUTE(L1042,M1042,"")</f>
        <v/>
      </c>
      <c r="X1042" s="258" t="str">
        <f t="shared" si="52"/>
        <v/>
      </c>
      <c r="Y1042" s="36" t="str">
        <f t="shared" si="53"/>
        <v/>
      </c>
      <c r="Z1042" s="340" t="str">
        <f>IF(AND(C1042&gt;0,D1042&lt;&gt;"",S1042=""),VLOOKUP(A1042&amp;IF(H1042="黑丝","黑","白")&amp;E1042,经纬!A:M,13,FALSE)*(I1042-AB1042),"")</f>
        <v/>
      </c>
      <c r="AA1042" s="340" t="str">
        <f>IF(AND(C1042&gt;0,D1042&lt;&gt;"",S1042=""),VLOOKUP(A1042&amp;IF(H1042="黑丝","黑","白")&amp;E1042,经纬!A:N,14,FALSE)*(I1042-AB1042),"")</f>
        <v/>
      </c>
    </row>
    <row r="1043" spans="13:27">
      <c r="M1043" s="24" t="str">
        <f t="array" ref="M1043">LEFT(L1043,MIN(FIND({"A","B","C"},MID(L1043,2,LEN(L1043))&amp;"ABC")))</f>
        <v/>
      </c>
      <c r="N1043" s="24" t="str">
        <f t="array" ref="N1043">SUBSTITUTE(L1043,M1043,"")</f>
        <v/>
      </c>
      <c r="X1043" s="258" t="str">
        <f t="shared" si="52"/>
        <v/>
      </c>
      <c r="Y1043" s="36" t="str">
        <f t="shared" si="53"/>
        <v/>
      </c>
      <c r="Z1043" s="340" t="str">
        <f>IF(AND(C1043&gt;0,D1043&lt;&gt;"",S1043=""),VLOOKUP(A1043&amp;IF(H1043="黑丝","黑","白")&amp;E1043,经纬!A:M,13,FALSE)*(I1043-AB1043),"")</f>
        <v/>
      </c>
      <c r="AA1043" s="340" t="str">
        <f>IF(AND(C1043&gt;0,D1043&lt;&gt;"",S1043=""),VLOOKUP(A1043&amp;IF(H1043="黑丝","黑","白")&amp;E1043,经纬!A:N,14,FALSE)*(I1043-AB1043),"")</f>
        <v/>
      </c>
    </row>
    <row r="1044" spans="13:27">
      <c r="M1044" s="24" t="str">
        <f t="array" ref="M1044">LEFT(L1044,MIN(FIND({"A","B","C"},MID(L1044,2,LEN(L1044))&amp;"ABC")))</f>
        <v/>
      </c>
      <c r="N1044" s="24" t="str">
        <f t="array" ref="N1044">SUBSTITUTE(L1044,M1044,"")</f>
        <v/>
      </c>
      <c r="X1044" s="258" t="str">
        <f t="shared" si="52"/>
        <v/>
      </c>
      <c r="Y1044" s="36" t="str">
        <f t="shared" si="53"/>
        <v/>
      </c>
      <c r="Z1044" s="340" t="str">
        <f>IF(AND(C1044&gt;0,D1044&lt;&gt;"",S1044=""),VLOOKUP(A1044&amp;IF(H1044="黑丝","黑","白")&amp;E1044,经纬!A:M,13,FALSE)*(I1044-AB1044),"")</f>
        <v/>
      </c>
      <c r="AA1044" s="340" t="str">
        <f>IF(AND(C1044&gt;0,D1044&lt;&gt;"",S1044=""),VLOOKUP(A1044&amp;IF(H1044="黑丝","黑","白")&amp;E1044,经纬!A:N,14,FALSE)*(I1044-AB1044),"")</f>
        <v/>
      </c>
    </row>
    <row r="1045" spans="13:27">
      <c r="M1045" s="24" t="str">
        <f t="array" ref="M1045">LEFT(L1045,MIN(FIND({"A","B","C"},MID(L1045,2,LEN(L1045))&amp;"ABC")))</f>
        <v/>
      </c>
      <c r="N1045" s="24" t="str">
        <f t="array" ref="N1045">SUBSTITUTE(L1045,M1045,"")</f>
        <v/>
      </c>
      <c r="X1045" s="258" t="str">
        <f t="shared" si="52"/>
        <v/>
      </c>
      <c r="Y1045" s="36" t="str">
        <f t="shared" si="53"/>
        <v/>
      </c>
      <c r="Z1045" s="340" t="str">
        <f>IF(AND(C1045&gt;0,D1045&lt;&gt;"",S1045=""),VLOOKUP(A1045&amp;IF(H1045="黑丝","黑","白")&amp;E1045,经纬!A:M,13,FALSE)*(I1045-AB1045),"")</f>
        <v/>
      </c>
      <c r="AA1045" s="340" t="str">
        <f>IF(AND(C1045&gt;0,D1045&lt;&gt;"",S1045=""),VLOOKUP(A1045&amp;IF(H1045="黑丝","黑","白")&amp;E1045,经纬!A:N,14,FALSE)*(I1045-AB1045),"")</f>
        <v/>
      </c>
    </row>
    <row r="1046" spans="13:27">
      <c r="M1046" s="24" t="str">
        <f t="array" ref="M1046">LEFT(L1046,MIN(FIND({"A","B","C"},MID(L1046,2,LEN(L1046))&amp;"ABC")))</f>
        <v/>
      </c>
      <c r="N1046" s="24" t="str">
        <f t="array" ref="N1046">SUBSTITUTE(L1046,M1046,"")</f>
        <v/>
      </c>
      <c r="X1046" s="258" t="str">
        <f t="shared" si="52"/>
        <v/>
      </c>
      <c r="Y1046" s="36" t="str">
        <f t="shared" si="53"/>
        <v/>
      </c>
      <c r="Z1046" s="340" t="str">
        <f>IF(AND(C1046&gt;0,D1046&lt;&gt;"",S1046=""),VLOOKUP(A1046&amp;IF(H1046="黑丝","黑","白")&amp;E1046,经纬!A:M,13,FALSE)*(I1046-AB1046),"")</f>
        <v/>
      </c>
      <c r="AA1046" s="340" t="str">
        <f>IF(AND(C1046&gt;0,D1046&lt;&gt;"",S1046=""),VLOOKUP(A1046&amp;IF(H1046="黑丝","黑","白")&amp;E1046,经纬!A:N,14,FALSE)*(I1046-AB1046),"")</f>
        <v/>
      </c>
    </row>
    <row r="1047" spans="13:27">
      <c r="M1047" s="24" t="str">
        <f t="array" ref="M1047">LEFT(L1047,MIN(FIND({"A","B","C"},MID(L1047,2,LEN(L1047))&amp;"ABC")))</f>
        <v/>
      </c>
      <c r="N1047" s="24" t="str">
        <f t="array" ref="N1047">SUBSTITUTE(L1047,M1047,"")</f>
        <v/>
      </c>
      <c r="X1047" s="258" t="str">
        <f t="shared" si="52"/>
        <v/>
      </c>
      <c r="Y1047" s="36" t="str">
        <f t="shared" si="53"/>
        <v/>
      </c>
      <c r="Z1047" s="340" t="str">
        <f>IF(AND(C1047&gt;0,D1047&lt;&gt;"",S1047=""),VLOOKUP(A1047&amp;IF(H1047="黑丝","黑","白")&amp;E1047,经纬!A:M,13,FALSE)*(I1047-AB1047),"")</f>
        <v/>
      </c>
      <c r="AA1047" s="340" t="str">
        <f>IF(AND(C1047&gt;0,D1047&lt;&gt;"",S1047=""),VLOOKUP(A1047&amp;IF(H1047="黑丝","黑","白")&amp;E1047,经纬!A:N,14,FALSE)*(I1047-AB1047),"")</f>
        <v/>
      </c>
    </row>
    <row r="1048" spans="13:27">
      <c r="M1048" s="24" t="str">
        <f t="array" ref="M1048">LEFT(L1048,MIN(FIND({"A","B","C"},MID(L1048,2,LEN(L1048))&amp;"ABC")))</f>
        <v/>
      </c>
      <c r="N1048" s="24" t="str">
        <f t="array" ref="N1048">SUBSTITUTE(L1048,M1048,"")</f>
        <v/>
      </c>
      <c r="X1048" s="258" t="str">
        <f t="shared" si="52"/>
        <v/>
      </c>
      <c r="Y1048" s="36" t="str">
        <f t="shared" si="53"/>
        <v/>
      </c>
      <c r="Z1048" s="340" t="str">
        <f>IF(AND(C1048&gt;0,D1048&lt;&gt;"",S1048=""),VLOOKUP(A1048&amp;IF(H1048="黑丝","黑","白")&amp;E1048,经纬!A:M,13,FALSE)*(I1048-AB1048),"")</f>
        <v/>
      </c>
      <c r="AA1048" s="340" t="str">
        <f>IF(AND(C1048&gt;0,D1048&lt;&gt;"",S1048=""),VLOOKUP(A1048&amp;IF(H1048="黑丝","黑","白")&amp;E1048,经纬!A:N,14,FALSE)*(I1048-AB1048),"")</f>
        <v/>
      </c>
    </row>
    <row r="1049" spans="13:27">
      <c r="M1049" s="24" t="str">
        <f t="array" ref="M1049">LEFT(L1049,MIN(FIND({"A","B","C"},MID(L1049,2,LEN(L1049))&amp;"ABC")))</f>
        <v/>
      </c>
      <c r="N1049" s="24" t="str">
        <f t="array" ref="N1049">SUBSTITUTE(L1049,M1049,"")</f>
        <v/>
      </c>
      <c r="X1049" s="258" t="str">
        <f t="shared" si="52"/>
        <v/>
      </c>
      <c r="Y1049" s="36" t="str">
        <f t="shared" si="53"/>
        <v/>
      </c>
      <c r="Z1049" s="340" t="str">
        <f>IF(AND(C1049&gt;0,D1049&lt;&gt;"",S1049=""),VLOOKUP(A1049&amp;IF(H1049="黑丝","黑","白")&amp;E1049,经纬!A:M,13,FALSE)*(I1049-AB1049),"")</f>
        <v/>
      </c>
      <c r="AA1049" s="340" t="str">
        <f>IF(AND(C1049&gt;0,D1049&lt;&gt;"",S1049=""),VLOOKUP(A1049&amp;IF(H1049="黑丝","黑","白")&amp;E1049,经纬!A:N,14,FALSE)*(I1049-AB1049),"")</f>
        <v/>
      </c>
    </row>
    <row r="1050" spans="13:27">
      <c r="M1050" s="24" t="str">
        <f t="array" ref="M1050">LEFT(L1050,MIN(FIND({"A","B","C"},MID(L1050,2,LEN(L1050))&amp;"ABC")))</f>
        <v/>
      </c>
      <c r="N1050" s="24" t="str">
        <f t="array" ref="N1050">SUBSTITUTE(L1050,M1050,"")</f>
        <v/>
      </c>
      <c r="X1050" s="258" t="str">
        <f t="shared" si="52"/>
        <v/>
      </c>
      <c r="Y1050" s="36" t="str">
        <f t="shared" si="53"/>
        <v/>
      </c>
      <c r="Z1050" s="340" t="str">
        <f>IF(AND(C1050&gt;0,D1050&lt;&gt;"",S1050=""),VLOOKUP(A1050&amp;IF(H1050="黑丝","黑","白")&amp;E1050,经纬!A:M,13,FALSE)*(I1050-AB1050),"")</f>
        <v/>
      </c>
      <c r="AA1050" s="340" t="str">
        <f>IF(AND(C1050&gt;0,D1050&lt;&gt;"",S1050=""),VLOOKUP(A1050&amp;IF(H1050="黑丝","黑","白")&amp;E1050,经纬!A:N,14,FALSE)*(I1050-AB1050),"")</f>
        <v/>
      </c>
    </row>
    <row r="1051" spans="13:27">
      <c r="M1051" s="24" t="str">
        <f t="array" ref="M1051">LEFT(L1051,MIN(FIND({"A","B","C"},MID(L1051,2,LEN(L1051))&amp;"ABC")))</f>
        <v/>
      </c>
      <c r="N1051" s="24" t="str">
        <f t="array" ref="N1051">SUBSTITUTE(L1051,M1051,"")</f>
        <v/>
      </c>
      <c r="X1051" s="258" t="str">
        <f t="shared" si="52"/>
        <v/>
      </c>
      <c r="Y1051" s="36" t="str">
        <f t="shared" si="53"/>
        <v/>
      </c>
      <c r="Z1051" s="340" t="str">
        <f>IF(AND(C1051&gt;0,D1051&lt;&gt;"",S1051=""),VLOOKUP(A1051&amp;IF(H1051="黑丝","黑","白")&amp;E1051,经纬!A:M,13,FALSE)*(I1051-AB1051),"")</f>
        <v/>
      </c>
      <c r="AA1051" s="340" t="str">
        <f>IF(AND(C1051&gt;0,D1051&lt;&gt;"",S1051=""),VLOOKUP(A1051&amp;IF(H1051="黑丝","黑","白")&amp;E1051,经纬!A:N,14,FALSE)*(I1051-AB1051),"")</f>
        <v/>
      </c>
    </row>
    <row r="1052" spans="13:27">
      <c r="M1052" s="24" t="str">
        <f t="array" ref="M1052">LEFT(L1052,MIN(FIND({"A","B","C"},MID(L1052,2,LEN(L1052))&amp;"ABC")))</f>
        <v/>
      </c>
      <c r="N1052" s="24" t="str">
        <f t="array" ref="N1052">SUBSTITUTE(L1052,M1052,"")</f>
        <v/>
      </c>
      <c r="X1052" s="258" t="str">
        <f t="shared" ref="X1052:X1115" si="54">IF(B1052="","",IF(S1052&lt;&gt;"","",IF(AND(Z1052&lt;&gt;"",AA1052&lt;&gt;""),SUM(Z1052:AA1052),IF(AB1052&lt;&gt;"",(I1052/((1/((G1052+2)/100*K1052/1000))*0.9144)/IF(H1052="黑丝",22,20)-AB1052)*(IF(H1052="黑丝",22,20)),I1052/((1/((G1052+2)/100*K1052/1000))*0.9144)))))</f>
        <v/>
      </c>
      <c r="Y1052" s="36" t="str">
        <f t="shared" si="53"/>
        <v/>
      </c>
      <c r="Z1052" s="340" t="str">
        <f>IF(AND(C1052&gt;0,D1052&lt;&gt;"",S1052=""),VLOOKUP(A1052&amp;IF(H1052="黑丝","黑","白")&amp;E1052,经纬!A:M,13,FALSE)*(I1052-AB1052),"")</f>
        <v/>
      </c>
      <c r="AA1052" s="340" t="str">
        <f>IF(AND(C1052&gt;0,D1052&lt;&gt;"",S1052=""),VLOOKUP(A1052&amp;IF(H1052="黑丝","黑","白")&amp;E1052,经纬!A:N,14,FALSE)*(I1052-AB1052),"")</f>
        <v/>
      </c>
    </row>
    <row r="1053" spans="13:27">
      <c r="M1053" s="24" t="str">
        <f t="array" ref="M1053">LEFT(L1053,MIN(FIND({"A","B","C"},MID(L1053,2,LEN(L1053))&amp;"ABC")))</f>
        <v/>
      </c>
      <c r="N1053" s="24" t="str">
        <f t="array" ref="N1053">SUBSTITUTE(L1053,M1053,"")</f>
        <v/>
      </c>
      <c r="X1053" s="258" t="str">
        <f t="shared" si="54"/>
        <v/>
      </c>
      <c r="Y1053" s="36" t="str">
        <f t="shared" si="53"/>
        <v/>
      </c>
      <c r="Z1053" s="340" t="str">
        <f>IF(AND(C1053&gt;0,D1053&lt;&gt;"",S1053=""),VLOOKUP(A1053&amp;IF(H1053="黑丝","黑","白")&amp;E1053,经纬!A:M,13,FALSE)*(I1053-AB1053),"")</f>
        <v/>
      </c>
      <c r="AA1053" s="340" t="str">
        <f>IF(AND(C1053&gt;0,D1053&lt;&gt;"",S1053=""),VLOOKUP(A1053&amp;IF(H1053="黑丝","黑","白")&amp;E1053,经纬!A:N,14,FALSE)*(I1053-AB1053),"")</f>
        <v/>
      </c>
    </row>
    <row r="1054" spans="13:27">
      <c r="M1054" s="24" t="str">
        <f t="array" ref="M1054">LEFT(L1054,MIN(FIND({"A","B","C"},MID(L1054,2,LEN(L1054))&amp;"ABC")))</f>
        <v/>
      </c>
      <c r="N1054" s="24" t="str">
        <f t="array" ref="N1054">SUBSTITUTE(L1054,M1054,"")</f>
        <v/>
      </c>
      <c r="X1054" s="258" t="str">
        <f t="shared" si="54"/>
        <v/>
      </c>
      <c r="Y1054" s="36" t="str">
        <f t="shared" si="53"/>
        <v/>
      </c>
      <c r="Z1054" s="340" t="str">
        <f>IF(AND(C1054&gt;0,D1054&lt;&gt;"",S1054=""),VLOOKUP(A1054&amp;IF(H1054="黑丝","黑","白")&amp;E1054,经纬!A:M,13,FALSE)*(I1054-AB1054),"")</f>
        <v/>
      </c>
      <c r="AA1054" s="340" t="str">
        <f>IF(AND(C1054&gt;0,D1054&lt;&gt;"",S1054=""),VLOOKUP(A1054&amp;IF(H1054="黑丝","黑","白")&amp;E1054,经纬!A:N,14,FALSE)*(I1054-AB1054),"")</f>
        <v/>
      </c>
    </row>
    <row r="1055" spans="13:27">
      <c r="M1055" s="24" t="str">
        <f t="array" ref="M1055">LEFT(L1055,MIN(FIND({"A","B","C"},MID(L1055,2,LEN(L1055))&amp;"ABC")))</f>
        <v/>
      </c>
      <c r="N1055" s="24" t="str">
        <f t="array" ref="N1055">SUBSTITUTE(L1055,M1055,"")</f>
        <v/>
      </c>
      <c r="X1055" s="258" t="str">
        <f t="shared" si="54"/>
        <v/>
      </c>
      <c r="Y1055" s="36" t="str">
        <f t="shared" si="53"/>
        <v/>
      </c>
      <c r="Z1055" s="340" t="str">
        <f>IF(AND(C1055&gt;0,D1055&lt;&gt;"",S1055=""),VLOOKUP(A1055&amp;IF(H1055="黑丝","黑","白")&amp;E1055,经纬!A:M,13,FALSE)*(I1055-AB1055),"")</f>
        <v/>
      </c>
      <c r="AA1055" s="340" t="str">
        <f>IF(AND(C1055&gt;0,D1055&lt;&gt;"",S1055=""),VLOOKUP(A1055&amp;IF(H1055="黑丝","黑","白")&amp;E1055,经纬!A:N,14,FALSE)*(I1055-AB1055),"")</f>
        <v/>
      </c>
    </row>
    <row r="1056" spans="13:27">
      <c r="M1056" s="24" t="str">
        <f t="array" ref="M1056">LEFT(L1056,MIN(FIND({"A","B","C"},MID(L1056,2,LEN(L1056))&amp;"ABC")))</f>
        <v/>
      </c>
      <c r="N1056" s="24" t="str">
        <f t="array" ref="N1056">SUBSTITUTE(L1056,M1056,"")</f>
        <v/>
      </c>
      <c r="X1056" s="258" t="str">
        <f t="shared" si="54"/>
        <v/>
      </c>
      <c r="Y1056" s="36" t="str">
        <f t="shared" si="53"/>
        <v/>
      </c>
      <c r="Z1056" s="340" t="str">
        <f>IF(AND(C1056&gt;0,D1056&lt;&gt;"",S1056=""),VLOOKUP(A1056&amp;IF(H1056="黑丝","黑","白")&amp;E1056,经纬!A:M,13,FALSE)*(I1056-AB1056),"")</f>
        <v/>
      </c>
      <c r="AA1056" s="340" t="str">
        <f>IF(AND(C1056&gt;0,D1056&lt;&gt;"",S1056=""),VLOOKUP(A1056&amp;IF(H1056="黑丝","黑","白")&amp;E1056,经纬!A:N,14,FALSE)*(I1056-AB1056),"")</f>
        <v/>
      </c>
    </row>
    <row r="1057" spans="13:27">
      <c r="M1057" s="24" t="str">
        <f t="array" ref="M1057">LEFT(L1057,MIN(FIND({"A","B","C"},MID(L1057,2,LEN(L1057))&amp;"ABC")))</f>
        <v/>
      </c>
      <c r="N1057" s="24" t="str">
        <f t="array" ref="N1057">SUBSTITUTE(L1057,M1057,"")</f>
        <v/>
      </c>
      <c r="X1057" s="258" t="str">
        <f t="shared" si="54"/>
        <v/>
      </c>
      <c r="Y1057" s="36" t="str">
        <f t="shared" si="53"/>
        <v/>
      </c>
      <c r="Z1057" s="340" t="str">
        <f>IF(AND(C1057&gt;0,D1057&lt;&gt;"",S1057=""),VLOOKUP(A1057&amp;IF(H1057="黑丝","黑","白")&amp;E1057,经纬!A:M,13,FALSE)*(I1057-AB1057),"")</f>
        <v/>
      </c>
      <c r="AA1057" s="340" t="str">
        <f>IF(AND(C1057&gt;0,D1057&lt;&gt;"",S1057=""),VLOOKUP(A1057&amp;IF(H1057="黑丝","黑","白")&amp;E1057,经纬!A:N,14,FALSE)*(I1057-AB1057),"")</f>
        <v/>
      </c>
    </row>
    <row r="1058" spans="13:27">
      <c r="M1058" s="24" t="str">
        <f t="array" ref="M1058">LEFT(L1058,MIN(FIND({"A","B","C"},MID(L1058,2,LEN(L1058))&amp;"ABC")))</f>
        <v/>
      </c>
      <c r="N1058" s="24" t="str">
        <f t="array" ref="N1058">SUBSTITUTE(L1058,M1058,"")</f>
        <v/>
      </c>
      <c r="X1058" s="258" t="str">
        <f t="shared" si="54"/>
        <v/>
      </c>
      <c r="Y1058" s="36" t="str">
        <f t="shared" si="53"/>
        <v/>
      </c>
      <c r="Z1058" s="340" t="str">
        <f>IF(AND(C1058&gt;0,D1058&lt;&gt;"",S1058=""),VLOOKUP(A1058&amp;IF(H1058="黑丝","黑","白")&amp;E1058,经纬!A:M,13,FALSE)*(I1058-AB1058),"")</f>
        <v/>
      </c>
      <c r="AA1058" s="340" t="str">
        <f>IF(AND(C1058&gt;0,D1058&lt;&gt;"",S1058=""),VLOOKUP(A1058&amp;IF(H1058="黑丝","黑","白")&amp;E1058,经纬!A:N,14,FALSE)*(I1058-AB1058),"")</f>
        <v/>
      </c>
    </row>
    <row r="1059" spans="13:27">
      <c r="M1059" s="24" t="str">
        <f t="array" ref="M1059">LEFT(L1059,MIN(FIND({"A","B","C"},MID(L1059,2,LEN(L1059))&amp;"ABC")))</f>
        <v/>
      </c>
      <c r="N1059" s="24" t="str">
        <f t="array" ref="N1059">SUBSTITUTE(L1059,M1059,"")</f>
        <v/>
      </c>
      <c r="X1059" s="258" t="str">
        <f t="shared" si="54"/>
        <v/>
      </c>
      <c r="Y1059" s="36" t="str">
        <f t="shared" si="53"/>
        <v/>
      </c>
      <c r="Z1059" s="340" t="str">
        <f>IF(AND(C1059&gt;0,D1059&lt;&gt;"",S1059=""),VLOOKUP(A1059&amp;IF(H1059="黑丝","黑","白")&amp;E1059,经纬!A:M,13,FALSE)*(I1059-AB1059),"")</f>
        <v/>
      </c>
      <c r="AA1059" s="340" t="str">
        <f>IF(AND(C1059&gt;0,D1059&lt;&gt;"",S1059=""),VLOOKUP(A1059&amp;IF(H1059="黑丝","黑","白")&amp;E1059,经纬!A:N,14,FALSE)*(I1059-AB1059),"")</f>
        <v/>
      </c>
    </row>
    <row r="1060" spans="13:27">
      <c r="M1060" s="24" t="str">
        <f t="array" ref="M1060">LEFT(L1060,MIN(FIND({"A","B","C"},MID(L1060,2,LEN(L1060))&amp;"ABC")))</f>
        <v/>
      </c>
      <c r="N1060" s="24" t="str">
        <f t="array" ref="N1060">SUBSTITUTE(L1060,M1060,"")</f>
        <v/>
      </c>
      <c r="X1060" s="258" t="str">
        <f t="shared" si="54"/>
        <v/>
      </c>
      <c r="Y1060" s="36" t="str">
        <f t="shared" si="53"/>
        <v/>
      </c>
      <c r="Z1060" s="340" t="str">
        <f>IF(AND(C1060&gt;0,D1060&lt;&gt;"",S1060=""),VLOOKUP(A1060&amp;IF(H1060="黑丝","黑","白")&amp;E1060,经纬!A:M,13,FALSE)*(I1060-AB1060),"")</f>
        <v/>
      </c>
      <c r="AA1060" s="340" t="str">
        <f>IF(AND(C1060&gt;0,D1060&lt;&gt;"",S1060=""),VLOOKUP(A1060&amp;IF(H1060="黑丝","黑","白")&amp;E1060,经纬!A:N,14,FALSE)*(I1060-AB1060),"")</f>
        <v/>
      </c>
    </row>
    <row r="1061" spans="13:27">
      <c r="M1061" s="24" t="str">
        <f t="array" ref="M1061">LEFT(L1061,MIN(FIND({"A","B","C"},MID(L1061,2,LEN(L1061))&amp;"ABC")))</f>
        <v/>
      </c>
      <c r="N1061" s="24" t="str">
        <f t="array" ref="N1061">SUBSTITUTE(L1061,M1061,"")</f>
        <v/>
      </c>
      <c r="X1061" s="258" t="str">
        <f t="shared" si="54"/>
        <v/>
      </c>
      <c r="Y1061" s="36" t="str">
        <f t="shared" si="53"/>
        <v/>
      </c>
      <c r="Z1061" s="340" t="str">
        <f>IF(AND(C1061&gt;0,D1061&lt;&gt;"",S1061=""),VLOOKUP(A1061&amp;IF(H1061="黑丝","黑","白")&amp;E1061,经纬!A:M,13,FALSE)*(I1061-AB1061),"")</f>
        <v/>
      </c>
      <c r="AA1061" s="340" t="str">
        <f>IF(AND(C1061&gt;0,D1061&lt;&gt;"",S1061=""),VLOOKUP(A1061&amp;IF(H1061="黑丝","黑","白")&amp;E1061,经纬!A:N,14,FALSE)*(I1061-AB1061),"")</f>
        <v/>
      </c>
    </row>
    <row r="1062" spans="13:27">
      <c r="M1062" s="24" t="str">
        <f t="array" ref="M1062">LEFT(L1062,MIN(FIND({"A","B","C"},MID(L1062,2,LEN(L1062))&amp;"ABC")))</f>
        <v/>
      </c>
      <c r="N1062" s="24" t="str">
        <f t="array" ref="N1062">SUBSTITUTE(L1062,M1062,"")</f>
        <v/>
      </c>
      <c r="X1062" s="258" t="str">
        <f t="shared" si="54"/>
        <v/>
      </c>
      <c r="Y1062" s="36" t="str">
        <f t="shared" si="53"/>
        <v/>
      </c>
      <c r="Z1062" s="340" t="str">
        <f>IF(AND(C1062&gt;0,D1062&lt;&gt;"",S1062=""),VLOOKUP(A1062&amp;IF(H1062="黑丝","黑","白")&amp;E1062,经纬!A:M,13,FALSE)*(I1062-AB1062),"")</f>
        <v/>
      </c>
      <c r="AA1062" s="340" t="str">
        <f>IF(AND(C1062&gt;0,D1062&lt;&gt;"",S1062=""),VLOOKUP(A1062&amp;IF(H1062="黑丝","黑","白")&amp;E1062,经纬!A:N,14,FALSE)*(I1062-AB1062),"")</f>
        <v/>
      </c>
    </row>
    <row r="1063" spans="13:27">
      <c r="M1063" s="24" t="str">
        <f t="array" ref="M1063">LEFT(L1063,MIN(FIND({"A","B","C"},MID(L1063,2,LEN(L1063))&amp;"ABC")))</f>
        <v/>
      </c>
      <c r="N1063" s="24" t="str">
        <f t="array" ref="N1063">SUBSTITUTE(L1063,M1063,"")</f>
        <v/>
      </c>
      <c r="X1063" s="258" t="str">
        <f t="shared" si="54"/>
        <v/>
      </c>
      <c r="Y1063" s="36" t="str">
        <f t="shared" si="53"/>
        <v/>
      </c>
      <c r="Z1063" s="340" t="str">
        <f>IF(AND(C1063&gt;0,D1063&lt;&gt;"",S1063=""),VLOOKUP(A1063&amp;IF(H1063="黑丝","黑","白")&amp;E1063,经纬!A:M,13,FALSE)*(I1063-AB1063),"")</f>
        <v/>
      </c>
      <c r="AA1063" s="340" t="str">
        <f>IF(AND(C1063&gt;0,D1063&lt;&gt;"",S1063=""),VLOOKUP(A1063&amp;IF(H1063="黑丝","黑","白")&amp;E1063,经纬!A:N,14,FALSE)*(I1063-AB1063),"")</f>
        <v/>
      </c>
    </row>
    <row r="1064" spans="13:27">
      <c r="M1064" s="24" t="str">
        <f t="array" ref="M1064">LEFT(L1064,MIN(FIND({"A","B","C"},MID(L1064,2,LEN(L1064))&amp;"ABC")))</f>
        <v/>
      </c>
      <c r="N1064" s="24" t="str">
        <f t="array" ref="N1064">SUBSTITUTE(L1064,M1064,"")</f>
        <v/>
      </c>
      <c r="X1064" s="258" t="str">
        <f t="shared" si="54"/>
        <v/>
      </c>
      <c r="Y1064" s="36" t="str">
        <f t="shared" si="53"/>
        <v/>
      </c>
      <c r="Z1064" s="340" t="str">
        <f>IF(AND(C1064&gt;0,D1064&lt;&gt;"",S1064=""),VLOOKUP(A1064&amp;IF(H1064="黑丝","黑","白")&amp;E1064,经纬!A:M,13,FALSE)*(I1064-AB1064),"")</f>
        <v/>
      </c>
      <c r="AA1064" s="340" t="str">
        <f>IF(AND(C1064&gt;0,D1064&lt;&gt;"",S1064=""),VLOOKUP(A1064&amp;IF(H1064="黑丝","黑","白")&amp;E1064,经纬!A:N,14,FALSE)*(I1064-AB1064),"")</f>
        <v/>
      </c>
    </row>
    <row r="1065" spans="13:27">
      <c r="M1065" s="24" t="str">
        <f t="array" ref="M1065">LEFT(L1065,MIN(FIND({"A","B","C"},MID(L1065,2,LEN(L1065))&amp;"ABC")))</f>
        <v/>
      </c>
      <c r="N1065" s="24" t="str">
        <f t="array" ref="N1065">SUBSTITUTE(L1065,M1065,"")</f>
        <v/>
      </c>
      <c r="X1065" s="258" t="str">
        <f t="shared" si="54"/>
        <v/>
      </c>
      <c r="Y1065" s="36" t="str">
        <f t="shared" ref="Y1065:Y1128" si="55">IF(OR(B1065="",D1065&lt;&gt;""),"",IF(S1065&lt;&gt;"","",I1065/((1/((G1065+2)/100*K1065/1000))*0.9144)/IF(H1065="黑丝",22,20)-AB1065))</f>
        <v/>
      </c>
      <c r="Z1065" s="340" t="str">
        <f>IF(AND(C1065&gt;0,D1065&lt;&gt;"",S1065=""),VLOOKUP(A1065&amp;IF(H1065="黑丝","黑","白")&amp;E1065,经纬!A:M,13,FALSE)*(I1065-AB1065),"")</f>
        <v/>
      </c>
      <c r="AA1065" s="340" t="str">
        <f>IF(AND(C1065&gt;0,D1065&lt;&gt;"",S1065=""),VLOOKUP(A1065&amp;IF(H1065="黑丝","黑","白")&amp;E1065,经纬!A:N,14,FALSE)*(I1065-AB1065),"")</f>
        <v/>
      </c>
    </row>
    <row r="1066" spans="13:27">
      <c r="M1066" s="24" t="str">
        <f t="array" ref="M1066">LEFT(L1066,MIN(FIND({"A","B","C"},MID(L1066,2,LEN(L1066))&amp;"ABC")))</f>
        <v/>
      </c>
      <c r="N1066" s="24" t="str">
        <f t="array" ref="N1066">SUBSTITUTE(L1066,M1066,"")</f>
        <v/>
      </c>
      <c r="X1066" s="258" t="str">
        <f t="shared" si="54"/>
        <v/>
      </c>
      <c r="Y1066" s="36" t="str">
        <f t="shared" si="55"/>
        <v/>
      </c>
      <c r="Z1066" s="340" t="str">
        <f>IF(AND(C1066&gt;0,D1066&lt;&gt;"",S1066=""),VLOOKUP(A1066&amp;IF(H1066="黑丝","黑","白")&amp;E1066,经纬!A:M,13,FALSE)*(I1066-AB1066),"")</f>
        <v/>
      </c>
      <c r="AA1066" s="340" t="str">
        <f>IF(AND(C1066&gt;0,D1066&lt;&gt;"",S1066=""),VLOOKUP(A1066&amp;IF(H1066="黑丝","黑","白")&amp;E1066,经纬!A:N,14,FALSE)*(I1066-AB1066),"")</f>
        <v/>
      </c>
    </row>
    <row r="1067" spans="13:27">
      <c r="M1067" s="24" t="str">
        <f t="array" ref="M1067">LEFT(L1067,MIN(FIND({"A","B","C"},MID(L1067,2,LEN(L1067))&amp;"ABC")))</f>
        <v/>
      </c>
      <c r="N1067" s="24" t="str">
        <f t="array" ref="N1067">SUBSTITUTE(L1067,M1067,"")</f>
        <v/>
      </c>
      <c r="X1067" s="258" t="str">
        <f t="shared" si="54"/>
        <v/>
      </c>
      <c r="Y1067" s="36" t="str">
        <f t="shared" si="55"/>
        <v/>
      </c>
      <c r="Z1067" s="340" t="str">
        <f>IF(AND(C1067&gt;0,D1067&lt;&gt;"",S1067=""),VLOOKUP(A1067&amp;IF(H1067="黑丝","黑","白")&amp;E1067,经纬!A:M,13,FALSE)*(I1067-AB1067),"")</f>
        <v/>
      </c>
      <c r="AA1067" s="340" t="str">
        <f>IF(AND(C1067&gt;0,D1067&lt;&gt;"",S1067=""),VLOOKUP(A1067&amp;IF(H1067="黑丝","黑","白")&amp;E1067,经纬!A:N,14,FALSE)*(I1067-AB1067),"")</f>
        <v/>
      </c>
    </row>
    <row r="1068" spans="13:27">
      <c r="M1068" s="24" t="str">
        <f t="array" ref="M1068">LEFT(L1068,MIN(FIND({"A","B","C"},MID(L1068,2,LEN(L1068))&amp;"ABC")))</f>
        <v/>
      </c>
      <c r="N1068" s="24" t="str">
        <f t="array" ref="N1068">SUBSTITUTE(L1068,M1068,"")</f>
        <v/>
      </c>
      <c r="X1068" s="258" t="str">
        <f t="shared" si="54"/>
        <v/>
      </c>
      <c r="Y1068" s="36" t="str">
        <f t="shared" si="55"/>
        <v/>
      </c>
      <c r="Z1068" s="340" t="str">
        <f>IF(AND(C1068&gt;0,D1068&lt;&gt;"",S1068=""),VLOOKUP(A1068&amp;IF(H1068="黑丝","黑","白")&amp;E1068,经纬!A:M,13,FALSE)*(I1068-AB1068),"")</f>
        <v/>
      </c>
      <c r="AA1068" s="340" t="str">
        <f>IF(AND(C1068&gt;0,D1068&lt;&gt;"",S1068=""),VLOOKUP(A1068&amp;IF(H1068="黑丝","黑","白")&amp;E1068,经纬!A:N,14,FALSE)*(I1068-AB1068),"")</f>
        <v/>
      </c>
    </row>
    <row r="1069" spans="13:27">
      <c r="M1069" s="24" t="str">
        <f t="array" ref="M1069">LEFT(L1069,MIN(FIND({"A","B","C"},MID(L1069,2,LEN(L1069))&amp;"ABC")))</f>
        <v/>
      </c>
      <c r="N1069" s="24" t="str">
        <f t="array" ref="N1069">SUBSTITUTE(L1069,M1069,"")</f>
        <v/>
      </c>
      <c r="X1069" s="258" t="str">
        <f t="shared" si="54"/>
        <v/>
      </c>
      <c r="Y1069" s="36" t="str">
        <f t="shared" si="55"/>
        <v/>
      </c>
      <c r="Z1069" s="340" t="str">
        <f>IF(AND(C1069&gt;0,D1069&lt;&gt;"",S1069=""),VLOOKUP(A1069&amp;IF(H1069="黑丝","黑","白")&amp;E1069,经纬!A:M,13,FALSE)*(I1069-AB1069),"")</f>
        <v/>
      </c>
      <c r="AA1069" s="340" t="str">
        <f>IF(AND(C1069&gt;0,D1069&lt;&gt;"",S1069=""),VLOOKUP(A1069&amp;IF(H1069="黑丝","黑","白")&amp;E1069,经纬!A:N,14,FALSE)*(I1069-AB1069),"")</f>
        <v/>
      </c>
    </row>
    <row r="1070" spans="13:27">
      <c r="M1070" s="24" t="str">
        <f t="array" ref="M1070">LEFT(L1070,MIN(FIND({"A","B","C"},MID(L1070,2,LEN(L1070))&amp;"ABC")))</f>
        <v/>
      </c>
      <c r="N1070" s="24" t="str">
        <f t="array" ref="N1070">SUBSTITUTE(L1070,M1070,"")</f>
        <v/>
      </c>
      <c r="X1070" s="258" t="str">
        <f t="shared" si="54"/>
        <v/>
      </c>
      <c r="Y1070" s="36" t="str">
        <f t="shared" si="55"/>
        <v/>
      </c>
      <c r="Z1070" s="340" t="str">
        <f>IF(AND(C1070&gt;0,D1070&lt;&gt;"",S1070=""),VLOOKUP(A1070&amp;IF(H1070="黑丝","黑","白")&amp;E1070,经纬!A:M,13,FALSE)*(I1070-AB1070),"")</f>
        <v/>
      </c>
      <c r="AA1070" s="340" t="str">
        <f>IF(AND(C1070&gt;0,D1070&lt;&gt;"",S1070=""),VLOOKUP(A1070&amp;IF(H1070="黑丝","黑","白")&amp;E1070,经纬!A:N,14,FALSE)*(I1070-AB1070),"")</f>
        <v/>
      </c>
    </row>
    <row r="1071" spans="13:27">
      <c r="M1071" s="24" t="str">
        <f t="array" ref="M1071">LEFT(L1071,MIN(FIND({"A","B","C"},MID(L1071,2,LEN(L1071))&amp;"ABC")))</f>
        <v/>
      </c>
      <c r="N1071" s="24" t="str">
        <f t="array" ref="N1071">SUBSTITUTE(L1071,M1071,"")</f>
        <v/>
      </c>
      <c r="X1071" s="258" t="str">
        <f t="shared" si="54"/>
        <v/>
      </c>
      <c r="Y1071" s="36" t="str">
        <f t="shared" si="55"/>
        <v/>
      </c>
      <c r="Z1071" s="340" t="str">
        <f>IF(AND(C1071&gt;0,D1071&lt;&gt;"",S1071=""),VLOOKUP(A1071&amp;IF(H1071="黑丝","黑","白")&amp;E1071,经纬!A:M,13,FALSE)*(I1071-AB1071),"")</f>
        <v/>
      </c>
      <c r="AA1071" s="340" t="str">
        <f>IF(AND(C1071&gt;0,D1071&lt;&gt;"",S1071=""),VLOOKUP(A1071&amp;IF(H1071="黑丝","黑","白")&amp;E1071,经纬!A:N,14,FALSE)*(I1071-AB1071),"")</f>
        <v/>
      </c>
    </row>
    <row r="1072" spans="13:27">
      <c r="M1072" s="24" t="str">
        <f t="array" ref="M1072">LEFT(L1072,MIN(FIND({"A","B","C"},MID(L1072,2,LEN(L1072))&amp;"ABC")))</f>
        <v/>
      </c>
      <c r="N1072" s="24" t="str">
        <f t="array" ref="N1072">SUBSTITUTE(L1072,M1072,"")</f>
        <v/>
      </c>
      <c r="X1072" s="258" t="str">
        <f t="shared" si="54"/>
        <v/>
      </c>
      <c r="Y1072" s="36" t="str">
        <f t="shared" si="55"/>
        <v/>
      </c>
      <c r="Z1072" s="340" t="str">
        <f>IF(AND(C1072&gt;0,D1072&lt;&gt;"",S1072=""),VLOOKUP(A1072&amp;IF(H1072="黑丝","黑","白")&amp;E1072,经纬!A:M,13,FALSE)*(I1072-AB1072),"")</f>
        <v/>
      </c>
      <c r="AA1072" s="340" t="str">
        <f>IF(AND(C1072&gt;0,D1072&lt;&gt;"",S1072=""),VLOOKUP(A1072&amp;IF(H1072="黑丝","黑","白")&amp;E1072,经纬!A:N,14,FALSE)*(I1072-AB1072),"")</f>
        <v/>
      </c>
    </row>
    <row r="1073" spans="13:27">
      <c r="M1073" s="24" t="str">
        <f t="array" ref="M1073">LEFT(L1073,MIN(FIND({"A","B","C"},MID(L1073,2,LEN(L1073))&amp;"ABC")))</f>
        <v/>
      </c>
      <c r="N1073" s="24" t="str">
        <f t="array" ref="N1073">SUBSTITUTE(L1073,M1073,"")</f>
        <v/>
      </c>
      <c r="X1073" s="258" t="str">
        <f t="shared" si="54"/>
        <v/>
      </c>
      <c r="Y1073" s="36" t="str">
        <f t="shared" si="55"/>
        <v/>
      </c>
      <c r="Z1073" s="340" t="str">
        <f>IF(AND(C1073&gt;0,D1073&lt;&gt;"",S1073=""),VLOOKUP(A1073&amp;IF(H1073="黑丝","黑","白")&amp;E1073,经纬!A:M,13,FALSE)*(I1073-AB1073),"")</f>
        <v/>
      </c>
      <c r="AA1073" s="340" t="str">
        <f>IF(AND(C1073&gt;0,D1073&lt;&gt;"",S1073=""),VLOOKUP(A1073&amp;IF(H1073="黑丝","黑","白")&amp;E1073,经纬!A:N,14,FALSE)*(I1073-AB1073),"")</f>
        <v/>
      </c>
    </row>
    <row r="1074" spans="13:27">
      <c r="M1074" s="24" t="str">
        <f t="array" ref="M1074">LEFT(L1074,MIN(FIND({"A","B","C"},MID(L1074,2,LEN(L1074))&amp;"ABC")))</f>
        <v/>
      </c>
      <c r="N1074" s="24" t="str">
        <f t="array" ref="N1074">SUBSTITUTE(L1074,M1074,"")</f>
        <v/>
      </c>
      <c r="X1074" s="258" t="str">
        <f t="shared" si="54"/>
        <v/>
      </c>
      <c r="Y1074" s="36" t="str">
        <f t="shared" si="55"/>
        <v/>
      </c>
      <c r="Z1074" s="340" t="str">
        <f>IF(AND(C1074&gt;0,D1074&lt;&gt;"",S1074=""),VLOOKUP(A1074&amp;IF(H1074="黑丝","黑","白")&amp;E1074,经纬!A:M,13,FALSE)*(I1074-AB1074),"")</f>
        <v/>
      </c>
      <c r="AA1074" s="340" t="str">
        <f>IF(AND(C1074&gt;0,D1074&lt;&gt;"",S1074=""),VLOOKUP(A1074&amp;IF(H1074="黑丝","黑","白")&amp;E1074,经纬!A:N,14,FALSE)*(I1074-AB1074),"")</f>
        <v/>
      </c>
    </row>
    <row r="1075" spans="13:27">
      <c r="M1075" s="24" t="str">
        <f t="array" ref="M1075">LEFT(L1075,MIN(FIND({"A","B","C"},MID(L1075,2,LEN(L1075))&amp;"ABC")))</f>
        <v/>
      </c>
      <c r="N1075" s="24" t="str">
        <f t="array" ref="N1075">SUBSTITUTE(L1075,M1075,"")</f>
        <v/>
      </c>
      <c r="X1075" s="258" t="str">
        <f t="shared" si="54"/>
        <v/>
      </c>
      <c r="Y1075" s="36" t="str">
        <f t="shared" si="55"/>
        <v/>
      </c>
      <c r="Z1075" s="340" t="str">
        <f>IF(AND(C1075&gt;0,D1075&lt;&gt;"",S1075=""),VLOOKUP(A1075&amp;IF(H1075="黑丝","黑","白")&amp;E1075,经纬!A:M,13,FALSE)*(I1075-AB1075),"")</f>
        <v/>
      </c>
      <c r="AA1075" s="340" t="str">
        <f>IF(AND(C1075&gt;0,D1075&lt;&gt;"",S1075=""),VLOOKUP(A1075&amp;IF(H1075="黑丝","黑","白")&amp;E1075,经纬!A:N,14,FALSE)*(I1075-AB1075),"")</f>
        <v/>
      </c>
    </row>
    <row r="1076" spans="13:27">
      <c r="M1076" s="24" t="str">
        <f t="array" ref="M1076">LEFT(L1076,MIN(FIND({"A","B","C"},MID(L1076,2,LEN(L1076))&amp;"ABC")))</f>
        <v/>
      </c>
      <c r="N1076" s="24" t="str">
        <f t="array" ref="N1076">SUBSTITUTE(L1076,M1076,"")</f>
        <v/>
      </c>
      <c r="X1076" s="258" t="str">
        <f t="shared" si="54"/>
        <v/>
      </c>
      <c r="Y1076" s="36" t="str">
        <f t="shared" si="55"/>
        <v/>
      </c>
      <c r="Z1076" s="340" t="str">
        <f>IF(AND(C1076&gt;0,D1076&lt;&gt;"",S1076=""),VLOOKUP(A1076&amp;IF(H1076="黑丝","黑","白")&amp;E1076,经纬!A:M,13,FALSE)*(I1076-AB1076),"")</f>
        <v/>
      </c>
      <c r="AA1076" s="340" t="str">
        <f>IF(AND(C1076&gt;0,D1076&lt;&gt;"",S1076=""),VLOOKUP(A1076&amp;IF(H1076="黑丝","黑","白")&amp;E1076,经纬!A:N,14,FALSE)*(I1076-AB1076),"")</f>
        <v/>
      </c>
    </row>
    <row r="1077" spans="13:27">
      <c r="M1077" s="24" t="str">
        <f t="array" ref="M1077">LEFT(L1077,MIN(FIND({"A","B","C"},MID(L1077,2,LEN(L1077))&amp;"ABC")))</f>
        <v/>
      </c>
      <c r="N1077" s="24" t="str">
        <f t="array" ref="N1077">SUBSTITUTE(L1077,M1077,"")</f>
        <v/>
      </c>
      <c r="X1077" s="258" t="str">
        <f t="shared" si="54"/>
        <v/>
      </c>
      <c r="Y1077" s="36" t="str">
        <f t="shared" si="55"/>
        <v/>
      </c>
      <c r="Z1077" s="340" t="str">
        <f>IF(AND(C1077&gt;0,D1077&lt;&gt;"",S1077=""),VLOOKUP(A1077&amp;IF(H1077="黑丝","黑","白")&amp;E1077,经纬!A:M,13,FALSE)*(I1077-AB1077),"")</f>
        <v/>
      </c>
      <c r="AA1077" s="340" t="str">
        <f>IF(AND(C1077&gt;0,D1077&lt;&gt;"",S1077=""),VLOOKUP(A1077&amp;IF(H1077="黑丝","黑","白")&amp;E1077,经纬!A:N,14,FALSE)*(I1077-AB1077),"")</f>
        <v/>
      </c>
    </row>
    <row r="1078" spans="13:27">
      <c r="M1078" s="24" t="str">
        <f t="array" ref="M1078">LEFT(L1078,MIN(FIND({"A","B","C"},MID(L1078,2,LEN(L1078))&amp;"ABC")))</f>
        <v/>
      </c>
      <c r="N1078" s="24" t="str">
        <f t="array" ref="N1078">SUBSTITUTE(L1078,M1078,"")</f>
        <v/>
      </c>
      <c r="X1078" s="258" t="str">
        <f t="shared" si="54"/>
        <v/>
      </c>
      <c r="Y1078" s="36" t="str">
        <f t="shared" si="55"/>
        <v/>
      </c>
      <c r="Z1078" s="340" t="str">
        <f>IF(AND(C1078&gt;0,D1078&lt;&gt;"",S1078=""),VLOOKUP(A1078&amp;IF(H1078="黑丝","黑","白")&amp;E1078,经纬!A:M,13,FALSE)*(I1078-AB1078),"")</f>
        <v/>
      </c>
      <c r="AA1078" s="340" t="str">
        <f>IF(AND(C1078&gt;0,D1078&lt;&gt;"",S1078=""),VLOOKUP(A1078&amp;IF(H1078="黑丝","黑","白")&amp;E1078,经纬!A:N,14,FALSE)*(I1078-AB1078),"")</f>
        <v/>
      </c>
    </row>
    <row r="1079" spans="13:27">
      <c r="M1079" s="24" t="str">
        <f t="array" ref="M1079">LEFT(L1079,MIN(FIND({"A","B","C"},MID(L1079,2,LEN(L1079))&amp;"ABC")))</f>
        <v/>
      </c>
      <c r="N1079" s="24" t="str">
        <f t="array" ref="N1079">SUBSTITUTE(L1079,M1079,"")</f>
        <v/>
      </c>
      <c r="X1079" s="258" t="str">
        <f t="shared" si="54"/>
        <v/>
      </c>
      <c r="Y1079" s="36" t="str">
        <f t="shared" si="55"/>
        <v/>
      </c>
      <c r="Z1079" s="340" t="str">
        <f>IF(AND(C1079&gt;0,D1079&lt;&gt;"",S1079=""),VLOOKUP(A1079&amp;IF(H1079="黑丝","黑","白")&amp;E1079,经纬!A:M,13,FALSE)*(I1079-AB1079),"")</f>
        <v/>
      </c>
      <c r="AA1079" s="340" t="str">
        <f>IF(AND(C1079&gt;0,D1079&lt;&gt;"",S1079=""),VLOOKUP(A1079&amp;IF(H1079="黑丝","黑","白")&amp;E1079,经纬!A:N,14,FALSE)*(I1079-AB1079),"")</f>
        <v/>
      </c>
    </row>
    <row r="1080" spans="13:27">
      <c r="M1080" s="24" t="str">
        <f t="array" ref="M1080">LEFT(L1080,MIN(FIND({"A","B","C"},MID(L1080,2,LEN(L1080))&amp;"ABC")))</f>
        <v/>
      </c>
      <c r="N1080" s="24" t="str">
        <f t="array" ref="N1080">SUBSTITUTE(L1080,M1080,"")</f>
        <v/>
      </c>
      <c r="X1080" s="258" t="str">
        <f t="shared" si="54"/>
        <v/>
      </c>
      <c r="Y1080" s="36" t="str">
        <f t="shared" si="55"/>
        <v/>
      </c>
      <c r="Z1080" s="340" t="str">
        <f>IF(AND(C1080&gt;0,D1080&lt;&gt;"",S1080=""),VLOOKUP(A1080&amp;IF(H1080="黑丝","黑","白")&amp;E1080,经纬!A:M,13,FALSE)*(I1080-AB1080),"")</f>
        <v/>
      </c>
      <c r="AA1080" s="340" t="str">
        <f>IF(AND(C1080&gt;0,D1080&lt;&gt;"",S1080=""),VLOOKUP(A1080&amp;IF(H1080="黑丝","黑","白")&amp;E1080,经纬!A:N,14,FALSE)*(I1080-AB1080),"")</f>
        <v/>
      </c>
    </row>
    <row r="1081" spans="13:27">
      <c r="M1081" s="24" t="str">
        <f t="array" ref="M1081">LEFT(L1081,MIN(FIND({"A","B","C"},MID(L1081,2,LEN(L1081))&amp;"ABC")))</f>
        <v/>
      </c>
      <c r="N1081" s="24" t="str">
        <f t="array" ref="N1081">SUBSTITUTE(L1081,M1081,"")</f>
        <v/>
      </c>
      <c r="X1081" s="258" t="str">
        <f t="shared" si="54"/>
        <v/>
      </c>
      <c r="Y1081" s="36" t="str">
        <f t="shared" si="55"/>
        <v/>
      </c>
      <c r="Z1081" s="340" t="str">
        <f>IF(AND(C1081&gt;0,D1081&lt;&gt;"",S1081=""),VLOOKUP(A1081&amp;IF(H1081="黑丝","黑","白")&amp;E1081,经纬!A:M,13,FALSE)*(I1081-AB1081),"")</f>
        <v/>
      </c>
      <c r="AA1081" s="340" t="str">
        <f>IF(AND(C1081&gt;0,D1081&lt;&gt;"",S1081=""),VLOOKUP(A1081&amp;IF(H1081="黑丝","黑","白")&amp;E1081,经纬!A:N,14,FALSE)*(I1081-AB1081),"")</f>
        <v/>
      </c>
    </row>
    <row r="1082" spans="13:27">
      <c r="M1082" s="24" t="str">
        <f t="array" ref="M1082">LEFT(L1082,MIN(FIND({"A","B","C"},MID(L1082,2,LEN(L1082))&amp;"ABC")))</f>
        <v/>
      </c>
      <c r="N1082" s="24" t="str">
        <f t="array" ref="N1082">SUBSTITUTE(L1082,M1082,"")</f>
        <v/>
      </c>
      <c r="X1082" s="258" t="str">
        <f t="shared" si="54"/>
        <v/>
      </c>
      <c r="Y1082" s="36" t="str">
        <f t="shared" si="55"/>
        <v/>
      </c>
      <c r="Z1082" s="340" t="str">
        <f>IF(AND(C1082&gt;0,D1082&lt;&gt;"",S1082=""),VLOOKUP(A1082&amp;IF(H1082="黑丝","黑","白")&amp;E1082,经纬!A:M,13,FALSE)*(I1082-AB1082),"")</f>
        <v/>
      </c>
      <c r="AA1082" s="340" t="str">
        <f>IF(AND(C1082&gt;0,D1082&lt;&gt;"",S1082=""),VLOOKUP(A1082&amp;IF(H1082="黑丝","黑","白")&amp;E1082,经纬!A:N,14,FALSE)*(I1082-AB1082),"")</f>
        <v/>
      </c>
    </row>
    <row r="1083" spans="13:27">
      <c r="M1083" s="24" t="str">
        <f t="array" ref="M1083">LEFT(L1083,MIN(FIND({"A","B","C"},MID(L1083,2,LEN(L1083))&amp;"ABC")))</f>
        <v/>
      </c>
      <c r="N1083" s="24" t="str">
        <f t="array" ref="N1083">SUBSTITUTE(L1083,M1083,"")</f>
        <v/>
      </c>
      <c r="X1083" s="258" t="str">
        <f t="shared" si="54"/>
        <v/>
      </c>
      <c r="Y1083" s="36" t="str">
        <f t="shared" si="55"/>
        <v/>
      </c>
      <c r="Z1083" s="340" t="str">
        <f>IF(AND(C1083&gt;0,D1083&lt;&gt;"",S1083=""),VLOOKUP(A1083&amp;IF(H1083="黑丝","黑","白")&amp;E1083,经纬!A:M,13,FALSE)*(I1083-AB1083),"")</f>
        <v/>
      </c>
      <c r="AA1083" s="340" t="str">
        <f>IF(AND(C1083&gt;0,D1083&lt;&gt;"",S1083=""),VLOOKUP(A1083&amp;IF(H1083="黑丝","黑","白")&amp;E1083,经纬!A:N,14,FALSE)*(I1083-AB1083),"")</f>
        <v/>
      </c>
    </row>
    <row r="1084" spans="13:27">
      <c r="M1084" s="24" t="str">
        <f t="array" ref="M1084">LEFT(L1084,MIN(FIND({"A","B","C"},MID(L1084,2,LEN(L1084))&amp;"ABC")))</f>
        <v/>
      </c>
      <c r="N1084" s="24" t="str">
        <f t="array" ref="N1084">SUBSTITUTE(L1084,M1084,"")</f>
        <v/>
      </c>
      <c r="X1084" s="258" t="str">
        <f t="shared" si="54"/>
        <v/>
      </c>
      <c r="Y1084" s="36" t="str">
        <f t="shared" si="55"/>
        <v/>
      </c>
      <c r="Z1084" s="340" t="str">
        <f>IF(AND(C1084&gt;0,D1084&lt;&gt;"",S1084=""),VLOOKUP(A1084&amp;IF(H1084="黑丝","黑","白")&amp;E1084,经纬!A:M,13,FALSE)*(I1084-AB1084),"")</f>
        <v/>
      </c>
      <c r="AA1084" s="340" t="str">
        <f>IF(AND(C1084&gt;0,D1084&lt;&gt;"",S1084=""),VLOOKUP(A1084&amp;IF(H1084="黑丝","黑","白")&amp;E1084,经纬!A:N,14,FALSE)*(I1084-AB1084),"")</f>
        <v/>
      </c>
    </row>
    <row r="1085" spans="13:27">
      <c r="M1085" s="24" t="str">
        <f t="array" ref="M1085">LEFT(L1085,MIN(FIND({"A","B","C"},MID(L1085,2,LEN(L1085))&amp;"ABC")))</f>
        <v/>
      </c>
      <c r="N1085" s="24" t="str">
        <f t="array" ref="N1085">SUBSTITUTE(L1085,M1085,"")</f>
        <v/>
      </c>
      <c r="X1085" s="258" t="str">
        <f t="shared" si="54"/>
        <v/>
      </c>
      <c r="Y1085" s="36" t="str">
        <f t="shared" si="55"/>
        <v/>
      </c>
      <c r="Z1085" s="340" t="str">
        <f>IF(AND(C1085&gt;0,D1085&lt;&gt;"",S1085=""),VLOOKUP(A1085&amp;IF(H1085="黑丝","黑","白")&amp;E1085,经纬!A:M,13,FALSE)*(I1085-AB1085),"")</f>
        <v/>
      </c>
      <c r="AA1085" s="340" t="str">
        <f>IF(AND(C1085&gt;0,D1085&lt;&gt;"",S1085=""),VLOOKUP(A1085&amp;IF(H1085="黑丝","黑","白")&amp;E1085,经纬!A:N,14,FALSE)*(I1085-AB1085),"")</f>
        <v/>
      </c>
    </row>
    <row r="1086" spans="13:27">
      <c r="M1086" s="24" t="str">
        <f t="array" ref="M1086">LEFT(L1086,MIN(FIND({"A","B","C"},MID(L1086,2,LEN(L1086))&amp;"ABC")))</f>
        <v/>
      </c>
      <c r="N1086" s="24" t="str">
        <f t="array" ref="N1086">SUBSTITUTE(L1086,M1086,"")</f>
        <v/>
      </c>
      <c r="X1086" s="258" t="str">
        <f t="shared" si="54"/>
        <v/>
      </c>
      <c r="Y1086" s="36" t="str">
        <f t="shared" si="55"/>
        <v/>
      </c>
      <c r="Z1086" s="340" t="str">
        <f>IF(AND(C1086&gt;0,D1086&lt;&gt;"",S1086=""),VLOOKUP(A1086&amp;IF(H1086="黑丝","黑","白")&amp;E1086,经纬!A:M,13,FALSE)*(I1086-AB1086),"")</f>
        <v/>
      </c>
      <c r="AA1086" s="340" t="str">
        <f>IF(AND(C1086&gt;0,D1086&lt;&gt;"",S1086=""),VLOOKUP(A1086&amp;IF(H1086="黑丝","黑","白")&amp;E1086,经纬!A:N,14,FALSE)*(I1086-AB1086),"")</f>
        <v/>
      </c>
    </row>
    <row r="1087" spans="13:27">
      <c r="M1087" s="24" t="str">
        <f t="array" ref="M1087">LEFT(L1087,MIN(FIND({"A","B","C"},MID(L1087,2,LEN(L1087))&amp;"ABC")))</f>
        <v/>
      </c>
      <c r="N1087" s="24" t="str">
        <f t="array" ref="N1087">SUBSTITUTE(L1087,M1087,"")</f>
        <v/>
      </c>
      <c r="X1087" s="258" t="str">
        <f t="shared" si="54"/>
        <v/>
      </c>
      <c r="Y1087" s="36" t="str">
        <f t="shared" si="55"/>
        <v/>
      </c>
      <c r="Z1087" s="340" t="str">
        <f>IF(AND(C1087&gt;0,D1087&lt;&gt;"",S1087=""),VLOOKUP(A1087&amp;IF(H1087="黑丝","黑","白")&amp;E1087,经纬!A:M,13,FALSE)*(I1087-AB1087),"")</f>
        <v/>
      </c>
      <c r="AA1087" s="340" t="str">
        <f>IF(AND(C1087&gt;0,D1087&lt;&gt;"",S1087=""),VLOOKUP(A1087&amp;IF(H1087="黑丝","黑","白")&amp;E1087,经纬!A:N,14,FALSE)*(I1087-AB1087),"")</f>
        <v/>
      </c>
    </row>
    <row r="1088" spans="13:27">
      <c r="M1088" s="24" t="str">
        <f t="array" ref="M1088">LEFT(L1088,MIN(FIND({"A","B","C"},MID(L1088,2,LEN(L1088))&amp;"ABC")))</f>
        <v/>
      </c>
      <c r="N1088" s="24" t="str">
        <f t="array" ref="N1088">SUBSTITUTE(L1088,M1088,"")</f>
        <v/>
      </c>
      <c r="X1088" s="258" t="str">
        <f t="shared" si="54"/>
        <v/>
      </c>
      <c r="Y1088" s="36" t="str">
        <f t="shared" si="55"/>
        <v/>
      </c>
      <c r="Z1088" s="340" t="str">
        <f>IF(AND(C1088&gt;0,D1088&lt;&gt;"",S1088=""),VLOOKUP(A1088&amp;IF(H1088="黑丝","黑","白")&amp;E1088,经纬!A:M,13,FALSE)*(I1088-AB1088),"")</f>
        <v/>
      </c>
      <c r="AA1088" s="340" t="str">
        <f>IF(AND(C1088&gt;0,D1088&lt;&gt;"",S1088=""),VLOOKUP(A1088&amp;IF(H1088="黑丝","黑","白")&amp;E1088,经纬!A:N,14,FALSE)*(I1088-AB1088),"")</f>
        <v/>
      </c>
    </row>
    <row r="1089" spans="13:27">
      <c r="M1089" s="24" t="str">
        <f t="array" ref="M1089">LEFT(L1089,MIN(FIND({"A","B","C"},MID(L1089,2,LEN(L1089))&amp;"ABC")))</f>
        <v/>
      </c>
      <c r="N1089" s="24" t="str">
        <f t="array" ref="N1089">SUBSTITUTE(L1089,M1089,"")</f>
        <v/>
      </c>
      <c r="X1089" s="258" t="str">
        <f t="shared" si="54"/>
        <v/>
      </c>
      <c r="Y1089" s="36" t="str">
        <f t="shared" si="55"/>
        <v/>
      </c>
      <c r="Z1089" s="340" t="str">
        <f>IF(AND(C1089&gt;0,D1089&lt;&gt;"",S1089=""),VLOOKUP(A1089&amp;IF(H1089="黑丝","黑","白")&amp;E1089,经纬!A:M,13,FALSE)*(I1089-AB1089),"")</f>
        <v/>
      </c>
      <c r="AA1089" s="340" t="str">
        <f>IF(AND(C1089&gt;0,D1089&lt;&gt;"",S1089=""),VLOOKUP(A1089&amp;IF(H1089="黑丝","黑","白")&amp;E1089,经纬!A:N,14,FALSE)*(I1089-AB1089),"")</f>
        <v/>
      </c>
    </row>
    <row r="1090" spans="13:27">
      <c r="M1090" s="24" t="str">
        <f t="array" ref="M1090">LEFT(L1090,MIN(FIND({"A","B","C"},MID(L1090,2,LEN(L1090))&amp;"ABC")))</f>
        <v/>
      </c>
      <c r="N1090" s="24" t="str">
        <f t="array" ref="N1090">SUBSTITUTE(L1090,M1090,"")</f>
        <v/>
      </c>
      <c r="X1090" s="258" t="str">
        <f t="shared" si="54"/>
        <v/>
      </c>
      <c r="Y1090" s="36" t="str">
        <f t="shared" si="55"/>
        <v/>
      </c>
      <c r="Z1090" s="340" t="str">
        <f>IF(AND(C1090&gt;0,D1090&lt;&gt;"",S1090=""),VLOOKUP(A1090&amp;IF(H1090="黑丝","黑","白")&amp;E1090,经纬!A:M,13,FALSE)*(I1090-AB1090),"")</f>
        <v/>
      </c>
      <c r="AA1090" s="340" t="str">
        <f>IF(AND(C1090&gt;0,D1090&lt;&gt;"",S1090=""),VLOOKUP(A1090&amp;IF(H1090="黑丝","黑","白")&amp;E1090,经纬!A:N,14,FALSE)*(I1090-AB1090),"")</f>
        <v/>
      </c>
    </row>
    <row r="1091" spans="13:27">
      <c r="M1091" s="24" t="str">
        <f t="array" ref="M1091">LEFT(L1091,MIN(FIND({"A","B","C"},MID(L1091,2,LEN(L1091))&amp;"ABC")))</f>
        <v/>
      </c>
      <c r="N1091" s="24" t="str">
        <f t="array" ref="N1091">SUBSTITUTE(L1091,M1091,"")</f>
        <v/>
      </c>
      <c r="X1091" s="258" t="str">
        <f t="shared" si="54"/>
        <v/>
      </c>
      <c r="Y1091" s="36" t="str">
        <f t="shared" si="55"/>
        <v/>
      </c>
      <c r="Z1091" s="340" t="str">
        <f>IF(AND(C1091&gt;0,D1091&lt;&gt;"",S1091=""),VLOOKUP(A1091&amp;IF(H1091="黑丝","黑","白")&amp;E1091,经纬!A:M,13,FALSE)*(I1091-AB1091),"")</f>
        <v/>
      </c>
      <c r="AA1091" s="340" t="str">
        <f>IF(AND(C1091&gt;0,D1091&lt;&gt;"",S1091=""),VLOOKUP(A1091&amp;IF(H1091="黑丝","黑","白")&amp;E1091,经纬!A:N,14,FALSE)*(I1091-AB1091),"")</f>
        <v/>
      </c>
    </row>
    <row r="1092" spans="13:27">
      <c r="M1092" s="24" t="str">
        <f t="array" ref="M1092">LEFT(L1092,MIN(FIND({"A","B","C"},MID(L1092,2,LEN(L1092))&amp;"ABC")))</f>
        <v/>
      </c>
      <c r="N1092" s="24" t="str">
        <f t="array" ref="N1092">SUBSTITUTE(L1092,M1092,"")</f>
        <v/>
      </c>
      <c r="X1092" s="258" t="str">
        <f t="shared" si="54"/>
        <v/>
      </c>
      <c r="Y1092" s="36" t="str">
        <f t="shared" si="55"/>
        <v/>
      </c>
      <c r="Z1092" s="340" t="str">
        <f>IF(AND(C1092&gt;0,D1092&lt;&gt;"",S1092=""),VLOOKUP(A1092&amp;IF(H1092="黑丝","黑","白")&amp;E1092,经纬!A:M,13,FALSE)*(I1092-AB1092),"")</f>
        <v/>
      </c>
      <c r="AA1092" s="340" t="str">
        <f>IF(AND(C1092&gt;0,D1092&lt;&gt;"",S1092=""),VLOOKUP(A1092&amp;IF(H1092="黑丝","黑","白")&amp;E1092,经纬!A:N,14,FALSE)*(I1092-AB1092),"")</f>
        <v/>
      </c>
    </row>
    <row r="1093" spans="13:27">
      <c r="M1093" s="24" t="str">
        <f t="array" ref="M1093">LEFT(L1093,MIN(FIND({"A","B","C"},MID(L1093,2,LEN(L1093))&amp;"ABC")))</f>
        <v/>
      </c>
      <c r="N1093" s="24" t="str">
        <f t="array" ref="N1093">SUBSTITUTE(L1093,M1093,"")</f>
        <v/>
      </c>
      <c r="X1093" s="258" t="str">
        <f t="shared" si="54"/>
        <v/>
      </c>
      <c r="Y1093" s="36" t="str">
        <f t="shared" si="55"/>
        <v/>
      </c>
      <c r="Z1093" s="340" t="str">
        <f>IF(AND(C1093&gt;0,D1093&lt;&gt;"",S1093=""),VLOOKUP(A1093&amp;IF(H1093="黑丝","黑","白")&amp;E1093,经纬!A:M,13,FALSE)*(I1093-AB1093),"")</f>
        <v/>
      </c>
      <c r="AA1093" s="340" t="str">
        <f>IF(AND(C1093&gt;0,D1093&lt;&gt;"",S1093=""),VLOOKUP(A1093&amp;IF(H1093="黑丝","黑","白")&amp;E1093,经纬!A:N,14,FALSE)*(I1093-AB1093),"")</f>
        <v/>
      </c>
    </row>
    <row r="1094" spans="13:27">
      <c r="M1094" s="24" t="str">
        <f t="array" ref="M1094">LEFT(L1094,MIN(FIND({"A","B","C"},MID(L1094,2,LEN(L1094))&amp;"ABC")))</f>
        <v/>
      </c>
      <c r="N1094" s="24" t="str">
        <f t="array" ref="N1094">SUBSTITUTE(L1094,M1094,"")</f>
        <v/>
      </c>
      <c r="X1094" s="258" t="str">
        <f t="shared" si="54"/>
        <v/>
      </c>
      <c r="Y1094" s="36" t="str">
        <f t="shared" si="55"/>
        <v/>
      </c>
      <c r="Z1094" s="340" t="str">
        <f>IF(AND(C1094&gt;0,D1094&lt;&gt;"",S1094=""),VLOOKUP(A1094&amp;IF(H1094="黑丝","黑","白")&amp;E1094,经纬!A:M,13,FALSE)*(I1094-AB1094),"")</f>
        <v/>
      </c>
      <c r="AA1094" s="340" t="str">
        <f>IF(AND(C1094&gt;0,D1094&lt;&gt;"",S1094=""),VLOOKUP(A1094&amp;IF(H1094="黑丝","黑","白")&amp;E1094,经纬!A:N,14,FALSE)*(I1094-AB1094),"")</f>
        <v/>
      </c>
    </row>
    <row r="1095" spans="13:27">
      <c r="M1095" s="24" t="str">
        <f t="array" ref="M1095">LEFT(L1095,MIN(FIND({"A","B","C"},MID(L1095,2,LEN(L1095))&amp;"ABC")))</f>
        <v/>
      </c>
      <c r="N1095" s="24" t="str">
        <f t="array" ref="N1095">SUBSTITUTE(L1095,M1095,"")</f>
        <v/>
      </c>
      <c r="X1095" s="258" t="str">
        <f t="shared" si="54"/>
        <v/>
      </c>
      <c r="Y1095" s="36" t="str">
        <f t="shared" si="55"/>
        <v/>
      </c>
      <c r="Z1095" s="340" t="str">
        <f>IF(AND(C1095&gt;0,D1095&lt;&gt;"",S1095=""),VLOOKUP(A1095&amp;IF(H1095="黑丝","黑","白")&amp;E1095,经纬!A:M,13,FALSE)*(I1095-AB1095),"")</f>
        <v/>
      </c>
      <c r="AA1095" s="340" t="str">
        <f>IF(AND(C1095&gt;0,D1095&lt;&gt;"",S1095=""),VLOOKUP(A1095&amp;IF(H1095="黑丝","黑","白")&amp;E1095,经纬!A:N,14,FALSE)*(I1095-AB1095),"")</f>
        <v/>
      </c>
    </row>
    <row r="1096" spans="13:27">
      <c r="M1096" s="24" t="str">
        <f t="array" ref="M1096">LEFT(L1096,MIN(FIND({"A","B","C"},MID(L1096,2,LEN(L1096))&amp;"ABC")))</f>
        <v/>
      </c>
      <c r="N1096" s="24" t="str">
        <f t="array" ref="N1096">SUBSTITUTE(L1096,M1096,"")</f>
        <v/>
      </c>
      <c r="X1096" s="258" t="str">
        <f t="shared" si="54"/>
        <v/>
      </c>
      <c r="Y1096" s="36" t="str">
        <f t="shared" si="55"/>
        <v/>
      </c>
      <c r="Z1096" s="340" t="str">
        <f>IF(AND(C1096&gt;0,D1096&lt;&gt;"",S1096=""),VLOOKUP(A1096&amp;IF(H1096="黑丝","黑","白")&amp;E1096,经纬!A:M,13,FALSE)*(I1096-AB1096),"")</f>
        <v/>
      </c>
      <c r="AA1096" s="340" t="str">
        <f>IF(AND(C1096&gt;0,D1096&lt;&gt;"",S1096=""),VLOOKUP(A1096&amp;IF(H1096="黑丝","黑","白")&amp;E1096,经纬!A:N,14,FALSE)*(I1096-AB1096),"")</f>
        <v/>
      </c>
    </row>
    <row r="1097" spans="13:27">
      <c r="M1097" s="24" t="str">
        <f t="array" ref="M1097">LEFT(L1097,MIN(FIND({"A","B","C"},MID(L1097,2,LEN(L1097))&amp;"ABC")))</f>
        <v/>
      </c>
      <c r="N1097" s="24" t="str">
        <f t="array" ref="N1097">SUBSTITUTE(L1097,M1097,"")</f>
        <v/>
      </c>
      <c r="X1097" s="258" t="str">
        <f t="shared" si="54"/>
        <v/>
      </c>
      <c r="Y1097" s="36" t="str">
        <f t="shared" si="55"/>
        <v/>
      </c>
      <c r="Z1097" s="340" t="str">
        <f>IF(AND(C1097&gt;0,D1097&lt;&gt;"",S1097=""),VLOOKUP(A1097&amp;IF(H1097="黑丝","黑","白")&amp;E1097,经纬!A:M,13,FALSE)*(I1097-AB1097),"")</f>
        <v/>
      </c>
      <c r="AA1097" s="340" t="str">
        <f>IF(AND(C1097&gt;0,D1097&lt;&gt;"",S1097=""),VLOOKUP(A1097&amp;IF(H1097="黑丝","黑","白")&amp;E1097,经纬!A:N,14,FALSE)*(I1097-AB1097),"")</f>
        <v/>
      </c>
    </row>
    <row r="1098" spans="13:27">
      <c r="M1098" s="24" t="str">
        <f t="array" ref="M1098">LEFT(L1098,MIN(FIND({"A","B","C"},MID(L1098,2,LEN(L1098))&amp;"ABC")))</f>
        <v/>
      </c>
      <c r="N1098" s="24" t="str">
        <f t="array" ref="N1098">SUBSTITUTE(L1098,M1098,"")</f>
        <v/>
      </c>
      <c r="X1098" s="258" t="str">
        <f t="shared" si="54"/>
        <v/>
      </c>
      <c r="Y1098" s="36" t="str">
        <f t="shared" si="55"/>
        <v/>
      </c>
      <c r="Z1098" s="340" t="str">
        <f>IF(AND(C1098&gt;0,D1098&lt;&gt;"",S1098=""),VLOOKUP(A1098&amp;IF(H1098="黑丝","黑","白")&amp;E1098,经纬!A:M,13,FALSE)*(I1098-AB1098),"")</f>
        <v/>
      </c>
      <c r="AA1098" s="340" t="str">
        <f>IF(AND(C1098&gt;0,D1098&lt;&gt;"",S1098=""),VLOOKUP(A1098&amp;IF(H1098="黑丝","黑","白")&amp;E1098,经纬!A:N,14,FALSE)*(I1098-AB1098),"")</f>
        <v/>
      </c>
    </row>
    <row r="1099" spans="13:27">
      <c r="M1099" s="24" t="str">
        <f t="array" ref="M1099">LEFT(L1099,MIN(FIND({"A","B","C"},MID(L1099,2,LEN(L1099))&amp;"ABC")))</f>
        <v/>
      </c>
      <c r="N1099" s="24" t="str">
        <f t="array" ref="N1099">SUBSTITUTE(L1099,M1099,"")</f>
        <v/>
      </c>
      <c r="X1099" s="258" t="str">
        <f t="shared" si="54"/>
        <v/>
      </c>
      <c r="Y1099" s="36" t="str">
        <f t="shared" si="55"/>
        <v/>
      </c>
      <c r="Z1099" s="340" t="str">
        <f>IF(AND(C1099&gt;0,D1099&lt;&gt;"",S1099=""),VLOOKUP(A1099&amp;IF(H1099="黑丝","黑","白")&amp;E1099,经纬!A:M,13,FALSE)*(I1099-AB1099),"")</f>
        <v/>
      </c>
      <c r="AA1099" s="340" t="str">
        <f>IF(AND(C1099&gt;0,D1099&lt;&gt;"",S1099=""),VLOOKUP(A1099&amp;IF(H1099="黑丝","黑","白")&amp;E1099,经纬!A:N,14,FALSE)*(I1099-AB1099),"")</f>
        <v/>
      </c>
    </row>
    <row r="1100" spans="13:27">
      <c r="M1100" s="24" t="str">
        <f t="array" ref="M1100">LEFT(L1100,MIN(FIND({"A","B","C"},MID(L1100,2,LEN(L1100))&amp;"ABC")))</f>
        <v/>
      </c>
      <c r="N1100" s="24" t="str">
        <f t="array" ref="N1100">SUBSTITUTE(L1100,M1100,"")</f>
        <v/>
      </c>
      <c r="X1100" s="258" t="str">
        <f t="shared" si="54"/>
        <v/>
      </c>
      <c r="Y1100" s="36" t="str">
        <f t="shared" si="55"/>
        <v/>
      </c>
      <c r="Z1100" s="340" t="str">
        <f>IF(AND(C1100&gt;0,D1100&lt;&gt;"",S1100=""),VLOOKUP(A1100&amp;IF(H1100="黑丝","黑","白")&amp;E1100,经纬!A:M,13,FALSE)*(I1100-AB1100),"")</f>
        <v/>
      </c>
      <c r="AA1100" s="340" t="str">
        <f>IF(AND(C1100&gt;0,D1100&lt;&gt;"",S1100=""),VLOOKUP(A1100&amp;IF(H1100="黑丝","黑","白")&amp;E1100,经纬!A:N,14,FALSE)*(I1100-AB1100),"")</f>
        <v/>
      </c>
    </row>
    <row r="1101" spans="13:27">
      <c r="M1101" s="24" t="str">
        <f t="array" ref="M1101">LEFT(L1101,MIN(FIND({"A","B","C"},MID(L1101,2,LEN(L1101))&amp;"ABC")))</f>
        <v/>
      </c>
      <c r="N1101" s="24" t="str">
        <f t="array" ref="N1101">SUBSTITUTE(L1101,M1101,"")</f>
        <v/>
      </c>
      <c r="X1101" s="258" t="str">
        <f t="shared" si="54"/>
        <v/>
      </c>
      <c r="Y1101" s="36" t="str">
        <f t="shared" si="55"/>
        <v/>
      </c>
      <c r="Z1101" s="340" t="str">
        <f>IF(AND(C1101&gt;0,D1101&lt;&gt;"",S1101=""),VLOOKUP(A1101&amp;IF(H1101="黑丝","黑","白")&amp;E1101,经纬!A:M,13,FALSE)*(I1101-AB1101),"")</f>
        <v/>
      </c>
      <c r="AA1101" s="340" t="str">
        <f>IF(AND(C1101&gt;0,D1101&lt;&gt;"",S1101=""),VLOOKUP(A1101&amp;IF(H1101="黑丝","黑","白")&amp;E1101,经纬!A:N,14,FALSE)*(I1101-AB1101),"")</f>
        <v/>
      </c>
    </row>
    <row r="1102" spans="13:27">
      <c r="M1102" s="24" t="str">
        <f t="array" ref="M1102">LEFT(L1102,MIN(FIND({"A","B","C"},MID(L1102,2,LEN(L1102))&amp;"ABC")))</f>
        <v/>
      </c>
      <c r="N1102" s="24" t="str">
        <f t="array" ref="N1102">SUBSTITUTE(L1102,M1102,"")</f>
        <v/>
      </c>
      <c r="X1102" s="258" t="str">
        <f t="shared" si="54"/>
        <v/>
      </c>
      <c r="Y1102" s="36" t="str">
        <f t="shared" si="55"/>
        <v/>
      </c>
      <c r="Z1102" s="340" t="str">
        <f>IF(AND(C1102&gt;0,D1102&lt;&gt;"",S1102=""),VLOOKUP(A1102&amp;IF(H1102="黑丝","黑","白")&amp;E1102,经纬!A:M,13,FALSE)*(I1102-AB1102),"")</f>
        <v/>
      </c>
      <c r="AA1102" s="340" t="str">
        <f>IF(AND(C1102&gt;0,D1102&lt;&gt;"",S1102=""),VLOOKUP(A1102&amp;IF(H1102="黑丝","黑","白")&amp;E1102,经纬!A:N,14,FALSE)*(I1102-AB1102),"")</f>
        <v/>
      </c>
    </row>
    <row r="1103" spans="13:27">
      <c r="M1103" s="24" t="str">
        <f t="array" ref="M1103">LEFT(L1103,MIN(FIND({"A","B","C"},MID(L1103,2,LEN(L1103))&amp;"ABC")))</f>
        <v/>
      </c>
      <c r="N1103" s="24" t="str">
        <f t="array" ref="N1103">SUBSTITUTE(L1103,M1103,"")</f>
        <v/>
      </c>
      <c r="X1103" s="258" t="str">
        <f t="shared" si="54"/>
        <v/>
      </c>
      <c r="Y1103" s="36" t="str">
        <f t="shared" si="55"/>
        <v/>
      </c>
      <c r="Z1103" s="340" t="str">
        <f>IF(AND(C1103&gt;0,D1103&lt;&gt;"",S1103=""),VLOOKUP(A1103&amp;IF(H1103="黑丝","黑","白")&amp;E1103,经纬!A:M,13,FALSE)*(I1103-AB1103),"")</f>
        <v/>
      </c>
      <c r="AA1103" s="340" t="str">
        <f>IF(AND(C1103&gt;0,D1103&lt;&gt;"",S1103=""),VLOOKUP(A1103&amp;IF(H1103="黑丝","黑","白")&amp;E1103,经纬!A:N,14,FALSE)*(I1103-AB1103),"")</f>
        <v/>
      </c>
    </row>
    <row r="1104" spans="13:27">
      <c r="M1104" s="24" t="str">
        <f t="array" ref="M1104">LEFT(L1104,MIN(FIND({"A","B","C"},MID(L1104,2,LEN(L1104))&amp;"ABC")))</f>
        <v/>
      </c>
      <c r="N1104" s="24" t="str">
        <f t="array" ref="N1104">SUBSTITUTE(L1104,M1104,"")</f>
        <v/>
      </c>
      <c r="X1104" s="258" t="str">
        <f t="shared" si="54"/>
        <v/>
      </c>
      <c r="Y1104" s="36" t="str">
        <f t="shared" si="55"/>
        <v/>
      </c>
      <c r="Z1104" s="340" t="str">
        <f>IF(AND(C1104&gt;0,D1104&lt;&gt;"",S1104=""),VLOOKUP(A1104&amp;IF(H1104="黑丝","黑","白")&amp;E1104,经纬!A:M,13,FALSE)*(I1104-AB1104),"")</f>
        <v/>
      </c>
      <c r="AA1104" s="340" t="str">
        <f>IF(AND(C1104&gt;0,D1104&lt;&gt;"",S1104=""),VLOOKUP(A1104&amp;IF(H1104="黑丝","黑","白")&amp;E1104,经纬!A:N,14,FALSE)*(I1104-AB1104),"")</f>
        <v/>
      </c>
    </row>
    <row r="1105" spans="13:27">
      <c r="M1105" s="24" t="str">
        <f t="array" ref="M1105">LEFT(L1105,MIN(FIND({"A","B","C"},MID(L1105,2,LEN(L1105))&amp;"ABC")))</f>
        <v/>
      </c>
      <c r="N1105" s="24" t="str">
        <f t="array" ref="N1105">SUBSTITUTE(L1105,M1105,"")</f>
        <v/>
      </c>
      <c r="X1105" s="258" t="str">
        <f t="shared" si="54"/>
        <v/>
      </c>
      <c r="Y1105" s="36" t="str">
        <f t="shared" si="55"/>
        <v/>
      </c>
      <c r="Z1105" s="340" t="str">
        <f>IF(AND(C1105&gt;0,D1105&lt;&gt;"",S1105=""),VLOOKUP(A1105&amp;IF(H1105="黑丝","黑","白")&amp;E1105,经纬!A:M,13,FALSE)*(I1105-AB1105),"")</f>
        <v/>
      </c>
      <c r="AA1105" s="340" t="str">
        <f>IF(AND(C1105&gt;0,D1105&lt;&gt;"",S1105=""),VLOOKUP(A1105&amp;IF(H1105="黑丝","黑","白")&amp;E1105,经纬!A:N,14,FALSE)*(I1105-AB1105),"")</f>
        <v/>
      </c>
    </row>
    <row r="1106" spans="13:27">
      <c r="M1106" s="24" t="str">
        <f t="array" ref="M1106">LEFT(L1106,MIN(FIND({"A","B","C"},MID(L1106,2,LEN(L1106))&amp;"ABC")))</f>
        <v/>
      </c>
      <c r="N1106" s="24" t="str">
        <f t="array" ref="N1106">SUBSTITUTE(L1106,M1106,"")</f>
        <v/>
      </c>
      <c r="X1106" s="258" t="str">
        <f t="shared" si="54"/>
        <v/>
      </c>
      <c r="Y1106" s="36" t="str">
        <f t="shared" si="55"/>
        <v/>
      </c>
      <c r="Z1106" s="340" t="str">
        <f>IF(AND(C1106&gt;0,D1106&lt;&gt;"",S1106=""),VLOOKUP(A1106&amp;IF(H1106="黑丝","黑","白")&amp;E1106,经纬!A:M,13,FALSE)*(I1106-AB1106),"")</f>
        <v/>
      </c>
      <c r="AA1106" s="340" t="str">
        <f>IF(AND(C1106&gt;0,D1106&lt;&gt;"",S1106=""),VLOOKUP(A1106&amp;IF(H1106="黑丝","黑","白")&amp;E1106,经纬!A:N,14,FALSE)*(I1106-AB1106),"")</f>
        <v/>
      </c>
    </row>
    <row r="1107" spans="13:27">
      <c r="M1107" s="24" t="str">
        <f t="array" ref="M1107">LEFT(L1107,MIN(FIND({"A","B","C"},MID(L1107,2,LEN(L1107))&amp;"ABC")))</f>
        <v/>
      </c>
      <c r="N1107" s="24" t="str">
        <f t="array" ref="N1107">SUBSTITUTE(L1107,M1107,"")</f>
        <v/>
      </c>
      <c r="X1107" s="258" t="str">
        <f t="shared" si="54"/>
        <v/>
      </c>
      <c r="Y1107" s="36" t="str">
        <f t="shared" si="55"/>
        <v/>
      </c>
      <c r="Z1107" s="340" t="str">
        <f>IF(AND(C1107&gt;0,D1107&lt;&gt;"",S1107=""),VLOOKUP(A1107&amp;IF(H1107="黑丝","黑","白")&amp;E1107,经纬!A:M,13,FALSE)*(I1107-AB1107),"")</f>
        <v/>
      </c>
      <c r="AA1107" s="340" t="str">
        <f>IF(AND(C1107&gt;0,D1107&lt;&gt;"",S1107=""),VLOOKUP(A1107&amp;IF(H1107="黑丝","黑","白")&amp;E1107,经纬!A:N,14,FALSE)*(I1107-AB1107),"")</f>
        <v/>
      </c>
    </row>
    <row r="1108" spans="13:27">
      <c r="M1108" s="24" t="str">
        <f t="array" ref="M1108">LEFT(L1108,MIN(FIND({"A","B","C"},MID(L1108,2,LEN(L1108))&amp;"ABC")))</f>
        <v/>
      </c>
      <c r="N1108" s="24" t="str">
        <f t="array" ref="N1108">SUBSTITUTE(L1108,M1108,"")</f>
        <v/>
      </c>
      <c r="X1108" s="258" t="str">
        <f t="shared" si="54"/>
        <v/>
      </c>
      <c r="Y1108" s="36" t="str">
        <f t="shared" si="55"/>
        <v/>
      </c>
      <c r="Z1108" s="340" t="str">
        <f>IF(AND(C1108&gt;0,D1108&lt;&gt;"",S1108=""),VLOOKUP(A1108&amp;IF(H1108="黑丝","黑","白")&amp;E1108,经纬!A:M,13,FALSE)*(I1108-AB1108),"")</f>
        <v/>
      </c>
      <c r="AA1108" s="340" t="str">
        <f>IF(AND(C1108&gt;0,D1108&lt;&gt;"",S1108=""),VLOOKUP(A1108&amp;IF(H1108="黑丝","黑","白")&amp;E1108,经纬!A:N,14,FALSE)*(I1108-AB1108),"")</f>
        <v/>
      </c>
    </row>
    <row r="1109" spans="13:27">
      <c r="M1109" s="24" t="str">
        <f t="array" ref="M1109">LEFT(L1109,MIN(FIND({"A","B","C"},MID(L1109,2,LEN(L1109))&amp;"ABC")))</f>
        <v/>
      </c>
      <c r="N1109" s="24" t="str">
        <f t="array" ref="N1109">SUBSTITUTE(L1109,M1109,"")</f>
        <v/>
      </c>
      <c r="X1109" s="258" t="str">
        <f t="shared" si="54"/>
        <v/>
      </c>
      <c r="Y1109" s="36" t="str">
        <f t="shared" si="55"/>
        <v/>
      </c>
      <c r="Z1109" s="340" t="str">
        <f>IF(AND(C1109&gt;0,D1109&lt;&gt;"",S1109=""),VLOOKUP(A1109&amp;IF(H1109="黑丝","黑","白")&amp;E1109,经纬!A:M,13,FALSE)*(I1109-AB1109),"")</f>
        <v/>
      </c>
      <c r="AA1109" s="340" t="str">
        <f>IF(AND(C1109&gt;0,D1109&lt;&gt;"",S1109=""),VLOOKUP(A1109&amp;IF(H1109="黑丝","黑","白")&amp;E1109,经纬!A:N,14,FALSE)*(I1109-AB1109),"")</f>
        <v/>
      </c>
    </row>
    <row r="1110" spans="13:27">
      <c r="M1110" s="24" t="str">
        <f t="array" ref="M1110">LEFT(L1110,MIN(FIND({"A","B","C"},MID(L1110,2,LEN(L1110))&amp;"ABC")))</f>
        <v/>
      </c>
      <c r="N1110" s="24" t="str">
        <f t="array" ref="N1110">SUBSTITUTE(L1110,M1110,"")</f>
        <v/>
      </c>
      <c r="X1110" s="258" t="str">
        <f t="shared" si="54"/>
        <v/>
      </c>
      <c r="Y1110" s="36" t="str">
        <f t="shared" si="55"/>
        <v/>
      </c>
      <c r="Z1110" s="340" t="str">
        <f>IF(AND(C1110&gt;0,D1110&lt;&gt;"",S1110=""),VLOOKUP(A1110&amp;IF(H1110="黑丝","黑","白")&amp;E1110,经纬!A:M,13,FALSE)*(I1110-AB1110),"")</f>
        <v/>
      </c>
      <c r="AA1110" s="340" t="str">
        <f>IF(AND(C1110&gt;0,D1110&lt;&gt;"",S1110=""),VLOOKUP(A1110&amp;IF(H1110="黑丝","黑","白")&amp;E1110,经纬!A:N,14,FALSE)*(I1110-AB1110),"")</f>
        <v/>
      </c>
    </row>
    <row r="1111" spans="13:27">
      <c r="M1111" s="24" t="str">
        <f t="array" ref="M1111">LEFT(L1111,MIN(FIND({"A","B","C"},MID(L1111,2,LEN(L1111))&amp;"ABC")))</f>
        <v/>
      </c>
      <c r="N1111" s="24" t="str">
        <f t="array" ref="N1111">SUBSTITUTE(L1111,M1111,"")</f>
        <v/>
      </c>
      <c r="X1111" s="258" t="str">
        <f t="shared" si="54"/>
        <v/>
      </c>
      <c r="Y1111" s="36" t="str">
        <f t="shared" si="55"/>
        <v/>
      </c>
      <c r="Z1111" s="340" t="str">
        <f>IF(AND(C1111&gt;0,D1111&lt;&gt;"",S1111=""),VLOOKUP(A1111&amp;IF(H1111="黑丝","黑","白")&amp;E1111,经纬!A:M,13,FALSE)*(I1111-AB1111),"")</f>
        <v/>
      </c>
      <c r="AA1111" s="340" t="str">
        <f>IF(AND(C1111&gt;0,D1111&lt;&gt;"",S1111=""),VLOOKUP(A1111&amp;IF(H1111="黑丝","黑","白")&amp;E1111,经纬!A:N,14,FALSE)*(I1111-AB1111),"")</f>
        <v/>
      </c>
    </row>
    <row r="1112" spans="13:27">
      <c r="M1112" s="24" t="str">
        <f t="array" ref="M1112">LEFT(L1112,MIN(FIND({"A","B","C"},MID(L1112,2,LEN(L1112))&amp;"ABC")))</f>
        <v/>
      </c>
      <c r="N1112" s="24" t="str">
        <f t="array" ref="N1112">SUBSTITUTE(L1112,M1112,"")</f>
        <v/>
      </c>
      <c r="X1112" s="258" t="str">
        <f t="shared" si="54"/>
        <v/>
      </c>
      <c r="Y1112" s="36" t="str">
        <f t="shared" si="55"/>
        <v/>
      </c>
      <c r="Z1112" s="340" t="str">
        <f>IF(AND(C1112&gt;0,D1112&lt;&gt;"",S1112=""),VLOOKUP(A1112&amp;IF(H1112="黑丝","黑","白")&amp;E1112,经纬!A:M,13,FALSE)*(I1112-AB1112),"")</f>
        <v/>
      </c>
      <c r="AA1112" s="340" t="str">
        <f>IF(AND(C1112&gt;0,D1112&lt;&gt;"",S1112=""),VLOOKUP(A1112&amp;IF(H1112="黑丝","黑","白")&amp;E1112,经纬!A:N,14,FALSE)*(I1112-AB1112),"")</f>
        <v/>
      </c>
    </row>
    <row r="1113" spans="13:27">
      <c r="M1113" s="24" t="str">
        <f t="array" ref="M1113">LEFT(L1113,MIN(FIND({"A","B","C"},MID(L1113,2,LEN(L1113))&amp;"ABC")))</f>
        <v/>
      </c>
      <c r="N1113" s="24" t="str">
        <f t="array" ref="N1113">SUBSTITUTE(L1113,M1113,"")</f>
        <v/>
      </c>
      <c r="X1113" s="258" t="str">
        <f t="shared" si="54"/>
        <v/>
      </c>
      <c r="Y1113" s="36" t="str">
        <f t="shared" si="55"/>
        <v/>
      </c>
      <c r="Z1113" s="340" t="str">
        <f>IF(AND(C1113&gt;0,D1113&lt;&gt;"",S1113=""),VLOOKUP(A1113&amp;IF(H1113="黑丝","黑","白")&amp;E1113,经纬!A:M,13,FALSE)*(I1113-AB1113),"")</f>
        <v/>
      </c>
      <c r="AA1113" s="340" t="str">
        <f>IF(AND(C1113&gt;0,D1113&lt;&gt;"",S1113=""),VLOOKUP(A1113&amp;IF(H1113="黑丝","黑","白")&amp;E1113,经纬!A:N,14,FALSE)*(I1113-AB1113),"")</f>
        <v/>
      </c>
    </row>
    <row r="1114" spans="13:27">
      <c r="M1114" s="24" t="str">
        <f t="array" ref="M1114">LEFT(L1114,MIN(FIND({"A","B","C"},MID(L1114,2,LEN(L1114))&amp;"ABC")))</f>
        <v/>
      </c>
      <c r="N1114" s="24" t="str">
        <f t="array" ref="N1114">SUBSTITUTE(L1114,M1114,"")</f>
        <v/>
      </c>
      <c r="X1114" s="258" t="str">
        <f t="shared" si="54"/>
        <v/>
      </c>
      <c r="Y1114" s="36" t="str">
        <f t="shared" si="55"/>
        <v/>
      </c>
      <c r="Z1114" s="340" t="str">
        <f>IF(AND(C1114&gt;0,D1114&lt;&gt;"",S1114=""),VLOOKUP(A1114&amp;IF(H1114="黑丝","黑","白")&amp;E1114,经纬!A:M,13,FALSE)*(I1114-AB1114),"")</f>
        <v/>
      </c>
      <c r="AA1114" s="340" t="str">
        <f>IF(AND(C1114&gt;0,D1114&lt;&gt;"",S1114=""),VLOOKUP(A1114&amp;IF(H1114="黑丝","黑","白")&amp;E1114,经纬!A:N,14,FALSE)*(I1114-AB1114),"")</f>
        <v/>
      </c>
    </row>
    <row r="1115" spans="13:27">
      <c r="M1115" s="24" t="str">
        <f t="array" ref="M1115">LEFT(L1115,MIN(FIND({"A","B","C"},MID(L1115,2,LEN(L1115))&amp;"ABC")))</f>
        <v/>
      </c>
      <c r="N1115" s="24" t="str">
        <f t="array" ref="N1115">SUBSTITUTE(L1115,M1115,"")</f>
        <v/>
      </c>
      <c r="X1115" s="258" t="str">
        <f t="shared" si="54"/>
        <v/>
      </c>
      <c r="Y1115" s="36" t="str">
        <f t="shared" si="55"/>
        <v/>
      </c>
      <c r="Z1115" s="340" t="str">
        <f>IF(AND(C1115&gt;0,D1115&lt;&gt;"",S1115=""),VLOOKUP(A1115&amp;IF(H1115="黑丝","黑","白")&amp;E1115,经纬!A:M,13,FALSE)*(I1115-AB1115),"")</f>
        <v/>
      </c>
      <c r="AA1115" s="340" t="str">
        <f>IF(AND(C1115&gt;0,D1115&lt;&gt;"",S1115=""),VLOOKUP(A1115&amp;IF(H1115="黑丝","黑","白")&amp;E1115,经纬!A:N,14,FALSE)*(I1115-AB1115),"")</f>
        <v/>
      </c>
    </row>
    <row r="1116" spans="13:27">
      <c r="M1116" s="24" t="str">
        <f t="array" ref="M1116">LEFT(L1116,MIN(FIND({"A","B","C"},MID(L1116,2,LEN(L1116))&amp;"ABC")))</f>
        <v/>
      </c>
      <c r="N1116" s="24" t="str">
        <f t="array" ref="N1116">SUBSTITUTE(L1116,M1116,"")</f>
        <v/>
      </c>
      <c r="X1116" s="258" t="str">
        <f t="shared" ref="X1116:X1179" si="56">IF(B1116="","",IF(S1116&lt;&gt;"","",IF(AND(Z1116&lt;&gt;"",AA1116&lt;&gt;""),SUM(Z1116:AA1116),IF(AB1116&lt;&gt;"",(I1116/((1/((G1116+2)/100*K1116/1000))*0.9144)/IF(H1116="黑丝",22,20)-AB1116)*(IF(H1116="黑丝",22,20)),I1116/((1/((G1116+2)/100*K1116/1000))*0.9144)))))</f>
        <v/>
      </c>
      <c r="Y1116" s="36" t="str">
        <f t="shared" si="55"/>
        <v/>
      </c>
      <c r="Z1116" s="340" t="str">
        <f>IF(AND(C1116&gt;0,D1116&lt;&gt;"",S1116=""),VLOOKUP(A1116&amp;IF(H1116="黑丝","黑","白")&amp;E1116,经纬!A:M,13,FALSE)*(I1116-AB1116),"")</f>
        <v/>
      </c>
      <c r="AA1116" s="340" t="str">
        <f>IF(AND(C1116&gt;0,D1116&lt;&gt;"",S1116=""),VLOOKUP(A1116&amp;IF(H1116="黑丝","黑","白")&amp;E1116,经纬!A:N,14,FALSE)*(I1116-AB1116),"")</f>
        <v/>
      </c>
    </row>
    <row r="1117" spans="13:27">
      <c r="M1117" s="24" t="str">
        <f t="array" ref="M1117">LEFT(L1117,MIN(FIND({"A","B","C"},MID(L1117,2,LEN(L1117))&amp;"ABC")))</f>
        <v/>
      </c>
      <c r="N1117" s="24" t="str">
        <f t="array" ref="N1117">SUBSTITUTE(L1117,M1117,"")</f>
        <v/>
      </c>
      <c r="X1117" s="258" t="str">
        <f t="shared" si="56"/>
        <v/>
      </c>
      <c r="Y1117" s="36" t="str">
        <f t="shared" si="55"/>
        <v/>
      </c>
      <c r="Z1117" s="340" t="str">
        <f>IF(AND(C1117&gt;0,D1117&lt;&gt;"",S1117=""),VLOOKUP(A1117&amp;IF(H1117="黑丝","黑","白")&amp;E1117,经纬!A:M,13,FALSE)*(I1117-AB1117),"")</f>
        <v/>
      </c>
      <c r="AA1117" s="340" t="str">
        <f>IF(AND(C1117&gt;0,D1117&lt;&gt;"",S1117=""),VLOOKUP(A1117&amp;IF(H1117="黑丝","黑","白")&amp;E1117,经纬!A:N,14,FALSE)*(I1117-AB1117),"")</f>
        <v/>
      </c>
    </row>
    <row r="1118" spans="13:27">
      <c r="M1118" s="24" t="str">
        <f t="array" ref="M1118">LEFT(L1118,MIN(FIND({"A","B","C"},MID(L1118,2,LEN(L1118))&amp;"ABC")))</f>
        <v/>
      </c>
      <c r="N1118" s="24" t="str">
        <f t="array" ref="N1118">SUBSTITUTE(L1118,M1118,"")</f>
        <v/>
      </c>
      <c r="X1118" s="258" t="str">
        <f t="shared" si="56"/>
        <v/>
      </c>
      <c r="Y1118" s="36" t="str">
        <f t="shared" si="55"/>
        <v/>
      </c>
      <c r="Z1118" s="340" t="str">
        <f>IF(AND(C1118&gt;0,D1118&lt;&gt;"",S1118=""),VLOOKUP(A1118&amp;IF(H1118="黑丝","黑","白")&amp;E1118,经纬!A:M,13,FALSE)*(I1118-AB1118),"")</f>
        <v/>
      </c>
      <c r="AA1118" s="340" t="str">
        <f>IF(AND(C1118&gt;0,D1118&lt;&gt;"",S1118=""),VLOOKUP(A1118&amp;IF(H1118="黑丝","黑","白")&amp;E1118,经纬!A:N,14,FALSE)*(I1118-AB1118),"")</f>
        <v/>
      </c>
    </row>
    <row r="1119" spans="13:27">
      <c r="M1119" s="24" t="str">
        <f t="array" ref="M1119">LEFT(L1119,MIN(FIND({"A","B","C"},MID(L1119,2,LEN(L1119))&amp;"ABC")))</f>
        <v/>
      </c>
      <c r="N1119" s="24" t="str">
        <f t="array" ref="N1119">SUBSTITUTE(L1119,M1119,"")</f>
        <v/>
      </c>
      <c r="X1119" s="258" t="str">
        <f t="shared" si="56"/>
        <v/>
      </c>
      <c r="Y1119" s="36" t="str">
        <f t="shared" si="55"/>
        <v/>
      </c>
      <c r="Z1119" s="340" t="str">
        <f>IF(AND(C1119&gt;0,D1119&lt;&gt;"",S1119=""),VLOOKUP(A1119&amp;IF(H1119="黑丝","黑","白")&amp;E1119,经纬!A:M,13,FALSE)*(I1119-AB1119),"")</f>
        <v/>
      </c>
      <c r="AA1119" s="340" t="str">
        <f>IF(AND(C1119&gt;0,D1119&lt;&gt;"",S1119=""),VLOOKUP(A1119&amp;IF(H1119="黑丝","黑","白")&amp;E1119,经纬!A:N,14,FALSE)*(I1119-AB1119),"")</f>
        <v/>
      </c>
    </row>
    <row r="1120" spans="13:27">
      <c r="M1120" s="24" t="str">
        <f t="array" ref="M1120">LEFT(L1120,MIN(FIND({"A","B","C"},MID(L1120,2,LEN(L1120))&amp;"ABC")))</f>
        <v/>
      </c>
      <c r="N1120" s="24" t="str">
        <f t="array" ref="N1120">SUBSTITUTE(L1120,M1120,"")</f>
        <v/>
      </c>
      <c r="X1120" s="258" t="str">
        <f t="shared" si="56"/>
        <v/>
      </c>
      <c r="Y1120" s="36" t="str">
        <f t="shared" si="55"/>
        <v/>
      </c>
      <c r="Z1120" s="340" t="str">
        <f>IF(AND(C1120&gt;0,D1120&lt;&gt;"",S1120=""),VLOOKUP(A1120&amp;IF(H1120="黑丝","黑","白")&amp;E1120,经纬!A:M,13,FALSE)*(I1120-AB1120),"")</f>
        <v/>
      </c>
      <c r="AA1120" s="340" t="str">
        <f>IF(AND(C1120&gt;0,D1120&lt;&gt;"",S1120=""),VLOOKUP(A1120&amp;IF(H1120="黑丝","黑","白")&amp;E1120,经纬!A:N,14,FALSE)*(I1120-AB1120),"")</f>
        <v/>
      </c>
    </row>
    <row r="1121" spans="13:27">
      <c r="M1121" s="24" t="str">
        <f t="array" ref="M1121">LEFT(L1121,MIN(FIND({"A","B","C"},MID(L1121,2,LEN(L1121))&amp;"ABC")))</f>
        <v/>
      </c>
      <c r="N1121" s="24" t="str">
        <f t="array" ref="N1121">SUBSTITUTE(L1121,M1121,"")</f>
        <v/>
      </c>
      <c r="X1121" s="258" t="str">
        <f t="shared" si="56"/>
        <v/>
      </c>
      <c r="Y1121" s="36" t="str">
        <f t="shared" si="55"/>
        <v/>
      </c>
      <c r="Z1121" s="340" t="str">
        <f>IF(AND(C1121&gt;0,D1121&lt;&gt;"",S1121=""),VLOOKUP(A1121&amp;IF(H1121="黑丝","黑","白")&amp;E1121,经纬!A:M,13,FALSE)*(I1121-AB1121),"")</f>
        <v/>
      </c>
      <c r="AA1121" s="340" t="str">
        <f>IF(AND(C1121&gt;0,D1121&lt;&gt;"",S1121=""),VLOOKUP(A1121&amp;IF(H1121="黑丝","黑","白")&amp;E1121,经纬!A:N,14,FALSE)*(I1121-AB1121),"")</f>
        <v/>
      </c>
    </row>
    <row r="1122" spans="13:27">
      <c r="M1122" s="24" t="str">
        <f t="array" ref="M1122">LEFT(L1122,MIN(FIND({"A","B","C"},MID(L1122,2,LEN(L1122))&amp;"ABC")))</f>
        <v/>
      </c>
      <c r="N1122" s="24" t="str">
        <f t="array" ref="N1122">SUBSTITUTE(L1122,M1122,"")</f>
        <v/>
      </c>
      <c r="X1122" s="258" t="str">
        <f t="shared" si="56"/>
        <v/>
      </c>
      <c r="Y1122" s="36" t="str">
        <f t="shared" si="55"/>
        <v/>
      </c>
      <c r="Z1122" s="340" t="str">
        <f>IF(AND(C1122&gt;0,D1122&lt;&gt;"",S1122=""),VLOOKUP(A1122&amp;IF(H1122="黑丝","黑","白")&amp;E1122,经纬!A:M,13,FALSE)*(I1122-AB1122),"")</f>
        <v/>
      </c>
      <c r="AA1122" s="340" t="str">
        <f>IF(AND(C1122&gt;0,D1122&lt;&gt;"",S1122=""),VLOOKUP(A1122&amp;IF(H1122="黑丝","黑","白")&amp;E1122,经纬!A:N,14,FALSE)*(I1122-AB1122),"")</f>
        <v/>
      </c>
    </row>
    <row r="1123" spans="13:27">
      <c r="M1123" s="24" t="str">
        <f t="array" ref="M1123">LEFT(L1123,MIN(FIND({"A","B","C"},MID(L1123,2,LEN(L1123))&amp;"ABC")))</f>
        <v/>
      </c>
      <c r="N1123" s="24" t="str">
        <f t="array" ref="N1123">SUBSTITUTE(L1123,M1123,"")</f>
        <v/>
      </c>
      <c r="X1123" s="258" t="str">
        <f t="shared" si="56"/>
        <v/>
      </c>
      <c r="Y1123" s="36" t="str">
        <f t="shared" si="55"/>
        <v/>
      </c>
      <c r="Z1123" s="340" t="str">
        <f>IF(AND(C1123&gt;0,D1123&lt;&gt;"",S1123=""),VLOOKUP(A1123&amp;IF(H1123="黑丝","黑","白")&amp;E1123,经纬!A:M,13,FALSE)*(I1123-AB1123),"")</f>
        <v/>
      </c>
      <c r="AA1123" s="340" t="str">
        <f>IF(AND(C1123&gt;0,D1123&lt;&gt;"",S1123=""),VLOOKUP(A1123&amp;IF(H1123="黑丝","黑","白")&amp;E1123,经纬!A:N,14,FALSE)*(I1123-AB1123),"")</f>
        <v/>
      </c>
    </row>
    <row r="1124" spans="13:27">
      <c r="M1124" s="24" t="str">
        <f t="array" ref="M1124">LEFT(L1124,MIN(FIND({"A","B","C"},MID(L1124,2,LEN(L1124))&amp;"ABC")))</f>
        <v/>
      </c>
      <c r="N1124" s="24" t="str">
        <f t="array" ref="N1124">SUBSTITUTE(L1124,M1124,"")</f>
        <v/>
      </c>
      <c r="X1124" s="258" t="str">
        <f t="shared" si="56"/>
        <v/>
      </c>
      <c r="Y1124" s="36" t="str">
        <f t="shared" si="55"/>
        <v/>
      </c>
      <c r="Z1124" s="340" t="str">
        <f>IF(AND(C1124&gt;0,D1124&lt;&gt;"",S1124=""),VLOOKUP(A1124&amp;IF(H1124="黑丝","黑","白")&amp;E1124,经纬!A:M,13,FALSE)*(I1124-AB1124),"")</f>
        <v/>
      </c>
      <c r="AA1124" s="340" t="str">
        <f>IF(AND(C1124&gt;0,D1124&lt;&gt;"",S1124=""),VLOOKUP(A1124&amp;IF(H1124="黑丝","黑","白")&amp;E1124,经纬!A:N,14,FALSE)*(I1124-AB1124),"")</f>
        <v/>
      </c>
    </row>
    <row r="1125" spans="13:27">
      <c r="M1125" s="24" t="str">
        <f t="array" ref="M1125">LEFT(L1125,MIN(FIND({"A","B","C"},MID(L1125,2,LEN(L1125))&amp;"ABC")))</f>
        <v/>
      </c>
      <c r="N1125" s="24" t="str">
        <f t="array" ref="N1125">SUBSTITUTE(L1125,M1125,"")</f>
        <v/>
      </c>
      <c r="X1125" s="258" t="str">
        <f t="shared" si="56"/>
        <v/>
      </c>
      <c r="Y1125" s="36" t="str">
        <f t="shared" si="55"/>
        <v/>
      </c>
      <c r="Z1125" s="340" t="str">
        <f>IF(AND(C1125&gt;0,D1125&lt;&gt;"",S1125=""),VLOOKUP(A1125&amp;IF(H1125="黑丝","黑","白")&amp;E1125,经纬!A:M,13,FALSE)*(I1125-AB1125),"")</f>
        <v/>
      </c>
      <c r="AA1125" s="340" t="str">
        <f>IF(AND(C1125&gt;0,D1125&lt;&gt;"",S1125=""),VLOOKUP(A1125&amp;IF(H1125="黑丝","黑","白")&amp;E1125,经纬!A:N,14,FALSE)*(I1125-AB1125),"")</f>
        <v/>
      </c>
    </row>
    <row r="1126" spans="13:27">
      <c r="M1126" s="24" t="str">
        <f t="array" ref="M1126">LEFT(L1126,MIN(FIND({"A","B","C"},MID(L1126,2,LEN(L1126))&amp;"ABC")))</f>
        <v/>
      </c>
      <c r="N1126" s="24" t="str">
        <f t="array" ref="N1126">SUBSTITUTE(L1126,M1126,"")</f>
        <v/>
      </c>
      <c r="X1126" s="258" t="str">
        <f t="shared" si="56"/>
        <v/>
      </c>
      <c r="Y1126" s="36" t="str">
        <f t="shared" si="55"/>
        <v/>
      </c>
      <c r="Z1126" s="340" t="str">
        <f>IF(AND(C1126&gt;0,D1126&lt;&gt;"",S1126=""),VLOOKUP(A1126&amp;IF(H1126="黑丝","黑","白")&amp;E1126,经纬!A:M,13,FALSE)*(I1126-AB1126),"")</f>
        <v/>
      </c>
      <c r="AA1126" s="340" t="str">
        <f>IF(AND(C1126&gt;0,D1126&lt;&gt;"",S1126=""),VLOOKUP(A1126&amp;IF(H1126="黑丝","黑","白")&amp;E1126,经纬!A:N,14,FALSE)*(I1126-AB1126),"")</f>
        <v/>
      </c>
    </row>
    <row r="1127" spans="13:27">
      <c r="M1127" s="24" t="str">
        <f t="array" ref="M1127">LEFT(L1127,MIN(FIND({"A","B","C"},MID(L1127,2,LEN(L1127))&amp;"ABC")))</f>
        <v/>
      </c>
      <c r="N1127" s="24" t="str">
        <f t="array" ref="N1127">SUBSTITUTE(L1127,M1127,"")</f>
        <v/>
      </c>
      <c r="X1127" s="258" t="str">
        <f t="shared" si="56"/>
        <v/>
      </c>
      <c r="Y1127" s="36" t="str">
        <f t="shared" si="55"/>
        <v/>
      </c>
      <c r="Z1127" s="340" t="str">
        <f>IF(AND(C1127&gt;0,D1127&lt;&gt;"",S1127=""),VLOOKUP(A1127&amp;IF(H1127="黑丝","黑","白")&amp;E1127,经纬!A:M,13,FALSE)*(I1127-AB1127),"")</f>
        <v/>
      </c>
      <c r="AA1127" s="340" t="str">
        <f>IF(AND(C1127&gt;0,D1127&lt;&gt;"",S1127=""),VLOOKUP(A1127&amp;IF(H1127="黑丝","黑","白")&amp;E1127,经纬!A:N,14,FALSE)*(I1127-AB1127),"")</f>
        <v/>
      </c>
    </row>
    <row r="1128" spans="13:27">
      <c r="M1128" s="24" t="str">
        <f t="array" ref="M1128">LEFT(L1128,MIN(FIND({"A","B","C"},MID(L1128,2,LEN(L1128))&amp;"ABC")))</f>
        <v/>
      </c>
      <c r="N1128" s="24" t="str">
        <f t="array" ref="N1128">SUBSTITUTE(L1128,M1128,"")</f>
        <v/>
      </c>
      <c r="X1128" s="258" t="str">
        <f t="shared" si="56"/>
        <v/>
      </c>
      <c r="Y1128" s="36" t="str">
        <f t="shared" si="55"/>
        <v/>
      </c>
      <c r="Z1128" s="340" t="str">
        <f>IF(AND(C1128&gt;0,D1128&lt;&gt;"",S1128=""),VLOOKUP(A1128&amp;IF(H1128="黑丝","黑","白")&amp;E1128,经纬!A:M,13,FALSE)*(I1128-AB1128),"")</f>
        <v/>
      </c>
      <c r="AA1128" s="340" t="str">
        <f>IF(AND(C1128&gt;0,D1128&lt;&gt;"",S1128=""),VLOOKUP(A1128&amp;IF(H1128="黑丝","黑","白")&amp;E1128,经纬!A:N,14,FALSE)*(I1128-AB1128),"")</f>
        <v/>
      </c>
    </row>
    <row r="1129" spans="13:27">
      <c r="M1129" s="24" t="str">
        <f t="array" ref="M1129">LEFT(L1129,MIN(FIND({"A","B","C"},MID(L1129,2,LEN(L1129))&amp;"ABC")))</f>
        <v/>
      </c>
      <c r="N1129" s="24" t="str">
        <f t="array" ref="N1129">SUBSTITUTE(L1129,M1129,"")</f>
        <v/>
      </c>
      <c r="X1129" s="258" t="str">
        <f t="shared" si="56"/>
        <v/>
      </c>
      <c r="Y1129" s="36" t="str">
        <f t="shared" ref="Y1129:Y1192" si="57">IF(OR(B1129="",D1129&lt;&gt;""),"",IF(S1129&lt;&gt;"","",I1129/((1/((G1129+2)/100*K1129/1000))*0.9144)/IF(H1129="黑丝",22,20)-AB1129))</f>
        <v/>
      </c>
      <c r="Z1129" s="340" t="str">
        <f>IF(AND(C1129&gt;0,D1129&lt;&gt;"",S1129=""),VLOOKUP(A1129&amp;IF(H1129="黑丝","黑","白")&amp;E1129,经纬!A:M,13,FALSE)*(I1129-AB1129),"")</f>
        <v/>
      </c>
      <c r="AA1129" s="340" t="str">
        <f>IF(AND(C1129&gt;0,D1129&lt;&gt;"",S1129=""),VLOOKUP(A1129&amp;IF(H1129="黑丝","黑","白")&amp;E1129,经纬!A:N,14,FALSE)*(I1129-AB1129),"")</f>
        <v/>
      </c>
    </row>
    <row r="1130" spans="13:27">
      <c r="M1130" s="24" t="str">
        <f t="array" ref="M1130">LEFT(L1130,MIN(FIND({"A","B","C"},MID(L1130,2,LEN(L1130))&amp;"ABC")))</f>
        <v/>
      </c>
      <c r="N1130" s="24" t="str">
        <f t="array" ref="N1130">SUBSTITUTE(L1130,M1130,"")</f>
        <v/>
      </c>
      <c r="X1130" s="258" t="str">
        <f t="shared" si="56"/>
        <v/>
      </c>
      <c r="Y1130" s="36" t="str">
        <f t="shared" si="57"/>
        <v/>
      </c>
      <c r="Z1130" s="340" t="str">
        <f>IF(AND(C1130&gt;0,D1130&lt;&gt;"",S1130=""),VLOOKUP(A1130&amp;IF(H1130="黑丝","黑","白")&amp;E1130,经纬!A:M,13,FALSE)*(I1130-AB1130),"")</f>
        <v/>
      </c>
      <c r="AA1130" s="340" t="str">
        <f>IF(AND(C1130&gt;0,D1130&lt;&gt;"",S1130=""),VLOOKUP(A1130&amp;IF(H1130="黑丝","黑","白")&amp;E1130,经纬!A:N,14,FALSE)*(I1130-AB1130),"")</f>
        <v/>
      </c>
    </row>
    <row r="1131" spans="13:27">
      <c r="M1131" s="24" t="str">
        <f t="array" ref="M1131">LEFT(L1131,MIN(FIND({"A","B","C"},MID(L1131,2,LEN(L1131))&amp;"ABC")))</f>
        <v/>
      </c>
      <c r="N1131" s="24" t="str">
        <f t="array" ref="N1131">SUBSTITUTE(L1131,M1131,"")</f>
        <v/>
      </c>
      <c r="X1131" s="258" t="str">
        <f t="shared" si="56"/>
        <v/>
      </c>
      <c r="Y1131" s="36" t="str">
        <f t="shared" si="57"/>
        <v/>
      </c>
      <c r="Z1131" s="340" t="str">
        <f>IF(AND(C1131&gt;0,D1131&lt;&gt;"",S1131=""),VLOOKUP(A1131&amp;IF(H1131="黑丝","黑","白")&amp;E1131,经纬!A:M,13,FALSE)*(I1131-AB1131),"")</f>
        <v/>
      </c>
      <c r="AA1131" s="340" t="str">
        <f>IF(AND(C1131&gt;0,D1131&lt;&gt;"",S1131=""),VLOOKUP(A1131&amp;IF(H1131="黑丝","黑","白")&amp;E1131,经纬!A:N,14,FALSE)*(I1131-AB1131),"")</f>
        <v/>
      </c>
    </row>
    <row r="1132" spans="13:27">
      <c r="M1132" s="24" t="str">
        <f t="array" ref="M1132">LEFT(L1132,MIN(FIND({"A","B","C"},MID(L1132,2,LEN(L1132))&amp;"ABC")))</f>
        <v/>
      </c>
      <c r="N1132" s="24" t="str">
        <f t="array" ref="N1132">SUBSTITUTE(L1132,M1132,"")</f>
        <v/>
      </c>
      <c r="X1132" s="258" t="str">
        <f t="shared" si="56"/>
        <v/>
      </c>
      <c r="Y1132" s="36" t="str">
        <f t="shared" si="57"/>
        <v/>
      </c>
      <c r="Z1132" s="340" t="str">
        <f>IF(AND(C1132&gt;0,D1132&lt;&gt;"",S1132=""),VLOOKUP(A1132&amp;IF(H1132="黑丝","黑","白")&amp;E1132,经纬!A:M,13,FALSE)*(I1132-AB1132),"")</f>
        <v/>
      </c>
      <c r="AA1132" s="340" t="str">
        <f>IF(AND(C1132&gt;0,D1132&lt;&gt;"",S1132=""),VLOOKUP(A1132&amp;IF(H1132="黑丝","黑","白")&amp;E1132,经纬!A:N,14,FALSE)*(I1132-AB1132),"")</f>
        <v/>
      </c>
    </row>
    <row r="1133" spans="13:27">
      <c r="M1133" s="24" t="str">
        <f t="array" ref="M1133">LEFT(L1133,MIN(FIND({"A","B","C"},MID(L1133,2,LEN(L1133))&amp;"ABC")))</f>
        <v/>
      </c>
      <c r="N1133" s="24" t="str">
        <f t="array" ref="N1133">SUBSTITUTE(L1133,M1133,"")</f>
        <v/>
      </c>
      <c r="X1133" s="258" t="str">
        <f t="shared" si="56"/>
        <v/>
      </c>
      <c r="Y1133" s="36" t="str">
        <f t="shared" si="57"/>
        <v/>
      </c>
      <c r="Z1133" s="340" t="str">
        <f>IF(AND(C1133&gt;0,D1133&lt;&gt;"",S1133=""),VLOOKUP(A1133&amp;IF(H1133="黑丝","黑","白")&amp;E1133,经纬!A:M,13,FALSE)*(I1133-AB1133),"")</f>
        <v/>
      </c>
      <c r="AA1133" s="340" t="str">
        <f>IF(AND(C1133&gt;0,D1133&lt;&gt;"",S1133=""),VLOOKUP(A1133&amp;IF(H1133="黑丝","黑","白")&amp;E1133,经纬!A:N,14,FALSE)*(I1133-AB1133),"")</f>
        <v/>
      </c>
    </row>
    <row r="1134" spans="13:27">
      <c r="M1134" s="24" t="str">
        <f t="array" ref="M1134">LEFT(L1134,MIN(FIND({"A","B","C"},MID(L1134,2,LEN(L1134))&amp;"ABC")))</f>
        <v/>
      </c>
      <c r="N1134" s="24" t="str">
        <f t="array" ref="N1134">SUBSTITUTE(L1134,M1134,"")</f>
        <v/>
      </c>
      <c r="X1134" s="258" t="str">
        <f t="shared" si="56"/>
        <v/>
      </c>
      <c r="Y1134" s="36" t="str">
        <f t="shared" si="57"/>
        <v/>
      </c>
      <c r="Z1134" s="340" t="str">
        <f>IF(AND(C1134&gt;0,D1134&lt;&gt;"",S1134=""),VLOOKUP(A1134&amp;IF(H1134="黑丝","黑","白")&amp;E1134,经纬!A:M,13,FALSE)*(I1134-AB1134),"")</f>
        <v/>
      </c>
      <c r="AA1134" s="340" t="str">
        <f>IF(AND(C1134&gt;0,D1134&lt;&gt;"",S1134=""),VLOOKUP(A1134&amp;IF(H1134="黑丝","黑","白")&amp;E1134,经纬!A:N,14,FALSE)*(I1134-AB1134),"")</f>
        <v/>
      </c>
    </row>
    <row r="1135" spans="13:27">
      <c r="M1135" s="24" t="str">
        <f t="array" ref="M1135">LEFT(L1135,MIN(FIND({"A","B","C"},MID(L1135,2,LEN(L1135))&amp;"ABC")))</f>
        <v/>
      </c>
      <c r="N1135" s="24" t="str">
        <f t="array" ref="N1135">SUBSTITUTE(L1135,M1135,"")</f>
        <v/>
      </c>
      <c r="X1135" s="258" t="str">
        <f t="shared" si="56"/>
        <v/>
      </c>
      <c r="Y1135" s="36" t="str">
        <f t="shared" si="57"/>
        <v/>
      </c>
      <c r="Z1135" s="340" t="str">
        <f>IF(AND(C1135&gt;0,D1135&lt;&gt;"",S1135=""),VLOOKUP(A1135&amp;IF(H1135="黑丝","黑","白")&amp;E1135,经纬!A:M,13,FALSE)*(I1135-AB1135),"")</f>
        <v/>
      </c>
      <c r="AA1135" s="340" t="str">
        <f>IF(AND(C1135&gt;0,D1135&lt;&gt;"",S1135=""),VLOOKUP(A1135&amp;IF(H1135="黑丝","黑","白")&amp;E1135,经纬!A:N,14,FALSE)*(I1135-AB1135),"")</f>
        <v/>
      </c>
    </row>
    <row r="1136" spans="13:27">
      <c r="M1136" s="24" t="str">
        <f t="array" ref="M1136">LEFT(L1136,MIN(FIND({"A","B","C"},MID(L1136,2,LEN(L1136))&amp;"ABC")))</f>
        <v/>
      </c>
      <c r="N1136" s="24" t="str">
        <f t="array" ref="N1136">SUBSTITUTE(L1136,M1136,"")</f>
        <v/>
      </c>
      <c r="X1136" s="258" t="str">
        <f t="shared" si="56"/>
        <v/>
      </c>
      <c r="Y1136" s="36" t="str">
        <f t="shared" si="57"/>
        <v/>
      </c>
      <c r="Z1136" s="340" t="str">
        <f>IF(AND(C1136&gt;0,D1136&lt;&gt;"",S1136=""),VLOOKUP(A1136&amp;IF(H1136="黑丝","黑","白")&amp;E1136,经纬!A:M,13,FALSE)*(I1136-AB1136),"")</f>
        <v/>
      </c>
      <c r="AA1136" s="340" t="str">
        <f>IF(AND(C1136&gt;0,D1136&lt;&gt;"",S1136=""),VLOOKUP(A1136&amp;IF(H1136="黑丝","黑","白")&amp;E1136,经纬!A:N,14,FALSE)*(I1136-AB1136),"")</f>
        <v/>
      </c>
    </row>
    <row r="1137" spans="13:27">
      <c r="M1137" s="24" t="str">
        <f t="array" ref="M1137">LEFT(L1137,MIN(FIND({"A","B","C"},MID(L1137,2,LEN(L1137))&amp;"ABC")))</f>
        <v/>
      </c>
      <c r="N1137" s="24" t="str">
        <f t="array" ref="N1137">SUBSTITUTE(L1137,M1137,"")</f>
        <v/>
      </c>
      <c r="X1137" s="258" t="str">
        <f t="shared" si="56"/>
        <v/>
      </c>
      <c r="Y1137" s="36" t="str">
        <f t="shared" si="57"/>
        <v/>
      </c>
      <c r="Z1137" s="340" t="str">
        <f>IF(AND(C1137&gt;0,D1137&lt;&gt;"",S1137=""),VLOOKUP(A1137&amp;IF(H1137="黑丝","黑","白")&amp;E1137,经纬!A:M,13,FALSE)*(I1137-AB1137),"")</f>
        <v/>
      </c>
      <c r="AA1137" s="340" t="str">
        <f>IF(AND(C1137&gt;0,D1137&lt;&gt;"",S1137=""),VLOOKUP(A1137&amp;IF(H1137="黑丝","黑","白")&amp;E1137,经纬!A:N,14,FALSE)*(I1137-AB1137),"")</f>
        <v/>
      </c>
    </row>
    <row r="1138" spans="13:27">
      <c r="M1138" s="24" t="str">
        <f t="array" ref="M1138">LEFT(L1138,MIN(FIND({"A","B","C"},MID(L1138,2,LEN(L1138))&amp;"ABC")))</f>
        <v/>
      </c>
      <c r="N1138" s="24" t="str">
        <f t="array" ref="N1138">SUBSTITUTE(L1138,M1138,"")</f>
        <v/>
      </c>
      <c r="X1138" s="258" t="str">
        <f t="shared" si="56"/>
        <v/>
      </c>
      <c r="Y1138" s="36" t="str">
        <f t="shared" si="57"/>
        <v/>
      </c>
      <c r="Z1138" s="340" t="str">
        <f>IF(AND(C1138&gt;0,D1138&lt;&gt;"",S1138=""),VLOOKUP(A1138&amp;IF(H1138="黑丝","黑","白")&amp;E1138,经纬!A:M,13,FALSE)*(I1138-AB1138),"")</f>
        <v/>
      </c>
      <c r="AA1138" s="340" t="str">
        <f>IF(AND(C1138&gt;0,D1138&lt;&gt;"",S1138=""),VLOOKUP(A1138&amp;IF(H1138="黑丝","黑","白")&amp;E1138,经纬!A:N,14,FALSE)*(I1138-AB1138),"")</f>
        <v/>
      </c>
    </row>
    <row r="1139" spans="13:27">
      <c r="M1139" s="24" t="str">
        <f t="array" ref="M1139">LEFT(L1139,MIN(FIND({"A","B","C"},MID(L1139,2,LEN(L1139))&amp;"ABC")))</f>
        <v/>
      </c>
      <c r="N1139" s="24" t="str">
        <f t="array" ref="N1139">SUBSTITUTE(L1139,M1139,"")</f>
        <v/>
      </c>
      <c r="X1139" s="258" t="str">
        <f t="shared" si="56"/>
        <v/>
      </c>
      <c r="Y1139" s="36" t="str">
        <f t="shared" si="57"/>
        <v/>
      </c>
      <c r="Z1139" s="340" t="str">
        <f>IF(AND(C1139&gt;0,D1139&lt;&gt;"",S1139=""),VLOOKUP(A1139&amp;IF(H1139="黑丝","黑","白")&amp;E1139,经纬!A:M,13,FALSE)*(I1139-AB1139),"")</f>
        <v/>
      </c>
      <c r="AA1139" s="340" t="str">
        <f>IF(AND(C1139&gt;0,D1139&lt;&gt;"",S1139=""),VLOOKUP(A1139&amp;IF(H1139="黑丝","黑","白")&amp;E1139,经纬!A:N,14,FALSE)*(I1139-AB1139),"")</f>
        <v/>
      </c>
    </row>
    <row r="1140" spans="13:27">
      <c r="M1140" s="24" t="str">
        <f t="array" ref="M1140">LEFT(L1140,MIN(FIND({"A","B","C"},MID(L1140,2,LEN(L1140))&amp;"ABC")))</f>
        <v/>
      </c>
      <c r="N1140" s="24" t="str">
        <f t="array" ref="N1140">SUBSTITUTE(L1140,M1140,"")</f>
        <v/>
      </c>
      <c r="X1140" s="258" t="str">
        <f t="shared" si="56"/>
        <v/>
      </c>
      <c r="Y1140" s="36" t="str">
        <f t="shared" si="57"/>
        <v/>
      </c>
      <c r="Z1140" s="340" t="str">
        <f>IF(AND(C1140&gt;0,D1140&lt;&gt;"",S1140=""),VLOOKUP(A1140&amp;IF(H1140="黑丝","黑","白")&amp;E1140,经纬!A:M,13,FALSE)*(I1140-AB1140),"")</f>
        <v/>
      </c>
      <c r="AA1140" s="340" t="str">
        <f>IF(AND(C1140&gt;0,D1140&lt;&gt;"",S1140=""),VLOOKUP(A1140&amp;IF(H1140="黑丝","黑","白")&amp;E1140,经纬!A:N,14,FALSE)*(I1140-AB1140),"")</f>
        <v/>
      </c>
    </row>
    <row r="1141" spans="13:27">
      <c r="M1141" s="24" t="str">
        <f t="array" ref="M1141">LEFT(L1141,MIN(FIND({"A","B","C"},MID(L1141,2,LEN(L1141))&amp;"ABC")))</f>
        <v/>
      </c>
      <c r="N1141" s="24" t="str">
        <f t="array" ref="N1141">SUBSTITUTE(L1141,M1141,"")</f>
        <v/>
      </c>
      <c r="X1141" s="258" t="str">
        <f t="shared" si="56"/>
        <v/>
      </c>
      <c r="Y1141" s="36" t="str">
        <f t="shared" si="57"/>
        <v/>
      </c>
      <c r="Z1141" s="340" t="str">
        <f>IF(AND(C1141&gt;0,D1141&lt;&gt;"",S1141=""),VLOOKUP(A1141&amp;IF(H1141="黑丝","黑","白")&amp;E1141,经纬!A:M,13,FALSE)*(I1141-AB1141),"")</f>
        <v/>
      </c>
      <c r="AA1141" s="340" t="str">
        <f>IF(AND(C1141&gt;0,D1141&lt;&gt;"",S1141=""),VLOOKUP(A1141&amp;IF(H1141="黑丝","黑","白")&amp;E1141,经纬!A:N,14,FALSE)*(I1141-AB1141),"")</f>
        <v/>
      </c>
    </row>
    <row r="1142" spans="13:27">
      <c r="M1142" s="24" t="str">
        <f t="array" ref="M1142">LEFT(L1142,MIN(FIND({"A","B","C"},MID(L1142,2,LEN(L1142))&amp;"ABC")))</f>
        <v/>
      </c>
      <c r="N1142" s="24" t="str">
        <f t="array" ref="N1142">SUBSTITUTE(L1142,M1142,"")</f>
        <v/>
      </c>
      <c r="X1142" s="258" t="str">
        <f t="shared" si="56"/>
        <v/>
      </c>
      <c r="Y1142" s="36" t="str">
        <f t="shared" si="57"/>
        <v/>
      </c>
      <c r="Z1142" s="340" t="str">
        <f>IF(AND(C1142&gt;0,D1142&lt;&gt;"",S1142=""),VLOOKUP(A1142&amp;IF(H1142="黑丝","黑","白")&amp;E1142,经纬!A:M,13,FALSE)*(I1142-AB1142),"")</f>
        <v/>
      </c>
      <c r="AA1142" s="340" t="str">
        <f>IF(AND(C1142&gt;0,D1142&lt;&gt;"",S1142=""),VLOOKUP(A1142&amp;IF(H1142="黑丝","黑","白")&amp;E1142,经纬!A:N,14,FALSE)*(I1142-AB1142),"")</f>
        <v/>
      </c>
    </row>
    <row r="1143" spans="13:27">
      <c r="M1143" s="24" t="str">
        <f t="array" ref="M1143">LEFT(L1143,MIN(FIND({"A","B","C"},MID(L1143,2,LEN(L1143))&amp;"ABC")))</f>
        <v/>
      </c>
      <c r="N1143" s="24" t="str">
        <f t="array" ref="N1143">SUBSTITUTE(L1143,M1143,"")</f>
        <v/>
      </c>
      <c r="X1143" s="258" t="str">
        <f t="shared" si="56"/>
        <v/>
      </c>
      <c r="Y1143" s="36" t="str">
        <f t="shared" si="57"/>
        <v/>
      </c>
      <c r="Z1143" s="340" t="str">
        <f>IF(AND(C1143&gt;0,D1143&lt;&gt;"",S1143=""),VLOOKUP(A1143&amp;IF(H1143="黑丝","黑","白")&amp;E1143,经纬!A:M,13,FALSE)*(I1143-AB1143),"")</f>
        <v/>
      </c>
      <c r="AA1143" s="340" t="str">
        <f>IF(AND(C1143&gt;0,D1143&lt;&gt;"",S1143=""),VLOOKUP(A1143&amp;IF(H1143="黑丝","黑","白")&amp;E1143,经纬!A:N,14,FALSE)*(I1143-AB1143),"")</f>
        <v/>
      </c>
    </row>
    <row r="1144" spans="13:27">
      <c r="M1144" s="24" t="str">
        <f t="array" ref="M1144">LEFT(L1144,MIN(FIND({"A","B","C"},MID(L1144,2,LEN(L1144))&amp;"ABC")))</f>
        <v/>
      </c>
      <c r="N1144" s="24" t="str">
        <f t="array" ref="N1144">SUBSTITUTE(L1144,M1144,"")</f>
        <v/>
      </c>
      <c r="X1144" s="258" t="str">
        <f t="shared" si="56"/>
        <v/>
      </c>
      <c r="Y1144" s="36" t="str">
        <f t="shared" si="57"/>
        <v/>
      </c>
      <c r="Z1144" s="340" t="str">
        <f>IF(AND(C1144&gt;0,D1144&lt;&gt;"",S1144=""),VLOOKUP(A1144&amp;IF(H1144="黑丝","黑","白")&amp;E1144,经纬!A:M,13,FALSE)*(I1144-AB1144),"")</f>
        <v/>
      </c>
      <c r="AA1144" s="340" t="str">
        <f>IF(AND(C1144&gt;0,D1144&lt;&gt;"",S1144=""),VLOOKUP(A1144&amp;IF(H1144="黑丝","黑","白")&amp;E1144,经纬!A:N,14,FALSE)*(I1144-AB1144),"")</f>
        <v/>
      </c>
    </row>
    <row r="1145" spans="13:27">
      <c r="M1145" s="24" t="str">
        <f t="array" ref="M1145">LEFT(L1145,MIN(FIND({"A","B","C"},MID(L1145,2,LEN(L1145))&amp;"ABC")))</f>
        <v/>
      </c>
      <c r="N1145" s="24" t="str">
        <f t="array" ref="N1145">SUBSTITUTE(L1145,M1145,"")</f>
        <v/>
      </c>
      <c r="X1145" s="258" t="str">
        <f t="shared" si="56"/>
        <v/>
      </c>
      <c r="Y1145" s="36" t="str">
        <f t="shared" si="57"/>
        <v/>
      </c>
      <c r="Z1145" s="340" t="str">
        <f>IF(AND(C1145&gt;0,D1145&lt;&gt;"",S1145=""),VLOOKUP(A1145&amp;IF(H1145="黑丝","黑","白")&amp;E1145,经纬!A:M,13,FALSE)*(I1145-AB1145),"")</f>
        <v/>
      </c>
      <c r="AA1145" s="340" t="str">
        <f>IF(AND(C1145&gt;0,D1145&lt;&gt;"",S1145=""),VLOOKUP(A1145&amp;IF(H1145="黑丝","黑","白")&amp;E1145,经纬!A:N,14,FALSE)*(I1145-AB1145),"")</f>
        <v/>
      </c>
    </row>
    <row r="1146" spans="13:27">
      <c r="M1146" s="24" t="str">
        <f t="array" ref="M1146">LEFT(L1146,MIN(FIND({"A","B","C"},MID(L1146,2,LEN(L1146))&amp;"ABC")))</f>
        <v/>
      </c>
      <c r="N1146" s="24" t="str">
        <f t="array" ref="N1146">SUBSTITUTE(L1146,M1146,"")</f>
        <v/>
      </c>
      <c r="X1146" s="258" t="str">
        <f t="shared" si="56"/>
        <v/>
      </c>
      <c r="Y1146" s="36" t="str">
        <f t="shared" si="57"/>
        <v/>
      </c>
      <c r="Z1146" s="340" t="str">
        <f>IF(AND(C1146&gt;0,D1146&lt;&gt;"",S1146=""),VLOOKUP(A1146&amp;IF(H1146="黑丝","黑","白")&amp;E1146,经纬!A:M,13,FALSE)*(I1146-AB1146),"")</f>
        <v/>
      </c>
      <c r="AA1146" s="340" t="str">
        <f>IF(AND(C1146&gt;0,D1146&lt;&gt;"",S1146=""),VLOOKUP(A1146&amp;IF(H1146="黑丝","黑","白")&amp;E1146,经纬!A:N,14,FALSE)*(I1146-AB1146),"")</f>
        <v/>
      </c>
    </row>
    <row r="1147" spans="13:27">
      <c r="M1147" s="24" t="str">
        <f t="array" ref="M1147">LEFT(L1147,MIN(FIND({"A","B","C"},MID(L1147,2,LEN(L1147))&amp;"ABC")))</f>
        <v/>
      </c>
      <c r="N1147" s="24" t="str">
        <f t="array" ref="N1147">SUBSTITUTE(L1147,M1147,"")</f>
        <v/>
      </c>
      <c r="X1147" s="258" t="str">
        <f t="shared" si="56"/>
        <v/>
      </c>
      <c r="Y1147" s="36" t="str">
        <f t="shared" si="57"/>
        <v/>
      </c>
      <c r="Z1147" s="340" t="str">
        <f>IF(AND(C1147&gt;0,D1147&lt;&gt;"",S1147=""),VLOOKUP(A1147&amp;IF(H1147="黑丝","黑","白")&amp;E1147,经纬!A:M,13,FALSE)*(I1147-AB1147),"")</f>
        <v/>
      </c>
      <c r="AA1147" s="340" t="str">
        <f>IF(AND(C1147&gt;0,D1147&lt;&gt;"",S1147=""),VLOOKUP(A1147&amp;IF(H1147="黑丝","黑","白")&amp;E1147,经纬!A:N,14,FALSE)*(I1147-AB1147),"")</f>
        <v/>
      </c>
    </row>
    <row r="1148" spans="13:27">
      <c r="M1148" s="24" t="str">
        <f t="array" ref="M1148">LEFT(L1148,MIN(FIND({"A","B","C"},MID(L1148,2,LEN(L1148))&amp;"ABC")))</f>
        <v/>
      </c>
      <c r="N1148" s="24" t="str">
        <f t="array" ref="N1148">SUBSTITUTE(L1148,M1148,"")</f>
        <v/>
      </c>
      <c r="X1148" s="258" t="str">
        <f t="shared" si="56"/>
        <v/>
      </c>
      <c r="Y1148" s="36" t="str">
        <f t="shared" si="57"/>
        <v/>
      </c>
      <c r="Z1148" s="340" t="str">
        <f>IF(AND(C1148&gt;0,D1148&lt;&gt;"",S1148=""),VLOOKUP(A1148&amp;IF(H1148="黑丝","黑","白")&amp;E1148,经纬!A:M,13,FALSE)*(I1148-AB1148),"")</f>
        <v/>
      </c>
      <c r="AA1148" s="340" t="str">
        <f>IF(AND(C1148&gt;0,D1148&lt;&gt;"",S1148=""),VLOOKUP(A1148&amp;IF(H1148="黑丝","黑","白")&amp;E1148,经纬!A:N,14,FALSE)*(I1148-AB1148),"")</f>
        <v/>
      </c>
    </row>
    <row r="1149" spans="13:27">
      <c r="M1149" s="24" t="str">
        <f t="array" ref="M1149">LEFT(L1149,MIN(FIND({"A","B","C"},MID(L1149,2,LEN(L1149))&amp;"ABC")))</f>
        <v/>
      </c>
      <c r="N1149" s="24" t="str">
        <f t="array" ref="N1149">SUBSTITUTE(L1149,M1149,"")</f>
        <v/>
      </c>
      <c r="X1149" s="258" t="str">
        <f t="shared" si="56"/>
        <v/>
      </c>
      <c r="Y1149" s="36" t="str">
        <f t="shared" si="57"/>
        <v/>
      </c>
      <c r="Z1149" s="340" t="str">
        <f>IF(AND(C1149&gt;0,D1149&lt;&gt;"",S1149=""),VLOOKUP(A1149&amp;IF(H1149="黑丝","黑","白")&amp;E1149,经纬!A:M,13,FALSE)*(I1149-AB1149),"")</f>
        <v/>
      </c>
      <c r="AA1149" s="340" t="str">
        <f>IF(AND(C1149&gt;0,D1149&lt;&gt;"",S1149=""),VLOOKUP(A1149&amp;IF(H1149="黑丝","黑","白")&amp;E1149,经纬!A:N,14,FALSE)*(I1149-AB1149),"")</f>
        <v/>
      </c>
    </row>
    <row r="1150" spans="13:27">
      <c r="M1150" s="24" t="str">
        <f t="array" ref="M1150">LEFT(L1150,MIN(FIND({"A","B","C"},MID(L1150,2,LEN(L1150))&amp;"ABC")))</f>
        <v/>
      </c>
      <c r="N1150" s="24" t="str">
        <f t="array" ref="N1150">SUBSTITUTE(L1150,M1150,"")</f>
        <v/>
      </c>
      <c r="X1150" s="258" t="str">
        <f t="shared" si="56"/>
        <v/>
      </c>
      <c r="Y1150" s="36" t="str">
        <f t="shared" si="57"/>
        <v/>
      </c>
      <c r="Z1150" s="340" t="str">
        <f>IF(AND(C1150&gt;0,D1150&lt;&gt;"",S1150=""),VLOOKUP(A1150&amp;IF(H1150="黑丝","黑","白")&amp;E1150,经纬!A:M,13,FALSE)*(I1150-AB1150),"")</f>
        <v/>
      </c>
      <c r="AA1150" s="340" t="str">
        <f>IF(AND(C1150&gt;0,D1150&lt;&gt;"",S1150=""),VLOOKUP(A1150&amp;IF(H1150="黑丝","黑","白")&amp;E1150,经纬!A:N,14,FALSE)*(I1150-AB1150),"")</f>
        <v/>
      </c>
    </row>
    <row r="1151" spans="13:27">
      <c r="M1151" s="24" t="str">
        <f t="array" ref="M1151">LEFT(L1151,MIN(FIND({"A","B","C"},MID(L1151,2,LEN(L1151))&amp;"ABC")))</f>
        <v/>
      </c>
      <c r="N1151" s="24" t="str">
        <f t="array" ref="N1151">SUBSTITUTE(L1151,M1151,"")</f>
        <v/>
      </c>
      <c r="X1151" s="258" t="str">
        <f t="shared" si="56"/>
        <v/>
      </c>
      <c r="Y1151" s="36" t="str">
        <f t="shared" si="57"/>
        <v/>
      </c>
      <c r="Z1151" s="340" t="str">
        <f>IF(AND(C1151&gt;0,D1151&lt;&gt;"",S1151=""),VLOOKUP(A1151&amp;IF(H1151="黑丝","黑","白")&amp;E1151,经纬!A:M,13,FALSE)*(I1151-AB1151),"")</f>
        <v/>
      </c>
      <c r="AA1151" s="340" t="str">
        <f>IF(AND(C1151&gt;0,D1151&lt;&gt;"",S1151=""),VLOOKUP(A1151&amp;IF(H1151="黑丝","黑","白")&amp;E1151,经纬!A:N,14,FALSE)*(I1151-AB1151),"")</f>
        <v/>
      </c>
    </row>
    <row r="1152" spans="13:27">
      <c r="M1152" s="24" t="str">
        <f t="array" ref="M1152">LEFT(L1152,MIN(FIND({"A","B","C"},MID(L1152,2,LEN(L1152))&amp;"ABC")))</f>
        <v/>
      </c>
      <c r="N1152" s="24" t="str">
        <f t="array" ref="N1152">SUBSTITUTE(L1152,M1152,"")</f>
        <v/>
      </c>
      <c r="X1152" s="258" t="str">
        <f t="shared" si="56"/>
        <v/>
      </c>
      <c r="Y1152" s="36" t="str">
        <f t="shared" si="57"/>
        <v/>
      </c>
      <c r="Z1152" s="340" t="str">
        <f>IF(AND(C1152&gt;0,D1152&lt;&gt;"",S1152=""),VLOOKUP(A1152&amp;IF(H1152="黑丝","黑","白")&amp;E1152,经纬!A:M,13,FALSE)*(I1152-AB1152),"")</f>
        <v/>
      </c>
      <c r="AA1152" s="340" t="str">
        <f>IF(AND(C1152&gt;0,D1152&lt;&gt;"",S1152=""),VLOOKUP(A1152&amp;IF(H1152="黑丝","黑","白")&amp;E1152,经纬!A:N,14,FALSE)*(I1152-AB1152),"")</f>
        <v/>
      </c>
    </row>
    <row r="1153" spans="13:27">
      <c r="M1153" s="24" t="str">
        <f t="array" ref="M1153">LEFT(L1153,MIN(FIND({"A","B","C"},MID(L1153,2,LEN(L1153))&amp;"ABC")))</f>
        <v/>
      </c>
      <c r="N1153" s="24" t="str">
        <f t="array" ref="N1153">SUBSTITUTE(L1153,M1153,"")</f>
        <v/>
      </c>
      <c r="X1153" s="258" t="str">
        <f t="shared" si="56"/>
        <v/>
      </c>
      <c r="Y1153" s="36" t="str">
        <f t="shared" si="57"/>
        <v/>
      </c>
      <c r="Z1153" s="340" t="str">
        <f>IF(AND(C1153&gt;0,D1153&lt;&gt;"",S1153=""),VLOOKUP(A1153&amp;IF(H1153="黑丝","黑","白")&amp;E1153,经纬!A:M,13,FALSE)*(I1153-AB1153),"")</f>
        <v/>
      </c>
      <c r="AA1153" s="340" t="str">
        <f>IF(AND(C1153&gt;0,D1153&lt;&gt;"",S1153=""),VLOOKUP(A1153&amp;IF(H1153="黑丝","黑","白")&amp;E1153,经纬!A:N,14,FALSE)*(I1153-AB1153),"")</f>
        <v/>
      </c>
    </row>
    <row r="1154" spans="13:27">
      <c r="M1154" s="24" t="str">
        <f t="array" ref="M1154">LEFT(L1154,MIN(FIND({"A","B","C"},MID(L1154,2,LEN(L1154))&amp;"ABC")))</f>
        <v/>
      </c>
      <c r="N1154" s="24" t="str">
        <f t="array" ref="N1154">SUBSTITUTE(L1154,M1154,"")</f>
        <v/>
      </c>
      <c r="X1154" s="258" t="str">
        <f t="shared" si="56"/>
        <v/>
      </c>
      <c r="Y1154" s="36" t="str">
        <f t="shared" si="57"/>
        <v/>
      </c>
      <c r="Z1154" s="340" t="str">
        <f>IF(AND(C1154&gt;0,D1154&lt;&gt;"",S1154=""),VLOOKUP(A1154&amp;IF(H1154="黑丝","黑","白")&amp;E1154,经纬!A:M,13,FALSE)*(I1154-AB1154),"")</f>
        <v/>
      </c>
      <c r="AA1154" s="340" t="str">
        <f>IF(AND(C1154&gt;0,D1154&lt;&gt;"",S1154=""),VLOOKUP(A1154&amp;IF(H1154="黑丝","黑","白")&amp;E1154,经纬!A:N,14,FALSE)*(I1154-AB1154),"")</f>
        <v/>
      </c>
    </row>
    <row r="1155" spans="13:27">
      <c r="M1155" s="24" t="str">
        <f t="array" ref="M1155">LEFT(L1155,MIN(FIND({"A","B","C"},MID(L1155,2,LEN(L1155))&amp;"ABC")))</f>
        <v/>
      </c>
      <c r="N1155" s="24" t="str">
        <f t="array" ref="N1155">SUBSTITUTE(L1155,M1155,"")</f>
        <v/>
      </c>
      <c r="X1155" s="258" t="str">
        <f t="shared" si="56"/>
        <v/>
      </c>
      <c r="Y1155" s="36" t="str">
        <f t="shared" si="57"/>
        <v/>
      </c>
      <c r="Z1155" s="340" t="str">
        <f>IF(AND(C1155&gt;0,D1155&lt;&gt;"",S1155=""),VLOOKUP(A1155&amp;IF(H1155="黑丝","黑","白")&amp;E1155,经纬!A:M,13,FALSE)*(I1155-AB1155),"")</f>
        <v/>
      </c>
      <c r="AA1155" s="340" t="str">
        <f>IF(AND(C1155&gt;0,D1155&lt;&gt;"",S1155=""),VLOOKUP(A1155&amp;IF(H1155="黑丝","黑","白")&amp;E1155,经纬!A:N,14,FALSE)*(I1155-AB1155),"")</f>
        <v/>
      </c>
    </row>
    <row r="1156" spans="13:27">
      <c r="M1156" s="24" t="str">
        <f t="array" ref="M1156">LEFT(L1156,MIN(FIND({"A","B","C"},MID(L1156,2,LEN(L1156))&amp;"ABC")))</f>
        <v/>
      </c>
      <c r="N1156" s="24" t="str">
        <f t="array" ref="N1156">SUBSTITUTE(L1156,M1156,"")</f>
        <v/>
      </c>
      <c r="X1156" s="258" t="str">
        <f t="shared" si="56"/>
        <v/>
      </c>
      <c r="Y1156" s="36" t="str">
        <f t="shared" si="57"/>
        <v/>
      </c>
      <c r="Z1156" s="340" t="str">
        <f>IF(AND(C1156&gt;0,D1156&lt;&gt;"",S1156=""),VLOOKUP(A1156&amp;IF(H1156="黑丝","黑","白")&amp;E1156,经纬!A:M,13,FALSE)*(I1156-AB1156),"")</f>
        <v/>
      </c>
      <c r="AA1156" s="340" t="str">
        <f>IF(AND(C1156&gt;0,D1156&lt;&gt;"",S1156=""),VLOOKUP(A1156&amp;IF(H1156="黑丝","黑","白")&amp;E1156,经纬!A:N,14,FALSE)*(I1156-AB1156),"")</f>
        <v/>
      </c>
    </row>
    <row r="1157" spans="13:27">
      <c r="M1157" s="24" t="str">
        <f t="array" ref="M1157">LEFT(L1157,MIN(FIND({"A","B","C"},MID(L1157,2,LEN(L1157))&amp;"ABC")))</f>
        <v/>
      </c>
      <c r="N1157" s="24" t="str">
        <f t="array" ref="N1157">SUBSTITUTE(L1157,M1157,"")</f>
        <v/>
      </c>
      <c r="X1157" s="258" t="str">
        <f t="shared" si="56"/>
        <v/>
      </c>
      <c r="Y1157" s="36" t="str">
        <f t="shared" si="57"/>
        <v/>
      </c>
      <c r="Z1157" s="340" t="str">
        <f>IF(AND(C1157&gt;0,D1157&lt;&gt;"",S1157=""),VLOOKUP(A1157&amp;IF(H1157="黑丝","黑","白")&amp;E1157,经纬!A:M,13,FALSE)*(I1157-AB1157),"")</f>
        <v/>
      </c>
      <c r="AA1157" s="340" t="str">
        <f>IF(AND(C1157&gt;0,D1157&lt;&gt;"",S1157=""),VLOOKUP(A1157&amp;IF(H1157="黑丝","黑","白")&amp;E1157,经纬!A:N,14,FALSE)*(I1157-AB1157),"")</f>
        <v/>
      </c>
    </row>
    <row r="1158" spans="13:27">
      <c r="M1158" s="24" t="str">
        <f t="array" ref="M1158">LEFT(L1158,MIN(FIND({"A","B","C"},MID(L1158,2,LEN(L1158))&amp;"ABC")))</f>
        <v/>
      </c>
      <c r="N1158" s="24" t="str">
        <f t="array" ref="N1158">SUBSTITUTE(L1158,M1158,"")</f>
        <v/>
      </c>
      <c r="X1158" s="258" t="str">
        <f t="shared" si="56"/>
        <v/>
      </c>
      <c r="Y1158" s="36" t="str">
        <f t="shared" si="57"/>
        <v/>
      </c>
      <c r="Z1158" s="340" t="str">
        <f>IF(AND(C1158&gt;0,D1158&lt;&gt;"",S1158=""),VLOOKUP(A1158&amp;IF(H1158="黑丝","黑","白")&amp;E1158,经纬!A:M,13,FALSE)*(I1158-AB1158),"")</f>
        <v/>
      </c>
      <c r="AA1158" s="340" t="str">
        <f>IF(AND(C1158&gt;0,D1158&lt;&gt;"",S1158=""),VLOOKUP(A1158&amp;IF(H1158="黑丝","黑","白")&amp;E1158,经纬!A:N,14,FALSE)*(I1158-AB1158),"")</f>
        <v/>
      </c>
    </row>
    <row r="1159" spans="13:27">
      <c r="M1159" s="24" t="str">
        <f t="array" ref="M1159">LEFT(L1159,MIN(FIND({"A","B","C"},MID(L1159,2,LEN(L1159))&amp;"ABC")))</f>
        <v/>
      </c>
      <c r="N1159" s="24" t="str">
        <f t="array" ref="N1159">SUBSTITUTE(L1159,M1159,"")</f>
        <v/>
      </c>
      <c r="X1159" s="258" t="str">
        <f t="shared" si="56"/>
        <v/>
      </c>
      <c r="Y1159" s="36" t="str">
        <f t="shared" si="57"/>
        <v/>
      </c>
      <c r="Z1159" s="340" t="str">
        <f>IF(AND(C1159&gt;0,D1159&lt;&gt;"",S1159=""),VLOOKUP(A1159&amp;IF(H1159="黑丝","黑","白")&amp;E1159,经纬!A:M,13,FALSE)*(I1159-AB1159),"")</f>
        <v/>
      </c>
      <c r="AA1159" s="340" t="str">
        <f>IF(AND(C1159&gt;0,D1159&lt;&gt;"",S1159=""),VLOOKUP(A1159&amp;IF(H1159="黑丝","黑","白")&amp;E1159,经纬!A:N,14,FALSE)*(I1159-AB1159),"")</f>
        <v/>
      </c>
    </row>
    <row r="1160" spans="13:27">
      <c r="M1160" s="24" t="str">
        <f t="array" ref="M1160">LEFT(L1160,MIN(FIND({"A","B","C"},MID(L1160,2,LEN(L1160))&amp;"ABC")))</f>
        <v/>
      </c>
      <c r="N1160" s="24" t="str">
        <f t="array" ref="N1160">SUBSTITUTE(L1160,M1160,"")</f>
        <v/>
      </c>
      <c r="X1160" s="258" t="str">
        <f t="shared" si="56"/>
        <v/>
      </c>
      <c r="Y1160" s="36" t="str">
        <f t="shared" si="57"/>
        <v/>
      </c>
      <c r="Z1160" s="340" t="str">
        <f>IF(AND(C1160&gt;0,D1160&lt;&gt;"",S1160=""),VLOOKUP(A1160&amp;IF(H1160="黑丝","黑","白")&amp;E1160,经纬!A:M,13,FALSE)*(I1160-AB1160),"")</f>
        <v/>
      </c>
      <c r="AA1160" s="340" t="str">
        <f>IF(AND(C1160&gt;0,D1160&lt;&gt;"",S1160=""),VLOOKUP(A1160&amp;IF(H1160="黑丝","黑","白")&amp;E1160,经纬!A:N,14,FALSE)*(I1160-AB1160),"")</f>
        <v/>
      </c>
    </row>
    <row r="1161" spans="13:27">
      <c r="M1161" s="24" t="str">
        <f t="array" ref="M1161">LEFT(L1161,MIN(FIND({"A","B","C"},MID(L1161,2,LEN(L1161))&amp;"ABC")))</f>
        <v/>
      </c>
      <c r="N1161" s="24" t="str">
        <f t="array" ref="N1161">SUBSTITUTE(L1161,M1161,"")</f>
        <v/>
      </c>
      <c r="X1161" s="258" t="str">
        <f t="shared" si="56"/>
        <v/>
      </c>
      <c r="Y1161" s="36" t="str">
        <f t="shared" si="57"/>
        <v/>
      </c>
      <c r="Z1161" s="340" t="str">
        <f>IF(AND(C1161&gt;0,D1161&lt;&gt;"",S1161=""),VLOOKUP(A1161&amp;IF(H1161="黑丝","黑","白")&amp;E1161,经纬!A:M,13,FALSE)*(I1161-AB1161),"")</f>
        <v/>
      </c>
      <c r="AA1161" s="340" t="str">
        <f>IF(AND(C1161&gt;0,D1161&lt;&gt;"",S1161=""),VLOOKUP(A1161&amp;IF(H1161="黑丝","黑","白")&amp;E1161,经纬!A:N,14,FALSE)*(I1161-AB1161),"")</f>
        <v/>
      </c>
    </row>
    <row r="1162" spans="13:27">
      <c r="M1162" s="24" t="str">
        <f t="array" ref="M1162">LEFT(L1162,MIN(FIND({"A","B","C"},MID(L1162,2,LEN(L1162))&amp;"ABC")))</f>
        <v/>
      </c>
      <c r="N1162" s="24" t="str">
        <f t="array" ref="N1162">SUBSTITUTE(L1162,M1162,"")</f>
        <v/>
      </c>
      <c r="X1162" s="258" t="str">
        <f t="shared" si="56"/>
        <v/>
      </c>
      <c r="Y1162" s="36" t="str">
        <f t="shared" si="57"/>
        <v/>
      </c>
      <c r="Z1162" s="340" t="str">
        <f>IF(AND(C1162&gt;0,D1162&lt;&gt;"",S1162=""),VLOOKUP(A1162&amp;IF(H1162="黑丝","黑","白")&amp;E1162,经纬!A:M,13,FALSE)*(I1162-AB1162),"")</f>
        <v/>
      </c>
      <c r="AA1162" s="340" t="str">
        <f>IF(AND(C1162&gt;0,D1162&lt;&gt;"",S1162=""),VLOOKUP(A1162&amp;IF(H1162="黑丝","黑","白")&amp;E1162,经纬!A:N,14,FALSE)*(I1162-AB1162),"")</f>
        <v/>
      </c>
    </row>
    <row r="1163" spans="13:27">
      <c r="M1163" s="24" t="str">
        <f t="array" ref="M1163">LEFT(L1163,MIN(FIND({"A","B","C"},MID(L1163,2,LEN(L1163))&amp;"ABC")))</f>
        <v/>
      </c>
      <c r="N1163" s="24" t="str">
        <f t="array" ref="N1163">SUBSTITUTE(L1163,M1163,"")</f>
        <v/>
      </c>
      <c r="X1163" s="258" t="str">
        <f t="shared" si="56"/>
        <v/>
      </c>
      <c r="Y1163" s="36" t="str">
        <f t="shared" si="57"/>
        <v/>
      </c>
      <c r="Z1163" s="340" t="str">
        <f>IF(AND(C1163&gt;0,D1163&lt;&gt;"",S1163=""),VLOOKUP(A1163&amp;IF(H1163="黑丝","黑","白")&amp;E1163,经纬!A:M,13,FALSE)*(I1163-AB1163),"")</f>
        <v/>
      </c>
      <c r="AA1163" s="340" t="str">
        <f>IF(AND(C1163&gt;0,D1163&lt;&gt;"",S1163=""),VLOOKUP(A1163&amp;IF(H1163="黑丝","黑","白")&amp;E1163,经纬!A:N,14,FALSE)*(I1163-AB1163),"")</f>
        <v/>
      </c>
    </row>
    <row r="1164" spans="13:27">
      <c r="M1164" s="24" t="str">
        <f t="array" ref="M1164">LEFT(L1164,MIN(FIND({"A","B","C"},MID(L1164,2,LEN(L1164))&amp;"ABC")))</f>
        <v/>
      </c>
      <c r="N1164" s="24" t="str">
        <f t="array" ref="N1164">SUBSTITUTE(L1164,M1164,"")</f>
        <v/>
      </c>
      <c r="X1164" s="258" t="str">
        <f t="shared" si="56"/>
        <v/>
      </c>
      <c r="Y1164" s="36" t="str">
        <f t="shared" si="57"/>
        <v/>
      </c>
      <c r="Z1164" s="340" t="str">
        <f>IF(AND(C1164&gt;0,D1164&lt;&gt;"",S1164=""),VLOOKUP(A1164&amp;IF(H1164="黑丝","黑","白")&amp;E1164,经纬!A:M,13,FALSE)*(I1164-AB1164),"")</f>
        <v/>
      </c>
      <c r="AA1164" s="340" t="str">
        <f>IF(AND(C1164&gt;0,D1164&lt;&gt;"",S1164=""),VLOOKUP(A1164&amp;IF(H1164="黑丝","黑","白")&amp;E1164,经纬!A:N,14,FALSE)*(I1164-AB1164),"")</f>
        <v/>
      </c>
    </row>
    <row r="1165" spans="13:27">
      <c r="M1165" s="24" t="str">
        <f t="array" ref="M1165">LEFT(L1165,MIN(FIND({"A","B","C"},MID(L1165,2,LEN(L1165))&amp;"ABC")))</f>
        <v/>
      </c>
      <c r="N1165" s="24" t="str">
        <f t="array" ref="N1165">SUBSTITUTE(L1165,M1165,"")</f>
        <v/>
      </c>
      <c r="X1165" s="258" t="str">
        <f t="shared" si="56"/>
        <v/>
      </c>
      <c r="Y1165" s="36" t="str">
        <f t="shared" si="57"/>
        <v/>
      </c>
      <c r="Z1165" s="340" t="str">
        <f>IF(AND(C1165&gt;0,D1165&lt;&gt;"",S1165=""),VLOOKUP(A1165&amp;IF(H1165="黑丝","黑","白")&amp;E1165,经纬!A:M,13,FALSE)*(I1165-AB1165),"")</f>
        <v/>
      </c>
      <c r="AA1165" s="340" t="str">
        <f>IF(AND(C1165&gt;0,D1165&lt;&gt;"",S1165=""),VLOOKUP(A1165&amp;IF(H1165="黑丝","黑","白")&amp;E1165,经纬!A:N,14,FALSE)*(I1165-AB1165),"")</f>
        <v/>
      </c>
    </row>
    <row r="1166" spans="13:27">
      <c r="M1166" s="24" t="str">
        <f t="array" ref="M1166">LEFT(L1166,MIN(FIND({"A","B","C"},MID(L1166,2,LEN(L1166))&amp;"ABC")))</f>
        <v/>
      </c>
      <c r="N1166" s="24" t="str">
        <f t="array" ref="N1166">SUBSTITUTE(L1166,M1166,"")</f>
        <v/>
      </c>
      <c r="X1166" s="258" t="str">
        <f t="shared" si="56"/>
        <v/>
      </c>
      <c r="Y1166" s="36" t="str">
        <f t="shared" si="57"/>
        <v/>
      </c>
      <c r="Z1166" s="340" t="str">
        <f>IF(AND(C1166&gt;0,D1166&lt;&gt;"",S1166=""),VLOOKUP(A1166&amp;IF(H1166="黑丝","黑","白")&amp;E1166,经纬!A:M,13,FALSE)*(I1166-AB1166),"")</f>
        <v/>
      </c>
      <c r="AA1166" s="340" t="str">
        <f>IF(AND(C1166&gt;0,D1166&lt;&gt;"",S1166=""),VLOOKUP(A1166&amp;IF(H1166="黑丝","黑","白")&amp;E1166,经纬!A:N,14,FALSE)*(I1166-AB1166),"")</f>
        <v/>
      </c>
    </row>
    <row r="1167" spans="13:27">
      <c r="M1167" s="24" t="str">
        <f t="array" ref="M1167">LEFT(L1167,MIN(FIND({"A","B","C"},MID(L1167,2,LEN(L1167))&amp;"ABC")))</f>
        <v/>
      </c>
      <c r="N1167" s="24" t="str">
        <f t="array" ref="N1167">SUBSTITUTE(L1167,M1167,"")</f>
        <v/>
      </c>
      <c r="X1167" s="258" t="str">
        <f t="shared" si="56"/>
        <v/>
      </c>
      <c r="Y1167" s="36" t="str">
        <f t="shared" si="57"/>
        <v/>
      </c>
      <c r="Z1167" s="340" t="str">
        <f>IF(AND(C1167&gt;0,D1167&lt;&gt;"",S1167=""),VLOOKUP(A1167&amp;IF(H1167="黑丝","黑","白")&amp;E1167,经纬!A:M,13,FALSE)*(I1167-AB1167),"")</f>
        <v/>
      </c>
      <c r="AA1167" s="340" t="str">
        <f>IF(AND(C1167&gt;0,D1167&lt;&gt;"",S1167=""),VLOOKUP(A1167&amp;IF(H1167="黑丝","黑","白")&amp;E1167,经纬!A:N,14,FALSE)*(I1167-AB1167),"")</f>
        <v/>
      </c>
    </row>
    <row r="1168" spans="13:27">
      <c r="M1168" s="24" t="str">
        <f t="array" ref="M1168">LEFT(L1168,MIN(FIND({"A","B","C"},MID(L1168,2,LEN(L1168))&amp;"ABC")))</f>
        <v/>
      </c>
      <c r="N1168" s="24" t="str">
        <f t="array" ref="N1168">SUBSTITUTE(L1168,M1168,"")</f>
        <v/>
      </c>
      <c r="X1168" s="258" t="str">
        <f t="shared" si="56"/>
        <v/>
      </c>
      <c r="Y1168" s="36" t="str">
        <f t="shared" si="57"/>
        <v/>
      </c>
      <c r="Z1168" s="340" t="str">
        <f>IF(AND(C1168&gt;0,D1168&lt;&gt;"",S1168=""),VLOOKUP(A1168&amp;IF(H1168="黑丝","黑","白")&amp;E1168,经纬!A:M,13,FALSE)*(I1168-AB1168),"")</f>
        <v/>
      </c>
      <c r="AA1168" s="340" t="str">
        <f>IF(AND(C1168&gt;0,D1168&lt;&gt;"",S1168=""),VLOOKUP(A1168&amp;IF(H1168="黑丝","黑","白")&amp;E1168,经纬!A:N,14,FALSE)*(I1168-AB1168),"")</f>
        <v/>
      </c>
    </row>
    <row r="1169" spans="13:27">
      <c r="M1169" s="24" t="str">
        <f t="array" ref="M1169">LEFT(L1169,MIN(FIND({"A","B","C"},MID(L1169,2,LEN(L1169))&amp;"ABC")))</f>
        <v/>
      </c>
      <c r="N1169" s="24" t="str">
        <f t="array" ref="N1169">SUBSTITUTE(L1169,M1169,"")</f>
        <v/>
      </c>
      <c r="X1169" s="258" t="str">
        <f t="shared" si="56"/>
        <v/>
      </c>
      <c r="Y1169" s="36" t="str">
        <f t="shared" si="57"/>
        <v/>
      </c>
      <c r="Z1169" s="340" t="str">
        <f>IF(AND(C1169&gt;0,D1169&lt;&gt;"",S1169=""),VLOOKUP(A1169&amp;IF(H1169="黑丝","黑","白")&amp;E1169,经纬!A:M,13,FALSE)*(I1169-AB1169),"")</f>
        <v/>
      </c>
      <c r="AA1169" s="340" t="str">
        <f>IF(AND(C1169&gt;0,D1169&lt;&gt;"",S1169=""),VLOOKUP(A1169&amp;IF(H1169="黑丝","黑","白")&amp;E1169,经纬!A:N,14,FALSE)*(I1169-AB1169),"")</f>
        <v/>
      </c>
    </row>
    <row r="1170" spans="13:27">
      <c r="M1170" s="24" t="str">
        <f t="array" ref="M1170">LEFT(L1170,MIN(FIND({"A","B","C"},MID(L1170,2,LEN(L1170))&amp;"ABC")))</f>
        <v/>
      </c>
      <c r="N1170" s="24" t="str">
        <f t="array" ref="N1170">SUBSTITUTE(L1170,M1170,"")</f>
        <v/>
      </c>
      <c r="X1170" s="258" t="str">
        <f t="shared" si="56"/>
        <v/>
      </c>
      <c r="Y1170" s="36" t="str">
        <f t="shared" si="57"/>
        <v/>
      </c>
      <c r="Z1170" s="340" t="str">
        <f>IF(AND(C1170&gt;0,D1170&lt;&gt;"",S1170=""),VLOOKUP(A1170&amp;IF(H1170="黑丝","黑","白")&amp;E1170,经纬!A:M,13,FALSE)*(I1170-AB1170),"")</f>
        <v/>
      </c>
      <c r="AA1170" s="340" t="str">
        <f>IF(AND(C1170&gt;0,D1170&lt;&gt;"",S1170=""),VLOOKUP(A1170&amp;IF(H1170="黑丝","黑","白")&amp;E1170,经纬!A:N,14,FALSE)*(I1170-AB1170),"")</f>
        <v/>
      </c>
    </row>
    <row r="1171" spans="13:27">
      <c r="M1171" s="24" t="str">
        <f t="array" ref="M1171">LEFT(L1171,MIN(FIND({"A","B","C"},MID(L1171,2,LEN(L1171))&amp;"ABC")))</f>
        <v/>
      </c>
      <c r="N1171" s="24" t="str">
        <f t="array" ref="N1171">SUBSTITUTE(L1171,M1171,"")</f>
        <v/>
      </c>
      <c r="X1171" s="258" t="str">
        <f t="shared" si="56"/>
        <v/>
      </c>
      <c r="Y1171" s="36" t="str">
        <f t="shared" si="57"/>
        <v/>
      </c>
      <c r="Z1171" s="340" t="str">
        <f>IF(AND(C1171&gt;0,D1171&lt;&gt;"",S1171=""),VLOOKUP(A1171&amp;IF(H1171="黑丝","黑","白")&amp;E1171,经纬!A:M,13,FALSE)*(I1171-AB1171),"")</f>
        <v/>
      </c>
      <c r="AA1171" s="340" t="str">
        <f>IF(AND(C1171&gt;0,D1171&lt;&gt;"",S1171=""),VLOOKUP(A1171&amp;IF(H1171="黑丝","黑","白")&amp;E1171,经纬!A:N,14,FALSE)*(I1171-AB1171),"")</f>
        <v/>
      </c>
    </row>
    <row r="1172" spans="13:27">
      <c r="M1172" s="24" t="str">
        <f t="array" ref="M1172">LEFT(L1172,MIN(FIND({"A","B","C"},MID(L1172,2,LEN(L1172))&amp;"ABC")))</f>
        <v/>
      </c>
      <c r="N1172" s="24" t="str">
        <f t="array" ref="N1172">SUBSTITUTE(L1172,M1172,"")</f>
        <v/>
      </c>
      <c r="X1172" s="258" t="str">
        <f t="shared" si="56"/>
        <v/>
      </c>
      <c r="Y1172" s="36" t="str">
        <f t="shared" si="57"/>
        <v/>
      </c>
      <c r="Z1172" s="340" t="str">
        <f>IF(AND(C1172&gt;0,D1172&lt;&gt;"",S1172=""),VLOOKUP(A1172&amp;IF(H1172="黑丝","黑","白")&amp;E1172,经纬!A:M,13,FALSE)*(I1172-AB1172),"")</f>
        <v/>
      </c>
      <c r="AA1172" s="340" t="str">
        <f>IF(AND(C1172&gt;0,D1172&lt;&gt;"",S1172=""),VLOOKUP(A1172&amp;IF(H1172="黑丝","黑","白")&amp;E1172,经纬!A:N,14,FALSE)*(I1172-AB1172),"")</f>
        <v/>
      </c>
    </row>
    <row r="1173" spans="13:27">
      <c r="M1173" s="24" t="str">
        <f t="array" ref="M1173">LEFT(L1173,MIN(FIND({"A","B","C"},MID(L1173,2,LEN(L1173))&amp;"ABC")))</f>
        <v/>
      </c>
      <c r="N1173" s="24" t="str">
        <f t="array" ref="N1173">SUBSTITUTE(L1173,M1173,"")</f>
        <v/>
      </c>
      <c r="X1173" s="258" t="str">
        <f t="shared" si="56"/>
        <v/>
      </c>
      <c r="Y1173" s="36" t="str">
        <f t="shared" si="57"/>
        <v/>
      </c>
      <c r="Z1173" s="340" t="str">
        <f>IF(AND(C1173&gt;0,D1173&lt;&gt;"",S1173=""),VLOOKUP(A1173&amp;IF(H1173="黑丝","黑","白")&amp;E1173,经纬!A:M,13,FALSE)*(I1173-AB1173),"")</f>
        <v/>
      </c>
      <c r="AA1173" s="340" t="str">
        <f>IF(AND(C1173&gt;0,D1173&lt;&gt;"",S1173=""),VLOOKUP(A1173&amp;IF(H1173="黑丝","黑","白")&amp;E1173,经纬!A:N,14,FALSE)*(I1173-AB1173),"")</f>
        <v/>
      </c>
    </row>
    <row r="1174" spans="13:27">
      <c r="M1174" s="24" t="str">
        <f t="array" ref="M1174">LEFT(L1174,MIN(FIND({"A","B","C"},MID(L1174,2,LEN(L1174))&amp;"ABC")))</f>
        <v/>
      </c>
      <c r="N1174" s="24" t="str">
        <f t="array" ref="N1174">SUBSTITUTE(L1174,M1174,"")</f>
        <v/>
      </c>
      <c r="X1174" s="258" t="str">
        <f t="shared" si="56"/>
        <v/>
      </c>
      <c r="Y1174" s="36" t="str">
        <f t="shared" si="57"/>
        <v/>
      </c>
      <c r="Z1174" s="340" t="str">
        <f>IF(AND(C1174&gt;0,D1174&lt;&gt;"",S1174=""),VLOOKUP(A1174&amp;IF(H1174="黑丝","黑","白")&amp;E1174,经纬!A:M,13,FALSE)*(I1174-AB1174),"")</f>
        <v/>
      </c>
      <c r="AA1174" s="340" t="str">
        <f>IF(AND(C1174&gt;0,D1174&lt;&gt;"",S1174=""),VLOOKUP(A1174&amp;IF(H1174="黑丝","黑","白")&amp;E1174,经纬!A:N,14,FALSE)*(I1174-AB1174),"")</f>
        <v/>
      </c>
    </row>
    <row r="1175" spans="13:27">
      <c r="M1175" s="24" t="str">
        <f t="array" ref="M1175">LEFT(L1175,MIN(FIND({"A","B","C"},MID(L1175,2,LEN(L1175))&amp;"ABC")))</f>
        <v/>
      </c>
      <c r="N1175" s="24" t="str">
        <f t="array" ref="N1175">SUBSTITUTE(L1175,M1175,"")</f>
        <v/>
      </c>
      <c r="X1175" s="258" t="str">
        <f t="shared" si="56"/>
        <v/>
      </c>
      <c r="Y1175" s="36" t="str">
        <f t="shared" si="57"/>
        <v/>
      </c>
      <c r="Z1175" s="340" t="str">
        <f>IF(AND(C1175&gt;0,D1175&lt;&gt;"",S1175=""),VLOOKUP(A1175&amp;IF(H1175="黑丝","黑","白")&amp;E1175,经纬!A:M,13,FALSE)*(I1175-AB1175),"")</f>
        <v/>
      </c>
      <c r="AA1175" s="340" t="str">
        <f>IF(AND(C1175&gt;0,D1175&lt;&gt;"",S1175=""),VLOOKUP(A1175&amp;IF(H1175="黑丝","黑","白")&amp;E1175,经纬!A:N,14,FALSE)*(I1175-AB1175),"")</f>
        <v/>
      </c>
    </row>
    <row r="1176" spans="13:27">
      <c r="M1176" s="24" t="str">
        <f t="array" ref="M1176">LEFT(L1176,MIN(FIND({"A","B","C"},MID(L1176,2,LEN(L1176))&amp;"ABC")))</f>
        <v/>
      </c>
      <c r="N1176" s="24" t="str">
        <f t="array" ref="N1176">SUBSTITUTE(L1176,M1176,"")</f>
        <v/>
      </c>
      <c r="X1176" s="258" t="str">
        <f t="shared" si="56"/>
        <v/>
      </c>
      <c r="Y1176" s="36" t="str">
        <f t="shared" si="57"/>
        <v/>
      </c>
      <c r="Z1176" s="340" t="str">
        <f>IF(AND(C1176&gt;0,D1176&lt;&gt;"",S1176=""),VLOOKUP(A1176&amp;IF(H1176="黑丝","黑","白")&amp;E1176,经纬!A:M,13,FALSE)*(I1176-AB1176),"")</f>
        <v/>
      </c>
      <c r="AA1176" s="340" t="str">
        <f>IF(AND(C1176&gt;0,D1176&lt;&gt;"",S1176=""),VLOOKUP(A1176&amp;IF(H1176="黑丝","黑","白")&amp;E1176,经纬!A:N,14,FALSE)*(I1176-AB1176),"")</f>
        <v/>
      </c>
    </row>
    <row r="1177" spans="13:27">
      <c r="M1177" s="24" t="str">
        <f t="array" ref="M1177">LEFT(L1177,MIN(FIND({"A","B","C"},MID(L1177,2,LEN(L1177))&amp;"ABC")))</f>
        <v/>
      </c>
      <c r="N1177" s="24" t="str">
        <f t="array" ref="N1177">SUBSTITUTE(L1177,M1177,"")</f>
        <v/>
      </c>
      <c r="X1177" s="258" t="str">
        <f t="shared" si="56"/>
        <v/>
      </c>
      <c r="Y1177" s="36" t="str">
        <f t="shared" si="57"/>
        <v/>
      </c>
      <c r="Z1177" s="340" t="str">
        <f>IF(AND(C1177&gt;0,D1177&lt;&gt;"",S1177=""),VLOOKUP(A1177&amp;IF(H1177="黑丝","黑","白")&amp;E1177,经纬!A:M,13,FALSE)*(I1177-AB1177),"")</f>
        <v/>
      </c>
      <c r="AA1177" s="340" t="str">
        <f>IF(AND(C1177&gt;0,D1177&lt;&gt;"",S1177=""),VLOOKUP(A1177&amp;IF(H1177="黑丝","黑","白")&amp;E1177,经纬!A:N,14,FALSE)*(I1177-AB1177),"")</f>
        <v/>
      </c>
    </row>
    <row r="1178" spans="13:27">
      <c r="M1178" s="24" t="str">
        <f t="array" ref="M1178">LEFT(L1178,MIN(FIND({"A","B","C"},MID(L1178,2,LEN(L1178))&amp;"ABC")))</f>
        <v/>
      </c>
      <c r="N1178" s="24" t="str">
        <f t="array" ref="N1178">SUBSTITUTE(L1178,M1178,"")</f>
        <v/>
      </c>
      <c r="X1178" s="258" t="str">
        <f t="shared" si="56"/>
        <v/>
      </c>
      <c r="Y1178" s="36" t="str">
        <f t="shared" si="57"/>
        <v/>
      </c>
      <c r="Z1178" s="340" t="str">
        <f>IF(AND(C1178&gt;0,D1178&lt;&gt;"",S1178=""),VLOOKUP(A1178&amp;IF(H1178="黑丝","黑","白")&amp;E1178,经纬!A:M,13,FALSE)*(I1178-AB1178),"")</f>
        <v/>
      </c>
      <c r="AA1178" s="340" t="str">
        <f>IF(AND(C1178&gt;0,D1178&lt;&gt;"",S1178=""),VLOOKUP(A1178&amp;IF(H1178="黑丝","黑","白")&amp;E1178,经纬!A:N,14,FALSE)*(I1178-AB1178),"")</f>
        <v/>
      </c>
    </row>
    <row r="1179" spans="13:27">
      <c r="M1179" s="24" t="str">
        <f t="array" ref="M1179">LEFT(L1179,MIN(FIND({"A","B","C"},MID(L1179,2,LEN(L1179))&amp;"ABC")))</f>
        <v/>
      </c>
      <c r="N1179" s="24" t="str">
        <f t="array" ref="N1179">SUBSTITUTE(L1179,M1179,"")</f>
        <v/>
      </c>
      <c r="X1179" s="258" t="str">
        <f t="shared" si="56"/>
        <v/>
      </c>
      <c r="Y1179" s="36" t="str">
        <f t="shared" si="57"/>
        <v/>
      </c>
      <c r="Z1179" s="340" t="str">
        <f>IF(AND(C1179&gt;0,D1179&lt;&gt;"",S1179=""),VLOOKUP(A1179&amp;IF(H1179="黑丝","黑","白")&amp;E1179,经纬!A:M,13,FALSE)*(I1179-AB1179),"")</f>
        <v/>
      </c>
      <c r="AA1179" s="340" t="str">
        <f>IF(AND(C1179&gt;0,D1179&lt;&gt;"",S1179=""),VLOOKUP(A1179&amp;IF(H1179="黑丝","黑","白")&amp;E1179,经纬!A:N,14,FALSE)*(I1179-AB1179),"")</f>
        <v/>
      </c>
    </row>
    <row r="1180" spans="13:27">
      <c r="M1180" s="24" t="str">
        <f t="array" ref="M1180">LEFT(L1180,MIN(FIND({"A","B","C"},MID(L1180,2,LEN(L1180))&amp;"ABC")))</f>
        <v/>
      </c>
      <c r="N1180" s="24" t="str">
        <f t="array" ref="N1180">SUBSTITUTE(L1180,M1180,"")</f>
        <v/>
      </c>
      <c r="X1180" s="258" t="str">
        <f t="shared" ref="X1180:X1243" si="58">IF(B1180="","",IF(S1180&lt;&gt;"","",IF(AND(Z1180&lt;&gt;"",AA1180&lt;&gt;""),SUM(Z1180:AA1180),IF(AB1180&lt;&gt;"",(I1180/((1/((G1180+2)/100*K1180/1000))*0.9144)/IF(H1180="黑丝",22,20)-AB1180)*(IF(H1180="黑丝",22,20)),I1180/((1/((G1180+2)/100*K1180/1000))*0.9144)))))</f>
        <v/>
      </c>
      <c r="Y1180" s="36" t="str">
        <f t="shared" si="57"/>
        <v/>
      </c>
      <c r="Z1180" s="340" t="str">
        <f>IF(AND(C1180&gt;0,D1180&lt;&gt;"",S1180=""),VLOOKUP(A1180&amp;IF(H1180="黑丝","黑","白")&amp;E1180,经纬!A:M,13,FALSE)*(I1180-AB1180),"")</f>
        <v/>
      </c>
      <c r="AA1180" s="340" t="str">
        <f>IF(AND(C1180&gt;0,D1180&lt;&gt;"",S1180=""),VLOOKUP(A1180&amp;IF(H1180="黑丝","黑","白")&amp;E1180,经纬!A:N,14,FALSE)*(I1180-AB1180),"")</f>
        <v/>
      </c>
    </row>
    <row r="1181" spans="13:27">
      <c r="M1181" s="24" t="str">
        <f t="array" ref="M1181">LEFT(L1181,MIN(FIND({"A","B","C"},MID(L1181,2,LEN(L1181))&amp;"ABC")))</f>
        <v/>
      </c>
      <c r="N1181" s="24" t="str">
        <f t="array" ref="N1181">SUBSTITUTE(L1181,M1181,"")</f>
        <v/>
      </c>
      <c r="X1181" s="258" t="str">
        <f t="shared" si="58"/>
        <v/>
      </c>
      <c r="Y1181" s="36" t="str">
        <f t="shared" si="57"/>
        <v/>
      </c>
      <c r="Z1181" s="340" t="str">
        <f>IF(AND(C1181&gt;0,D1181&lt;&gt;"",S1181=""),VLOOKUP(A1181&amp;IF(H1181="黑丝","黑","白")&amp;E1181,经纬!A:M,13,FALSE)*(I1181-AB1181),"")</f>
        <v/>
      </c>
      <c r="AA1181" s="340" t="str">
        <f>IF(AND(C1181&gt;0,D1181&lt;&gt;"",S1181=""),VLOOKUP(A1181&amp;IF(H1181="黑丝","黑","白")&amp;E1181,经纬!A:N,14,FALSE)*(I1181-AB1181),"")</f>
        <v/>
      </c>
    </row>
    <row r="1182" spans="13:27">
      <c r="M1182" s="24" t="str">
        <f t="array" ref="M1182">LEFT(L1182,MIN(FIND({"A","B","C"},MID(L1182,2,LEN(L1182))&amp;"ABC")))</f>
        <v/>
      </c>
      <c r="N1182" s="24" t="str">
        <f t="array" ref="N1182">SUBSTITUTE(L1182,M1182,"")</f>
        <v/>
      </c>
      <c r="X1182" s="258" t="str">
        <f t="shared" si="58"/>
        <v/>
      </c>
      <c r="Y1182" s="36" t="str">
        <f t="shared" si="57"/>
        <v/>
      </c>
      <c r="Z1182" s="340" t="str">
        <f>IF(AND(C1182&gt;0,D1182&lt;&gt;"",S1182=""),VLOOKUP(A1182&amp;IF(H1182="黑丝","黑","白")&amp;E1182,经纬!A:M,13,FALSE)*(I1182-AB1182),"")</f>
        <v/>
      </c>
      <c r="AA1182" s="340" t="str">
        <f>IF(AND(C1182&gt;0,D1182&lt;&gt;"",S1182=""),VLOOKUP(A1182&amp;IF(H1182="黑丝","黑","白")&amp;E1182,经纬!A:N,14,FALSE)*(I1182-AB1182),"")</f>
        <v/>
      </c>
    </row>
    <row r="1183" spans="13:27">
      <c r="M1183" s="24" t="str">
        <f t="array" ref="M1183">LEFT(L1183,MIN(FIND({"A","B","C"},MID(L1183,2,LEN(L1183))&amp;"ABC")))</f>
        <v/>
      </c>
      <c r="N1183" s="24" t="str">
        <f t="array" ref="N1183">SUBSTITUTE(L1183,M1183,"")</f>
        <v/>
      </c>
      <c r="X1183" s="258" t="str">
        <f t="shared" si="58"/>
        <v/>
      </c>
      <c r="Y1183" s="36" t="str">
        <f t="shared" si="57"/>
        <v/>
      </c>
      <c r="Z1183" s="340" t="str">
        <f>IF(AND(C1183&gt;0,D1183&lt;&gt;"",S1183=""),VLOOKUP(A1183&amp;IF(H1183="黑丝","黑","白")&amp;E1183,经纬!A:M,13,FALSE)*(I1183-AB1183),"")</f>
        <v/>
      </c>
      <c r="AA1183" s="340" t="str">
        <f>IF(AND(C1183&gt;0,D1183&lt;&gt;"",S1183=""),VLOOKUP(A1183&amp;IF(H1183="黑丝","黑","白")&amp;E1183,经纬!A:N,14,FALSE)*(I1183-AB1183),"")</f>
        <v/>
      </c>
    </row>
    <row r="1184" spans="13:27">
      <c r="M1184" s="24" t="str">
        <f t="array" ref="M1184">LEFT(L1184,MIN(FIND({"A","B","C"},MID(L1184,2,LEN(L1184))&amp;"ABC")))</f>
        <v/>
      </c>
      <c r="N1184" s="24" t="str">
        <f t="array" ref="N1184">SUBSTITUTE(L1184,M1184,"")</f>
        <v/>
      </c>
      <c r="X1184" s="258" t="str">
        <f t="shared" si="58"/>
        <v/>
      </c>
      <c r="Y1184" s="36" t="str">
        <f t="shared" si="57"/>
        <v/>
      </c>
      <c r="Z1184" s="340" t="str">
        <f>IF(AND(C1184&gt;0,D1184&lt;&gt;"",S1184=""),VLOOKUP(A1184&amp;IF(H1184="黑丝","黑","白")&amp;E1184,经纬!A:M,13,FALSE)*(I1184-AB1184),"")</f>
        <v/>
      </c>
      <c r="AA1184" s="340" t="str">
        <f>IF(AND(C1184&gt;0,D1184&lt;&gt;"",S1184=""),VLOOKUP(A1184&amp;IF(H1184="黑丝","黑","白")&amp;E1184,经纬!A:N,14,FALSE)*(I1184-AB1184),"")</f>
        <v/>
      </c>
    </row>
    <row r="1185" spans="13:27">
      <c r="M1185" s="24" t="str">
        <f t="array" ref="M1185">LEFT(L1185,MIN(FIND({"A","B","C"},MID(L1185,2,LEN(L1185))&amp;"ABC")))</f>
        <v/>
      </c>
      <c r="N1185" s="24" t="str">
        <f t="array" ref="N1185">SUBSTITUTE(L1185,M1185,"")</f>
        <v/>
      </c>
      <c r="X1185" s="258" t="str">
        <f t="shared" si="58"/>
        <v/>
      </c>
      <c r="Y1185" s="36" t="str">
        <f t="shared" si="57"/>
        <v/>
      </c>
      <c r="Z1185" s="340" t="str">
        <f>IF(AND(C1185&gt;0,D1185&lt;&gt;"",S1185=""),VLOOKUP(A1185&amp;IF(H1185="黑丝","黑","白")&amp;E1185,经纬!A:M,13,FALSE)*(I1185-AB1185),"")</f>
        <v/>
      </c>
      <c r="AA1185" s="340" t="str">
        <f>IF(AND(C1185&gt;0,D1185&lt;&gt;"",S1185=""),VLOOKUP(A1185&amp;IF(H1185="黑丝","黑","白")&amp;E1185,经纬!A:N,14,FALSE)*(I1185-AB1185),"")</f>
        <v/>
      </c>
    </row>
    <row r="1186" spans="13:27">
      <c r="M1186" s="24" t="str">
        <f t="array" ref="M1186">LEFT(L1186,MIN(FIND({"A","B","C"},MID(L1186,2,LEN(L1186))&amp;"ABC")))</f>
        <v/>
      </c>
      <c r="N1186" s="24" t="str">
        <f t="array" ref="N1186">SUBSTITUTE(L1186,M1186,"")</f>
        <v/>
      </c>
      <c r="X1186" s="258" t="str">
        <f t="shared" si="58"/>
        <v/>
      </c>
      <c r="Y1186" s="36" t="str">
        <f t="shared" si="57"/>
        <v/>
      </c>
      <c r="Z1186" s="340" t="str">
        <f>IF(AND(C1186&gt;0,D1186&lt;&gt;"",S1186=""),VLOOKUP(A1186&amp;IF(H1186="黑丝","黑","白")&amp;E1186,经纬!A:M,13,FALSE)*(I1186-AB1186),"")</f>
        <v/>
      </c>
      <c r="AA1186" s="340" t="str">
        <f>IF(AND(C1186&gt;0,D1186&lt;&gt;"",S1186=""),VLOOKUP(A1186&amp;IF(H1186="黑丝","黑","白")&amp;E1186,经纬!A:N,14,FALSE)*(I1186-AB1186),"")</f>
        <v/>
      </c>
    </row>
    <row r="1187" spans="13:27">
      <c r="M1187" s="24" t="str">
        <f t="array" ref="M1187">LEFT(L1187,MIN(FIND({"A","B","C"},MID(L1187,2,LEN(L1187))&amp;"ABC")))</f>
        <v/>
      </c>
      <c r="N1187" s="24" t="str">
        <f t="array" ref="N1187">SUBSTITUTE(L1187,M1187,"")</f>
        <v/>
      </c>
      <c r="X1187" s="258" t="str">
        <f t="shared" si="58"/>
        <v/>
      </c>
      <c r="Y1187" s="36" t="str">
        <f t="shared" si="57"/>
        <v/>
      </c>
      <c r="Z1187" s="340" t="str">
        <f>IF(AND(C1187&gt;0,D1187&lt;&gt;"",S1187=""),VLOOKUP(A1187&amp;IF(H1187="黑丝","黑","白")&amp;E1187,经纬!A:M,13,FALSE)*(I1187-AB1187),"")</f>
        <v/>
      </c>
      <c r="AA1187" s="340" t="str">
        <f>IF(AND(C1187&gt;0,D1187&lt;&gt;"",S1187=""),VLOOKUP(A1187&amp;IF(H1187="黑丝","黑","白")&amp;E1187,经纬!A:N,14,FALSE)*(I1187-AB1187),"")</f>
        <v/>
      </c>
    </row>
    <row r="1188" spans="13:27">
      <c r="M1188" s="24" t="str">
        <f t="array" ref="M1188">LEFT(L1188,MIN(FIND({"A","B","C"},MID(L1188,2,LEN(L1188))&amp;"ABC")))</f>
        <v/>
      </c>
      <c r="N1188" s="24" t="str">
        <f t="array" ref="N1188">SUBSTITUTE(L1188,M1188,"")</f>
        <v/>
      </c>
      <c r="X1188" s="258" t="str">
        <f t="shared" si="58"/>
        <v/>
      </c>
      <c r="Y1188" s="36" t="str">
        <f t="shared" si="57"/>
        <v/>
      </c>
      <c r="Z1188" s="340" t="str">
        <f>IF(AND(C1188&gt;0,D1188&lt;&gt;"",S1188=""),VLOOKUP(A1188&amp;IF(H1188="黑丝","黑","白")&amp;E1188,经纬!A:M,13,FALSE)*(I1188-AB1188),"")</f>
        <v/>
      </c>
      <c r="AA1188" s="340" t="str">
        <f>IF(AND(C1188&gt;0,D1188&lt;&gt;"",S1188=""),VLOOKUP(A1188&amp;IF(H1188="黑丝","黑","白")&amp;E1188,经纬!A:N,14,FALSE)*(I1188-AB1188),"")</f>
        <v/>
      </c>
    </row>
    <row r="1189" spans="13:27">
      <c r="M1189" s="24" t="str">
        <f t="array" ref="M1189">LEFT(L1189,MIN(FIND({"A","B","C"},MID(L1189,2,LEN(L1189))&amp;"ABC")))</f>
        <v/>
      </c>
      <c r="N1189" s="24" t="str">
        <f t="array" ref="N1189">SUBSTITUTE(L1189,M1189,"")</f>
        <v/>
      </c>
      <c r="X1189" s="258" t="str">
        <f t="shared" si="58"/>
        <v/>
      </c>
      <c r="Y1189" s="36" t="str">
        <f t="shared" si="57"/>
        <v/>
      </c>
      <c r="Z1189" s="340" t="str">
        <f>IF(AND(C1189&gt;0,D1189&lt;&gt;"",S1189=""),VLOOKUP(A1189&amp;IF(H1189="黑丝","黑","白")&amp;E1189,经纬!A:M,13,FALSE)*(I1189-AB1189),"")</f>
        <v/>
      </c>
      <c r="AA1189" s="340" t="str">
        <f>IF(AND(C1189&gt;0,D1189&lt;&gt;"",S1189=""),VLOOKUP(A1189&amp;IF(H1189="黑丝","黑","白")&amp;E1189,经纬!A:N,14,FALSE)*(I1189-AB1189),"")</f>
        <v/>
      </c>
    </row>
    <row r="1190" spans="13:27">
      <c r="M1190" s="24" t="str">
        <f t="array" ref="M1190">LEFT(L1190,MIN(FIND({"A","B","C"},MID(L1190,2,LEN(L1190))&amp;"ABC")))</f>
        <v/>
      </c>
      <c r="N1190" s="24" t="str">
        <f t="array" ref="N1190">SUBSTITUTE(L1190,M1190,"")</f>
        <v/>
      </c>
      <c r="X1190" s="258" t="str">
        <f t="shared" si="58"/>
        <v/>
      </c>
      <c r="Y1190" s="36" t="str">
        <f t="shared" si="57"/>
        <v/>
      </c>
      <c r="Z1190" s="340" t="str">
        <f>IF(AND(C1190&gt;0,D1190&lt;&gt;"",S1190=""),VLOOKUP(A1190&amp;IF(H1190="黑丝","黑","白")&amp;E1190,经纬!A:M,13,FALSE)*(I1190-AB1190),"")</f>
        <v/>
      </c>
      <c r="AA1190" s="340" t="str">
        <f>IF(AND(C1190&gt;0,D1190&lt;&gt;"",S1190=""),VLOOKUP(A1190&amp;IF(H1190="黑丝","黑","白")&amp;E1190,经纬!A:N,14,FALSE)*(I1190-AB1190),"")</f>
        <v/>
      </c>
    </row>
    <row r="1191" spans="13:27">
      <c r="M1191" s="24" t="str">
        <f t="array" ref="M1191">LEFT(L1191,MIN(FIND({"A","B","C"},MID(L1191,2,LEN(L1191))&amp;"ABC")))</f>
        <v/>
      </c>
      <c r="N1191" s="24" t="str">
        <f t="array" ref="N1191">SUBSTITUTE(L1191,M1191,"")</f>
        <v/>
      </c>
      <c r="X1191" s="258" t="str">
        <f t="shared" si="58"/>
        <v/>
      </c>
      <c r="Y1191" s="36" t="str">
        <f t="shared" si="57"/>
        <v/>
      </c>
      <c r="Z1191" s="340" t="str">
        <f>IF(AND(C1191&gt;0,D1191&lt;&gt;"",S1191=""),VLOOKUP(A1191&amp;IF(H1191="黑丝","黑","白")&amp;E1191,经纬!A:M,13,FALSE)*(I1191-AB1191),"")</f>
        <v/>
      </c>
      <c r="AA1191" s="340" t="str">
        <f>IF(AND(C1191&gt;0,D1191&lt;&gt;"",S1191=""),VLOOKUP(A1191&amp;IF(H1191="黑丝","黑","白")&amp;E1191,经纬!A:N,14,FALSE)*(I1191-AB1191),"")</f>
        <v/>
      </c>
    </row>
    <row r="1192" spans="13:27">
      <c r="M1192" s="24" t="str">
        <f t="array" ref="M1192">LEFT(L1192,MIN(FIND({"A","B","C"},MID(L1192,2,LEN(L1192))&amp;"ABC")))</f>
        <v/>
      </c>
      <c r="N1192" s="24" t="str">
        <f t="array" ref="N1192">SUBSTITUTE(L1192,M1192,"")</f>
        <v/>
      </c>
      <c r="X1192" s="258" t="str">
        <f t="shared" si="58"/>
        <v/>
      </c>
      <c r="Y1192" s="36" t="str">
        <f t="shared" si="57"/>
        <v/>
      </c>
      <c r="Z1192" s="340" t="str">
        <f>IF(AND(C1192&gt;0,D1192&lt;&gt;"",S1192=""),VLOOKUP(A1192&amp;IF(H1192="黑丝","黑","白")&amp;E1192,经纬!A:M,13,FALSE)*(I1192-AB1192),"")</f>
        <v/>
      </c>
      <c r="AA1192" s="340" t="str">
        <f>IF(AND(C1192&gt;0,D1192&lt;&gt;"",S1192=""),VLOOKUP(A1192&amp;IF(H1192="黑丝","黑","白")&amp;E1192,经纬!A:N,14,FALSE)*(I1192-AB1192),"")</f>
        <v/>
      </c>
    </row>
    <row r="1193" spans="13:27">
      <c r="M1193" s="24" t="str">
        <f t="array" ref="M1193">LEFT(L1193,MIN(FIND({"A","B","C"},MID(L1193,2,LEN(L1193))&amp;"ABC")))</f>
        <v/>
      </c>
      <c r="N1193" s="24" t="str">
        <f t="array" ref="N1193">SUBSTITUTE(L1193,M1193,"")</f>
        <v/>
      </c>
      <c r="X1193" s="258" t="str">
        <f t="shared" si="58"/>
        <v/>
      </c>
      <c r="Y1193" s="36" t="str">
        <f t="shared" ref="Y1193:Y1256" si="59">IF(OR(B1193="",D1193&lt;&gt;""),"",IF(S1193&lt;&gt;"","",I1193/((1/((G1193+2)/100*K1193/1000))*0.9144)/IF(H1193="黑丝",22,20)-AB1193))</f>
        <v/>
      </c>
      <c r="Z1193" s="340" t="str">
        <f>IF(AND(C1193&gt;0,D1193&lt;&gt;"",S1193=""),VLOOKUP(A1193&amp;IF(H1193="黑丝","黑","白")&amp;E1193,经纬!A:M,13,FALSE)*(I1193-AB1193),"")</f>
        <v/>
      </c>
      <c r="AA1193" s="340" t="str">
        <f>IF(AND(C1193&gt;0,D1193&lt;&gt;"",S1193=""),VLOOKUP(A1193&amp;IF(H1193="黑丝","黑","白")&amp;E1193,经纬!A:N,14,FALSE)*(I1193-AB1193),"")</f>
        <v/>
      </c>
    </row>
    <row r="1194" spans="13:27">
      <c r="M1194" s="24" t="str">
        <f t="array" ref="M1194">LEFT(L1194,MIN(FIND({"A","B","C"},MID(L1194,2,LEN(L1194))&amp;"ABC")))</f>
        <v/>
      </c>
      <c r="N1194" s="24" t="str">
        <f t="array" ref="N1194">SUBSTITUTE(L1194,M1194,"")</f>
        <v/>
      </c>
      <c r="X1194" s="258" t="str">
        <f t="shared" si="58"/>
        <v/>
      </c>
      <c r="Y1194" s="36" t="str">
        <f t="shared" si="59"/>
        <v/>
      </c>
      <c r="Z1194" s="340" t="str">
        <f>IF(AND(C1194&gt;0,D1194&lt;&gt;"",S1194=""),VLOOKUP(A1194&amp;IF(H1194="黑丝","黑","白")&amp;E1194,经纬!A:M,13,FALSE)*(I1194-AB1194),"")</f>
        <v/>
      </c>
      <c r="AA1194" s="340" t="str">
        <f>IF(AND(C1194&gt;0,D1194&lt;&gt;"",S1194=""),VLOOKUP(A1194&amp;IF(H1194="黑丝","黑","白")&amp;E1194,经纬!A:N,14,FALSE)*(I1194-AB1194),"")</f>
        <v/>
      </c>
    </row>
    <row r="1195" spans="13:27">
      <c r="M1195" s="24" t="str">
        <f t="array" ref="M1195">LEFT(L1195,MIN(FIND({"A","B","C"},MID(L1195,2,LEN(L1195))&amp;"ABC")))</f>
        <v/>
      </c>
      <c r="N1195" s="24" t="str">
        <f t="array" ref="N1195">SUBSTITUTE(L1195,M1195,"")</f>
        <v/>
      </c>
      <c r="X1195" s="258" t="str">
        <f t="shared" si="58"/>
        <v/>
      </c>
      <c r="Y1195" s="36" t="str">
        <f t="shared" si="59"/>
        <v/>
      </c>
      <c r="Z1195" s="340" t="str">
        <f>IF(AND(C1195&gt;0,D1195&lt;&gt;"",S1195=""),VLOOKUP(A1195&amp;IF(H1195="黑丝","黑","白")&amp;E1195,经纬!A:M,13,FALSE)*(I1195-AB1195),"")</f>
        <v/>
      </c>
      <c r="AA1195" s="340" t="str">
        <f>IF(AND(C1195&gt;0,D1195&lt;&gt;"",S1195=""),VLOOKUP(A1195&amp;IF(H1195="黑丝","黑","白")&amp;E1195,经纬!A:N,14,FALSE)*(I1195-AB1195),"")</f>
        <v/>
      </c>
    </row>
    <row r="1196" spans="13:27">
      <c r="M1196" s="24" t="str">
        <f t="array" ref="M1196">LEFT(L1196,MIN(FIND({"A","B","C"},MID(L1196,2,LEN(L1196))&amp;"ABC")))</f>
        <v/>
      </c>
      <c r="N1196" s="24" t="str">
        <f t="array" ref="N1196">SUBSTITUTE(L1196,M1196,"")</f>
        <v/>
      </c>
      <c r="X1196" s="258" t="str">
        <f t="shared" si="58"/>
        <v/>
      </c>
      <c r="Y1196" s="36" t="str">
        <f t="shared" si="59"/>
        <v/>
      </c>
      <c r="Z1196" s="340" t="str">
        <f>IF(AND(C1196&gt;0,D1196&lt;&gt;"",S1196=""),VLOOKUP(A1196&amp;IF(H1196="黑丝","黑","白")&amp;E1196,经纬!A:M,13,FALSE)*(I1196-AB1196),"")</f>
        <v/>
      </c>
      <c r="AA1196" s="340" t="str">
        <f>IF(AND(C1196&gt;0,D1196&lt;&gt;"",S1196=""),VLOOKUP(A1196&amp;IF(H1196="黑丝","黑","白")&amp;E1196,经纬!A:N,14,FALSE)*(I1196-AB1196),"")</f>
        <v/>
      </c>
    </row>
    <row r="1197" spans="13:27">
      <c r="M1197" s="24" t="str">
        <f t="array" ref="M1197">LEFT(L1197,MIN(FIND({"A","B","C"},MID(L1197,2,LEN(L1197))&amp;"ABC")))</f>
        <v/>
      </c>
      <c r="N1197" s="24" t="str">
        <f t="array" ref="N1197">SUBSTITUTE(L1197,M1197,"")</f>
        <v/>
      </c>
      <c r="X1197" s="258" t="str">
        <f t="shared" si="58"/>
        <v/>
      </c>
      <c r="Y1197" s="36" t="str">
        <f t="shared" si="59"/>
        <v/>
      </c>
      <c r="Z1197" s="340" t="str">
        <f>IF(AND(C1197&gt;0,D1197&lt;&gt;"",S1197=""),VLOOKUP(A1197&amp;IF(H1197="黑丝","黑","白")&amp;E1197,经纬!A:M,13,FALSE)*(I1197-AB1197),"")</f>
        <v/>
      </c>
      <c r="AA1197" s="340" t="str">
        <f>IF(AND(C1197&gt;0,D1197&lt;&gt;"",S1197=""),VLOOKUP(A1197&amp;IF(H1197="黑丝","黑","白")&amp;E1197,经纬!A:N,14,FALSE)*(I1197-AB1197),"")</f>
        <v/>
      </c>
    </row>
    <row r="1198" spans="13:27">
      <c r="M1198" s="24" t="str">
        <f t="array" ref="M1198">LEFT(L1198,MIN(FIND({"A","B","C"},MID(L1198,2,LEN(L1198))&amp;"ABC")))</f>
        <v/>
      </c>
      <c r="N1198" s="24" t="str">
        <f t="array" ref="N1198">SUBSTITUTE(L1198,M1198,"")</f>
        <v/>
      </c>
      <c r="X1198" s="258" t="str">
        <f t="shared" si="58"/>
        <v/>
      </c>
      <c r="Y1198" s="36" t="str">
        <f t="shared" si="59"/>
        <v/>
      </c>
      <c r="Z1198" s="340" t="str">
        <f>IF(AND(C1198&gt;0,D1198&lt;&gt;"",S1198=""),VLOOKUP(A1198&amp;IF(H1198="黑丝","黑","白")&amp;E1198,经纬!A:M,13,FALSE)*(I1198-AB1198),"")</f>
        <v/>
      </c>
      <c r="AA1198" s="340" t="str">
        <f>IF(AND(C1198&gt;0,D1198&lt;&gt;"",S1198=""),VLOOKUP(A1198&amp;IF(H1198="黑丝","黑","白")&amp;E1198,经纬!A:N,14,FALSE)*(I1198-AB1198),"")</f>
        <v/>
      </c>
    </row>
    <row r="1199" spans="13:27">
      <c r="M1199" s="24" t="str">
        <f t="array" ref="M1199">LEFT(L1199,MIN(FIND({"A","B","C"},MID(L1199,2,LEN(L1199))&amp;"ABC")))</f>
        <v/>
      </c>
      <c r="N1199" s="24" t="str">
        <f t="array" ref="N1199">SUBSTITUTE(L1199,M1199,"")</f>
        <v/>
      </c>
      <c r="X1199" s="258" t="str">
        <f t="shared" si="58"/>
        <v/>
      </c>
      <c r="Y1199" s="36" t="str">
        <f t="shared" si="59"/>
        <v/>
      </c>
      <c r="Z1199" s="340" t="str">
        <f>IF(AND(C1199&gt;0,D1199&lt;&gt;"",S1199=""),VLOOKUP(A1199&amp;IF(H1199="黑丝","黑","白")&amp;E1199,经纬!A:M,13,FALSE)*(I1199-AB1199),"")</f>
        <v/>
      </c>
      <c r="AA1199" s="340" t="str">
        <f>IF(AND(C1199&gt;0,D1199&lt;&gt;"",S1199=""),VLOOKUP(A1199&amp;IF(H1199="黑丝","黑","白")&amp;E1199,经纬!A:N,14,FALSE)*(I1199-AB1199),"")</f>
        <v/>
      </c>
    </row>
    <row r="1200" spans="13:27">
      <c r="M1200" s="24" t="str">
        <f t="array" ref="M1200">LEFT(L1200,MIN(FIND({"A","B","C"},MID(L1200,2,LEN(L1200))&amp;"ABC")))</f>
        <v/>
      </c>
      <c r="N1200" s="24" t="str">
        <f t="array" ref="N1200">SUBSTITUTE(L1200,M1200,"")</f>
        <v/>
      </c>
      <c r="X1200" s="258" t="str">
        <f t="shared" si="58"/>
        <v/>
      </c>
      <c r="Y1200" s="36" t="str">
        <f t="shared" si="59"/>
        <v/>
      </c>
      <c r="Z1200" s="340" t="str">
        <f>IF(AND(C1200&gt;0,D1200&lt;&gt;"",S1200=""),VLOOKUP(A1200&amp;IF(H1200="黑丝","黑","白")&amp;E1200,经纬!A:M,13,FALSE)*(I1200-AB1200),"")</f>
        <v/>
      </c>
      <c r="AA1200" s="340" t="str">
        <f>IF(AND(C1200&gt;0,D1200&lt;&gt;"",S1200=""),VLOOKUP(A1200&amp;IF(H1200="黑丝","黑","白")&amp;E1200,经纬!A:N,14,FALSE)*(I1200-AB1200),"")</f>
        <v/>
      </c>
    </row>
    <row r="1201" spans="13:27">
      <c r="M1201" s="24" t="str">
        <f t="array" ref="M1201">LEFT(L1201,MIN(FIND({"A","B","C"},MID(L1201,2,LEN(L1201))&amp;"ABC")))</f>
        <v/>
      </c>
      <c r="N1201" s="24" t="str">
        <f t="array" ref="N1201">SUBSTITUTE(L1201,M1201,"")</f>
        <v/>
      </c>
      <c r="X1201" s="258" t="str">
        <f t="shared" si="58"/>
        <v/>
      </c>
      <c r="Y1201" s="36" t="str">
        <f t="shared" si="59"/>
        <v/>
      </c>
      <c r="Z1201" s="340" t="str">
        <f>IF(AND(C1201&gt;0,D1201&lt;&gt;"",S1201=""),VLOOKUP(A1201&amp;IF(H1201="黑丝","黑","白")&amp;E1201,经纬!A:M,13,FALSE)*(I1201-AB1201),"")</f>
        <v/>
      </c>
      <c r="AA1201" s="340" t="str">
        <f>IF(AND(C1201&gt;0,D1201&lt;&gt;"",S1201=""),VLOOKUP(A1201&amp;IF(H1201="黑丝","黑","白")&amp;E1201,经纬!A:N,14,FALSE)*(I1201-AB1201),"")</f>
        <v/>
      </c>
    </row>
    <row r="1202" spans="13:27">
      <c r="M1202" s="24" t="str">
        <f t="array" ref="M1202">LEFT(L1202,MIN(FIND({"A","B","C"},MID(L1202,2,LEN(L1202))&amp;"ABC")))</f>
        <v/>
      </c>
      <c r="N1202" s="24" t="str">
        <f t="array" ref="N1202">SUBSTITUTE(L1202,M1202,"")</f>
        <v/>
      </c>
      <c r="X1202" s="258" t="str">
        <f t="shared" si="58"/>
        <v/>
      </c>
      <c r="Y1202" s="36" t="str">
        <f t="shared" si="59"/>
        <v/>
      </c>
      <c r="Z1202" s="340" t="str">
        <f>IF(AND(C1202&gt;0,D1202&lt;&gt;"",S1202=""),VLOOKUP(A1202&amp;IF(H1202="黑丝","黑","白")&amp;E1202,经纬!A:M,13,FALSE)*(I1202-AB1202),"")</f>
        <v/>
      </c>
      <c r="AA1202" s="340" t="str">
        <f>IF(AND(C1202&gt;0,D1202&lt;&gt;"",S1202=""),VLOOKUP(A1202&amp;IF(H1202="黑丝","黑","白")&amp;E1202,经纬!A:N,14,FALSE)*(I1202-AB1202),"")</f>
        <v/>
      </c>
    </row>
    <row r="1203" spans="13:27">
      <c r="M1203" s="24" t="str">
        <f t="array" ref="M1203">LEFT(L1203,MIN(FIND({"A","B","C"},MID(L1203,2,LEN(L1203))&amp;"ABC")))</f>
        <v/>
      </c>
      <c r="N1203" s="24" t="str">
        <f t="array" ref="N1203">SUBSTITUTE(L1203,M1203,"")</f>
        <v/>
      </c>
      <c r="X1203" s="258" t="str">
        <f t="shared" si="58"/>
        <v/>
      </c>
      <c r="Y1203" s="36" t="str">
        <f t="shared" si="59"/>
        <v/>
      </c>
      <c r="Z1203" s="340" t="str">
        <f>IF(AND(C1203&gt;0,D1203&lt;&gt;"",S1203=""),VLOOKUP(A1203&amp;IF(H1203="黑丝","黑","白")&amp;E1203,经纬!A:M,13,FALSE)*(I1203-AB1203),"")</f>
        <v/>
      </c>
      <c r="AA1203" s="340" t="str">
        <f>IF(AND(C1203&gt;0,D1203&lt;&gt;"",S1203=""),VLOOKUP(A1203&amp;IF(H1203="黑丝","黑","白")&amp;E1203,经纬!A:N,14,FALSE)*(I1203-AB1203),"")</f>
        <v/>
      </c>
    </row>
    <row r="1204" spans="13:27">
      <c r="M1204" s="24" t="str">
        <f t="array" ref="M1204">LEFT(L1204,MIN(FIND({"A","B","C"},MID(L1204,2,LEN(L1204))&amp;"ABC")))</f>
        <v/>
      </c>
      <c r="N1204" s="24" t="str">
        <f t="array" ref="N1204">SUBSTITUTE(L1204,M1204,"")</f>
        <v/>
      </c>
      <c r="X1204" s="258" t="str">
        <f t="shared" si="58"/>
        <v/>
      </c>
      <c r="Y1204" s="36" t="str">
        <f t="shared" si="59"/>
        <v/>
      </c>
      <c r="Z1204" s="340" t="str">
        <f>IF(AND(C1204&gt;0,D1204&lt;&gt;"",S1204=""),VLOOKUP(A1204&amp;IF(H1204="黑丝","黑","白")&amp;E1204,经纬!A:M,13,FALSE)*(I1204-AB1204),"")</f>
        <v/>
      </c>
      <c r="AA1204" s="340" t="str">
        <f>IF(AND(C1204&gt;0,D1204&lt;&gt;"",S1204=""),VLOOKUP(A1204&amp;IF(H1204="黑丝","黑","白")&amp;E1204,经纬!A:N,14,FALSE)*(I1204-AB1204),"")</f>
        <v/>
      </c>
    </row>
    <row r="1205" spans="13:27">
      <c r="M1205" s="24" t="str">
        <f t="array" ref="M1205">LEFT(L1205,MIN(FIND({"A","B","C"},MID(L1205,2,LEN(L1205))&amp;"ABC")))</f>
        <v/>
      </c>
      <c r="N1205" s="24" t="str">
        <f t="array" ref="N1205">SUBSTITUTE(L1205,M1205,"")</f>
        <v/>
      </c>
      <c r="X1205" s="258" t="str">
        <f t="shared" si="58"/>
        <v/>
      </c>
      <c r="Y1205" s="36" t="str">
        <f t="shared" si="59"/>
        <v/>
      </c>
      <c r="Z1205" s="340" t="str">
        <f>IF(AND(C1205&gt;0,D1205&lt;&gt;"",S1205=""),VLOOKUP(A1205&amp;IF(H1205="黑丝","黑","白")&amp;E1205,经纬!A:M,13,FALSE)*(I1205-AB1205),"")</f>
        <v/>
      </c>
      <c r="AA1205" s="340" t="str">
        <f>IF(AND(C1205&gt;0,D1205&lt;&gt;"",S1205=""),VLOOKUP(A1205&amp;IF(H1205="黑丝","黑","白")&amp;E1205,经纬!A:N,14,FALSE)*(I1205-AB1205),"")</f>
        <v/>
      </c>
    </row>
    <row r="1206" spans="13:27">
      <c r="M1206" s="24" t="str">
        <f t="array" ref="M1206">LEFT(L1206,MIN(FIND({"A","B","C"},MID(L1206,2,LEN(L1206))&amp;"ABC")))</f>
        <v/>
      </c>
      <c r="N1206" s="24" t="str">
        <f t="array" ref="N1206">SUBSTITUTE(L1206,M1206,"")</f>
        <v/>
      </c>
      <c r="X1206" s="258" t="str">
        <f t="shared" si="58"/>
        <v/>
      </c>
      <c r="Y1206" s="36" t="str">
        <f t="shared" si="59"/>
        <v/>
      </c>
      <c r="Z1206" s="340" t="str">
        <f>IF(AND(C1206&gt;0,D1206&lt;&gt;"",S1206=""),VLOOKUP(A1206&amp;IF(H1206="黑丝","黑","白")&amp;E1206,经纬!A:M,13,FALSE)*(I1206-AB1206),"")</f>
        <v/>
      </c>
      <c r="AA1206" s="340" t="str">
        <f>IF(AND(C1206&gt;0,D1206&lt;&gt;"",S1206=""),VLOOKUP(A1206&amp;IF(H1206="黑丝","黑","白")&amp;E1206,经纬!A:N,14,FALSE)*(I1206-AB1206),"")</f>
        <v/>
      </c>
    </row>
    <row r="1207" spans="13:27">
      <c r="M1207" s="24" t="str">
        <f t="array" ref="M1207">LEFT(L1207,MIN(FIND({"A","B","C"},MID(L1207,2,LEN(L1207))&amp;"ABC")))</f>
        <v/>
      </c>
      <c r="N1207" s="24" t="str">
        <f t="array" ref="N1207">SUBSTITUTE(L1207,M1207,"")</f>
        <v/>
      </c>
      <c r="X1207" s="258" t="str">
        <f t="shared" si="58"/>
        <v/>
      </c>
      <c r="Y1207" s="36" t="str">
        <f t="shared" si="59"/>
        <v/>
      </c>
      <c r="Z1207" s="340" t="str">
        <f>IF(AND(C1207&gt;0,D1207&lt;&gt;"",S1207=""),VLOOKUP(A1207&amp;IF(H1207="黑丝","黑","白")&amp;E1207,经纬!A:M,13,FALSE)*(I1207-AB1207),"")</f>
        <v/>
      </c>
      <c r="AA1207" s="340" t="str">
        <f>IF(AND(C1207&gt;0,D1207&lt;&gt;"",S1207=""),VLOOKUP(A1207&amp;IF(H1207="黑丝","黑","白")&amp;E1207,经纬!A:N,14,FALSE)*(I1207-AB1207),"")</f>
        <v/>
      </c>
    </row>
    <row r="1208" spans="13:27">
      <c r="M1208" s="24" t="str">
        <f t="array" ref="M1208">LEFT(L1208,MIN(FIND({"A","B","C"},MID(L1208,2,LEN(L1208))&amp;"ABC")))</f>
        <v/>
      </c>
      <c r="N1208" s="24" t="str">
        <f t="array" ref="N1208">SUBSTITUTE(L1208,M1208,"")</f>
        <v/>
      </c>
      <c r="X1208" s="258" t="str">
        <f t="shared" si="58"/>
        <v/>
      </c>
      <c r="Y1208" s="36" t="str">
        <f t="shared" si="59"/>
        <v/>
      </c>
      <c r="Z1208" s="340" t="str">
        <f>IF(AND(C1208&gt;0,D1208&lt;&gt;"",S1208=""),VLOOKUP(A1208&amp;IF(H1208="黑丝","黑","白")&amp;E1208,经纬!A:M,13,FALSE)*(I1208-AB1208),"")</f>
        <v/>
      </c>
      <c r="AA1208" s="340" t="str">
        <f>IF(AND(C1208&gt;0,D1208&lt;&gt;"",S1208=""),VLOOKUP(A1208&amp;IF(H1208="黑丝","黑","白")&amp;E1208,经纬!A:N,14,FALSE)*(I1208-AB1208),"")</f>
        <v/>
      </c>
    </row>
    <row r="1209" spans="13:27">
      <c r="M1209" s="24" t="str">
        <f t="array" ref="M1209">LEFT(L1209,MIN(FIND({"A","B","C"},MID(L1209,2,LEN(L1209))&amp;"ABC")))</f>
        <v/>
      </c>
      <c r="N1209" s="24" t="str">
        <f t="array" ref="N1209">SUBSTITUTE(L1209,M1209,"")</f>
        <v/>
      </c>
      <c r="X1209" s="258" t="str">
        <f t="shared" si="58"/>
        <v/>
      </c>
      <c r="Y1209" s="36" t="str">
        <f t="shared" si="59"/>
        <v/>
      </c>
      <c r="Z1209" s="340" t="str">
        <f>IF(AND(C1209&gt;0,D1209&lt;&gt;"",S1209=""),VLOOKUP(A1209&amp;IF(H1209="黑丝","黑","白")&amp;E1209,经纬!A:M,13,FALSE)*(I1209-AB1209),"")</f>
        <v/>
      </c>
      <c r="AA1209" s="340" t="str">
        <f>IF(AND(C1209&gt;0,D1209&lt;&gt;"",S1209=""),VLOOKUP(A1209&amp;IF(H1209="黑丝","黑","白")&amp;E1209,经纬!A:N,14,FALSE)*(I1209-AB1209),"")</f>
        <v/>
      </c>
    </row>
    <row r="1210" spans="13:27">
      <c r="M1210" s="24" t="str">
        <f t="array" ref="M1210">LEFT(L1210,MIN(FIND({"A","B","C"},MID(L1210,2,LEN(L1210))&amp;"ABC")))</f>
        <v/>
      </c>
      <c r="N1210" s="24" t="str">
        <f t="array" ref="N1210">SUBSTITUTE(L1210,M1210,"")</f>
        <v/>
      </c>
      <c r="X1210" s="258" t="str">
        <f t="shared" si="58"/>
        <v/>
      </c>
      <c r="Y1210" s="36" t="str">
        <f t="shared" si="59"/>
        <v/>
      </c>
      <c r="Z1210" s="340" t="str">
        <f>IF(AND(C1210&gt;0,D1210&lt;&gt;"",S1210=""),VLOOKUP(A1210&amp;IF(H1210="黑丝","黑","白")&amp;E1210,经纬!A:M,13,FALSE)*(I1210-AB1210),"")</f>
        <v/>
      </c>
      <c r="AA1210" s="340" t="str">
        <f>IF(AND(C1210&gt;0,D1210&lt;&gt;"",S1210=""),VLOOKUP(A1210&amp;IF(H1210="黑丝","黑","白")&amp;E1210,经纬!A:N,14,FALSE)*(I1210-AB1210),"")</f>
        <v/>
      </c>
    </row>
    <row r="1211" spans="13:27">
      <c r="M1211" s="24" t="str">
        <f t="array" ref="M1211">LEFT(L1211,MIN(FIND({"A","B","C"},MID(L1211,2,LEN(L1211))&amp;"ABC")))</f>
        <v/>
      </c>
      <c r="N1211" s="24" t="str">
        <f t="array" ref="N1211">SUBSTITUTE(L1211,M1211,"")</f>
        <v/>
      </c>
      <c r="X1211" s="258" t="str">
        <f t="shared" si="58"/>
        <v/>
      </c>
      <c r="Y1211" s="36" t="str">
        <f t="shared" si="59"/>
        <v/>
      </c>
      <c r="Z1211" s="340" t="str">
        <f>IF(AND(C1211&gt;0,D1211&lt;&gt;"",S1211=""),VLOOKUP(A1211&amp;IF(H1211="黑丝","黑","白")&amp;E1211,经纬!A:M,13,FALSE)*(I1211-AB1211),"")</f>
        <v/>
      </c>
      <c r="AA1211" s="340" t="str">
        <f>IF(AND(C1211&gt;0,D1211&lt;&gt;"",S1211=""),VLOOKUP(A1211&amp;IF(H1211="黑丝","黑","白")&amp;E1211,经纬!A:N,14,FALSE)*(I1211-AB1211),"")</f>
        <v/>
      </c>
    </row>
    <row r="1212" spans="13:27">
      <c r="M1212" s="24" t="str">
        <f t="array" ref="M1212">LEFT(L1212,MIN(FIND({"A","B","C"},MID(L1212,2,LEN(L1212))&amp;"ABC")))</f>
        <v/>
      </c>
      <c r="N1212" s="24" t="str">
        <f t="array" ref="N1212">SUBSTITUTE(L1212,M1212,"")</f>
        <v/>
      </c>
      <c r="X1212" s="258" t="str">
        <f t="shared" si="58"/>
        <v/>
      </c>
      <c r="Y1212" s="36" t="str">
        <f t="shared" si="59"/>
        <v/>
      </c>
      <c r="Z1212" s="340" t="str">
        <f>IF(AND(C1212&gt;0,D1212&lt;&gt;"",S1212=""),VLOOKUP(A1212&amp;IF(H1212="黑丝","黑","白")&amp;E1212,经纬!A:M,13,FALSE)*(I1212-AB1212),"")</f>
        <v/>
      </c>
      <c r="AA1212" s="340" t="str">
        <f>IF(AND(C1212&gt;0,D1212&lt;&gt;"",S1212=""),VLOOKUP(A1212&amp;IF(H1212="黑丝","黑","白")&amp;E1212,经纬!A:N,14,FALSE)*(I1212-AB1212),"")</f>
        <v/>
      </c>
    </row>
    <row r="1213" spans="13:27">
      <c r="M1213" s="24" t="str">
        <f t="array" ref="M1213">LEFT(L1213,MIN(FIND({"A","B","C"},MID(L1213,2,LEN(L1213))&amp;"ABC")))</f>
        <v/>
      </c>
      <c r="N1213" s="24" t="str">
        <f t="array" ref="N1213">SUBSTITUTE(L1213,M1213,"")</f>
        <v/>
      </c>
      <c r="X1213" s="258" t="str">
        <f t="shared" si="58"/>
        <v/>
      </c>
      <c r="Y1213" s="36" t="str">
        <f t="shared" si="59"/>
        <v/>
      </c>
      <c r="Z1213" s="340" t="str">
        <f>IF(AND(C1213&gt;0,D1213&lt;&gt;"",S1213=""),VLOOKUP(A1213&amp;IF(H1213="黑丝","黑","白")&amp;E1213,经纬!A:M,13,FALSE)*(I1213-AB1213),"")</f>
        <v/>
      </c>
      <c r="AA1213" s="340" t="str">
        <f>IF(AND(C1213&gt;0,D1213&lt;&gt;"",S1213=""),VLOOKUP(A1213&amp;IF(H1213="黑丝","黑","白")&amp;E1213,经纬!A:N,14,FALSE)*(I1213-AB1213),"")</f>
        <v/>
      </c>
    </row>
    <row r="1214" spans="13:27">
      <c r="M1214" s="24" t="str">
        <f t="array" ref="M1214">LEFT(L1214,MIN(FIND({"A","B","C"},MID(L1214,2,LEN(L1214))&amp;"ABC")))</f>
        <v/>
      </c>
      <c r="N1214" s="24" t="str">
        <f t="array" ref="N1214">SUBSTITUTE(L1214,M1214,"")</f>
        <v/>
      </c>
      <c r="X1214" s="258" t="str">
        <f t="shared" si="58"/>
        <v/>
      </c>
      <c r="Y1214" s="36" t="str">
        <f t="shared" si="59"/>
        <v/>
      </c>
      <c r="Z1214" s="340" t="str">
        <f>IF(AND(C1214&gt;0,D1214&lt;&gt;"",S1214=""),VLOOKUP(A1214&amp;IF(H1214="黑丝","黑","白")&amp;E1214,经纬!A:M,13,FALSE)*(I1214-AB1214),"")</f>
        <v/>
      </c>
      <c r="AA1214" s="340" t="str">
        <f>IF(AND(C1214&gt;0,D1214&lt;&gt;"",S1214=""),VLOOKUP(A1214&amp;IF(H1214="黑丝","黑","白")&amp;E1214,经纬!A:N,14,FALSE)*(I1214-AB1214),"")</f>
        <v/>
      </c>
    </row>
    <row r="1215" spans="13:27">
      <c r="M1215" s="24" t="str">
        <f t="array" ref="M1215">LEFT(L1215,MIN(FIND({"A","B","C"},MID(L1215,2,LEN(L1215))&amp;"ABC")))</f>
        <v/>
      </c>
      <c r="N1215" s="24" t="str">
        <f t="array" ref="N1215">SUBSTITUTE(L1215,M1215,"")</f>
        <v/>
      </c>
      <c r="X1215" s="258" t="str">
        <f t="shared" si="58"/>
        <v/>
      </c>
      <c r="Y1215" s="36" t="str">
        <f t="shared" si="59"/>
        <v/>
      </c>
      <c r="Z1215" s="340" t="str">
        <f>IF(AND(C1215&gt;0,D1215&lt;&gt;"",S1215=""),VLOOKUP(A1215&amp;IF(H1215="黑丝","黑","白")&amp;E1215,经纬!A:M,13,FALSE)*(I1215-AB1215),"")</f>
        <v/>
      </c>
      <c r="AA1215" s="340" t="str">
        <f>IF(AND(C1215&gt;0,D1215&lt;&gt;"",S1215=""),VLOOKUP(A1215&amp;IF(H1215="黑丝","黑","白")&amp;E1215,经纬!A:N,14,FALSE)*(I1215-AB1215),"")</f>
        <v/>
      </c>
    </row>
    <row r="1216" spans="13:27">
      <c r="M1216" s="24" t="str">
        <f t="array" ref="M1216">LEFT(L1216,MIN(FIND({"A","B","C"},MID(L1216,2,LEN(L1216))&amp;"ABC")))</f>
        <v/>
      </c>
      <c r="N1216" s="24" t="str">
        <f t="array" ref="N1216">SUBSTITUTE(L1216,M1216,"")</f>
        <v/>
      </c>
      <c r="X1216" s="258" t="str">
        <f t="shared" si="58"/>
        <v/>
      </c>
      <c r="Y1216" s="36" t="str">
        <f t="shared" si="59"/>
        <v/>
      </c>
      <c r="Z1216" s="340" t="str">
        <f>IF(AND(C1216&gt;0,D1216&lt;&gt;"",S1216=""),VLOOKUP(A1216&amp;IF(H1216="黑丝","黑","白")&amp;E1216,经纬!A:M,13,FALSE)*(I1216-AB1216),"")</f>
        <v/>
      </c>
      <c r="AA1216" s="340" t="str">
        <f>IF(AND(C1216&gt;0,D1216&lt;&gt;"",S1216=""),VLOOKUP(A1216&amp;IF(H1216="黑丝","黑","白")&amp;E1216,经纬!A:N,14,FALSE)*(I1216-AB1216),"")</f>
        <v/>
      </c>
    </row>
    <row r="1217" spans="13:27">
      <c r="M1217" s="24" t="str">
        <f t="array" ref="M1217">LEFT(L1217,MIN(FIND({"A","B","C"},MID(L1217,2,LEN(L1217))&amp;"ABC")))</f>
        <v/>
      </c>
      <c r="N1217" s="24" t="str">
        <f t="array" ref="N1217">SUBSTITUTE(L1217,M1217,"")</f>
        <v/>
      </c>
      <c r="X1217" s="258" t="str">
        <f t="shared" si="58"/>
        <v/>
      </c>
      <c r="Y1217" s="36" t="str">
        <f t="shared" si="59"/>
        <v/>
      </c>
      <c r="Z1217" s="340" t="str">
        <f>IF(AND(C1217&gt;0,D1217&lt;&gt;"",S1217=""),VLOOKUP(A1217&amp;IF(H1217="黑丝","黑","白")&amp;E1217,经纬!A:M,13,FALSE)*(I1217-AB1217),"")</f>
        <v/>
      </c>
      <c r="AA1217" s="340" t="str">
        <f>IF(AND(C1217&gt;0,D1217&lt;&gt;"",S1217=""),VLOOKUP(A1217&amp;IF(H1217="黑丝","黑","白")&amp;E1217,经纬!A:N,14,FALSE)*(I1217-AB1217),"")</f>
        <v/>
      </c>
    </row>
    <row r="1218" spans="13:27">
      <c r="M1218" s="24" t="str">
        <f t="array" ref="M1218">LEFT(L1218,MIN(FIND({"A","B","C"},MID(L1218,2,LEN(L1218))&amp;"ABC")))</f>
        <v/>
      </c>
      <c r="N1218" s="24" t="str">
        <f t="array" ref="N1218">SUBSTITUTE(L1218,M1218,"")</f>
        <v/>
      </c>
      <c r="X1218" s="258" t="str">
        <f t="shared" si="58"/>
        <v/>
      </c>
      <c r="Y1218" s="36" t="str">
        <f t="shared" si="59"/>
        <v/>
      </c>
      <c r="Z1218" s="340" t="str">
        <f>IF(AND(C1218&gt;0,D1218&lt;&gt;"",S1218=""),VLOOKUP(A1218&amp;IF(H1218="黑丝","黑","白")&amp;E1218,经纬!A:M,13,FALSE)*(I1218-AB1218),"")</f>
        <v/>
      </c>
      <c r="AA1218" s="340" t="str">
        <f>IF(AND(C1218&gt;0,D1218&lt;&gt;"",S1218=""),VLOOKUP(A1218&amp;IF(H1218="黑丝","黑","白")&amp;E1218,经纬!A:N,14,FALSE)*(I1218-AB1218),"")</f>
        <v/>
      </c>
    </row>
    <row r="1219" spans="13:27">
      <c r="M1219" s="24" t="str">
        <f t="array" ref="M1219">LEFT(L1219,MIN(FIND({"A","B","C"},MID(L1219,2,LEN(L1219))&amp;"ABC")))</f>
        <v/>
      </c>
      <c r="N1219" s="24" t="str">
        <f t="array" ref="N1219">SUBSTITUTE(L1219,M1219,"")</f>
        <v/>
      </c>
      <c r="X1219" s="258" t="str">
        <f t="shared" si="58"/>
        <v/>
      </c>
      <c r="Y1219" s="36" t="str">
        <f t="shared" si="59"/>
        <v/>
      </c>
      <c r="Z1219" s="340" t="str">
        <f>IF(AND(C1219&gt;0,D1219&lt;&gt;"",S1219=""),VLOOKUP(A1219&amp;IF(H1219="黑丝","黑","白")&amp;E1219,经纬!A:M,13,FALSE)*(I1219-AB1219),"")</f>
        <v/>
      </c>
      <c r="AA1219" s="340" t="str">
        <f>IF(AND(C1219&gt;0,D1219&lt;&gt;"",S1219=""),VLOOKUP(A1219&amp;IF(H1219="黑丝","黑","白")&amp;E1219,经纬!A:N,14,FALSE)*(I1219-AB1219),"")</f>
        <v/>
      </c>
    </row>
    <row r="1220" spans="13:27">
      <c r="M1220" s="24" t="str">
        <f t="array" ref="M1220">LEFT(L1220,MIN(FIND({"A","B","C"},MID(L1220,2,LEN(L1220))&amp;"ABC")))</f>
        <v/>
      </c>
      <c r="N1220" s="24" t="str">
        <f t="array" ref="N1220">SUBSTITUTE(L1220,M1220,"")</f>
        <v/>
      </c>
      <c r="X1220" s="258" t="str">
        <f t="shared" si="58"/>
        <v/>
      </c>
      <c r="Y1220" s="36" t="str">
        <f t="shared" si="59"/>
        <v/>
      </c>
      <c r="Z1220" s="340" t="str">
        <f>IF(AND(C1220&gt;0,D1220&lt;&gt;"",S1220=""),VLOOKUP(A1220&amp;IF(H1220="黑丝","黑","白")&amp;E1220,经纬!A:M,13,FALSE)*(I1220-AB1220),"")</f>
        <v/>
      </c>
      <c r="AA1220" s="340" t="str">
        <f>IF(AND(C1220&gt;0,D1220&lt;&gt;"",S1220=""),VLOOKUP(A1220&amp;IF(H1220="黑丝","黑","白")&amp;E1220,经纬!A:N,14,FALSE)*(I1220-AB1220),"")</f>
        <v/>
      </c>
    </row>
    <row r="1221" spans="13:27">
      <c r="M1221" s="24" t="str">
        <f t="array" ref="M1221">LEFT(L1221,MIN(FIND({"A","B","C"},MID(L1221,2,LEN(L1221))&amp;"ABC")))</f>
        <v/>
      </c>
      <c r="N1221" s="24" t="str">
        <f t="array" ref="N1221">SUBSTITUTE(L1221,M1221,"")</f>
        <v/>
      </c>
      <c r="X1221" s="258" t="str">
        <f t="shared" si="58"/>
        <v/>
      </c>
      <c r="Y1221" s="36" t="str">
        <f t="shared" si="59"/>
        <v/>
      </c>
      <c r="Z1221" s="340" t="str">
        <f>IF(AND(C1221&gt;0,D1221&lt;&gt;"",S1221=""),VLOOKUP(A1221&amp;IF(H1221="黑丝","黑","白")&amp;E1221,经纬!A:M,13,FALSE)*(I1221-AB1221),"")</f>
        <v/>
      </c>
      <c r="AA1221" s="340" t="str">
        <f>IF(AND(C1221&gt;0,D1221&lt;&gt;"",S1221=""),VLOOKUP(A1221&amp;IF(H1221="黑丝","黑","白")&amp;E1221,经纬!A:N,14,FALSE)*(I1221-AB1221),"")</f>
        <v/>
      </c>
    </row>
    <row r="1222" spans="13:27">
      <c r="M1222" s="24" t="str">
        <f t="array" ref="M1222">LEFT(L1222,MIN(FIND({"A","B","C"},MID(L1222,2,LEN(L1222))&amp;"ABC")))</f>
        <v/>
      </c>
      <c r="N1222" s="24" t="str">
        <f t="array" ref="N1222">SUBSTITUTE(L1222,M1222,"")</f>
        <v/>
      </c>
      <c r="X1222" s="258" t="str">
        <f t="shared" si="58"/>
        <v/>
      </c>
      <c r="Y1222" s="36" t="str">
        <f t="shared" si="59"/>
        <v/>
      </c>
      <c r="Z1222" s="340" t="str">
        <f>IF(AND(C1222&gt;0,D1222&lt;&gt;"",S1222=""),VLOOKUP(A1222&amp;IF(H1222="黑丝","黑","白")&amp;E1222,经纬!A:M,13,FALSE)*(I1222-AB1222),"")</f>
        <v/>
      </c>
      <c r="AA1222" s="340" t="str">
        <f>IF(AND(C1222&gt;0,D1222&lt;&gt;"",S1222=""),VLOOKUP(A1222&amp;IF(H1222="黑丝","黑","白")&amp;E1222,经纬!A:N,14,FALSE)*(I1222-AB1222),"")</f>
        <v/>
      </c>
    </row>
    <row r="1223" spans="13:27">
      <c r="M1223" s="24" t="str">
        <f t="array" ref="M1223">LEFT(L1223,MIN(FIND({"A","B","C"},MID(L1223,2,LEN(L1223))&amp;"ABC")))</f>
        <v/>
      </c>
      <c r="N1223" s="24" t="str">
        <f t="array" ref="N1223">SUBSTITUTE(L1223,M1223,"")</f>
        <v/>
      </c>
      <c r="X1223" s="258" t="str">
        <f t="shared" si="58"/>
        <v/>
      </c>
      <c r="Y1223" s="36" t="str">
        <f t="shared" si="59"/>
        <v/>
      </c>
      <c r="Z1223" s="340" t="str">
        <f>IF(AND(C1223&gt;0,D1223&lt;&gt;"",S1223=""),VLOOKUP(A1223&amp;IF(H1223="黑丝","黑","白")&amp;E1223,经纬!A:M,13,FALSE)*(I1223-AB1223),"")</f>
        <v/>
      </c>
      <c r="AA1223" s="340" t="str">
        <f>IF(AND(C1223&gt;0,D1223&lt;&gt;"",S1223=""),VLOOKUP(A1223&amp;IF(H1223="黑丝","黑","白")&amp;E1223,经纬!A:N,14,FALSE)*(I1223-AB1223),"")</f>
        <v/>
      </c>
    </row>
    <row r="1224" spans="13:27">
      <c r="M1224" s="24" t="str">
        <f t="array" ref="M1224">LEFT(L1224,MIN(FIND({"A","B","C"},MID(L1224,2,LEN(L1224))&amp;"ABC")))</f>
        <v/>
      </c>
      <c r="N1224" s="24" t="str">
        <f t="array" ref="N1224">SUBSTITUTE(L1224,M1224,"")</f>
        <v/>
      </c>
      <c r="X1224" s="258" t="str">
        <f t="shared" si="58"/>
        <v/>
      </c>
      <c r="Y1224" s="36" t="str">
        <f t="shared" si="59"/>
        <v/>
      </c>
      <c r="Z1224" s="340" t="str">
        <f>IF(AND(C1224&gt;0,D1224&lt;&gt;"",S1224=""),VLOOKUP(A1224&amp;IF(H1224="黑丝","黑","白")&amp;E1224,经纬!A:M,13,FALSE)*(I1224-AB1224),"")</f>
        <v/>
      </c>
      <c r="AA1224" s="340" t="str">
        <f>IF(AND(C1224&gt;0,D1224&lt;&gt;"",S1224=""),VLOOKUP(A1224&amp;IF(H1224="黑丝","黑","白")&amp;E1224,经纬!A:N,14,FALSE)*(I1224-AB1224),"")</f>
        <v/>
      </c>
    </row>
    <row r="1225" spans="13:27">
      <c r="M1225" s="24" t="str">
        <f t="array" ref="M1225">LEFT(L1225,MIN(FIND({"A","B","C"},MID(L1225,2,LEN(L1225))&amp;"ABC")))</f>
        <v/>
      </c>
      <c r="N1225" s="24" t="str">
        <f t="array" ref="N1225">SUBSTITUTE(L1225,M1225,"")</f>
        <v/>
      </c>
      <c r="X1225" s="258" t="str">
        <f t="shared" si="58"/>
        <v/>
      </c>
      <c r="Y1225" s="36" t="str">
        <f t="shared" si="59"/>
        <v/>
      </c>
      <c r="Z1225" s="340" t="str">
        <f>IF(AND(C1225&gt;0,D1225&lt;&gt;"",S1225=""),VLOOKUP(A1225&amp;IF(H1225="黑丝","黑","白")&amp;E1225,经纬!A:M,13,FALSE)*(I1225-AB1225),"")</f>
        <v/>
      </c>
      <c r="AA1225" s="340" t="str">
        <f>IF(AND(C1225&gt;0,D1225&lt;&gt;"",S1225=""),VLOOKUP(A1225&amp;IF(H1225="黑丝","黑","白")&amp;E1225,经纬!A:N,14,FALSE)*(I1225-AB1225),"")</f>
        <v/>
      </c>
    </row>
    <row r="1226" spans="13:27">
      <c r="M1226" s="24" t="str">
        <f t="array" ref="M1226">LEFT(L1226,MIN(FIND({"A","B","C"},MID(L1226,2,LEN(L1226))&amp;"ABC")))</f>
        <v/>
      </c>
      <c r="N1226" s="24" t="str">
        <f t="array" ref="N1226">SUBSTITUTE(L1226,M1226,"")</f>
        <v/>
      </c>
      <c r="X1226" s="258" t="str">
        <f t="shared" si="58"/>
        <v/>
      </c>
      <c r="Y1226" s="36" t="str">
        <f t="shared" si="59"/>
        <v/>
      </c>
      <c r="Z1226" s="340" t="str">
        <f>IF(AND(C1226&gt;0,D1226&lt;&gt;"",S1226=""),VLOOKUP(A1226&amp;IF(H1226="黑丝","黑","白")&amp;E1226,经纬!A:M,13,FALSE)*(I1226-AB1226),"")</f>
        <v/>
      </c>
      <c r="AA1226" s="340" t="str">
        <f>IF(AND(C1226&gt;0,D1226&lt;&gt;"",S1226=""),VLOOKUP(A1226&amp;IF(H1226="黑丝","黑","白")&amp;E1226,经纬!A:N,14,FALSE)*(I1226-AB1226),"")</f>
        <v/>
      </c>
    </row>
    <row r="1227" spans="13:27">
      <c r="M1227" s="24" t="str">
        <f t="array" ref="M1227">LEFT(L1227,MIN(FIND({"A","B","C"},MID(L1227,2,LEN(L1227))&amp;"ABC")))</f>
        <v/>
      </c>
      <c r="N1227" s="24" t="str">
        <f t="array" ref="N1227">SUBSTITUTE(L1227,M1227,"")</f>
        <v/>
      </c>
      <c r="X1227" s="258" t="str">
        <f t="shared" si="58"/>
        <v/>
      </c>
      <c r="Y1227" s="36" t="str">
        <f t="shared" si="59"/>
        <v/>
      </c>
      <c r="Z1227" s="340" t="str">
        <f>IF(AND(C1227&gt;0,D1227&lt;&gt;"",S1227=""),VLOOKUP(A1227&amp;IF(H1227="黑丝","黑","白")&amp;E1227,经纬!A:M,13,FALSE)*(I1227-AB1227),"")</f>
        <v/>
      </c>
      <c r="AA1227" s="340" t="str">
        <f>IF(AND(C1227&gt;0,D1227&lt;&gt;"",S1227=""),VLOOKUP(A1227&amp;IF(H1227="黑丝","黑","白")&amp;E1227,经纬!A:N,14,FALSE)*(I1227-AB1227),"")</f>
        <v/>
      </c>
    </row>
    <row r="1228" spans="13:27">
      <c r="M1228" s="24" t="str">
        <f t="array" ref="M1228">LEFT(L1228,MIN(FIND({"A","B","C"},MID(L1228,2,LEN(L1228))&amp;"ABC")))</f>
        <v/>
      </c>
      <c r="N1228" s="24" t="str">
        <f t="array" ref="N1228">SUBSTITUTE(L1228,M1228,"")</f>
        <v/>
      </c>
      <c r="X1228" s="258" t="str">
        <f t="shared" si="58"/>
        <v/>
      </c>
      <c r="Y1228" s="36" t="str">
        <f t="shared" si="59"/>
        <v/>
      </c>
      <c r="Z1228" s="340" t="str">
        <f>IF(AND(C1228&gt;0,D1228&lt;&gt;"",S1228=""),VLOOKUP(A1228&amp;IF(H1228="黑丝","黑","白")&amp;E1228,经纬!A:M,13,FALSE)*(I1228-AB1228),"")</f>
        <v/>
      </c>
      <c r="AA1228" s="340" t="str">
        <f>IF(AND(C1228&gt;0,D1228&lt;&gt;"",S1228=""),VLOOKUP(A1228&amp;IF(H1228="黑丝","黑","白")&amp;E1228,经纬!A:N,14,FALSE)*(I1228-AB1228),"")</f>
        <v/>
      </c>
    </row>
    <row r="1229" spans="13:27">
      <c r="M1229" s="24" t="str">
        <f t="array" ref="M1229">LEFT(L1229,MIN(FIND({"A","B","C"},MID(L1229,2,LEN(L1229))&amp;"ABC")))</f>
        <v/>
      </c>
      <c r="N1229" s="24" t="str">
        <f t="array" ref="N1229">SUBSTITUTE(L1229,M1229,"")</f>
        <v/>
      </c>
      <c r="X1229" s="258" t="str">
        <f t="shared" si="58"/>
        <v/>
      </c>
      <c r="Y1229" s="36" t="str">
        <f t="shared" si="59"/>
        <v/>
      </c>
      <c r="Z1229" s="340" t="str">
        <f>IF(AND(C1229&gt;0,D1229&lt;&gt;"",S1229=""),VLOOKUP(A1229&amp;IF(H1229="黑丝","黑","白")&amp;E1229,经纬!A:M,13,FALSE)*(I1229-AB1229),"")</f>
        <v/>
      </c>
      <c r="AA1229" s="340" t="str">
        <f>IF(AND(C1229&gt;0,D1229&lt;&gt;"",S1229=""),VLOOKUP(A1229&amp;IF(H1229="黑丝","黑","白")&amp;E1229,经纬!A:N,14,FALSE)*(I1229-AB1229),"")</f>
        <v/>
      </c>
    </row>
    <row r="1230" spans="13:27">
      <c r="M1230" s="24" t="str">
        <f t="array" ref="M1230">LEFT(L1230,MIN(FIND({"A","B","C"},MID(L1230,2,LEN(L1230))&amp;"ABC")))</f>
        <v/>
      </c>
      <c r="N1230" s="24" t="str">
        <f t="array" ref="N1230">SUBSTITUTE(L1230,M1230,"")</f>
        <v/>
      </c>
      <c r="X1230" s="258" t="str">
        <f t="shared" si="58"/>
        <v/>
      </c>
      <c r="Y1230" s="36" t="str">
        <f t="shared" si="59"/>
        <v/>
      </c>
      <c r="Z1230" s="340" t="str">
        <f>IF(AND(C1230&gt;0,D1230&lt;&gt;"",S1230=""),VLOOKUP(A1230&amp;IF(H1230="黑丝","黑","白")&amp;E1230,经纬!A:M,13,FALSE)*(I1230-AB1230),"")</f>
        <v/>
      </c>
      <c r="AA1230" s="340" t="str">
        <f>IF(AND(C1230&gt;0,D1230&lt;&gt;"",S1230=""),VLOOKUP(A1230&amp;IF(H1230="黑丝","黑","白")&amp;E1230,经纬!A:N,14,FALSE)*(I1230-AB1230),"")</f>
        <v/>
      </c>
    </row>
    <row r="1231" spans="13:27">
      <c r="M1231" s="24" t="str">
        <f t="array" ref="M1231">LEFT(L1231,MIN(FIND({"A","B","C"},MID(L1231,2,LEN(L1231))&amp;"ABC")))</f>
        <v/>
      </c>
      <c r="N1231" s="24" t="str">
        <f t="array" ref="N1231">SUBSTITUTE(L1231,M1231,"")</f>
        <v/>
      </c>
      <c r="X1231" s="258" t="str">
        <f t="shared" si="58"/>
        <v/>
      </c>
      <c r="Y1231" s="36" t="str">
        <f t="shared" si="59"/>
        <v/>
      </c>
      <c r="Z1231" s="340" t="str">
        <f>IF(AND(C1231&gt;0,D1231&lt;&gt;"",S1231=""),VLOOKUP(A1231&amp;IF(H1231="黑丝","黑","白")&amp;E1231,经纬!A:M,13,FALSE)*(I1231-AB1231),"")</f>
        <v/>
      </c>
      <c r="AA1231" s="340" t="str">
        <f>IF(AND(C1231&gt;0,D1231&lt;&gt;"",S1231=""),VLOOKUP(A1231&amp;IF(H1231="黑丝","黑","白")&amp;E1231,经纬!A:N,14,FALSE)*(I1231-AB1231),"")</f>
        <v/>
      </c>
    </row>
    <row r="1232" spans="13:27">
      <c r="M1232" s="24" t="str">
        <f t="array" ref="M1232">LEFT(L1232,MIN(FIND({"A","B","C"},MID(L1232,2,LEN(L1232))&amp;"ABC")))</f>
        <v/>
      </c>
      <c r="N1232" s="24" t="str">
        <f t="array" ref="N1232">SUBSTITUTE(L1232,M1232,"")</f>
        <v/>
      </c>
      <c r="X1232" s="258" t="str">
        <f t="shared" si="58"/>
        <v/>
      </c>
      <c r="Y1232" s="36" t="str">
        <f t="shared" si="59"/>
        <v/>
      </c>
      <c r="Z1232" s="340" t="str">
        <f>IF(AND(C1232&gt;0,D1232&lt;&gt;"",S1232=""),VLOOKUP(A1232&amp;IF(H1232="黑丝","黑","白")&amp;E1232,经纬!A:M,13,FALSE)*(I1232-AB1232),"")</f>
        <v/>
      </c>
      <c r="AA1232" s="340" t="str">
        <f>IF(AND(C1232&gt;0,D1232&lt;&gt;"",S1232=""),VLOOKUP(A1232&amp;IF(H1232="黑丝","黑","白")&amp;E1232,经纬!A:N,14,FALSE)*(I1232-AB1232),"")</f>
        <v/>
      </c>
    </row>
    <row r="1233" spans="13:27">
      <c r="M1233" s="24" t="str">
        <f t="array" ref="M1233">LEFT(L1233,MIN(FIND({"A","B","C"},MID(L1233,2,LEN(L1233))&amp;"ABC")))</f>
        <v/>
      </c>
      <c r="N1233" s="24" t="str">
        <f t="array" ref="N1233">SUBSTITUTE(L1233,M1233,"")</f>
        <v/>
      </c>
      <c r="X1233" s="258" t="str">
        <f t="shared" si="58"/>
        <v/>
      </c>
      <c r="Y1233" s="36" t="str">
        <f t="shared" si="59"/>
        <v/>
      </c>
      <c r="Z1233" s="340" t="str">
        <f>IF(AND(C1233&gt;0,D1233&lt;&gt;"",S1233=""),VLOOKUP(A1233&amp;IF(H1233="黑丝","黑","白")&amp;E1233,经纬!A:M,13,FALSE)*(I1233-AB1233),"")</f>
        <v/>
      </c>
      <c r="AA1233" s="340" t="str">
        <f>IF(AND(C1233&gt;0,D1233&lt;&gt;"",S1233=""),VLOOKUP(A1233&amp;IF(H1233="黑丝","黑","白")&amp;E1233,经纬!A:N,14,FALSE)*(I1233-AB1233),"")</f>
        <v/>
      </c>
    </row>
    <row r="1234" spans="13:27">
      <c r="M1234" s="24" t="str">
        <f t="array" ref="M1234">LEFT(L1234,MIN(FIND({"A","B","C"},MID(L1234,2,LEN(L1234))&amp;"ABC")))</f>
        <v/>
      </c>
      <c r="N1234" s="24" t="str">
        <f t="array" ref="N1234">SUBSTITUTE(L1234,M1234,"")</f>
        <v/>
      </c>
      <c r="X1234" s="258" t="str">
        <f t="shared" si="58"/>
        <v/>
      </c>
      <c r="Y1234" s="36" t="str">
        <f t="shared" si="59"/>
        <v/>
      </c>
      <c r="Z1234" s="340" t="str">
        <f>IF(AND(C1234&gt;0,D1234&lt;&gt;"",S1234=""),VLOOKUP(A1234&amp;IF(H1234="黑丝","黑","白")&amp;E1234,经纬!A:M,13,FALSE)*(I1234-AB1234),"")</f>
        <v/>
      </c>
      <c r="AA1234" s="340" t="str">
        <f>IF(AND(C1234&gt;0,D1234&lt;&gt;"",S1234=""),VLOOKUP(A1234&amp;IF(H1234="黑丝","黑","白")&amp;E1234,经纬!A:N,14,FALSE)*(I1234-AB1234),"")</f>
        <v/>
      </c>
    </row>
    <row r="1235" spans="13:27">
      <c r="M1235" s="24" t="str">
        <f t="array" ref="M1235">LEFT(L1235,MIN(FIND({"A","B","C"},MID(L1235,2,LEN(L1235))&amp;"ABC")))</f>
        <v/>
      </c>
      <c r="N1235" s="24" t="str">
        <f t="array" ref="N1235">SUBSTITUTE(L1235,M1235,"")</f>
        <v/>
      </c>
      <c r="X1235" s="258" t="str">
        <f t="shared" si="58"/>
        <v/>
      </c>
      <c r="Y1235" s="36" t="str">
        <f t="shared" si="59"/>
        <v/>
      </c>
      <c r="Z1235" s="340" t="str">
        <f>IF(AND(C1235&gt;0,D1235&lt;&gt;"",S1235=""),VLOOKUP(A1235&amp;IF(H1235="黑丝","黑","白")&amp;E1235,经纬!A:M,13,FALSE)*(I1235-AB1235),"")</f>
        <v/>
      </c>
      <c r="AA1235" s="340" t="str">
        <f>IF(AND(C1235&gt;0,D1235&lt;&gt;"",S1235=""),VLOOKUP(A1235&amp;IF(H1235="黑丝","黑","白")&amp;E1235,经纬!A:N,14,FALSE)*(I1235-AB1235),"")</f>
        <v/>
      </c>
    </row>
    <row r="1236" spans="13:27">
      <c r="M1236" s="24" t="str">
        <f t="array" ref="M1236">LEFT(L1236,MIN(FIND({"A","B","C"},MID(L1236,2,LEN(L1236))&amp;"ABC")))</f>
        <v/>
      </c>
      <c r="N1236" s="24" t="str">
        <f t="array" ref="N1236">SUBSTITUTE(L1236,M1236,"")</f>
        <v/>
      </c>
      <c r="X1236" s="258" t="str">
        <f t="shared" si="58"/>
        <v/>
      </c>
      <c r="Y1236" s="36" t="str">
        <f t="shared" si="59"/>
        <v/>
      </c>
      <c r="Z1236" s="340" t="str">
        <f>IF(AND(C1236&gt;0,D1236&lt;&gt;"",S1236=""),VLOOKUP(A1236&amp;IF(H1236="黑丝","黑","白")&amp;E1236,经纬!A:M,13,FALSE)*(I1236-AB1236),"")</f>
        <v/>
      </c>
      <c r="AA1236" s="340" t="str">
        <f>IF(AND(C1236&gt;0,D1236&lt;&gt;"",S1236=""),VLOOKUP(A1236&amp;IF(H1236="黑丝","黑","白")&amp;E1236,经纬!A:N,14,FALSE)*(I1236-AB1236),"")</f>
        <v/>
      </c>
    </row>
    <row r="1237" spans="13:27">
      <c r="M1237" s="24" t="str">
        <f t="array" ref="M1237">LEFT(L1237,MIN(FIND({"A","B","C"},MID(L1237,2,LEN(L1237))&amp;"ABC")))</f>
        <v/>
      </c>
      <c r="N1237" s="24" t="str">
        <f t="array" ref="N1237">SUBSTITUTE(L1237,M1237,"")</f>
        <v/>
      </c>
      <c r="X1237" s="258" t="str">
        <f t="shared" si="58"/>
        <v/>
      </c>
      <c r="Y1237" s="36" t="str">
        <f t="shared" si="59"/>
        <v/>
      </c>
      <c r="Z1237" s="340" t="str">
        <f>IF(AND(C1237&gt;0,D1237&lt;&gt;"",S1237=""),VLOOKUP(A1237&amp;IF(H1237="黑丝","黑","白")&amp;E1237,经纬!A:M,13,FALSE)*(I1237-AB1237),"")</f>
        <v/>
      </c>
      <c r="AA1237" s="340" t="str">
        <f>IF(AND(C1237&gt;0,D1237&lt;&gt;"",S1237=""),VLOOKUP(A1237&amp;IF(H1237="黑丝","黑","白")&amp;E1237,经纬!A:N,14,FALSE)*(I1237-AB1237),"")</f>
        <v/>
      </c>
    </row>
    <row r="1238" spans="13:27">
      <c r="M1238" s="24" t="str">
        <f t="array" ref="M1238">LEFT(L1238,MIN(FIND({"A","B","C"},MID(L1238,2,LEN(L1238))&amp;"ABC")))</f>
        <v/>
      </c>
      <c r="N1238" s="24" t="str">
        <f t="array" ref="N1238">SUBSTITUTE(L1238,M1238,"")</f>
        <v/>
      </c>
      <c r="X1238" s="258" t="str">
        <f t="shared" si="58"/>
        <v/>
      </c>
      <c r="Y1238" s="36" t="str">
        <f t="shared" si="59"/>
        <v/>
      </c>
      <c r="Z1238" s="340" t="str">
        <f>IF(AND(C1238&gt;0,D1238&lt;&gt;"",S1238=""),VLOOKUP(A1238&amp;IF(H1238="黑丝","黑","白")&amp;E1238,经纬!A:M,13,FALSE)*(I1238-AB1238),"")</f>
        <v/>
      </c>
      <c r="AA1238" s="340" t="str">
        <f>IF(AND(C1238&gt;0,D1238&lt;&gt;"",S1238=""),VLOOKUP(A1238&amp;IF(H1238="黑丝","黑","白")&amp;E1238,经纬!A:N,14,FALSE)*(I1238-AB1238),"")</f>
        <v/>
      </c>
    </row>
    <row r="1239" spans="13:27">
      <c r="M1239" s="24" t="str">
        <f t="array" ref="M1239">LEFT(L1239,MIN(FIND({"A","B","C"},MID(L1239,2,LEN(L1239))&amp;"ABC")))</f>
        <v/>
      </c>
      <c r="N1239" s="24" t="str">
        <f t="array" ref="N1239">SUBSTITUTE(L1239,M1239,"")</f>
        <v/>
      </c>
      <c r="X1239" s="258" t="str">
        <f t="shared" si="58"/>
        <v/>
      </c>
      <c r="Y1239" s="36" t="str">
        <f t="shared" si="59"/>
        <v/>
      </c>
      <c r="Z1239" s="340" t="str">
        <f>IF(AND(C1239&gt;0,D1239&lt;&gt;"",S1239=""),VLOOKUP(A1239&amp;IF(H1239="黑丝","黑","白")&amp;E1239,经纬!A:M,13,FALSE)*(I1239-AB1239),"")</f>
        <v/>
      </c>
      <c r="AA1239" s="340" t="str">
        <f>IF(AND(C1239&gt;0,D1239&lt;&gt;"",S1239=""),VLOOKUP(A1239&amp;IF(H1239="黑丝","黑","白")&amp;E1239,经纬!A:N,14,FALSE)*(I1239-AB1239),"")</f>
        <v/>
      </c>
    </row>
    <row r="1240" spans="13:27">
      <c r="M1240" s="24" t="str">
        <f t="array" ref="M1240">LEFT(L1240,MIN(FIND({"A","B","C"},MID(L1240,2,LEN(L1240))&amp;"ABC")))</f>
        <v/>
      </c>
      <c r="N1240" s="24" t="str">
        <f t="array" ref="N1240">SUBSTITUTE(L1240,M1240,"")</f>
        <v/>
      </c>
      <c r="X1240" s="258" t="str">
        <f t="shared" si="58"/>
        <v/>
      </c>
      <c r="Y1240" s="36" t="str">
        <f t="shared" si="59"/>
        <v/>
      </c>
      <c r="Z1240" s="340" t="str">
        <f>IF(AND(C1240&gt;0,D1240&lt;&gt;"",S1240=""),VLOOKUP(A1240&amp;IF(H1240="黑丝","黑","白")&amp;E1240,经纬!A:M,13,FALSE)*(I1240-AB1240),"")</f>
        <v/>
      </c>
      <c r="AA1240" s="340" t="str">
        <f>IF(AND(C1240&gt;0,D1240&lt;&gt;"",S1240=""),VLOOKUP(A1240&amp;IF(H1240="黑丝","黑","白")&amp;E1240,经纬!A:N,14,FALSE)*(I1240-AB1240),"")</f>
        <v/>
      </c>
    </row>
    <row r="1241" spans="13:27">
      <c r="M1241" s="24" t="str">
        <f t="array" ref="M1241">LEFT(L1241,MIN(FIND({"A","B","C"},MID(L1241,2,LEN(L1241))&amp;"ABC")))</f>
        <v/>
      </c>
      <c r="N1241" s="24" t="str">
        <f t="array" ref="N1241">SUBSTITUTE(L1241,M1241,"")</f>
        <v/>
      </c>
      <c r="X1241" s="258" t="str">
        <f t="shared" si="58"/>
        <v/>
      </c>
      <c r="Y1241" s="36" t="str">
        <f t="shared" si="59"/>
        <v/>
      </c>
      <c r="Z1241" s="340" t="str">
        <f>IF(AND(C1241&gt;0,D1241&lt;&gt;"",S1241=""),VLOOKUP(A1241&amp;IF(H1241="黑丝","黑","白")&amp;E1241,经纬!A:M,13,FALSE)*(I1241-AB1241),"")</f>
        <v/>
      </c>
      <c r="AA1241" s="340" t="str">
        <f>IF(AND(C1241&gt;0,D1241&lt;&gt;"",S1241=""),VLOOKUP(A1241&amp;IF(H1241="黑丝","黑","白")&amp;E1241,经纬!A:N,14,FALSE)*(I1241-AB1241),"")</f>
        <v/>
      </c>
    </row>
    <row r="1242" spans="13:27">
      <c r="M1242" s="24" t="str">
        <f t="array" ref="M1242">LEFT(L1242,MIN(FIND({"A","B","C"},MID(L1242,2,LEN(L1242))&amp;"ABC")))</f>
        <v/>
      </c>
      <c r="N1242" s="24" t="str">
        <f t="array" ref="N1242">SUBSTITUTE(L1242,M1242,"")</f>
        <v/>
      </c>
      <c r="X1242" s="258" t="str">
        <f t="shared" si="58"/>
        <v/>
      </c>
      <c r="Y1242" s="36" t="str">
        <f t="shared" si="59"/>
        <v/>
      </c>
      <c r="Z1242" s="340" t="str">
        <f>IF(AND(C1242&gt;0,D1242&lt;&gt;"",S1242=""),VLOOKUP(A1242&amp;IF(H1242="黑丝","黑","白")&amp;E1242,经纬!A:M,13,FALSE)*(I1242-AB1242),"")</f>
        <v/>
      </c>
      <c r="AA1242" s="340" t="str">
        <f>IF(AND(C1242&gt;0,D1242&lt;&gt;"",S1242=""),VLOOKUP(A1242&amp;IF(H1242="黑丝","黑","白")&amp;E1242,经纬!A:N,14,FALSE)*(I1242-AB1242),"")</f>
        <v/>
      </c>
    </row>
    <row r="1243" spans="13:27">
      <c r="M1243" s="24" t="str">
        <f t="array" ref="M1243">LEFT(L1243,MIN(FIND({"A","B","C"},MID(L1243,2,LEN(L1243))&amp;"ABC")))</f>
        <v/>
      </c>
      <c r="N1243" s="24" t="str">
        <f t="array" ref="N1243">SUBSTITUTE(L1243,M1243,"")</f>
        <v/>
      </c>
      <c r="X1243" s="258" t="str">
        <f t="shared" si="58"/>
        <v/>
      </c>
      <c r="Y1243" s="36" t="str">
        <f t="shared" si="59"/>
        <v/>
      </c>
      <c r="Z1243" s="340" t="str">
        <f>IF(AND(C1243&gt;0,D1243&lt;&gt;"",S1243=""),VLOOKUP(A1243&amp;IF(H1243="黑丝","黑","白")&amp;E1243,经纬!A:M,13,FALSE)*(I1243-AB1243),"")</f>
        <v/>
      </c>
      <c r="AA1243" s="340" t="str">
        <f>IF(AND(C1243&gt;0,D1243&lt;&gt;"",S1243=""),VLOOKUP(A1243&amp;IF(H1243="黑丝","黑","白")&amp;E1243,经纬!A:N,14,FALSE)*(I1243-AB1243),"")</f>
        <v/>
      </c>
    </row>
    <row r="1244" spans="13:27">
      <c r="M1244" s="24" t="str">
        <f t="array" ref="M1244">LEFT(L1244,MIN(FIND({"A","B","C"},MID(L1244,2,LEN(L1244))&amp;"ABC")))</f>
        <v/>
      </c>
      <c r="N1244" s="24" t="str">
        <f t="array" ref="N1244">SUBSTITUTE(L1244,M1244,"")</f>
        <v/>
      </c>
      <c r="X1244" s="258" t="str">
        <f t="shared" ref="X1244:X1307" si="60">IF(B1244="","",IF(S1244&lt;&gt;"","",IF(AND(Z1244&lt;&gt;"",AA1244&lt;&gt;""),SUM(Z1244:AA1244),IF(AB1244&lt;&gt;"",(I1244/((1/((G1244+2)/100*K1244/1000))*0.9144)/IF(H1244="黑丝",22,20)-AB1244)*(IF(H1244="黑丝",22,20)),I1244/((1/((G1244+2)/100*K1244/1000))*0.9144)))))</f>
        <v/>
      </c>
      <c r="Y1244" s="36" t="str">
        <f t="shared" si="59"/>
        <v/>
      </c>
      <c r="Z1244" s="340" t="str">
        <f>IF(AND(C1244&gt;0,D1244&lt;&gt;"",S1244=""),VLOOKUP(A1244&amp;IF(H1244="黑丝","黑","白")&amp;E1244,经纬!A:M,13,FALSE)*(I1244-AB1244),"")</f>
        <v/>
      </c>
      <c r="AA1244" s="340" t="str">
        <f>IF(AND(C1244&gt;0,D1244&lt;&gt;"",S1244=""),VLOOKUP(A1244&amp;IF(H1244="黑丝","黑","白")&amp;E1244,经纬!A:N,14,FALSE)*(I1244-AB1244),"")</f>
        <v/>
      </c>
    </row>
    <row r="1245" spans="13:27">
      <c r="M1245" s="24" t="str">
        <f t="array" ref="M1245">LEFT(L1245,MIN(FIND({"A","B","C"},MID(L1245,2,LEN(L1245))&amp;"ABC")))</f>
        <v/>
      </c>
      <c r="N1245" s="24" t="str">
        <f t="array" ref="N1245">SUBSTITUTE(L1245,M1245,"")</f>
        <v/>
      </c>
      <c r="X1245" s="258" t="str">
        <f t="shared" si="60"/>
        <v/>
      </c>
      <c r="Y1245" s="36" t="str">
        <f t="shared" si="59"/>
        <v/>
      </c>
      <c r="Z1245" s="340" t="str">
        <f>IF(AND(C1245&gt;0,D1245&lt;&gt;"",S1245=""),VLOOKUP(A1245&amp;IF(H1245="黑丝","黑","白")&amp;E1245,经纬!A:M,13,FALSE)*(I1245-AB1245),"")</f>
        <v/>
      </c>
      <c r="AA1245" s="340" t="str">
        <f>IF(AND(C1245&gt;0,D1245&lt;&gt;"",S1245=""),VLOOKUP(A1245&amp;IF(H1245="黑丝","黑","白")&amp;E1245,经纬!A:N,14,FALSE)*(I1245-AB1245),"")</f>
        <v/>
      </c>
    </row>
    <row r="1246" spans="13:27">
      <c r="M1246" s="24" t="str">
        <f t="array" ref="M1246">LEFT(L1246,MIN(FIND({"A","B","C"},MID(L1246,2,LEN(L1246))&amp;"ABC")))</f>
        <v/>
      </c>
      <c r="N1246" s="24" t="str">
        <f t="array" ref="N1246">SUBSTITUTE(L1246,M1246,"")</f>
        <v/>
      </c>
      <c r="X1246" s="258" t="str">
        <f t="shared" si="60"/>
        <v/>
      </c>
      <c r="Y1246" s="36" t="str">
        <f t="shared" si="59"/>
        <v/>
      </c>
      <c r="Z1246" s="340" t="str">
        <f>IF(AND(C1246&gt;0,D1246&lt;&gt;"",S1246=""),VLOOKUP(A1246&amp;IF(H1246="黑丝","黑","白")&amp;E1246,经纬!A:M,13,FALSE)*(I1246-AB1246),"")</f>
        <v/>
      </c>
      <c r="AA1246" s="340" t="str">
        <f>IF(AND(C1246&gt;0,D1246&lt;&gt;"",S1246=""),VLOOKUP(A1246&amp;IF(H1246="黑丝","黑","白")&amp;E1246,经纬!A:N,14,FALSE)*(I1246-AB1246),"")</f>
        <v/>
      </c>
    </row>
    <row r="1247" spans="13:27">
      <c r="M1247" s="24" t="str">
        <f t="array" ref="M1247">LEFT(L1247,MIN(FIND({"A","B","C"},MID(L1247,2,LEN(L1247))&amp;"ABC")))</f>
        <v/>
      </c>
      <c r="N1247" s="24" t="str">
        <f t="array" ref="N1247">SUBSTITUTE(L1247,M1247,"")</f>
        <v/>
      </c>
      <c r="X1247" s="258" t="str">
        <f t="shared" si="60"/>
        <v/>
      </c>
      <c r="Y1247" s="36" t="str">
        <f t="shared" si="59"/>
        <v/>
      </c>
      <c r="Z1247" s="340" t="str">
        <f>IF(AND(C1247&gt;0,D1247&lt;&gt;"",S1247=""),VLOOKUP(A1247&amp;IF(H1247="黑丝","黑","白")&amp;E1247,经纬!A:M,13,FALSE)*(I1247-AB1247),"")</f>
        <v/>
      </c>
      <c r="AA1247" s="340" t="str">
        <f>IF(AND(C1247&gt;0,D1247&lt;&gt;"",S1247=""),VLOOKUP(A1247&amp;IF(H1247="黑丝","黑","白")&amp;E1247,经纬!A:N,14,FALSE)*(I1247-AB1247),"")</f>
        <v/>
      </c>
    </row>
    <row r="1248" spans="13:27">
      <c r="M1248" s="24" t="str">
        <f t="array" ref="M1248">LEFT(L1248,MIN(FIND({"A","B","C"},MID(L1248,2,LEN(L1248))&amp;"ABC")))</f>
        <v/>
      </c>
      <c r="N1248" s="24" t="str">
        <f t="array" ref="N1248">SUBSTITUTE(L1248,M1248,"")</f>
        <v/>
      </c>
      <c r="X1248" s="258" t="str">
        <f t="shared" si="60"/>
        <v/>
      </c>
      <c r="Y1248" s="36" t="str">
        <f t="shared" si="59"/>
        <v/>
      </c>
      <c r="Z1248" s="340" t="str">
        <f>IF(AND(C1248&gt;0,D1248&lt;&gt;"",S1248=""),VLOOKUP(A1248&amp;IF(H1248="黑丝","黑","白")&amp;E1248,经纬!A:M,13,FALSE)*(I1248-AB1248),"")</f>
        <v/>
      </c>
      <c r="AA1248" s="340" t="str">
        <f>IF(AND(C1248&gt;0,D1248&lt;&gt;"",S1248=""),VLOOKUP(A1248&amp;IF(H1248="黑丝","黑","白")&amp;E1248,经纬!A:N,14,FALSE)*(I1248-AB1248),"")</f>
        <v/>
      </c>
    </row>
    <row r="1249" spans="13:27">
      <c r="M1249" s="24" t="str">
        <f t="array" ref="M1249">LEFT(L1249,MIN(FIND({"A","B","C"},MID(L1249,2,LEN(L1249))&amp;"ABC")))</f>
        <v/>
      </c>
      <c r="N1249" s="24" t="str">
        <f t="array" ref="N1249">SUBSTITUTE(L1249,M1249,"")</f>
        <v/>
      </c>
      <c r="X1249" s="258" t="str">
        <f t="shared" si="60"/>
        <v/>
      </c>
      <c r="Y1249" s="36" t="str">
        <f t="shared" si="59"/>
        <v/>
      </c>
      <c r="Z1249" s="340" t="str">
        <f>IF(AND(C1249&gt;0,D1249&lt;&gt;"",S1249=""),VLOOKUP(A1249&amp;IF(H1249="黑丝","黑","白")&amp;E1249,经纬!A:M,13,FALSE)*(I1249-AB1249),"")</f>
        <v/>
      </c>
      <c r="AA1249" s="340" t="str">
        <f>IF(AND(C1249&gt;0,D1249&lt;&gt;"",S1249=""),VLOOKUP(A1249&amp;IF(H1249="黑丝","黑","白")&amp;E1249,经纬!A:N,14,FALSE)*(I1249-AB1249),"")</f>
        <v/>
      </c>
    </row>
    <row r="1250" spans="13:27">
      <c r="M1250" s="24" t="str">
        <f t="array" ref="M1250">LEFT(L1250,MIN(FIND({"A","B","C"},MID(L1250,2,LEN(L1250))&amp;"ABC")))</f>
        <v/>
      </c>
      <c r="N1250" s="24" t="str">
        <f t="array" ref="N1250">SUBSTITUTE(L1250,M1250,"")</f>
        <v/>
      </c>
      <c r="X1250" s="258" t="str">
        <f t="shared" si="60"/>
        <v/>
      </c>
      <c r="Y1250" s="36" t="str">
        <f t="shared" si="59"/>
        <v/>
      </c>
      <c r="Z1250" s="340" t="str">
        <f>IF(AND(C1250&gt;0,D1250&lt;&gt;"",S1250=""),VLOOKUP(A1250&amp;IF(H1250="黑丝","黑","白")&amp;E1250,经纬!A:M,13,FALSE)*(I1250-AB1250),"")</f>
        <v/>
      </c>
      <c r="AA1250" s="340" t="str">
        <f>IF(AND(C1250&gt;0,D1250&lt;&gt;"",S1250=""),VLOOKUP(A1250&amp;IF(H1250="黑丝","黑","白")&amp;E1250,经纬!A:N,14,FALSE)*(I1250-AB1250),"")</f>
        <v/>
      </c>
    </row>
    <row r="1251" spans="13:27">
      <c r="M1251" s="24" t="str">
        <f t="array" ref="M1251">LEFT(L1251,MIN(FIND({"A","B","C"},MID(L1251,2,LEN(L1251))&amp;"ABC")))</f>
        <v/>
      </c>
      <c r="N1251" s="24" t="str">
        <f t="array" ref="N1251">SUBSTITUTE(L1251,M1251,"")</f>
        <v/>
      </c>
      <c r="X1251" s="258" t="str">
        <f t="shared" si="60"/>
        <v/>
      </c>
      <c r="Y1251" s="36" t="str">
        <f t="shared" si="59"/>
        <v/>
      </c>
      <c r="Z1251" s="340" t="str">
        <f>IF(AND(C1251&gt;0,D1251&lt;&gt;"",S1251=""),VLOOKUP(A1251&amp;IF(H1251="黑丝","黑","白")&amp;E1251,经纬!A:M,13,FALSE)*(I1251-AB1251),"")</f>
        <v/>
      </c>
      <c r="AA1251" s="340" t="str">
        <f>IF(AND(C1251&gt;0,D1251&lt;&gt;"",S1251=""),VLOOKUP(A1251&amp;IF(H1251="黑丝","黑","白")&amp;E1251,经纬!A:N,14,FALSE)*(I1251-AB1251),"")</f>
        <v/>
      </c>
    </row>
    <row r="1252" spans="13:27">
      <c r="M1252" s="24" t="str">
        <f t="array" ref="M1252">LEFT(L1252,MIN(FIND({"A","B","C"},MID(L1252,2,LEN(L1252))&amp;"ABC")))</f>
        <v/>
      </c>
      <c r="N1252" s="24" t="str">
        <f t="array" ref="N1252">SUBSTITUTE(L1252,M1252,"")</f>
        <v/>
      </c>
      <c r="X1252" s="258" t="str">
        <f t="shared" si="60"/>
        <v/>
      </c>
      <c r="Y1252" s="36" t="str">
        <f t="shared" si="59"/>
        <v/>
      </c>
      <c r="Z1252" s="340" t="str">
        <f>IF(AND(C1252&gt;0,D1252&lt;&gt;"",S1252=""),VLOOKUP(A1252&amp;IF(H1252="黑丝","黑","白")&amp;E1252,经纬!A:M,13,FALSE)*(I1252-AB1252),"")</f>
        <v/>
      </c>
      <c r="AA1252" s="340" t="str">
        <f>IF(AND(C1252&gt;0,D1252&lt;&gt;"",S1252=""),VLOOKUP(A1252&amp;IF(H1252="黑丝","黑","白")&amp;E1252,经纬!A:N,14,FALSE)*(I1252-AB1252),"")</f>
        <v/>
      </c>
    </row>
    <row r="1253" spans="13:27">
      <c r="M1253" s="24" t="str">
        <f t="array" ref="M1253">LEFT(L1253,MIN(FIND({"A","B","C"},MID(L1253,2,LEN(L1253))&amp;"ABC")))</f>
        <v/>
      </c>
      <c r="N1253" s="24" t="str">
        <f t="array" ref="N1253">SUBSTITUTE(L1253,M1253,"")</f>
        <v/>
      </c>
      <c r="X1253" s="258" t="str">
        <f t="shared" si="60"/>
        <v/>
      </c>
      <c r="Y1253" s="36" t="str">
        <f t="shared" si="59"/>
        <v/>
      </c>
      <c r="Z1253" s="340" t="str">
        <f>IF(AND(C1253&gt;0,D1253&lt;&gt;"",S1253=""),VLOOKUP(A1253&amp;IF(H1253="黑丝","黑","白")&amp;E1253,经纬!A:M,13,FALSE)*(I1253-AB1253),"")</f>
        <v/>
      </c>
      <c r="AA1253" s="340" t="str">
        <f>IF(AND(C1253&gt;0,D1253&lt;&gt;"",S1253=""),VLOOKUP(A1253&amp;IF(H1253="黑丝","黑","白")&amp;E1253,经纬!A:N,14,FALSE)*(I1253-AB1253),"")</f>
        <v/>
      </c>
    </row>
    <row r="1254" spans="13:27">
      <c r="M1254" s="24" t="str">
        <f t="array" ref="M1254">LEFT(L1254,MIN(FIND({"A","B","C"},MID(L1254,2,LEN(L1254))&amp;"ABC")))</f>
        <v/>
      </c>
      <c r="N1254" s="24" t="str">
        <f t="array" ref="N1254">SUBSTITUTE(L1254,M1254,"")</f>
        <v/>
      </c>
      <c r="X1254" s="258" t="str">
        <f t="shared" si="60"/>
        <v/>
      </c>
      <c r="Y1254" s="36" t="str">
        <f t="shared" si="59"/>
        <v/>
      </c>
      <c r="Z1254" s="340" t="str">
        <f>IF(AND(C1254&gt;0,D1254&lt;&gt;"",S1254=""),VLOOKUP(A1254&amp;IF(H1254="黑丝","黑","白")&amp;E1254,经纬!A:M,13,FALSE)*(I1254-AB1254),"")</f>
        <v/>
      </c>
      <c r="AA1254" s="340" t="str">
        <f>IF(AND(C1254&gt;0,D1254&lt;&gt;"",S1254=""),VLOOKUP(A1254&amp;IF(H1254="黑丝","黑","白")&amp;E1254,经纬!A:N,14,FALSE)*(I1254-AB1254),"")</f>
        <v/>
      </c>
    </row>
    <row r="1255" spans="13:27">
      <c r="M1255" s="24" t="str">
        <f t="array" ref="M1255">LEFT(L1255,MIN(FIND({"A","B","C"},MID(L1255,2,LEN(L1255))&amp;"ABC")))</f>
        <v/>
      </c>
      <c r="N1255" s="24" t="str">
        <f t="array" ref="N1255">SUBSTITUTE(L1255,M1255,"")</f>
        <v/>
      </c>
      <c r="X1255" s="258" t="str">
        <f t="shared" si="60"/>
        <v/>
      </c>
      <c r="Y1255" s="36" t="str">
        <f t="shared" si="59"/>
        <v/>
      </c>
      <c r="Z1255" s="340" t="str">
        <f>IF(AND(C1255&gt;0,D1255&lt;&gt;"",S1255=""),VLOOKUP(A1255&amp;IF(H1255="黑丝","黑","白")&amp;E1255,经纬!A:M,13,FALSE)*(I1255-AB1255),"")</f>
        <v/>
      </c>
      <c r="AA1255" s="340" t="str">
        <f>IF(AND(C1255&gt;0,D1255&lt;&gt;"",S1255=""),VLOOKUP(A1255&amp;IF(H1255="黑丝","黑","白")&amp;E1255,经纬!A:N,14,FALSE)*(I1255-AB1255),"")</f>
        <v/>
      </c>
    </row>
    <row r="1256" spans="13:27">
      <c r="M1256" s="24" t="str">
        <f t="array" ref="M1256">LEFT(L1256,MIN(FIND({"A","B","C"},MID(L1256,2,LEN(L1256))&amp;"ABC")))</f>
        <v/>
      </c>
      <c r="N1256" s="24" t="str">
        <f t="array" ref="N1256">SUBSTITUTE(L1256,M1256,"")</f>
        <v/>
      </c>
      <c r="X1256" s="258" t="str">
        <f t="shared" si="60"/>
        <v/>
      </c>
      <c r="Y1256" s="36" t="str">
        <f t="shared" si="59"/>
        <v/>
      </c>
      <c r="Z1256" s="340" t="str">
        <f>IF(AND(C1256&gt;0,D1256&lt;&gt;"",S1256=""),VLOOKUP(A1256&amp;IF(H1256="黑丝","黑","白")&amp;E1256,经纬!A:M,13,FALSE)*(I1256-AB1256),"")</f>
        <v/>
      </c>
      <c r="AA1256" s="340" t="str">
        <f>IF(AND(C1256&gt;0,D1256&lt;&gt;"",S1256=""),VLOOKUP(A1256&amp;IF(H1256="黑丝","黑","白")&amp;E1256,经纬!A:N,14,FALSE)*(I1256-AB1256),"")</f>
        <v/>
      </c>
    </row>
    <row r="1257" spans="13:27">
      <c r="M1257" s="24" t="str">
        <f t="array" ref="M1257">LEFT(L1257,MIN(FIND({"A","B","C"},MID(L1257,2,LEN(L1257))&amp;"ABC")))</f>
        <v/>
      </c>
      <c r="N1257" s="24" t="str">
        <f t="array" ref="N1257">SUBSTITUTE(L1257,M1257,"")</f>
        <v/>
      </c>
      <c r="X1257" s="258" t="str">
        <f t="shared" si="60"/>
        <v/>
      </c>
      <c r="Y1257" s="36" t="str">
        <f t="shared" ref="Y1257:Y1320" si="61">IF(OR(B1257="",D1257&lt;&gt;""),"",IF(S1257&lt;&gt;"","",I1257/((1/((G1257+2)/100*K1257/1000))*0.9144)/IF(H1257="黑丝",22,20)-AB1257))</f>
        <v/>
      </c>
      <c r="Z1257" s="340" t="str">
        <f>IF(AND(C1257&gt;0,D1257&lt;&gt;"",S1257=""),VLOOKUP(A1257&amp;IF(H1257="黑丝","黑","白")&amp;E1257,经纬!A:M,13,FALSE)*(I1257-AB1257),"")</f>
        <v/>
      </c>
      <c r="AA1257" s="340" t="str">
        <f>IF(AND(C1257&gt;0,D1257&lt;&gt;"",S1257=""),VLOOKUP(A1257&amp;IF(H1257="黑丝","黑","白")&amp;E1257,经纬!A:N,14,FALSE)*(I1257-AB1257),"")</f>
        <v/>
      </c>
    </row>
    <row r="1258" spans="13:27">
      <c r="M1258" s="24" t="str">
        <f t="array" ref="M1258">LEFT(L1258,MIN(FIND({"A","B","C"},MID(L1258,2,LEN(L1258))&amp;"ABC")))</f>
        <v/>
      </c>
      <c r="N1258" s="24" t="str">
        <f t="array" ref="N1258">SUBSTITUTE(L1258,M1258,"")</f>
        <v/>
      </c>
      <c r="X1258" s="258" t="str">
        <f t="shared" si="60"/>
        <v/>
      </c>
      <c r="Y1258" s="36" t="str">
        <f t="shared" si="61"/>
        <v/>
      </c>
      <c r="Z1258" s="340" t="str">
        <f>IF(AND(C1258&gt;0,D1258&lt;&gt;"",S1258=""),VLOOKUP(A1258&amp;IF(H1258="黑丝","黑","白")&amp;E1258,经纬!A:M,13,FALSE)*(I1258-AB1258),"")</f>
        <v/>
      </c>
      <c r="AA1258" s="340" t="str">
        <f>IF(AND(C1258&gt;0,D1258&lt;&gt;"",S1258=""),VLOOKUP(A1258&amp;IF(H1258="黑丝","黑","白")&amp;E1258,经纬!A:N,14,FALSE)*(I1258-AB1258),"")</f>
        <v/>
      </c>
    </row>
    <row r="1259" spans="13:27">
      <c r="M1259" s="24" t="str">
        <f t="array" ref="M1259">LEFT(L1259,MIN(FIND({"A","B","C"},MID(L1259,2,LEN(L1259))&amp;"ABC")))</f>
        <v/>
      </c>
      <c r="N1259" s="24" t="str">
        <f t="array" ref="N1259">SUBSTITUTE(L1259,M1259,"")</f>
        <v/>
      </c>
      <c r="X1259" s="258" t="str">
        <f t="shared" si="60"/>
        <v/>
      </c>
      <c r="Y1259" s="36" t="str">
        <f t="shared" si="61"/>
        <v/>
      </c>
      <c r="Z1259" s="340" t="str">
        <f>IF(AND(C1259&gt;0,D1259&lt;&gt;"",S1259=""),VLOOKUP(A1259&amp;IF(H1259="黑丝","黑","白")&amp;E1259,经纬!A:M,13,FALSE)*(I1259-AB1259),"")</f>
        <v/>
      </c>
      <c r="AA1259" s="340" t="str">
        <f>IF(AND(C1259&gt;0,D1259&lt;&gt;"",S1259=""),VLOOKUP(A1259&amp;IF(H1259="黑丝","黑","白")&amp;E1259,经纬!A:N,14,FALSE)*(I1259-AB1259),"")</f>
        <v/>
      </c>
    </row>
    <row r="1260" spans="13:27">
      <c r="M1260" s="24" t="str">
        <f t="array" ref="M1260">LEFT(L1260,MIN(FIND({"A","B","C"},MID(L1260,2,LEN(L1260))&amp;"ABC")))</f>
        <v/>
      </c>
      <c r="N1260" s="24" t="str">
        <f t="array" ref="N1260">SUBSTITUTE(L1260,M1260,"")</f>
        <v/>
      </c>
      <c r="X1260" s="258" t="str">
        <f t="shared" si="60"/>
        <v/>
      </c>
      <c r="Y1260" s="36" t="str">
        <f t="shared" si="61"/>
        <v/>
      </c>
      <c r="Z1260" s="340" t="str">
        <f>IF(AND(C1260&gt;0,D1260&lt;&gt;"",S1260=""),VLOOKUP(A1260&amp;IF(H1260="黑丝","黑","白")&amp;E1260,经纬!A:M,13,FALSE)*(I1260-AB1260),"")</f>
        <v/>
      </c>
      <c r="AA1260" s="340" t="str">
        <f>IF(AND(C1260&gt;0,D1260&lt;&gt;"",S1260=""),VLOOKUP(A1260&amp;IF(H1260="黑丝","黑","白")&amp;E1260,经纬!A:N,14,FALSE)*(I1260-AB1260),"")</f>
        <v/>
      </c>
    </row>
    <row r="1261" spans="13:27">
      <c r="M1261" s="24" t="str">
        <f t="array" ref="M1261">LEFT(L1261,MIN(FIND({"A","B","C"},MID(L1261,2,LEN(L1261))&amp;"ABC")))</f>
        <v/>
      </c>
      <c r="N1261" s="24" t="str">
        <f t="array" ref="N1261">SUBSTITUTE(L1261,M1261,"")</f>
        <v/>
      </c>
      <c r="X1261" s="258" t="str">
        <f t="shared" si="60"/>
        <v/>
      </c>
      <c r="Y1261" s="36" t="str">
        <f t="shared" si="61"/>
        <v/>
      </c>
      <c r="Z1261" s="340" t="str">
        <f>IF(AND(C1261&gt;0,D1261&lt;&gt;"",S1261=""),VLOOKUP(A1261&amp;IF(H1261="黑丝","黑","白")&amp;E1261,经纬!A:M,13,FALSE)*(I1261-AB1261),"")</f>
        <v/>
      </c>
      <c r="AA1261" s="340" t="str">
        <f>IF(AND(C1261&gt;0,D1261&lt;&gt;"",S1261=""),VLOOKUP(A1261&amp;IF(H1261="黑丝","黑","白")&amp;E1261,经纬!A:N,14,FALSE)*(I1261-AB1261),"")</f>
        <v/>
      </c>
    </row>
    <row r="1262" spans="13:27">
      <c r="M1262" s="24" t="str">
        <f t="array" ref="M1262">LEFT(L1262,MIN(FIND({"A","B","C"},MID(L1262,2,LEN(L1262))&amp;"ABC")))</f>
        <v/>
      </c>
      <c r="N1262" s="24" t="str">
        <f t="array" ref="N1262">SUBSTITUTE(L1262,M1262,"")</f>
        <v/>
      </c>
      <c r="X1262" s="258" t="str">
        <f t="shared" si="60"/>
        <v/>
      </c>
      <c r="Y1262" s="36" t="str">
        <f t="shared" si="61"/>
        <v/>
      </c>
      <c r="Z1262" s="340" t="str">
        <f>IF(AND(C1262&gt;0,D1262&lt;&gt;"",S1262=""),VLOOKUP(A1262&amp;IF(H1262="黑丝","黑","白")&amp;E1262,经纬!A:M,13,FALSE)*(I1262-AB1262),"")</f>
        <v/>
      </c>
      <c r="AA1262" s="340" t="str">
        <f>IF(AND(C1262&gt;0,D1262&lt;&gt;"",S1262=""),VLOOKUP(A1262&amp;IF(H1262="黑丝","黑","白")&amp;E1262,经纬!A:N,14,FALSE)*(I1262-AB1262),"")</f>
        <v/>
      </c>
    </row>
    <row r="1263" spans="13:27">
      <c r="M1263" s="24" t="str">
        <f t="array" ref="M1263">LEFT(L1263,MIN(FIND({"A","B","C"},MID(L1263,2,LEN(L1263))&amp;"ABC")))</f>
        <v/>
      </c>
      <c r="N1263" s="24" t="str">
        <f t="array" ref="N1263">SUBSTITUTE(L1263,M1263,"")</f>
        <v/>
      </c>
      <c r="X1263" s="258" t="str">
        <f t="shared" si="60"/>
        <v/>
      </c>
      <c r="Y1263" s="36" t="str">
        <f t="shared" si="61"/>
        <v/>
      </c>
      <c r="Z1263" s="340" t="str">
        <f>IF(AND(C1263&gt;0,D1263&lt;&gt;"",S1263=""),VLOOKUP(A1263&amp;IF(H1263="黑丝","黑","白")&amp;E1263,经纬!A:M,13,FALSE)*(I1263-AB1263),"")</f>
        <v/>
      </c>
      <c r="AA1263" s="340" t="str">
        <f>IF(AND(C1263&gt;0,D1263&lt;&gt;"",S1263=""),VLOOKUP(A1263&amp;IF(H1263="黑丝","黑","白")&amp;E1263,经纬!A:N,14,FALSE)*(I1263-AB1263),"")</f>
        <v/>
      </c>
    </row>
    <row r="1264" spans="13:27">
      <c r="M1264" s="24" t="str">
        <f t="array" ref="M1264">LEFT(L1264,MIN(FIND({"A","B","C"},MID(L1264,2,LEN(L1264))&amp;"ABC")))</f>
        <v/>
      </c>
      <c r="N1264" s="24" t="str">
        <f t="array" ref="N1264">SUBSTITUTE(L1264,M1264,"")</f>
        <v/>
      </c>
      <c r="X1264" s="258" t="str">
        <f t="shared" si="60"/>
        <v/>
      </c>
      <c r="Y1264" s="36" t="str">
        <f t="shared" si="61"/>
        <v/>
      </c>
      <c r="Z1264" s="340" t="str">
        <f>IF(AND(C1264&gt;0,D1264&lt;&gt;"",S1264=""),VLOOKUP(A1264&amp;IF(H1264="黑丝","黑","白")&amp;E1264,经纬!A:M,13,FALSE)*(I1264-AB1264),"")</f>
        <v/>
      </c>
      <c r="AA1264" s="340" t="str">
        <f>IF(AND(C1264&gt;0,D1264&lt;&gt;"",S1264=""),VLOOKUP(A1264&amp;IF(H1264="黑丝","黑","白")&amp;E1264,经纬!A:N,14,FALSE)*(I1264-AB1264),"")</f>
        <v/>
      </c>
    </row>
    <row r="1265" spans="13:27">
      <c r="M1265" s="24" t="str">
        <f t="array" ref="M1265">LEFT(L1265,MIN(FIND({"A","B","C"},MID(L1265,2,LEN(L1265))&amp;"ABC")))</f>
        <v/>
      </c>
      <c r="N1265" s="24" t="str">
        <f t="array" ref="N1265">SUBSTITUTE(L1265,M1265,"")</f>
        <v/>
      </c>
      <c r="X1265" s="258" t="str">
        <f t="shared" si="60"/>
        <v/>
      </c>
      <c r="Y1265" s="36" t="str">
        <f t="shared" si="61"/>
        <v/>
      </c>
      <c r="Z1265" s="340" t="str">
        <f>IF(AND(C1265&gt;0,D1265&lt;&gt;"",S1265=""),VLOOKUP(A1265&amp;IF(H1265="黑丝","黑","白")&amp;E1265,经纬!A:M,13,FALSE)*(I1265-AB1265),"")</f>
        <v/>
      </c>
      <c r="AA1265" s="340" t="str">
        <f>IF(AND(C1265&gt;0,D1265&lt;&gt;"",S1265=""),VLOOKUP(A1265&amp;IF(H1265="黑丝","黑","白")&amp;E1265,经纬!A:N,14,FALSE)*(I1265-AB1265),"")</f>
        <v/>
      </c>
    </row>
    <row r="1266" spans="13:27">
      <c r="M1266" s="24" t="str">
        <f t="array" ref="M1266">LEFT(L1266,MIN(FIND({"A","B","C"},MID(L1266,2,LEN(L1266))&amp;"ABC")))</f>
        <v/>
      </c>
      <c r="N1266" s="24" t="str">
        <f t="array" ref="N1266">SUBSTITUTE(L1266,M1266,"")</f>
        <v/>
      </c>
      <c r="X1266" s="258" t="str">
        <f t="shared" si="60"/>
        <v/>
      </c>
      <c r="Y1266" s="36" t="str">
        <f t="shared" si="61"/>
        <v/>
      </c>
      <c r="Z1266" s="340" t="str">
        <f>IF(AND(C1266&gt;0,D1266&lt;&gt;"",S1266=""),VLOOKUP(A1266&amp;IF(H1266="黑丝","黑","白")&amp;E1266,经纬!A:M,13,FALSE)*(I1266-AB1266),"")</f>
        <v/>
      </c>
      <c r="AA1266" s="340" t="str">
        <f>IF(AND(C1266&gt;0,D1266&lt;&gt;"",S1266=""),VLOOKUP(A1266&amp;IF(H1266="黑丝","黑","白")&amp;E1266,经纬!A:N,14,FALSE)*(I1266-AB1266),"")</f>
        <v/>
      </c>
    </row>
    <row r="1267" spans="13:27">
      <c r="M1267" s="24" t="str">
        <f t="array" ref="M1267">LEFT(L1267,MIN(FIND({"A","B","C"},MID(L1267,2,LEN(L1267))&amp;"ABC")))</f>
        <v/>
      </c>
      <c r="N1267" s="24" t="str">
        <f t="array" ref="N1267">SUBSTITUTE(L1267,M1267,"")</f>
        <v/>
      </c>
      <c r="X1267" s="258" t="str">
        <f t="shared" si="60"/>
        <v/>
      </c>
      <c r="Y1267" s="36" t="str">
        <f t="shared" si="61"/>
        <v/>
      </c>
      <c r="Z1267" s="340" t="str">
        <f>IF(AND(C1267&gt;0,D1267&lt;&gt;"",S1267=""),VLOOKUP(A1267&amp;IF(H1267="黑丝","黑","白")&amp;E1267,经纬!A:M,13,FALSE)*(I1267-AB1267),"")</f>
        <v/>
      </c>
      <c r="AA1267" s="340" t="str">
        <f>IF(AND(C1267&gt;0,D1267&lt;&gt;"",S1267=""),VLOOKUP(A1267&amp;IF(H1267="黑丝","黑","白")&amp;E1267,经纬!A:N,14,FALSE)*(I1267-AB1267),"")</f>
        <v/>
      </c>
    </row>
    <row r="1268" spans="13:27">
      <c r="M1268" s="24" t="str">
        <f t="array" ref="M1268">LEFT(L1268,MIN(FIND({"A","B","C"},MID(L1268,2,LEN(L1268))&amp;"ABC")))</f>
        <v/>
      </c>
      <c r="N1268" s="24" t="str">
        <f t="array" ref="N1268">SUBSTITUTE(L1268,M1268,"")</f>
        <v/>
      </c>
      <c r="X1268" s="258" t="str">
        <f t="shared" si="60"/>
        <v/>
      </c>
      <c r="Y1268" s="36" t="str">
        <f t="shared" si="61"/>
        <v/>
      </c>
      <c r="Z1268" s="340" t="str">
        <f>IF(AND(C1268&gt;0,D1268&lt;&gt;"",S1268=""),VLOOKUP(A1268&amp;IF(H1268="黑丝","黑","白")&amp;E1268,经纬!A:M,13,FALSE)*(I1268-AB1268),"")</f>
        <v/>
      </c>
      <c r="AA1268" s="340" t="str">
        <f>IF(AND(C1268&gt;0,D1268&lt;&gt;"",S1268=""),VLOOKUP(A1268&amp;IF(H1268="黑丝","黑","白")&amp;E1268,经纬!A:N,14,FALSE)*(I1268-AB1268),"")</f>
        <v/>
      </c>
    </row>
    <row r="1269" spans="13:27">
      <c r="M1269" s="24" t="str">
        <f t="array" ref="M1269">LEFT(L1269,MIN(FIND({"A","B","C"},MID(L1269,2,LEN(L1269))&amp;"ABC")))</f>
        <v/>
      </c>
      <c r="N1269" s="24" t="str">
        <f t="array" ref="N1269">SUBSTITUTE(L1269,M1269,"")</f>
        <v/>
      </c>
      <c r="X1269" s="258" t="str">
        <f t="shared" si="60"/>
        <v/>
      </c>
      <c r="Y1269" s="36" t="str">
        <f t="shared" si="61"/>
        <v/>
      </c>
      <c r="Z1269" s="340" t="str">
        <f>IF(AND(C1269&gt;0,D1269&lt;&gt;"",S1269=""),VLOOKUP(A1269&amp;IF(H1269="黑丝","黑","白")&amp;E1269,经纬!A:M,13,FALSE)*(I1269-AB1269),"")</f>
        <v/>
      </c>
      <c r="AA1269" s="340" t="str">
        <f>IF(AND(C1269&gt;0,D1269&lt;&gt;"",S1269=""),VLOOKUP(A1269&amp;IF(H1269="黑丝","黑","白")&amp;E1269,经纬!A:N,14,FALSE)*(I1269-AB1269),"")</f>
        <v/>
      </c>
    </row>
    <row r="1270" spans="13:27">
      <c r="M1270" s="24" t="str">
        <f t="array" ref="M1270">LEFT(L1270,MIN(FIND({"A","B","C"},MID(L1270,2,LEN(L1270))&amp;"ABC")))</f>
        <v/>
      </c>
      <c r="N1270" s="24" t="str">
        <f t="array" ref="N1270">SUBSTITUTE(L1270,M1270,"")</f>
        <v/>
      </c>
      <c r="X1270" s="258" t="str">
        <f t="shared" si="60"/>
        <v/>
      </c>
      <c r="Y1270" s="36" t="str">
        <f t="shared" si="61"/>
        <v/>
      </c>
      <c r="Z1270" s="340" t="str">
        <f>IF(AND(C1270&gt;0,D1270&lt;&gt;"",S1270=""),VLOOKUP(A1270&amp;IF(H1270="黑丝","黑","白")&amp;E1270,经纬!A:M,13,FALSE)*(I1270-AB1270),"")</f>
        <v/>
      </c>
      <c r="AA1270" s="340" t="str">
        <f>IF(AND(C1270&gt;0,D1270&lt;&gt;"",S1270=""),VLOOKUP(A1270&amp;IF(H1270="黑丝","黑","白")&amp;E1270,经纬!A:N,14,FALSE)*(I1270-AB1270),"")</f>
        <v/>
      </c>
    </row>
    <row r="1271" spans="13:27">
      <c r="M1271" s="24" t="str">
        <f t="array" ref="M1271">LEFT(L1271,MIN(FIND({"A","B","C"},MID(L1271,2,LEN(L1271))&amp;"ABC")))</f>
        <v/>
      </c>
      <c r="N1271" s="24" t="str">
        <f t="array" ref="N1271">SUBSTITUTE(L1271,M1271,"")</f>
        <v/>
      </c>
      <c r="X1271" s="258" t="str">
        <f t="shared" si="60"/>
        <v/>
      </c>
      <c r="Y1271" s="36" t="str">
        <f t="shared" si="61"/>
        <v/>
      </c>
      <c r="Z1271" s="340" t="str">
        <f>IF(AND(C1271&gt;0,D1271&lt;&gt;"",S1271=""),VLOOKUP(A1271&amp;IF(H1271="黑丝","黑","白")&amp;E1271,经纬!A:M,13,FALSE)*(I1271-AB1271),"")</f>
        <v/>
      </c>
      <c r="AA1271" s="340" t="str">
        <f>IF(AND(C1271&gt;0,D1271&lt;&gt;"",S1271=""),VLOOKUP(A1271&amp;IF(H1271="黑丝","黑","白")&amp;E1271,经纬!A:N,14,FALSE)*(I1271-AB1271),"")</f>
        <v/>
      </c>
    </row>
    <row r="1272" spans="13:27">
      <c r="M1272" s="24" t="str">
        <f t="array" ref="M1272">LEFT(L1272,MIN(FIND({"A","B","C"},MID(L1272,2,LEN(L1272))&amp;"ABC")))</f>
        <v/>
      </c>
      <c r="N1272" s="24" t="str">
        <f t="array" ref="N1272">SUBSTITUTE(L1272,M1272,"")</f>
        <v/>
      </c>
      <c r="X1272" s="258" t="str">
        <f t="shared" si="60"/>
        <v/>
      </c>
      <c r="Y1272" s="36" t="str">
        <f t="shared" si="61"/>
        <v/>
      </c>
      <c r="Z1272" s="340" t="str">
        <f>IF(AND(C1272&gt;0,D1272&lt;&gt;"",S1272=""),VLOOKUP(A1272&amp;IF(H1272="黑丝","黑","白")&amp;E1272,经纬!A:M,13,FALSE)*(I1272-AB1272),"")</f>
        <v/>
      </c>
      <c r="AA1272" s="340" t="str">
        <f>IF(AND(C1272&gt;0,D1272&lt;&gt;"",S1272=""),VLOOKUP(A1272&amp;IF(H1272="黑丝","黑","白")&amp;E1272,经纬!A:N,14,FALSE)*(I1272-AB1272),"")</f>
        <v/>
      </c>
    </row>
    <row r="1273" spans="13:27">
      <c r="M1273" s="24" t="str">
        <f t="array" ref="M1273">LEFT(L1273,MIN(FIND({"A","B","C"},MID(L1273,2,LEN(L1273))&amp;"ABC")))</f>
        <v/>
      </c>
      <c r="N1273" s="24" t="str">
        <f t="array" ref="N1273">SUBSTITUTE(L1273,M1273,"")</f>
        <v/>
      </c>
      <c r="X1273" s="258" t="str">
        <f t="shared" si="60"/>
        <v/>
      </c>
      <c r="Y1273" s="36" t="str">
        <f t="shared" si="61"/>
        <v/>
      </c>
      <c r="Z1273" s="340" t="str">
        <f>IF(AND(C1273&gt;0,D1273&lt;&gt;"",S1273=""),VLOOKUP(A1273&amp;IF(H1273="黑丝","黑","白")&amp;E1273,经纬!A:M,13,FALSE)*(I1273-AB1273),"")</f>
        <v/>
      </c>
      <c r="AA1273" s="340" t="str">
        <f>IF(AND(C1273&gt;0,D1273&lt;&gt;"",S1273=""),VLOOKUP(A1273&amp;IF(H1273="黑丝","黑","白")&amp;E1273,经纬!A:N,14,FALSE)*(I1273-AB1273),"")</f>
        <v/>
      </c>
    </row>
    <row r="1274" spans="13:27">
      <c r="M1274" s="24" t="str">
        <f t="array" ref="M1274">LEFT(L1274,MIN(FIND({"A","B","C"},MID(L1274,2,LEN(L1274))&amp;"ABC")))</f>
        <v/>
      </c>
      <c r="N1274" s="24" t="str">
        <f t="array" ref="N1274">SUBSTITUTE(L1274,M1274,"")</f>
        <v/>
      </c>
      <c r="X1274" s="258" t="str">
        <f t="shared" si="60"/>
        <v/>
      </c>
      <c r="Y1274" s="36" t="str">
        <f t="shared" si="61"/>
        <v/>
      </c>
      <c r="Z1274" s="340" t="str">
        <f>IF(AND(C1274&gt;0,D1274&lt;&gt;"",S1274=""),VLOOKUP(A1274&amp;IF(H1274="黑丝","黑","白")&amp;E1274,经纬!A:M,13,FALSE)*(I1274-AB1274),"")</f>
        <v/>
      </c>
      <c r="AA1274" s="340" t="str">
        <f>IF(AND(C1274&gt;0,D1274&lt;&gt;"",S1274=""),VLOOKUP(A1274&amp;IF(H1274="黑丝","黑","白")&amp;E1274,经纬!A:N,14,FALSE)*(I1274-AB1274),"")</f>
        <v/>
      </c>
    </row>
    <row r="1275" spans="13:27">
      <c r="M1275" s="24" t="str">
        <f t="array" ref="M1275">LEFT(L1275,MIN(FIND({"A","B","C"},MID(L1275,2,LEN(L1275))&amp;"ABC")))</f>
        <v/>
      </c>
      <c r="N1275" s="24" t="str">
        <f t="array" ref="N1275">SUBSTITUTE(L1275,M1275,"")</f>
        <v/>
      </c>
      <c r="X1275" s="258" t="str">
        <f t="shared" si="60"/>
        <v/>
      </c>
      <c r="Y1275" s="36" t="str">
        <f t="shared" si="61"/>
        <v/>
      </c>
      <c r="Z1275" s="340" t="str">
        <f>IF(AND(C1275&gt;0,D1275&lt;&gt;"",S1275=""),VLOOKUP(A1275&amp;IF(H1275="黑丝","黑","白")&amp;E1275,经纬!A:M,13,FALSE)*(I1275-AB1275),"")</f>
        <v/>
      </c>
      <c r="AA1275" s="340" t="str">
        <f>IF(AND(C1275&gt;0,D1275&lt;&gt;"",S1275=""),VLOOKUP(A1275&amp;IF(H1275="黑丝","黑","白")&amp;E1275,经纬!A:N,14,FALSE)*(I1275-AB1275),"")</f>
        <v/>
      </c>
    </row>
    <row r="1276" spans="13:27">
      <c r="M1276" s="24" t="str">
        <f t="array" ref="M1276">LEFT(L1276,MIN(FIND({"A","B","C"},MID(L1276,2,LEN(L1276))&amp;"ABC")))</f>
        <v/>
      </c>
      <c r="N1276" s="24" t="str">
        <f t="array" ref="N1276">SUBSTITUTE(L1276,M1276,"")</f>
        <v/>
      </c>
      <c r="X1276" s="258" t="str">
        <f t="shared" si="60"/>
        <v/>
      </c>
      <c r="Y1276" s="36" t="str">
        <f t="shared" si="61"/>
        <v/>
      </c>
      <c r="Z1276" s="340" t="str">
        <f>IF(AND(C1276&gt;0,D1276&lt;&gt;"",S1276=""),VLOOKUP(A1276&amp;IF(H1276="黑丝","黑","白")&amp;E1276,经纬!A:M,13,FALSE)*(I1276-AB1276),"")</f>
        <v/>
      </c>
      <c r="AA1276" s="340" t="str">
        <f>IF(AND(C1276&gt;0,D1276&lt;&gt;"",S1276=""),VLOOKUP(A1276&amp;IF(H1276="黑丝","黑","白")&amp;E1276,经纬!A:N,14,FALSE)*(I1276-AB1276),"")</f>
        <v/>
      </c>
    </row>
    <row r="1277" spans="13:27">
      <c r="M1277" s="24" t="str">
        <f t="array" ref="M1277">LEFT(L1277,MIN(FIND({"A","B","C"},MID(L1277,2,LEN(L1277))&amp;"ABC")))</f>
        <v/>
      </c>
      <c r="N1277" s="24" t="str">
        <f t="array" ref="N1277">SUBSTITUTE(L1277,M1277,"")</f>
        <v/>
      </c>
      <c r="X1277" s="258" t="str">
        <f t="shared" si="60"/>
        <v/>
      </c>
      <c r="Y1277" s="36" t="str">
        <f t="shared" si="61"/>
        <v/>
      </c>
      <c r="Z1277" s="340" t="str">
        <f>IF(AND(C1277&gt;0,D1277&lt;&gt;"",S1277=""),VLOOKUP(A1277&amp;IF(H1277="黑丝","黑","白")&amp;E1277,经纬!A:M,13,FALSE)*(I1277-AB1277),"")</f>
        <v/>
      </c>
      <c r="AA1277" s="340" t="str">
        <f>IF(AND(C1277&gt;0,D1277&lt;&gt;"",S1277=""),VLOOKUP(A1277&amp;IF(H1277="黑丝","黑","白")&amp;E1277,经纬!A:N,14,FALSE)*(I1277-AB1277),"")</f>
        <v/>
      </c>
    </row>
    <row r="1278" spans="13:27">
      <c r="M1278" s="24" t="str">
        <f t="array" ref="M1278">LEFT(L1278,MIN(FIND({"A","B","C"},MID(L1278,2,LEN(L1278))&amp;"ABC")))</f>
        <v/>
      </c>
      <c r="N1278" s="24" t="str">
        <f t="array" ref="N1278">SUBSTITUTE(L1278,M1278,"")</f>
        <v/>
      </c>
      <c r="X1278" s="258" t="str">
        <f t="shared" si="60"/>
        <v/>
      </c>
      <c r="Y1278" s="36" t="str">
        <f t="shared" si="61"/>
        <v/>
      </c>
      <c r="Z1278" s="340" t="str">
        <f>IF(AND(C1278&gt;0,D1278&lt;&gt;"",S1278=""),VLOOKUP(A1278&amp;IF(H1278="黑丝","黑","白")&amp;E1278,经纬!A:M,13,FALSE)*(I1278-AB1278),"")</f>
        <v/>
      </c>
      <c r="AA1278" s="340" t="str">
        <f>IF(AND(C1278&gt;0,D1278&lt;&gt;"",S1278=""),VLOOKUP(A1278&amp;IF(H1278="黑丝","黑","白")&amp;E1278,经纬!A:N,14,FALSE)*(I1278-AB1278),"")</f>
        <v/>
      </c>
    </row>
    <row r="1279" spans="13:27">
      <c r="M1279" s="24" t="str">
        <f t="array" ref="M1279">LEFT(L1279,MIN(FIND({"A","B","C"},MID(L1279,2,LEN(L1279))&amp;"ABC")))</f>
        <v/>
      </c>
      <c r="N1279" s="24" t="str">
        <f t="array" ref="N1279">SUBSTITUTE(L1279,M1279,"")</f>
        <v/>
      </c>
      <c r="X1279" s="258" t="str">
        <f t="shared" si="60"/>
        <v/>
      </c>
      <c r="Y1279" s="36" t="str">
        <f t="shared" si="61"/>
        <v/>
      </c>
      <c r="Z1279" s="340" t="str">
        <f>IF(AND(C1279&gt;0,D1279&lt;&gt;"",S1279=""),VLOOKUP(A1279&amp;IF(H1279="黑丝","黑","白")&amp;E1279,经纬!A:M,13,FALSE)*(I1279-AB1279),"")</f>
        <v/>
      </c>
      <c r="AA1279" s="340" t="str">
        <f>IF(AND(C1279&gt;0,D1279&lt;&gt;"",S1279=""),VLOOKUP(A1279&amp;IF(H1279="黑丝","黑","白")&amp;E1279,经纬!A:N,14,FALSE)*(I1279-AB1279),"")</f>
        <v/>
      </c>
    </row>
    <row r="1280" spans="13:27">
      <c r="M1280" s="24" t="str">
        <f t="array" ref="M1280">LEFT(L1280,MIN(FIND({"A","B","C"},MID(L1280,2,LEN(L1280))&amp;"ABC")))</f>
        <v/>
      </c>
      <c r="N1280" s="24" t="str">
        <f t="array" ref="N1280">SUBSTITUTE(L1280,M1280,"")</f>
        <v/>
      </c>
      <c r="X1280" s="258" t="str">
        <f t="shared" si="60"/>
        <v/>
      </c>
      <c r="Y1280" s="36" t="str">
        <f t="shared" si="61"/>
        <v/>
      </c>
      <c r="Z1280" s="340" t="str">
        <f>IF(AND(C1280&gt;0,D1280&lt;&gt;"",S1280=""),VLOOKUP(A1280&amp;IF(H1280="黑丝","黑","白")&amp;E1280,经纬!A:M,13,FALSE)*(I1280-AB1280),"")</f>
        <v/>
      </c>
      <c r="AA1280" s="340" t="str">
        <f>IF(AND(C1280&gt;0,D1280&lt;&gt;"",S1280=""),VLOOKUP(A1280&amp;IF(H1280="黑丝","黑","白")&amp;E1280,经纬!A:N,14,FALSE)*(I1280-AB1280),"")</f>
        <v/>
      </c>
    </row>
    <row r="1281" spans="13:27">
      <c r="M1281" s="24" t="str">
        <f t="array" ref="M1281">LEFT(L1281,MIN(FIND({"A","B","C"},MID(L1281,2,LEN(L1281))&amp;"ABC")))</f>
        <v/>
      </c>
      <c r="N1281" s="24" t="str">
        <f t="array" ref="N1281">SUBSTITUTE(L1281,M1281,"")</f>
        <v/>
      </c>
      <c r="X1281" s="258" t="str">
        <f t="shared" si="60"/>
        <v/>
      </c>
      <c r="Y1281" s="36" t="str">
        <f t="shared" si="61"/>
        <v/>
      </c>
      <c r="Z1281" s="340" t="str">
        <f>IF(AND(C1281&gt;0,D1281&lt;&gt;"",S1281=""),VLOOKUP(A1281&amp;IF(H1281="黑丝","黑","白")&amp;E1281,经纬!A:M,13,FALSE)*(I1281-AB1281),"")</f>
        <v/>
      </c>
      <c r="AA1281" s="340" t="str">
        <f>IF(AND(C1281&gt;0,D1281&lt;&gt;"",S1281=""),VLOOKUP(A1281&amp;IF(H1281="黑丝","黑","白")&amp;E1281,经纬!A:N,14,FALSE)*(I1281-AB1281),"")</f>
        <v/>
      </c>
    </row>
    <row r="1282" spans="13:27">
      <c r="M1282" s="24" t="str">
        <f t="array" ref="M1282">LEFT(L1282,MIN(FIND({"A","B","C"},MID(L1282,2,LEN(L1282))&amp;"ABC")))</f>
        <v/>
      </c>
      <c r="N1282" s="24" t="str">
        <f t="array" ref="N1282">SUBSTITUTE(L1282,M1282,"")</f>
        <v/>
      </c>
      <c r="X1282" s="258" t="str">
        <f t="shared" si="60"/>
        <v/>
      </c>
      <c r="Y1282" s="36" t="str">
        <f t="shared" si="61"/>
        <v/>
      </c>
      <c r="Z1282" s="340" t="str">
        <f>IF(AND(C1282&gt;0,D1282&lt;&gt;"",S1282=""),VLOOKUP(A1282&amp;IF(H1282="黑丝","黑","白")&amp;E1282,经纬!A:M,13,FALSE)*(I1282-AB1282),"")</f>
        <v/>
      </c>
      <c r="AA1282" s="340" t="str">
        <f>IF(AND(C1282&gt;0,D1282&lt;&gt;"",S1282=""),VLOOKUP(A1282&amp;IF(H1282="黑丝","黑","白")&amp;E1282,经纬!A:N,14,FALSE)*(I1282-AB1282),"")</f>
        <v/>
      </c>
    </row>
    <row r="1283" spans="13:27">
      <c r="M1283" s="24" t="str">
        <f t="array" ref="M1283">LEFT(L1283,MIN(FIND({"A","B","C"},MID(L1283,2,LEN(L1283))&amp;"ABC")))</f>
        <v/>
      </c>
      <c r="N1283" s="24" t="str">
        <f t="array" ref="N1283">SUBSTITUTE(L1283,M1283,"")</f>
        <v/>
      </c>
      <c r="X1283" s="258" t="str">
        <f t="shared" si="60"/>
        <v/>
      </c>
      <c r="Y1283" s="36" t="str">
        <f t="shared" si="61"/>
        <v/>
      </c>
      <c r="Z1283" s="340" t="str">
        <f>IF(AND(C1283&gt;0,D1283&lt;&gt;"",S1283=""),VLOOKUP(A1283&amp;IF(H1283="黑丝","黑","白")&amp;E1283,经纬!A:M,13,FALSE)*(I1283-AB1283),"")</f>
        <v/>
      </c>
      <c r="AA1283" s="340" t="str">
        <f>IF(AND(C1283&gt;0,D1283&lt;&gt;"",S1283=""),VLOOKUP(A1283&amp;IF(H1283="黑丝","黑","白")&amp;E1283,经纬!A:N,14,FALSE)*(I1283-AB1283),"")</f>
        <v/>
      </c>
    </row>
    <row r="1284" spans="13:27">
      <c r="M1284" s="24" t="str">
        <f t="array" ref="M1284">LEFT(L1284,MIN(FIND({"A","B","C"},MID(L1284,2,LEN(L1284))&amp;"ABC")))</f>
        <v/>
      </c>
      <c r="N1284" s="24" t="str">
        <f t="array" ref="N1284">SUBSTITUTE(L1284,M1284,"")</f>
        <v/>
      </c>
      <c r="X1284" s="258" t="str">
        <f t="shared" si="60"/>
        <v/>
      </c>
      <c r="Y1284" s="36" t="str">
        <f t="shared" si="61"/>
        <v/>
      </c>
      <c r="Z1284" s="340" t="str">
        <f>IF(AND(C1284&gt;0,D1284&lt;&gt;"",S1284=""),VLOOKUP(A1284&amp;IF(H1284="黑丝","黑","白")&amp;E1284,经纬!A:M,13,FALSE)*(I1284-AB1284),"")</f>
        <v/>
      </c>
      <c r="AA1284" s="340" t="str">
        <f>IF(AND(C1284&gt;0,D1284&lt;&gt;"",S1284=""),VLOOKUP(A1284&amp;IF(H1284="黑丝","黑","白")&amp;E1284,经纬!A:N,14,FALSE)*(I1284-AB1284),"")</f>
        <v/>
      </c>
    </row>
    <row r="1285" spans="13:27">
      <c r="M1285" s="24" t="str">
        <f t="array" ref="M1285">LEFT(L1285,MIN(FIND({"A","B","C"},MID(L1285,2,LEN(L1285))&amp;"ABC")))</f>
        <v/>
      </c>
      <c r="N1285" s="24" t="str">
        <f t="array" ref="N1285">SUBSTITUTE(L1285,M1285,"")</f>
        <v/>
      </c>
      <c r="X1285" s="258" t="str">
        <f t="shared" si="60"/>
        <v/>
      </c>
      <c r="Y1285" s="36" t="str">
        <f t="shared" si="61"/>
        <v/>
      </c>
      <c r="Z1285" s="340" t="str">
        <f>IF(AND(C1285&gt;0,D1285&lt;&gt;"",S1285=""),VLOOKUP(A1285&amp;IF(H1285="黑丝","黑","白")&amp;E1285,经纬!A:M,13,FALSE)*(I1285-AB1285),"")</f>
        <v/>
      </c>
      <c r="AA1285" s="340" t="str">
        <f>IF(AND(C1285&gt;0,D1285&lt;&gt;"",S1285=""),VLOOKUP(A1285&amp;IF(H1285="黑丝","黑","白")&amp;E1285,经纬!A:N,14,FALSE)*(I1285-AB1285),"")</f>
        <v/>
      </c>
    </row>
    <row r="1286" spans="13:27">
      <c r="M1286" s="24" t="str">
        <f t="array" ref="M1286">LEFT(L1286,MIN(FIND({"A","B","C"},MID(L1286,2,LEN(L1286))&amp;"ABC")))</f>
        <v/>
      </c>
      <c r="N1286" s="24" t="str">
        <f t="array" ref="N1286">SUBSTITUTE(L1286,M1286,"")</f>
        <v/>
      </c>
      <c r="X1286" s="258" t="str">
        <f t="shared" si="60"/>
        <v/>
      </c>
      <c r="Y1286" s="36" t="str">
        <f t="shared" si="61"/>
        <v/>
      </c>
      <c r="Z1286" s="340" t="str">
        <f>IF(AND(C1286&gt;0,D1286&lt;&gt;"",S1286=""),VLOOKUP(A1286&amp;IF(H1286="黑丝","黑","白")&amp;E1286,经纬!A:M,13,FALSE)*(I1286-AB1286),"")</f>
        <v/>
      </c>
      <c r="AA1286" s="340" t="str">
        <f>IF(AND(C1286&gt;0,D1286&lt;&gt;"",S1286=""),VLOOKUP(A1286&amp;IF(H1286="黑丝","黑","白")&amp;E1286,经纬!A:N,14,FALSE)*(I1286-AB1286),"")</f>
        <v/>
      </c>
    </row>
    <row r="1287" spans="13:27">
      <c r="M1287" s="24" t="str">
        <f t="array" ref="M1287">LEFT(L1287,MIN(FIND({"A","B","C"},MID(L1287,2,LEN(L1287))&amp;"ABC")))</f>
        <v/>
      </c>
      <c r="N1287" s="24" t="str">
        <f t="array" ref="N1287">SUBSTITUTE(L1287,M1287,"")</f>
        <v/>
      </c>
      <c r="X1287" s="258" t="str">
        <f t="shared" si="60"/>
        <v/>
      </c>
      <c r="Y1287" s="36" t="str">
        <f t="shared" si="61"/>
        <v/>
      </c>
      <c r="Z1287" s="340" t="str">
        <f>IF(AND(C1287&gt;0,D1287&lt;&gt;"",S1287=""),VLOOKUP(A1287&amp;IF(H1287="黑丝","黑","白")&amp;E1287,经纬!A:M,13,FALSE)*(I1287-AB1287),"")</f>
        <v/>
      </c>
      <c r="AA1287" s="340" t="str">
        <f>IF(AND(C1287&gt;0,D1287&lt;&gt;"",S1287=""),VLOOKUP(A1287&amp;IF(H1287="黑丝","黑","白")&amp;E1287,经纬!A:N,14,FALSE)*(I1287-AB1287),"")</f>
        <v/>
      </c>
    </row>
    <row r="1288" spans="13:27">
      <c r="M1288" s="24" t="str">
        <f t="array" ref="M1288">LEFT(L1288,MIN(FIND({"A","B","C"},MID(L1288,2,LEN(L1288))&amp;"ABC")))</f>
        <v/>
      </c>
      <c r="N1288" s="24" t="str">
        <f t="array" ref="N1288">SUBSTITUTE(L1288,M1288,"")</f>
        <v/>
      </c>
      <c r="X1288" s="258" t="str">
        <f t="shared" si="60"/>
        <v/>
      </c>
      <c r="Y1288" s="36" t="str">
        <f t="shared" si="61"/>
        <v/>
      </c>
      <c r="Z1288" s="340" t="str">
        <f>IF(AND(C1288&gt;0,D1288&lt;&gt;"",S1288=""),VLOOKUP(A1288&amp;IF(H1288="黑丝","黑","白")&amp;E1288,经纬!A:M,13,FALSE)*(I1288-AB1288),"")</f>
        <v/>
      </c>
      <c r="AA1288" s="340" t="str">
        <f>IF(AND(C1288&gt;0,D1288&lt;&gt;"",S1288=""),VLOOKUP(A1288&amp;IF(H1288="黑丝","黑","白")&amp;E1288,经纬!A:N,14,FALSE)*(I1288-AB1288),"")</f>
        <v/>
      </c>
    </row>
    <row r="1289" spans="13:27">
      <c r="M1289" s="24" t="str">
        <f t="array" ref="M1289">LEFT(L1289,MIN(FIND({"A","B","C"},MID(L1289,2,LEN(L1289))&amp;"ABC")))</f>
        <v/>
      </c>
      <c r="N1289" s="24" t="str">
        <f t="array" ref="N1289">SUBSTITUTE(L1289,M1289,"")</f>
        <v/>
      </c>
      <c r="X1289" s="258" t="str">
        <f t="shared" si="60"/>
        <v/>
      </c>
      <c r="Y1289" s="36" t="str">
        <f t="shared" si="61"/>
        <v/>
      </c>
      <c r="Z1289" s="340" t="str">
        <f>IF(AND(C1289&gt;0,D1289&lt;&gt;"",S1289=""),VLOOKUP(A1289&amp;IF(H1289="黑丝","黑","白")&amp;E1289,经纬!A:M,13,FALSE)*(I1289-AB1289),"")</f>
        <v/>
      </c>
      <c r="AA1289" s="340" t="str">
        <f>IF(AND(C1289&gt;0,D1289&lt;&gt;"",S1289=""),VLOOKUP(A1289&amp;IF(H1289="黑丝","黑","白")&amp;E1289,经纬!A:N,14,FALSE)*(I1289-AB1289),"")</f>
        <v/>
      </c>
    </row>
    <row r="1290" spans="13:27">
      <c r="M1290" s="24" t="str">
        <f t="array" ref="M1290">LEFT(L1290,MIN(FIND({"A","B","C"},MID(L1290,2,LEN(L1290))&amp;"ABC")))</f>
        <v/>
      </c>
      <c r="N1290" s="24" t="str">
        <f t="array" ref="N1290">SUBSTITUTE(L1290,M1290,"")</f>
        <v/>
      </c>
      <c r="X1290" s="258" t="str">
        <f t="shared" si="60"/>
        <v/>
      </c>
      <c r="Y1290" s="36" t="str">
        <f t="shared" si="61"/>
        <v/>
      </c>
      <c r="Z1290" s="340" t="str">
        <f>IF(AND(C1290&gt;0,D1290&lt;&gt;"",S1290=""),VLOOKUP(A1290&amp;IF(H1290="黑丝","黑","白")&amp;E1290,经纬!A:M,13,FALSE)*(I1290-AB1290),"")</f>
        <v/>
      </c>
      <c r="AA1290" s="340" t="str">
        <f>IF(AND(C1290&gt;0,D1290&lt;&gt;"",S1290=""),VLOOKUP(A1290&amp;IF(H1290="黑丝","黑","白")&amp;E1290,经纬!A:N,14,FALSE)*(I1290-AB1290),"")</f>
        <v/>
      </c>
    </row>
    <row r="1291" spans="13:27">
      <c r="M1291" s="24" t="str">
        <f t="array" ref="M1291">LEFT(L1291,MIN(FIND({"A","B","C"},MID(L1291,2,LEN(L1291))&amp;"ABC")))</f>
        <v/>
      </c>
      <c r="N1291" s="24" t="str">
        <f t="array" ref="N1291">SUBSTITUTE(L1291,M1291,"")</f>
        <v/>
      </c>
      <c r="X1291" s="258" t="str">
        <f t="shared" si="60"/>
        <v/>
      </c>
      <c r="Y1291" s="36" t="str">
        <f t="shared" si="61"/>
        <v/>
      </c>
      <c r="Z1291" s="340" t="str">
        <f>IF(AND(C1291&gt;0,D1291&lt;&gt;"",S1291=""),VLOOKUP(A1291&amp;IF(H1291="黑丝","黑","白")&amp;E1291,经纬!A:M,13,FALSE)*(I1291-AB1291),"")</f>
        <v/>
      </c>
      <c r="AA1291" s="340" t="str">
        <f>IF(AND(C1291&gt;0,D1291&lt;&gt;"",S1291=""),VLOOKUP(A1291&amp;IF(H1291="黑丝","黑","白")&amp;E1291,经纬!A:N,14,FALSE)*(I1291-AB1291),"")</f>
        <v/>
      </c>
    </row>
    <row r="1292" spans="13:27">
      <c r="M1292" s="24" t="str">
        <f t="array" ref="M1292">LEFT(L1292,MIN(FIND({"A","B","C"},MID(L1292,2,LEN(L1292))&amp;"ABC")))</f>
        <v/>
      </c>
      <c r="N1292" s="24" t="str">
        <f t="array" ref="N1292">SUBSTITUTE(L1292,M1292,"")</f>
        <v/>
      </c>
      <c r="X1292" s="258" t="str">
        <f t="shared" si="60"/>
        <v/>
      </c>
      <c r="Y1292" s="36" t="str">
        <f t="shared" si="61"/>
        <v/>
      </c>
      <c r="Z1292" s="340" t="str">
        <f>IF(AND(C1292&gt;0,D1292&lt;&gt;"",S1292=""),VLOOKUP(A1292&amp;IF(H1292="黑丝","黑","白")&amp;E1292,经纬!A:M,13,FALSE)*(I1292-AB1292),"")</f>
        <v/>
      </c>
      <c r="AA1292" s="340" t="str">
        <f>IF(AND(C1292&gt;0,D1292&lt;&gt;"",S1292=""),VLOOKUP(A1292&amp;IF(H1292="黑丝","黑","白")&amp;E1292,经纬!A:N,14,FALSE)*(I1292-AB1292),"")</f>
        <v/>
      </c>
    </row>
    <row r="1293" spans="13:27">
      <c r="M1293" s="24" t="str">
        <f t="array" ref="M1293">LEFT(L1293,MIN(FIND({"A","B","C"},MID(L1293,2,LEN(L1293))&amp;"ABC")))</f>
        <v/>
      </c>
      <c r="N1293" s="24" t="str">
        <f t="array" ref="N1293">SUBSTITUTE(L1293,M1293,"")</f>
        <v/>
      </c>
      <c r="X1293" s="258" t="str">
        <f t="shared" si="60"/>
        <v/>
      </c>
      <c r="Y1293" s="36" t="str">
        <f t="shared" si="61"/>
        <v/>
      </c>
      <c r="Z1293" s="340" t="str">
        <f>IF(AND(C1293&gt;0,D1293&lt;&gt;"",S1293=""),VLOOKUP(A1293&amp;IF(H1293="黑丝","黑","白")&amp;E1293,经纬!A:M,13,FALSE)*(I1293-AB1293),"")</f>
        <v/>
      </c>
      <c r="AA1293" s="340" t="str">
        <f>IF(AND(C1293&gt;0,D1293&lt;&gt;"",S1293=""),VLOOKUP(A1293&amp;IF(H1293="黑丝","黑","白")&amp;E1293,经纬!A:N,14,FALSE)*(I1293-AB1293),"")</f>
        <v/>
      </c>
    </row>
    <row r="1294" spans="13:27">
      <c r="M1294" s="24" t="str">
        <f t="array" ref="M1294">LEFT(L1294,MIN(FIND({"A","B","C"},MID(L1294,2,LEN(L1294))&amp;"ABC")))</f>
        <v/>
      </c>
      <c r="N1294" s="24" t="str">
        <f t="array" ref="N1294">SUBSTITUTE(L1294,M1294,"")</f>
        <v/>
      </c>
      <c r="X1294" s="258" t="str">
        <f t="shared" si="60"/>
        <v/>
      </c>
      <c r="Y1294" s="36" t="str">
        <f t="shared" si="61"/>
        <v/>
      </c>
      <c r="Z1294" s="340" t="str">
        <f>IF(AND(C1294&gt;0,D1294&lt;&gt;"",S1294=""),VLOOKUP(A1294&amp;IF(H1294="黑丝","黑","白")&amp;E1294,经纬!A:M,13,FALSE)*(I1294-AB1294),"")</f>
        <v/>
      </c>
      <c r="AA1294" s="340" t="str">
        <f>IF(AND(C1294&gt;0,D1294&lt;&gt;"",S1294=""),VLOOKUP(A1294&amp;IF(H1294="黑丝","黑","白")&amp;E1294,经纬!A:N,14,FALSE)*(I1294-AB1294),"")</f>
        <v/>
      </c>
    </row>
    <row r="1295" spans="13:27">
      <c r="M1295" s="24" t="str">
        <f t="array" ref="M1295">LEFT(L1295,MIN(FIND({"A","B","C"},MID(L1295,2,LEN(L1295))&amp;"ABC")))</f>
        <v/>
      </c>
      <c r="N1295" s="24" t="str">
        <f t="array" ref="N1295">SUBSTITUTE(L1295,M1295,"")</f>
        <v/>
      </c>
      <c r="X1295" s="258" t="str">
        <f t="shared" si="60"/>
        <v/>
      </c>
      <c r="Y1295" s="36" t="str">
        <f t="shared" si="61"/>
        <v/>
      </c>
      <c r="Z1295" s="340" t="str">
        <f>IF(AND(C1295&gt;0,D1295&lt;&gt;"",S1295=""),VLOOKUP(A1295&amp;IF(H1295="黑丝","黑","白")&amp;E1295,经纬!A:M,13,FALSE)*(I1295-AB1295),"")</f>
        <v/>
      </c>
      <c r="AA1295" s="340" t="str">
        <f>IF(AND(C1295&gt;0,D1295&lt;&gt;"",S1295=""),VLOOKUP(A1295&amp;IF(H1295="黑丝","黑","白")&amp;E1295,经纬!A:N,14,FALSE)*(I1295-AB1295),"")</f>
        <v/>
      </c>
    </row>
    <row r="1296" spans="13:27">
      <c r="M1296" s="24" t="str">
        <f t="array" ref="M1296">LEFT(L1296,MIN(FIND({"A","B","C"},MID(L1296,2,LEN(L1296))&amp;"ABC")))</f>
        <v/>
      </c>
      <c r="N1296" s="24" t="str">
        <f t="array" ref="N1296">SUBSTITUTE(L1296,M1296,"")</f>
        <v/>
      </c>
      <c r="X1296" s="258" t="str">
        <f t="shared" si="60"/>
        <v/>
      </c>
      <c r="Y1296" s="36" t="str">
        <f t="shared" si="61"/>
        <v/>
      </c>
      <c r="Z1296" s="340" t="str">
        <f>IF(AND(C1296&gt;0,D1296&lt;&gt;"",S1296=""),VLOOKUP(A1296&amp;IF(H1296="黑丝","黑","白")&amp;E1296,经纬!A:M,13,FALSE)*(I1296-AB1296),"")</f>
        <v/>
      </c>
      <c r="AA1296" s="340" t="str">
        <f>IF(AND(C1296&gt;0,D1296&lt;&gt;"",S1296=""),VLOOKUP(A1296&amp;IF(H1296="黑丝","黑","白")&amp;E1296,经纬!A:N,14,FALSE)*(I1296-AB1296),"")</f>
        <v/>
      </c>
    </row>
    <row r="1297" spans="13:27">
      <c r="M1297" s="24" t="str">
        <f t="array" ref="M1297">LEFT(L1297,MIN(FIND({"A","B","C"},MID(L1297,2,LEN(L1297))&amp;"ABC")))</f>
        <v/>
      </c>
      <c r="N1297" s="24" t="str">
        <f t="array" ref="N1297">SUBSTITUTE(L1297,M1297,"")</f>
        <v/>
      </c>
      <c r="X1297" s="258" t="str">
        <f t="shared" si="60"/>
        <v/>
      </c>
      <c r="Y1297" s="36" t="str">
        <f t="shared" si="61"/>
        <v/>
      </c>
      <c r="Z1297" s="340" t="str">
        <f>IF(AND(C1297&gt;0,D1297&lt;&gt;"",S1297=""),VLOOKUP(A1297&amp;IF(H1297="黑丝","黑","白")&amp;E1297,经纬!A:M,13,FALSE)*(I1297-AB1297),"")</f>
        <v/>
      </c>
      <c r="AA1297" s="340" t="str">
        <f>IF(AND(C1297&gt;0,D1297&lt;&gt;"",S1297=""),VLOOKUP(A1297&amp;IF(H1297="黑丝","黑","白")&amp;E1297,经纬!A:N,14,FALSE)*(I1297-AB1297),"")</f>
        <v/>
      </c>
    </row>
    <row r="1298" spans="13:27">
      <c r="M1298" s="24" t="str">
        <f t="array" ref="M1298">LEFT(L1298,MIN(FIND({"A","B","C"},MID(L1298,2,LEN(L1298))&amp;"ABC")))</f>
        <v/>
      </c>
      <c r="N1298" s="24" t="str">
        <f t="array" ref="N1298">SUBSTITUTE(L1298,M1298,"")</f>
        <v/>
      </c>
      <c r="X1298" s="258" t="str">
        <f t="shared" si="60"/>
        <v/>
      </c>
      <c r="Y1298" s="36" t="str">
        <f t="shared" si="61"/>
        <v/>
      </c>
      <c r="Z1298" s="340" t="str">
        <f>IF(AND(C1298&gt;0,D1298&lt;&gt;"",S1298=""),VLOOKUP(A1298&amp;IF(H1298="黑丝","黑","白")&amp;E1298,经纬!A:M,13,FALSE)*(I1298-AB1298),"")</f>
        <v/>
      </c>
      <c r="AA1298" s="340" t="str">
        <f>IF(AND(C1298&gt;0,D1298&lt;&gt;"",S1298=""),VLOOKUP(A1298&amp;IF(H1298="黑丝","黑","白")&amp;E1298,经纬!A:N,14,FALSE)*(I1298-AB1298),"")</f>
        <v/>
      </c>
    </row>
    <row r="1299" spans="13:27">
      <c r="M1299" s="24" t="str">
        <f t="array" ref="M1299">LEFT(L1299,MIN(FIND({"A","B","C"},MID(L1299,2,LEN(L1299))&amp;"ABC")))</f>
        <v/>
      </c>
      <c r="N1299" s="24" t="str">
        <f t="array" ref="N1299">SUBSTITUTE(L1299,M1299,"")</f>
        <v/>
      </c>
      <c r="X1299" s="258" t="str">
        <f t="shared" si="60"/>
        <v/>
      </c>
      <c r="Y1299" s="36" t="str">
        <f t="shared" si="61"/>
        <v/>
      </c>
      <c r="Z1299" s="340" t="str">
        <f>IF(AND(C1299&gt;0,D1299&lt;&gt;"",S1299=""),VLOOKUP(A1299&amp;IF(H1299="黑丝","黑","白")&amp;E1299,经纬!A:M,13,FALSE)*(I1299-AB1299),"")</f>
        <v/>
      </c>
      <c r="AA1299" s="340" t="str">
        <f>IF(AND(C1299&gt;0,D1299&lt;&gt;"",S1299=""),VLOOKUP(A1299&amp;IF(H1299="黑丝","黑","白")&amp;E1299,经纬!A:N,14,FALSE)*(I1299-AB1299),"")</f>
        <v/>
      </c>
    </row>
    <row r="1300" spans="13:27">
      <c r="M1300" s="24" t="str">
        <f t="array" ref="M1300">LEFT(L1300,MIN(FIND({"A","B","C"},MID(L1300,2,LEN(L1300))&amp;"ABC")))</f>
        <v/>
      </c>
      <c r="N1300" s="24" t="str">
        <f t="array" ref="N1300">SUBSTITUTE(L1300,M1300,"")</f>
        <v/>
      </c>
      <c r="X1300" s="258" t="str">
        <f t="shared" si="60"/>
        <v/>
      </c>
      <c r="Y1300" s="36" t="str">
        <f t="shared" si="61"/>
        <v/>
      </c>
      <c r="Z1300" s="340" t="str">
        <f>IF(AND(C1300&gt;0,D1300&lt;&gt;"",S1300=""),VLOOKUP(A1300&amp;IF(H1300="黑丝","黑","白")&amp;E1300,经纬!A:M,13,FALSE)*(I1300-AB1300),"")</f>
        <v/>
      </c>
      <c r="AA1300" s="340" t="str">
        <f>IF(AND(C1300&gt;0,D1300&lt;&gt;"",S1300=""),VLOOKUP(A1300&amp;IF(H1300="黑丝","黑","白")&amp;E1300,经纬!A:N,14,FALSE)*(I1300-AB1300),"")</f>
        <v/>
      </c>
    </row>
    <row r="1301" spans="13:27">
      <c r="M1301" s="24" t="str">
        <f t="array" ref="M1301">LEFT(L1301,MIN(FIND({"A","B","C"},MID(L1301,2,LEN(L1301))&amp;"ABC")))</f>
        <v/>
      </c>
      <c r="N1301" s="24" t="str">
        <f t="array" ref="N1301">SUBSTITUTE(L1301,M1301,"")</f>
        <v/>
      </c>
      <c r="X1301" s="258" t="str">
        <f t="shared" si="60"/>
        <v/>
      </c>
      <c r="Y1301" s="36" t="str">
        <f t="shared" si="61"/>
        <v/>
      </c>
      <c r="Z1301" s="340" t="str">
        <f>IF(AND(C1301&gt;0,D1301&lt;&gt;"",S1301=""),VLOOKUP(A1301&amp;IF(H1301="黑丝","黑","白")&amp;E1301,经纬!A:M,13,FALSE)*(I1301-AB1301),"")</f>
        <v/>
      </c>
      <c r="AA1301" s="340" t="str">
        <f>IF(AND(C1301&gt;0,D1301&lt;&gt;"",S1301=""),VLOOKUP(A1301&amp;IF(H1301="黑丝","黑","白")&amp;E1301,经纬!A:N,14,FALSE)*(I1301-AB1301),"")</f>
        <v/>
      </c>
    </row>
    <row r="1302" spans="13:27">
      <c r="M1302" s="24" t="str">
        <f t="array" ref="M1302">LEFT(L1302,MIN(FIND({"A","B","C"},MID(L1302,2,LEN(L1302))&amp;"ABC")))</f>
        <v/>
      </c>
      <c r="N1302" s="24" t="str">
        <f t="array" ref="N1302">SUBSTITUTE(L1302,M1302,"")</f>
        <v/>
      </c>
      <c r="X1302" s="258" t="str">
        <f t="shared" si="60"/>
        <v/>
      </c>
      <c r="Y1302" s="36" t="str">
        <f t="shared" si="61"/>
        <v/>
      </c>
      <c r="Z1302" s="340" t="str">
        <f>IF(AND(C1302&gt;0,D1302&lt;&gt;"",S1302=""),VLOOKUP(A1302&amp;IF(H1302="黑丝","黑","白")&amp;E1302,经纬!A:M,13,FALSE)*(I1302-AB1302),"")</f>
        <v/>
      </c>
      <c r="AA1302" s="340" t="str">
        <f>IF(AND(C1302&gt;0,D1302&lt;&gt;"",S1302=""),VLOOKUP(A1302&amp;IF(H1302="黑丝","黑","白")&amp;E1302,经纬!A:N,14,FALSE)*(I1302-AB1302),"")</f>
        <v/>
      </c>
    </row>
    <row r="1303" spans="13:27">
      <c r="M1303" s="24" t="str">
        <f t="array" ref="M1303">LEFT(L1303,MIN(FIND({"A","B","C"},MID(L1303,2,LEN(L1303))&amp;"ABC")))</f>
        <v/>
      </c>
      <c r="N1303" s="24" t="str">
        <f t="array" ref="N1303">SUBSTITUTE(L1303,M1303,"")</f>
        <v/>
      </c>
      <c r="X1303" s="258" t="str">
        <f t="shared" si="60"/>
        <v/>
      </c>
      <c r="Y1303" s="36" t="str">
        <f t="shared" si="61"/>
        <v/>
      </c>
      <c r="Z1303" s="340" t="str">
        <f>IF(AND(C1303&gt;0,D1303&lt;&gt;"",S1303=""),VLOOKUP(A1303&amp;IF(H1303="黑丝","黑","白")&amp;E1303,经纬!A:M,13,FALSE)*(I1303-AB1303),"")</f>
        <v/>
      </c>
      <c r="AA1303" s="340" t="str">
        <f>IF(AND(C1303&gt;0,D1303&lt;&gt;"",S1303=""),VLOOKUP(A1303&amp;IF(H1303="黑丝","黑","白")&amp;E1303,经纬!A:N,14,FALSE)*(I1303-AB1303),"")</f>
        <v/>
      </c>
    </row>
    <row r="1304" spans="13:27">
      <c r="M1304" s="24" t="str">
        <f t="array" ref="M1304">LEFT(L1304,MIN(FIND({"A","B","C"},MID(L1304,2,LEN(L1304))&amp;"ABC")))</f>
        <v/>
      </c>
      <c r="N1304" s="24" t="str">
        <f t="array" ref="N1304">SUBSTITUTE(L1304,M1304,"")</f>
        <v/>
      </c>
      <c r="X1304" s="258" t="str">
        <f t="shared" si="60"/>
        <v/>
      </c>
      <c r="Y1304" s="36" t="str">
        <f t="shared" si="61"/>
        <v/>
      </c>
      <c r="Z1304" s="340" t="str">
        <f>IF(AND(C1304&gt;0,D1304&lt;&gt;"",S1304=""),VLOOKUP(A1304&amp;IF(H1304="黑丝","黑","白")&amp;E1304,经纬!A:M,13,FALSE)*(I1304-AB1304),"")</f>
        <v/>
      </c>
      <c r="AA1304" s="340" t="str">
        <f>IF(AND(C1304&gt;0,D1304&lt;&gt;"",S1304=""),VLOOKUP(A1304&amp;IF(H1304="黑丝","黑","白")&amp;E1304,经纬!A:N,14,FALSE)*(I1304-AB1304),"")</f>
        <v/>
      </c>
    </row>
    <row r="1305" spans="13:27">
      <c r="M1305" s="24" t="str">
        <f t="array" ref="M1305">LEFT(L1305,MIN(FIND({"A","B","C"},MID(L1305,2,LEN(L1305))&amp;"ABC")))</f>
        <v/>
      </c>
      <c r="N1305" s="24" t="str">
        <f t="array" ref="N1305">SUBSTITUTE(L1305,M1305,"")</f>
        <v/>
      </c>
      <c r="X1305" s="258" t="str">
        <f t="shared" si="60"/>
        <v/>
      </c>
      <c r="Y1305" s="36" t="str">
        <f t="shared" si="61"/>
        <v/>
      </c>
      <c r="Z1305" s="340" t="str">
        <f>IF(AND(C1305&gt;0,D1305&lt;&gt;"",S1305=""),VLOOKUP(A1305&amp;IF(H1305="黑丝","黑","白")&amp;E1305,经纬!A:M,13,FALSE)*(I1305-AB1305),"")</f>
        <v/>
      </c>
      <c r="AA1305" s="340" t="str">
        <f>IF(AND(C1305&gt;0,D1305&lt;&gt;"",S1305=""),VLOOKUP(A1305&amp;IF(H1305="黑丝","黑","白")&amp;E1305,经纬!A:N,14,FALSE)*(I1305-AB1305),"")</f>
        <v/>
      </c>
    </row>
    <row r="1306" spans="13:27">
      <c r="M1306" s="24" t="str">
        <f t="array" ref="M1306">LEFT(L1306,MIN(FIND({"A","B","C"},MID(L1306,2,LEN(L1306))&amp;"ABC")))</f>
        <v/>
      </c>
      <c r="N1306" s="24" t="str">
        <f t="array" ref="N1306">SUBSTITUTE(L1306,M1306,"")</f>
        <v/>
      </c>
      <c r="X1306" s="258" t="str">
        <f t="shared" si="60"/>
        <v/>
      </c>
      <c r="Y1306" s="36" t="str">
        <f t="shared" si="61"/>
        <v/>
      </c>
      <c r="Z1306" s="340" t="str">
        <f>IF(AND(C1306&gt;0,D1306&lt;&gt;"",S1306=""),VLOOKUP(A1306&amp;IF(H1306="黑丝","黑","白")&amp;E1306,经纬!A:M,13,FALSE)*(I1306-AB1306),"")</f>
        <v/>
      </c>
      <c r="AA1306" s="340" t="str">
        <f>IF(AND(C1306&gt;0,D1306&lt;&gt;"",S1306=""),VLOOKUP(A1306&amp;IF(H1306="黑丝","黑","白")&amp;E1306,经纬!A:N,14,FALSE)*(I1306-AB1306),"")</f>
        <v/>
      </c>
    </row>
    <row r="1307" spans="13:27">
      <c r="M1307" s="24" t="str">
        <f t="array" ref="M1307">LEFT(L1307,MIN(FIND({"A","B","C"},MID(L1307,2,LEN(L1307))&amp;"ABC")))</f>
        <v/>
      </c>
      <c r="N1307" s="24" t="str">
        <f t="array" ref="N1307">SUBSTITUTE(L1307,M1307,"")</f>
        <v/>
      </c>
      <c r="X1307" s="258" t="str">
        <f t="shared" si="60"/>
        <v/>
      </c>
      <c r="Y1307" s="36" t="str">
        <f t="shared" si="61"/>
        <v/>
      </c>
      <c r="Z1307" s="340" t="str">
        <f>IF(AND(C1307&gt;0,D1307&lt;&gt;"",S1307=""),VLOOKUP(A1307&amp;IF(H1307="黑丝","黑","白")&amp;E1307,经纬!A:M,13,FALSE)*(I1307-AB1307),"")</f>
        <v/>
      </c>
      <c r="AA1307" s="340" t="str">
        <f>IF(AND(C1307&gt;0,D1307&lt;&gt;"",S1307=""),VLOOKUP(A1307&amp;IF(H1307="黑丝","黑","白")&amp;E1307,经纬!A:N,14,FALSE)*(I1307-AB1307),"")</f>
        <v/>
      </c>
    </row>
    <row r="1308" spans="13:27">
      <c r="M1308" s="24" t="str">
        <f t="array" ref="M1308">LEFT(L1308,MIN(FIND({"A","B","C"},MID(L1308,2,LEN(L1308))&amp;"ABC")))</f>
        <v/>
      </c>
      <c r="N1308" s="24" t="str">
        <f t="array" ref="N1308">SUBSTITUTE(L1308,M1308,"")</f>
        <v/>
      </c>
      <c r="X1308" s="258" t="str">
        <f t="shared" ref="X1308:X1371" si="62">IF(B1308="","",IF(S1308&lt;&gt;"","",IF(AND(Z1308&lt;&gt;"",AA1308&lt;&gt;""),SUM(Z1308:AA1308),IF(AB1308&lt;&gt;"",(I1308/((1/((G1308+2)/100*K1308/1000))*0.9144)/IF(H1308="黑丝",22,20)-AB1308)*(IF(H1308="黑丝",22,20)),I1308/((1/((G1308+2)/100*K1308/1000))*0.9144)))))</f>
        <v/>
      </c>
      <c r="Y1308" s="36" t="str">
        <f t="shared" si="61"/>
        <v/>
      </c>
      <c r="Z1308" s="340" t="str">
        <f>IF(AND(C1308&gt;0,D1308&lt;&gt;"",S1308=""),VLOOKUP(A1308&amp;IF(H1308="黑丝","黑","白")&amp;E1308,经纬!A:M,13,FALSE)*(I1308-AB1308),"")</f>
        <v/>
      </c>
      <c r="AA1308" s="340" t="str">
        <f>IF(AND(C1308&gt;0,D1308&lt;&gt;"",S1308=""),VLOOKUP(A1308&amp;IF(H1308="黑丝","黑","白")&amp;E1308,经纬!A:N,14,FALSE)*(I1308-AB1308),"")</f>
        <v/>
      </c>
    </row>
    <row r="1309" spans="13:27">
      <c r="M1309" s="24" t="str">
        <f t="array" ref="M1309">LEFT(L1309,MIN(FIND({"A","B","C"},MID(L1309,2,LEN(L1309))&amp;"ABC")))</f>
        <v/>
      </c>
      <c r="N1309" s="24" t="str">
        <f t="array" ref="N1309">SUBSTITUTE(L1309,M1309,"")</f>
        <v/>
      </c>
      <c r="X1309" s="258" t="str">
        <f t="shared" si="62"/>
        <v/>
      </c>
      <c r="Y1309" s="36" t="str">
        <f t="shared" si="61"/>
        <v/>
      </c>
      <c r="Z1309" s="340" t="str">
        <f>IF(AND(C1309&gt;0,D1309&lt;&gt;"",S1309=""),VLOOKUP(A1309&amp;IF(H1309="黑丝","黑","白")&amp;E1309,经纬!A:M,13,FALSE)*(I1309-AB1309),"")</f>
        <v/>
      </c>
      <c r="AA1309" s="340" t="str">
        <f>IF(AND(C1309&gt;0,D1309&lt;&gt;"",S1309=""),VLOOKUP(A1309&amp;IF(H1309="黑丝","黑","白")&amp;E1309,经纬!A:N,14,FALSE)*(I1309-AB1309),"")</f>
        <v/>
      </c>
    </row>
    <row r="1310" spans="13:27">
      <c r="M1310" s="24" t="str">
        <f t="array" ref="M1310">LEFT(L1310,MIN(FIND({"A","B","C"},MID(L1310,2,LEN(L1310))&amp;"ABC")))</f>
        <v/>
      </c>
      <c r="N1310" s="24" t="str">
        <f t="array" ref="N1310">SUBSTITUTE(L1310,M1310,"")</f>
        <v/>
      </c>
      <c r="X1310" s="258" t="str">
        <f t="shared" si="62"/>
        <v/>
      </c>
      <c r="Y1310" s="36" t="str">
        <f t="shared" si="61"/>
        <v/>
      </c>
      <c r="Z1310" s="340" t="str">
        <f>IF(AND(C1310&gt;0,D1310&lt;&gt;"",S1310=""),VLOOKUP(A1310&amp;IF(H1310="黑丝","黑","白")&amp;E1310,经纬!A:M,13,FALSE)*(I1310-AB1310),"")</f>
        <v/>
      </c>
      <c r="AA1310" s="340" t="str">
        <f>IF(AND(C1310&gt;0,D1310&lt;&gt;"",S1310=""),VLOOKUP(A1310&amp;IF(H1310="黑丝","黑","白")&amp;E1310,经纬!A:N,14,FALSE)*(I1310-AB1310),"")</f>
        <v/>
      </c>
    </row>
    <row r="1311" spans="13:27">
      <c r="M1311" s="24" t="str">
        <f t="array" ref="M1311">LEFT(L1311,MIN(FIND({"A","B","C"},MID(L1311,2,LEN(L1311))&amp;"ABC")))</f>
        <v/>
      </c>
      <c r="N1311" s="24" t="str">
        <f t="array" ref="N1311">SUBSTITUTE(L1311,M1311,"")</f>
        <v/>
      </c>
      <c r="X1311" s="258" t="str">
        <f t="shared" si="62"/>
        <v/>
      </c>
      <c r="Y1311" s="36" t="str">
        <f t="shared" si="61"/>
        <v/>
      </c>
      <c r="Z1311" s="340" t="str">
        <f>IF(AND(C1311&gt;0,D1311&lt;&gt;"",S1311=""),VLOOKUP(A1311&amp;IF(H1311="黑丝","黑","白")&amp;E1311,经纬!A:M,13,FALSE)*(I1311-AB1311),"")</f>
        <v/>
      </c>
      <c r="AA1311" s="340" t="str">
        <f>IF(AND(C1311&gt;0,D1311&lt;&gt;"",S1311=""),VLOOKUP(A1311&amp;IF(H1311="黑丝","黑","白")&amp;E1311,经纬!A:N,14,FALSE)*(I1311-AB1311),"")</f>
        <v/>
      </c>
    </row>
    <row r="1312" spans="13:27">
      <c r="M1312" s="24" t="str">
        <f t="array" ref="M1312">LEFT(L1312,MIN(FIND({"A","B","C"},MID(L1312,2,LEN(L1312))&amp;"ABC")))</f>
        <v/>
      </c>
      <c r="N1312" s="24" t="str">
        <f t="array" ref="N1312">SUBSTITUTE(L1312,M1312,"")</f>
        <v/>
      </c>
      <c r="X1312" s="258" t="str">
        <f t="shared" si="62"/>
        <v/>
      </c>
      <c r="Y1312" s="36" t="str">
        <f t="shared" si="61"/>
        <v/>
      </c>
      <c r="Z1312" s="340" t="str">
        <f>IF(AND(C1312&gt;0,D1312&lt;&gt;"",S1312=""),VLOOKUP(A1312&amp;IF(H1312="黑丝","黑","白")&amp;E1312,经纬!A:M,13,FALSE)*(I1312-AB1312),"")</f>
        <v/>
      </c>
      <c r="AA1312" s="340" t="str">
        <f>IF(AND(C1312&gt;0,D1312&lt;&gt;"",S1312=""),VLOOKUP(A1312&amp;IF(H1312="黑丝","黑","白")&amp;E1312,经纬!A:N,14,FALSE)*(I1312-AB1312),"")</f>
        <v/>
      </c>
    </row>
    <row r="1313" spans="13:27">
      <c r="M1313" s="24" t="str">
        <f t="array" ref="M1313">LEFT(L1313,MIN(FIND({"A","B","C"},MID(L1313,2,LEN(L1313))&amp;"ABC")))</f>
        <v/>
      </c>
      <c r="N1313" s="24" t="str">
        <f t="array" ref="N1313">SUBSTITUTE(L1313,M1313,"")</f>
        <v/>
      </c>
      <c r="X1313" s="258" t="str">
        <f t="shared" si="62"/>
        <v/>
      </c>
      <c r="Y1313" s="36" t="str">
        <f t="shared" si="61"/>
        <v/>
      </c>
      <c r="Z1313" s="340" t="str">
        <f>IF(AND(C1313&gt;0,D1313&lt;&gt;"",S1313=""),VLOOKUP(A1313&amp;IF(H1313="黑丝","黑","白")&amp;E1313,经纬!A:M,13,FALSE)*(I1313-AB1313),"")</f>
        <v/>
      </c>
      <c r="AA1313" s="340" t="str">
        <f>IF(AND(C1313&gt;0,D1313&lt;&gt;"",S1313=""),VLOOKUP(A1313&amp;IF(H1313="黑丝","黑","白")&amp;E1313,经纬!A:N,14,FALSE)*(I1313-AB1313),"")</f>
        <v/>
      </c>
    </row>
    <row r="1314" spans="13:27">
      <c r="M1314" s="24" t="str">
        <f t="array" ref="M1314">LEFT(L1314,MIN(FIND({"A","B","C"},MID(L1314,2,LEN(L1314))&amp;"ABC")))</f>
        <v/>
      </c>
      <c r="N1314" s="24" t="str">
        <f t="array" ref="N1314">SUBSTITUTE(L1314,M1314,"")</f>
        <v/>
      </c>
      <c r="X1314" s="258" t="str">
        <f t="shared" si="62"/>
        <v/>
      </c>
      <c r="Y1314" s="36" t="str">
        <f t="shared" si="61"/>
        <v/>
      </c>
      <c r="Z1314" s="340" t="str">
        <f>IF(AND(C1314&gt;0,D1314&lt;&gt;"",S1314=""),VLOOKUP(A1314&amp;IF(H1314="黑丝","黑","白")&amp;E1314,经纬!A:M,13,FALSE)*(I1314-AB1314),"")</f>
        <v/>
      </c>
      <c r="AA1314" s="340" t="str">
        <f>IF(AND(C1314&gt;0,D1314&lt;&gt;"",S1314=""),VLOOKUP(A1314&amp;IF(H1314="黑丝","黑","白")&amp;E1314,经纬!A:N,14,FALSE)*(I1314-AB1314),"")</f>
        <v/>
      </c>
    </row>
    <row r="1315" spans="13:27">
      <c r="M1315" s="24" t="str">
        <f t="array" ref="M1315">LEFT(L1315,MIN(FIND({"A","B","C"},MID(L1315,2,LEN(L1315))&amp;"ABC")))</f>
        <v/>
      </c>
      <c r="N1315" s="24" t="str">
        <f t="array" ref="N1315">SUBSTITUTE(L1315,M1315,"")</f>
        <v/>
      </c>
      <c r="X1315" s="258" t="str">
        <f t="shared" si="62"/>
        <v/>
      </c>
      <c r="Y1315" s="36" t="str">
        <f t="shared" si="61"/>
        <v/>
      </c>
      <c r="Z1315" s="340" t="str">
        <f>IF(AND(C1315&gt;0,D1315&lt;&gt;"",S1315=""),VLOOKUP(A1315&amp;IF(H1315="黑丝","黑","白")&amp;E1315,经纬!A:M,13,FALSE)*(I1315-AB1315),"")</f>
        <v/>
      </c>
      <c r="AA1315" s="340" t="str">
        <f>IF(AND(C1315&gt;0,D1315&lt;&gt;"",S1315=""),VLOOKUP(A1315&amp;IF(H1315="黑丝","黑","白")&amp;E1315,经纬!A:N,14,FALSE)*(I1315-AB1315),"")</f>
        <v/>
      </c>
    </row>
    <row r="1316" spans="13:27">
      <c r="M1316" s="24" t="str">
        <f t="array" ref="M1316">LEFT(L1316,MIN(FIND({"A","B","C"},MID(L1316,2,LEN(L1316))&amp;"ABC")))</f>
        <v/>
      </c>
      <c r="N1316" s="24" t="str">
        <f t="array" ref="N1316">SUBSTITUTE(L1316,M1316,"")</f>
        <v/>
      </c>
      <c r="X1316" s="258" t="str">
        <f t="shared" si="62"/>
        <v/>
      </c>
      <c r="Y1316" s="36" t="str">
        <f t="shared" si="61"/>
        <v/>
      </c>
      <c r="Z1316" s="340" t="str">
        <f>IF(AND(C1316&gt;0,D1316&lt;&gt;"",S1316=""),VLOOKUP(A1316&amp;IF(H1316="黑丝","黑","白")&amp;E1316,经纬!A:M,13,FALSE)*(I1316-AB1316),"")</f>
        <v/>
      </c>
      <c r="AA1316" s="340" t="str">
        <f>IF(AND(C1316&gt;0,D1316&lt;&gt;"",S1316=""),VLOOKUP(A1316&amp;IF(H1316="黑丝","黑","白")&amp;E1316,经纬!A:N,14,FALSE)*(I1316-AB1316),"")</f>
        <v/>
      </c>
    </row>
    <row r="1317" spans="13:27">
      <c r="M1317" s="24" t="str">
        <f t="array" ref="M1317">LEFT(L1317,MIN(FIND({"A","B","C"},MID(L1317,2,LEN(L1317))&amp;"ABC")))</f>
        <v/>
      </c>
      <c r="N1317" s="24" t="str">
        <f t="array" ref="N1317">SUBSTITUTE(L1317,M1317,"")</f>
        <v/>
      </c>
      <c r="X1317" s="258" t="str">
        <f t="shared" si="62"/>
        <v/>
      </c>
      <c r="Y1317" s="36" t="str">
        <f t="shared" si="61"/>
        <v/>
      </c>
      <c r="Z1317" s="340" t="str">
        <f>IF(AND(C1317&gt;0,D1317&lt;&gt;"",S1317=""),VLOOKUP(A1317&amp;IF(H1317="黑丝","黑","白")&amp;E1317,经纬!A:M,13,FALSE)*(I1317-AB1317),"")</f>
        <v/>
      </c>
      <c r="AA1317" s="340" t="str">
        <f>IF(AND(C1317&gt;0,D1317&lt;&gt;"",S1317=""),VLOOKUP(A1317&amp;IF(H1317="黑丝","黑","白")&amp;E1317,经纬!A:N,14,FALSE)*(I1317-AB1317),"")</f>
        <v/>
      </c>
    </row>
    <row r="1318" spans="13:27">
      <c r="M1318" s="24" t="str">
        <f t="array" ref="M1318">LEFT(L1318,MIN(FIND({"A","B","C"},MID(L1318,2,LEN(L1318))&amp;"ABC")))</f>
        <v/>
      </c>
      <c r="N1318" s="24" t="str">
        <f t="array" ref="N1318">SUBSTITUTE(L1318,M1318,"")</f>
        <v/>
      </c>
      <c r="X1318" s="258" t="str">
        <f t="shared" si="62"/>
        <v/>
      </c>
      <c r="Y1318" s="36" t="str">
        <f t="shared" si="61"/>
        <v/>
      </c>
      <c r="Z1318" s="340" t="str">
        <f>IF(AND(C1318&gt;0,D1318&lt;&gt;"",S1318=""),VLOOKUP(A1318&amp;IF(H1318="黑丝","黑","白")&amp;E1318,经纬!A:M,13,FALSE)*(I1318-AB1318),"")</f>
        <v/>
      </c>
      <c r="AA1318" s="340" t="str">
        <f>IF(AND(C1318&gt;0,D1318&lt;&gt;"",S1318=""),VLOOKUP(A1318&amp;IF(H1318="黑丝","黑","白")&amp;E1318,经纬!A:N,14,FALSE)*(I1318-AB1318),"")</f>
        <v/>
      </c>
    </row>
    <row r="1319" spans="13:27">
      <c r="M1319" s="24" t="str">
        <f t="array" ref="M1319">LEFT(L1319,MIN(FIND({"A","B","C"},MID(L1319,2,LEN(L1319))&amp;"ABC")))</f>
        <v/>
      </c>
      <c r="N1319" s="24" t="str">
        <f t="array" ref="N1319">SUBSTITUTE(L1319,M1319,"")</f>
        <v/>
      </c>
      <c r="X1319" s="258" t="str">
        <f t="shared" si="62"/>
        <v/>
      </c>
      <c r="Y1319" s="36" t="str">
        <f t="shared" si="61"/>
        <v/>
      </c>
      <c r="Z1319" s="340" t="str">
        <f>IF(AND(C1319&gt;0,D1319&lt;&gt;"",S1319=""),VLOOKUP(A1319&amp;IF(H1319="黑丝","黑","白")&amp;E1319,经纬!A:M,13,FALSE)*(I1319-AB1319),"")</f>
        <v/>
      </c>
      <c r="AA1319" s="340" t="str">
        <f>IF(AND(C1319&gt;0,D1319&lt;&gt;"",S1319=""),VLOOKUP(A1319&amp;IF(H1319="黑丝","黑","白")&amp;E1319,经纬!A:N,14,FALSE)*(I1319-AB1319),"")</f>
        <v/>
      </c>
    </row>
    <row r="1320" spans="13:27">
      <c r="M1320" s="24" t="str">
        <f t="array" ref="M1320">LEFT(L1320,MIN(FIND({"A","B","C"},MID(L1320,2,LEN(L1320))&amp;"ABC")))</f>
        <v/>
      </c>
      <c r="N1320" s="24" t="str">
        <f t="array" ref="N1320">SUBSTITUTE(L1320,M1320,"")</f>
        <v/>
      </c>
      <c r="X1320" s="258" t="str">
        <f t="shared" si="62"/>
        <v/>
      </c>
      <c r="Y1320" s="36" t="str">
        <f t="shared" si="61"/>
        <v/>
      </c>
      <c r="Z1320" s="340" t="str">
        <f>IF(AND(C1320&gt;0,D1320&lt;&gt;"",S1320=""),VLOOKUP(A1320&amp;IF(H1320="黑丝","黑","白")&amp;E1320,经纬!A:M,13,FALSE)*(I1320-AB1320),"")</f>
        <v/>
      </c>
      <c r="AA1320" s="340" t="str">
        <f>IF(AND(C1320&gt;0,D1320&lt;&gt;"",S1320=""),VLOOKUP(A1320&amp;IF(H1320="黑丝","黑","白")&amp;E1320,经纬!A:N,14,FALSE)*(I1320-AB1320),"")</f>
        <v/>
      </c>
    </row>
    <row r="1321" spans="13:27">
      <c r="M1321" s="24" t="str">
        <f t="array" ref="M1321">LEFT(L1321,MIN(FIND({"A","B","C"},MID(L1321,2,LEN(L1321))&amp;"ABC")))</f>
        <v/>
      </c>
      <c r="N1321" s="24" t="str">
        <f t="array" ref="N1321">SUBSTITUTE(L1321,M1321,"")</f>
        <v/>
      </c>
      <c r="X1321" s="258" t="str">
        <f t="shared" si="62"/>
        <v/>
      </c>
      <c r="Y1321" s="36" t="str">
        <f t="shared" ref="Y1321:Y1384" si="63">IF(OR(B1321="",D1321&lt;&gt;""),"",IF(S1321&lt;&gt;"","",I1321/((1/((G1321+2)/100*K1321/1000))*0.9144)/IF(H1321="黑丝",22,20)-AB1321))</f>
        <v/>
      </c>
      <c r="Z1321" s="340" t="str">
        <f>IF(AND(C1321&gt;0,D1321&lt;&gt;"",S1321=""),VLOOKUP(A1321&amp;IF(H1321="黑丝","黑","白")&amp;E1321,经纬!A:M,13,FALSE)*(I1321-AB1321),"")</f>
        <v/>
      </c>
      <c r="AA1321" s="340" t="str">
        <f>IF(AND(C1321&gt;0,D1321&lt;&gt;"",S1321=""),VLOOKUP(A1321&amp;IF(H1321="黑丝","黑","白")&amp;E1321,经纬!A:N,14,FALSE)*(I1321-AB1321),"")</f>
        <v/>
      </c>
    </row>
    <row r="1322" spans="13:27">
      <c r="M1322" s="24" t="str">
        <f t="array" ref="M1322">LEFT(L1322,MIN(FIND({"A","B","C"},MID(L1322,2,LEN(L1322))&amp;"ABC")))</f>
        <v/>
      </c>
      <c r="N1322" s="24" t="str">
        <f t="array" ref="N1322">SUBSTITUTE(L1322,M1322,"")</f>
        <v/>
      </c>
      <c r="X1322" s="258" t="str">
        <f t="shared" si="62"/>
        <v/>
      </c>
      <c r="Y1322" s="36" t="str">
        <f t="shared" si="63"/>
        <v/>
      </c>
      <c r="Z1322" s="340" t="str">
        <f>IF(AND(C1322&gt;0,D1322&lt;&gt;"",S1322=""),VLOOKUP(A1322&amp;IF(H1322="黑丝","黑","白")&amp;E1322,经纬!A:M,13,FALSE)*(I1322-AB1322),"")</f>
        <v/>
      </c>
      <c r="AA1322" s="340" t="str">
        <f>IF(AND(C1322&gt;0,D1322&lt;&gt;"",S1322=""),VLOOKUP(A1322&amp;IF(H1322="黑丝","黑","白")&amp;E1322,经纬!A:N,14,FALSE)*(I1322-AB1322),"")</f>
        <v/>
      </c>
    </row>
    <row r="1323" spans="13:27">
      <c r="M1323" s="24" t="str">
        <f t="array" ref="M1323">LEFT(L1323,MIN(FIND({"A","B","C"},MID(L1323,2,LEN(L1323))&amp;"ABC")))</f>
        <v/>
      </c>
      <c r="N1323" s="24" t="str">
        <f t="array" ref="N1323">SUBSTITUTE(L1323,M1323,"")</f>
        <v/>
      </c>
      <c r="X1323" s="258" t="str">
        <f t="shared" si="62"/>
        <v/>
      </c>
      <c r="Y1323" s="36" t="str">
        <f t="shared" si="63"/>
        <v/>
      </c>
      <c r="Z1323" s="340" t="str">
        <f>IF(AND(C1323&gt;0,D1323&lt;&gt;"",S1323=""),VLOOKUP(A1323&amp;IF(H1323="黑丝","黑","白")&amp;E1323,经纬!A:M,13,FALSE)*(I1323-AB1323),"")</f>
        <v/>
      </c>
      <c r="AA1323" s="340" t="str">
        <f>IF(AND(C1323&gt;0,D1323&lt;&gt;"",S1323=""),VLOOKUP(A1323&amp;IF(H1323="黑丝","黑","白")&amp;E1323,经纬!A:N,14,FALSE)*(I1323-AB1323),"")</f>
        <v/>
      </c>
    </row>
    <row r="1324" spans="13:27">
      <c r="M1324" s="24" t="str">
        <f t="array" ref="M1324">LEFT(L1324,MIN(FIND({"A","B","C"},MID(L1324,2,LEN(L1324))&amp;"ABC")))</f>
        <v/>
      </c>
      <c r="N1324" s="24" t="str">
        <f t="array" ref="N1324">SUBSTITUTE(L1324,M1324,"")</f>
        <v/>
      </c>
      <c r="X1324" s="258" t="str">
        <f t="shared" si="62"/>
        <v/>
      </c>
      <c r="Y1324" s="36" t="str">
        <f t="shared" si="63"/>
        <v/>
      </c>
      <c r="Z1324" s="340" t="str">
        <f>IF(AND(C1324&gt;0,D1324&lt;&gt;"",S1324=""),VLOOKUP(A1324&amp;IF(H1324="黑丝","黑","白")&amp;E1324,经纬!A:M,13,FALSE)*(I1324-AB1324),"")</f>
        <v/>
      </c>
      <c r="AA1324" s="340" t="str">
        <f>IF(AND(C1324&gt;0,D1324&lt;&gt;"",S1324=""),VLOOKUP(A1324&amp;IF(H1324="黑丝","黑","白")&amp;E1324,经纬!A:N,14,FALSE)*(I1324-AB1324),"")</f>
        <v/>
      </c>
    </row>
    <row r="1325" spans="13:27">
      <c r="M1325" s="24" t="str">
        <f t="array" ref="M1325">LEFT(L1325,MIN(FIND({"A","B","C"},MID(L1325,2,LEN(L1325))&amp;"ABC")))</f>
        <v/>
      </c>
      <c r="N1325" s="24" t="str">
        <f t="array" ref="N1325">SUBSTITUTE(L1325,M1325,"")</f>
        <v/>
      </c>
      <c r="X1325" s="258" t="str">
        <f t="shared" si="62"/>
        <v/>
      </c>
      <c r="Y1325" s="36" t="str">
        <f t="shared" si="63"/>
        <v/>
      </c>
      <c r="Z1325" s="340" t="str">
        <f>IF(AND(C1325&gt;0,D1325&lt;&gt;"",S1325=""),VLOOKUP(A1325&amp;IF(H1325="黑丝","黑","白")&amp;E1325,经纬!A:M,13,FALSE)*(I1325-AB1325),"")</f>
        <v/>
      </c>
      <c r="AA1325" s="340" t="str">
        <f>IF(AND(C1325&gt;0,D1325&lt;&gt;"",S1325=""),VLOOKUP(A1325&amp;IF(H1325="黑丝","黑","白")&amp;E1325,经纬!A:N,14,FALSE)*(I1325-AB1325),"")</f>
        <v/>
      </c>
    </row>
    <row r="1326" spans="13:27">
      <c r="M1326" s="24" t="str">
        <f t="array" ref="M1326">LEFT(L1326,MIN(FIND({"A","B","C"},MID(L1326,2,LEN(L1326))&amp;"ABC")))</f>
        <v/>
      </c>
      <c r="N1326" s="24" t="str">
        <f t="array" ref="N1326">SUBSTITUTE(L1326,M1326,"")</f>
        <v/>
      </c>
      <c r="X1326" s="258" t="str">
        <f t="shared" si="62"/>
        <v/>
      </c>
      <c r="Y1326" s="36" t="str">
        <f t="shared" si="63"/>
        <v/>
      </c>
      <c r="Z1326" s="340" t="str">
        <f>IF(AND(C1326&gt;0,D1326&lt;&gt;"",S1326=""),VLOOKUP(A1326&amp;IF(H1326="黑丝","黑","白")&amp;E1326,经纬!A:M,13,FALSE)*(I1326-AB1326),"")</f>
        <v/>
      </c>
      <c r="AA1326" s="340" t="str">
        <f>IF(AND(C1326&gt;0,D1326&lt;&gt;"",S1326=""),VLOOKUP(A1326&amp;IF(H1326="黑丝","黑","白")&amp;E1326,经纬!A:N,14,FALSE)*(I1326-AB1326),"")</f>
        <v/>
      </c>
    </row>
    <row r="1327" spans="13:27">
      <c r="M1327" s="24" t="str">
        <f t="array" ref="M1327">LEFT(L1327,MIN(FIND({"A","B","C"},MID(L1327,2,LEN(L1327))&amp;"ABC")))</f>
        <v/>
      </c>
      <c r="N1327" s="24" t="str">
        <f t="array" ref="N1327">SUBSTITUTE(L1327,M1327,"")</f>
        <v/>
      </c>
      <c r="X1327" s="258" t="str">
        <f t="shared" si="62"/>
        <v/>
      </c>
      <c r="Y1327" s="36" t="str">
        <f t="shared" si="63"/>
        <v/>
      </c>
      <c r="Z1327" s="340" t="str">
        <f>IF(AND(C1327&gt;0,D1327&lt;&gt;"",S1327=""),VLOOKUP(A1327&amp;IF(H1327="黑丝","黑","白")&amp;E1327,经纬!A:M,13,FALSE)*(I1327-AB1327),"")</f>
        <v/>
      </c>
      <c r="AA1327" s="340" t="str">
        <f>IF(AND(C1327&gt;0,D1327&lt;&gt;"",S1327=""),VLOOKUP(A1327&amp;IF(H1327="黑丝","黑","白")&amp;E1327,经纬!A:N,14,FALSE)*(I1327-AB1327),"")</f>
        <v/>
      </c>
    </row>
    <row r="1328" spans="13:27">
      <c r="M1328" s="24" t="str">
        <f t="array" ref="M1328">LEFT(L1328,MIN(FIND({"A","B","C"},MID(L1328,2,LEN(L1328))&amp;"ABC")))</f>
        <v/>
      </c>
      <c r="N1328" s="24" t="str">
        <f t="array" ref="N1328">SUBSTITUTE(L1328,M1328,"")</f>
        <v/>
      </c>
      <c r="X1328" s="258" t="str">
        <f t="shared" si="62"/>
        <v/>
      </c>
      <c r="Y1328" s="36" t="str">
        <f t="shared" si="63"/>
        <v/>
      </c>
      <c r="Z1328" s="340" t="str">
        <f>IF(AND(C1328&gt;0,D1328&lt;&gt;"",S1328=""),VLOOKUP(A1328&amp;IF(H1328="黑丝","黑","白")&amp;E1328,经纬!A:M,13,FALSE)*(I1328-AB1328),"")</f>
        <v/>
      </c>
      <c r="AA1328" s="340" t="str">
        <f>IF(AND(C1328&gt;0,D1328&lt;&gt;"",S1328=""),VLOOKUP(A1328&amp;IF(H1328="黑丝","黑","白")&amp;E1328,经纬!A:N,14,FALSE)*(I1328-AB1328),"")</f>
        <v/>
      </c>
    </row>
    <row r="1329" spans="13:27">
      <c r="M1329" s="24" t="str">
        <f t="array" ref="M1329">LEFT(L1329,MIN(FIND({"A","B","C"},MID(L1329,2,LEN(L1329))&amp;"ABC")))</f>
        <v/>
      </c>
      <c r="N1329" s="24" t="str">
        <f t="array" ref="N1329">SUBSTITUTE(L1329,M1329,"")</f>
        <v/>
      </c>
      <c r="X1329" s="258" t="str">
        <f t="shared" si="62"/>
        <v/>
      </c>
      <c r="Y1329" s="36" t="str">
        <f t="shared" si="63"/>
        <v/>
      </c>
      <c r="Z1329" s="340" t="str">
        <f>IF(AND(C1329&gt;0,D1329&lt;&gt;"",S1329=""),VLOOKUP(A1329&amp;IF(H1329="黑丝","黑","白")&amp;E1329,经纬!A:M,13,FALSE)*(I1329-AB1329),"")</f>
        <v/>
      </c>
      <c r="AA1329" s="340" t="str">
        <f>IF(AND(C1329&gt;0,D1329&lt;&gt;"",S1329=""),VLOOKUP(A1329&amp;IF(H1329="黑丝","黑","白")&amp;E1329,经纬!A:N,14,FALSE)*(I1329-AB1329),"")</f>
        <v/>
      </c>
    </row>
    <row r="1330" spans="13:27">
      <c r="M1330" s="24" t="str">
        <f t="array" ref="M1330">LEFT(L1330,MIN(FIND({"A","B","C"},MID(L1330,2,LEN(L1330))&amp;"ABC")))</f>
        <v/>
      </c>
      <c r="N1330" s="24" t="str">
        <f t="array" ref="N1330">SUBSTITUTE(L1330,M1330,"")</f>
        <v/>
      </c>
      <c r="X1330" s="258" t="str">
        <f t="shared" si="62"/>
        <v/>
      </c>
      <c r="Y1330" s="36" t="str">
        <f t="shared" si="63"/>
        <v/>
      </c>
      <c r="Z1330" s="340" t="str">
        <f>IF(AND(C1330&gt;0,D1330&lt;&gt;"",S1330=""),VLOOKUP(A1330&amp;IF(H1330="黑丝","黑","白")&amp;E1330,经纬!A:M,13,FALSE)*(I1330-AB1330),"")</f>
        <v/>
      </c>
      <c r="AA1330" s="340" t="str">
        <f>IF(AND(C1330&gt;0,D1330&lt;&gt;"",S1330=""),VLOOKUP(A1330&amp;IF(H1330="黑丝","黑","白")&amp;E1330,经纬!A:N,14,FALSE)*(I1330-AB1330),"")</f>
        <v/>
      </c>
    </row>
    <row r="1331" spans="13:27">
      <c r="M1331" s="24" t="str">
        <f t="array" ref="M1331">LEFT(L1331,MIN(FIND({"A","B","C"},MID(L1331,2,LEN(L1331))&amp;"ABC")))</f>
        <v/>
      </c>
      <c r="N1331" s="24" t="str">
        <f t="array" ref="N1331">SUBSTITUTE(L1331,M1331,"")</f>
        <v/>
      </c>
      <c r="X1331" s="258" t="str">
        <f t="shared" si="62"/>
        <v/>
      </c>
      <c r="Y1331" s="36" t="str">
        <f t="shared" si="63"/>
        <v/>
      </c>
      <c r="Z1331" s="340" t="str">
        <f>IF(AND(C1331&gt;0,D1331&lt;&gt;"",S1331=""),VLOOKUP(A1331&amp;IF(H1331="黑丝","黑","白")&amp;E1331,经纬!A:M,13,FALSE)*(I1331-AB1331),"")</f>
        <v/>
      </c>
      <c r="AA1331" s="340" t="str">
        <f>IF(AND(C1331&gt;0,D1331&lt;&gt;"",S1331=""),VLOOKUP(A1331&amp;IF(H1331="黑丝","黑","白")&amp;E1331,经纬!A:N,14,FALSE)*(I1331-AB1331),"")</f>
        <v/>
      </c>
    </row>
    <row r="1332" spans="13:27">
      <c r="M1332" s="24" t="str">
        <f t="array" ref="M1332">LEFT(L1332,MIN(FIND({"A","B","C"},MID(L1332,2,LEN(L1332))&amp;"ABC")))</f>
        <v/>
      </c>
      <c r="N1332" s="24" t="str">
        <f t="array" ref="N1332">SUBSTITUTE(L1332,M1332,"")</f>
        <v/>
      </c>
      <c r="X1332" s="258" t="str">
        <f t="shared" si="62"/>
        <v/>
      </c>
      <c r="Y1332" s="36" t="str">
        <f t="shared" si="63"/>
        <v/>
      </c>
      <c r="Z1332" s="340" t="str">
        <f>IF(AND(C1332&gt;0,D1332&lt;&gt;"",S1332=""),VLOOKUP(A1332&amp;IF(H1332="黑丝","黑","白")&amp;E1332,经纬!A:M,13,FALSE)*(I1332-AB1332),"")</f>
        <v/>
      </c>
      <c r="AA1332" s="340" t="str">
        <f>IF(AND(C1332&gt;0,D1332&lt;&gt;"",S1332=""),VLOOKUP(A1332&amp;IF(H1332="黑丝","黑","白")&amp;E1332,经纬!A:N,14,FALSE)*(I1332-AB1332),"")</f>
        <v/>
      </c>
    </row>
    <row r="1333" spans="13:27">
      <c r="M1333" s="24" t="str">
        <f t="array" ref="M1333">LEFT(L1333,MIN(FIND({"A","B","C"},MID(L1333,2,LEN(L1333))&amp;"ABC")))</f>
        <v/>
      </c>
      <c r="N1333" s="24" t="str">
        <f t="array" ref="N1333">SUBSTITUTE(L1333,M1333,"")</f>
        <v/>
      </c>
      <c r="X1333" s="258" t="str">
        <f t="shared" si="62"/>
        <v/>
      </c>
      <c r="Y1333" s="36" t="str">
        <f t="shared" si="63"/>
        <v/>
      </c>
      <c r="Z1333" s="340" t="str">
        <f>IF(AND(C1333&gt;0,D1333&lt;&gt;"",S1333=""),VLOOKUP(A1333&amp;IF(H1333="黑丝","黑","白")&amp;E1333,经纬!A:M,13,FALSE)*(I1333-AB1333),"")</f>
        <v/>
      </c>
      <c r="AA1333" s="340" t="str">
        <f>IF(AND(C1333&gt;0,D1333&lt;&gt;"",S1333=""),VLOOKUP(A1333&amp;IF(H1333="黑丝","黑","白")&amp;E1333,经纬!A:N,14,FALSE)*(I1333-AB1333),"")</f>
        <v/>
      </c>
    </row>
    <row r="1334" spans="13:27">
      <c r="M1334" s="24" t="str">
        <f t="array" ref="M1334">LEFT(L1334,MIN(FIND({"A","B","C"},MID(L1334,2,LEN(L1334))&amp;"ABC")))</f>
        <v/>
      </c>
      <c r="N1334" s="24" t="str">
        <f t="array" ref="N1334">SUBSTITUTE(L1334,M1334,"")</f>
        <v/>
      </c>
      <c r="X1334" s="258" t="str">
        <f t="shared" si="62"/>
        <v/>
      </c>
      <c r="Y1334" s="36" t="str">
        <f t="shared" si="63"/>
        <v/>
      </c>
      <c r="Z1334" s="340" t="str">
        <f>IF(AND(C1334&gt;0,D1334&lt;&gt;"",S1334=""),VLOOKUP(A1334&amp;IF(H1334="黑丝","黑","白")&amp;E1334,经纬!A:M,13,FALSE)*(I1334-AB1334),"")</f>
        <v/>
      </c>
      <c r="AA1334" s="340" t="str">
        <f>IF(AND(C1334&gt;0,D1334&lt;&gt;"",S1334=""),VLOOKUP(A1334&amp;IF(H1334="黑丝","黑","白")&amp;E1334,经纬!A:N,14,FALSE)*(I1334-AB1334),"")</f>
        <v/>
      </c>
    </row>
    <row r="1335" spans="13:27">
      <c r="M1335" s="24" t="str">
        <f t="array" ref="M1335">LEFT(L1335,MIN(FIND({"A","B","C"},MID(L1335,2,LEN(L1335))&amp;"ABC")))</f>
        <v/>
      </c>
      <c r="N1335" s="24" t="str">
        <f t="array" ref="N1335">SUBSTITUTE(L1335,M1335,"")</f>
        <v/>
      </c>
      <c r="X1335" s="258" t="str">
        <f t="shared" si="62"/>
        <v/>
      </c>
      <c r="Y1335" s="36" t="str">
        <f t="shared" si="63"/>
        <v/>
      </c>
      <c r="Z1335" s="340" t="str">
        <f>IF(AND(C1335&gt;0,D1335&lt;&gt;"",S1335=""),VLOOKUP(A1335&amp;IF(H1335="黑丝","黑","白")&amp;E1335,经纬!A:M,13,FALSE)*(I1335-AB1335),"")</f>
        <v/>
      </c>
      <c r="AA1335" s="340" t="str">
        <f>IF(AND(C1335&gt;0,D1335&lt;&gt;"",S1335=""),VLOOKUP(A1335&amp;IF(H1335="黑丝","黑","白")&amp;E1335,经纬!A:N,14,FALSE)*(I1335-AB1335),"")</f>
        <v/>
      </c>
    </row>
    <row r="1336" spans="13:27">
      <c r="M1336" s="24" t="str">
        <f t="array" ref="M1336">LEFT(L1336,MIN(FIND({"A","B","C"},MID(L1336,2,LEN(L1336))&amp;"ABC")))</f>
        <v/>
      </c>
      <c r="N1336" s="24" t="str">
        <f t="array" ref="N1336">SUBSTITUTE(L1336,M1336,"")</f>
        <v/>
      </c>
      <c r="X1336" s="258" t="str">
        <f t="shared" si="62"/>
        <v/>
      </c>
      <c r="Y1336" s="36" t="str">
        <f t="shared" si="63"/>
        <v/>
      </c>
      <c r="Z1336" s="340" t="str">
        <f>IF(AND(C1336&gt;0,D1336&lt;&gt;"",S1336=""),VLOOKUP(A1336&amp;IF(H1336="黑丝","黑","白")&amp;E1336,经纬!A:M,13,FALSE)*(I1336-AB1336),"")</f>
        <v/>
      </c>
      <c r="AA1336" s="340" t="str">
        <f>IF(AND(C1336&gt;0,D1336&lt;&gt;"",S1336=""),VLOOKUP(A1336&amp;IF(H1336="黑丝","黑","白")&amp;E1336,经纬!A:N,14,FALSE)*(I1336-AB1336),"")</f>
        <v/>
      </c>
    </row>
    <row r="1337" spans="13:27">
      <c r="M1337" s="24" t="str">
        <f t="array" ref="M1337">LEFT(L1337,MIN(FIND({"A","B","C"},MID(L1337,2,LEN(L1337))&amp;"ABC")))</f>
        <v/>
      </c>
      <c r="N1337" s="24" t="str">
        <f t="array" ref="N1337">SUBSTITUTE(L1337,M1337,"")</f>
        <v/>
      </c>
      <c r="X1337" s="258" t="str">
        <f t="shared" si="62"/>
        <v/>
      </c>
      <c r="Y1337" s="36" t="str">
        <f t="shared" si="63"/>
        <v/>
      </c>
      <c r="Z1337" s="340" t="str">
        <f>IF(AND(C1337&gt;0,D1337&lt;&gt;"",S1337=""),VLOOKUP(A1337&amp;IF(H1337="黑丝","黑","白")&amp;E1337,经纬!A:M,13,FALSE)*(I1337-AB1337),"")</f>
        <v/>
      </c>
      <c r="AA1337" s="340" t="str">
        <f>IF(AND(C1337&gt;0,D1337&lt;&gt;"",S1337=""),VLOOKUP(A1337&amp;IF(H1337="黑丝","黑","白")&amp;E1337,经纬!A:N,14,FALSE)*(I1337-AB1337),"")</f>
        <v/>
      </c>
    </row>
    <row r="1338" spans="13:27">
      <c r="M1338" s="24" t="str">
        <f t="array" ref="M1338">LEFT(L1338,MIN(FIND({"A","B","C"},MID(L1338,2,LEN(L1338))&amp;"ABC")))</f>
        <v/>
      </c>
      <c r="N1338" s="24" t="str">
        <f t="array" ref="N1338">SUBSTITUTE(L1338,M1338,"")</f>
        <v/>
      </c>
      <c r="X1338" s="258" t="str">
        <f t="shared" si="62"/>
        <v/>
      </c>
      <c r="Y1338" s="36" t="str">
        <f t="shared" si="63"/>
        <v/>
      </c>
      <c r="Z1338" s="340" t="str">
        <f>IF(AND(C1338&gt;0,D1338&lt;&gt;"",S1338=""),VLOOKUP(A1338&amp;IF(H1338="黑丝","黑","白")&amp;E1338,经纬!A:M,13,FALSE)*(I1338-AB1338),"")</f>
        <v/>
      </c>
      <c r="AA1338" s="340" t="str">
        <f>IF(AND(C1338&gt;0,D1338&lt;&gt;"",S1338=""),VLOOKUP(A1338&amp;IF(H1338="黑丝","黑","白")&amp;E1338,经纬!A:N,14,FALSE)*(I1338-AB1338),"")</f>
        <v/>
      </c>
    </row>
    <row r="1339" spans="13:27">
      <c r="M1339" s="24" t="str">
        <f t="array" ref="M1339">LEFT(L1339,MIN(FIND({"A","B","C"},MID(L1339,2,LEN(L1339))&amp;"ABC")))</f>
        <v/>
      </c>
      <c r="N1339" s="24" t="str">
        <f t="array" ref="N1339">SUBSTITUTE(L1339,M1339,"")</f>
        <v/>
      </c>
      <c r="X1339" s="258" t="str">
        <f t="shared" si="62"/>
        <v/>
      </c>
      <c r="Y1339" s="36" t="str">
        <f t="shared" si="63"/>
        <v/>
      </c>
      <c r="Z1339" s="340" t="str">
        <f>IF(AND(C1339&gt;0,D1339&lt;&gt;"",S1339=""),VLOOKUP(A1339&amp;IF(H1339="黑丝","黑","白")&amp;E1339,经纬!A:M,13,FALSE)*(I1339-AB1339),"")</f>
        <v/>
      </c>
      <c r="AA1339" s="340" t="str">
        <f>IF(AND(C1339&gt;0,D1339&lt;&gt;"",S1339=""),VLOOKUP(A1339&amp;IF(H1339="黑丝","黑","白")&amp;E1339,经纬!A:N,14,FALSE)*(I1339-AB1339),"")</f>
        <v/>
      </c>
    </row>
    <row r="1340" spans="13:27">
      <c r="M1340" s="24" t="str">
        <f t="array" ref="M1340">LEFT(L1340,MIN(FIND({"A","B","C"},MID(L1340,2,LEN(L1340))&amp;"ABC")))</f>
        <v/>
      </c>
      <c r="N1340" s="24" t="str">
        <f t="array" ref="N1340">SUBSTITUTE(L1340,M1340,"")</f>
        <v/>
      </c>
      <c r="X1340" s="258" t="str">
        <f t="shared" si="62"/>
        <v/>
      </c>
      <c r="Y1340" s="36" t="str">
        <f t="shared" si="63"/>
        <v/>
      </c>
      <c r="Z1340" s="340" t="str">
        <f>IF(AND(C1340&gt;0,D1340&lt;&gt;"",S1340=""),VLOOKUP(A1340&amp;IF(H1340="黑丝","黑","白")&amp;E1340,经纬!A:M,13,FALSE)*(I1340-AB1340),"")</f>
        <v/>
      </c>
      <c r="AA1340" s="340" t="str">
        <f>IF(AND(C1340&gt;0,D1340&lt;&gt;"",S1340=""),VLOOKUP(A1340&amp;IF(H1340="黑丝","黑","白")&amp;E1340,经纬!A:N,14,FALSE)*(I1340-AB1340),"")</f>
        <v/>
      </c>
    </row>
    <row r="1341" spans="13:27">
      <c r="M1341" s="24" t="str">
        <f t="array" ref="M1341">LEFT(L1341,MIN(FIND({"A","B","C"},MID(L1341,2,LEN(L1341))&amp;"ABC")))</f>
        <v/>
      </c>
      <c r="N1341" s="24" t="str">
        <f t="array" ref="N1341">SUBSTITUTE(L1341,M1341,"")</f>
        <v/>
      </c>
      <c r="X1341" s="258" t="str">
        <f t="shared" si="62"/>
        <v/>
      </c>
      <c r="Y1341" s="36" t="str">
        <f t="shared" si="63"/>
        <v/>
      </c>
      <c r="Z1341" s="340" t="str">
        <f>IF(AND(C1341&gt;0,D1341&lt;&gt;"",S1341=""),VLOOKUP(A1341&amp;IF(H1341="黑丝","黑","白")&amp;E1341,经纬!A:M,13,FALSE)*(I1341-AB1341),"")</f>
        <v/>
      </c>
      <c r="AA1341" s="340" t="str">
        <f>IF(AND(C1341&gt;0,D1341&lt;&gt;"",S1341=""),VLOOKUP(A1341&amp;IF(H1341="黑丝","黑","白")&amp;E1341,经纬!A:N,14,FALSE)*(I1341-AB1341),"")</f>
        <v/>
      </c>
    </row>
    <row r="1342" spans="13:27">
      <c r="M1342" s="24" t="str">
        <f t="array" ref="M1342">LEFT(L1342,MIN(FIND({"A","B","C"},MID(L1342,2,LEN(L1342))&amp;"ABC")))</f>
        <v/>
      </c>
      <c r="N1342" s="24" t="str">
        <f t="array" ref="N1342">SUBSTITUTE(L1342,M1342,"")</f>
        <v/>
      </c>
      <c r="X1342" s="258" t="str">
        <f t="shared" si="62"/>
        <v/>
      </c>
      <c r="Y1342" s="36" t="str">
        <f t="shared" si="63"/>
        <v/>
      </c>
      <c r="Z1342" s="340" t="str">
        <f>IF(AND(C1342&gt;0,D1342&lt;&gt;"",S1342=""),VLOOKUP(A1342&amp;IF(H1342="黑丝","黑","白")&amp;E1342,经纬!A:M,13,FALSE)*(I1342-AB1342),"")</f>
        <v/>
      </c>
      <c r="AA1342" s="340" t="str">
        <f>IF(AND(C1342&gt;0,D1342&lt;&gt;"",S1342=""),VLOOKUP(A1342&amp;IF(H1342="黑丝","黑","白")&amp;E1342,经纬!A:N,14,FALSE)*(I1342-AB1342),"")</f>
        <v/>
      </c>
    </row>
    <row r="1343" spans="13:27">
      <c r="M1343" s="24" t="str">
        <f t="array" ref="M1343">LEFT(L1343,MIN(FIND({"A","B","C"},MID(L1343,2,LEN(L1343))&amp;"ABC")))</f>
        <v/>
      </c>
      <c r="N1343" s="24" t="str">
        <f t="array" ref="N1343">SUBSTITUTE(L1343,M1343,"")</f>
        <v/>
      </c>
      <c r="X1343" s="258" t="str">
        <f t="shared" si="62"/>
        <v/>
      </c>
      <c r="Y1343" s="36" t="str">
        <f t="shared" si="63"/>
        <v/>
      </c>
      <c r="Z1343" s="340" t="str">
        <f>IF(AND(C1343&gt;0,D1343&lt;&gt;"",S1343=""),VLOOKUP(A1343&amp;IF(H1343="黑丝","黑","白")&amp;E1343,经纬!A:M,13,FALSE)*(I1343-AB1343),"")</f>
        <v/>
      </c>
      <c r="AA1343" s="340" t="str">
        <f>IF(AND(C1343&gt;0,D1343&lt;&gt;"",S1343=""),VLOOKUP(A1343&amp;IF(H1343="黑丝","黑","白")&amp;E1343,经纬!A:N,14,FALSE)*(I1343-AB1343),"")</f>
        <v/>
      </c>
    </row>
    <row r="1344" spans="13:27">
      <c r="M1344" s="24" t="str">
        <f t="array" ref="M1344">LEFT(L1344,MIN(FIND({"A","B","C"},MID(L1344,2,LEN(L1344))&amp;"ABC")))</f>
        <v/>
      </c>
      <c r="N1344" s="24" t="str">
        <f t="array" ref="N1344">SUBSTITUTE(L1344,M1344,"")</f>
        <v/>
      </c>
      <c r="X1344" s="258" t="str">
        <f t="shared" si="62"/>
        <v/>
      </c>
      <c r="Y1344" s="36" t="str">
        <f t="shared" si="63"/>
        <v/>
      </c>
      <c r="Z1344" s="340" t="str">
        <f>IF(AND(C1344&gt;0,D1344&lt;&gt;"",S1344=""),VLOOKUP(A1344&amp;IF(H1344="黑丝","黑","白")&amp;E1344,经纬!A:M,13,FALSE)*(I1344-AB1344),"")</f>
        <v/>
      </c>
      <c r="AA1344" s="340" t="str">
        <f>IF(AND(C1344&gt;0,D1344&lt;&gt;"",S1344=""),VLOOKUP(A1344&amp;IF(H1344="黑丝","黑","白")&amp;E1344,经纬!A:N,14,FALSE)*(I1344-AB1344),"")</f>
        <v/>
      </c>
    </row>
    <row r="1345" spans="13:27">
      <c r="M1345" s="24" t="str">
        <f t="array" ref="M1345">LEFT(L1345,MIN(FIND({"A","B","C"},MID(L1345,2,LEN(L1345))&amp;"ABC")))</f>
        <v/>
      </c>
      <c r="N1345" s="24" t="str">
        <f t="array" ref="N1345">SUBSTITUTE(L1345,M1345,"")</f>
        <v/>
      </c>
      <c r="X1345" s="258" t="str">
        <f t="shared" si="62"/>
        <v/>
      </c>
      <c r="Y1345" s="36" t="str">
        <f t="shared" si="63"/>
        <v/>
      </c>
      <c r="Z1345" s="340" t="str">
        <f>IF(AND(C1345&gt;0,D1345&lt;&gt;"",S1345=""),VLOOKUP(A1345&amp;IF(H1345="黑丝","黑","白")&amp;E1345,经纬!A:M,13,FALSE)*(I1345-AB1345),"")</f>
        <v/>
      </c>
      <c r="AA1345" s="340" t="str">
        <f>IF(AND(C1345&gt;0,D1345&lt;&gt;"",S1345=""),VLOOKUP(A1345&amp;IF(H1345="黑丝","黑","白")&amp;E1345,经纬!A:N,14,FALSE)*(I1345-AB1345),"")</f>
        <v/>
      </c>
    </row>
    <row r="1346" spans="13:27">
      <c r="M1346" s="24" t="str">
        <f t="array" ref="M1346">LEFT(L1346,MIN(FIND({"A","B","C"},MID(L1346,2,LEN(L1346))&amp;"ABC")))</f>
        <v/>
      </c>
      <c r="N1346" s="24" t="str">
        <f t="array" ref="N1346">SUBSTITUTE(L1346,M1346,"")</f>
        <v/>
      </c>
      <c r="X1346" s="258" t="str">
        <f t="shared" si="62"/>
        <v/>
      </c>
      <c r="Y1346" s="36" t="str">
        <f t="shared" si="63"/>
        <v/>
      </c>
      <c r="Z1346" s="340" t="str">
        <f>IF(AND(C1346&gt;0,D1346&lt;&gt;"",S1346=""),VLOOKUP(A1346&amp;IF(H1346="黑丝","黑","白")&amp;E1346,经纬!A:M,13,FALSE)*(I1346-AB1346),"")</f>
        <v/>
      </c>
      <c r="AA1346" s="340" t="str">
        <f>IF(AND(C1346&gt;0,D1346&lt;&gt;"",S1346=""),VLOOKUP(A1346&amp;IF(H1346="黑丝","黑","白")&amp;E1346,经纬!A:N,14,FALSE)*(I1346-AB1346),"")</f>
        <v/>
      </c>
    </row>
    <row r="1347" spans="13:27">
      <c r="M1347" s="24" t="str">
        <f t="array" ref="M1347">LEFT(L1347,MIN(FIND({"A","B","C"},MID(L1347,2,LEN(L1347))&amp;"ABC")))</f>
        <v/>
      </c>
      <c r="N1347" s="24" t="str">
        <f t="array" ref="N1347">SUBSTITUTE(L1347,M1347,"")</f>
        <v/>
      </c>
      <c r="X1347" s="258" t="str">
        <f t="shared" si="62"/>
        <v/>
      </c>
      <c r="Y1347" s="36" t="str">
        <f t="shared" si="63"/>
        <v/>
      </c>
      <c r="Z1347" s="340" t="str">
        <f>IF(AND(C1347&gt;0,D1347&lt;&gt;"",S1347=""),VLOOKUP(A1347&amp;IF(H1347="黑丝","黑","白")&amp;E1347,经纬!A:M,13,FALSE)*(I1347-AB1347),"")</f>
        <v/>
      </c>
      <c r="AA1347" s="340" t="str">
        <f>IF(AND(C1347&gt;0,D1347&lt;&gt;"",S1347=""),VLOOKUP(A1347&amp;IF(H1347="黑丝","黑","白")&amp;E1347,经纬!A:N,14,FALSE)*(I1347-AB1347),"")</f>
        <v/>
      </c>
    </row>
    <row r="1348" spans="13:27">
      <c r="M1348" s="24" t="str">
        <f t="array" ref="M1348">LEFT(L1348,MIN(FIND({"A","B","C"},MID(L1348,2,LEN(L1348))&amp;"ABC")))</f>
        <v/>
      </c>
      <c r="N1348" s="24" t="str">
        <f t="array" ref="N1348">SUBSTITUTE(L1348,M1348,"")</f>
        <v/>
      </c>
      <c r="X1348" s="258" t="str">
        <f t="shared" si="62"/>
        <v/>
      </c>
      <c r="Y1348" s="36" t="str">
        <f t="shared" si="63"/>
        <v/>
      </c>
      <c r="Z1348" s="340" t="str">
        <f>IF(AND(C1348&gt;0,D1348&lt;&gt;"",S1348=""),VLOOKUP(A1348&amp;IF(H1348="黑丝","黑","白")&amp;E1348,经纬!A:M,13,FALSE)*(I1348-AB1348),"")</f>
        <v/>
      </c>
      <c r="AA1348" s="340" t="str">
        <f>IF(AND(C1348&gt;0,D1348&lt;&gt;"",S1348=""),VLOOKUP(A1348&amp;IF(H1348="黑丝","黑","白")&amp;E1348,经纬!A:N,14,FALSE)*(I1348-AB1348),"")</f>
        <v/>
      </c>
    </row>
    <row r="1349" spans="13:27">
      <c r="M1349" s="24" t="str">
        <f t="array" ref="M1349">LEFT(L1349,MIN(FIND({"A","B","C"},MID(L1349,2,LEN(L1349))&amp;"ABC")))</f>
        <v/>
      </c>
      <c r="N1349" s="24" t="str">
        <f t="array" ref="N1349">SUBSTITUTE(L1349,M1349,"")</f>
        <v/>
      </c>
      <c r="X1349" s="258" t="str">
        <f t="shared" si="62"/>
        <v/>
      </c>
      <c r="Y1349" s="36" t="str">
        <f t="shared" si="63"/>
        <v/>
      </c>
      <c r="Z1349" s="340" t="str">
        <f>IF(AND(C1349&gt;0,D1349&lt;&gt;"",S1349=""),VLOOKUP(A1349&amp;IF(H1349="黑丝","黑","白")&amp;E1349,经纬!A:M,13,FALSE)*(I1349-AB1349),"")</f>
        <v/>
      </c>
      <c r="AA1349" s="340" t="str">
        <f>IF(AND(C1349&gt;0,D1349&lt;&gt;"",S1349=""),VLOOKUP(A1349&amp;IF(H1349="黑丝","黑","白")&amp;E1349,经纬!A:N,14,FALSE)*(I1349-AB1349),"")</f>
        <v/>
      </c>
    </row>
    <row r="1350" spans="13:27">
      <c r="M1350" s="24" t="str">
        <f t="array" ref="M1350">LEFT(L1350,MIN(FIND({"A","B","C"},MID(L1350,2,LEN(L1350))&amp;"ABC")))</f>
        <v/>
      </c>
      <c r="N1350" s="24" t="str">
        <f t="array" ref="N1350">SUBSTITUTE(L1350,M1350,"")</f>
        <v/>
      </c>
      <c r="X1350" s="258" t="str">
        <f t="shared" si="62"/>
        <v/>
      </c>
      <c r="Y1350" s="36" t="str">
        <f t="shared" si="63"/>
        <v/>
      </c>
      <c r="Z1350" s="340" t="str">
        <f>IF(AND(C1350&gt;0,D1350&lt;&gt;"",S1350=""),VLOOKUP(A1350&amp;IF(H1350="黑丝","黑","白")&amp;E1350,经纬!A:M,13,FALSE)*(I1350-AB1350),"")</f>
        <v/>
      </c>
      <c r="AA1350" s="340" t="str">
        <f>IF(AND(C1350&gt;0,D1350&lt;&gt;"",S1350=""),VLOOKUP(A1350&amp;IF(H1350="黑丝","黑","白")&amp;E1350,经纬!A:N,14,FALSE)*(I1350-AB1350),"")</f>
        <v/>
      </c>
    </row>
    <row r="1351" spans="13:27">
      <c r="M1351" s="24" t="str">
        <f t="array" ref="M1351">LEFT(L1351,MIN(FIND({"A","B","C"},MID(L1351,2,LEN(L1351))&amp;"ABC")))</f>
        <v/>
      </c>
      <c r="N1351" s="24" t="str">
        <f t="array" ref="N1351">SUBSTITUTE(L1351,M1351,"")</f>
        <v/>
      </c>
      <c r="X1351" s="258" t="str">
        <f t="shared" si="62"/>
        <v/>
      </c>
      <c r="Y1351" s="36" t="str">
        <f t="shared" si="63"/>
        <v/>
      </c>
      <c r="Z1351" s="340" t="str">
        <f>IF(AND(C1351&gt;0,D1351&lt;&gt;"",S1351=""),VLOOKUP(A1351&amp;IF(H1351="黑丝","黑","白")&amp;E1351,经纬!A:M,13,FALSE)*(I1351-AB1351),"")</f>
        <v/>
      </c>
      <c r="AA1351" s="340" t="str">
        <f>IF(AND(C1351&gt;0,D1351&lt;&gt;"",S1351=""),VLOOKUP(A1351&amp;IF(H1351="黑丝","黑","白")&amp;E1351,经纬!A:N,14,FALSE)*(I1351-AB1351),"")</f>
        <v/>
      </c>
    </row>
    <row r="1352" spans="13:27">
      <c r="M1352" s="24" t="str">
        <f t="array" ref="M1352">LEFT(L1352,MIN(FIND({"A","B","C"},MID(L1352,2,LEN(L1352))&amp;"ABC")))</f>
        <v/>
      </c>
      <c r="N1352" s="24" t="str">
        <f t="array" ref="N1352">SUBSTITUTE(L1352,M1352,"")</f>
        <v/>
      </c>
      <c r="X1352" s="258" t="str">
        <f t="shared" si="62"/>
        <v/>
      </c>
      <c r="Y1352" s="36" t="str">
        <f t="shared" si="63"/>
        <v/>
      </c>
      <c r="Z1352" s="340" t="str">
        <f>IF(AND(C1352&gt;0,D1352&lt;&gt;"",S1352=""),VLOOKUP(A1352&amp;IF(H1352="黑丝","黑","白")&amp;E1352,经纬!A:M,13,FALSE)*(I1352-AB1352),"")</f>
        <v/>
      </c>
      <c r="AA1352" s="340" t="str">
        <f>IF(AND(C1352&gt;0,D1352&lt;&gt;"",S1352=""),VLOOKUP(A1352&amp;IF(H1352="黑丝","黑","白")&amp;E1352,经纬!A:N,14,FALSE)*(I1352-AB1352),"")</f>
        <v/>
      </c>
    </row>
    <row r="1353" spans="13:27">
      <c r="M1353" s="24" t="str">
        <f t="array" ref="M1353">LEFT(L1353,MIN(FIND({"A","B","C"},MID(L1353,2,LEN(L1353))&amp;"ABC")))</f>
        <v/>
      </c>
      <c r="N1353" s="24" t="str">
        <f t="array" ref="N1353">SUBSTITUTE(L1353,M1353,"")</f>
        <v/>
      </c>
      <c r="X1353" s="258" t="str">
        <f t="shared" si="62"/>
        <v/>
      </c>
      <c r="Y1353" s="36" t="str">
        <f t="shared" si="63"/>
        <v/>
      </c>
      <c r="Z1353" s="340" t="str">
        <f>IF(AND(C1353&gt;0,D1353&lt;&gt;"",S1353=""),VLOOKUP(A1353&amp;IF(H1353="黑丝","黑","白")&amp;E1353,经纬!A:M,13,FALSE)*(I1353-AB1353),"")</f>
        <v/>
      </c>
      <c r="AA1353" s="340" t="str">
        <f>IF(AND(C1353&gt;0,D1353&lt;&gt;"",S1353=""),VLOOKUP(A1353&amp;IF(H1353="黑丝","黑","白")&amp;E1353,经纬!A:N,14,FALSE)*(I1353-AB1353),"")</f>
        <v/>
      </c>
    </row>
    <row r="1354" spans="13:27">
      <c r="M1354" s="24" t="str">
        <f t="array" ref="M1354">LEFT(L1354,MIN(FIND({"A","B","C"},MID(L1354,2,LEN(L1354))&amp;"ABC")))</f>
        <v/>
      </c>
      <c r="N1354" s="24" t="str">
        <f t="array" ref="N1354">SUBSTITUTE(L1354,M1354,"")</f>
        <v/>
      </c>
      <c r="X1354" s="258" t="str">
        <f t="shared" si="62"/>
        <v/>
      </c>
      <c r="Y1354" s="36" t="str">
        <f t="shared" si="63"/>
        <v/>
      </c>
      <c r="Z1354" s="340" t="str">
        <f>IF(AND(C1354&gt;0,D1354&lt;&gt;"",S1354=""),VLOOKUP(A1354&amp;IF(H1354="黑丝","黑","白")&amp;E1354,经纬!A:M,13,FALSE)*(I1354-AB1354),"")</f>
        <v/>
      </c>
      <c r="AA1354" s="340" t="str">
        <f>IF(AND(C1354&gt;0,D1354&lt;&gt;"",S1354=""),VLOOKUP(A1354&amp;IF(H1354="黑丝","黑","白")&amp;E1354,经纬!A:N,14,FALSE)*(I1354-AB1354),"")</f>
        <v/>
      </c>
    </row>
    <row r="1355" spans="13:27">
      <c r="M1355" s="24" t="str">
        <f t="array" ref="M1355">LEFT(L1355,MIN(FIND({"A","B","C"},MID(L1355,2,LEN(L1355))&amp;"ABC")))</f>
        <v/>
      </c>
      <c r="N1355" s="24" t="str">
        <f t="array" ref="N1355">SUBSTITUTE(L1355,M1355,"")</f>
        <v/>
      </c>
      <c r="X1355" s="258" t="str">
        <f t="shared" si="62"/>
        <v/>
      </c>
      <c r="Y1355" s="36" t="str">
        <f t="shared" si="63"/>
        <v/>
      </c>
      <c r="Z1355" s="340" t="str">
        <f>IF(AND(C1355&gt;0,D1355&lt;&gt;"",S1355=""),VLOOKUP(A1355&amp;IF(H1355="黑丝","黑","白")&amp;E1355,经纬!A:M,13,FALSE)*(I1355-AB1355),"")</f>
        <v/>
      </c>
      <c r="AA1355" s="340" t="str">
        <f>IF(AND(C1355&gt;0,D1355&lt;&gt;"",S1355=""),VLOOKUP(A1355&amp;IF(H1355="黑丝","黑","白")&amp;E1355,经纬!A:N,14,FALSE)*(I1355-AB1355),"")</f>
        <v/>
      </c>
    </row>
    <row r="1356" spans="13:27">
      <c r="M1356" s="24" t="str">
        <f t="array" ref="M1356">LEFT(L1356,MIN(FIND({"A","B","C"},MID(L1356,2,LEN(L1356))&amp;"ABC")))</f>
        <v/>
      </c>
      <c r="N1356" s="24" t="str">
        <f t="array" ref="N1356">SUBSTITUTE(L1356,M1356,"")</f>
        <v/>
      </c>
      <c r="X1356" s="258" t="str">
        <f t="shared" si="62"/>
        <v/>
      </c>
      <c r="Y1356" s="36" t="str">
        <f t="shared" si="63"/>
        <v/>
      </c>
      <c r="Z1356" s="340" t="str">
        <f>IF(AND(C1356&gt;0,D1356&lt;&gt;"",S1356=""),VLOOKUP(A1356&amp;IF(H1356="黑丝","黑","白")&amp;E1356,经纬!A:M,13,FALSE)*(I1356-AB1356),"")</f>
        <v/>
      </c>
      <c r="AA1356" s="340" t="str">
        <f>IF(AND(C1356&gt;0,D1356&lt;&gt;"",S1356=""),VLOOKUP(A1356&amp;IF(H1356="黑丝","黑","白")&amp;E1356,经纬!A:N,14,FALSE)*(I1356-AB1356),"")</f>
        <v/>
      </c>
    </row>
    <row r="1357" spans="13:27">
      <c r="M1357" s="24" t="str">
        <f t="array" ref="M1357">LEFT(L1357,MIN(FIND({"A","B","C"},MID(L1357,2,LEN(L1357))&amp;"ABC")))</f>
        <v/>
      </c>
      <c r="N1357" s="24" t="str">
        <f t="array" ref="N1357">SUBSTITUTE(L1357,M1357,"")</f>
        <v/>
      </c>
      <c r="X1357" s="258" t="str">
        <f t="shared" si="62"/>
        <v/>
      </c>
      <c r="Y1357" s="36" t="str">
        <f t="shared" si="63"/>
        <v/>
      </c>
      <c r="Z1357" s="340" t="str">
        <f>IF(AND(C1357&gt;0,D1357&lt;&gt;"",S1357=""),VLOOKUP(A1357&amp;IF(H1357="黑丝","黑","白")&amp;E1357,经纬!A:M,13,FALSE)*(I1357-AB1357),"")</f>
        <v/>
      </c>
      <c r="AA1357" s="340" t="str">
        <f>IF(AND(C1357&gt;0,D1357&lt;&gt;"",S1357=""),VLOOKUP(A1357&amp;IF(H1357="黑丝","黑","白")&amp;E1357,经纬!A:N,14,FALSE)*(I1357-AB1357),"")</f>
        <v/>
      </c>
    </row>
    <row r="1358" spans="13:27">
      <c r="M1358" s="24" t="str">
        <f t="array" ref="M1358">LEFT(L1358,MIN(FIND({"A","B","C"},MID(L1358,2,LEN(L1358))&amp;"ABC")))</f>
        <v/>
      </c>
      <c r="N1358" s="24" t="str">
        <f t="array" ref="N1358">SUBSTITUTE(L1358,M1358,"")</f>
        <v/>
      </c>
      <c r="X1358" s="258" t="str">
        <f t="shared" si="62"/>
        <v/>
      </c>
      <c r="Y1358" s="36" t="str">
        <f t="shared" si="63"/>
        <v/>
      </c>
      <c r="Z1358" s="340" t="str">
        <f>IF(AND(C1358&gt;0,D1358&lt;&gt;"",S1358=""),VLOOKUP(A1358&amp;IF(H1358="黑丝","黑","白")&amp;E1358,经纬!A:M,13,FALSE)*(I1358-AB1358),"")</f>
        <v/>
      </c>
      <c r="AA1358" s="340" t="str">
        <f>IF(AND(C1358&gt;0,D1358&lt;&gt;"",S1358=""),VLOOKUP(A1358&amp;IF(H1358="黑丝","黑","白")&amp;E1358,经纬!A:N,14,FALSE)*(I1358-AB1358),"")</f>
        <v/>
      </c>
    </row>
    <row r="1359" spans="13:27">
      <c r="M1359" s="24" t="str">
        <f t="array" ref="M1359">LEFT(L1359,MIN(FIND({"A","B","C"},MID(L1359,2,LEN(L1359))&amp;"ABC")))</f>
        <v/>
      </c>
      <c r="N1359" s="24" t="str">
        <f t="array" ref="N1359">SUBSTITUTE(L1359,M1359,"")</f>
        <v/>
      </c>
      <c r="X1359" s="258" t="str">
        <f t="shared" si="62"/>
        <v/>
      </c>
      <c r="Y1359" s="36" t="str">
        <f t="shared" si="63"/>
        <v/>
      </c>
      <c r="Z1359" s="340" t="str">
        <f>IF(AND(C1359&gt;0,D1359&lt;&gt;"",S1359=""),VLOOKUP(A1359&amp;IF(H1359="黑丝","黑","白")&amp;E1359,经纬!A:M,13,FALSE)*(I1359-AB1359),"")</f>
        <v/>
      </c>
      <c r="AA1359" s="340" t="str">
        <f>IF(AND(C1359&gt;0,D1359&lt;&gt;"",S1359=""),VLOOKUP(A1359&amp;IF(H1359="黑丝","黑","白")&amp;E1359,经纬!A:N,14,FALSE)*(I1359-AB1359),"")</f>
        <v/>
      </c>
    </row>
    <row r="1360" spans="13:27">
      <c r="M1360" s="24" t="str">
        <f t="array" ref="M1360">LEFT(L1360,MIN(FIND({"A","B","C"},MID(L1360,2,LEN(L1360))&amp;"ABC")))</f>
        <v/>
      </c>
      <c r="N1360" s="24" t="str">
        <f t="array" ref="N1360">SUBSTITUTE(L1360,M1360,"")</f>
        <v/>
      </c>
      <c r="X1360" s="258" t="str">
        <f t="shared" si="62"/>
        <v/>
      </c>
      <c r="Y1360" s="36" t="str">
        <f t="shared" si="63"/>
        <v/>
      </c>
      <c r="Z1360" s="340" t="str">
        <f>IF(AND(C1360&gt;0,D1360&lt;&gt;"",S1360=""),VLOOKUP(A1360&amp;IF(H1360="黑丝","黑","白")&amp;E1360,经纬!A:M,13,FALSE)*(I1360-AB1360),"")</f>
        <v/>
      </c>
      <c r="AA1360" s="340" t="str">
        <f>IF(AND(C1360&gt;0,D1360&lt;&gt;"",S1360=""),VLOOKUP(A1360&amp;IF(H1360="黑丝","黑","白")&amp;E1360,经纬!A:N,14,FALSE)*(I1360-AB1360),"")</f>
        <v/>
      </c>
    </row>
    <row r="1361" spans="13:27">
      <c r="M1361" s="24" t="str">
        <f t="array" ref="M1361">LEFT(L1361,MIN(FIND({"A","B","C"},MID(L1361,2,LEN(L1361))&amp;"ABC")))</f>
        <v/>
      </c>
      <c r="N1361" s="24" t="str">
        <f t="array" ref="N1361">SUBSTITUTE(L1361,M1361,"")</f>
        <v/>
      </c>
      <c r="X1361" s="258" t="str">
        <f t="shared" si="62"/>
        <v/>
      </c>
      <c r="Y1361" s="36" t="str">
        <f t="shared" si="63"/>
        <v/>
      </c>
      <c r="Z1361" s="340" t="str">
        <f>IF(AND(C1361&gt;0,D1361&lt;&gt;"",S1361=""),VLOOKUP(A1361&amp;IF(H1361="黑丝","黑","白")&amp;E1361,经纬!A:M,13,FALSE)*(I1361-AB1361),"")</f>
        <v/>
      </c>
      <c r="AA1361" s="340" t="str">
        <f>IF(AND(C1361&gt;0,D1361&lt;&gt;"",S1361=""),VLOOKUP(A1361&amp;IF(H1361="黑丝","黑","白")&amp;E1361,经纬!A:N,14,FALSE)*(I1361-AB1361),"")</f>
        <v/>
      </c>
    </row>
    <row r="1362" spans="13:27">
      <c r="M1362" s="24" t="str">
        <f t="array" ref="M1362">LEFT(L1362,MIN(FIND({"A","B","C"},MID(L1362,2,LEN(L1362))&amp;"ABC")))</f>
        <v/>
      </c>
      <c r="N1362" s="24" t="str">
        <f t="array" ref="N1362">SUBSTITUTE(L1362,M1362,"")</f>
        <v/>
      </c>
      <c r="X1362" s="258" t="str">
        <f t="shared" si="62"/>
        <v/>
      </c>
      <c r="Y1362" s="36" t="str">
        <f t="shared" si="63"/>
        <v/>
      </c>
      <c r="Z1362" s="340" t="str">
        <f>IF(AND(C1362&gt;0,D1362&lt;&gt;"",S1362=""),VLOOKUP(A1362&amp;IF(H1362="黑丝","黑","白")&amp;E1362,经纬!A:M,13,FALSE)*(I1362-AB1362),"")</f>
        <v/>
      </c>
      <c r="AA1362" s="340" t="str">
        <f>IF(AND(C1362&gt;0,D1362&lt;&gt;"",S1362=""),VLOOKUP(A1362&amp;IF(H1362="黑丝","黑","白")&amp;E1362,经纬!A:N,14,FALSE)*(I1362-AB1362),"")</f>
        <v/>
      </c>
    </row>
    <row r="1363" spans="13:27">
      <c r="M1363" s="24" t="str">
        <f t="array" ref="M1363">LEFT(L1363,MIN(FIND({"A","B","C"},MID(L1363,2,LEN(L1363))&amp;"ABC")))</f>
        <v/>
      </c>
      <c r="N1363" s="24" t="str">
        <f t="array" ref="N1363">SUBSTITUTE(L1363,M1363,"")</f>
        <v/>
      </c>
      <c r="X1363" s="258" t="str">
        <f t="shared" si="62"/>
        <v/>
      </c>
      <c r="Y1363" s="36" t="str">
        <f t="shared" si="63"/>
        <v/>
      </c>
      <c r="Z1363" s="340" t="str">
        <f>IF(AND(C1363&gt;0,D1363&lt;&gt;"",S1363=""),VLOOKUP(A1363&amp;IF(H1363="黑丝","黑","白")&amp;E1363,经纬!A:M,13,FALSE)*(I1363-AB1363),"")</f>
        <v/>
      </c>
      <c r="AA1363" s="340" t="str">
        <f>IF(AND(C1363&gt;0,D1363&lt;&gt;"",S1363=""),VLOOKUP(A1363&amp;IF(H1363="黑丝","黑","白")&amp;E1363,经纬!A:N,14,FALSE)*(I1363-AB1363),"")</f>
        <v/>
      </c>
    </row>
    <row r="1364" spans="13:27">
      <c r="M1364" s="24" t="str">
        <f t="array" ref="M1364">LEFT(L1364,MIN(FIND({"A","B","C"},MID(L1364,2,LEN(L1364))&amp;"ABC")))</f>
        <v/>
      </c>
      <c r="N1364" s="24" t="str">
        <f t="array" ref="N1364">SUBSTITUTE(L1364,M1364,"")</f>
        <v/>
      </c>
      <c r="X1364" s="258" t="str">
        <f t="shared" si="62"/>
        <v/>
      </c>
      <c r="Y1364" s="36" t="str">
        <f t="shared" si="63"/>
        <v/>
      </c>
      <c r="Z1364" s="340" t="str">
        <f>IF(AND(C1364&gt;0,D1364&lt;&gt;"",S1364=""),VLOOKUP(A1364&amp;IF(H1364="黑丝","黑","白")&amp;E1364,经纬!A:M,13,FALSE)*(I1364-AB1364),"")</f>
        <v/>
      </c>
      <c r="AA1364" s="340" t="str">
        <f>IF(AND(C1364&gt;0,D1364&lt;&gt;"",S1364=""),VLOOKUP(A1364&amp;IF(H1364="黑丝","黑","白")&amp;E1364,经纬!A:N,14,FALSE)*(I1364-AB1364),"")</f>
        <v/>
      </c>
    </row>
    <row r="1365" spans="13:27">
      <c r="M1365" s="24" t="str">
        <f t="array" ref="M1365">LEFT(L1365,MIN(FIND({"A","B","C"},MID(L1365,2,LEN(L1365))&amp;"ABC")))</f>
        <v/>
      </c>
      <c r="N1365" s="24" t="str">
        <f t="array" ref="N1365">SUBSTITUTE(L1365,M1365,"")</f>
        <v/>
      </c>
      <c r="X1365" s="258" t="str">
        <f t="shared" si="62"/>
        <v/>
      </c>
      <c r="Y1365" s="36" t="str">
        <f t="shared" si="63"/>
        <v/>
      </c>
      <c r="Z1365" s="340" t="str">
        <f>IF(AND(C1365&gt;0,D1365&lt;&gt;"",S1365=""),VLOOKUP(A1365&amp;IF(H1365="黑丝","黑","白")&amp;E1365,经纬!A:M,13,FALSE)*(I1365-AB1365),"")</f>
        <v/>
      </c>
      <c r="AA1365" s="340" t="str">
        <f>IF(AND(C1365&gt;0,D1365&lt;&gt;"",S1365=""),VLOOKUP(A1365&amp;IF(H1365="黑丝","黑","白")&amp;E1365,经纬!A:N,14,FALSE)*(I1365-AB1365),"")</f>
        <v/>
      </c>
    </row>
    <row r="1366" spans="13:27">
      <c r="M1366" s="24" t="str">
        <f t="array" ref="M1366">LEFT(L1366,MIN(FIND({"A","B","C"},MID(L1366,2,LEN(L1366))&amp;"ABC")))</f>
        <v/>
      </c>
      <c r="N1366" s="24" t="str">
        <f t="array" ref="N1366">SUBSTITUTE(L1366,M1366,"")</f>
        <v/>
      </c>
      <c r="X1366" s="258" t="str">
        <f t="shared" si="62"/>
        <v/>
      </c>
      <c r="Y1366" s="36" t="str">
        <f t="shared" si="63"/>
        <v/>
      </c>
      <c r="Z1366" s="340" t="str">
        <f>IF(AND(C1366&gt;0,D1366&lt;&gt;"",S1366=""),VLOOKUP(A1366&amp;IF(H1366="黑丝","黑","白")&amp;E1366,经纬!A:M,13,FALSE)*(I1366-AB1366),"")</f>
        <v/>
      </c>
      <c r="AA1366" s="340" t="str">
        <f>IF(AND(C1366&gt;0,D1366&lt;&gt;"",S1366=""),VLOOKUP(A1366&amp;IF(H1366="黑丝","黑","白")&amp;E1366,经纬!A:N,14,FALSE)*(I1366-AB1366),"")</f>
        <v/>
      </c>
    </row>
    <row r="1367" spans="13:27">
      <c r="M1367" s="24" t="str">
        <f t="array" ref="M1367">LEFT(L1367,MIN(FIND({"A","B","C"},MID(L1367,2,LEN(L1367))&amp;"ABC")))</f>
        <v/>
      </c>
      <c r="N1367" s="24" t="str">
        <f t="array" ref="N1367">SUBSTITUTE(L1367,M1367,"")</f>
        <v/>
      </c>
      <c r="X1367" s="258" t="str">
        <f t="shared" si="62"/>
        <v/>
      </c>
      <c r="Y1367" s="36" t="str">
        <f t="shared" si="63"/>
        <v/>
      </c>
      <c r="Z1367" s="340" t="str">
        <f>IF(AND(C1367&gt;0,D1367&lt;&gt;"",S1367=""),VLOOKUP(A1367&amp;IF(H1367="黑丝","黑","白")&amp;E1367,经纬!A:M,13,FALSE)*(I1367-AB1367),"")</f>
        <v/>
      </c>
      <c r="AA1367" s="340" t="str">
        <f>IF(AND(C1367&gt;0,D1367&lt;&gt;"",S1367=""),VLOOKUP(A1367&amp;IF(H1367="黑丝","黑","白")&amp;E1367,经纬!A:N,14,FALSE)*(I1367-AB1367),"")</f>
        <v/>
      </c>
    </row>
    <row r="1368" spans="13:27">
      <c r="M1368" s="24" t="str">
        <f t="array" ref="M1368">LEFT(L1368,MIN(FIND({"A","B","C"},MID(L1368,2,LEN(L1368))&amp;"ABC")))</f>
        <v/>
      </c>
      <c r="N1368" s="24" t="str">
        <f t="array" ref="N1368">SUBSTITUTE(L1368,M1368,"")</f>
        <v/>
      </c>
      <c r="X1368" s="258" t="str">
        <f t="shared" si="62"/>
        <v/>
      </c>
      <c r="Y1368" s="36" t="str">
        <f t="shared" si="63"/>
        <v/>
      </c>
      <c r="Z1368" s="340" t="str">
        <f>IF(AND(C1368&gt;0,D1368&lt;&gt;"",S1368=""),VLOOKUP(A1368&amp;IF(H1368="黑丝","黑","白")&amp;E1368,经纬!A:M,13,FALSE)*(I1368-AB1368),"")</f>
        <v/>
      </c>
      <c r="AA1368" s="340" t="str">
        <f>IF(AND(C1368&gt;0,D1368&lt;&gt;"",S1368=""),VLOOKUP(A1368&amp;IF(H1368="黑丝","黑","白")&amp;E1368,经纬!A:N,14,FALSE)*(I1368-AB1368),"")</f>
        <v/>
      </c>
    </row>
    <row r="1369" spans="13:27">
      <c r="M1369" s="24" t="str">
        <f t="array" ref="M1369">LEFT(L1369,MIN(FIND({"A","B","C"},MID(L1369,2,LEN(L1369))&amp;"ABC")))</f>
        <v/>
      </c>
      <c r="N1369" s="24" t="str">
        <f t="array" ref="N1369">SUBSTITUTE(L1369,M1369,"")</f>
        <v/>
      </c>
      <c r="X1369" s="258" t="str">
        <f t="shared" si="62"/>
        <v/>
      </c>
      <c r="Y1369" s="36" t="str">
        <f t="shared" si="63"/>
        <v/>
      </c>
      <c r="Z1369" s="340" t="str">
        <f>IF(AND(C1369&gt;0,D1369&lt;&gt;"",S1369=""),VLOOKUP(A1369&amp;IF(H1369="黑丝","黑","白")&amp;E1369,经纬!A:M,13,FALSE)*(I1369-AB1369),"")</f>
        <v/>
      </c>
      <c r="AA1369" s="340" t="str">
        <f>IF(AND(C1369&gt;0,D1369&lt;&gt;"",S1369=""),VLOOKUP(A1369&amp;IF(H1369="黑丝","黑","白")&amp;E1369,经纬!A:N,14,FALSE)*(I1369-AB1369),"")</f>
        <v/>
      </c>
    </row>
    <row r="1370" spans="13:27">
      <c r="M1370" s="24" t="str">
        <f t="array" ref="M1370">LEFT(L1370,MIN(FIND({"A","B","C"},MID(L1370,2,LEN(L1370))&amp;"ABC")))</f>
        <v/>
      </c>
      <c r="N1370" s="24" t="str">
        <f t="array" ref="N1370">SUBSTITUTE(L1370,M1370,"")</f>
        <v/>
      </c>
      <c r="X1370" s="258" t="str">
        <f t="shared" si="62"/>
        <v/>
      </c>
      <c r="Y1370" s="36" t="str">
        <f t="shared" si="63"/>
        <v/>
      </c>
      <c r="Z1370" s="340" t="str">
        <f>IF(AND(C1370&gt;0,D1370&lt;&gt;"",S1370=""),VLOOKUP(A1370&amp;IF(H1370="黑丝","黑","白")&amp;E1370,经纬!A:M,13,FALSE)*(I1370-AB1370),"")</f>
        <v/>
      </c>
      <c r="AA1370" s="340" t="str">
        <f>IF(AND(C1370&gt;0,D1370&lt;&gt;"",S1370=""),VLOOKUP(A1370&amp;IF(H1370="黑丝","黑","白")&amp;E1370,经纬!A:N,14,FALSE)*(I1370-AB1370),"")</f>
        <v/>
      </c>
    </row>
    <row r="1371" spans="13:27">
      <c r="M1371" s="24" t="str">
        <f t="array" ref="M1371">LEFT(L1371,MIN(FIND({"A","B","C"},MID(L1371,2,LEN(L1371))&amp;"ABC")))</f>
        <v/>
      </c>
      <c r="N1371" s="24" t="str">
        <f t="array" ref="N1371">SUBSTITUTE(L1371,M1371,"")</f>
        <v/>
      </c>
      <c r="X1371" s="258" t="str">
        <f t="shared" si="62"/>
        <v/>
      </c>
      <c r="Y1371" s="36" t="str">
        <f t="shared" si="63"/>
        <v/>
      </c>
      <c r="Z1371" s="340" t="str">
        <f>IF(AND(C1371&gt;0,D1371&lt;&gt;"",S1371=""),VLOOKUP(A1371&amp;IF(H1371="黑丝","黑","白")&amp;E1371,经纬!A:M,13,FALSE)*(I1371-AB1371),"")</f>
        <v/>
      </c>
      <c r="AA1371" s="340" t="str">
        <f>IF(AND(C1371&gt;0,D1371&lt;&gt;"",S1371=""),VLOOKUP(A1371&amp;IF(H1371="黑丝","黑","白")&amp;E1371,经纬!A:N,14,FALSE)*(I1371-AB1371),"")</f>
        <v/>
      </c>
    </row>
    <row r="1372" spans="13:27">
      <c r="M1372" s="24" t="str">
        <f t="array" ref="M1372">LEFT(L1372,MIN(FIND({"A","B","C"},MID(L1372,2,LEN(L1372))&amp;"ABC")))</f>
        <v/>
      </c>
      <c r="N1372" s="24" t="str">
        <f t="array" ref="N1372">SUBSTITUTE(L1372,M1372,"")</f>
        <v/>
      </c>
      <c r="X1372" s="258" t="str">
        <f t="shared" ref="X1372:X1435" si="64">IF(B1372="","",IF(S1372&lt;&gt;"","",IF(AND(Z1372&lt;&gt;"",AA1372&lt;&gt;""),SUM(Z1372:AA1372),IF(AB1372&lt;&gt;"",(I1372/((1/((G1372+2)/100*K1372/1000))*0.9144)/IF(H1372="黑丝",22,20)-AB1372)*(IF(H1372="黑丝",22,20)),I1372/((1/((G1372+2)/100*K1372/1000))*0.9144)))))</f>
        <v/>
      </c>
      <c r="Y1372" s="36" t="str">
        <f t="shared" si="63"/>
        <v/>
      </c>
      <c r="Z1372" s="340" t="str">
        <f>IF(AND(C1372&gt;0,D1372&lt;&gt;"",S1372=""),VLOOKUP(A1372&amp;IF(H1372="黑丝","黑","白")&amp;E1372,经纬!A:M,13,FALSE)*(I1372-AB1372),"")</f>
        <v/>
      </c>
      <c r="AA1372" s="340" t="str">
        <f>IF(AND(C1372&gt;0,D1372&lt;&gt;"",S1372=""),VLOOKUP(A1372&amp;IF(H1372="黑丝","黑","白")&amp;E1372,经纬!A:N,14,FALSE)*(I1372-AB1372),"")</f>
        <v/>
      </c>
    </row>
    <row r="1373" spans="13:27">
      <c r="M1373" s="24" t="str">
        <f t="array" ref="M1373">LEFT(L1373,MIN(FIND({"A","B","C"},MID(L1373,2,LEN(L1373))&amp;"ABC")))</f>
        <v/>
      </c>
      <c r="N1373" s="24" t="str">
        <f t="array" ref="N1373">SUBSTITUTE(L1373,M1373,"")</f>
        <v/>
      </c>
      <c r="X1373" s="258" t="str">
        <f t="shared" si="64"/>
        <v/>
      </c>
      <c r="Y1373" s="36" t="str">
        <f t="shared" si="63"/>
        <v/>
      </c>
      <c r="Z1373" s="340" t="str">
        <f>IF(AND(C1373&gt;0,D1373&lt;&gt;"",S1373=""),VLOOKUP(A1373&amp;IF(H1373="黑丝","黑","白")&amp;E1373,经纬!A:M,13,FALSE)*(I1373-AB1373),"")</f>
        <v/>
      </c>
      <c r="AA1373" s="340" t="str">
        <f>IF(AND(C1373&gt;0,D1373&lt;&gt;"",S1373=""),VLOOKUP(A1373&amp;IF(H1373="黑丝","黑","白")&amp;E1373,经纬!A:N,14,FALSE)*(I1373-AB1373),"")</f>
        <v/>
      </c>
    </row>
    <row r="1374" spans="13:27">
      <c r="M1374" s="24" t="str">
        <f t="array" ref="M1374">LEFT(L1374,MIN(FIND({"A","B","C"},MID(L1374,2,LEN(L1374))&amp;"ABC")))</f>
        <v/>
      </c>
      <c r="N1374" s="24" t="str">
        <f t="array" ref="N1374">SUBSTITUTE(L1374,M1374,"")</f>
        <v/>
      </c>
      <c r="X1374" s="258" t="str">
        <f t="shared" si="64"/>
        <v/>
      </c>
      <c r="Y1374" s="36" t="str">
        <f t="shared" si="63"/>
        <v/>
      </c>
      <c r="Z1374" s="340" t="str">
        <f>IF(AND(C1374&gt;0,D1374&lt;&gt;"",S1374=""),VLOOKUP(A1374&amp;IF(H1374="黑丝","黑","白")&amp;E1374,经纬!A:M,13,FALSE)*(I1374-AB1374),"")</f>
        <v/>
      </c>
      <c r="AA1374" s="340" t="str">
        <f>IF(AND(C1374&gt;0,D1374&lt;&gt;"",S1374=""),VLOOKUP(A1374&amp;IF(H1374="黑丝","黑","白")&amp;E1374,经纬!A:N,14,FALSE)*(I1374-AB1374),"")</f>
        <v/>
      </c>
    </row>
    <row r="1375" spans="13:27">
      <c r="M1375" s="24" t="str">
        <f t="array" ref="M1375">LEFT(L1375,MIN(FIND({"A","B","C"},MID(L1375,2,LEN(L1375))&amp;"ABC")))</f>
        <v/>
      </c>
      <c r="N1375" s="24" t="str">
        <f t="array" ref="N1375">SUBSTITUTE(L1375,M1375,"")</f>
        <v/>
      </c>
      <c r="X1375" s="258" t="str">
        <f t="shared" si="64"/>
        <v/>
      </c>
      <c r="Y1375" s="36" t="str">
        <f t="shared" si="63"/>
        <v/>
      </c>
      <c r="Z1375" s="340" t="str">
        <f>IF(AND(C1375&gt;0,D1375&lt;&gt;"",S1375=""),VLOOKUP(A1375&amp;IF(H1375="黑丝","黑","白")&amp;E1375,经纬!A:M,13,FALSE)*(I1375-AB1375),"")</f>
        <v/>
      </c>
      <c r="AA1375" s="340" t="str">
        <f>IF(AND(C1375&gt;0,D1375&lt;&gt;"",S1375=""),VLOOKUP(A1375&amp;IF(H1375="黑丝","黑","白")&amp;E1375,经纬!A:N,14,FALSE)*(I1375-AB1375),"")</f>
        <v/>
      </c>
    </row>
    <row r="1376" spans="13:27">
      <c r="M1376" s="24" t="str">
        <f t="array" ref="M1376">LEFT(L1376,MIN(FIND({"A","B","C"},MID(L1376,2,LEN(L1376))&amp;"ABC")))</f>
        <v/>
      </c>
      <c r="N1376" s="24" t="str">
        <f t="array" ref="N1376">SUBSTITUTE(L1376,M1376,"")</f>
        <v/>
      </c>
      <c r="X1376" s="258" t="str">
        <f t="shared" si="64"/>
        <v/>
      </c>
      <c r="Y1376" s="36" t="str">
        <f t="shared" si="63"/>
        <v/>
      </c>
      <c r="Z1376" s="340" t="str">
        <f>IF(AND(C1376&gt;0,D1376&lt;&gt;"",S1376=""),VLOOKUP(A1376&amp;IF(H1376="黑丝","黑","白")&amp;E1376,经纬!A:M,13,FALSE)*(I1376-AB1376),"")</f>
        <v/>
      </c>
      <c r="AA1376" s="340" t="str">
        <f>IF(AND(C1376&gt;0,D1376&lt;&gt;"",S1376=""),VLOOKUP(A1376&amp;IF(H1376="黑丝","黑","白")&amp;E1376,经纬!A:N,14,FALSE)*(I1376-AB1376),"")</f>
        <v/>
      </c>
    </row>
    <row r="1377" spans="13:27">
      <c r="M1377" s="24" t="str">
        <f t="array" ref="M1377">LEFT(L1377,MIN(FIND({"A","B","C"},MID(L1377,2,LEN(L1377))&amp;"ABC")))</f>
        <v/>
      </c>
      <c r="N1377" s="24" t="str">
        <f t="array" ref="N1377">SUBSTITUTE(L1377,M1377,"")</f>
        <v/>
      </c>
      <c r="X1377" s="258" t="str">
        <f t="shared" si="64"/>
        <v/>
      </c>
      <c r="Y1377" s="36" t="str">
        <f t="shared" si="63"/>
        <v/>
      </c>
      <c r="Z1377" s="340" t="str">
        <f>IF(AND(C1377&gt;0,D1377&lt;&gt;"",S1377=""),VLOOKUP(A1377&amp;IF(H1377="黑丝","黑","白")&amp;E1377,经纬!A:M,13,FALSE)*(I1377-AB1377),"")</f>
        <v/>
      </c>
      <c r="AA1377" s="340" t="str">
        <f>IF(AND(C1377&gt;0,D1377&lt;&gt;"",S1377=""),VLOOKUP(A1377&amp;IF(H1377="黑丝","黑","白")&amp;E1377,经纬!A:N,14,FALSE)*(I1377-AB1377),"")</f>
        <v/>
      </c>
    </row>
    <row r="1378" spans="13:27">
      <c r="M1378" s="24" t="str">
        <f t="array" ref="M1378">LEFT(L1378,MIN(FIND({"A","B","C"},MID(L1378,2,LEN(L1378))&amp;"ABC")))</f>
        <v/>
      </c>
      <c r="N1378" s="24" t="str">
        <f t="array" ref="N1378">SUBSTITUTE(L1378,M1378,"")</f>
        <v/>
      </c>
      <c r="X1378" s="258" t="str">
        <f t="shared" si="64"/>
        <v/>
      </c>
      <c r="Y1378" s="36" t="str">
        <f t="shared" si="63"/>
        <v/>
      </c>
      <c r="Z1378" s="340" t="str">
        <f>IF(AND(C1378&gt;0,D1378&lt;&gt;"",S1378=""),VLOOKUP(A1378&amp;IF(H1378="黑丝","黑","白")&amp;E1378,经纬!A:M,13,FALSE)*(I1378-AB1378),"")</f>
        <v/>
      </c>
      <c r="AA1378" s="340" t="str">
        <f>IF(AND(C1378&gt;0,D1378&lt;&gt;"",S1378=""),VLOOKUP(A1378&amp;IF(H1378="黑丝","黑","白")&amp;E1378,经纬!A:N,14,FALSE)*(I1378-AB1378),"")</f>
        <v/>
      </c>
    </row>
    <row r="1379" spans="13:27">
      <c r="M1379" s="24" t="str">
        <f t="array" ref="M1379">LEFT(L1379,MIN(FIND({"A","B","C"},MID(L1379,2,LEN(L1379))&amp;"ABC")))</f>
        <v/>
      </c>
      <c r="N1379" s="24" t="str">
        <f t="array" ref="N1379">SUBSTITUTE(L1379,M1379,"")</f>
        <v/>
      </c>
      <c r="X1379" s="258" t="str">
        <f t="shared" si="64"/>
        <v/>
      </c>
      <c r="Y1379" s="36" t="str">
        <f t="shared" si="63"/>
        <v/>
      </c>
      <c r="Z1379" s="340" t="str">
        <f>IF(AND(C1379&gt;0,D1379&lt;&gt;"",S1379=""),VLOOKUP(A1379&amp;IF(H1379="黑丝","黑","白")&amp;E1379,经纬!A:M,13,FALSE)*(I1379-AB1379),"")</f>
        <v/>
      </c>
      <c r="AA1379" s="340" t="str">
        <f>IF(AND(C1379&gt;0,D1379&lt;&gt;"",S1379=""),VLOOKUP(A1379&amp;IF(H1379="黑丝","黑","白")&amp;E1379,经纬!A:N,14,FALSE)*(I1379-AB1379),"")</f>
        <v/>
      </c>
    </row>
    <row r="1380" spans="13:27">
      <c r="M1380" s="24" t="str">
        <f t="array" ref="M1380">LEFT(L1380,MIN(FIND({"A","B","C"},MID(L1380,2,LEN(L1380))&amp;"ABC")))</f>
        <v/>
      </c>
      <c r="N1380" s="24" t="str">
        <f t="array" ref="N1380">SUBSTITUTE(L1380,M1380,"")</f>
        <v/>
      </c>
      <c r="X1380" s="258" t="str">
        <f t="shared" si="64"/>
        <v/>
      </c>
      <c r="Y1380" s="36" t="str">
        <f t="shared" si="63"/>
        <v/>
      </c>
      <c r="Z1380" s="340" t="str">
        <f>IF(AND(C1380&gt;0,D1380&lt;&gt;"",S1380=""),VLOOKUP(A1380&amp;IF(H1380="黑丝","黑","白")&amp;E1380,经纬!A:M,13,FALSE)*(I1380-AB1380),"")</f>
        <v/>
      </c>
      <c r="AA1380" s="340" t="str">
        <f>IF(AND(C1380&gt;0,D1380&lt;&gt;"",S1380=""),VLOOKUP(A1380&amp;IF(H1380="黑丝","黑","白")&amp;E1380,经纬!A:N,14,FALSE)*(I1380-AB1380),"")</f>
        <v/>
      </c>
    </row>
    <row r="1381" spans="13:27">
      <c r="M1381" s="24" t="str">
        <f t="array" ref="M1381">LEFT(L1381,MIN(FIND({"A","B","C"},MID(L1381,2,LEN(L1381))&amp;"ABC")))</f>
        <v/>
      </c>
      <c r="N1381" s="24" t="str">
        <f t="array" ref="N1381">SUBSTITUTE(L1381,M1381,"")</f>
        <v/>
      </c>
      <c r="X1381" s="258" t="str">
        <f t="shared" si="64"/>
        <v/>
      </c>
      <c r="Y1381" s="36" t="str">
        <f t="shared" si="63"/>
        <v/>
      </c>
      <c r="Z1381" s="340" t="str">
        <f>IF(AND(C1381&gt;0,D1381&lt;&gt;"",S1381=""),VLOOKUP(A1381&amp;IF(H1381="黑丝","黑","白")&amp;E1381,经纬!A:M,13,FALSE)*(I1381-AB1381),"")</f>
        <v/>
      </c>
      <c r="AA1381" s="340" t="str">
        <f>IF(AND(C1381&gt;0,D1381&lt;&gt;"",S1381=""),VLOOKUP(A1381&amp;IF(H1381="黑丝","黑","白")&amp;E1381,经纬!A:N,14,FALSE)*(I1381-AB1381),"")</f>
        <v/>
      </c>
    </row>
    <row r="1382" spans="13:27">
      <c r="M1382" s="24" t="str">
        <f t="array" ref="M1382">LEFT(L1382,MIN(FIND({"A","B","C"},MID(L1382,2,LEN(L1382))&amp;"ABC")))</f>
        <v/>
      </c>
      <c r="N1382" s="24" t="str">
        <f t="array" ref="N1382">SUBSTITUTE(L1382,M1382,"")</f>
        <v/>
      </c>
      <c r="X1382" s="258" t="str">
        <f t="shared" si="64"/>
        <v/>
      </c>
      <c r="Y1382" s="36" t="str">
        <f t="shared" si="63"/>
        <v/>
      </c>
      <c r="Z1382" s="340" t="str">
        <f>IF(AND(C1382&gt;0,D1382&lt;&gt;"",S1382=""),VLOOKUP(A1382&amp;IF(H1382="黑丝","黑","白")&amp;E1382,经纬!A:M,13,FALSE)*(I1382-AB1382),"")</f>
        <v/>
      </c>
      <c r="AA1382" s="340" t="str">
        <f>IF(AND(C1382&gt;0,D1382&lt;&gt;"",S1382=""),VLOOKUP(A1382&amp;IF(H1382="黑丝","黑","白")&amp;E1382,经纬!A:N,14,FALSE)*(I1382-AB1382),"")</f>
        <v/>
      </c>
    </row>
    <row r="1383" spans="13:27">
      <c r="M1383" s="24" t="str">
        <f t="array" ref="M1383">LEFT(L1383,MIN(FIND({"A","B","C"},MID(L1383,2,LEN(L1383))&amp;"ABC")))</f>
        <v/>
      </c>
      <c r="N1383" s="24" t="str">
        <f t="array" ref="N1383">SUBSTITUTE(L1383,M1383,"")</f>
        <v/>
      </c>
      <c r="X1383" s="258" t="str">
        <f t="shared" si="64"/>
        <v/>
      </c>
      <c r="Y1383" s="36" t="str">
        <f t="shared" si="63"/>
        <v/>
      </c>
      <c r="Z1383" s="340" t="str">
        <f>IF(AND(C1383&gt;0,D1383&lt;&gt;"",S1383=""),VLOOKUP(A1383&amp;IF(H1383="黑丝","黑","白")&amp;E1383,经纬!A:M,13,FALSE)*(I1383-AB1383),"")</f>
        <v/>
      </c>
      <c r="AA1383" s="340" t="str">
        <f>IF(AND(C1383&gt;0,D1383&lt;&gt;"",S1383=""),VLOOKUP(A1383&amp;IF(H1383="黑丝","黑","白")&amp;E1383,经纬!A:N,14,FALSE)*(I1383-AB1383),"")</f>
        <v/>
      </c>
    </row>
    <row r="1384" spans="13:27">
      <c r="M1384" s="24" t="str">
        <f t="array" ref="M1384">LEFT(L1384,MIN(FIND({"A","B","C"},MID(L1384,2,LEN(L1384))&amp;"ABC")))</f>
        <v/>
      </c>
      <c r="N1384" s="24" t="str">
        <f t="array" ref="N1384">SUBSTITUTE(L1384,M1384,"")</f>
        <v/>
      </c>
      <c r="X1384" s="258" t="str">
        <f t="shared" si="64"/>
        <v/>
      </c>
      <c r="Y1384" s="36" t="str">
        <f t="shared" si="63"/>
        <v/>
      </c>
      <c r="Z1384" s="340" t="str">
        <f>IF(AND(C1384&gt;0,D1384&lt;&gt;"",S1384=""),VLOOKUP(A1384&amp;IF(H1384="黑丝","黑","白")&amp;E1384,经纬!A:M,13,FALSE)*(I1384-AB1384),"")</f>
        <v/>
      </c>
      <c r="AA1384" s="340" t="str">
        <f>IF(AND(C1384&gt;0,D1384&lt;&gt;"",S1384=""),VLOOKUP(A1384&amp;IF(H1384="黑丝","黑","白")&amp;E1384,经纬!A:N,14,FALSE)*(I1384-AB1384),"")</f>
        <v/>
      </c>
    </row>
    <row r="1385" spans="13:27">
      <c r="M1385" s="24" t="str">
        <f t="array" ref="M1385">LEFT(L1385,MIN(FIND({"A","B","C"},MID(L1385,2,LEN(L1385))&amp;"ABC")))</f>
        <v/>
      </c>
      <c r="N1385" s="24" t="str">
        <f t="array" ref="N1385">SUBSTITUTE(L1385,M1385,"")</f>
        <v/>
      </c>
      <c r="X1385" s="258" t="str">
        <f t="shared" si="64"/>
        <v/>
      </c>
      <c r="Y1385" s="36" t="str">
        <f t="shared" ref="Y1385:Y1448" si="65">IF(OR(B1385="",D1385&lt;&gt;""),"",IF(S1385&lt;&gt;"","",I1385/((1/((G1385+2)/100*K1385/1000))*0.9144)/IF(H1385="黑丝",22,20)-AB1385))</f>
        <v/>
      </c>
      <c r="Z1385" s="340" t="str">
        <f>IF(AND(C1385&gt;0,D1385&lt;&gt;"",S1385=""),VLOOKUP(A1385&amp;IF(H1385="黑丝","黑","白")&amp;E1385,经纬!A:M,13,FALSE)*(I1385-AB1385),"")</f>
        <v/>
      </c>
      <c r="AA1385" s="340" t="str">
        <f>IF(AND(C1385&gt;0,D1385&lt;&gt;"",S1385=""),VLOOKUP(A1385&amp;IF(H1385="黑丝","黑","白")&amp;E1385,经纬!A:N,14,FALSE)*(I1385-AB1385),"")</f>
        <v/>
      </c>
    </row>
    <row r="1386" spans="13:27">
      <c r="M1386" s="24" t="str">
        <f t="array" ref="M1386">LEFT(L1386,MIN(FIND({"A","B","C"},MID(L1386,2,LEN(L1386))&amp;"ABC")))</f>
        <v/>
      </c>
      <c r="N1386" s="24" t="str">
        <f t="array" ref="N1386">SUBSTITUTE(L1386,M1386,"")</f>
        <v/>
      </c>
      <c r="X1386" s="258" t="str">
        <f t="shared" si="64"/>
        <v/>
      </c>
      <c r="Y1386" s="36" t="str">
        <f t="shared" si="65"/>
        <v/>
      </c>
      <c r="Z1386" s="340" t="str">
        <f>IF(AND(C1386&gt;0,D1386&lt;&gt;"",S1386=""),VLOOKUP(A1386&amp;IF(H1386="黑丝","黑","白")&amp;E1386,经纬!A:M,13,FALSE)*(I1386-AB1386),"")</f>
        <v/>
      </c>
      <c r="AA1386" s="340" t="str">
        <f>IF(AND(C1386&gt;0,D1386&lt;&gt;"",S1386=""),VLOOKUP(A1386&amp;IF(H1386="黑丝","黑","白")&amp;E1386,经纬!A:N,14,FALSE)*(I1386-AB1386),"")</f>
        <v/>
      </c>
    </row>
    <row r="1387" spans="13:27">
      <c r="M1387" s="24" t="str">
        <f t="array" ref="M1387">LEFT(L1387,MIN(FIND({"A","B","C"},MID(L1387,2,LEN(L1387))&amp;"ABC")))</f>
        <v/>
      </c>
      <c r="N1387" s="24" t="str">
        <f t="array" ref="N1387">SUBSTITUTE(L1387,M1387,"")</f>
        <v/>
      </c>
      <c r="X1387" s="258" t="str">
        <f t="shared" si="64"/>
        <v/>
      </c>
      <c r="Y1387" s="36" t="str">
        <f t="shared" si="65"/>
        <v/>
      </c>
      <c r="Z1387" s="340" t="str">
        <f>IF(AND(C1387&gt;0,D1387&lt;&gt;"",S1387=""),VLOOKUP(A1387&amp;IF(H1387="黑丝","黑","白")&amp;E1387,经纬!A:M,13,FALSE)*(I1387-AB1387),"")</f>
        <v/>
      </c>
      <c r="AA1387" s="340" t="str">
        <f>IF(AND(C1387&gt;0,D1387&lt;&gt;"",S1387=""),VLOOKUP(A1387&amp;IF(H1387="黑丝","黑","白")&amp;E1387,经纬!A:N,14,FALSE)*(I1387-AB1387),"")</f>
        <v/>
      </c>
    </row>
    <row r="1388" spans="13:27">
      <c r="M1388" s="24" t="str">
        <f t="array" ref="M1388">LEFT(L1388,MIN(FIND({"A","B","C"},MID(L1388,2,LEN(L1388))&amp;"ABC")))</f>
        <v/>
      </c>
      <c r="N1388" s="24" t="str">
        <f t="array" ref="N1388">SUBSTITUTE(L1388,M1388,"")</f>
        <v/>
      </c>
      <c r="X1388" s="258" t="str">
        <f t="shared" si="64"/>
        <v/>
      </c>
      <c r="Y1388" s="36" t="str">
        <f t="shared" si="65"/>
        <v/>
      </c>
      <c r="Z1388" s="340" t="str">
        <f>IF(AND(C1388&gt;0,D1388&lt;&gt;"",S1388=""),VLOOKUP(A1388&amp;IF(H1388="黑丝","黑","白")&amp;E1388,经纬!A:M,13,FALSE)*(I1388-AB1388),"")</f>
        <v/>
      </c>
      <c r="AA1388" s="340" t="str">
        <f>IF(AND(C1388&gt;0,D1388&lt;&gt;"",S1388=""),VLOOKUP(A1388&amp;IF(H1388="黑丝","黑","白")&amp;E1388,经纬!A:N,14,FALSE)*(I1388-AB1388),"")</f>
        <v/>
      </c>
    </row>
    <row r="1389" spans="13:27">
      <c r="M1389" s="24" t="str">
        <f t="array" ref="M1389">LEFT(L1389,MIN(FIND({"A","B","C"},MID(L1389,2,LEN(L1389))&amp;"ABC")))</f>
        <v/>
      </c>
      <c r="N1389" s="24" t="str">
        <f t="array" ref="N1389">SUBSTITUTE(L1389,M1389,"")</f>
        <v/>
      </c>
      <c r="X1389" s="258" t="str">
        <f t="shared" si="64"/>
        <v/>
      </c>
      <c r="Y1389" s="36" t="str">
        <f t="shared" si="65"/>
        <v/>
      </c>
      <c r="Z1389" s="340" t="str">
        <f>IF(AND(C1389&gt;0,D1389&lt;&gt;"",S1389=""),VLOOKUP(A1389&amp;IF(H1389="黑丝","黑","白")&amp;E1389,经纬!A:M,13,FALSE)*(I1389-AB1389),"")</f>
        <v/>
      </c>
      <c r="AA1389" s="340" t="str">
        <f>IF(AND(C1389&gt;0,D1389&lt;&gt;"",S1389=""),VLOOKUP(A1389&amp;IF(H1389="黑丝","黑","白")&amp;E1389,经纬!A:N,14,FALSE)*(I1389-AB1389),"")</f>
        <v/>
      </c>
    </row>
    <row r="1390" spans="13:27">
      <c r="M1390" s="24" t="str">
        <f t="array" ref="M1390">LEFT(L1390,MIN(FIND({"A","B","C"},MID(L1390,2,LEN(L1390))&amp;"ABC")))</f>
        <v/>
      </c>
      <c r="N1390" s="24" t="str">
        <f t="array" ref="N1390">SUBSTITUTE(L1390,M1390,"")</f>
        <v/>
      </c>
      <c r="X1390" s="258" t="str">
        <f t="shared" si="64"/>
        <v/>
      </c>
      <c r="Y1390" s="36" t="str">
        <f t="shared" si="65"/>
        <v/>
      </c>
      <c r="Z1390" s="340" t="str">
        <f>IF(AND(C1390&gt;0,D1390&lt;&gt;"",S1390=""),VLOOKUP(A1390&amp;IF(H1390="黑丝","黑","白")&amp;E1390,经纬!A:M,13,FALSE)*(I1390-AB1390),"")</f>
        <v/>
      </c>
      <c r="AA1390" s="340" t="str">
        <f>IF(AND(C1390&gt;0,D1390&lt;&gt;"",S1390=""),VLOOKUP(A1390&amp;IF(H1390="黑丝","黑","白")&amp;E1390,经纬!A:N,14,FALSE)*(I1390-AB1390),"")</f>
        <v/>
      </c>
    </row>
    <row r="1391" spans="13:27">
      <c r="M1391" s="24" t="str">
        <f t="array" ref="M1391">LEFT(L1391,MIN(FIND({"A","B","C"},MID(L1391,2,LEN(L1391))&amp;"ABC")))</f>
        <v/>
      </c>
      <c r="N1391" s="24" t="str">
        <f t="array" ref="N1391">SUBSTITUTE(L1391,M1391,"")</f>
        <v/>
      </c>
      <c r="X1391" s="258" t="str">
        <f t="shared" si="64"/>
        <v/>
      </c>
      <c r="Y1391" s="36" t="str">
        <f t="shared" si="65"/>
        <v/>
      </c>
      <c r="Z1391" s="340" t="str">
        <f>IF(AND(C1391&gt;0,D1391&lt;&gt;"",S1391=""),VLOOKUP(A1391&amp;IF(H1391="黑丝","黑","白")&amp;E1391,经纬!A:M,13,FALSE)*(I1391-AB1391),"")</f>
        <v/>
      </c>
      <c r="AA1391" s="340" t="str">
        <f>IF(AND(C1391&gt;0,D1391&lt;&gt;"",S1391=""),VLOOKUP(A1391&amp;IF(H1391="黑丝","黑","白")&amp;E1391,经纬!A:N,14,FALSE)*(I1391-AB1391),"")</f>
        <v/>
      </c>
    </row>
    <row r="1392" spans="13:27">
      <c r="M1392" s="24" t="str">
        <f t="array" ref="M1392">LEFT(L1392,MIN(FIND({"A","B","C"},MID(L1392,2,LEN(L1392))&amp;"ABC")))</f>
        <v/>
      </c>
      <c r="N1392" s="24" t="str">
        <f t="array" ref="N1392">SUBSTITUTE(L1392,M1392,"")</f>
        <v/>
      </c>
      <c r="X1392" s="258" t="str">
        <f t="shared" si="64"/>
        <v/>
      </c>
      <c r="Y1392" s="36" t="str">
        <f t="shared" si="65"/>
        <v/>
      </c>
      <c r="Z1392" s="340" t="str">
        <f>IF(AND(C1392&gt;0,D1392&lt;&gt;"",S1392=""),VLOOKUP(A1392&amp;IF(H1392="黑丝","黑","白")&amp;E1392,经纬!A:M,13,FALSE)*(I1392-AB1392),"")</f>
        <v/>
      </c>
      <c r="AA1392" s="340" t="str">
        <f>IF(AND(C1392&gt;0,D1392&lt;&gt;"",S1392=""),VLOOKUP(A1392&amp;IF(H1392="黑丝","黑","白")&amp;E1392,经纬!A:N,14,FALSE)*(I1392-AB1392),"")</f>
        <v/>
      </c>
    </row>
    <row r="1393" spans="13:27">
      <c r="M1393" s="24" t="str">
        <f t="array" ref="M1393">LEFT(L1393,MIN(FIND({"A","B","C"},MID(L1393,2,LEN(L1393))&amp;"ABC")))</f>
        <v/>
      </c>
      <c r="N1393" s="24" t="str">
        <f t="array" ref="N1393">SUBSTITUTE(L1393,M1393,"")</f>
        <v/>
      </c>
      <c r="X1393" s="258" t="str">
        <f t="shared" si="64"/>
        <v/>
      </c>
      <c r="Y1393" s="36" t="str">
        <f t="shared" si="65"/>
        <v/>
      </c>
      <c r="Z1393" s="340" t="str">
        <f>IF(AND(C1393&gt;0,D1393&lt;&gt;"",S1393=""),VLOOKUP(A1393&amp;IF(H1393="黑丝","黑","白")&amp;E1393,经纬!A:M,13,FALSE)*(I1393-AB1393),"")</f>
        <v/>
      </c>
      <c r="AA1393" s="340" t="str">
        <f>IF(AND(C1393&gt;0,D1393&lt;&gt;"",S1393=""),VLOOKUP(A1393&amp;IF(H1393="黑丝","黑","白")&amp;E1393,经纬!A:N,14,FALSE)*(I1393-AB1393),"")</f>
        <v/>
      </c>
    </row>
    <row r="1394" spans="13:27">
      <c r="M1394" s="24" t="str">
        <f t="array" ref="M1394">LEFT(L1394,MIN(FIND({"A","B","C"},MID(L1394,2,LEN(L1394))&amp;"ABC")))</f>
        <v/>
      </c>
      <c r="N1394" s="24" t="str">
        <f t="array" ref="N1394">SUBSTITUTE(L1394,M1394,"")</f>
        <v/>
      </c>
      <c r="X1394" s="258" t="str">
        <f t="shared" si="64"/>
        <v/>
      </c>
      <c r="Y1394" s="36" t="str">
        <f t="shared" si="65"/>
        <v/>
      </c>
      <c r="Z1394" s="340" t="str">
        <f>IF(AND(C1394&gt;0,D1394&lt;&gt;"",S1394=""),VLOOKUP(A1394&amp;IF(H1394="黑丝","黑","白")&amp;E1394,经纬!A:M,13,FALSE)*(I1394-AB1394),"")</f>
        <v/>
      </c>
      <c r="AA1394" s="340" t="str">
        <f>IF(AND(C1394&gt;0,D1394&lt;&gt;"",S1394=""),VLOOKUP(A1394&amp;IF(H1394="黑丝","黑","白")&amp;E1394,经纬!A:N,14,FALSE)*(I1394-AB1394),"")</f>
        <v/>
      </c>
    </row>
    <row r="1395" spans="13:27">
      <c r="M1395" s="24" t="str">
        <f t="array" ref="M1395">LEFT(L1395,MIN(FIND({"A","B","C"},MID(L1395,2,LEN(L1395))&amp;"ABC")))</f>
        <v/>
      </c>
      <c r="N1395" s="24" t="str">
        <f t="array" ref="N1395">SUBSTITUTE(L1395,M1395,"")</f>
        <v/>
      </c>
      <c r="X1395" s="258" t="str">
        <f t="shared" si="64"/>
        <v/>
      </c>
      <c r="Y1395" s="36" t="str">
        <f t="shared" si="65"/>
        <v/>
      </c>
      <c r="Z1395" s="340" t="str">
        <f>IF(AND(C1395&gt;0,D1395&lt;&gt;"",S1395=""),VLOOKUP(A1395&amp;IF(H1395="黑丝","黑","白")&amp;E1395,经纬!A:M,13,FALSE)*(I1395-AB1395),"")</f>
        <v/>
      </c>
      <c r="AA1395" s="340" t="str">
        <f>IF(AND(C1395&gt;0,D1395&lt;&gt;"",S1395=""),VLOOKUP(A1395&amp;IF(H1395="黑丝","黑","白")&amp;E1395,经纬!A:N,14,FALSE)*(I1395-AB1395),"")</f>
        <v/>
      </c>
    </row>
    <row r="1396" spans="13:27">
      <c r="M1396" s="24" t="str">
        <f t="array" ref="M1396">LEFT(L1396,MIN(FIND({"A","B","C"},MID(L1396,2,LEN(L1396))&amp;"ABC")))</f>
        <v/>
      </c>
      <c r="N1396" s="24" t="str">
        <f t="array" ref="N1396">SUBSTITUTE(L1396,M1396,"")</f>
        <v/>
      </c>
      <c r="X1396" s="258" t="str">
        <f t="shared" si="64"/>
        <v/>
      </c>
      <c r="Y1396" s="36" t="str">
        <f t="shared" si="65"/>
        <v/>
      </c>
      <c r="Z1396" s="340" t="str">
        <f>IF(AND(C1396&gt;0,D1396&lt;&gt;"",S1396=""),VLOOKUP(A1396&amp;IF(H1396="黑丝","黑","白")&amp;E1396,经纬!A:M,13,FALSE)*(I1396-AB1396),"")</f>
        <v/>
      </c>
      <c r="AA1396" s="340" t="str">
        <f>IF(AND(C1396&gt;0,D1396&lt;&gt;"",S1396=""),VLOOKUP(A1396&amp;IF(H1396="黑丝","黑","白")&amp;E1396,经纬!A:N,14,FALSE)*(I1396-AB1396),"")</f>
        <v/>
      </c>
    </row>
    <row r="1397" spans="13:27">
      <c r="M1397" s="24" t="str">
        <f t="array" ref="M1397">LEFT(L1397,MIN(FIND({"A","B","C"},MID(L1397,2,LEN(L1397))&amp;"ABC")))</f>
        <v/>
      </c>
      <c r="N1397" s="24" t="str">
        <f t="array" ref="N1397">SUBSTITUTE(L1397,M1397,"")</f>
        <v/>
      </c>
      <c r="X1397" s="258" t="str">
        <f t="shared" si="64"/>
        <v/>
      </c>
      <c r="Y1397" s="36" t="str">
        <f t="shared" si="65"/>
        <v/>
      </c>
      <c r="Z1397" s="340" t="str">
        <f>IF(AND(C1397&gt;0,D1397&lt;&gt;"",S1397=""),VLOOKUP(A1397&amp;IF(H1397="黑丝","黑","白")&amp;E1397,经纬!A:M,13,FALSE)*(I1397-AB1397),"")</f>
        <v/>
      </c>
      <c r="AA1397" s="340" t="str">
        <f>IF(AND(C1397&gt;0,D1397&lt;&gt;"",S1397=""),VLOOKUP(A1397&amp;IF(H1397="黑丝","黑","白")&amp;E1397,经纬!A:N,14,FALSE)*(I1397-AB1397),"")</f>
        <v/>
      </c>
    </row>
    <row r="1398" spans="13:27">
      <c r="M1398" s="24" t="str">
        <f t="array" ref="M1398">LEFT(L1398,MIN(FIND({"A","B","C"},MID(L1398,2,LEN(L1398))&amp;"ABC")))</f>
        <v/>
      </c>
      <c r="N1398" s="24" t="str">
        <f t="array" ref="N1398">SUBSTITUTE(L1398,M1398,"")</f>
        <v/>
      </c>
      <c r="X1398" s="258" t="str">
        <f t="shared" si="64"/>
        <v/>
      </c>
      <c r="Y1398" s="36" t="str">
        <f t="shared" si="65"/>
        <v/>
      </c>
      <c r="Z1398" s="340" t="str">
        <f>IF(AND(C1398&gt;0,D1398&lt;&gt;"",S1398=""),VLOOKUP(A1398&amp;IF(H1398="黑丝","黑","白")&amp;E1398,经纬!A:M,13,FALSE)*(I1398-AB1398),"")</f>
        <v/>
      </c>
      <c r="AA1398" s="340" t="str">
        <f>IF(AND(C1398&gt;0,D1398&lt;&gt;"",S1398=""),VLOOKUP(A1398&amp;IF(H1398="黑丝","黑","白")&amp;E1398,经纬!A:N,14,FALSE)*(I1398-AB1398),"")</f>
        <v/>
      </c>
    </row>
    <row r="1399" spans="13:27">
      <c r="M1399" s="24" t="str">
        <f t="array" ref="M1399">LEFT(L1399,MIN(FIND({"A","B","C"},MID(L1399,2,LEN(L1399))&amp;"ABC")))</f>
        <v/>
      </c>
      <c r="N1399" s="24" t="str">
        <f t="array" ref="N1399">SUBSTITUTE(L1399,M1399,"")</f>
        <v/>
      </c>
      <c r="X1399" s="258" t="str">
        <f t="shared" si="64"/>
        <v/>
      </c>
      <c r="Y1399" s="36" t="str">
        <f t="shared" si="65"/>
        <v/>
      </c>
      <c r="Z1399" s="340" t="str">
        <f>IF(AND(C1399&gt;0,D1399&lt;&gt;"",S1399=""),VLOOKUP(A1399&amp;IF(H1399="黑丝","黑","白")&amp;E1399,经纬!A:M,13,FALSE)*(I1399-AB1399),"")</f>
        <v/>
      </c>
      <c r="AA1399" s="340" t="str">
        <f>IF(AND(C1399&gt;0,D1399&lt;&gt;"",S1399=""),VLOOKUP(A1399&amp;IF(H1399="黑丝","黑","白")&amp;E1399,经纬!A:N,14,FALSE)*(I1399-AB1399),"")</f>
        <v/>
      </c>
    </row>
    <row r="1400" spans="13:27">
      <c r="M1400" s="24" t="str">
        <f t="array" ref="M1400">LEFT(L1400,MIN(FIND({"A","B","C"},MID(L1400,2,LEN(L1400))&amp;"ABC")))</f>
        <v/>
      </c>
      <c r="N1400" s="24" t="str">
        <f t="array" ref="N1400">SUBSTITUTE(L1400,M1400,"")</f>
        <v/>
      </c>
      <c r="X1400" s="258" t="str">
        <f t="shared" si="64"/>
        <v/>
      </c>
      <c r="Y1400" s="36" t="str">
        <f t="shared" si="65"/>
        <v/>
      </c>
      <c r="Z1400" s="340" t="str">
        <f>IF(AND(C1400&gt;0,D1400&lt;&gt;"",S1400=""),VLOOKUP(A1400&amp;IF(H1400="黑丝","黑","白")&amp;E1400,经纬!A:M,13,FALSE)*(I1400-AB1400),"")</f>
        <v/>
      </c>
      <c r="AA1400" s="340" t="str">
        <f>IF(AND(C1400&gt;0,D1400&lt;&gt;"",S1400=""),VLOOKUP(A1400&amp;IF(H1400="黑丝","黑","白")&amp;E1400,经纬!A:N,14,FALSE)*(I1400-AB1400),"")</f>
        <v/>
      </c>
    </row>
    <row r="1401" spans="13:27">
      <c r="M1401" s="24" t="str">
        <f t="array" ref="M1401">LEFT(L1401,MIN(FIND({"A","B","C"},MID(L1401,2,LEN(L1401))&amp;"ABC")))</f>
        <v/>
      </c>
      <c r="N1401" s="24" t="str">
        <f t="array" ref="N1401">SUBSTITUTE(L1401,M1401,"")</f>
        <v/>
      </c>
      <c r="X1401" s="258" t="str">
        <f t="shared" si="64"/>
        <v/>
      </c>
      <c r="Y1401" s="36" t="str">
        <f t="shared" si="65"/>
        <v/>
      </c>
      <c r="Z1401" s="340" t="str">
        <f>IF(AND(C1401&gt;0,D1401&lt;&gt;"",S1401=""),VLOOKUP(A1401&amp;IF(H1401="黑丝","黑","白")&amp;E1401,经纬!A:M,13,FALSE)*(I1401-AB1401),"")</f>
        <v/>
      </c>
      <c r="AA1401" s="340" t="str">
        <f>IF(AND(C1401&gt;0,D1401&lt;&gt;"",S1401=""),VLOOKUP(A1401&amp;IF(H1401="黑丝","黑","白")&amp;E1401,经纬!A:N,14,FALSE)*(I1401-AB1401),"")</f>
        <v/>
      </c>
    </row>
    <row r="1402" spans="13:27">
      <c r="M1402" s="24" t="str">
        <f t="array" ref="M1402">LEFT(L1402,MIN(FIND({"A","B","C"},MID(L1402,2,LEN(L1402))&amp;"ABC")))</f>
        <v/>
      </c>
      <c r="N1402" s="24" t="str">
        <f t="array" ref="N1402">SUBSTITUTE(L1402,M1402,"")</f>
        <v/>
      </c>
      <c r="X1402" s="258" t="str">
        <f t="shared" si="64"/>
        <v/>
      </c>
      <c r="Y1402" s="36" t="str">
        <f t="shared" si="65"/>
        <v/>
      </c>
      <c r="Z1402" s="340" t="str">
        <f>IF(AND(C1402&gt;0,D1402&lt;&gt;"",S1402=""),VLOOKUP(A1402&amp;IF(H1402="黑丝","黑","白")&amp;E1402,经纬!A:M,13,FALSE)*(I1402-AB1402),"")</f>
        <v/>
      </c>
      <c r="AA1402" s="340" t="str">
        <f>IF(AND(C1402&gt;0,D1402&lt;&gt;"",S1402=""),VLOOKUP(A1402&amp;IF(H1402="黑丝","黑","白")&amp;E1402,经纬!A:N,14,FALSE)*(I1402-AB1402),"")</f>
        <v/>
      </c>
    </row>
    <row r="1403" spans="13:27">
      <c r="M1403" s="24" t="str">
        <f t="array" ref="M1403">LEFT(L1403,MIN(FIND({"A","B","C"},MID(L1403,2,LEN(L1403))&amp;"ABC")))</f>
        <v/>
      </c>
      <c r="N1403" s="24" t="str">
        <f t="array" ref="N1403">SUBSTITUTE(L1403,M1403,"")</f>
        <v/>
      </c>
      <c r="X1403" s="258" t="str">
        <f t="shared" si="64"/>
        <v/>
      </c>
      <c r="Y1403" s="36" t="str">
        <f t="shared" si="65"/>
        <v/>
      </c>
      <c r="Z1403" s="340" t="str">
        <f>IF(AND(C1403&gt;0,D1403&lt;&gt;"",S1403=""),VLOOKUP(A1403&amp;IF(H1403="黑丝","黑","白")&amp;E1403,经纬!A:M,13,FALSE)*(I1403-AB1403),"")</f>
        <v/>
      </c>
      <c r="AA1403" s="340" t="str">
        <f>IF(AND(C1403&gt;0,D1403&lt;&gt;"",S1403=""),VLOOKUP(A1403&amp;IF(H1403="黑丝","黑","白")&amp;E1403,经纬!A:N,14,FALSE)*(I1403-AB1403),"")</f>
        <v/>
      </c>
    </row>
    <row r="1404" spans="13:27">
      <c r="M1404" s="24" t="str">
        <f t="array" ref="M1404">LEFT(L1404,MIN(FIND({"A","B","C"},MID(L1404,2,LEN(L1404))&amp;"ABC")))</f>
        <v/>
      </c>
      <c r="N1404" s="24" t="str">
        <f t="array" ref="N1404">SUBSTITUTE(L1404,M1404,"")</f>
        <v/>
      </c>
      <c r="X1404" s="258" t="str">
        <f t="shared" si="64"/>
        <v/>
      </c>
      <c r="Y1404" s="36" t="str">
        <f t="shared" si="65"/>
        <v/>
      </c>
      <c r="Z1404" s="340" t="str">
        <f>IF(AND(C1404&gt;0,D1404&lt;&gt;"",S1404=""),VLOOKUP(A1404&amp;IF(H1404="黑丝","黑","白")&amp;E1404,经纬!A:M,13,FALSE)*(I1404-AB1404),"")</f>
        <v/>
      </c>
      <c r="AA1404" s="340" t="str">
        <f>IF(AND(C1404&gt;0,D1404&lt;&gt;"",S1404=""),VLOOKUP(A1404&amp;IF(H1404="黑丝","黑","白")&amp;E1404,经纬!A:N,14,FALSE)*(I1404-AB1404),"")</f>
        <v/>
      </c>
    </row>
    <row r="1405" spans="13:27">
      <c r="M1405" s="24" t="str">
        <f t="array" ref="M1405">LEFT(L1405,MIN(FIND({"A","B","C"},MID(L1405,2,LEN(L1405))&amp;"ABC")))</f>
        <v/>
      </c>
      <c r="N1405" s="24" t="str">
        <f t="array" ref="N1405">SUBSTITUTE(L1405,M1405,"")</f>
        <v/>
      </c>
      <c r="X1405" s="258" t="str">
        <f t="shared" si="64"/>
        <v/>
      </c>
      <c r="Y1405" s="36" t="str">
        <f t="shared" si="65"/>
        <v/>
      </c>
      <c r="Z1405" s="340" t="str">
        <f>IF(AND(C1405&gt;0,D1405&lt;&gt;"",S1405=""),VLOOKUP(A1405&amp;IF(H1405="黑丝","黑","白")&amp;E1405,经纬!A:M,13,FALSE)*(I1405-AB1405),"")</f>
        <v/>
      </c>
      <c r="AA1405" s="340" t="str">
        <f>IF(AND(C1405&gt;0,D1405&lt;&gt;"",S1405=""),VLOOKUP(A1405&amp;IF(H1405="黑丝","黑","白")&amp;E1405,经纬!A:N,14,FALSE)*(I1405-AB1405),"")</f>
        <v/>
      </c>
    </row>
    <row r="1406" spans="13:27">
      <c r="M1406" s="24" t="str">
        <f t="array" ref="M1406">LEFT(L1406,MIN(FIND({"A","B","C"},MID(L1406,2,LEN(L1406))&amp;"ABC")))</f>
        <v/>
      </c>
      <c r="N1406" s="24" t="str">
        <f t="array" ref="N1406">SUBSTITUTE(L1406,M1406,"")</f>
        <v/>
      </c>
      <c r="X1406" s="258" t="str">
        <f t="shared" si="64"/>
        <v/>
      </c>
      <c r="Y1406" s="36" t="str">
        <f t="shared" si="65"/>
        <v/>
      </c>
      <c r="Z1406" s="340" t="str">
        <f>IF(AND(C1406&gt;0,D1406&lt;&gt;"",S1406=""),VLOOKUP(A1406&amp;IF(H1406="黑丝","黑","白")&amp;E1406,经纬!A:M,13,FALSE)*(I1406-AB1406),"")</f>
        <v/>
      </c>
      <c r="AA1406" s="340" t="str">
        <f>IF(AND(C1406&gt;0,D1406&lt;&gt;"",S1406=""),VLOOKUP(A1406&amp;IF(H1406="黑丝","黑","白")&amp;E1406,经纬!A:N,14,FALSE)*(I1406-AB1406),"")</f>
        <v/>
      </c>
    </row>
    <row r="1407" spans="13:27">
      <c r="M1407" s="24" t="str">
        <f t="array" ref="M1407">LEFT(L1407,MIN(FIND({"A","B","C"},MID(L1407,2,LEN(L1407))&amp;"ABC")))</f>
        <v/>
      </c>
      <c r="N1407" s="24" t="str">
        <f t="array" ref="N1407">SUBSTITUTE(L1407,M1407,"")</f>
        <v/>
      </c>
      <c r="X1407" s="258" t="str">
        <f t="shared" si="64"/>
        <v/>
      </c>
      <c r="Y1407" s="36" t="str">
        <f t="shared" si="65"/>
        <v/>
      </c>
      <c r="Z1407" s="340" t="str">
        <f>IF(AND(C1407&gt;0,D1407&lt;&gt;"",S1407=""),VLOOKUP(A1407&amp;IF(H1407="黑丝","黑","白")&amp;E1407,经纬!A:M,13,FALSE)*(I1407-AB1407),"")</f>
        <v/>
      </c>
      <c r="AA1407" s="340" t="str">
        <f>IF(AND(C1407&gt;0,D1407&lt;&gt;"",S1407=""),VLOOKUP(A1407&amp;IF(H1407="黑丝","黑","白")&amp;E1407,经纬!A:N,14,FALSE)*(I1407-AB1407),"")</f>
        <v/>
      </c>
    </row>
    <row r="1408" spans="13:27">
      <c r="M1408" s="24" t="str">
        <f t="array" ref="M1408">LEFT(L1408,MIN(FIND({"A","B","C"},MID(L1408,2,LEN(L1408))&amp;"ABC")))</f>
        <v/>
      </c>
      <c r="N1408" s="24" t="str">
        <f t="array" ref="N1408">SUBSTITUTE(L1408,M1408,"")</f>
        <v/>
      </c>
      <c r="X1408" s="258" t="str">
        <f t="shared" si="64"/>
        <v/>
      </c>
      <c r="Y1408" s="36" t="str">
        <f t="shared" si="65"/>
        <v/>
      </c>
      <c r="Z1408" s="340" t="str">
        <f>IF(AND(C1408&gt;0,D1408&lt;&gt;"",S1408=""),VLOOKUP(A1408&amp;IF(H1408="黑丝","黑","白")&amp;E1408,经纬!A:M,13,FALSE)*(I1408-AB1408),"")</f>
        <v/>
      </c>
      <c r="AA1408" s="340" t="str">
        <f>IF(AND(C1408&gt;0,D1408&lt;&gt;"",S1408=""),VLOOKUP(A1408&amp;IF(H1408="黑丝","黑","白")&amp;E1408,经纬!A:N,14,FALSE)*(I1408-AB1408),"")</f>
        <v/>
      </c>
    </row>
    <row r="1409" spans="13:27">
      <c r="M1409" s="24" t="str">
        <f t="array" ref="M1409">LEFT(L1409,MIN(FIND({"A","B","C"},MID(L1409,2,LEN(L1409))&amp;"ABC")))</f>
        <v/>
      </c>
      <c r="N1409" s="24" t="str">
        <f t="array" ref="N1409">SUBSTITUTE(L1409,M1409,"")</f>
        <v/>
      </c>
      <c r="X1409" s="258" t="str">
        <f t="shared" si="64"/>
        <v/>
      </c>
      <c r="Y1409" s="36" t="str">
        <f t="shared" si="65"/>
        <v/>
      </c>
      <c r="Z1409" s="340" t="str">
        <f>IF(AND(C1409&gt;0,D1409&lt;&gt;"",S1409=""),VLOOKUP(A1409&amp;IF(H1409="黑丝","黑","白")&amp;E1409,经纬!A:M,13,FALSE)*(I1409-AB1409),"")</f>
        <v/>
      </c>
      <c r="AA1409" s="340" t="str">
        <f>IF(AND(C1409&gt;0,D1409&lt;&gt;"",S1409=""),VLOOKUP(A1409&amp;IF(H1409="黑丝","黑","白")&amp;E1409,经纬!A:N,14,FALSE)*(I1409-AB1409),"")</f>
        <v/>
      </c>
    </row>
    <row r="1410" spans="13:27">
      <c r="M1410" s="24" t="str">
        <f t="array" ref="M1410">LEFT(L1410,MIN(FIND({"A","B","C"},MID(L1410,2,LEN(L1410))&amp;"ABC")))</f>
        <v/>
      </c>
      <c r="N1410" s="24" t="str">
        <f t="array" ref="N1410">SUBSTITUTE(L1410,M1410,"")</f>
        <v/>
      </c>
      <c r="X1410" s="258" t="str">
        <f t="shared" si="64"/>
        <v/>
      </c>
      <c r="Y1410" s="36" t="str">
        <f t="shared" si="65"/>
        <v/>
      </c>
      <c r="Z1410" s="340" t="str">
        <f>IF(AND(C1410&gt;0,D1410&lt;&gt;"",S1410=""),VLOOKUP(A1410&amp;IF(H1410="黑丝","黑","白")&amp;E1410,经纬!A:M,13,FALSE)*(I1410-AB1410),"")</f>
        <v/>
      </c>
      <c r="AA1410" s="340" t="str">
        <f>IF(AND(C1410&gt;0,D1410&lt;&gt;"",S1410=""),VLOOKUP(A1410&amp;IF(H1410="黑丝","黑","白")&amp;E1410,经纬!A:N,14,FALSE)*(I1410-AB1410),"")</f>
        <v/>
      </c>
    </row>
    <row r="1411" spans="13:27">
      <c r="M1411" s="24" t="str">
        <f t="array" ref="M1411">LEFT(L1411,MIN(FIND({"A","B","C"},MID(L1411,2,LEN(L1411))&amp;"ABC")))</f>
        <v/>
      </c>
      <c r="N1411" s="24" t="str">
        <f t="array" ref="N1411">SUBSTITUTE(L1411,M1411,"")</f>
        <v/>
      </c>
      <c r="X1411" s="258" t="str">
        <f t="shared" si="64"/>
        <v/>
      </c>
      <c r="Y1411" s="36" t="str">
        <f t="shared" si="65"/>
        <v/>
      </c>
      <c r="Z1411" s="340" t="str">
        <f>IF(AND(C1411&gt;0,D1411&lt;&gt;"",S1411=""),VLOOKUP(A1411&amp;IF(H1411="黑丝","黑","白")&amp;E1411,经纬!A:M,13,FALSE)*(I1411-AB1411),"")</f>
        <v/>
      </c>
      <c r="AA1411" s="340" t="str">
        <f>IF(AND(C1411&gt;0,D1411&lt;&gt;"",S1411=""),VLOOKUP(A1411&amp;IF(H1411="黑丝","黑","白")&amp;E1411,经纬!A:N,14,FALSE)*(I1411-AB1411),"")</f>
        <v/>
      </c>
    </row>
    <row r="1412" spans="13:27">
      <c r="M1412" s="24" t="str">
        <f t="array" ref="M1412">LEFT(L1412,MIN(FIND({"A","B","C"},MID(L1412,2,LEN(L1412))&amp;"ABC")))</f>
        <v/>
      </c>
      <c r="N1412" s="24" t="str">
        <f t="array" ref="N1412">SUBSTITUTE(L1412,M1412,"")</f>
        <v/>
      </c>
      <c r="X1412" s="258" t="str">
        <f t="shared" si="64"/>
        <v/>
      </c>
      <c r="Y1412" s="36" t="str">
        <f t="shared" si="65"/>
        <v/>
      </c>
      <c r="Z1412" s="340" t="str">
        <f>IF(AND(C1412&gt;0,D1412&lt;&gt;"",S1412=""),VLOOKUP(A1412&amp;IF(H1412="黑丝","黑","白")&amp;E1412,经纬!A:M,13,FALSE)*(I1412-AB1412),"")</f>
        <v/>
      </c>
      <c r="AA1412" s="340" t="str">
        <f>IF(AND(C1412&gt;0,D1412&lt;&gt;"",S1412=""),VLOOKUP(A1412&amp;IF(H1412="黑丝","黑","白")&amp;E1412,经纬!A:N,14,FALSE)*(I1412-AB1412),"")</f>
        <v/>
      </c>
    </row>
    <row r="1413" spans="13:27">
      <c r="M1413" s="24" t="str">
        <f t="array" ref="M1413">LEFT(L1413,MIN(FIND({"A","B","C"},MID(L1413,2,LEN(L1413))&amp;"ABC")))</f>
        <v/>
      </c>
      <c r="N1413" s="24" t="str">
        <f t="array" ref="N1413">SUBSTITUTE(L1413,M1413,"")</f>
        <v/>
      </c>
      <c r="X1413" s="258" t="str">
        <f t="shared" si="64"/>
        <v/>
      </c>
      <c r="Y1413" s="36" t="str">
        <f t="shared" si="65"/>
        <v/>
      </c>
      <c r="Z1413" s="340" t="str">
        <f>IF(AND(C1413&gt;0,D1413&lt;&gt;"",S1413=""),VLOOKUP(A1413&amp;IF(H1413="黑丝","黑","白")&amp;E1413,经纬!A:M,13,FALSE)*(I1413-AB1413),"")</f>
        <v/>
      </c>
      <c r="AA1413" s="340" t="str">
        <f>IF(AND(C1413&gt;0,D1413&lt;&gt;"",S1413=""),VLOOKUP(A1413&amp;IF(H1413="黑丝","黑","白")&amp;E1413,经纬!A:N,14,FALSE)*(I1413-AB1413),"")</f>
        <v/>
      </c>
    </row>
    <row r="1414" spans="13:27">
      <c r="M1414" s="24" t="str">
        <f t="array" ref="M1414">LEFT(L1414,MIN(FIND({"A","B","C"},MID(L1414,2,LEN(L1414))&amp;"ABC")))</f>
        <v/>
      </c>
      <c r="N1414" s="24" t="str">
        <f t="array" ref="N1414">SUBSTITUTE(L1414,M1414,"")</f>
        <v/>
      </c>
      <c r="X1414" s="258" t="str">
        <f t="shared" si="64"/>
        <v/>
      </c>
      <c r="Y1414" s="36" t="str">
        <f t="shared" si="65"/>
        <v/>
      </c>
      <c r="Z1414" s="340" t="str">
        <f>IF(AND(C1414&gt;0,D1414&lt;&gt;"",S1414=""),VLOOKUP(A1414&amp;IF(H1414="黑丝","黑","白")&amp;E1414,经纬!A:M,13,FALSE)*(I1414-AB1414),"")</f>
        <v/>
      </c>
      <c r="AA1414" s="340" t="str">
        <f>IF(AND(C1414&gt;0,D1414&lt;&gt;"",S1414=""),VLOOKUP(A1414&amp;IF(H1414="黑丝","黑","白")&amp;E1414,经纬!A:N,14,FALSE)*(I1414-AB1414),"")</f>
        <v/>
      </c>
    </row>
    <row r="1415" spans="13:27">
      <c r="M1415" s="24" t="str">
        <f t="array" ref="M1415">LEFT(L1415,MIN(FIND({"A","B","C"},MID(L1415,2,LEN(L1415))&amp;"ABC")))</f>
        <v/>
      </c>
      <c r="N1415" s="24" t="str">
        <f t="array" ref="N1415">SUBSTITUTE(L1415,M1415,"")</f>
        <v/>
      </c>
      <c r="X1415" s="258" t="str">
        <f t="shared" si="64"/>
        <v/>
      </c>
      <c r="Y1415" s="36" t="str">
        <f t="shared" si="65"/>
        <v/>
      </c>
      <c r="Z1415" s="340" t="str">
        <f>IF(AND(C1415&gt;0,D1415&lt;&gt;"",S1415=""),VLOOKUP(A1415&amp;IF(H1415="黑丝","黑","白")&amp;E1415,经纬!A:M,13,FALSE)*(I1415-AB1415),"")</f>
        <v/>
      </c>
      <c r="AA1415" s="340" t="str">
        <f>IF(AND(C1415&gt;0,D1415&lt;&gt;"",S1415=""),VLOOKUP(A1415&amp;IF(H1415="黑丝","黑","白")&amp;E1415,经纬!A:N,14,FALSE)*(I1415-AB1415),"")</f>
        <v/>
      </c>
    </row>
    <row r="1416" spans="13:27">
      <c r="M1416" s="24" t="str">
        <f t="array" ref="M1416">LEFT(L1416,MIN(FIND({"A","B","C"},MID(L1416,2,LEN(L1416))&amp;"ABC")))</f>
        <v/>
      </c>
      <c r="N1416" s="24" t="str">
        <f t="array" ref="N1416">SUBSTITUTE(L1416,M1416,"")</f>
        <v/>
      </c>
      <c r="X1416" s="258" t="str">
        <f t="shared" si="64"/>
        <v/>
      </c>
      <c r="Y1416" s="36" t="str">
        <f t="shared" si="65"/>
        <v/>
      </c>
      <c r="Z1416" s="340" t="str">
        <f>IF(AND(C1416&gt;0,D1416&lt;&gt;"",S1416=""),VLOOKUP(A1416&amp;IF(H1416="黑丝","黑","白")&amp;E1416,经纬!A:M,13,FALSE)*(I1416-AB1416),"")</f>
        <v/>
      </c>
      <c r="AA1416" s="340" t="str">
        <f>IF(AND(C1416&gt;0,D1416&lt;&gt;"",S1416=""),VLOOKUP(A1416&amp;IF(H1416="黑丝","黑","白")&amp;E1416,经纬!A:N,14,FALSE)*(I1416-AB1416),"")</f>
        <v/>
      </c>
    </row>
    <row r="1417" spans="13:27">
      <c r="M1417" s="24" t="str">
        <f t="array" ref="M1417">LEFT(L1417,MIN(FIND({"A","B","C"},MID(L1417,2,LEN(L1417))&amp;"ABC")))</f>
        <v/>
      </c>
      <c r="N1417" s="24" t="str">
        <f t="array" ref="N1417">SUBSTITUTE(L1417,M1417,"")</f>
        <v/>
      </c>
      <c r="X1417" s="258" t="str">
        <f t="shared" si="64"/>
        <v/>
      </c>
      <c r="Y1417" s="36" t="str">
        <f t="shared" si="65"/>
        <v/>
      </c>
      <c r="Z1417" s="340" t="str">
        <f>IF(AND(C1417&gt;0,D1417&lt;&gt;"",S1417=""),VLOOKUP(A1417&amp;IF(H1417="黑丝","黑","白")&amp;E1417,经纬!A:M,13,FALSE)*(I1417-AB1417),"")</f>
        <v/>
      </c>
      <c r="AA1417" s="340" t="str">
        <f>IF(AND(C1417&gt;0,D1417&lt;&gt;"",S1417=""),VLOOKUP(A1417&amp;IF(H1417="黑丝","黑","白")&amp;E1417,经纬!A:N,14,FALSE)*(I1417-AB1417),"")</f>
        <v/>
      </c>
    </row>
    <row r="1418" spans="13:27">
      <c r="M1418" s="24" t="str">
        <f t="array" ref="M1418">LEFT(L1418,MIN(FIND({"A","B","C"},MID(L1418,2,LEN(L1418))&amp;"ABC")))</f>
        <v/>
      </c>
      <c r="N1418" s="24" t="str">
        <f t="array" ref="N1418">SUBSTITUTE(L1418,M1418,"")</f>
        <v/>
      </c>
      <c r="X1418" s="258" t="str">
        <f t="shared" si="64"/>
        <v/>
      </c>
      <c r="Y1418" s="36" t="str">
        <f t="shared" si="65"/>
        <v/>
      </c>
      <c r="Z1418" s="340" t="str">
        <f>IF(AND(C1418&gt;0,D1418&lt;&gt;"",S1418=""),VLOOKUP(A1418&amp;IF(H1418="黑丝","黑","白")&amp;E1418,经纬!A:M,13,FALSE)*(I1418-AB1418),"")</f>
        <v/>
      </c>
      <c r="AA1418" s="340" t="str">
        <f>IF(AND(C1418&gt;0,D1418&lt;&gt;"",S1418=""),VLOOKUP(A1418&amp;IF(H1418="黑丝","黑","白")&amp;E1418,经纬!A:N,14,FALSE)*(I1418-AB1418),"")</f>
        <v/>
      </c>
    </row>
    <row r="1419" spans="13:27">
      <c r="M1419" s="24" t="str">
        <f t="array" ref="M1419">LEFT(L1419,MIN(FIND({"A","B","C"},MID(L1419,2,LEN(L1419))&amp;"ABC")))</f>
        <v/>
      </c>
      <c r="N1419" s="24" t="str">
        <f t="array" ref="N1419">SUBSTITUTE(L1419,M1419,"")</f>
        <v/>
      </c>
      <c r="X1419" s="258" t="str">
        <f t="shared" si="64"/>
        <v/>
      </c>
      <c r="Y1419" s="36" t="str">
        <f t="shared" si="65"/>
        <v/>
      </c>
      <c r="Z1419" s="340" t="str">
        <f>IF(AND(C1419&gt;0,D1419&lt;&gt;"",S1419=""),VLOOKUP(A1419&amp;IF(H1419="黑丝","黑","白")&amp;E1419,经纬!A:M,13,FALSE)*(I1419-AB1419),"")</f>
        <v/>
      </c>
      <c r="AA1419" s="340" t="str">
        <f>IF(AND(C1419&gt;0,D1419&lt;&gt;"",S1419=""),VLOOKUP(A1419&amp;IF(H1419="黑丝","黑","白")&amp;E1419,经纬!A:N,14,FALSE)*(I1419-AB1419),"")</f>
        <v/>
      </c>
    </row>
    <row r="1420" spans="13:27">
      <c r="M1420" s="24" t="str">
        <f t="array" ref="M1420">LEFT(L1420,MIN(FIND({"A","B","C"},MID(L1420,2,LEN(L1420))&amp;"ABC")))</f>
        <v/>
      </c>
      <c r="N1420" s="24" t="str">
        <f t="array" ref="N1420">SUBSTITUTE(L1420,M1420,"")</f>
        <v/>
      </c>
      <c r="X1420" s="258" t="str">
        <f t="shared" si="64"/>
        <v/>
      </c>
      <c r="Y1420" s="36" t="str">
        <f t="shared" si="65"/>
        <v/>
      </c>
      <c r="Z1420" s="340" t="str">
        <f>IF(AND(C1420&gt;0,D1420&lt;&gt;"",S1420=""),VLOOKUP(A1420&amp;IF(H1420="黑丝","黑","白")&amp;E1420,经纬!A:M,13,FALSE)*(I1420-AB1420),"")</f>
        <v/>
      </c>
      <c r="AA1420" s="340" t="str">
        <f>IF(AND(C1420&gt;0,D1420&lt;&gt;"",S1420=""),VLOOKUP(A1420&amp;IF(H1420="黑丝","黑","白")&amp;E1420,经纬!A:N,14,FALSE)*(I1420-AB1420),"")</f>
        <v/>
      </c>
    </row>
    <row r="1421" spans="13:27">
      <c r="M1421" s="24" t="str">
        <f t="array" ref="M1421">LEFT(L1421,MIN(FIND({"A","B","C"},MID(L1421,2,LEN(L1421))&amp;"ABC")))</f>
        <v/>
      </c>
      <c r="N1421" s="24" t="str">
        <f t="array" ref="N1421">SUBSTITUTE(L1421,M1421,"")</f>
        <v/>
      </c>
      <c r="X1421" s="258" t="str">
        <f t="shared" si="64"/>
        <v/>
      </c>
      <c r="Y1421" s="36" t="str">
        <f t="shared" si="65"/>
        <v/>
      </c>
      <c r="Z1421" s="340" t="str">
        <f>IF(AND(C1421&gt;0,D1421&lt;&gt;"",S1421=""),VLOOKUP(A1421&amp;IF(H1421="黑丝","黑","白")&amp;E1421,经纬!A:M,13,FALSE)*(I1421-AB1421),"")</f>
        <v/>
      </c>
      <c r="AA1421" s="340" t="str">
        <f>IF(AND(C1421&gt;0,D1421&lt;&gt;"",S1421=""),VLOOKUP(A1421&amp;IF(H1421="黑丝","黑","白")&amp;E1421,经纬!A:N,14,FALSE)*(I1421-AB1421),"")</f>
        <v/>
      </c>
    </row>
    <row r="1422" spans="13:27">
      <c r="M1422" s="24" t="str">
        <f t="array" ref="M1422">LEFT(L1422,MIN(FIND({"A","B","C"},MID(L1422,2,LEN(L1422))&amp;"ABC")))</f>
        <v/>
      </c>
      <c r="N1422" s="24" t="str">
        <f t="array" ref="N1422">SUBSTITUTE(L1422,M1422,"")</f>
        <v/>
      </c>
      <c r="X1422" s="258" t="str">
        <f t="shared" si="64"/>
        <v/>
      </c>
      <c r="Y1422" s="36" t="str">
        <f t="shared" si="65"/>
        <v/>
      </c>
      <c r="Z1422" s="340" t="str">
        <f>IF(AND(C1422&gt;0,D1422&lt;&gt;"",S1422=""),VLOOKUP(A1422&amp;IF(H1422="黑丝","黑","白")&amp;E1422,经纬!A:M,13,FALSE)*(I1422-AB1422),"")</f>
        <v/>
      </c>
      <c r="AA1422" s="340" t="str">
        <f>IF(AND(C1422&gt;0,D1422&lt;&gt;"",S1422=""),VLOOKUP(A1422&amp;IF(H1422="黑丝","黑","白")&amp;E1422,经纬!A:N,14,FALSE)*(I1422-AB1422),"")</f>
        <v/>
      </c>
    </row>
    <row r="1423" spans="13:27">
      <c r="M1423" s="24" t="str">
        <f t="array" ref="M1423">LEFT(L1423,MIN(FIND({"A","B","C"},MID(L1423,2,LEN(L1423))&amp;"ABC")))</f>
        <v/>
      </c>
      <c r="N1423" s="24" t="str">
        <f t="array" ref="N1423">SUBSTITUTE(L1423,M1423,"")</f>
        <v/>
      </c>
      <c r="X1423" s="258" t="str">
        <f t="shared" si="64"/>
        <v/>
      </c>
      <c r="Y1423" s="36" t="str">
        <f t="shared" si="65"/>
        <v/>
      </c>
      <c r="Z1423" s="340" t="str">
        <f>IF(AND(C1423&gt;0,D1423&lt;&gt;"",S1423=""),VLOOKUP(A1423&amp;IF(H1423="黑丝","黑","白")&amp;E1423,经纬!A:M,13,FALSE)*(I1423-AB1423),"")</f>
        <v/>
      </c>
      <c r="AA1423" s="340" t="str">
        <f>IF(AND(C1423&gt;0,D1423&lt;&gt;"",S1423=""),VLOOKUP(A1423&amp;IF(H1423="黑丝","黑","白")&amp;E1423,经纬!A:N,14,FALSE)*(I1423-AB1423),"")</f>
        <v/>
      </c>
    </row>
    <row r="1424" spans="13:27">
      <c r="M1424" s="24" t="str">
        <f t="array" ref="M1424">LEFT(L1424,MIN(FIND({"A","B","C"},MID(L1424,2,LEN(L1424))&amp;"ABC")))</f>
        <v/>
      </c>
      <c r="N1424" s="24" t="str">
        <f t="array" ref="N1424">SUBSTITUTE(L1424,M1424,"")</f>
        <v/>
      </c>
      <c r="X1424" s="258" t="str">
        <f t="shared" si="64"/>
        <v/>
      </c>
      <c r="Y1424" s="36" t="str">
        <f t="shared" si="65"/>
        <v/>
      </c>
      <c r="Z1424" s="340" t="str">
        <f>IF(AND(C1424&gt;0,D1424&lt;&gt;"",S1424=""),VLOOKUP(A1424&amp;IF(H1424="黑丝","黑","白")&amp;E1424,经纬!A:M,13,FALSE)*(I1424-AB1424),"")</f>
        <v/>
      </c>
      <c r="AA1424" s="340" t="str">
        <f>IF(AND(C1424&gt;0,D1424&lt;&gt;"",S1424=""),VLOOKUP(A1424&amp;IF(H1424="黑丝","黑","白")&amp;E1424,经纬!A:N,14,FALSE)*(I1424-AB1424),"")</f>
        <v/>
      </c>
    </row>
    <row r="1425" spans="13:27">
      <c r="M1425" s="24" t="str">
        <f t="array" ref="M1425">LEFT(L1425,MIN(FIND({"A","B","C"},MID(L1425,2,LEN(L1425))&amp;"ABC")))</f>
        <v/>
      </c>
      <c r="N1425" s="24" t="str">
        <f t="array" ref="N1425">SUBSTITUTE(L1425,M1425,"")</f>
        <v/>
      </c>
      <c r="X1425" s="258" t="str">
        <f t="shared" si="64"/>
        <v/>
      </c>
      <c r="Y1425" s="36" t="str">
        <f t="shared" si="65"/>
        <v/>
      </c>
      <c r="Z1425" s="340" t="str">
        <f>IF(AND(C1425&gt;0,D1425&lt;&gt;"",S1425=""),VLOOKUP(A1425&amp;IF(H1425="黑丝","黑","白")&amp;E1425,经纬!A:M,13,FALSE)*(I1425-AB1425),"")</f>
        <v/>
      </c>
      <c r="AA1425" s="340" t="str">
        <f>IF(AND(C1425&gt;0,D1425&lt;&gt;"",S1425=""),VLOOKUP(A1425&amp;IF(H1425="黑丝","黑","白")&amp;E1425,经纬!A:N,14,FALSE)*(I1425-AB1425),"")</f>
        <v/>
      </c>
    </row>
    <row r="1426" spans="13:27">
      <c r="M1426" s="24" t="str">
        <f t="array" ref="M1426">LEFT(L1426,MIN(FIND({"A","B","C"},MID(L1426,2,LEN(L1426))&amp;"ABC")))</f>
        <v/>
      </c>
      <c r="N1426" s="24" t="str">
        <f t="array" ref="N1426">SUBSTITUTE(L1426,M1426,"")</f>
        <v/>
      </c>
      <c r="X1426" s="258" t="str">
        <f t="shared" si="64"/>
        <v/>
      </c>
      <c r="Y1426" s="36" t="str">
        <f t="shared" si="65"/>
        <v/>
      </c>
      <c r="Z1426" s="340" t="str">
        <f>IF(AND(C1426&gt;0,D1426&lt;&gt;"",S1426=""),VLOOKUP(A1426&amp;IF(H1426="黑丝","黑","白")&amp;E1426,经纬!A:M,13,FALSE)*(I1426-AB1426),"")</f>
        <v/>
      </c>
      <c r="AA1426" s="340" t="str">
        <f>IF(AND(C1426&gt;0,D1426&lt;&gt;"",S1426=""),VLOOKUP(A1426&amp;IF(H1426="黑丝","黑","白")&amp;E1426,经纬!A:N,14,FALSE)*(I1426-AB1426),"")</f>
        <v/>
      </c>
    </row>
    <row r="1427" spans="13:27">
      <c r="M1427" s="24" t="str">
        <f t="array" ref="M1427">LEFT(L1427,MIN(FIND({"A","B","C"},MID(L1427,2,LEN(L1427))&amp;"ABC")))</f>
        <v/>
      </c>
      <c r="N1427" s="24" t="str">
        <f t="array" ref="N1427">SUBSTITUTE(L1427,M1427,"")</f>
        <v/>
      </c>
      <c r="X1427" s="258" t="str">
        <f t="shared" si="64"/>
        <v/>
      </c>
      <c r="Y1427" s="36" t="str">
        <f t="shared" si="65"/>
        <v/>
      </c>
      <c r="Z1427" s="340" t="str">
        <f>IF(AND(C1427&gt;0,D1427&lt;&gt;"",S1427=""),VLOOKUP(A1427&amp;IF(H1427="黑丝","黑","白")&amp;E1427,经纬!A:M,13,FALSE)*(I1427-AB1427),"")</f>
        <v/>
      </c>
      <c r="AA1427" s="340" t="str">
        <f>IF(AND(C1427&gt;0,D1427&lt;&gt;"",S1427=""),VLOOKUP(A1427&amp;IF(H1427="黑丝","黑","白")&amp;E1427,经纬!A:N,14,FALSE)*(I1427-AB1427),"")</f>
        <v/>
      </c>
    </row>
    <row r="1428" spans="13:27">
      <c r="M1428" s="24" t="str">
        <f t="array" ref="M1428">LEFT(L1428,MIN(FIND({"A","B","C"},MID(L1428,2,LEN(L1428))&amp;"ABC")))</f>
        <v/>
      </c>
      <c r="N1428" s="24" t="str">
        <f t="array" ref="N1428">SUBSTITUTE(L1428,M1428,"")</f>
        <v/>
      </c>
      <c r="X1428" s="258" t="str">
        <f t="shared" si="64"/>
        <v/>
      </c>
      <c r="Y1428" s="36" t="str">
        <f t="shared" si="65"/>
        <v/>
      </c>
      <c r="Z1428" s="340" t="str">
        <f>IF(AND(C1428&gt;0,D1428&lt;&gt;"",S1428=""),VLOOKUP(A1428&amp;IF(H1428="黑丝","黑","白")&amp;E1428,经纬!A:M,13,FALSE)*(I1428-AB1428),"")</f>
        <v/>
      </c>
      <c r="AA1428" s="340" t="str">
        <f>IF(AND(C1428&gt;0,D1428&lt;&gt;"",S1428=""),VLOOKUP(A1428&amp;IF(H1428="黑丝","黑","白")&amp;E1428,经纬!A:N,14,FALSE)*(I1428-AB1428),"")</f>
        <v/>
      </c>
    </row>
    <row r="1429" spans="13:27">
      <c r="M1429" s="24" t="str">
        <f t="array" ref="M1429">LEFT(L1429,MIN(FIND({"A","B","C"},MID(L1429,2,LEN(L1429))&amp;"ABC")))</f>
        <v/>
      </c>
      <c r="N1429" s="24" t="str">
        <f t="array" ref="N1429">SUBSTITUTE(L1429,M1429,"")</f>
        <v/>
      </c>
      <c r="X1429" s="258" t="str">
        <f t="shared" si="64"/>
        <v/>
      </c>
      <c r="Y1429" s="36" t="str">
        <f t="shared" si="65"/>
        <v/>
      </c>
      <c r="Z1429" s="340" t="str">
        <f>IF(AND(C1429&gt;0,D1429&lt;&gt;"",S1429=""),VLOOKUP(A1429&amp;IF(H1429="黑丝","黑","白")&amp;E1429,经纬!A:M,13,FALSE)*(I1429-AB1429),"")</f>
        <v/>
      </c>
      <c r="AA1429" s="340" t="str">
        <f>IF(AND(C1429&gt;0,D1429&lt;&gt;"",S1429=""),VLOOKUP(A1429&amp;IF(H1429="黑丝","黑","白")&amp;E1429,经纬!A:N,14,FALSE)*(I1429-AB1429),"")</f>
        <v/>
      </c>
    </row>
    <row r="1430" spans="13:27">
      <c r="M1430" s="24" t="str">
        <f t="array" ref="M1430">LEFT(L1430,MIN(FIND({"A","B","C"},MID(L1430,2,LEN(L1430))&amp;"ABC")))</f>
        <v/>
      </c>
      <c r="N1430" s="24" t="str">
        <f t="array" ref="N1430">SUBSTITUTE(L1430,M1430,"")</f>
        <v/>
      </c>
      <c r="X1430" s="258" t="str">
        <f t="shared" si="64"/>
        <v/>
      </c>
      <c r="Y1430" s="36" t="str">
        <f t="shared" si="65"/>
        <v/>
      </c>
      <c r="Z1430" s="340" t="str">
        <f>IF(AND(C1430&gt;0,D1430&lt;&gt;"",S1430=""),VLOOKUP(A1430&amp;IF(H1430="黑丝","黑","白")&amp;E1430,经纬!A:M,13,FALSE)*(I1430-AB1430),"")</f>
        <v/>
      </c>
      <c r="AA1430" s="340" t="str">
        <f>IF(AND(C1430&gt;0,D1430&lt;&gt;"",S1430=""),VLOOKUP(A1430&amp;IF(H1430="黑丝","黑","白")&amp;E1430,经纬!A:N,14,FALSE)*(I1430-AB1430),"")</f>
        <v/>
      </c>
    </row>
    <row r="1431" spans="13:27">
      <c r="M1431" s="24" t="str">
        <f t="array" ref="M1431">LEFT(L1431,MIN(FIND({"A","B","C"},MID(L1431,2,LEN(L1431))&amp;"ABC")))</f>
        <v/>
      </c>
      <c r="N1431" s="24" t="str">
        <f t="array" ref="N1431">SUBSTITUTE(L1431,M1431,"")</f>
        <v/>
      </c>
      <c r="X1431" s="258" t="str">
        <f t="shared" si="64"/>
        <v/>
      </c>
      <c r="Y1431" s="36" t="str">
        <f t="shared" si="65"/>
        <v/>
      </c>
      <c r="Z1431" s="340" t="str">
        <f>IF(AND(C1431&gt;0,D1431&lt;&gt;"",S1431=""),VLOOKUP(A1431&amp;IF(H1431="黑丝","黑","白")&amp;E1431,经纬!A:M,13,FALSE)*(I1431-AB1431),"")</f>
        <v/>
      </c>
      <c r="AA1431" s="340" t="str">
        <f>IF(AND(C1431&gt;0,D1431&lt;&gt;"",S1431=""),VLOOKUP(A1431&amp;IF(H1431="黑丝","黑","白")&amp;E1431,经纬!A:N,14,FALSE)*(I1431-AB1431),"")</f>
        <v/>
      </c>
    </row>
    <row r="1432" spans="13:27">
      <c r="M1432" s="24" t="str">
        <f t="array" ref="M1432">LEFT(L1432,MIN(FIND({"A","B","C"},MID(L1432,2,LEN(L1432))&amp;"ABC")))</f>
        <v/>
      </c>
      <c r="N1432" s="24" t="str">
        <f t="array" ref="N1432">SUBSTITUTE(L1432,M1432,"")</f>
        <v/>
      </c>
      <c r="X1432" s="258" t="str">
        <f t="shared" si="64"/>
        <v/>
      </c>
      <c r="Y1432" s="36" t="str">
        <f t="shared" si="65"/>
        <v/>
      </c>
      <c r="Z1432" s="340" t="str">
        <f>IF(AND(C1432&gt;0,D1432&lt;&gt;"",S1432=""),VLOOKUP(A1432&amp;IF(H1432="黑丝","黑","白")&amp;E1432,经纬!A:M,13,FALSE)*(I1432-AB1432),"")</f>
        <v/>
      </c>
      <c r="AA1432" s="340" t="str">
        <f>IF(AND(C1432&gt;0,D1432&lt;&gt;"",S1432=""),VLOOKUP(A1432&amp;IF(H1432="黑丝","黑","白")&amp;E1432,经纬!A:N,14,FALSE)*(I1432-AB1432),"")</f>
        <v/>
      </c>
    </row>
    <row r="1433" spans="13:27">
      <c r="M1433" s="24" t="str">
        <f t="array" ref="M1433">LEFT(L1433,MIN(FIND({"A","B","C"},MID(L1433,2,LEN(L1433))&amp;"ABC")))</f>
        <v/>
      </c>
      <c r="N1433" s="24" t="str">
        <f t="array" ref="N1433">SUBSTITUTE(L1433,M1433,"")</f>
        <v/>
      </c>
      <c r="X1433" s="258" t="str">
        <f t="shared" si="64"/>
        <v/>
      </c>
      <c r="Y1433" s="36" t="str">
        <f t="shared" si="65"/>
        <v/>
      </c>
      <c r="Z1433" s="340" t="str">
        <f>IF(AND(C1433&gt;0,D1433&lt;&gt;"",S1433=""),VLOOKUP(A1433&amp;IF(H1433="黑丝","黑","白")&amp;E1433,经纬!A:M,13,FALSE)*(I1433-AB1433),"")</f>
        <v/>
      </c>
      <c r="AA1433" s="340" t="str">
        <f>IF(AND(C1433&gt;0,D1433&lt;&gt;"",S1433=""),VLOOKUP(A1433&amp;IF(H1433="黑丝","黑","白")&amp;E1433,经纬!A:N,14,FALSE)*(I1433-AB1433),"")</f>
        <v/>
      </c>
    </row>
    <row r="1434" spans="13:27">
      <c r="M1434" s="24" t="str">
        <f t="array" ref="M1434">LEFT(L1434,MIN(FIND({"A","B","C"},MID(L1434,2,LEN(L1434))&amp;"ABC")))</f>
        <v/>
      </c>
      <c r="N1434" s="24" t="str">
        <f t="array" ref="N1434">SUBSTITUTE(L1434,M1434,"")</f>
        <v/>
      </c>
      <c r="X1434" s="258" t="str">
        <f t="shared" si="64"/>
        <v/>
      </c>
      <c r="Y1434" s="36" t="str">
        <f t="shared" si="65"/>
        <v/>
      </c>
      <c r="Z1434" s="340" t="str">
        <f>IF(AND(C1434&gt;0,D1434&lt;&gt;"",S1434=""),VLOOKUP(A1434&amp;IF(H1434="黑丝","黑","白")&amp;E1434,经纬!A:M,13,FALSE)*(I1434-AB1434),"")</f>
        <v/>
      </c>
      <c r="AA1434" s="340" t="str">
        <f>IF(AND(C1434&gt;0,D1434&lt;&gt;"",S1434=""),VLOOKUP(A1434&amp;IF(H1434="黑丝","黑","白")&amp;E1434,经纬!A:N,14,FALSE)*(I1434-AB1434),"")</f>
        <v/>
      </c>
    </row>
    <row r="1435" spans="13:27">
      <c r="M1435" s="24" t="str">
        <f t="array" ref="M1435">LEFT(L1435,MIN(FIND({"A","B","C"},MID(L1435,2,LEN(L1435))&amp;"ABC")))</f>
        <v/>
      </c>
      <c r="N1435" s="24" t="str">
        <f t="array" ref="N1435">SUBSTITUTE(L1435,M1435,"")</f>
        <v/>
      </c>
      <c r="X1435" s="258" t="str">
        <f t="shared" si="64"/>
        <v/>
      </c>
      <c r="Y1435" s="36" t="str">
        <f t="shared" si="65"/>
        <v/>
      </c>
      <c r="Z1435" s="340" t="str">
        <f>IF(AND(C1435&gt;0,D1435&lt;&gt;"",S1435=""),VLOOKUP(A1435&amp;IF(H1435="黑丝","黑","白")&amp;E1435,经纬!A:M,13,FALSE)*(I1435-AB1435),"")</f>
        <v/>
      </c>
      <c r="AA1435" s="340" t="str">
        <f>IF(AND(C1435&gt;0,D1435&lt;&gt;"",S1435=""),VLOOKUP(A1435&amp;IF(H1435="黑丝","黑","白")&amp;E1435,经纬!A:N,14,FALSE)*(I1435-AB1435),"")</f>
        <v/>
      </c>
    </row>
    <row r="1436" spans="13:27">
      <c r="M1436" s="24" t="str">
        <f t="array" ref="M1436">LEFT(L1436,MIN(FIND({"A","B","C"},MID(L1436,2,LEN(L1436))&amp;"ABC")))</f>
        <v/>
      </c>
      <c r="N1436" s="24" t="str">
        <f t="array" ref="N1436">SUBSTITUTE(L1436,M1436,"")</f>
        <v/>
      </c>
      <c r="X1436" s="258" t="str">
        <f t="shared" ref="X1436:X1499" si="66">IF(B1436="","",IF(S1436&lt;&gt;"","",IF(AND(Z1436&lt;&gt;"",AA1436&lt;&gt;""),SUM(Z1436:AA1436),IF(AB1436&lt;&gt;"",(I1436/((1/((G1436+2)/100*K1436/1000))*0.9144)/IF(H1436="黑丝",22,20)-AB1436)*(IF(H1436="黑丝",22,20)),I1436/((1/((G1436+2)/100*K1436/1000))*0.9144)))))</f>
        <v/>
      </c>
      <c r="Y1436" s="36" t="str">
        <f t="shared" si="65"/>
        <v/>
      </c>
      <c r="Z1436" s="340" t="str">
        <f>IF(AND(C1436&gt;0,D1436&lt;&gt;"",S1436=""),VLOOKUP(A1436&amp;IF(H1436="黑丝","黑","白")&amp;E1436,经纬!A:M,13,FALSE)*(I1436-AB1436),"")</f>
        <v/>
      </c>
      <c r="AA1436" s="340" t="str">
        <f>IF(AND(C1436&gt;0,D1436&lt;&gt;"",S1436=""),VLOOKUP(A1436&amp;IF(H1436="黑丝","黑","白")&amp;E1436,经纬!A:N,14,FALSE)*(I1436-AB1436),"")</f>
        <v/>
      </c>
    </row>
    <row r="1437" spans="13:27">
      <c r="M1437" s="24" t="str">
        <f t="array" ref="M1437">LEFT(L1437,MIN(FIND({"A","B","C"},MID(L1437,2,LEN(L1437))&amp;"ABC")))</f>
        <v/>
      </c>
      <c r="N1437" s="24" t="str">
        <f t="array" ref="N1437">SUBSTITUTE(L1437,M1437,"")</f>
        <v/>
      </c>
      <c r="X1437" s="258" t="str">
        <f t="shared" si="66"/>
        <v/>
      </c>
      <c r="Y1437" s="36" t="str">
        <f t="shared" si="65"/>
        <v/>
      </c>
      <c r="Z1437" s="340" t="str">
        <f>IF(AND(C1437&gt;0,D1437&lt;&gt;"",S1437=""),VLOOKUP(A1437&amp;IF(H1437="黑丝","黑","白")&amp;E1437,经纬!A:M,13,FALSE)*(I1437-AB1437),"")</f>
        <v/>
      </c>
      <c r="AA1437" s="340" t="str">
        <f>IF(AND(C1437&gt;0,D1437&lt;&gt;"",S1437=""),VLOOKUP(A1437&amp;IF(H1437="黑丝","黑","白")&amp;E1437,经纬!A:N,14,FALSE)*(I1437-AB1437),"")</f>
        <v/>
      </c>
    </row>
    <row r="1438" spans="13:27">
      <c r="M1438" s="24" t="str">
        <f t="array" ref="M1438">LEFT(L1438,MIN(FIND({"A","B","C"},MID(L1438,2,LEN(L1438))&amp;"ABC")))</f>
        <v/>
      </c>
      <c r="N1438" s="24" t="str">
        <f t="array" ref="N1438">SUBSTITUTE(L1438,M1438,"")</f>
        <v/>
      </c>
      <c r="X1438" s="258" t="str">
        <f t="shared" si="66"/>
        <v/>
      </c>
      <c r="Y1438" s="36" t="str">
        <f t="shared" si="65"/>
        <v/>
      </c>
      <c r="Z1438" s="340" t="str">
        <f>IF(AND(C1438&gt;0,D1438&lt;&gt;"",S1438=""),VLOOKUP(A1438&amp;IF(H1438="黑丝","黑","白")&amp;E1438,经纬!A:M,13,FALSE)*(I1438-AB1438),"")</f>
        <v/>
      </c>
      <c r="AA1438" s="340" t="str">
        <f>IF(AND(C1438&gt;0,D1438&lt;&gt;"",S1438=""),VLOOKUP(A1438&amp;IF(H1438="黑丝","黑","白")&amp;E1438,经纬!A:N,14,FALSE)*(I1438-AB1438),"")</f>
        <v/>
      </c>
    </row>
    <row r="1439" spans="13:27">
      <c r="M1439" s="24" t="str">
        <f t="array" ref="M1439">LEFT(L1439,MIN(FIND({"A","B","C"},MID(L1439,2,LEN(L1439))&amp;"ABC")))</f>
        <v/>
      </c>
      <c r="N1439" s="24" t="str">
        <f t="array" ref="N1439">SUBSTITUTE(L1439,M1439,"")</f>
        <v/>
      </c>
      <c r="X1439" s="258" t="str">
        <f t="shared" si="66"/>
        <v/>
      </c>
      <c r="Y1439" s="36" t="str">
        <f t="shared" si="65"/>
        <v/>
      </c>
      <c r="Z1439" s="340" t="str">
        <f>IF(AND(C1439&gt;0,D1439&lt;&gt;"",S1439=""),VLOOKUP(A1439&amp;IF(H1439="黑丝","黑","白")&amp;E1439,经纬!A:M,13,FALSE)*(I1439-AB1439),"")</f>
        <v/>
      </c>
      <c r="AA1439" s="340" t="str">
        <f>IF(AND(C1439&gt;0,D1439&lt;&gt;"",S1439=""),VLOOKUP(A1439&amp;IF(H1439="黑丝","黑","白")&amp;E1439,经纬!A:N,14,FALSE)*(I1439-AB1439),"")</f>
        <v/>
      </c>
    </row>
    <row r="1440" spans="13:27">
      <c r="M1440" s="24" t="str">
        <f t="array" ref="M1440">LEFT(L1440,MIN(FIND({"A","B","C"},MID(L1440,2,LEN(L1440))&amp;"ABC")))</f>
        <v/>
      </c>
      <c r="N1440" s="24" t="str">
        <f t="array" ref="N1440">SUBSTITUTE(L1440,M1440,"")</f>
        <v/>
      </c>
      <c r="X1440" s="258" t="str">
        <f t="shared" si="66"/>
        <v/>
      </c>
      <c r="Y1440" s="36" t="str">
        <f t="shared" si="65"/>
        <v/>
      </c>
      <c r="Z1440" s="340" t="str">
        <f>IF(AND(C1440&gt;0,D1440&lt;&gt;"",S1440=""),VLOOKUP(A1440&amp;IF(H1440="黑丝","黑","白")&amp;E1440,经纬!A:M,13,FALSE)*(I1440-AB1440),"")</f>
        <v/>
      </c>
      <c r="AA1440" s="340" t="str">
        <f>IF(AND(C1440&gt;0,D1440&lt;&gt;"",S1440=""),VLOOKUP(A1440&amp;IF(H1440="黑丝","黑","白")&amp;E1440,经纬!A:N,14,FALSE)*(I1440-AB1440),"")</f>
        <v/>
      </c>
    </row>
    <row r="1441" spans="13:27">
      <c r="M1441" s="24" t="str">
        <f t="array" ref="M1441">LEFT(L1441,MIN(FIND({"A","B","C"},MID(L1441,2,LEN(L1441))&amp;"ABC")))</f>
        <v/>
      </c>
      <c r="N1441" s="24" t="str">
        <f t="array" ref="N1441">SUBSTITUTE(L1441,M1441,"")</f>
        <v/>
      </c>
      <c r="X1441" s="258" t="str">
        <f t="shared" si="66"/>
        <v/>
      </c>
      <c r="Y1441" s="36" t="str">
        <f t="shared" si="65"/>
        <v/>
      </c>
      <c r="Z1441" s="340" t="str">
        <f>IF(AND(C1441&gt;0,D1441&lt;&gt;"",S1441=""),VLOOKUP(A1441&amp;IF(H1441="黑丝","黑","白")&amp;E1441,经纬!A:M,13,FALSE)*(I1441-AB1441),"")</f>
        <v/>
      </c>
      <c r="AA1441" s="340" t="str">
        <f>IF(AND(C1441&gt;0,D1441&lt;&gt;"",S1441=""),VLOOKUP(A1441&amp;IF(H1441="黑丝","黑","白")&amp;E1441,经纬!A:N,14,FALSE)*(I1441-AB1441),"")</f>
        <v/>
      </c>
    </row>
    <row r="1442" spans="13:27">
      <c r="M1442" s="24" t="str">
        <f t="array" ref="M1442">LEFT(L1442,MIN(FIND({"A","B","C"},MID(L1442,2,LEN(L1442))&amp;"ABC")))</f>
        <v/>
      </c>
      <c r="N1442" s="24" t="str">
        <f t="array" ref="N1442">SUBSTITUTE(L1442,M1442,"")</f>
        <v/>
      </c>
      <c r="X1442" s="258" t="str">
        <f t="shared" si="66"/>
        <v/>
      </c>
      <c r="Y1442" s="36" t="str">
        <f t="shared" si="65"/>
        <v/>
      </c>
      <c r="Z1442" s="340" t="str">
        <f>IF(AND(C1442&gt;0,D1442&lt;&gt;"",S1442=""),VLOOKUP(A1442&amp;IF(H1442="黑丝","黑","白")&amp;E1442,经纬!A:M,13,FALSE)*(I1442-AB1442),"")</f>
        <v/>
      </c>
      <c r="AA1442" s="340" t="str">
        <f>IF(AND(C1442&gt;0,D1442&lt;&gt;"",S1442=""),VLOOKUP(A1442&amp;IF(H1442="黑丝","黑","白")&amp;E1442,经纬!A:N,14,FALSE)*(I1442-AB1442),"")</f>
        <v/>
      </c>
    </row>
    <row r="1443" spans="13:27">
      <c r="M1443" s="24" t="str">
        <f t="array" ref="M1443">LEFT(L1443,MIN(FIND({"A","B","C"},MID(L1443,2,LEN(L1443))&amp;"ABC")))</f>
        <v/>
      </c>
      <c r="N1443" s="24" t="str">
        <f t="array" ref="N1443">SUBSTITUTE(L1443,M1443,"")</f>
        <v/>
      </c>
      <c r="X1443" s="258" t="str">
        <f t="shared" si="66"/>
        <v/>
      </c>
      <c r="Y1443" s="36" t="str">
        <f t="shared" si="65"/>
        <v/>
      </c>
      <c r="Z1443" s="340" t="str">
        <f>IF(AND(C1443&gt;0,D1443&lt;&gt;"",S1443=""),VLOOKUP(A1443&amp;IF(H1443="黑丝","黑","白")&amp;E1443,经纬!A:M,13,FALSE)*(I1443-AB1443),"")</f>
        <v/>
      </c>
      <c r="AA1443" s="340" t="str">
        <f>IF(AND(C1443&gt;0,D1443&lt;&gt;"",S1443=""),VLOOKUP(A1443&amp;IF(H1443="黑丝","黑","白")&amp;E1443,经纬!A:N,14,FALSE)*(I1443-AB1443),"")</f>
        <v/>
      </c>
    </row>
    <row r="1444" spans="13:27">
      <c r="M1444" s="24" t="str">
        <f t="array" ref="M1444">LEFT(L1444,MIN(FIND({"A","B","C"},MID(L1444,2,LEN(L1444))&amp;"ABC")))</f>
        <v/>
      </c>
      <c r="N1444" s="24" t="str">
        <f t="array" ref="N1444">SUBSTITUTE(L1444,M1444,"")</f>
        <v/>
      </c>
      <c r="X1444" s="258" t="str">
        <f t="shared" si="66"/>
        <v/>
      </c>
      <c r="Y1444" s="36" t="str">
        <f t="shared" si="65"/>
        <v/>
      </c>
      <c r="Z1444" s="340" t="str">
        <f>IF(AND(C1444&gt;0,D1444&lt;&gt;"",S1444=""),VLOOKUP(A1444&amp;IF(H1444="黑丝","黑","白")&amp;E1444,经纬!A:M,13,FALSE)*(I1444-AB1444),"")</f>
        <v/>
      </c>
      <c r="AA1444" s="340" t="str">
        <f>IF(AND(C1444&gt;0,D1444&lt;&gt;"",S1444=""),VLOOKUP(A1444&amp;IF(H1444="黑丝","黑","白")&amp;E1444,经纬!A:N,14,FALSE)*(I1444-AB1444),"")</f>
        <v/>
      </c>
    </row>
    <row r="1445" spans="13:27">
      <c r="M1445" s="24" t="str">
        <f t="array" ref="M1445">LEFT(L1445,MIN(FIND({"A","B","C"},MID(L1445,2,LEN(L1445))&amp;"ABC")))</f>
        <v/>
      </c>
      <c r="N1445" s="24" t="str">
        <f t="array" ref="N1445">SUBSTITUTE(L1445,M1445,"")</f>
        <v/>
      </c>
      <c r="X1445" s="258" t="str">
        <f t="shared" si="66"/>
        <v/>
      </c>
      <c r="Y1445" s="36" t="str">
        <f t="shared" si="65"/>
        <v/>
      </c>
      <c r="Z1445" s="340" t="str">
        <f>IF(AND(C1445&gt;0,D1445&lt;&gt;"",S1445=""),VLOOKUP(A1445&amp;IF(H1445="黑丝","黑","白")&amp;E1445,经纬!A:M,13,FALSE)*(I1445-AB1445),"")</f>
        <v/>
      </c>
      <c r="AA1445" s="340" t="str">
        <f>IF(AND(C1445&gt;0,D1445&lt;&gt;"",S1445=""),VLOOKUP(A1445&amp;IF(H1445="黑丝","黑","白")&amp;E1445,经纬!A:N,14,FALSE)*(I1445-AB1445),"")</f>
        <v/>
      </c>
    </row>
    <row r="1446" spans="13:27">
      <c r="M1446" s="24" t="str">
        <f t="array" ref="M1446">LEFT(L1446,MIN(FIND({"A","B","C"},MID(L1446,2,LEN(L1446))&amp;"ABC")))</f>
        <v/>
      </c>
      <c r="N1446" s="24" t="str">
        <f t="array" ref="N1446">SUBSTITUTE(L1446,M1446,"")</f>
        <v/>
      </c>
      <c r="X1446" s="258" t="str">
        <f t="shared" si="66"/>
        <v/>
      </c>
      <c r="Y1446" s="36" t="str">
        <f t="shared" si="65"/>
        <v/>
      </c>
      <c r="Z1446" s="340" t="str">
        <f>IF(AND(C1446&gt;0,D1446&lt;&gt;"",S1446=""),VLOOKUP(A1446&amp;IF(H1446="黑丝","黑","白")&amp;E1446,经纬!A:M,13,FALSE)*(I1446-AB1446),"")</f>
        <v/>
      </c>
      <c r="AA1446" s="340" t="str">
        <f>IF(AND(C1446&gt;0,D1446&lt;&gt;"",S1446=""),VLOOKUP(A1446&amp;IF(H1446="黑丝","黑","白")&amp;E1446,经纬!A:N,14,FALSE)*(I1446-AB1446),"")</f>
        <v/>
      </c>
    </row>
    <row r="1447" spans="13:27">
      <c r="M1447" s="24" t="str">
        <f t="array" ref="M1447">LEFT(L1447,MIN(FIND({"A","B","C"},MID(L1447,2,LEN(L1447))&amp;"ABC")))</f>
        <v/>
      </c>
      <c r="N1447" s="24" t="str">
        <f t="array" ref="N1447">SUBSTITUTE(L1447,M1447,"")</f>
        <v/>
      </c>
      <c r="X1447" s="258" t="str">
        <f t="shared" si="66"/>
        <v/>
      </c>
      <c r="Y1447" s="36" t="str">
        <f t="shared" si="65"/>
        <v/>
      </c>
      <c r="Z1447" s="340" t="str">
        <f>IF(AND(C1447&gt;0,D1447&lt;&gt;"",S1447=""),VLOOKUP(A1447&amp;IF(H1447="黑丝","黑","白")&amp;E1447,经纬!A:M,13,FALSE)*(I1447-AB1447),"")</f>
        <v/>
      </c>
      <c r="AA1447" s="340" t="str">
        <f>IF(AND(C1447&gt;0,D1447&lt;&gt;"",S1447=""),VLOOKUP(A1447&amp;IF(H1447="黑丝","黑","白")&amp;E1447,经纬!A:N,14,FALSE)*(I1447-AB1447),"")</f>
        <v/>
      </c>
    </row>
    <row r="1448" spans="13:27">
      <c r="M1448" s="24" t="str">
        <f t="array" ref="M1448">LEFT(L1448,MIN(FIND({"A","B","C"},MID(L1448,2,LEN(L1448))&amp;"ABC")))</f>
        <v/>
      </c>
      <c r="N1448" s="24" t="str">
        <f t="array" ref="N1448">SUBSTITUTE(L1448,M1448,"")</f>
        <v/>
      </c>
      <c r="X1448" s="258" t="str">
        <f t="shared" si="66"/>
        <v/>
      </c>
      <c r="Y1448" s="36" t="str">
        <f t="shared" si="65"/>
        <v/>
      </c>
      <c r="Z1448" s="340" t="str">
        <f>IF(AND(C1448&gt;0,D1448&lt;&gt;"",S1448=""),VLOOKUP(A1448&amp;IF(H1448="黑丝","黑","白")&amp;E1448,经纬!A:M,13,FALSE)*(I1448-AB1448),"")</f>
        <v/>
      </c>
      <c r="AA1448" s="340" t="str">
        <f>IF(AND(C1448&gt;0,D1448&lt;&gt;"",S1448=""),VLOOKUP(A1448&amp;IF(H1448="黑丝","黑","白")&amp;E1448,经纬!A:N,14,FALSE)*(I1448-AB1448),"")</f>
        <v/>
      </c>
    </row>
    <row r="1449" spans="13:27">
      <c r="M1449" s="24" t="str">
        <f t="array" ref="M1449">LEFT(L1449,MIN(FIND({"A","B","C"},MID(L1449,2,LEN(L1449))&amp;"ABC")))</f>
        <v/>
      </c>
      <c r="N1449" s="24" t="str">
        <f t="array" ref="N1449">SUBSTITUTE(L1449,M1449,"")</f>
        <v/>
      </c>
      <c r="X1449" s="258" t="str">
        <f t="shared" si="66"/>
        <v/>
      </c>
      <c r="Y1449" s="36" t="str">
        <f t="shared" ref="Y1449:Y1512" si="67">IF(OR(B1449="",D1449&lt;&gt;""),"",IF(S1449&lt;&gt;"","",I1449/((1/((G1449+2)/100*K1449/1000))*0.9144)/IF(H1449="黑丝",22,20)-AB1449))</f>
        <v/>
      </c>
      <c r="Z1449" s="340" t="str">
        <f>IF(AND(C1449&gt;0,D1449&lt;&gt;"",S1449=""),VLOOKUP(A1449&amp;IF(H1449="黑丝","黑","白")&amp;E1449,经纬!A:M,13,FALSE)*(I1449-AB1449),"")</f>
        <v/>
      </c>
      <c r="AA1449" s="340" t="str">
        <f>IF(AND(C1449&gt;0,D1449&lt;&gt;"",S1449=""),VLOOKUP(A1449&amp;IF(H1449="黑丝","黑","白")&amp;E1449,经纬!A:N,14,FALSE)*(I1449-AB1449),"")</f>
        <v/>
      </c>
    </row>
    <row r="1450" spans="13:27">
      <c r="M1450" s="24" t="str">
        <f t="array" ref="M1450">LEFT(L1450,MIN(FIND({"A","B","C"},MID(L1450,2,LEN(L1450))&amp;"ABC")))</f>
        <v/>
      </c>
      <c r="N1450" s="24" t="str">
        <f t="array" ref="N1450">SUBSTITUTE(L1450,M1450,"")</f>
        <v/>
      </c>
      <c r="X1450" s="258" t="str">
        <f t="shared" si="66"/>
        <v/>
      </c>
      <c r="Y1450" s="36" t="str">
        <f t="shared" si="67"/>
        <v/>
      </c>
      <c r="Z1450" s="340" t="str">
        <f>IF(AND(C1450&gt;0,D1450&lt;&gt;"",S1450=""),VLOOKUP(A1450&amp;IF(H1450="黑丝","黑","白")&amp;E1450,经纬!A:M,13,FALSE)*(I1450-AB1450),"")</f>
        <v/>
      </c>
      <c r="AA1450" s="340" t="str">
        <f>IF(AND(C1450&gt;0,D1450&lt;&gt;"",S1450=""),VLOOKUP(A1450&amp;IF(H1450="黑丝","黑","白")&amp;E1450,经纬!A:N,14,FALSE)*(I1450-AB1450),"")</f>
        <v/>
      </c>
    </row>
    <row r="1451" spans="13:27">
      <c r="M1451" s="24" t="str">
        <f t="array" ref="M1451">LEFT(L1451,MIN(FIND({"A","B","C"},MID(L1451,2,LEN(L1451))&amp;"ABC")))</f>
        <v/>
      </c>
      <c r="N1451" s="24" t="str">
        <f t="array" ref="N1451">SUBSTITUTE(L1451,M1451,"")</f>
        <v/>
      </c>
      <c r="X1451" s="258" t="str">
        <f t="shared" si="66"/>
        <v/>
      </c>
      <c r="Y1451" s="36" t="str">
        <f t="shared" si="67"/>
        <v/>
      </c>
      <c r="Z1451" s="340" t="str">
        <f>IF(AND(C1451&gt;0,D1451&lt;&gt;"",S1451=""),VLOOKUP(A1451&amp;IF(H1451="黑丝","黑","白")&amp;E1451,经纬!A:M,13,FALSE)*(I1451-AB1451),"")</f>
        <v/>
      </c>
      <c r="AA1451" s="340" t="str">
        <f>IF(AND(C1451&gt;0,D1451&lt;&gt;"",S1451=""),VLOOKUP(A1451&amp;IF(H1451="黑丝","黑","白")&amp;E1451,经纬!A:N,14,FALSE)*(I1451-AB1451),"")</f>
        <v/>
      </c>
    </row>
    <row r="1452" spans="13:27">
      <c r="M1452" s="24" t="str">
        <f t="array" ref="M1452">LEFT(L1452,MIN(FIND({"A","B","C"},MID(L1452,2,LEN(L1452))&amp;"ABC")))</f>
        <v/>
      </c>
      <c r="N1452" s="24" t="str">
        <f t="array" ref="N1452">SUBSTITUTE(L1452,M1452,"")</f>
        <v/>
      </c>
      <c r="X1452" s="258" t="str">
        <f t="shared" si="66"/>
        <v/>
      </c>
      <c r="Y1452" s="36" t="str">
        <f t="shared" si="67"/>
        <v/>
      </c>
      <c r="Z1452" s="340" t="str">
        <f>IF(AND(C1452&gt;0,D1452&lt;&gt;"",S1452=""),VLOOKUP(A1452&amp;IF(H1452="黑丝","黑","白")&amp;E1452,经纬!A:M,13,FALSE)*(I1452-AB1452),"")</f>
        <v/>
      </c>
      <c r="AA1452" s="340" t="str">
        <f>IF(AND(C1452&gt;0,D1452&lt;&gt;"",S1452=""),VLOOKUP(A1452&amp;IF(H1452="黑丝","黑","白")&amp;E1452,经纬!A:N,14,FALSE)*(I1452-AB1452),"")</f>
        <v/>
      </c>
    </row>
    <row r="1453" spans="13:27">
      <c r="M1453" s="24" t="str">
        <f t="array" ref="M1453">LEFT(L1453,MIN(FIND({"A","B","C"},MID(L1453,2,LEN(L1453))&amp;"ABC")))</f>
        <v/>
      </c>
      <c r="N1453" s="24" t="str">
        <f t="array" ref="N1453">SUBSTITUTE(L1453,M1453,"")</f>
        <v/>
      </c>
      <c r="X1453" s="258" t="str">
        <f t="shared" si="66"/>
        <v/>
      </c>
      <c r="Y1453" s="36" t="str">
        <f t="shared" si="67"/>
        <v/>
      </c>
      <c r="Z1453" s="340" t="str">
        <f>IF(AND(C1453&gt;0,D1453&lt;&gt;"",S1453=""),VLOOKUP(A1453&amp;IF(H1453="黑丝","黑","白")&amp;E1453,经纬!A:M,13,FALSE)*(I1453-AB1453),"")</f>
        <v/>
      </c>
      <c r="AA1453" s="340" t="str">
        <f>IF(AND(C1453&gt;0,D1453&lt;&gt;"",S1453=""),VLOOKUP(A1453&amp;IF(H1453="黑丝","黑","白")&amp;E1453,经纬!A:N,14,FALSE)*(I1453-AB1453),"")</f>
        <v/>
      </c>
    </row>
    <row r="1454" spans="13:27">
      <c r="M1454" s="24" t="str">
        <f t="array" ref="M1454">LEFT(L1454,MIN(FIND({"A","B","C"},MID(L1454,2,LEN(L1454))&amp;"ABC")))</f>
        <v/>
      </c>
      <c r="N1454" s="24" t="str">
        <f t="array" ref="N1454">SUBSTITUTE(L1454,M1454,"")</f>
        <v/>
      </c>
      <c r="X1454" s="258" t="str">
        <f t="shared" si="66"/>
        <v/>
      </c>
      <c r="Y1454" s="36" t="str">
        <f t="shared" si="67"/>
        <v/>
      </c>
      <c r="Z1454" s="340" t="str">
        <f>IF(AND(C1454&gt;0,D1454&lt;&gt;"",S1454=""),VLOOKUP(A1454&amp;IF(H1454="黑丝","黑","白")&amp;E1454,经纬!A:M,13,FALSE)*(I1454-AB1454),"")</f>
        <v/>
      </c>
      <c r="AA1454" s="340" t="str">
        <f>IF(AND(C1454&gt;0,D1454&lt;&gt;"",S1454=""),VLOOKUP(A1454&amp;IF(H1454="黑丝","黑","白")&amp;E1454,经纬!A:N,14,FALSE)*(I1454-AB1454),"")</f>
        <v/>
      </c>
    </row>
    <row r="1455" spans="13:27">
      <c r="M1455" s="24" t="str">
        <f t="array" ref="M1455">LEFT(L1455,MIN(FIND({"A","B","C"},MID(L1455,2,LEN(L1455))&amp;"ABC")))</f>
        <v/>
      </c>
      <c r="N1455" s="24" t="str">
        <f t="array" ref="N1455">SUBSTITUTE(L1455,M1455,"")</f>
        <v/>
      </c>
      <c r="X1455" s="258" t="str">
        <f t="shared" si="66"/>
        <v/>
      </c>
      <c r="Y1455" s="36" t="str">
        <f t="shared" si="67"/>
        <v/>
      </c>
      <c r="Z1455" s="340" t="str">
        <f>IF(AND(C1455&gt;0,D1455&lt;&gt;"",S1455=""),VLOOKUP(A1455&amp;IF(H1455="黑丝","黑","白")&amp;E1455,经纬!A:M,13,FALSE)*(I1455-AB1455),"")</f>
        <v/>
      </c>
      <c r="AA1455" s="340" t="str">
        <f>IF(AND(C1455&gt;0,D1455&lt;&gt;"",S1455=""),VLOOKUP(A1455&amp;IF(H1455="黑丝","黑","白")&amp;E1455,经纬!A:N,14,FALSE)*(I1455-AB1455),"")</f>
        <v/>
      </c>
    </row>
    <row r="1456" spans="13:27">
      <c r="M1456" s="24" t="str">
        <f t="array" ref="M1456">LEFT(L1456,MIN(FIND({"A","B","C"},MID(L1456,2,LEN(L1456))&amp;"ABC")))</f>
        <v/>
      </c>
      <c r="N1456" s="24" t="str">
        <f t="array" ref="N1456">SUBSTITUTE(L1456,M1456,"")</f>
        <v/>
      </c>
      <c r="X1456" s="258" t="str">
        <f t="shared" si="66"/>
        <v/>
      </c>
      <c r="Y1456" s="36" t="str">
        <f t="shared" si="67"/>
        <v/>
      </c>
      <c r="Z1456" s="340" t="str">
        <f>IF(AND(C1456&gt;0,D1456&lt;&gt;"",S1456=""),VLOOKUP(A1456&amp;IF(H1456="黑丝","黑","白")&amp;E1456,经纬!A:M,13,FALSE)*(I1456-AB1456),"")</f>
        <v/>
      </c>
      <c r="AA1456" s="340" t="str">
        <f>IF(AND(C1456&gt;0,D1456&lt;&gt;"",S1456=""),VLOOKUP(A1456&amp;IF(H1456="黑丝","黑","白")&amp;E1456,经纬!A:N,14,FALSE)*(I1456-AB1456),"")</f>
        <v/>
      </c>
    </row>
    <row r="1457" spans="13:27">
      <c r="M1457" s="24" t="str">
        <f t="array" ref="M1457">LEFT(L1457,MIN(FIND({"A","B","C"},MID(L1457,2,LEN(L1457))&amp;"ABC")))</f>
        <v/>
      </c>
      <c r="N1457" s="24" t="str">
        <f t="array" ref="N1457">SUBSTITUTE(L1457,M1457,"")</f>
        <v/>
      </c>
      <c r="X1457" s="258" t="str">
        <f t="shared" si="66"/>
        <v/>
      </c>
      <c r="Y1457" s="36" t="str">
        <f t="shared" si="67"/>
        <v/>
      </c>
      <c r="Z1457" s="340" t="str">
        <f>IF(AND(C1457&gt;0,D1457&lt;&gt;"",S1457=""),VLOOKUP(A1457&amp;IF(H1457="黑丝","黑","白")&amp;E1457,经纬!A:M,13,FALSE)*(I1457-AB1457),"")</f>
        <v/>
      </c>
      <c r="AA1457" s="340" t="str">
        <f>IF(AND(C1457&gt;0,D1457&lt;&gt;"",S1457=""),VLOOKUP(A1457&amp;IF(H1457="黑丝","黑","白")&amp;E1457,经纬!A:N,14,FALSE)*(I1457-AB1457),"")</f>
        <v/>
      </c>
    </row>
    <row r="1458" spans="13:27">
      <c r="M1458" s="24" t="str">
        <f t="array" ref="M1458">LEFT(L1458,MIN(FIND({"A","B","C"},MID(L1458,2,LEN(L1458))&amp;"ABC")))</f>
        <v/>
      </c>
      <c r="N1458" s="24" t="str">
        <f t="array" ref="N1458">SUBSTITUTE(L1458,M1458,"")</f>
        <v/>
      </c>
      <c r="X1458" s="258" t="str">
        <f t="shared" si="66"/>
        <v/>
      </c>
      <c r="Y1458" s="36" t="str">
        <f t="shared" si="67"/>
        <v/>
      </c>
      <c r="Z1458" s="340" t="str">
        <f>IF(AND(C1458&gt;0,D1458&lt;&gt;"",S1458=""),VLOOKUP(A1458&amp;IF(H1458="黑丝","黑","白")&amp;E1458,经纬!A:M,13,FALSE)*(I1458-AB1458),"")</f>
        <v/>
      </c>
      <c r="AA1458" s="340" t="str">
        <f>IF(AND(C1458&gt;0,D1458&lt;&gt;"",S1458=""),VLOOKUP(A1458&amp;IF(H1458="黑丝","黑","白")&amp;E1458,经纬!A:N,14,FALSE)*(I1458-AB1458),"")</f>
        <v/>
      </c>
    </row>
    <row r="1459" spans="13:27">
      <c r="M1459" s="24" t="str">
        <f t="array" ref="M1459">LEFT(L1459,MIN(FIND({"A","B","C"},MID(L1459,2,LEN(L1459))&amp;"ABC")))</f>
        <v/>
      </c>
      <c r="N1459" s="24" t="str">
        <f t="array" ref="N1459">SUBSTITUTE(L1459,M1459,"")</f>
        <v/>
      </c>
      <c r="X1459" s="258" t="str">
        <f t="shared" si="66"/>
        <v/>
      </c>
      <c r="Y1459" s="36" t="str">
        <f t="shared" si="67"/>
        <v/>
      </c>
      <c r="Z1459" s="340" t="str">
        <f>IF(AND(C1459&gt;0,D1459&lt;&gt;"",S1459=""),VLOOKUP(A1459&amp;IF(H1459="黑丝","黑","白")&amp;E1459,经纬!A:M,13,FALSE)*(I1459-AB1459),"")</f>
        <v/>
      </c>
      <c r="AA1459" s="340" t="str">
        <f>IF(AND(C1459&gt;0,D1459&lt;&gt;"",S1459=""),VLOOKUP(A1459&amp;IF(H1459="黑丝","黑","白")&amp;E1459,经纬!A:N,14,FALSE)*(I1459-AB1459),"")</f>
        <v/>
      </c>
    </row>
    <row r="1460" spans="13:27">
      <c r="M1460" s="24" t="str">
        <f t="array" ref="M1460">LEFT(L1460,MIN(FIND({"A","B","C"},MID(L1460,2,LEN(L1460))&amp;"ABC")))</f>
        <v/>
      </c>
      <c r="N1460" s="24" t="str">
        <f t="array" ref="N1460">SUBSTITUTE(L1460,M1460,"")</f>
        <v/>
      </c>
      <c r="X1460" s="258" t="str">
        <f t="shared" si="66"/>
        <v/>
      </c>
      <c r="Y1460" s="36" t="str">
        <f t="shared" si="67"/>
        <v/>
      </c>
      <c r="Z1460" s="340" t="str">
        <f>IF(AND(C1460&gt;0,D1460&lt;&gt;"",S1460=""),VLOOKUP(A1460&amp;IF(H1460="黑丝","黑","白")&amp;E1460,经纬!A:M,13,FALSE)*(I1460-AB1460),"")</f>
        <v/>
      </c>
      <c r="AA1460" s="340" t="str">
        <f>IF(AND(C1460&gt;0,D1460&lt;&gt;"",S1460=""),VLOOKUP(A1460&amp;IF(H1460="黑丝","黑","白")&amp;E1460,经纬!A:N,14,FALSE)*(I1460-AB1460),"")</f>
        <v/>
      </c>
    </row>
    <row r="1461" spans="13:27">
      <c r="M1461" s="24" t="str">
        <f t="array" ref="M1461">LEFT(L1461,MIN(FIND({"A","B","C"},MID(L1461,2,LEN(L1461))&amp;"ABC")))</f>
        <v/>
      </c>
      <c r="N1461" s="24" t="str">
        <f t="array" ref="N1461">SUBSTITUTE(L1461,M1461,"")</f>
        <v/>
      </c>
      <c r="X1461" s="258" t="str">
        <f t="shared" si="66"/>
        <v/>
      </c>
      <c r="Y1461" s="36" t="str">
        <f t="shared" si="67"/>
        <v/>
      </c>
      <c r="Z1461" s="340" t="str">
        <f>IF(AND(C1461&gt;0,D1461&lt;&gt;"",S1461=""),VLOOKUP(A1461&amp;IF(H1461="黑丝","黑","白")&amp;E1461,经纬!A:M,13,FALSE)*(I1461-AB1461),"")</f>
        <v/>
      </c>
      <c r="AA1461" s="340" t="str">
        <f>IF(AND(C1461&gt;0,D1461&lt;&gt;"",S1461=""),VLOOKUP(A1461&amp;IF(H1461="黑丝","黑","白")&amp;E1461,经纬!A:N,14,FALSE)*(I1461-AB1461),"")</f>
        <v/>
      </c>
    </row>
    <row r="1462" spans="13:27">
      <c r="M1462" s="24" t="str">
        <f t="array" ref="M1462">LEFT(L1462,MIN(FIND({"A","B","C"},MID(L1462,2,LEN(L1462))&amp;"ABC")))</f>
        <v/>
      </c>
      <c r="N1462" s="24" t="str">
        <f t="array" ref="N1462">SUBSTITUTE(L1462,M1462,"")</f>
        <v/>
      </c>
      <c r="X1462" s="258" t="str">
        <f t="shared" si="66"/>
        <v/>
      </c>
      <c r="Y1462" s="36" t="str">
        <f t="shared" si="67"/>
        <v/>
      </c>
      <c r="Z1462" s="340" t="str">
        <f>IF(AND(C1462&gt;0,D1462&lt;&gt;"",S1462=""),VLOOKUP(A1462&amp;IF(H1462="黑丝","黑","白")&amp;E1462,经纬!A:M,13,FALSE)*(I1462-AB1462),"")</f>
        <v/>
      </c>
      <c r="AA1462" s="340" t="str">
        <f>IF(AND(C1462&gt;0,D1462&lt;&gt;"",S1462=""),VLOOKUP(A1462&amp;IF(H1462="黑丝","黑","白")&amp;E1462,经纬!A:N,14,FALSE)*(I1462-AB1462),"")</f>
        <v/>
      </c>
    </row>
    <row r="1463" spans="13:27">
      <c r="M1463" s="24" t="str">
        <f t="array" ref="M1463">LEFT(L1463,MIN(FIND({"A","B","C"},MID(L1463,2,LEN(L1463))&amp;"ABC")))</f>
        <v/>
      </c>
      <c r="N1463" s="24" t="str">
        <f t="array" ref="N1463">SUBSTITUTE(L1463,M1463,"")</f>
        <v/>
      </c>
      <c r="X1463" s="258" t="str">
        <f t="shared" si="66"/>
        <v/>
      </c>
      <c r="Y1463" s="36" t="str">
        <f t="shared" si="67"/>
        <v/>
      </c>
      <c r="Z1463" s="340" t="str">
        <f>IF(AND(C1463&gt;0,D1463&lt;&gt;"",S1463=""),VLOOKUP(A1463&amp;IF(H1463="黑丝","黑","白")&amp;E1463,经纬!A:M,13,FALSE)*(I1463-AB1463),"")</f>
        <v/>
      </c>
      <c r="AA1463" s="340" t="str">
        <f>IF(AND(C1463&gt;0,D1463&lt;&gt;"",S1463=""),VLOOKUP(A1463&amp;IF(H1463="黑丝","黑","白")&amp;E1463,经纬!A:N,14,FALSE)*(I1463-AB1463),"")</f>
        <v/>
      </c>
    </row>
    <row r="1464" spans="13:27">
      <c r="M1464" s="24" t="str">
        <f t="array" ref="M1464">LEFT(L1464,MIN(FIND({"A","B","C"},MID(L1464,2,LEN(L1464))&amp;"ABC")))</f>
        <v/>
      </c>
      <c r="N1464" s="24" t="str">
        <f t="array" ref="N1464">SUBSTITUTE(L1464,M1464,"")</f>
        <v/>
      </c>
      <c r="X1464" s="258" t="str">
        <f t="shared" si="66"/>
        <v/>
      </c>
      <c r="Y1464" s="36" t="str">
        <f t="shared" si="67"/>
        <v/>
      </c>
      <c r="Z1464" s="340" t="str">
        <f>IF(AND(C1464&gt;0,D1464&lt;&gt;"",S1464=""),VLOOKUP(A1464&amp;IF(H1464="黑丝","黑","白")&amp;E1464,经纬!A:M,13,FALSE)*(I1464-AB1464),"")</f>
        <v/>
      </c>
      <c r="AA1464" s="340" t="str">
        <f>IF(AND(C1464&gt;0,D1464&lt;&gt;"",S1464=""),VLOOKUP(A1464&amp;IF(H1464="黑丝","黑","白")&amp;E1464,经纬!A:N,14,FALSE)*(I1464-AB1464),"")</f>
        <v/>
      </c>
    </row>
    <row r="1465" spans="13:27">
      <c r="M1465" s="24" t="str">
        <f t="array" ref="M1465">LEFT(L1465,MIN(FIND({"A","B","C"},MID(L1465,2,LEN(L1465))&amp;"ABC")))</f>
        <v/>
      </c>
      <c r="N1465" s="24" t="str">
        <f t="array" ref="N1465">SUBSTITUTE(L1465,M1465,"")</f>
        <v/>
      </c>
      <c r="X1465" s="258" t="str">
        <f t="shared" si="66"/>
        <v/>
      </c>
      <c r="Y1465" s="36" t="str">
        <f t="shared" si="67"/>
        <v/>
      </c>
      <c r="Z1465" s="340" t="str">
        <f>IF(AND(C1465&gt;0,D1465&lt;&gt;"",S1465=""),VLOOKUP(A1465&amp;IF(H1465="黑丝","黑","白")&amp;E1465,经纬!A:M,13,FALSE)*(I1465-AB1465),"")</f>
        <v/>
      </c>
      <c r="AA1465" s="340" t="str">
        <f>IF(AND(C1465&gt;0,D1465&lt;&gt;"",S1465=""),VLOOKUP(A1465&amp;IF(H1465="黑丝","黑","白")&amp;E1465,经纬!A:N,14,FALSE)*(I1465-AB1465),"")</f>
        <v/>
      </c>
    </row>
    <row r="1466" spans="13:27">
      <c r="M1466" s="24" t="str">
        <f t="array" ref="M1466">LEFT(L1466,MIN(FIND({"A","B","C"},MID(L1466,2,LEN(L1466))&amp;"ABC")))</f>
        <v/>
      </c>
      <c r="N1466" s="24" t="str">
        <f t="array" ref="N1466">SUBSTITUTE(L1466,M1466,"")</f>
        <v/>
      </c>
      <c r="X1466" s="258" t="str">
        <f t="shared" si="66"/>
        <v/>
      </c>
      <c r="Y1466" s="36" t="str">
        <f t="shared" si="67"/>
        <v/>
      </c>
      <c r="Z1466" s="340" t="str">
        <f>IF(AND(C1466&gt;0,D1466&lt;&gt;"",S1466=""),VLOOKUP(A1466&amp;IF(H1466="黑丝","黑","白")&amp;E1466,经纬!A:M,13,FALSE)*(I1466-AB1466),"")</f>
        <v/>
      </c>
      <c r="AA1466" s="340" t="str">
        <f>IF(AND(C1466&gt;0,D1466&lt;&gt;"",S1466=""),VLOOKUP(A1466&amp;IF(H1466="黑丝","黑","白")&amp;E1466,经纬!A:N,14,FALSE)*(I1466-AB1466),"")</f>
        <v/>
      </c>
    </row>
    <row r="1467" spans="13:27">
      <c r="M1467" s="24" t="str">
        <f t="array" ref="M1467">LEFT(L1467,MIN(FIND({"A","B","C"},MID(L1467,2,LEN(L1467))&amp;"ABC")))</f>
        <v/>
      </c>
      <c r="N1467" s="24" t="str">
        <f t="array" ref="N1467">SUBSTITUTE(L1467,M1467,"")</f>
        <v/>
      </c>
      <c r="X1467" s="258" t="str">
        <f t="shared" si="66"/>
        <v/>
      </c>
      <c r="Y1467" s="36" t="str">
        <f t="shared" si="67"/>
        <v/>
      </c>
      <c r="Z1467" s="340" t="str">
        <f>IF(AND(C1467&gt;0,D1467&lt;&gt;"",S1467=""),VLOOKUP(A1467&amp;IF(H1467="黑丝","黑","白")&amp;E1467,经纬!A:M,13,FALSE)*(I1467-AB1467),"")</f>
        <v/>
      </c>
      <c r="AA1467" s="340" t="str">
        <f>IF(AND(C1467&gt;0,D1467&lt;&gt;"",S1467=""),VLOOKUP(A1467&amp;IF(H1467="黑丝","黑","白")&amp;E1467,经纬!A:N,14,FALSE)*(I1467-AB1467),"")</f>
        <v/>
      </c>
    </row>
    <row r="1468" spans="13:27">
      <c r="M1468" s="24" t="str">
        <f t="array" ref="M1468">LEFT(L1468,MIN(FIND({"A","B","C"},MID(L1468,2,LEN(L1468))&amp;"ABC")))</f>
        <v/>
      </c>
      <c r="N1468" s="24" t="str">
        <f t="array" ref="N1468">SUBSTITUTE(L1468,M1468,"")</f>
        <v/>
      </c>
      <c r="X1468" s="258" t="str">
        <f t="shared" si="66"/>
        <v/>
      </c>
      <c r="Y1468" s="36" t="str">
        <f t="shared" si="67"/>
        <v/>
      </c>
      <c r="Z1468" s="340" t="str">
        <f>IF(AND(C1468&gt;0,D1468&lt;&gt;"",S1468=""),VLOOKUP(A1468&amp;IF(H1468="黑丝","黑","白")&amp;E1468,经纬!A:M,13,FALSE)*(I1468-AB1468),"")</f>
        <v/>
      </c>
      <c r="AA1468" s="340" t="str">
        <f>IF(AND(C1468&gt;0,D1468&lt;&gt;"",S1468=""),VLOOKUP(A1468&amp;IF(H1468="黑丝","黑","白")&amp;E1468,经纬!A:N,14,FALSE)*(I1468-AB1468),"")</f>
        <v/>
      </c>
    </row>
    <row r="1469" spans="13:27">
      <c r="M1469" s="24" t="str">
        <f t="array" ref="M1469">LEFT(L1469,MIN(FIND({"A","B","C"},MID(L1469,2,LEN(L1469))&amp;"ABC")))</f>
        <v/>
      </c>
      <c r="N1469" s="24" t="str">
        <f t="array" ref="N1469">SUBSTITUTE(L1469,M1469,"")</f>
        <v/>
      </c>
      <c r="X1469" s="258" t="str">
        <f t="shared" si="66"/>
        <v/>
      </c>
      <c r="Y1469" s="36" t="str">
        <f t="shared" si="67"/>
        <v/>
      </c>
      <c r="Z1469" s="340" t="str">
        <f>IF(AND(C1469&gt;0,D1469&lt;&gt;"",S1469=""),VLOOKUP(A1469&amp;IF(H1469="黑丝","黑","白")&amp;E1469,经纬!A:M,13,FALSE)*(I1469-AB1469),"")</f>
        <v/>
      </c>
      <c r="AA1469" s="340" t="str">
        <f>IF(AND(C1469&gt;0,D1469&lt;&gt;"",S1469=""),VLOOKUP(A1469&amp;IF(H1469="黑丝","黑","白")&amp;E1469,经纬!A:N,14,FALSE)*(I1469-AB1469),"")</f>
        <v/>
      </c>
    </row>
    <row r="1470" spans="13:27">
      <c r="M1470" s="24" t="str">
        <f t="array" ref="M1470">LEFT(L1470,MIN(FIND({"A","B","C"},MID(L1470,2,LEN(L1470))&amp;"ABC")))</f>
        <v/>
      </c>
      <c r="N1470" s="24" t="str">
        <f t="array" ref="N1470">SUBSTITUTE(L1470,M1470,"")</f>
        <v/>
      </c>
      <c r="X1470" s="258" t="str">
        <f t="shared" si="66"/>
        <v/>
      </c>
      <c r="Y1470" s="36" t="str">
        <f t="shared" si="67"/>
        <v/>
      </c>
      <c r="Z1470" s="340" t="str">
        <f>IF(AND(C1470&gt;0,D1470&lt;&gt;"",S1470=""),VLOOKUP(A1470&amp;IF(H1470="黑丝","黑","白")&amp;E1470,经纬!A:M,13,FALSE)*(I1470-AB1470),"")</f>
        <v/>
      </c>
      <c r="AA1470" s="340" t="str">
        <f>IF(AND(C1470&gt;0,D1470&lt;&gt;"",S1470=""),VLOOKUP(A1470&amp;IF(H1470="黑丝","黑","白")&amp;E1470,经纬!A:N,14,FALSE)*(I1470-AB1470),"")</f>
        <v/>
      </c>
    </row>
    <row r="1471" spans="13:27">
      <c r="M1471" s="24" t="str">
        <f t="array" ref="M1471">LEFT(L1471,MIN(FIND({"A","B","C"},MID(L1471,2,LEN(L1471))&amp;"ABC")))</f>
        <v/>
      </c>
      <c r="N1471" s="24" t="str">
        <f t="array" ref="N1471">SUBSTITUTE(L1471,M1471,"")</f>
        <v/>
      </c>
      <c r="X1471" s="258" t="str">
        <f t="shared" si="66"/>
        <v/>
      </c>
      <c r="Y1471" s="36" t="str">
        <f t="shared" si="67"/>
        <v/>
      </c>
      <c r="Z1471" s="340" t="str">
        <f>IF(AND(C1471&gt;0,D1471&lt;&gt;"",S1471=""),VLOOKUP(A1471&amp;IF(H1471="黑丝","黑","白")&amp;E1471,经纬!A:M,13,FALSE)*(I1471-AB1471),"")</f>
        <v/>
      </c>
      <c r="AA1471" s="340" t="str">
        <f>IF(AND(C1471&gt;0,D1471&lt;&gt;"",S1471=""),VLOOKUP(A1471&amp;IF(H1471="黑丝","黑","白")&amp;E1471,经纬!A:N,14,FALSE)*(I1471-AB1471),"")</f>
        <v/>
      </c>
    </row>
    <row r="1472" spans="13:27">
      <c r="M1472" s="24" t="str">
        <f t="array" ref="M1472">LEFT(L1472,MIN(FIND({"A","B","C"},MID(L1472,2,LEN(L1472))&amp;"ABC")))</f>
        <v/>
      </c>
      <c r="N1472" s="24" t="str">
        <f t="array" ref="N1472">SUBSTITUTE(L1472,M1472,"")</f>
        <v/>
      </c>
      <c r="X1472" s="258" t="str">
        <f t="shared" si="66"/>
        <v/>
      </c>
      <c r="Y1472" s="36" t="str">
        <f t="shared" si="67"/>
        <v/>
      </c>
      <c r="Z1472" s="340" t="str">
        <f>IF(AND(C1472&gt;0,D1472&lt;&gt;"",S1472=""),VLOOKUP(A1472&amp;IF(H1472="黑丝","黑","白")&amp;E1472,经纬!A:M,13,FALSE)*(I1472-AB1472),"")</f>
        <v/>
      </c>
      <c r="AA1472" s="340" t="str">
        <f>IF(AND(C1472&gt;0,D1472&lt;&gt;"",S1472=""),VLOOKUP(A1472&amp;IF(H1472="黑丝","黑","白")&amp;E1472,经纬!A:N,14,FALSE)*(I1472-AB1472),"")</f>
        <v/>
      </c>
    </row>
    <row r="1473" spans="13:27">
      <c r="M1473" s="24" t="str">
        <f t="array" ref="M1473">LEFT(L1473,MIN(FIND({"A","B","C"},MID(L1473,2,LEN(L1473))&amp;"ABC")))</f>
        <v/>
      </c>
      <c r="N1473" s="24" t="str">
        <f t="array" ref="N1473">SUBSTITUTE(L1473,M1473,"")</f>
        <v/>
      </c>
      <c r="X1473" s="258" t="str">
        <f t="shared" si="66"/>
        <v/>
      </c>
      <c r="Y1473" s="36" t="str">
        <f t="shared" si="67"/>
        <v/>
      </c>
      <c r="Z1473" s="340" t="str">
        <f>IF(AND(C1473&gt;0,D1473&lt;&gt;"",S1473=""),VLOOKUP(A1473&amp;IF(H1473="黑丝","黑","白")&amp;E1473,经纬!A:M,13,FALSE)*(I1473-AB1473),"")</f>
        <v/>
      </c>
      <c r="AA1473" s="340" t="str">
        <f>IF(AND(C1473&gt;0,D1473&lt;&gt;"",S1473=""),VLOOKUP(A1473&amp;IF(H1473="黑丝","黑","白")&amp;E1473,经纬!A:N,14,FALSE)*(I1473-AB1473),"")</f>
        <v/>
      </c>
    </row>
    <row r="1474" spans="13:27">
      <c r="M1474" s="24" t="str">
        <f t="array" ref="M1474">LEFT(L1474,MIN(FIND({"A","B","C"},MID(L1474,2,LEN(L1474))&amp;"ABC")))</f>
        <v/>
      </c>
      <c r="N1474" s="24" t="str">
        <f t="array" ref="N1474">SUBSTITUTE(L1474,M1474,"")</f>
        <v/>
      </c>
      <c r="X1474" s="258" t="str">
        <f t="shared" si="66"/>
        <v/>
      </c>
      <c r="Y1474" s="36" t="str">
        <f t="shared" si="67"/>
        <v/>
      </c>
      <c r="Z1474" s="340" t="str">
        <f>IF(AND(C1474&gt;0,D1474&lt;&gt;"",S1474=""),VLOOKUP(A1474&amp;IF(H1474="黑丝","黑","白")&amp;E1474,经纬!A:M,13,FALSE)*(I1474-AB1474),"")</f>
        <v/>
      </c>
      <c r="AA1474" s="340" t="str">
        <f>IF(AND(C1474&gt;0,D1474&lt;&gt;"",S1474=""),VLOOKUP(A1474&amp;IF(H1474="黑丝","黑","白")&amp;E1474,经纬!A:N,14,FALSE)*(I1474-AB1474),"")</f>
        <v/>
      </c>
    </row>
    <row r="1475" spans="13:27">
      <c r="M1475" s="24" t="str">
        <f t="array" ref="M1475">LEFT(L1475,MIN(FIND({"A","B","C"},MID(L1475,2,LEN(L1475))&amp;"ABC")))</f>
        <v/>
      </c>
      <c r="N1475" s="24" t="str">
        <f t="array" ref="N1475">SUBSTITUTE(L1475,M1475,"")</f>
        <v/>
      </c>
      <c r="X1475" s="258" t="str">
        <f t="shared" si="66"/>
        <v/>
      </c>
      <c r="Y1475" s="36" t="str">
        <f t="shared" si="67"/>
        <v/>
      </c>
      <c r="Z1475" s="340" t="str">
        <f>IF(AND(C1475&gt;0,D1475&lt;&gt;"",S1475=""),VLOOKUP(A1475&amp;IF(H1475="黑丝","黑","白")&amp;E1475,经纬!A:M,13,FALSE)*(I1475-AB1475),"")</f>
        <v/>
      </c>
      <c r="AA1475" s="340" t="str">
        <f>IF(AND(C1475&gt;0,D1475&lt;&gt;"",S1475=""),VLOOKUP(A1475&amp;IF(H1475="黑丝","黑","白")&amp;E1475,经纬!A:N,14,FALSE)*(I1475-AB1475),"")</f>
        <v/>
      </c>
    </row>
    <row r="1476" spans="13:27">
      <c r="M1476" s="24" t="str">
        <f t="array" ref="M1476">LEFT(L1476,MIN(FIND({"A","B","C"},MID(L1476,2,LEN(L1476))&amp;"ABC")))</f>
        <v/>
      </c>
      <c r="N1476" s="24" t="str">
        <f t="array" ref="N1476">SUBSTITUTE(L1476,M1476,"")</f>
        <v/>
      </c>
      <c r="X1476" s="258" t="str">
        <f t="shared" si="66"/>
        <v/>
      </c>
      <c r="Y1476" s="36" t="str">
        <f t="shared" si="67"/>
        <v/>
      </c>
      <c r="Z1476" s="340" t="str">
        <f>IF(AND(C1476&gt;0,D1476&lt;&gt;"",S1476=""),VLOOKUP(A1476&amp;IF(H1476="黑丝","黑","白")&amp;E1476,经纬!A:M,13,FALSE)*(I1476-AB1476),"")</f>
        <v/>
      </c>
      <c r="AA1476" s="340" t="str">
        <f>IF(AND(C1476&gt;0,D1476&lt;&gt;"",S1476=""),VLOOKUP(A1476&amp;IF(H1476="黑丝","黑","白")&amp;E1476,经纬!A:N,14,FALSE)*(I1476-AB1476),"")</f>
        <v/>
      </c>
    </row>
    <row r="1477" spans="13:27">
      <c r="M1477" s="24" t="str">
        <f t="array" ref="M1477">LEFT(L1477,MIN(FIND({"A","B","C"},MID(L1477,2,LEN(L1477))&amp;"ABC")))</f>
        <v/>
      </c>
      <c r="N1477" s="24" t="str">
        <f t="array" ref="N1477">SUBSTITUTE(L1477,M1477,"")</f>
        <v/>
      </c>
      <c r="X1477" s="258" t="str">
        <f t="shared" si="66"/>
        <v/>
      </c>
      <c r="Y1477" s="36" t="str">
        <f t="shared" si="67"/>
        <v/>
      </c>
      <c r="Z1477" s="340" t="str">
        <f>IF(AND(C1477&gt;0,D1477&lt;&gt;"",S1477=""),VLOOKUP(A1477&amp;IF(H1477="黑丝","黑","白")&amp;E1477,经纬!A:M,13,FALSE)*(I1477-AB1477),"")</f>
        <v/>
      </c>
      <c r="AA1477" s="340" t="str">
        <f>IF(AND(C1477&gt;0,D1477&lt;&gt;"",S1477=""),VLOOKUP(A1477&amp;IF(H1477="黑丝","黑","白")&amp;E1477,经纬!A:N,14,FALSE)*(I1477-AB1477),"")</f>
        <v/>
      </c>
    </row>
    <row r="1478" spans="13:27">
      <c r="M1478" s="24" t="str">
        <f t="array" ref="M1478">LEFT(L1478,MIN(FIND({"A","B","C"},MID(L1478,2,LEN(L1478))&amp;"ABC")))</f>
        <v/>
      </c>
      <c r="N1478" s="24" t="str">
        <f t="array" ref="N1478">SUBSTITUTE(L1478,M1478,"")</f>
        <v/>
      </c>
      <c r="X1478" s="258" t="str">
        <f t="shared" si="66"/>
        <v/>
      </c>
      <c r="Y1478" s="36" t="str">
        <f t="shared" si="67"/>
        <v/>
      </c>
      <c r="Z1478" s="340" t="str">
        <f>IF(AND(C1478&gt;0,D1478&lt;&gt;"",S1478=""),VLOOKUP(A1478&amp;IF(H1478="黑丝","黑","白")&amp;E1478,经纬!A:M,13,FALSE)*(I1478-AB1478),"")</f>
        <v/>
      </c>
      <c r="AA1478" s="340" t="str">
        <f>IF(AND(C1478&gt;0,D1478&lt;&gt;"",S1478=""),VLOOKUP(A1478&amp;IF(H1478="黑丝","黑","白")&amp;E1478,经纬!A:N,14,FALSE)*(I1478-AB1478),"")</f>
        <v/>
      </c>
    </row>
    <row r="1479" spans="13:27">
      <c r="M1479" s="24" t="str">
        <f t="array" ref="M1479">LEFT(L1479,MIN(FIND({"A","B","C"},MID(L1479,2,LEN(L1479))&amp;"ABC")))</f>
        <v/>
      </c>
      <c r="N1479" s="24" t="str">
        <f t="array" ref="N1479">SUBSTITUTE(L1479,M1479,"")</f>
        <v/>
      </c>
      <c r="X1479" s="258" t="str">
        <f t="shared" si="66"/>
        <v/>
      </c>
      <c r="Y1479" s="36" t="str">
        <f t="shared" si="67"/>
        <v/>
      </c>
      <c r="Z1479" s="340" t="str">
        <f>IF(AND(C1479&gt;0,D1479&lt;&gt;"",S1479=""),VLOOKUP(A1479&amp;IF(H1479="黑丝","黑","白")&amp;E1479,经纬!A:M,13,FALSE)*(I1479-AB1479),"")</f>
        <v/>
      </c>
      <c r="AA1479" s="340" t="str">
        <f>IF(AND(C1479&gt;0,D1479&lt;&gt;"",S1479=""),VLOOKUP(A1479&amp;IF(H1479="黑丝","黑","白")&amp;E1479,经纬!A:N,14,FALSE)*(I1479-AB1479),"")</f>
        <v/>
      </c>
    </row>
    <row r="1480" spans="13:27">
      <c r="M1480" s="24" t="str">
        <f t="array" ref="M1480">LEFT(L1480,MIN(FIND({"A","B","C"},MID(L1480,2,LEN(L1480))&amp;"ABC")))</f>
        <v/>
      </c>
      <c r="N1480" s="24" t="str">
        <f t="array" ref="N1480">SUBSTITUTE(L1480,M1480,"")</f>
        <v/>
      </c>
      <c r="X1480" s="258" t="str">
        <f t="shared" si="66"/>
        <v/>
      </c>
      <c r="Y1480" s="36" t="str">
        <f t="shared" si="67"/>
        <v/>
      </c>
      <c r="Z1480" s="340" t="str">
        <f>IF(AND(C1480&gt;0,D1480&lt;&gt;"",S1480=""),VLOOKUP(A1480&amp;IF(H1480="黑丝","黑","白")&amp;E1480,经纬!A:M,13,FALSE)*(I1480-AB1480),"")</f>
        <v/>
      </c>
      <c r="AA1480" s="340" t="str">
        <f>IF(AND(C1480&gt;0,D1480&lt;&gt;"",S1480=""),VLOOKUP(A1480&amp;IF(H1480="黑丝","黑","白")&amp;E1480,经纬!A:N,14,FALSE)*(I1480-AB1480),"")</f>
        <v/>
      </c>
    </row>
    <row r="1481" spans="13:27">
      <c r="M1481" s="24" t="str">
        <f t="array" ref="M1481">LEFT(L1481,MIN(FIND({"A","B","C"},MID(L1481,2,LEN(L1481))&amp;"ABC")))</f>
        <v/>
      </c>
      <c r="N1481" s="24" t="str">
        <f t="array" ref="N1481">SUBSTITUTE(L1481,M1481,"")</f>
        <v/>
      </c>
      <c r="X1481" s="258" t="str">
        <f t="shared" si="66"/>
        <v/>
      </c>
      <c r="Y1481" s="36" t="str">
        <f t="shared" si="67"/>
        <v/>
      </c>
      <c r="Z1481" s="340" t="str">
        <f>IF(AND(C1481&gt;0,D1481&lt;&gt;"",S1481=""),VLOOKUP(A1481&amp;IF(H1481="黑丝","黑","白")&amp;E1481,经纬!A:M,13,FALSE)*(I1481-AB1481),"")</f>
        <v/>
      </c>
      <c r="AA1481" s="340" t="str">
        <f>IF(AND(C1481&gt;0,D1481&lt;&gt;"",S1481=""),VLOOKUP(A1481&amp;IF(H1481="黑丝","黑","白")&amp;E1481,经纬!A:N,14,FALSE)*(I1481-AB1481),"")</f>
        <v/>
      </c>
    </row>
    <row r="1482" spans="13:27">
      <c r="M1482" s="24" t="str">
        <f t="array" ref="M1482">LEFT(L1482,MIN(FIND({"A","B","C"},MID(L1482,2,LEN(L1482))&amp;"ABC")))</f>
        <v/>
      </c>
      <c r="N1482" s="24" t="str">
        <f t="array" ref="N1482">SUBSTITUTE(L1482,M1482,"")</f>
        <v/>
      </c>
      <c r="X1482" s="258" t="str">
        <f t="shared" si="66"/>
        <v/>
      </c>
      <c r="Y1482" s="36" t="str">
        <f t="shared" si="67"/>
        <v/>
      </c>
      <c r="Z1482" s="340" t="str">
        <f>IF(AND(C1482&gt;0,D1482&lt;&gt;"",S1482=""),VLOOKUP(A1482&amp;IF(H1482="黑丝","黑","白")&amp;E1482,经纬!A:M,13,FALSE)*(I1482-AB1482),"")</f>
        <v/>
      </c>
      <c r="AA1482" s="340" t="str">
        <f>IF(AND(C1482&gt;0,D1482&lt;&gt;"",S1482=""),VLOOKUP(A1482&amp;IF(H1482="黑丝","黑","白")&amp;E1482,经纬!A:N,14,FALSE)*(I1482-AB1482),"")</f>
        <v/>
      </c>
    </row>
    <row r="1483" spans="13:27">
      <c r="M1483" s="24" t="str">
        <f t="array" ref="M1483">LEFT(L1483,MIN(FIND({"A","B","C"},MID(L1483,2,LEN(L1483))&amp;"ABC")))</f>
        <v/>
      </c>
      <c r="N1483" s="24" t="str">
        <f t="array" ref="N1483">SUBSTITUTE(L1483,M1483,"")</f>
        <v/>
      </c>
      <c r="X1483" s="258" t="str">
        <f t="shared" si="66"/>
        <v/>
      </c>
      <c r="Y1483" s="36" t="str">
        <f t="shared" si="67"/>
        <v/>
      </c>
      <c r="Z1483" s="340" t="str">
        <f>IF(AND(C1483&gt;0,D1483&lt;&gt;"",S1483=""),VLOOKUP(A1483&amp;IF(H1483="黑丝","黑","白")&amp;E1483,经纬!A:M,13,FALSE)*(I1483-AB1483),"")</f>
        <v/>
      </c>
      <c r="AA1483" s="340" t="str">
        <f>IF(AND(C1483&gt;0,D1483&lt;&gt;"",S1483=""),VLOOKUP(A1483&amp;IF(H1483="黑丝","黑","白")&amp;E1483,经纬!A:N,14,FALSE)*(I1483-AB1483),"")</f>
        <v/>
      </c>
    </row>
    <row r="1484" spans="13:27">
      <c r="M1484" s="24" t="str">
        <f t="array" ref="M1484">LEFT(L1484,MIN(FIND({"A","B","C"},MID(L1484,2,LEN(L1484))&amp;"ABC")))</f>
        <v/>
      </c>
      <c r="N1484" s="24" t="str">
        <f t="array" ref="N1484">SUBSTITUTE(L1484,M1484,"")</f>
        <v/>
      </c>
      <c r="X1484" s="258" t="str">
        <f t="shared" si="66"/>
        <v/>
      </c>
      <c r="Y1484" s="36" t="str">
        <f t="shared" si="67"/>
        <v/>
      </c>
      <c r="Z1484" s="340" t="str">
        <f>IF(AND(C1484&gt;0,D1484&lt;&gt;"",S1484=""),VLOOKUP(A1484&amp;IF(H1484="黑丝","黑","白")&amp;E1484,经纬!A:M,13,FALSE)*(I1484-AB1484),"")</f>
        <v/>
      </c>
      <c r="AA1484" s="340" t="str">
        <f>IF(AND(C1484&gt;0,D1484&lt;&gt;"",S1484=""),VLOOKUP(A1484&amp;IF(H1484="黑丝","黑","白")&amp;E1484,经纬!A:N,14,FALSE)*(I1484-AB1484),"")</f>
        <v/>
      </c>
    </row>
    <row r="1485" spans="13:27">
      <c r="M1485" s="24" t="str">
        <f t="array" ref="M1485">LEFT(L1485,MIN(FIND({"A","B","C"},MID(L1485,2,LEN(L1485))&amp;"ABC")))</f>
        <v/>
      </c>
      <c r="N1485" s="24" t="str">
        <f t="array" ref="N1485">SUBSTITUTE(L1485,M1485,"")</f>
        <v/>
      </c>
      <c r="X1485" s="258" t="str">
        <f t="shared" si="66"/>
        <v/>
      </c>
      <c r="Y1485" s="36" t="str">
        <f t="shared" si="67"/>
        <v/>
      </c>
      <c r="Z1485" s="340" t="str">
        <f>IF(AND(C1485&gt;0,D1485&lt;&gt;"",S1485=""),VLOOKUP(A1485&amp;IF(H1485="黑丝","黑","白")&amp;E1485,经纬!A:M,13,FALSE)*(I1485-AB1485),"")</f>
        <v/>
      </c>
      <c r="AA1485" s="340" t="str">
        <f>IF(AND(C1485&gt;0,D1485&lt;&gt;"",S1485=""),VLOOKUP(A1485&amp;IF(H1485="黑丝","黑","白")&amp;E1485,经纬!A:N,14,FALSE)*(I1485-AB1485),"")</f>
        <v/>
      </c>
    </row>
    <row r="1486" spans="13:27">
      <c r="M1486" s="24" t="str">
        <f t="array" ref="M1486">LEFT(L1486,MIN(FIND({"A","B","C"},MID(L1486,2,LEN(L1486))&amp;"ABC")))</f>
        <v/>
      </c>
      <c r="N1486" s="24" t="str">
        <f t="array" ref="N1486">SUBSTITUTE(L1486,M1486,"")</f>
        <v/>
      </c>
      <c r="X1486" s="258" t="str">
        <f t="shared" si="66"/>
        <v/>
      </c>
      <c r="Y1486" s="36" t="str">
        <f t="shared" si="67"/>
        <v/>
      </c>
      <c r="Z1486" s="340" t="str">
        <f>IF(AND(C1486&gt;0,D1486&lt;&gt;"",S1486=""),VLOOKUP(A1486&amp;IF(H1486="黑丝","黑","白")&amp;E1486,经纬!A:M,13,FALSE)*(I1486-AB1486),"")</f>
        <v/>
      </c>
      <c r="AA1486" s="340" t="str">
        <f>IF(AND(C1486&gt;0,D1486&lt;&gt;"",S1486=""),VLOOKUP(A1486&amp;IF(H1486="黑丝","黑","白")&amp;E1486,经纬!A:N,14,FALSE)*(I1486-AB1486),"")</f>
        <v/>
      </c>
    </row>
    <row r="1487" spans="13:27">
      <c r="M1487" s="24" t="str">
        <f t="array" ref="M1487">LEFT(L1487,MIN(FIND({"A","B","C"},MID(L1487,2,LEN(L1487))&amp;"ABC")))</f>
        <v/>
      </c>
      <c r="N1487" s="24" t="str">
        <f t="array" ref="N1487">SUBSTITUTE(L1487,M1487,"")</f>
        <v/>
      </c>
      <c r="X1487" s="258" t="str">
        <f t="shared" si="66"/>
        <v/>
      </c>
      <c r="Y1487" s="36" t="str">
        <f t="shared" si="67"/>
        <v/>
      </c>
      <c r="Z1487" s="340" t="str">
        <f>IF(AND(C1487&gt;0,D1487&lt;&gt;"",S1487=""),VLOOKUP(A1487&amp;IF(H1487="黑丝","黑","白")&amp;E1487,经纬!A:M,13,FALSE)*(I1487-AB1487),"")</f>
        <v/>
      </c>
      <c r="AA1487" s="340" t="str">
        <f>IF(AND(C1487&gt;0,D1487&lt;&gt;"",S1487=""),VLOOKUP(A1487&amp;IF(H1487="黑丝","黑","白")&amp;E1487,经纬!A:N,14,FALSE)*(I1487-AB1487),"")</f>
        <v/>
      </c>
    </row>
    <row r="1488" spans="13:27">
      <c r="M1488" s="24" t="str">
        <f t="array" ref="M1488">LEFT(L1488,MIN(FIND({"A","B","C"},MID(L1488,2,LEN(L1488))&amp;"ABC")))</f>
        <v/>
      </c>
      <c r="N1488" s="24" t="str">
        <f t="array" ref="N1488">SUBSTITUTE(L1488,M1488,"")</f>
        <v/>
      </c>
      <c r="X1488" s="258" t="str">
        <f t="shared" si="66"/>
        <v/>
      </c>
      <c r="Y1488" s="36" t="str">
        <f t="shared" si="67"/>
        <v/>
      </c>
      <c r="Z1488" s="340" t="str">
        <f>IF(AND(C1488&gt;0,D1488&lt;&gt;"",S1488=""),VLOOKUP(A1488&amp;IF(H1488="黑丝","黑","白")&amp;E1488,经纬!A:M,13,FALSE)*(I1488-AB1488),"")</f>
        <v/>
      </c>
      <c r="AA1488" s="340" t="str">
        <f>IF(AND(C1488&gt;0,D1488&lt;&gt;"",S1488=""),VLOOKUP(A1488&amp;IF(H1488="黑丝","黑","白")&amp;E1488,经纬!A:N,14,FALSE)*(I1488-AB1488),"")</f>
        <v/>
      </c>
    </row>
    <row r="1489" spans="13:27">
      <c r="M1489" s="24" t="str">
        <f t="array" ref="M1489">LEFT(L1489,MIN(FIND({"A","B","C"},MID(L1489,2,LEN(L1489))&amp;"ABC")))</f>
        <v/>
      </c>
      <c r="N1489" s="24" t="str">
        <f t="array" ref="N1489">SUBSTITUTE(L1489,M1489,"")</f>
        <v/>
      </c>
      <c r="X1489" s="258" t="str">
        <f t="shared" si="66"/>
        <v/>
      </c>
      <c r="Y1489" s="36" t="str">
        <f t="shared" si="67"/>
        <v/>
      </c>
      <c r="Z1489" s="340" t="str">
        <f>IF(AND(C1489&gt;0,D1489&lt;&gt;"",S1489=""),VLOOKUP(A1489&amp;IF(H1489="黑丝","黑","白")&amp;E1489,经纬!A:M,13,FALSE)*(I1489-AB1489),"")</f>
        <v/>
      </c>
      <c r="AA1489" s="340" t="str">
        <f>IF(AND(C1489&gt;0,D1489&lt;&gt;"",S1489=""),VLOOKUP(A1489&amp;IF(H1489="黑丝","黑","白")&amp;E1489,经纬!A:N,14,FALSE)*(I1489-AB1489),"")</f>
        <v/>
      </c>
    </row>
    <row r="1490" spans="13:27">
      <c r="M1490" s="24" t="str">
        <f t="array" ref="M1490">LEFT(L1490,MIN(FIND({"A","B","C"},MID(L1490,2,LEN(L1490))&amp;"ABC")))</f>
        <v/>
      </c>
      <c r="N1490" s="24" t="str">
        <f t="array" ref="N1490">SUBSTITUTE(L1490,M1490,"")</f>
        <v/>
      </c>
      <c r="X1490" s="258" t="str">
        <f t="shared" si="66"/>
        <v/>
      </c>
      <c r="Y1490" s="36" t="str">
        <f t="shared" si="67"/>
        <v/>
      </c>
      <c r="Z1490" s="340" t="str">
        <f>IF(AND(C1490&gt;0,D1490&lt;&gt;"",S1490=""),VLOOKUP(A1490&amp;IF(H1490="黑丝","黑","白")&amp;E1490,经纬!A:M,13,FALSE)*(I1490-AB1490),"")</f>
        <v/>
      </c>
      <c r="AA1490" s="340" t="str">
        <f>IF(AND(C1490&gt;0,D1490&lt;&gt;"",S1490=""),VLOOKUP(A1490&amp;IF(H1490="黑丝","黑","白")&amp;E1490,经纬!A:N,14,FALSE)*(I1490-AB1490),"")</f>
        <v/>
      </c>
    </row>
    <row r="1491" spans="13:27">
      <c r="M1491" s="24" t="str">
        <f t="array" ref="M1491">LEFT(L1491,MIN(FIND({"A","B","C"},MID(L1491,2,LEN(L1491))&amp;"ABC")))</f>
        <v/>
      </c>
      <c r="N1491" s="24" t="str">
        <f t="array" ref="N1491">SUBSTITUTE(L1491,M1491,"")</f>
        <v/>
      </c>
      <c r="X1491" s="258" t="str">
        <f t="shared" si="66"/>
        <v/>
      </c>
      <c r="Y1491" s="36" t="str">
        <f t="shared" si="67"/>
        <v/>
      </c>
      <c r="Z1491" s="340" t="str">
        <f>IF(AND(C1491&gt;0,D1491&lt;&gt;"",S1491=""),VLOOKUP(A1491&amp;IF(H1491="黑丝","黑","白")&amp;E1491,经纬!A:M,13,FALSE)*(I1491-AB1491),"")</f>
        <v/>
      </c>
      <c r="AA1491" s="340" t="str">
        <f>IF(AND(C1491&gt;0,D1491&lt;&gt;"",S1491=""),VLOOKUP(A1491&amp;IF(H1491="黑丝","黑","白")&amp;E1491,经纬!A:N,14,FALSE)*(I1491-AB1491),"")</f>
        <v/>
      </c>
    </row>
    <row r="1492" spans="13:27">
      <c r="M1492" s="24" t="str">
        <f t="array" ref="M1492">LEFT(L1492,MIN(FIND({"A","B","C"},MID(L1492,2,LEN(L1492))&amp;"ABC")))</f>
        <v/>
      </c>
      <c r="N1492" s="24" t="str">
        <f t="array" ref="N1492">SUBSTITUTE(L1492,M1492,"")</f>
        <v/>
      </c>
      <c r="X1492" s="258" t="str">
        <f t="shared" si="66"/>
        <v/>
      </c>
      <c r="Y1492" s="36" t="str">
        <f t="shared" si="67"/>
        <v/>
      </c>
      <c r="Z1492" s="340" t="str">
        <f>IF(AND(C1492&gt;0,D1492&lt;&gt;"",S1492=""),VLOOKUP(A1492&amp;IF(H1492="黑丝","黑","白")&amp;E1492,经纬!A:M,13,FALSE)*(I1492-AB1492),"")</f>
        <v/>
      </c>
      <c r="AA1492" s="340" t="str">
        <f>IF(AND(C1492&gt;0,D1492&lt;&gt;"",S1492=""),VLOOKUP(A1492&amp;IF(H1492="黑丝","黑","白")&amp;E1492,经纬!A:N,14,FALSE)*(I1492-AB1492),"")</f>
        <v/>
      </c>
    </row>
    <row r="1493" spans="13:27">
      <c r="M1493" s="24" t="str">
        <f t="array" ref="M1493">LEFT(L1493,MIN(FIND({"A","B","C"},MID(L1493,2,LEN(L1493))&amp;"ABC")))</f>
        <v/>
      </c>
      <c r="N1493" s="24" t="str">
        <f t="array" ref="N1493">SUBSTITUTE(L1493,M1493,"")</f>
        <v/>
      </c>
      <c r="X1493" s="258" t="str">
        <f t="shared" si="66"/>
        <v/>
      </c>
      <c r="Y1493" s="36" t="str">
        <f t="shared" si="67"/>
        <v/>
      </c>
      <c r="Z1493" s="340" t="str">
        <f>IF(AND(C1493&gt;0,D1493&lt;&gt;"",S1493=""),VLOOKUP(A1493&amp;IF(H1493="黑丝","黑","白")&amp;E1493,经纬!A:M,13,FALSE)*(I1493-AB1493),"")</f>
        <v/>
      </c>
      <c r="AA1493" s="340" t="str">
        <f>IF(AND(C1493&gt;0,D1493&lt;&gt;"",S1493=""),VLOOKUP(A1493&amp;IF(H1493="黑丝","黑","白")&amp;E1493,经纬!A:N,14,FALSE)*(I1493-AB1493),"")</f>
        <v/>
      </c>
    </row>
    <row r="1494" spans="13:27">
      <c r="M1494" s="24" t="str">
        <f t="array" ref="M1494">LEFT(L1494,MIN(FIND({"A","B","C"},MID(L1494,2,LEN(L1494))&amp;"ABC")))</f>
        <v/>
      </c>
      <c r="N1494" s="24" t="str">
        <f t="array" ref="N1494">SUBSTITUTE(L1494,M1494,"")</f>
        <v/>
      </c>
      <c r="X1494" s="258" t="str">
        <f t="shared" si="66"/>
        <v/>
      </c>
      <c r="Y1494" s="36" t="str">
        <f t="shared" si="67"/>
        <v/>
      </c>
      <c r="Z1494" s="340" t="str">
        <f>IF(AND(C1494&gt;0,D1494&lt;&gt;"",S1494=""),VLOOKUP(A1494&amp;IF(H1494="黑丝","黑","白")&amp;E1494,经纬!A:M,13,FALSE)*(I1494-AB1494),"")</f>
        <v/>
      </c>
      <c r="AA1494" s="340" t="str">
        <f>IF(AND(C1494&gt;0,D1494&lt;&gt;"",S1494=""),VLOOKUP(A1494&amp;IF(H1494="黑丝","黑","白")&amp;E1494,经纬!A:N,14,FALSE)*(I1494-AB1494),"")</f>
        <v/>
      </c>
    </row>
    <row r="1495" spans="13:27">
      <c r="M1495" s="24" t="str">
        <f t="array" ref="M1495">LEFT(L1495,MIN(FIND({"A","B","C"},MID(L1495,2,LEN(L1495))&amp;"ABC")))</f>
        <v/>
      </c>
      <c r="N1495" s="24" t="str">
        <f t="array" ref="N1495">SUBSTITUTE(L1495,M1495,"")</f>
        <v/>
      </c>
      <c r="X1495" s="258" t="str">
        <f t="shared" si="66"/>
        <v/>
      </c>
      <c r="Y1495" s="36" t="str">
        <f t="shared" si="67"/>
        <v/>
      </c>
      <c r="Z1495" s="340" t="str">
        <f>IF(AND(C1495&gt;0,D1495&lt;&gt;"",S1495=""),VLOOKUP(A1495&amp;IF(H1495="黑丝","黑","白")&amp;E1495,经纬!A:M,13,FALSE)*(I1495-AB1495),"")</f>
        <v/>
      </c>
      <c r="AA1495" s="340" t="str">
        <f>IF(AND(C1495&gt;0,D1495&lt;&gt;"",S1495=""),VLOOKUP(A1495&amp;IF(H1495="黑丝","黑","白")&amp;E1495,经纬!A:N,14,FALSE)*(I1495-AB1495),"")</f>
        <v/>
      </c>
    </row>
    <row r="1496" spans="13:27">
      <c r="M1496" s="24" t="str">
        <f t="array" ref="M1496">LEFT(L1496,MIN(FIND({"A","B","C"},MID(L1496,2,LEN(L1496))&amp;"ABC")))</f>
        <v/>
      </c>
      <c r="N1496" s="24" t="str">
        <f t="array" ref="N1496">SUBSTITUTE(L1496,M1496,"")</f>
        <v/>
      </c>
      <c r="X1496" s="258" t="str">
        <f t="shared" si="66"/>
        <v/>
      </c>
      <c r="Y1496" s="36" t="str">
        <f t="shared" si="67"/>
        <v/>
      </c>
      <c r="Z1496" s="340" t="str">
        <f>IF(AND(C1496&gt;0,D1496&lt;&gt;"",S1496=""),VLOOKUP(A1496&amp;IF(H1496="黑丝","黑","白")&amp;E1496,经纬!A:M,13,FALSE)*(I1496-AB1496),"")</f>
        <v/>
      </c>
      <c r="AA1496" s="340" t="str">
        <f>IF(AND(C1496&gt;0,D1496&lt;&gt;"",S1496=""),VLOOKUP(A1496&amp;IF(H1496="黑丝","黑","白")&amp;E1496,经纬!A:N,14,FALSE)*(I1496-AB1496),"")</f>
        <v/>
      </c>
    </row>
    <row r="1497" spans="13:27">
      <c r="M1497" s="24" t="str">
        <f t="array" ref="M1497">LEFT(L1497,MIN(FIND({"A","B","C"},MID(L1497,2,LEN(L1497))&amp;"ABC")))</f>
        <v/>
      </c>
      <c r="N1497" s="24" t="str">
        <f t="array" ref="N1497">SUBSTITUTE(L1497,M1497,"")</f>
        <v/>
      </c>
      <c r="X1497" s="258" t="str">
        <f t="shared" si="66"/>
        <v/>
      </c>
      <c r="Y1497" s="36" t="str">
        <f t="shared" si="67"/>
        <v/>
      </c>
      <c r="Z1497" s="340" t="str">
        <f>IF(AND(C1497&gt;0,D1497&lt;&gt;"",S1497=""),VLOOKUP(A1497&amp;IF(H1497="黑丝","黑","白")&amp;E1497,经纬!A:M,13,FALSE)*(I1497-AB1497),"")</f>
        <v/>
      </c>
      <c r="AA1497" s="340" t="str">
        <f>IF(AND(C1497&gt;0,D1497&lt;&gt;"",S1497=""),VLOOKUP(A1497&amp;IF(H1497="黑丝","黑","白")&amp;E1497,经纬!A:N,14,FALSE)*(I1497-AB1497),"")</f>
        <v/>
      </c>
    </row>
    <row r="1498" spans="13:27">
      <c r="M1498" s="24" t="str">
        <f t="array" ref="M1498">LEFT(L1498,MIN(FIND({"A","B","C"},MID(L1498,2,LEN(L1498))&amp;"ABC")))</f>
        <v/>
      </c>
      <c r="N1498" s="24" t="str">
        <f t="array" ref="N1498">SUBSTITUTE(L1498,M1498,"")</f>
        <v/>
      </c>
      <c r="X1498" s="258" t="str">
        <f t="shared" si="66"/>
        <v/>
      </c>
      <c r="Y1498" s="36" t="str">
        <f t="shared" si="67"/>
        <v/>
      </c>
      <c r="Z1498" s="340" t="str">
        <f>IF(AND(C1498&gt;0,D1498&lt;&gt;"",S1498=""),VLOOKUP(A1498&amp;IF(H1498="黑丝","黑","白")&amp;E1498,经纬!A:M,13,FALSE)*(I1498-AB1498),"")</f>
        <v/>
      </c>
      <c r="AA1498" s="340" t="str">
        <f>IF(AND(C1498&gt;0,D1498&lt;&gt;"",S1498=""),VLOOKUP(A1498&amp;IF(H1498="黑丝","黑","白")&amp;E1498,经纬!A:N,14,FALSE)*(I1498-AB1498),"")</f>
        <v/>
      </c>
    </row>
    <row r="1499" spans="13:27">
      <c r="M1499" s="24" t="str">
        <f t="array" ref="M1499">LEFT(L1499,MIN(FIND({"A","B","C"},MID(L1499,2,LEN(L1499))&amp;"ABC")))</f>
        <v/>
      </c>
      <c r="N1499" s="24" t="str">
        <f t="array" ref="N1499">SUBSTITUTE(L1499,M1499,"")</f>
        <v/>
      </c>
      <c r="X1499" s="258" t="str">
        <f t="shared" si="66"/>
        <v/>
      </c>
      <c r="Y1499" s="36" t="str">
        <f t="shared" si="67"/>
        <v/>
      </c>
      <c r="Z1499" s="340" t="str">
        <f>IF(AND(C1499&gt;0,D1499&lt;&gt;"",S1499=""),VLOOKUP(A1499&amp;IF(H1499="黑丝","黑","白")&amp;E1499,经纬!A:M,13,FALSE)*(I1499-AB1499),"")</f>
        <v/>
      </c>
      <c r="AA1499" s="340" t="str">
        <f>IF(AND(C1499&gt;0,D1499&lt;&gt;"",S1499=""),VLOOKUP(A1499&amp;IF(H1499="黑丝","黑","白")&amp;E1499,经纬!A:N,14,FALSE)*(I1499-AB1499),"")</f>
        <v/>
      </c>
    </row>
    <row r="1500" spans="13:27">
      <c r="M1500" s="24" t="str">
        <f t="array" ref="M1500">LEFT(L1500,MIN(FIND({"A","B","C"},MID(L1500,2,LEN(L1500))&amp;"ABC")))</f>
        <v/>
      </c>
      <c r="N1500" s="24" t="str">
        <f t="array" ref="N1500">SUBSTITUTE(L1500,M1500,"")</f>
        <v/>
      </c>
      <c r="X1500" s="258" t="str">
        <f t="shared" ref="X1500:X1563" si="68">IF(B1500="","",IF(S1500&lt;&gt;"","",IF(AND(Z1500&lt;&gt;"",AA1500&lt;&gt;""),SUM(Z1500:AA1500),IF(AB1500&lt;&gt;"",(I1500/((1/((G1500+2)/100*K1500/1000))*0.9144)/IF(H1500="黑丝",22,20)-AB1500)*(IF(H1500="黑丝",22,20)),I1500/((1/((G1500+2)/100*K1500/1000))*0.9144)))))</f>
        <v/>
      </c>
      <c r="Y1500" s="36" t="str">
        <f t="shared" si="67"/>
        <v/>
      </c>
      <c r="Z1500" s="340" t="str">
        <f>IF(AND(C1500&gt;0,D1500&lt;&gt;"",S1500=""),VLOOKUP(A1500&amp;IF(H1500="黑丝","黑","白")&amp;E1500,经纬!A:M,13,FALSE)*(I1500-AB1500),"")</f>
        <v/>
      </c>
      <c r="AA1500" s="340" t="str">
        <f>IF(AND(C1500&gt;0,D1500&lt;&gt;"",S1500=""),VLOOKUP(A1500&amp;IF(H1500="黑丝","黑","白")&amp;E1500,经纬!A:N,14,FALSE)*(I1500-AB1500),"")</f>
        <v/>
      </c>
    </row>
    <row r="1501" spans="13:27">
      <c r="M1501" s="24" t="str">
        <f t="array" ref="M1501">LEFT(L1501,MIN(FIND({"A","B","C"},MID(L1501,2,LEN(L1501))&amp;"ABC")))</f>
        <v/>
      </c>
      <c r="N1501" s="24" t="str">
        <f t="array" ref="N1501">SUBSTITUTE(L1501,M1501,"")</f>
        <v/>
      </c>
      <c r="X1501" s="258" t="str">
        <f t="shared" si="68"/>
        <v/>
      </c>
      <c r="Y1501" s="36" t="str">
        <f t="shared" si="67"/>
        <v/>
      </c>
      <c r="Z1501" s="340" t="str">
        <f>IF(AND(C1501&gt;0,D1501&lt;&gt;"",S1501=""),VLOOKUP(A1501&amp;IF(H1501="黑丝","黑","白")&amp;E1501,经纬!A:M,13,FALSE)*(I1501-AB1501),"")</f>
        <v/>
      </c>
      <c r="AA1501" s="340" t="str">
        <f>IF(AND(C1501&gt;0,D1501&lt;&gt;"",S1501=""),VLOOKUP(A1501&amp;IF(H1501="黑丝","黑","白")&amp;E1501,经纬!A:N,14,FALSE)*(I1501-AB1501),"")</f>
        <v/>
      </c>
    </row>
    <row r="1502" spans="13:27">
      <c r="M1502" s="24" t="str">
        <f t="array" ref="M1502">LEFT(L1502,MIN(FIND({"A","B","C"},MID(L1502,2,LEN(L1502))&amp;"ABC")))</f>
        <v/>
      </c>
      <c r="N1502" s="24" t="str">
        <f t="array" ref="N1502">SUBSTITUTE(L1502,M1502,"")</f>
        <v/>
      </c>
      <c r="X1502" s="258" t="str">
        <f t="shared" si="68"/>
        <v/>
      </c>
      <c r="Y1502" s="36" t="str">
        <f t="shared" si="67"/>
        <v/>
      </c>
      <c r="Z1502" s="340" t="str">
        <f>IF(AND(C1502&gt;0,D1502&lt;&gt;"",S1502=""),VLOOKUP(A1502&amp;IF(H1502="黑丝","黑","白")&amp;E1502,经纬!A:M,13,FALSE)*(I1502-AB1502),"")</f>
        <v/>
      </c>
      <c r="AA1502" s="340" t="str">
        <f>IF(AND(C1502&gt;0,D1502&lt;&gt;"",S1502=""),VLOOKUP(A1502&amp;IF(H1502="黑丝","黑","白")&amp;E1502,经纬!A:N,14,FALSE)*(I1502-AB1502),"")</f>
        <v/>
      </c>
    </row>
    <row r="1503" spans="13:27">
      <c r="M1503" s="24" t="str">
        <f t="array" ref="M1503">LEFT(L1503,MIN(FIND({"A","B","C"},MID(L1503,2,LEN(L1503))&amp;"ABC")))</f>
        <v/>
      </c>
      <c r="N1503" s="24" t="str">
        <f t="array" ref="N1503">SUBSTITUTE(L1503,M1503,"")</f>
        <v/>
      </c>
      <c r="X1503" s="258" t="str">
        <f t="shared" si="68"/>
        <v/>
      </c>
      <c r="Y1503" s="36" t="str">
        <f t="shared" si="67"/>
        <v/>
      </c>
      <c r="Z1503" s="340" t="str">
        <f>IF(AND(C1503&gt;0,D1503&lt;&gt;"",S1503=""),VLOOKUP(A1503&amp;IF(H1503="黑丝","黑","白")&amp;E1503,经纬!A:M,13,FALSE)*(I1503-AB1503),"")</f>
        <v/>
      </c>
      <c r="AA1503" s="340" t="str">
        <f>IF(AND(C1503&gt;0,D1503&lt;&gt;"",S1503=""),VLOOKUP(A1503&amp;IF(H1503="黑丝","黑","白")&amp;E1503,经纬!A:N,14,FALSE)*(I1503-AB1503),"")</f>
        <v/>
      </c>
    </row>
    <row r="1504" spans="13:27">
      <c r="M1504" s="24" t="str">
        <f t="array" ref="M1504">LEFT(L1504,MIN(FIND({"A","B","C"},MID(L1504,2,LEN(L1504))&amp;"ABC")))</f>
        <v/>
      </c>
      <c r="N1504" s="24" t="str">
        <f t="array" ref="N1504">SUBSTITUTE(L1504,M1504,"")</f>
        <v/>
      </c>
      <c r="X1504" s="258" t="str">
        <f t="shared" si="68"/>
        <v/>
      </c>
      <c r="Y1504" s="36" t="str">
        <f t="shared" si="67"/>
        <v/>
      </c>
      <c r="Z1504" s="340" t="str">
        <f>IF(AND(C1504&gt;0,D1504&lt;&gt;"",S1504=""),VLOOKUP(A1504&amp;IF(H1504="黑丝","黑","白")&amp;E1504,经纬!A:M,13,FALSE)*(I1504-AB1504),"")</f>
        <v/>
      </c>
      <c r="AA1504" s="340" t="str">
        <f>IF(AND(C1504&gt;0,D1504&lt;&gt;"",S1504=""),VLOOKUP(A1504&amp;IF(H1504="黑丝","黑","白")&amp;E1504,经纬!A:N,14,FALSE)*(I1504-AB1504),"")</f>
        <v/>
      </c>
    </row>
    <row r="1505" spans="13:27">
      <c r="M1505" s="24" t="str">
        <f t="array" ref="M1505">LEFT(L1505,MIN(FIND({"A","B","C"},MID(L1505,2,LEN(L1505))&amp;"ABC")))</f>
        <v/>
      </c>
      <c r="N1505" s="24" t="str">
        <f t="array" ref="N1505">SUBSTITUTE(L1505,M1505,"")</f>
        <v/>
      </c>
      <c r="X1505" s="258" t="str">
        <f t="shared" si="68"/>
        <v/>
      </c>
      <c r="Y1505" s="36" t="str">
        <f t="shared" si="67"/>
        <v/>
      </c>
      <c r="Z1505" s="340" t="str">
        <f>IF(AND(C1505&gt;0,D1505&lt;&gt;"",S1505=""),VLOOKUP(A1505&amp;IF(H1505="黑丝","黑","白")&amp;E1505,经纬!A:M,13,FALSE)*(I1505-AB1505),"")</f>
        <v/>
      </c>
      <c r="AA1505" s="340" t="str">
        <f>IF(AND(C1505&gt;0,D1505&lt;&gt;"",S1505=""),VLOOKUP(A1505&amp;IF(H1505="黑丝","黑","白")&amp;E1505,经纬!A:N,14,FALSE)*(I1505-AB1505),"")</f>
        <v/>
      </c>
    </row>
    <row r="1506" spans="13:27">
      <c r="M1506" s="24" t="str">
        <f t="array" ref="M1506">LEFT(L1506,MIN(FIND({"A","B","C"},MID(L1506,2,LEN(L1506))&amp;"ABC")))</f>
        <v/>
      </c>
      <c r="N1506" s="24" t="str">
        <f t="array" ref="N1506">SUBSTITUTE(L1506,M1506,"")</f>
        <v/>
      </c>
      <c r="X1506" s="258" t="str">
        <f t="shared" si="68"/>
        <v/>
      </c>
      <c r="Y1506" s="36" t="str">
        <f t="shared" si="67"/>
        <v/>
      </c>
      <c r="Z1506" s="340" t="str">
        <f>IF(AND(C1506&gt;0,D1506&lt;&gt;"",S1506=""),VLOOKUP(A1506&amp;IF(H1506="黑丝","黑","白")&amp;E1506,经纬!A:M,13,FALSE)*(I1506-AB1506),"")</f>
        <v/>
      </c>
      <c r="AA1506" s="340" t="str">
        <f>IF(AND(C1506&gt;0,D1506&lt;&gt;"",S1506=""),VLOOKUP(A1506&amp;IF(H1506="黑丝","黑","白")&amp;E1506,经纬!A:N,14,FALSE)*(I1506-AB1506),"")</f>
        <v/>
      </c>
    </row>
    <row r="1507" spans="13:27">
      <c r="M1507" s="24" t="str">
        <f t="array" ref="M1507">LEFT(L1507,MIN(FIND({"A","B","C"},MID(L1507,2,LEN(L1507))&amp;"ABC")))</f>
        <v/>
      </c>
      <c r="N1507" s="24" t="str">
        <f t="array" ref="N1507">SUBSTITUTE(L1507,M1507,"")</f>
        <v/>
      </c>
      <c r="X1507" s="258" t="str">
        <f t="shared" si="68"/>
        <v/>
      </c>
      <c r="Y1507" s="36" t="str">
        <f t="shared" si="67"/>
        <v/>
      </c>
      <c r="Z1507" s="340" t="str">
        <f>IF(AND(C1507&gt;0,D1507&lt;&gt;"",S1507=""),VLOOKUP(A1507&amp;IF(H1507="黑丝","黑","白")&amp;E1507,经纬!A:M,13,FALSE)*(I1507-AB1507),"")</f>
        <v/>
      </c>
      <c r="AA1507" s="340" t="str">
        <f>IF(AND(C1507&gt;0,D1507&lt;&gt;"",S1507=""),VLOOKUP(A1507&amp;IF(H1507="黑丝","黑","白")&amp;E1507,经纬!A:N,14,FALSE)*(I1507-AB1507),"")</f>
        <v/>
      </c>
    </row>
    <row r="1508" spans="13:27">
      <c r="M1508" s="24" t="str">
        <f t="array" ref="M1508">LEFT(L1508,MIN(FIND({"A","B","C"},MID(L1508,2,LEN(L1508))&amp;"ABC")))</f>
        <v/>
      </c>
      <c r="N1508" s="24" t="str">
        <f t="array" ref="N1508">SUBSTITUTE(L1508,M1508,"")</f>
        <v/>
      </c>
      <c r="X1508" s="258" t="str">
        <f t="shared" si="68"/>
        <v/>
      </c>
      <c r="Y1508" s="36" t="str">
        <f t="shared" si="67"/>
        <v/>
      </c>
      <c r="Z1508" s="340" t="str">
        <f>IF(AND(C1508&gt;0,D1508&lt;&gt;"",S1508=""),VLOOKUP(A1508&amp;IF(H1508="黑丝","黑","白")&amp;E1508,经纬!A:M,13,FALSE)*(I1508-AB1508),"")</f>
        <v/>
      </c>
      <c r="AA1508" s="340" t="str">
        <f>IF(AND(C1508&gt;0,D1508&lt;&gt;"",S1508=""),VLOOKUP(A1508&amp;IF(H1508="黑丝","黑","白")&amp;E1508,经纬!A:N,14,FALSE)*(I1508-AB1508),"")</f>
        <v/>
      </c>
    </row>
    <row r="1509" spans="13:27">
      <c r="M1509" s="24" t="str">
        <f t="array" ref="M1509">LEFT(L1509,MIN(FIND({"A","B","C"},MID(L1509,2,LEN(L1509))&amp;"ABC")))</f>
        <v/>
      </c>
      <c r="N1509" s="24" t="str">
        <f t="array" ref="N1509">SUBSTITUTE(L1509,M1509,"")</f>
        <v/>
      </c>
      <c r="X1509" s="258" t="str">
        <f t="shared" si="68"/>
        <v/>
      </c>
      <c r="Y1509" s="36" t="str">
        <f t="shared" si="67"/>
        <v/>
      </c>
      <c r="Z1509" s="340" t="str">
        <f>IF(AND(C1509&gt;0,D1509&lt;&gt;"",S1509=""),VLOOKUP(A1509&amp;IF(H1509="黑丝","黑","白")&amp;E1509,经纬!A:M,13,FALSE)*(I1509-AB1509),"")</f>
        <v/>
      </c>
      <c r="AA1509" s="340" t="str">
        <f>IF(AND(C1509&gt;0,D1509&lt;&gt;"",S1509=""),VLOOKUP(A1509&amp;IF(H1509="黑丝","黑","白")&amp;E1509,经纬!A:N,14,FALSE)*(I1509-AB1509),"")</f>
        <v/>
      </c>
    </row>
    <row r="1510" spans="13:27">
      <c r="M1510" s="24" t="str">
        <f t="array" ref="M1510">LEFT(L1510,MIN(FIND({"A","B","C"},MID(L1510,2,LEN(L1510))&amp;"ABC")))</f>
        <v/>
      </c>
      <c r="N1510" s="24" t="str">
        <f t="array" ref="N1510">SUBSTITUTE(L1510,M1510,"")</f>
        <v/>
      </c>
      <c r="X1510" s="258" t="str">
        <f t="shared" si="68"/>
        <v/>
      </c>
      <c r="Y1510" s="36" t="str">
        <f t="shared" si="67"/>
        <v/>
      </c>
      <c r="Z1510" s="340" t="str">
        <f>IF(AND(C1510&gt;0,D1510&lt;&gt;"",S1510=""),VLOOKUP(A1510&amp;IF(H1510="黑丝","黑","白")&amp;E1510,经纬!A:M,13,FALSE)*(I1510-AB1510),"")</f>
        <v/>
      </c>
      <c r="AA1510" s="340" t="str">
        <f>IF(AND(C1510&gt;0,D1510&lt;&gt;"",S1510=""),VLOOKUP(A1510&amp;IF(H1510="黑丝","黑","白")&amp;E1510,经纬!A:N,14,FALSE)*(I1510-AB1510),"")</f>
        <v/>
      </c>
    </row>
    <row r="1511" spans="13:27">
      <c r="M1511" s="24" t="str">
        <f t="array" ref="M1511">LEFT(L1511,MIN(FIND({"A","B","C"},MID(L1511,2,LEN(L1511))&amp;"ABC")))</f>
        <v/>
      </c>
      <c r="N1511" s="24" t="str">
        <f t="array" ref="N1511">SUBSTITUTE(L1511,M1511,"")</f>
        <v/>
      </c>
      <c r="X1511" s="258" t="str">
        <f t="shared" si="68"/>
        <v/>
      </c>
      <c r="Y1511" s="36" t="str">
        <f t="shared" si="67"/>
        <v/>
      </c>
      <c r="Z1511" s="340" t="str">
        <f>IF(AND(C1511&gt;0,D1511&lt;&gt;"",S1511=""),VLOOKUP(A1511&amp;IF(H1511="黑丝","黑","白")&amp;E1511,经纬!A:M,13,FALSE)*(I1511-AB1511),"")</f>
        <v/>
      </c>
      <c r="AA1511" s="340" t="str">
        <f>IF(AND(C1511&gt;0,D1511&lt;&gt;"",S1511=""),VLOOKUP(A1511&amp;IF(H1511="黑丝","黑","白")&amp;E1511,经纬!A:N,14,FALSE)*(I1511-AB1511),"")</f>
        <v/>
      </c>
    </row>
    <row r="1512" spans="13:27">
      <c r="M1512" s="24" t="str">
        <f t="array" ref="M1512">LEFT(L1512,MIN(FIND({"A","B","C"},MID(L1512,2,LEN(L1512))&amp;"ABC")))</f>
        <v/>
      </c>
      <c r="N1512" s="24" t="str">
        <f t="array" ref="N1512">SUBSTITUTE(L1512,M1512,"")</f>
        <v/>
      </c>
      <c r="X1512" s="258" t="str">
        <f t="shared" si="68"/>
        <v/>
      </c>
      <c r="Y1512" s="36" t="str">
        <f t="shared" si="67"/>
        <v/>
      </c>
      <c r="Z1512" s="340" t="str">
        <f>IF(AND(C1512&gt;0,D1512&lt;&gt;"",S1512=""),VLOOKUP(A1512&amp;IF(H1512="黑丝","黑","白")&amp;E1512,经纬!A:M,13,FALSE)*(I1512-AB1512),"")</f>
        <v/>
      </c>
      <c r="AA1512" s="340" t="str">
        <f>IF(AND(C1512&gt;0,D1512&lt;&gt;"",S1512=""),VLOOKUP(A1512&amp;IF(H1512="黑丝","黑","白")&amp;E1512,经纬!A:N,14,FALSE)*(I1512-AB1512),"")</f>
        <v/>
      </c>
    </row>
    <row r="1513" spans="13:27">
      <c r="M1513" s="24" t="str">
        <f t="array" ref="M1513">LEFT(L1513,MIN(FIND({"A","B","C"},MID(L1513,2,LEN(L1513))&amp;"ABC")))</f>
        <v/>
      </c>
      <c r="N1513" s="24" t="str">
        <f t="array" ref="N1513">SUBSTITUTE(L1513,M1513,"")</f>
        <v/>
      </c>
      <c r="X1513" s="258" t="str">
        <f t="shared" si="68"/>
        <v/>
      </c>
      <c r="Y1513" s="36" t="str">
        <f t="shared" ref="Y1513:Y1576" si="69">IF(OR(B1513="",D1513&lt;&gt;""),"",IF(S1513&lt;&gt;"","",I1513/((1/((G1513+2)/100*K1513/1000))*0.9144)/IF(H1513="黑丝",22,20)-AB1513))</f>
        <v/>
      </c>
      <c r="Z1513" s="340" t="str">
        <f>IF(AND(C1513&gt;0,D1513&lt;&gt;"",S1513=""),VLOOKUP(A1513&amp;IF(H1513="黑丝","黑","白")&amp;E1513,经纬!A:M,13,FALSE)*(I1513-AB1513),"")</f>
        <v/>
      </c>
      <c r="AA1513" s="340" t="str">
        <f>IF(AND(C1513&gt;0,D1513&lt;&gt;"",S1513=""),VLOOKUP(A1513&amp;IF(H1513="黑丝","黑","白")&amp;E1513,经纬!A:N,14,FALSE)*(I1513-AB1513),"")</f>
        <v/>
      </c>
    </row>
    <row r="1514" spans="13:27">
      <c r="M1514" s="24" t="str">
        <f t="array" ref="M1514">LEFT(L1514,MIN(FIND({"A","B","C"},MID(L1514,2,LEN(L1514))&amp;"ABC")))</f>
        <v/>
      </c>
      <c r="N1514" s="24" t="str">
        <f t="array" ref="N1514">SUBSTITUTE(L1514,M1514,"")</f>
        <v/>
      </c>
      <c r="X1514" s="258" t="str">
        <f t="shared" si="68"/>
        <v/>
      </c>
      <c r="Y1514" s="36" t="str">
        <f t="shared" si="69"/>
        <v/>
      </c>
      <c r="Z1514" s="340" t="str">
        <f>IF(AND(C1514&gt;0,D1514&lt;&gt;"",S1514=""),VLOOKUP(A1514&amp;IF(H1514="黑丝","黑","白")&amp;E1514,经纬!A:M,13,FALSE)*(I1514-AB1514),"")</f>
        <v/>
      </c>
      <c r="AA1514" s="340" t="str">
        <f>IF(AND(C1514&gt;0,D1514&lt;&gt;"",S1514=""),VLOOKUP(A1514&amp;IF(H1514="黑丝","黑","白")&amp;E1514,经纬!A:N,14,FALSE)*(I1514-AB1514),"")</f>
        <v/>
      </c>
    </row>
    <row r="1515" spans="13:27">
      <c r="M1515" s="24" t="str">
        <f t="array" ref="M1515">LEFT(L1515,MIN(FIND({"A","B","C"},MID(L1515,2,LEN(L1515))&amp;"ABC")))</f>
        <v/>
      </c>
      <c r="N1515" s="24" t="str">
        <f t="array" ref="N1515">SUBSTITUTE(L1515,M1515,"")</f>
        <v/>
      </c>
      <c r="X1515" s="258" t="str">
        <f t="shared" si="68"/>
        <v/>
      </c>
      <c r="Y1515" s="36" t="str">
        <f t="shared" si="69"/>
        <v/>
      </c>
      <c r="Z1515" s="340" t="str">
        <f>IF(AND(C1515&gt;0,D1515&lt;&gt;"",S1515=""),VLOOKUP(A1515&amp;IF(H1515="黑丝","黑","白")&amp;E1515,经纬!A:M,13,FALSE)*(I1515-AB1515),"")</f>
        <v/>
      </c>
      <c r="AA1515" s="340" t="str">
        <f>IF(AND(C1515&gt;0,D1515&lt;&gt;"",S1515=""),VLOOKUP(A1515&amp;IF(H1515="黑丝","黑","白")&amp;E1515,经纬!A:N,14,FALSE)*(I1515-AB1515),"")</f>
        <v/>
      </c>
    </row>
    <row r="1516" spans="13:27">
      <c r="M1516" s="24" t="str">
        <f t="array" ref="M1516">LEFT(L1516,MIN(FIND({"A","B","C"},MID(L1516,2,LEN(L1516))&amp;"ABC")))</f>
        <v/>
      </c>
      <c r="N1516" s="24" t="str">
        <f t="array" ref="N1516">SUBSTITUTE(L1516,M1516,"")</f>
        <v/>
      </c>
      <c r="X1516" s="258" t="str">
        <f t="shared" si="68"/>
        <v/>
      </c>
      <c r="Y1516" s="36" t="str">
        <f t="shared" si="69"/>
        <v/>
      </c>
      <c r="Z1516" s="340" t="str">
        <f>IF(AND(C1516&gt;0,D1516&lt;&gt;"",S1516=""),VLOOKUP(A1516&amp;IF(H1516="黑丝","黑","白")&amp;E1516,经纬!A:M,13,FALSE)*(I1516-AB1516),"")</f>
        <v/>
      </c>
      <c r="AA1516" s="340" t="str">
        <f>IF(AND(C1516&gt;0,D1516&lt;&gt;"",S1516=""),VLOOKUP(A1516&amp;IF(H1516="黑丝","黑","白")&amp;E1516,经纬!A:N,14,FALSE)*(I1516-AB1516),"")</f>
        <v/>
      </c>
    </row>
    <row r="1517" spans="13:27">
      <c r="M1517" s="24" t="str">
        <f t="array" ref="M1517">LEFT(L1517,MIN(FIND({"A","B","C"},MID(L1517,2,LEN(L1517))&amp;"ABC")))</f>
        <v/>
      </c>
      <c r="N1517" s="24" t="str">
        <f t="array" ref="N1517">SUBSTITUTE(L1517,M1517,"")</f>
        <v/>
      </c>
      <c r="X1517" s="258" t="str">
        <f t="shared" si="68"/>
        <v/>
      </c>
      <c r="Y1517" s="36" t="str">
        <f t="shared" si="69"/>
        <v/>
      </c>
      <c r="Z1517" s="340" t="str">
        <f>IF(AND(C1517&gt;0,D1517&lt;&gt;"",S1517=""),VLOOKUP(A1517&amp;IF(H1517="黑丝","黑","白")&amp;E1517,经纬!A:M,13,FALSE)*(I1517-AB1517),"")</f>
        <v/>
      </c>
      <c r="AA1517" s="340" t="str">
        <f>IF(AND(C1517&gt;0,D1517&lt;&gt;"",S1517=""),VLOOKUP(A1517&amp;IF(H1517="黑丝","黑","白")&amp;E1517,经纬!A:N,14,FALSE)*(I1517-AB1517),"")</f>
        <v/>
      </c>
    </row>
    <row r="1518" spans="13:27">
      <c r="M1518" s="24" t="str">
        <f t="array" ref="M1518">LEFT(L1518,MIN(FIND({"A","B","C"},MID(L1518,2,LEN(L1518))&amp;"ABC")))</f>
        <v/>
      </c>
      <c r="N1518" s="24" t="str">
        <f t="array" ref="N1518">SUBSTITUTE(L1518,M1518,"")</f>
        <v/>
      </c>
      <c r="X1518" s="258" t="str">
        <f t="shared" si="68"/>
        <v/>
      </c>
      <c r="Y1518" s="36" t="str">
        <f t="shared" si="69"/>
        <v/>
      </c>
      <c r="Z1518" s="340" t="str">
        <f>IF(AND(C1518&gt;0,D1518&lt;&gt;"",S1518=""),VLOOKUP(A1518&amp;IF(H1518="黑丝","黑","白")&amp;E1518,经纬!A:M,13,FALSE)*(I1518-AB1518),"")</f>
        <v/>
      </c>
      <c r="AA1518" s="340" t="str">
        <f>IF(AND(C1518&gt;0,D1518&lt;&gt;"",S1518=""),VLOOKUP(A1518&amp;IF(H1518="黑丝","黑","白")&amp;E1518,经纬!A:N,14,FALSE)*(I1518-AB1518),"")</f>
        <v/>
      </c>
    </row>
    <row r="1519" spans="13:27">
      <c r="M1519" s="24" t="str">
        <f t="array" ref="M1519">LEFT(L1519,MIN(FIND({"A","B","C"},MID(L1519,2,LEN(L1519))&amp;"ABC")))</f>
        <v/>
      </c>
      <c r="N1519" s="24" t="str">
        <f t="array" ref="N1519">SUBSTITUTE(L1519,M1519,"")</f>
        <v/>
      </c>
      <c r="X1519" s="258" t="str">
        <f t="shared" si="68"/>
        <v/>
      </c>
      <c r="Y1519" s="36" t="str">
        <f t="shared" si="69"/>
        <v/>
      </c>
      <c r="Z1519" s="340" t="str">
        <f>IF(AND(C1519&gt;0,D1519&lt;&gt;"",S1519=""),VLOOKUP(A1519&amp;IF(H1519="黑丝","黑","白")&amp;E1519,经纬!A:M,13,FALSE)*(I1519-AB1519),"")</f>
        <v/>
      </c>
      <c r="AA1519" s="340" t="str">
        <f>IF(AND(C1519&gt;0,D1519&lt;&gt;"",S1519=""),VLOOKUP(A1519&amp;IF(H1519="黑丝","黑","白")&amp;E1519,经纬!A:N,14,FALSE)*(I1519-AB1519),"")</f>
        <v/>
      </c>
    </row>
    <row r="1520" spans="13:27">
      <c r="M1520" s="24" t="str">
        <f t="array" ref="M1520">LEFT(L1520,MIN(FIND({"A","B","C"},MID(L1520,2,LEN(L1520))&amp;"ABC")))</f>
        <v/>
      </c>
      <c r="N1520" s="24" t="str">
        <f t="array" ref="N1520">SUBSTITUTE(L1520,M1520,"")</f>
        <v/>
      </c>
      <c r="X1520" s="258" t="str">
        <f t="shared" si="68"/>
        <v/>
      </c>
      <c r="Y1520" s="36" t="str">
        <f t="shared" si="69"/>
        <v/>
      </c>
      <c r="Z1520" s="340" t="str">
        <f>IF(AND(C1520&gt;0,D1520&lt;&gt;"",S1520=""),VLOOKUP(A1520&amp;IF(H1520="黑丝","黑","白")&amp;E1520,经纬!A:M,13,FALSE)*(I1520-AB1520),"")</f>
        <v/>
      </c>
      <c r="AA1520" s="340" t="str">
        <f>IF(AND(C1520&gt;0,D1520&lt;&gt;"",S1520=""),VLOOKUP(A1520&amp;IF(H1520="黑丝","黑","白")&amp;E1520,经纬!A:N,14,FALSE)*(I1520-AB1520),"")</f>
        <v/>
      </c>
    </row>
    <row r="1521" spans="13:27">
      <c r="M1521" s="24" t="str">
        <f t="array" ref="M1521">LEFT(L1521,MIN(FIND({"A","B","C"},MID(L1521,2,LEN(L1521))&amp;"ABC")))</f>
        <v/>
      </c>
      <c r="N1521" s="24" t="str">
        <f t="array" ref="N1521">SUBSTITUTE(L1521,M1521,"")</f>
        <v/>
      </c>
      <c r="X1521" s="258" t="str">
        <f t="shared" si="68"/>
        <v/>
      </c>
      <c r="Y1521" s="36" t="str">
        <f t="shared" si="69"/>
        <v/>
      </c>
      <c r="Z1521" s="340" t="str">
        <f>IF(AND(C1521&gt;0,D1521&lt;&gt;"",S1521=""),VLOOKUP(A1521&amp;IF(H1521="黑丝","黑","白")&amp;E1521,经纬!A:M,13,FALSE)*(I1521-AB1521),"")</f>
        <v/>
      </c>
      <c r="AA1521" s="340" t="str">
        <f>IF(AND(C1521&gt;0,D1521&lt;&gt;"",S1521=""),VLOOKUP(A1521&amp;IF(H1521="黑丝","黑","白")&amp;E1521,经纬!A:N,14,FALSE)*(I1521-AB1521),"")</f>
        <v/>
      </c>
    </row>
    <row r="1522" spans="13:27">
      <c r="M1522" s="24" t="str">
        <f t="array" ref="M1522">LEFT(L1522,MIN(FIND({"A","B","C"},MID(L1522,2,LEN(L1522))&amp;"ABC")))</f>
        <v/>
      </c>
      <c r="N1522" s="24" t="str">
        <f t="array" ref="N1522">SUBSTITUTE(L1522,M1522,"")</f>
        <v/>
      </c>
      <c r="X1522" s="258" t="str">
        <f t="shared" si="68"/>
        <v/>
      </c>
      <c r="Y1522" s="36" t="str">
        <f t="shared" si="69"/>
        <v/>
      </c>
      <c r="Z1522" s="340" t="str">
        <f>IF(AND(C1522&gt;0,D1522&lt;&gt;"",S1522=""),VLOOKUP(A1522&amp;IF(H1522="黑丝","黑","白")&amp;E1522,经纬!A:M,13,FALSE)*(I1522-AB1522),"")</f>
        <v/>
      </c>
      <c r="AA1522" s="340" t="str">
        <f>IF(AND(C1522&gt;0,D1522&lt;&gt;"",S1522=""),VLOOKUP(A1522&amp;IF(H1522="黑丝","黑","白")&amp;E1522,经纬!A:N,14,FALSE)*(I1522-AB1522),"")</f>
        <v/>
      </c>
    </row>
    <row r="1523" spans="13:27">
      <c r="M1523" s="24" t="str">
        <f t="array" ref="M1523">LEFT(L1523,MIN(FIND({"A","B","C"},MID(L1523,2,LEN(L1523))&amp;"ABC")))</f>
        <v/>
      </c>
      <c r="N1523" s="24" t="str">
        <f t="array" ref="N1523">SUBSTITUTE(L1523,M1523,"")</f>
        <v/>
      </c>
      <c r="X1523" s="258" t="str">
        <f t="shared" si="68"/>
        <v/>
      </c>
      <c r="Y1523" s="36" t="str">
        <f t="shared" si="69"/>
        <v/>
      </c>
      <c r="Z1523" s="340" t="str">
        <f>IF(AND(C1523&gt;0,D1523&lt;&gt;"",S1523=""),VLOOKUP(A1523&amp;IF(H1523="黑丝","黑","白")&amp;E1523,经纬!A:M,13,FALSE)*(I1523-AB1523),"")</f>
        <v/>
      </c>
      <c r="AA1523" s="340" t="str">
        <f>IF(AND(C1523&gt;0,D1523&lt;&gt;"",S1523=""),VLOOKUP(A1523&amp;IF(H1523="黑丝","黑","白")&amp;E1523,经纬!A:N,14,FALSE)*(I1523-AB1523),"")</f>
        <v/>
      </c>
    </row>
    <row r="1524" spans="13:27">
      <c r="M1524" s="24" t="str">
        <f t="array" ref="M1524">LEFT(L1524,MIN(FIND({"A","B","C"},MID(L1524,2,LEN(L1524))&amp;"ABC")))</f>
        <v/>
      </c>
      <c r="N1524" s="24" t="str">
        <f t="array" ref="N1524">SUBSTITUTE(L1524,M1524,"")</f>
        <v/>
      </c>
      <c r="X1524" s="258" t="str">
        <f t="shared" si="68"/>
        <v/>
      </c>
      <c r="Y1524" s="36" t="str">
        <f t="shared" si="69"/>
        <v/>
      </c>
      <c r="Z1524" s="340" t="str">
        <f>IF(AND(C1524&gt;0,D1524&lt;&gt;"",S1524=""),VLOOKUP(A1524&amp;IF(H1524="黑丝","黑","白")&amp;E1524,经纬!A:M,13,FALSE)*(I1524-AB1524),"")</f>
        <v/>
      </c>
      <c r="AA1524" s="340" t="str">
        <f>IF(AND(C1524&gt;0,D1524&lt;&gt;"",S1524=""),VLOOKUP(A1524&amp;IF(H1524="黑丝","黑","白")&amp;E1524,经纬!A:N,14,FALSE)*(I1524-AB1524),"")</f>
        <v/>
      </c>
    </row>
    <row r="1525" spans="13:27">
      <c r="M1525" s="24" t="str">
        <f t="array" ref="M1525">LEFT(L1525,MIN(FIND({"A","B","C"},MID(L1525,2,LEN(L1525))&amp;"ABC")))</f>
        <v/>
      </c>
      <c r="N1525" s="24" t="str">
        <f t="array" ref="N1525">SUBSTITUTE(L1525,M1525,"")</f>
        <v/>
      </c>
      <c r="X1525" s="258" t="str">
        <f t="shared" si="68"/>
        <v/>
      </c>
      <c r="Y1525" s="36" t="str">
        <f t="shared" si="69"/>
        <v/>
      </c>
      <c r="Z1525" s="340" t="str">
        <f>IF(AND(C1525&gt;0,D1525&lt;&gt;"",S1525=""),VLOOKUP(A1525&amp;IF(H1525="黑丝","黑","白")&amp;E1525,经纬!A:M,13,FALSE)*(I1525-AB1525),"")</f>
        <v/>
      </c>
      <c r="AA1525" s="340" t="str">
        <f>IF(AND(C1525&gt;0,D1525&lt;&gt;"",S1525=""),VLOOKUP(A1525&amp;IF(H1525="黑丝","黑","白")&amp;E1525,经纬!A:N,14,FALSE)*(I1525-AB1525),"")</f>
        <v/>
      </c>
    </row>
    <row r="1526" spans="13:27">
      <c r="M1526" s="24" t="str">
        <f t="array" ref="M1526">LEFT(L1526,MIN(FIND({"A","B","C"},MID(L1526,2,LEN(L1526))&amp;"ABC")))</f>
        <v/>
      </c>
      <c r="N1526" s="24" t="str">
        <f t="array" ref="N1526">SUBSTITUTE(L1526,M1526,"")</f>
        <v/>
      </c>
      <c r="X1526" s="258" t="str">
        <f t="shared" si="68"/>
        <v/>
      </c>
      <c r="Y1526" s="36" t="str">
        <f t="shared" si="69"/>
        <v/>
      </c>
      <c r="Z1526" s="340" t="str">
        <f>IF(AND(C1526&gt;0,D1526&lt;&gt;"",S1526=""),VLOOKUP(A1526&amp;IF(H1526="黑丝","黑","白")&amp;E1526,经纬!A:M,13,FALSE)*(I1526-AB1526),"")</f>
        <v/>
      </c>
      <c r="AA1526" s="340" t="str">
        <f>IF(AND(C1526&gt;0,D1526&lt;&gt;"",S1526=""),VLOOKUP(A1526&amp;IF(H1526="黑丝","黑","白")&amp;E1526,经纬!A:N,14,FALSE)*(I1526-AB1526),"")</f>
        <v/>
      </c>
    </row>
    <row r="1527" spans="13:27">
      <c r="M1527" s="24" t="str">
        <f t="array" ref="M1527">LEFT(L1527,MIN(FIND({"A","B","C"},MID(L1527,2,LEN(L1527))&amp;"ABC")))</f>
        <v/>
      </c>
      <c r="N1527" s="24" t="str">
        <f t="array" ref="N1527">SUBSTITUTE(L1527,M1527,"")</f>
        <v/>
      </c>
      <c r="X1527" s="258" t="str">
        <f t="shared" si="68"/>
        <v/>
      </c>
      <c r="Y1527" s="36" t="str">
        <f t="shared" si="69"/>
        <v/>
      </c>
      <c r="Z1527" s="340" t="str">
        <f>IF(AND(C1527&gt;0,D1527&lt;&gt;"",S1527=""),VLOOKUP(A1527&amp;IF(H1527="黑丝","黑","白")&amp;E1527,经纬!A:M,13,FALSE)*(I1527-AB1527),"")</f>
        <v/>
      </c>
      <c r="AA1527" s="340" t="str">
        <f>IF(AND(C1527&gt;0,D1527&lt;&gt;"",S1527=""),VLOOKUP(A1527&amp;IF(H1527="黑丝","黑","白")&amp;E1527,经纬!A:N,14,FALSE)*(I1527-AB1527),"")</f>
        <v/>
      </c>
    </row>
    <row r="1528" spans="13:27">
      <c r="M1528" s="24" t="str">
        <f t="array" ref="M1528">LEFT(L1528,MIN(FIND({"A","B","C"},MID(L1528,2,LEN(L1528))&amp;"ABC")))</f>
        <v/>
      </c>
      <c r="N1528" s="24" t="str">
        <f t="array" ref="N1528">SUBSTITUTE(L1528,M1528,"")</f>
        <v/>
      </c>
      <c r="X1528" s="258" t="str">
        <f t="shared" si="68"/>
        <v/>
      </c>
      <c r="Y1528" s="36" t="str">
        <f t="shared" si="69"/>
        <v/>
      </c>
      <c r="Z1528" s="340" t="str">
        <f>IF(AND(C1528&gt;0,D1528&lt;&gt;"",S1528=""),VLOOKUP(A1528&amp;IF(H1528="黑丝","黑","白")&amp;E1528,经纬!A:M,13,FALSE)*(I1528-AB1528),"")</f>
        <v/>
      </c>
      <c r="AA1528" s="340" t="str">
        <f>IF(AND(C1528&gt;0,D1528&lt;&gt;"",S1528=""),VLOOKUP(A1528&amp;IF(H1528="黑丝","黑","白")&amp;E1528,经纬!A:N,14,FALSE)*(I1528-AB1528),"")</f>
        <v/>
      </c>
    </row>
    <row r="1529" spans="13:27">
      <c r="M1529" s="24" t="str">
        <f t="array" ref="M1529">LEFT(L1529,MIN(FIND({"A","B","C"},MID(L1529,2,LEN(L1529))&amp;"ABC")))</f>
        <v/>
      </c>
      <c r="N1529" s="24" t="str">
        <f t="array" ref="N1529">SUBSTITUTE(L1529,M1529,"")</f>
        <v/>
      </c>
      <c r="X1529" s="258" t="str">
        <f t="shared" si="68"/>
        <v/>
      </c>
      <c r="Y1529" s="36" t="str">
        <f t="shared" si="69"/>
        <v/>
      </c>
      <c r="Z1529" s="340" t="str">
        <f>IF(AND(C1529&gt;0,D1529&lt;&gt;"",S1529=""),VLOOKUP(A1529&amp;IF(H1529="黑丝","黑","白")&amp;E1529,经纬!A:M,13,FALSE)*(I1529-AB1529),"")</f>
        <v/>
      </c>
      <c r="AA1529" s="340" t="str">
        <f>IF(AND(C1529&gt;0,D1529&lt;&gt;"",S1529=""),VLOOKUP(A1529&amp;IF(H1529="黑丝","黑","白")&amp;E1529,经纬!A:N,14,FALSE)*(I1529-AB1529),"")</f>
        <v/>
      </c>
    </row>
    <row r="1530" spans="13:27">
      <c r="M1530" s="24" t="str">
        <f t="array" ref="M1530">LEFT(L1530,MIN(FIND({"A","B","C"},MID(L1530,2,LEN(L1530))&amp;"ABC")))</f>
        <v/>
      </c>
      <c r="N1530" s="24" t="str">
        <f t="array" ref="N1530">SUBSTITUTE(L1530,M1530,"")</f>
        <v/>
      </c>
      <c r="X1530" s="258" t="str">
        <f t="shared" si="68"/>
        <v/>
      </c>
      <c r="Y1530" s="36" t="str">
        <f t="shared" si="69"/>
        <v/>
      </c>
      <c r="Z1530" s="340" t="str">
        <f>IF(AND(C1530&gt;0,D1530&lt;&gt;"",S1530=""),VLOOKUP(A1530&amp;IF(H1530="黑丝","黑","白")&amp;E1530,经纬!A:M,13,FALSE)*(I1530-AB1530),"")</f>
        <v/>
      </c>
      <c r="AA1530" s="340" t="str">
        <f>IF(AND(C1530&gt;0,D1530&lt;&gt;"",S1530=""),VLOOKUP(A1530&amp;IF(H1530="黑丝","黑","白")&amp;E1530,经纬!A:N,14,FALSE)*(I1530-AB1530),"")</f>
        <v/>
      </c>
    </row>
    <row r="1531" spans="13:27">
      <c r="M1531" s="24" t="str">
        <f t="array" ref="M1531">LEFT(L1531,MIN(FIND({"A","B","C"},MID(L1531,2,LEN(L1531))&amp;"ABC")))</f>
        <v/>
      </c>
      <c r="N1531" s="24" t="str">
        <f t="array" ref="N1531">SUBSTITUTE(L1531,M1531,"")</f>
        <v/>
      </c>
      <c r="X1531" s="258" t="str">
        <f t="shared" si="68"/>
        <v/>
      </c>
      <c r="Y1531" s="36" t="str">
        <f t="shared" si="69"/>
        <v/>
      </c>
      <c r="Z1531" s="340" t="str">
        <f>IF(AND(C1531&gt;0,D1531&lt;&gt;"",S1531=""),VLOOKUP(A1531&amp;IF(H1531="黑丝","黑","白")&amp;E1531,经纬!A:M,13,FALSE)*(I1531-AB1531),"")</f>
        <v/>
      </c>
      <c r="AA1531" s="340" t="str">
        <f>IF(AND(C1531&gt;0,D1531&lt;&gt;"",S1531=""),VLOOKUP(A1531&amp;IF(H1531="黑丝","黑","白")&amp;E1531,经纬!A:N,14,FALSE)*(I1531-AB1531),"")</f>
        <v/>
      </c>
    </row>
    <row r="1532" spans="13:27">
      <c r="M1532" s="24" t="str">
        <f t="array" ref="M1532">LEFT(L1532,MIN(FIND({"A","B","C"},MID(L1532,2,LEN(L1532))&amp;"ABC")))</f>
        <v/>
      </c>
      <c r="N1532" s="24" t="str">
        <f t="array" ref="N1532">SUBSTITUTE(L1532,M1532,"")</f>
        <v/>
      </c>
      <c r="X1532" s="258" t="str">
        <f t="shared" si="68"/>
        <v/>
      </c>
      <c r="Y1532" s="36" t="str">
        <f t="shared" si="69"/>
        <v/>
      </c>
      <c r="Z1532" s="340" t="str">
        <f>IF(AND(C1532&gt;0,D1532&lt;&gt;"",S1532=""),VLOOKUP(A1532&amp;IF(H1532="黑丝","黑","白")&amp;E1532,经纬!A:M,13,FALSE)*(I1532-AB1532),"")</f>
        <v/>
      </c>
      <c r="AA1532" s="340" t="str">
        <f>IF(AND(C1532&gt;0,D1532&lt;&gt;"",S1532=""),VLOOKUP(A1532&amp;IF(H1532="黑丝","黑","白")&amp;E1532,经纬!A:N,14,FALSE)*(I1532-AB1532),"")</f>
        <v/>
      </c>
    </row>
    <row r="1533" spans="13:27">
      <c r="M1533" s="24" t="str">
        <f t="array" ref="M1533">LEFT(L1533,MIN(FIND({"A","B","C"},MID(L1533,2,LEN(L1533))&amp;"ABC")))</f>
        <v/>
      </c>
      <c r="N1533" s="24" t="str">
        <f t="array" ref="N1533">SUBSTITUTE(L1533,M1533,"")</f>
        <v/>
      </c>
      <c r="X1533" s="258" t="str">
        <f t="shared" si="68"/>
        <v/>
      </c>
      <c r="Y1533" s="36" t="str">
        <f t="shared" si="69"/>
        <v/>
      </c>
      <c r="Z1533" s="340" t="str">
        <f>IF(AND(C1533&gt;0,D1533&lt;&gt;"",S1533=""),VLOOKUP(A1533&amp;IF(H1533="黑丝","黑","白")&amp;E1533,经纬!A:M,13,FALSE)*(I1533-AB1533),"")</f>
        <v/>
      </c>
      <c r="AA1533" s="340" t="str">
        <f>IF(AND(C1533&gt;0,D1533&lt;&gt;"",S1533=""),VLOOKUP(A1533&amp;IF(H1533="黑丝","黑","白")&amp;E1533,经纬!A:N,14,FALSE)*(I1533-AB1533),"")</f>
        <v/>
      </c>
    </row>
    <row r="1534" spans="13:27">
      <c r="M1534" s="24" t="str">
        <f t="array" ref="M1534">LEFT(L1534,MIN(FIND({"A","B","C"},MID(L1534,2,LEN(L1534))&amp;"ABC")))</f>
        <v/>
      </c>
      <c r="N1534" s="24" t="str">
        <f t="array" ref="N1534">SUBSTITUTE(L1534,M1534,"")</f>
        <v/>
      </c>
      <c r="X1534" s="258" t="str">
        <f t="shared" si="68"/>
        <v/>
      </c>
      <c r="Y1534" s="36" t="str">
        <f t="shared" si="69"/>
        <v/>
      </c>
      <c r="Z1534" s="340" t="str">
        <f>IF(AND(C1534&gt;0,D1534&lt;&gt;"",S1534=""),VLOOKUP(A1534&amp;IF(H1534="黑丝","黑","白")&amp;E1534,经纬!A:M,13,FALSE)*(I1534-AB1534),"")</f>
        <v/>
      </c>
      <c r="AA1534" s="340" t="str">
        <f>IF(AND(C1534&gt;0,D1534&lt;&gt;"",S1534=""),VLOOKUP(A1534&amp;IF(H1534="黑丝","黑","白")&amp;E1534,经纬!A:N,14,FALSE)*(I1534-AB1534),"")</f>
        <v/>
      </c>
    </row>
    <row r="1535" spans="13:27">
      <c r="M1535" s="24" t="str">
        <f t="array" ref="M1535">LEFT(L1535,MIN(FIND({"A","B","C"},MID(L1535,2,LEN(L1535))&amp;"ABC")))</f>
        <v/>
      </c>
      <c r="N1535" s="24" t="str">
        <f t="array" ref="N1535">SUBSTITUTE(L1535,M1535,"")</f>
        <v/>
      </c>
      <c r="X1535" s="258" t="str">
        <f t="shared" si="68"/>
        <v/>
      </c>
      <c r="Y1535" s="36" t="str">
        <f t="shared" si="69"/>
        <v/>
      </c>
      <c r="Z1535" s="340" t="str">
        <f>IF(AND(C1535&gt;0,D1535&lt;&gt;"",S1535=""),VLOOKUP(A1535&amp;IF(H1535="黑丝","黑","白")&amp;E1535,经纬!A:M,13,FALSE)*(I1535-AB1535),"")</f>
        <v/>
      </c>
      <c r="AA1535" s="340" t="str">
        <f>IF(AND(C1535&gt;0,D1535&lt;&gt;"",S1535=""),VLOOKUP(A1535&amp;IF(H1535="黑丝","黑","白")&amp;E1535,经纬!A:N,14,FALSE)*(I1535-AB1535),"")</f>
        <v/>
      </c>
    </row>
    <row r="1536" spans="13:27">
      <c r="M1536" s="24" t="str">
        <f t="array" ref="M1536">LEFT(L1536,MIN(FIND({"A","B","C"},MID(L1536,2,LEN(L1536))&amp;"ABC")))</f>
        <v/>
      </c>
      <c r="N1536" s="24" t="str">
        <f t="array" ref="N1536">SUBSTITUTE(L1536,M1536,"")</f>
        <v/>
      </c>
      <c r="X1536" s="258" t="str">
        <f t="shared" si="68"/>
        <v/>
      </c>
      <c r="Y1536" s="36" t="str">
        <f t="shared" si="69"/>
        <v/>
      </c>
      <c r="Z1536" s="340" t="str">
        <f>IF(AND(C1536&gt;0,D1536&lt;&gt;"",S1536=""),VLOOKUP(A1536&amp;IF(H1536="黑丝","黑","白")&amp;E1536,经纬!A:M,13,FALSE)*(I1536-AB1536),"")</f>
        <v/>
      </c>
      <c r="AA1536" s="340" t="str">
        <f>IF(AND(C1536&gt;0,D1536&lt;&gt;"",S1536=""),VLOOKUP(A1536&amp;IF(H1536="黑丝","黑","白")&amp;E1536,经纬!A:N,14,FALSE)*(I1536-AB1536),"")</f>
        <v/>
      </c>
    </row>
    <row r="1537" spans="13:27">
      <c r="M1537" s="24" t="str">
        <f t="array" ref="M1537">LEFT(L1537,MIN(FIND({"A","B","C"},MID(L1537,2,LEN(L1537))&amp;"ABC")))</f>
        <v/>
      </c>
      <c r="N1537" s="24" t="str">
        <f t="array" ref="N1537">SUBSTITUTE(L1537,M1537,"")</f>
        <v/>
      </c>
      <c r="X1537" s="258" t="str">
        <f t="shared" si="68"/>
        <v/>
      </c>
      <c r="Y1537" s="36" t="str">
        <f t="shared" si="69"/>
        <v/>
      </c>
      <c r="Z1537" s="340" t="str">
        <f>IF(AND(C1537&gt;0,D1537&lt;&gt;"",S1537=""),VLOOKUP(A1537&amp;IF(H1537="黑丝","黑","白")&amp;E1537,经纬!A:M,13,FALSE)*(I1537-AB1537),"")</f>
        <v/>
      </c>
      <c r="AA1537" s="340" t="str">
        <f>IF(AND(C1537&gt;0,D1537&lt;&gt;"",S1537=""),VLOOKUP(A1537&amp;IF(H1537="黑丝","黑","白")&amp;E1537,经纬!A:N,14,FALSE)*(I1537-AB1537),"")</f>
        <v/>
      </c>
    </row>
    <row r="1538" spans="13:27">
      <c r="M1538" s="24" t="str">
        <f t="array" ref="M1538">LEFT(L1538,MIN(FIND({"A","B","C"},MID(L1538,2,LEN(L1538))&amp;"ABC")))</f>
        <v/>
      </c>
      <c r="N1538" s="24" t="str">
        <f t="array" ref="N1538">SUBSTITUTE(L1538,M1538,"")</f>
        <v/>
      </c>
      <c r="X1538" s="258" t="str">
        <f t="shared" si="68"/>
        <v/>
      </c>
      <c r="Y1538" s="36" t="str">
        <f t="shared" si="69"/>
        <v/>
      </c>
      <c r="Z1538" s="340" t="str">
        <f>IF(AND(C1538&gt;0,D1538&lt;&gt;"",S1538=""),VLOOKUP(A1538&amp;IF(H1538="黑丝","黑","白")&amp;E1538,经纬!A:M,13,FALSE)*(I1538-AB1538),"")</f>
        <v/>
      </c>
      <c r="AA1538" s="340" t="str">
        <f>IF(AND(C1538&gt;0,D1538&lt;&gt;"",S1538=""),VLOOKUP(A1538&amp;IF(H1538="黑丝","黑","白")&amp;E1538,经纬!A:N,14,FALSE)*(I1538-AB1538),"")</f>
        <v/>
      </c>
    </row>
    <row r="1539" spans="13:27">
      <c r="M1539" s="24" t="str">
        <f t="array" ref="M1539">LEFT(L1539,MIN(FIND({"A","B","C"},MID(L1539,2,LEN(L1539))&amp;"ABC")))</f>
        <v/>
      </c>
      <c r="N1539" s="24" t="str">
        <f t="array" ref="N1539">SUBSTITUTE(L1539,M1539,"")</f>
        <v/>
      </c>
      <c r="X1539" s="258" t="str">
        <f t="shared" si="68"/>
        <v/>
      </c>
      <c r="Y1539" s="36" t="str">
        <f t="shared" si="69"/>
        <v/>
      </c>
      <c r="Z1539" s="340" t="str">
        <f>IF(AND(C1539&gt;0,D1539&lt;&gt;"",S1539=""),VLOOKUP(A1539&amp;IF(H1539="黑丝","黑","白")&amp;E1539,经纬!A:M,13,FALSE)*(I1539-AB1539),"")</f>
        <v/>
      </c>
      <c r="AA1539" s="340" t="str">
        <f>IF(AND(C1539&gt;0,D1539&lt;&gt;"",S1539=""),VLOOKUP(A1539&amp;IF(H1539="黑丝","黑","白")&amp;E1539,经纬!A:N,14,FALSE)*(I1539-AB1539),"")</f>
        <v/>
      </c>
    </row>
    <row r="1540" spans="13:27">
      <c r="M1540" s="24" t="str">
        <f t="array" ref="M1540">LEFT(L1540,MIN(FIND({"A","B","C"},MID(L1540,2,LEN(L1540))&amp;"ABC")))</f>
        <v/>
      </c>
      <c r="N1540" s="24" t="str">
        <f t="array" ref="N1540">SUBSTITUTE(L1540,M1540,"")</f>
        <v/>
      </c>
      <c r="X1540" s="258" t="str">
        <f t="shared" si="68"/>
        <v/>
      </c>
      <c r="Y1540" s="36" t="str">
        <f t="shared" si="69"/>
        <v/>
      </c>
      <c r="Z1540" s="340" t="str">
        <f>IF(AND(C1540&gt;0,D1540&lt;&gt;"",S1540=""),VLOOKUP(A1540&amp;IF(H1540="黑丝","黑","白")&amp;E1540,经纬!A:M,13,FALSE)*(I1540-AB1540),"")</f>
        <v/>
      </c>
      <c r="AA1540" s="340" t="str">
        <f>IF(AND(C1540&gt;0,D1540&lt;&gt;"",S1540=""),VLOOKUP(A1540&amp;IF(H1540="黑丝","黑","白")&amp;E1540,经纬!A:N,14,FALSE)*(I1540-AB1540),"")</f>
        <v/>
      </c>
    </row>
    <row r="1541" spans="13:27">
      <c r="M1541" s="24" t="str">
        <f t="array" ref="M1541">LEFT(L1541,MIN(FIND({"A","B","C"},MID(L1541,2,LEN(L1541))&amp;"ABC")))</f>
        <v/>
      </c>
      <c r="N1541" s="24" t="str">
        <f t="array" ref="N1541">SUBSTITUTE(L1541,M1541,"")</f>
        <v/>
      </c>
      <c r="X1541" s="258" t="str">
        <f t="shared" si="68"/>
        <v/>
      </c>
      <c r="Y1541" s="36" t="str">
        <f t="shared" si="69"/>
        <v/>
      </c>
      <c r="Z1541" s="340" t="str">
        <f>IF(AND(C1541&gt;0,D1541&lt;&gt;"",S1541=""),VLOOKUP(A1541&amp;IF(H1541="黑丝","黑","白")&amp;E1541,经纬!A:M,13,FALSE)*(I1541-AB1541),"")</f>
        <v/>
      </c>
      <c r="AA1541" s="340" t="str">
        <f>IF(AND(C1541&gt;0,D1541&lt;&gt;"",S1541=""),VLOOKUP(A1541&amp;IF(H1541="黑丝","黑","白")&amp;E1541,经纬!A:N,14,FALSE)*(I1541-AB1541),"")</f>
        <v/>
      </c>
    </row>
    <row r="1542" spans="13:27">
      <c r="M1542" s="24" t="str">
        <f t="array" ref="M1542">LEFT(L1542,MIN(FIND({"A","B","C"},MID(L1542,2,LEN(L1542))&amp;"ABC")))</f>
        <v/>
      </c>
      <c r="N1542" s="24" t="str">
        <f t="array" ref="N1542">SUBSTITUTE(L1542,M1542,"")</f>
        <v/>
      </c>
      <c r="X1542" s="258" t="str">
        <f t="shared" si="68"/>
        <v/>
      </c>
      <c r="Y1542" s="36" t="str">
        <f t="shared" si="69"/>
        <v/>
      </c>
      <c r="Z1542" s="340" t="str">
        <f>IF(AND(C1542&gt;0,D1542&lt;&gt;"",S1542=""),VLOOKUP(A1542&amp;IF(H1542="黑丝","黑","白")&amp;E1542,经纬!A:M,13,FALSE)*(I1542-AB1542),"")</f>
        <v/>
      </c>
      <c r="AA1542" s="340" t="str">
        <f>IF(AND(C1542&gt;0,D1542&lt;&gt;"",S1542=""),VLOOKUP(A1542&amp;IF(H1542="黑丝","黑","白")&amp;E1542,经纬!A:N,14,FALSE)*(I1542-AB1542),"")</f>
        <v/>
      </c>
    </row>
    <row r="1543" spans="13:27">
      <c r="M1543" s="24" t="str">
        <f t="array" ref="M1543">LEFT(L1543,MIN(FIND({"A","B","C"},MID(L1543,2,LEN(L1543))&amp;"ABC")))</f>
        <v/>
      </c>
      <c r="N1543" s="24" t="str">
        <f t="array" ref="N1543">SUBSTITUTE(L1543,M1543,"")</f>
        <v/>
      </c>
      <c r="X1543" s="258" t="str">
        <f t="shared" si="68"/>
        <v/>
      </c>
      <c r="Y1543" s="36" t="str">
        <f t="shared" si="69"/>
        <v/>
      </c>
      <c r="Z1543" s="340" t="str">
        <f>IF(AND(C1543&gt;0,D1543&lt;&gt;"",S1543=""),VLOOKUP(A1543&amp;IF(H1543="黑丝","黑","白")&amp;E1543,经纬!A:M,13,FALSE)*(I1543-AB1543),"")</f>
        <v/>
      </c>
      <c r="AA1543" s="340" t="str">
        <f>IF(AND(C1543&gt;0,D1543&lt;&gt;"",S1543=""),VLOOKUP(A1543&amp;IF(H1543="黑丝","黑","白")&amp;E1543,经纬!A:N,14,FALSE)*(I1543-AB1543),"")</f>
        <v/>
      </c>
    </row>
    <row r="1544" spans="13:27">
      <c r="M1544" s="24" t="str">
        <f t="array" ref="M1544">LEFT(L1544,MIN(FIND({"A","B","C"},MID(L1544,2,LEN(L1544))&amp;"ABC")))</f>
        <v/>
      </c>
      <c r="N1544" s="24" t="str">
        <f t="array" ref="N1544">SUBSTITUTE(L1544,M1544,"")</f>
        <v/>
      </c>
      <c r="X1544" s="258" t="str">
        <f t="shared" si="68"/>
        <v/>
      </c>
      <c r="Y1544" s="36" t="str">
        <f t="shared" si="69"/>
        <v/>
      </c>
      <c r="Z1544" s="340" t="str">
        <f>IF(AND(C1544&gt;0,D1544&lt;&gt;"",S1544=""),VLOOKUP(A1544&amp;IF(H1544="黑丝","黑","白")&amp;E1544,经纬!A:M,13,FALSE)*(I1544-AB1544),"")</f>
        <v/>
      </c>
      <c r="AA1544" s="340" t="str">
        <f>IF(AND(C1544&gt;0,D1544&lt;&gt;"",S1544=""),VLOOKUP(A1544&amp;IF(H1544="黑丝","黑","白")&amp;E1544,经纬!A:N,14,FALSE)*(I1544-AB1544),"")</f>
        <v/>
      </c>
    </row>
    <row r="1545" spans="13:27">
      <c r="M1545" s="24" t="str">
        <f t="array" ref="M1545">LEFT(L1545,MIN(FIND({"A","B","C"},MID(L1545,2,LEN(L1545))&amp;"ABC")))</f>
        <v/>
      </c>
      <c r="N1545" s="24" t="str">
        <f t="array" ref="N1545">SUBSTITUTE(L1545,M1545,"")</f>
        <v/>
      </c>
      <c r="X1545" s="258" t="str">
        <f t="shared" si="68"/>
        <v/>
      </c>
      <c r="Y1545" s="36" t="str">
        <f t="shared" si="69"/>
        <v/>
      </c>
      <c r="Z1545" s="340" t="str">
        <f>IF(AND(C1545&gt;0,D1545&lt;&gt;"",S1545=""),VLOOKUP(A1545&amp;IF(H1545="黑丝","黑","白")&amp;E1545,经纬!A:M,13,FALSE)*(I1545-AB1545),"")</f>
        <v/>
      </c>
      <c r="AA1545" s="340" t="str">
        <f>IF(AND(C1545&gt;0,D1545&lt;&gt;"",S1545=""),VLOOKUP(A1545&amp;IF(H1545="黑丝","黑","白")&amp;E1545,经纬!A:N,14,FALSE)*(I1545-AB1545),"")</f>
        <v/>
      </c>
    </row>
    <row r="1546" spans="13:27">
      <c r="M1546" s="24" t="str">
        <f t="array" ref="M1546">LEFT(L1546,MIN(FIND({"A","B","C"},MID(L1546,2,LEN(L1546))&amp;"ABC")))</f>
        <v/>
      </c>
      <c r="N1546" s="24" t="str">
        <f t="array" ref="N1546">SUBSTITUTE(L1546,M1546,"")</f>
        <v/>
      </c>
      <c r="X1546" s="258" t="str">
        <f t="shared" si="68"/>
        <v/>
      </c>
      <c r="Y1546" s="36" t="str">
        <f t="shared" si="69"/>
        <v/>
      </c>
      <c r="Z1546" s="340" t="str">
        <f>IF(AND(C1546&gt;0,D1546&lt;&gt;"",S1546=""),VLOOKUP(A1546&amp;IF(H1546="黑丝","黑","白")&amp;E1546,经纬!A:M,13,FALSE)*(I1546-AB1546),"")</f>
        <v/>
      </c>
      <c r="AA1546" s="340" t="str">
        <f>IF(AND(C1546&gt;0,D1546&lt;&gt;"",S1546=""),VLOOKUP(A1546&amp;IF(H1546="黑丝","黑","白")&amp;E1546,经纬!A:N,14,FALSE)*(I1546-AB1546),"")</f>
        <v/>
      </c>
    </row>
    <row r="1547" spans="13:27">
      <c r="M1547" s="24" t="str">
        <f t="array" ref="M1547">LEFT(L1547,MIN(FIND({"A","B","C"},MID(L1547,2,LEN(L1547))&amp;"ABC")))</f>
        <v/>
      </c>
      <c r="N1547" s="24" t="str">
        <f t="array" ref="N1547">SUBSTITUTE(L1547,M1547,"")</f>
        <v/>
      </c>
      <c r="X1547" s="258" t="str">
        <f t="shared" si="68"/>
        <v/>
      </c>
      <c r="Y1547" s="36" t="str">
        <f t="shared" si="69"/>
        <v/>
      </c>
      <c r="Z1547" s="340" t="str">
        <f>IF(AND(C1547&gt;0,D1547&lt;&gt;"",S1547=""),VLOOKUP(A1547&amp;IF(H1547="黑丝","黑","白")&amp;E1547,经纬!A:M,13,FALSE)*(I1547-AB1547),"")</f>
        <v/>
      </c>
      <c r="AA1547" s="340" t="str">
        <f>IF(AND(C1547&gt;0,D1547&lt;&gt;"",S1547=""),VLOOKUP(A1547&amp;IF(H1547="黑丝","黑","白")&amp;E1547,经纬!A:N,14,FALSE)*(I1547-AB1547),"")</f>
        <v/>
      </c>
    </row>
    <row r="1548" spans="13:27">
      <c r="M1548" s="24" t="str">
        <f t="array" ref="M1548">LEFT(L1548,MIN(FIND({"A","B","C"},MID(L1548,2,LEN(L1548))&amp;"ABC")))</f>
        <v/>
      </c>
      <c r="N1548" s="24" t="str">
        <f t="array" ref="N1548">SUBSTITUTE(L1548,M1548,"")</f>
        <v/>
      </c>
      <c r="X1548" s="258" t="str">
        <f t="shared" si="68"/>
        <v/>
      </c>
      <c r="Y1548" s="36" t="str">
        <f t="shared" si="69"/>
        <v/>
      </c>
      <c r="Z1548" s="340" t="str">
        <f>IF(AND(C1548&gt;0,D1548&lt;&gt;"",S1548=""),VLOOKUP(A1548&amp;IF(H1548="黑丝","黑","白")&amp;E1548,经纬!A:M,13,FALSE)*(I1548-AB1548),"")</f>
        <v/>
      </c>
      <c r="AA1548" s="340" t="str">
        <f>IF(AND(C1548&gt;0,D1548&lt;&gt;"",S1548=""),VLOOKUP(A1548&amp;IF(H1548="黑丝","黑","白")&amp;E1548,经纬!A:N,14,FALSE)*(I1548-AB1548),"")</f>
        <v/>
      </c>
    </row>
    <row r="1549" spans="13:27">
      <c r="M1549" s="24" t="str">
        <f t="array" ref="M1549">LEFT(L1549,MIN(FIND({"A","B","C"},MID(L1549,2,LEN(L1549))&amp;"ABC")))</f>
        <v/>
      </c>
      <c r="N1549" s="24" t="str">
        <f t="array" ref="N1549">SUBSTITUTE(L1549,M1549,"")</f>
        <v/>
      </c>
      <c r="X1549" s="258" t="str">
        <f t="shared" si="68"/>
        <v/>
      </c>
      <c r="Y1549" s="36" t="str">
        <f t="shared" si="69"/>
        <v/>
      </c>
      <c r="Z1549" s="340" t="str">
        <f>IF(AND(C1549&gt;0,D1549&lt;&gt;"",S1549=""),VLOOKUP(A1549&amp;IF(H1549="黑丝","黑","白")&amp;E1549,经纬!A:M,13,FALSE)*(I1549-AB1549),"")</f>
        <v/>
      </c>
      <c r="AA1549" s="340" t="str">
        <f>IF(AND(C1549&gt;0,D1549&lt;&gt;"",S1549=""),VLOOKUP(A1549&amp;IF(H1549="黑丝","黑","白")&amp;E1549,经纬!A:N,14,FALSE)*(I1549-AB1549),"")</f>
        <v/>
      </c>
    </row>
    <row r="1550" spans="13:27">
      <c r="M1550" s="24" t="str">
        <f t="array" ref="M1550">LEFT(L1550,MIN(FIND({"A","B","C"},MID(L1550,2,LEN(L1550))&amp;"ABC")))</f>
        <v/>
      </c>
      <c r="N1550" s="24" t="str">
        <f t="array" ref="N1550">SUBSTITUTE(L1550,M1550,"")</f>
        <v/>
      </c>
      <c r="X1550" s="258" t="str">
        <f t="shared" si="68"/>
        <v/>
      </c>
      <c r="Y1550" s="36" t="str">
        <f t="shared" si="69"/>
        <v/>
      </c>
      <c r="Z1550" s="340" t="str">
        <f>IF(AND(C1550&gt;0,D1550&lt;&gt;"",S1550=""),VLOOKUP(A1550&amp;IF(H1550="黑丝","黑","白")&amp;E1550,经纬!A:M,13,FALSE)*(I1550-AB1550),"")</f>
        <v/>
      </c>
      <c r="AA1550" s="340" t="str">
        <f>IF(AND(C1550&gt;0,D1550&lt;&gt;"",S1550=""),VLOOKUP(A1550&amp;IF(H1550="黑丝","黑","白")&amp;E1550,经纬!A:N,14,FALSE)*(I1550-AB1550),"")</f>
        <v/>
      </c>
    </row>
    <row r="1551" spans="13:27">
      <c r="M1551" s="24" t="str">
        <f t="array" ref="M1551">LEFT(L1551,MIN(FIND({"A","B","C"},MID(L1551,2,LEN(L1551))&amp;"ABC")))</f>
        <v/>
      </c>
      <c r="N1551" s="24" t="str">
        <f t="array" ref="N1551">SUBSTITUTE(L1551,M1551,"")</f>
        <v/>
      </c>
      <c r="X1551" s="258" t="str">
        <f t="shared" si="68"/>
        <v/>
      </c>
      <c r="Y1551" s="36" t="str">
        <f t="shared" si="69"/>
        <v/>
      </c>
      <c r="Z1551" s="340" t="str">
        <f>IF(AND(C1551&gt;0,D1551&lt;&gt;"",S1551=""),VLOOKUP(A1551&amp;IF(H1551="黑丝","黑","白")&amp;E1551,经纬!A:M,13,FALSE)*(I1551-AB1551),"")</f>
        <v/>
      </c>
      <c r="AA1551" s="340" t="str">
        <f>IF(AND(C1551&gt;0,D1551&lt;&gt;"",S1551=""),VLOOKUP(A1551&amp;IF(H1551="黑丝","黑","白")&amp;E1551,经纬!A:N,14,FALSE)*(I1551-AB1551),"")</f>
        <v/>
      </c>
    </row>
    <row r="1552" spans="13:27">
      <c r="M1552" s="24" t="str">
        <f t="array" ref="M1552">LEFT(L1552,MIN(FIND({"A","B","C"},MID(L1552,2,LEN(L1552))&amp;"ABC")))</f>
        <v/>
      </c>
      <c r="N1552" s="24" t="str">
        <f t="array" ref="N1552">SUBSTITUTE(L1552,M1552,"")</f>
        <v/>
      </c>
      <c r="X1552" s="258" t="str">
        <f t="shared" si="68"/>
        <v/>
      </c>
      <c r="Y1552" s="36" t="str">
        <f t="shared" si="69"/>
        <v/>
      </c>
      <c r="Z1552" s="340" t="str">
        <f>IF(AND(C1552&gt;0,D1552&lt;&gt;"",S1552=""),VLOOKUP(A1552&amp;IF(H1552="黑丝","黑","白")&amp;E1552,经纬!A:M,13,FALSE)*(I1552-AB1552),"")</f>
        <v/>
      </c>
      <c r="AA1552" s="340" t="str">
        <f>IF(AND(C1552&gt;0,D1552&lt;&gt;"",S1552=""),VLOOKUP(A1552&amp;IF(H1552="黑丝","黑","白")&amp;E1552,经纬!A:N,14,FALSE)*(I1552-AB1552),"")</f>
        <v/>
      </c>
    </row>
    <row r="1553" spans="13:27">
      <c r="M1553" s="24" t="str">
        <f t="array" ref="M1553">LEFT(L1553,MIN(FIND({"A","B","C"},MID(L1553,2,LEN(L1553))&amp;"ABC")))</f>
        <v/>
      </c>
      <c r="N1553" s="24" t="str">
        <f t="array" ref="N1553">SUBSTITUTE(L1553,M1553,"")</f>
        <v/>
      </c>
      <c r="X1553" s="258" t="str">
        <f t="shared" si="68"/>
        <v/>
      </c>
      <c r="Y1553" s="36" t="str">
        <f t="shared" si="69"/>
        <v/>
      </c>
      <c r="Z1553" s="340" t="str">
        <f>IF(AND(C1553&gt;0,D1553&lt;&gt;"",S1553=""),VLOOKUP(A1553&amp;IF(H1553="黑丝","黑","白")&amp;E1553,经纬!A:M,13,FALSE)*(I1553-AB1553),"")</f>
        <v/>
      </c>
      <c r="AA1553" s="340" t="str">
        <f>IF(AND(C1553&gt;0,D1553&lt;&gt;"",S1553=""),VLOOKUP(A1553&amp;IF(H1553="黑丝","黑","白")&amp;E1553,经纬!A:N,14,FALSE)*(I1553-AB1553),"")</f>
        <v/>
      </c>
    </row>
    <row r="1554" spans="13:27">
      <c r="M1554" s="24" t="str">
        <f t="array" ref="M1554">LEFT(L1554,MIN(FIND({"A","B","C"},MID(L1554,2,LEN(L1554))&amp;"ABC")))</f>
        <v/>
      </c>
      <c r="N1554" s="24" t="str">
        <f t="array" ref="N1554">SUBSTITUTE(L1554,M1554,"")</f>
        <v/>
      </c>
      <c r="X1554" s="258" t="str">
        <f t="shared" si="68"/>
        <v/>
      </c>
      <c r="Y1554" s="36" t="str">
        <f t="shared" si="69"/>
        <v/>
      </c>
      <c r="Z1554" s="340" t="str">
        <f>IF(AND(C1554&gt;0,D1554&lt;&gt;"",S1554=""),VLOOKUP(A1554&amp;IF(H1554="黑丝","黑","白")&amp;E1554,经纬!A:M,13,FALSE)*(I1554-AB1554),"")</f>
        <v/>
      </c>
      <c r="AA1554" s="340" t="str">
        <f>IF(AND(C1554&gt;0,D1554&lt;&gt;"",S1554=""),VLOOKUP(A1554&amp;IF(H1554="黑丝","黑","白")&amp;E1554,经纬!A:N,14,FALSE)*(I1554-AB1554),"")</f>
        <v/>
      </c>
    </row>
    <row r="1555" spans="13:27">
      <c r="M1555" s="24" t="str">
        <f t="array" ref="M1555">LEFT(L1555,MIN(FIND({"A","B","C"},MID(L1555,2,LEN(L1555))&amp;"ABC")))</f>
        <v/>
      </c>
      <c r="N1555" s="24" t="str">
        <f t="array" ref="N1555">SUBSTITUTE(L1555,M1555,"")</f>
        <v/>
      </c>
      <c r="X1555" s="258" t="str">
        <f t="shared" si="68"/>
        <v/>
      </c>
      <c r="Y1555" s="36" t="str">
        <f t="shared" si="69"/>
        <v/>
      </c>
      <c r="Z1555" s="340" t="str">
        <f>IF(AND(C1555&gt;0,D1555&lt;&gt;"",S1555=""),VLOOKUP(A1555&amp;IF(H1555="黑丝","黑","白")&amp;E1555,经纬!A:M,13,FALSE)*(I1555-AB1555),"")</f>
        <v/>
      </c>
      <c r="AA1555" s="340" t="str">
        <f>IF(AND(C1555&gt;0,D1555&lt;&gt;"",S1555=""),VLOOKUP(A1555&amp;IF(H1555="黑丝","黑","白")&amp;E1555,经纬!A:N,14,FALSE)*(I1555-AB1555),"")</f>
        <v/>
      </c>
    </row>
    <row r="1556" spans="13:27">
      <c r="M1556" s="24" t="str">
        <f t="array" ref="M1556">LEFT(L1556,MIN(FIND({"A","B","C"},MID(L1556,2,LEN(L1556))&amp;"ABC")))</f>
        <v/>
      </c>
      <c r="N1556" s="24" t="str">
        <f t="array" ref="N1556">SUBSTITUTE(L1556,M1556,"")</f>
        <v/>
      </c>
      <c r="X1556" s="258" t="str">
        <f t="shared" si="68"/>
        <v/>
      </c>
      <c r="Y1556" s="36" t="str">
        <f t="shared" si="69"/>
        <v/>
      </c>
      <c r="Z1556" s="340" t="str">
        <f>IF(AND(C1556&gt;0,D1556&lt;&gt;"",S1556=""),VLOOKUP(A1556&amp;IF(H1556="黑丝","黑","白")&amp;E1556,经纬!A:M,13,FALSE)*(I1556-AB1556),"")</f>
        <v/>
      </c>
      <c r="AA1556" s="340" t="str">
        <f>IF(AND(C1556&gt;0,D1556&lt;&gt;"",S1556=""),VLOOKUP(A1556&amp;IF(H1556="黑丝","黑","白")&amp;E1556,经纬!A:N,14,FALSE)*(I1556-AB1556),"")</f>
        <v/>
      </c>
    </row>
    <row r="1557" spans="13:27">
      <c r="M1557" s="24" t="str">
        <f t="array" ref="M1557">LEFT(L1557,MIN(FIND({"A","B","C"},MID(L1557,2,LEN(L1557))&amp;"ABC")))</f>
        <v/>
      </c>
      <c r="N1557" s="24" t="str">
        <f t="array" ref="N1557">SUBSTITUTE(L1557,M1557,"")</f>
        <v/>
      </c>
      <c r="X1557" s="258" t="str">
        <f t="shared" si="68"/>
        <v/>
      </c>
      <c r="Y1557" s="36" t="str">
        <f t="shared" si="69"/>
        <v/>
      </c>
      <c r="Z1557" s="340" t="str">
        <f>IF(AND(C1557&gt;0,D1557&lt;&gt;"",S1557=""),VLOOKUP(A1557&amp;IF(H1557="黑丝","黑","白")&amp;E1557,经纬!A:M,13,FALSE)*(I1557-AB1557),"")</f>
        <v/>
      </c>
      <c r="AA1557" s="340" t="str">
        <f>IF(AND(C1557&gt;0,D1557&lt;&gt;"",S1557=""),VLOOKUP(A1557&amp;IF(H1557="黑丝","黑","白")&amp;E1557,经纬!A:N,14,FALSE)*(I1557-AB1557),"")</f>
        <v/>
      </c>
    </row>
    <row r="1558" spans="13:27">
      <c r="M1558" s="24" t="str">
        <f t="array" ref="M1558">LEFT(L1558,MIN(FIND({"A","B","C"},MID(L1558,2,LEN(L1558))&amp;"ABC")))</f>
        <v/>
      </c>
      <c r="N1558" s="24" t="str">
        <f t="array" ref="N1558">SUBSTITUTE(L1558,M1558,"")</f>
        <v/>
      </c>
      <c r="X1558" s="258" t="str">
        <f t="shared" si="68"/>
        <v/>
      </c>
      <c r="Y1558" s="36" t="str">
        <f t="shared" si="69"/>
        <v/>
      </c>
      <c r="Z1558" s="340" t="str">
        <f>IF(AND(C1558&gt;0,D1558&lt;&gt;"",S1558=""),VLOOKUP(A1558&amp;IF(H1558="黑丝","黑","白")&amp;E1558,经纬!A:M,13,FALSE)*(I1558-AB1558),"")</f>
        <v/>
      </c>
      <c r="AA1558" s="340" t="str">
        <f>IF(AND(C1558&gt;0,D1558&lt;&gt;"",S1558=""),VLOOKUP(A1558&amp;IF(H1558="黑丝","黑","白")&amp;E1558,经纬!A:N,14,FALSE)*(I1558-AB1558),"")</f>
        <v/>
      </c>
    </row>
    <row r="1559" spans="13:27">
      <c r="M1559" s="24" t="str">
        <f t="array" ref="M1559">LEFT(L1559,MIN(FIND({"A","B","C"},MID(L1559,2,LEN(L1559))&amp;"ABC")))</f>
        <v/>
      </c>
      <c r="N1559" s="24" t="str">
        <f t="array" ref="N1559">SUBSTITUTE(L1559,M1559,"")</f>
        <v/>
      </c>
      <c r="X1559" s="258" t="str">
        <f t="shared" si="68"/>
        <v/>
      </c>
      <c r="Y1559" s="36" t="str">
        <f t="shared" si="69"/>
        <v/>
      </c>
      <c r="Z1559" s="340" t="str">
        <f>IF(AND(C1559&gt;0,D1559&lt;&gt;"",S1559=""),VLOOKUP(A1559&amp;IF(H1559="黑丝","黑","白")&amp;E1559,经纬!A:M,13,FALSE)*(I1559-AB1559),"")</f>
        <v/>
      </c>
      <c r="AA1559" s="340" t="str">
        <f>IF(AND(C1559&gt;0,D1559&lt;&gt;"",S1559=""),VLOOKUP(A1559&amp;IF(H1559="黑丝","黑","白")&amp;E1559,经纬!A:N,14,FALSE)*(I1559-AB1559),"")</f>
        <v/>
      </c>
    </row>
    <row r="1560" spans="13:27">
      <c r="M1560" s="24" t="str">
        <f t="array" ref="M1560">LEFT(L1560,MIN(FIND({"A","B","C"},MID(L1560,2,LEN(L1560))&amp;"ABC")))</f>
        <v/>
      </c>
      <c r="N1560" s="24" t="str">
        <f t="array" ref="N1560">SUBSTITUTE(L1560,M1560,"")</f>
        <v/>
      </c>
      <c r="X1560" s="258" t="str">
        <f t="shared" si="68"/>
        <v/>
      </c>
      <c r="Y1560" s="36" t="str">
        <f t="shared" si="69"/>
        <v/>
      </c>
      <c r="Z1560" s="340" t="str">
        <f>IF(AND(C1560&gt;0,D1560&lt;&gt;"",S1560=""),VLOOKUP(A1560&amp;IF(H1560="黑丝","黑","白")&amp;E1560,经纬!A:M,13,FALSE)*(I1560-AB1560),"")</f>
        <v/>
      </c>
      <c r="AA1560" s="340" t="str">
        <f>IF(AND(C1560&gt;0,D1560&lt;&gt;"",S1560=""),VLOOKUP(A1560&amp;IF(H1560="黑丝","黑","白")&amp;E1560,经纬!A:N,14,FALSE)*(I1560-AB1560),"")</f>
        <v/>
      </c>
    </row>
    <row r="1561" spans="13:27">
      <c r="M1561" s="24" t="str">
        <f t="array" ref="M1561">LEFT(L1561,MIN(FIND({"A","B","C"},MID(L1561,2,LEN(L1561))&amp;"ABC")))</f>
        <v/>
      </c>
      <c r="N1561" s="24" t="str">
        <f t="array" ref="N1561">SUBSTITUTE(L1561,M1561,"")</f>
        <v/>
      </c>
      <c r="X1561" s="258" t="str">
        <f t="shared" si="68"/>
        <v/>
      </c>
      <c r="Y1561" s="36" t="str">
        <f t="shared" si="69"/>
        <v/>
      </c>
      <c r="Z1561" s="340" t="str">
        <f>IF(AND(C1561&gt;0,D1561&lt;&gt;"",S1561=""),VLOOKUP(A1561&amp;IF(H1561="黑丝","黑","白")&amp;E1561,经纬!A:M,13,FALSE)*(I1561-AB1561),"")</f>
        <v/>
      </c>
      <c r="AA1561" s="340" t="str">
        <f>IF(AND(C1561&gt;0,D1561&lt;&gt;"",S1561=""),VLOOKUP(A1561&amp;IF(H1561="黑丝","黑","白")&amp;E1561,经纬!A:N,14,FALSE)*(I1561-AB1561),"")</f>
        <v/>
      </c>
    </row>
    <row r="1562" spans="13:27">
      <c r="M1562" s="24" t="str">
        <f t="array" ref="M1562">LEFT(L1562,MIN(FIND({"A","B","C"},MID(L1562,2,LEN(L1562))&amp;"ABC")))</f>
        <v/>
      </c>
      <c r="N1562" s="24" t="str">
        <f t="array" ref="N1562">SUBSTITUTE(L1562,M1562,"")</f>
        <v/>
      </c>
      <c r="X1562" s="258" t="str">
        <f t="shared" si="68"/>
        <v/>
      </c>
      <c r="Y1562" s="36" t="str">
        <f t="shared" si="69"/>
        <v/>
      </c>
      <c r="Z1562" s="340" t="str">
        <f>IF(AND(C1562&gt;0,D1562&lt;&gt;"",S1562=""),VLOOKUP(A1562&amp;IF(H1562="黑丝","黑","白")&amp;E1562,经纬!A:M,13,FALSE)*(I1562-AB1562),"")</f>
        <v/>
      </c>
      <c r="AA1562" s="340" t="str">
        <f>IF(AND(C1562&gt;0,D1562&lt;&gt;"",S1562=""),VLOOKUP(A1562&amp;IF(H1562="黑丝","黑","白")&amp;E1562,经纬!A:N,14,FALSE)*(I1562-AB1562),"")</f>
        <v/>
      </c>
    </row>
    <row r="1563" spans="13:27">
      <c r="M1563" s="24" t="str">
        <f t="array" ref="M1563">LEFT(L1563,MIN(FIND({"A","B","C"},MID(L1563,2,LEN(L1563))&amp;"ABC")))</f>
        <v/>
      </c>
      <c r="N1563" s="24" t="str">
        <f t="array" ref="N1563">SUBSTITUTE(L1563,M1563,"")</f>
        <v/>
      </c>
      <c r="X1563" s="258" t="str">
        <f t="shared" si="68"/>
        <v/>
      </c>
      <c r="Y1563" s="36" t="str">
        <f t="shared" si="69"/>
        <v/>
      </c>
      <c r="Z1563" s="340" t="str">
        <f>IF(AND(C1563&gt;0,D1563&lt;&gt;"",S1563=""),VLOOKUP(A1563&amp;IF(H1563="黑丝","黑","白")&amp;E1563,经纬!A:M,13,FALSE)*(I1563-AB1563),"")</f>
        <v/>
      </c>
      <c r="AA1563" s="340" t="str">
        <f>IF(AND(C1563&gt;0,D1563&lt;&gt;"",S1563=""),VLOOKUP(A1563&amp;IF(H1563="黑丝","黑","白")&amp;E1563,经纬!A:N,14,FALSE)*(I1563-AB1563),"")</f>
        <v/>
      </c>
    </row>
    <row r="1564" spans="13:27">
      <c r="M1564" s="24" t="str">
        <f t="array" ref="M1564">LEFT(L1564,MIN(FIND({"A","B","C"},MID(L1564,2,LEN(L1564))&amp;"ABC")))</f>
        <v/>
      </c>
      <c r="N1564" s="24" t="str">
        <f t="array" ref="N1564">SUBSTITUTE(L1564,M1564,"")</f>
        <v/>
      </c>
      <c r="X1564" s="258" t="str">
        <f t="shared" ref="X1564:X1627" si="70">IF(B1564="","",IF(S1564&lt;&gt;"","",IF(AND(Z1564&lt;&gt;"",AA1564&lt;&gt;""),SUM(Z1564:AA1564),IF(AB1564&lt;&gt;"",(I1564/((1/((G1564+2)/100*K1564/1000))*0.9144)/IF(H1564="黑丝",22,20)-AB1564)*(IF(H1564="黑丝",22,20)),I1564/((1/((G1564+2)/100*K1564/1000))*0.9144)))))</f>
        <v/>
      </c>
      <c r="Y1564" s="36" t="str">
        <f t="shared" si="69"/>
        <v/>
      </c>
      <c r="Z1564" s="340" t="str">
        <f>IF(AND(C1564&gt;0,D1564&lt;&gt;"",S1564=""),VLOOKUP(A1564&amp;IF(H1564="黑丝","黑","白")&amp;E1564,经纬!A:M,13,FALSE)*(I1564-AB1564),"")</f>
        <v/>
      </c>
      <c r="AA1564" s="340" t="str">
        <f>IF(AND(C1564&gt;0,D1564&lt;&gt;"",S1564=""),VLOOKUP(A1564&amp;IF(H1564="黑丝","黑","白")&amp;E1564,经纬!A:N,14,FALSE)*(I1564-AB1564),"")</f>
        <v/>
      </c>
    </row>
    <row r="1565" spans="13:27">
      <c r="M1565" s="24" t="str">
        <f t="array" ref="M1565">LEFT(L1565,MIN(FIND({"A","B","C"},MID(L1565,2,LEN(L1565))&amp;"ABC")))</f>
        <v/>
      </c>
      <c r="N1565" s="24" t="str">
        <f t="array" ref="N1565">SUBSTITUTE(L1565,M1565,"")</f>
        <v/>
      </c>
      <c r="X1565" s="258" t="str">
        <f t="shared" si="70"/>
        <v/>
      </c>
      <c r="Y1565" s="36" t="str">
        <f t="shared" si="69"/>
        <v/>
      </c>
      <c r="Z1565" s="340" t="str">
        <f>IF(AND(C1565&gt;0,D1565&lt;&gt;"",S1565=""),VLOOKUP(A1565&amp;IF(H1565="黑丝","黑","白")&amp;E1565,经纬!A:M,13,FALSE)*(I1565-AB1565),"")</f>
        <v/>
      </c>
      <c r="AA1565" s="340" t="str">
        <f>IF(AND(C1565&gt;0,D1565&lt;&gt;"",S1565=""),VLOOKUP(A1565&amp;IF(H1565="黑丝","黑","白")&amp;E1565,经纬!A:N,14,FALSE)*(I1565-AB1565),"")</f>
        <v/>
      </c>
    </row>
    <row r="1566" spans="13:27">
      <c r="M1566" s="24" t="str">
        <f t="array" ref="M1566">LEFT(L1566,MIN(FIND({"A","B","C"},MID(L1566,2,LEN(L1566))&amp;"ABC")))</f>
        <v/>
      </c>
      <c r="N1566" s="24" t="str">
        <f t="array" ref="N1566">SUBSTITUTE(L1566,M1566,"")</f>
        <v/>
      </c>
      <c r="X1566" s="258" t="str">
        <f t="shared" si="70"/>
        <v/>
      </c>
      <c r="Y1566" s="36" t="str">
        <f t="shared" si="69"/>
        <v/>
      </c>
      <c r="Z1566" s="340" t="str">
        <f>IF(AND(C1566&gt;0,D1566&lt;&gt;"",S1566=""),VLOOKUP(A1566&amp;IF(H1566="黑丝","黑","白")&amp;E1566,经纬!A:M,13,FALSE)*(I1566-AB1566),"")</f>
        <v/>
      </c>
      <c r="AA1566" s="340" t="str">
        <f>IF(AND(C1566&gt;0,D1566&lt;&gt;"",S1566=""),VLOOKUP(A1566&amp;IF(H1566="黑丝","黑","白")&amp;E1566,经纬!A:N,14,FALSE)*(I1566-AB1566),"")</f>
        <v/>
      </c>
    </row>
    <row r="1567" spans="13:27">
      <c r="M1567" s="24" t="str">
        <f t="array" ref="M1567">LEFT(L1567,MIN(FIND({"A","B","C"},MID(L1567,2,LEN(L1567))&amp;"ABC")))</f>
        <v/>
      </c>
      <c r="N1567" s="24" t="str">
        <f t="array" ref="N1567">SUBSTITUTE(L1567,M1567,"")</f>
        <v/>
      </c>
      <c r="X1567" s="258" t="str">
        <f t="shared" si="70"/>
        <v/>
      </c>
      <c r="Y1567" s="36" t="str">
        <f t="shared" si="69"/>
        <v/>
      </c>
      <c r="Z1567" s="340" t="str">
        <f>IF(AND(C1567&gt;0,D1567&lt;&gt;"",S1567=""),VLOOKUP(A1567&amp;IF(H1567="黑丝","黑","白")&amp;E1567,经纬!A:M,13,FALSE)*(I1567-AB1567),"")</f>
        <v/>
      </c>
      <c r="AA1567" s="340" t="str">
        <f>IF(AND(C1567&gt;0,D1567&lt;&gt;"",S1567=""),VLOOKUP(A1567&amp;IF(H1567="黑丝","黑","白")&amp;E1567,经纬!A:N,14,FALSE)*(I1567-AB1567),"")</f>
        <v/>
      </c>
    </row>
    <row r="1568" spans="13:27">
      <c r="M1568" s="24" t="str">
        <f t="array" ref="M1568">LEFT(L1568,MIN(FIND({"A","B","C"},MID(L1568,2,LEN(L1568))&amp;"ABC")))</f>
        <v/>
      </c>
      <c r="N1568" s="24" t="str">
        <f t="array" ref="N1568">SUBSTITUTE(L1568,M1568,"")</f>
        <v/>
      </c>
      <c r="X1568" s="258" t="str">
        <f t="shared" si="70"/>
        <v/>
      </c>
      <c r="Y1568" s="36" t="str">
        <f t="shared" si="69"/>
        <v/>
      </c>
      <c r="Z1568" s="340" t="str">
        <f>IF(AND(C1568&gt;0,D1568&lt;&gt;"",S1568=""),VLOOKUP(A1568&amp;IF(H1568="黑丝","黑","白")&amp;E1568,经纬!A:M,13,FALSE)*(I1568-AB1568),"")</f>
        <v/>
      </c>
      <c r="AA1568" s="340" t="str">
        <f>IF(AND(C1568&gt;0,D1568&lt;&gt;"",S1568=""),VLOOKUP(A1568&amp;IF(H1568="黑丝","黑","白")&amp;E1568,经纬!A:N,14,FALSE)*(I1568-AB1568),"")</f>
        <v/>
      </c>
    </row>
    <row r="1569" spans="13:27">
      <c r="M1569" s="24" t="str">
        <f t="array" ref="M1569">LEFT(L1569,MIN(FIND({"A","B","C"},MID(L1569,2,LEN(L1569))&amp;"ABC")))</f>
        <v/>
      </c>
      <c r="N1569" s="24" t="str">
        <f t="array" ref="N1569">SUBSTITUTE(L1569,M1569,"")</f>
        <v/>
      </c>
      <c r="X1569" s="258" t="str">
        <f t="shared" si="70"/>
        <v/>
      </c>
      <c r="Y1569" s="36" t="str">
        <f t="shared" si="69"/>
        <v/>
      </c>
      <c r="Z1569" s="340" t="str">
        <f>IF(AND(C1569&gt;0,D1569&lt;&gt;"",S1569=""),VLOOKUP(A1569&amp;IF(H1569="黑丝","黑","白")&amp;E1569,经纬!A:M,13,FALSE)*(I1569-AB1569),"")</f>
        <v/>
      </c>
      <c r="AA1569" s="340" t="str">
        <f>IF(AND(C1569&gt;0,D1569&lt;&gt;"",S1569=""),VLOOKUP(A1569&amp;IF(H1569="黑丝","黑","白")&amp;E1569,经纬!A:N,14,FALSE)*(I1569-AB1569),"")</f>
        <v/>
      </c>
    </row>
    <row r="1570" spans="13:27">
      <c r="M1570" s="24" t="str">
        <f t="array" ref="M1570">LEFT(L1570,MIN(FIND({"A","B","C"},MID(L1570,2,LEN(L1570))&amp;"ABC")))</f>
        <v/>
      </c>
      <c r="N1570" s="24" t="str">
        <f t="array" ref="N1570">SUBSTITUTE(L1570,M1570,"")</f>
        <v/>
      </c>
      <c r="X1570" s="258" t="str">
        <f t="shared" si="70"/>
        <v/>
      </c>
      <c r="Y1570" s="36" t="str">
        <f t="shared" si="69"/>
        <v/>
      </c>
      <c r="Z1570" s="340" t="str">
        <f>IF(AND(C1570&gt;0,D1570&lt;&gt;"",S1570=""),VLOOKUP(A1570&amp;IF(H1570="黑丝","黑","白")&amp;E1570,经纬!A:M,13,FALSE)*(I1570-AB1570),"")</f>
        <v/>
      </c>
      <c r="AA1570" s="340" t="str">
        <f>IF(AND(C1570&gt;0,D1570&lt;&gt;"",S1570=""),VLOOKUP(A1570&amp;IF(H1570="黑丝","黑","白")&amp;E1570,经纬!A:N,14,FALSE)*(I1570-AB1570),"")</f>
        <v/>
      </c>
    </row>
    <row r="1571" spans="13:27">
      <c r="M1571" s="24" t="str">
        <f t="array" ref="M1571">LEFT(L1571,MIN(FIND({"A","B","C"},MID(L1571,2,LEN(L1571))&amp;"ABC")))</f>
        <v/>
      </c>
      <c r="N1571" s="24" t="str">
        <f t="array" ref="N1571">SUBSTITUTE(L1571,M1571,"")</f>
        <v/>
      </c>
      <c r="X1571" s="258" t="str">
        <f t="shared" si="70"/>
        <v/>
      </c>
      <c r="Y1571" s="36" t="str">
        <f t="shared" si="69"/>
        <v/>
      </c>
      <c r="Z1571" s="340" t="str">
        <f>IF(AND(C1571&gt;0,D1571&lt;&gt;"",S1571=""),VLOOKUP(A1571&amp;IF(H1571="黑丝","黑","白")&amp;E1571,经纬!A:M,13,FALSE)*(I1571-AB1571),"")</f>
        <v/>
      </c>
      <c r="AA1571" s="340" t="str">
        <f>IF(AND(C1571&gt;0,D1571&lt;&gt;"",S1571=""),VLOOKUP(A1571&amp;IF(H1571="黑丝","黑","白")&amp;E1571,经纬!A:N,14,FALSE)*(I1571-AB1571),"")</f>
        <v/>
      </c>
    </row>
    <row r="1572" spans="13:27">
      <c r="M1572" s="24" t="str">
        <f t="array" ref="M1572">LEFT(L1572,MIN(FIND({"A","B","C"},MID(L1572,2,LEN(L1572))&amp;"ABC")))</f>
        <v/>
      </c>
      <c r="N1572" s="24" t="str">
        <f t="array" ref="N1572">SUBSTITUTE(L1572,M1572,"")</f>
        <v/>
      </c>
      <c r="X1572" s="258" t="str">
        <f t="shared" si="70"/>
        <v/>
      </c>
      <c r="Y1572" s="36" t="str">
        <f t="shared" si="69"/>
        <v/>
      </c>
      <c r="Z1572" s="340" t="str">
        <f>IF(AND(C1572&gt;0,D1572&lt;&gt;"",S1572=""),VLOOKUP(A1572&amp;IF(H1572="黑丝","黑","白")&amp;E1572,经纬!A:M,13,FALSE)*(I1572-AB1572),"")</f>
        <v/>
      </c>
      <c r="AA1572" s="340" t="str">
        <f>IF(AND(C1572&gt;0,D1572&lt;&gt;"",S1572=""),VLOOKUP(A1572&amp;IF(H1572="黑丝","黑","白")&amp;E1572,经纬!A:N,14,FALSE)*(I1572-AB1572),"")</f>
        <v/>
      </c>
    </row>
    <row r="1573" spans="13:27">
      <c r="M1573" s="24" t="str">
        <f t="array" ref="M1573">LEFT(L1573,MIN(FIND({"A","B","C"},MID(L1573,2,LEN(L1573))&amp;"ABC")))</f>
        <v/>
      </c>
      <c r="N1573" s="24" t="str">
        <f t="array" ref="N1573">SUBSTITUTE(L1573,M1573,"")</f>
        <v/>
      </c>
      <c r="X1573" s="258" t="str">
        <f t="shared" si="70"/>
        <v/>
      </c>
      <c r="Y1573" s="36" t="str">
        <f t="shared" si="69"/>
        <v/>
      </c>
      <c r="Z1573" s="340" t="str">
        <f>IF(AND(C1573&gt;0,D1573&lt;&gt;"",S1573=""),VLOOKUP(A1573&amp;IF(H1573="黑丝","黑","白")&amp;E1573,经纬!A:M,13,FALSE)*(I1573-AB1573),"")</f>
        <v/>
      </c>
      <c r="AA1573" s="340" t="str">
        <f>IF(AND(C1573&gt;0,D1573&lt;&gt;"",S1573=""),VLOOKUP(A1573&amp;IF(H1573="黑丝","黑","白")&amp;E1573,经纬!A:N,14,FALSE)*(I1573-AB1573),"")</f>
        <v/>
      </c>
    </row>
    <row r="1574" spans="13:27">
      <c r="M1574" s="24" t="str">
        <f t="array" ref="M1574">LEFT(L1574,MIN(FIND({"A","B","C"},MID(L1574,2,LEN(L1574))&amp;"ABC")))</f>
        <v/>
      </c>
      <c r="N1574" s="24" t="str">
        <f t="array" ref="N1574">SUBSTITUTE(L1574,M1574,"")</f>
        <v/>
      </c>
      <c r="X1574" s="258" t="str">
        <f t="shared" si="70"/>
        <v/>
      </c>
      <c r="Y1574" s="36" t="str">
        <f t="shared" si="69"/>
        <v/>
      </c>
      <c r="Z1574" s="340" t="str">
        <f>IF(AND(C1574&gt;0,D1574&lt;&gt;"",S1574=""),VLOOKUP(A1574&amp;IF(H1574="黑丝","黑","白")&amp;E1574,经纬!A:M,13,FALSE)*(I1574-AB1574),"")</f>
        <v/>
      </c>
      <c r="AA1574" s="340" t="str">
        <f>IF(AND(C1574&gt;0,D1574&lt;&gt;"",S1574=""),VLOOKUP(A1574&amp;IF(H1574="黑丝","黑","白")&amp;E1574,经纬!A:N,14,FALSE)*(I1574-AB1574),"")</f>
        <v/>
      </c>
    </row>
    <row r="1575" spans="13:27">
      <c r="M1575" s="24" t="str">
        <f t="array" ref="M1575">LEFT(L1575,MIN(FIND({"A","B","C"},MID(L1575,2,LEN(L1575))&amp;"ABC")))</f>
        <v/>
      </c>
      <c r="N1575" s="24" t="str">
        <f t="array" ref="N1575">SUBSTITUTE(L1575,M1575,"")</f>
        <v/>
      </c>
      <c r="X1575" s="258" t="str">
        <f t="shared" si="70"/>
        <v/>
      </c>
      <c r="Y1575" s="36" t="str">
        <f t="shared" si="69"/>
        <v/>
      </c>
      <c r="Z1575" s="340" t="str">
        <f>IF(AND(C1575&gt;0,D1575&lt;&gt;"",S1575=""),VLOOKUP(A1575&amp;IF(H1575="黑丝","黑","白")&amp;E1575,经纬!A:M,13,FALSE)*(I1575-AB1575),"")</f>
        <v/>
      </c>
      <c r="AA1575" s="340" t="str">
        <f>IF(AND(C1575&gt;0,D1575&lt;&gt;"",S1575=""),VLOOKUP(A1575&amp;IF(H1575="黑丝","黑","白")&amp;E1575,经纬!A:N,14,FALSE)*(I1575-AB1575),"")</f>
        <v/>
      </c>
    </row>
    <row r="1576" spans="13:27">
      <c r="M1576" s="24" t="str">
        <f t="array" ref="M1576">LEFT(L1576,MIN(FIND({"A","B","C"},MID(L1576,2,LEN(L1576))&amp;"ABC")))</f>
        <v/>
      </c>
      <c r="N1576" s="24" t="str">
        <f t="array" ref="N1576">SUBSTITUTE(L1576,M1576,"")</f>
        <v/>
      </c>
      <c r="X1576" s="258" t="str">
        <f t="shared" si="70"/>
        <v/>
      </c>
      <c r="Y1576" s="36" t="str">
        <f t="shared" si="69"/>
        <v/>
      </c>
      <c r="Z1576" s="340" t="str">
        <f>IF(AND(C1576&gt;0,D1576&lt;&gt;"",S1576=""),VLOOKUP(A1576&amp;IF(H1576="黑丝","黑","白")&amp;E1576,经纬!A:M,13,FALSE)*(I1576-AB1576),"")</f>
        <v/>
      </c>
      <c r="AA1576" s="340" t="str">
        <f>IF(AND(C1576&gt;0,D1576&lt;&gt;"",S1576=""),VLOOKUP(A1576&amp;IF(H1576="黑丝","黑","白")&amp;E1576,经纬!A:N,14,FALSE)*(I1576-AB1576),"")</f>
        <v/>
      </c>
    </row>
    <row r="1577" spans="13:27">
      <c r="M1577" s="24" t="str">
        <f t="array" ref="M1577">LEFT(L1577,MIN(FIND({"A","B","C"},MID(L1577,2,LEN(L1577))&amp;"ABC")))</f>
        <v/>
      </c>
      <c r="N1577" s="24" t="str">
        <f t="array" ref="N1577">SUBSTITUTE(L1577,M1577,"")</f>
        <v/>
      </c>
      <c r="X1577" s="258" t="str">
        <f t="shared" si="70"/>
        <v/>
      </c>
      <c r="Y1577" s="36" t="str">
        <f t="shared" ref="Y1577:Y1640" si="71">IF(OR(B1577="",D1577&lt;&gt;""),"",IF(S1577&lt;&gt;"","",I1577/((1/((G1577+2)/100*K1577/1000))*0.9144)/IF(H1577="黑丝",22,20)-AB1577))</f>
        <v/>
      </c>
      <c r="Z1577" s="340" t="str">
        <f>IF(AND(C1577&gt;0,D1577&lt;&gt;"",S1577=""),VLOOKUP(A1577&amp;IF(H1577="黑丝","黑","白")&amp;E1577,经纬!A:M,13,FALSE)*(I1577-AB1577),"")</f>
        <v/>
      </c>
      <c r="AA1577" s="340" t="str">
        <f>IF(AND(C1577&gt;0,D1577&lt;&gt;"",S1577=""),VLOOKUP(A1577&amp;IF(H1577="黑丝","黑","白")&amp;E1577,经纬!A:N,14,FALSE)*(I1577-AB1577),"")</f>
        <v/>
      </c>
    </row>
    <row r="1578" spans="13:27">
      <c r="M1578" s="24" t="str">
        <f t="array" ref="M1578">LEFT(L1578,MIN(FIND({"A","B","C"},MID(L1578,2,LEN(L1578))&amp;"ABC")))</f>
        <v/>
      </c>
      <c r="N1578" s="24" t="str">
        <f t="array" ref="N1578">SUBSTITUTE(L1578,M1578,"")</f>
        <v/>
      </c>
      <c r="X1578" s="258" t="str">
        <f t="shared" si="70"/>
        <v/>
      </c>
      <c r="Y1578" s="36" t="str">
        <f t="shared" si="71"/>
        <v/>
      </c>
      <c r="Z1578" s="340" t="str">
        <f>IF(AND(C1578&gt;0,D1578&lt;&gt;"",S1578=""),VLOOKUP(A1578&amp;IF(H1578="黑丝","黑","白")&amp;E1578,经纬!A:M,13,FALSE)*(I1578-AB1578),"")</f>
        <v/>
      </c>
      <c r="AA1578" s="340" t="str">
        <f>IF(AND(C1578&gt;0,D1578&lt;&gt;"",S1578=""),VLOOKUP(A1578&amp;IF(H1578="黑丝","黑","白")&amp;E1578,经纬!A:N,14,FALSE)*(I1578-AB1578),"")</f>
        <v/>
      </c>
    </row>
    <row r="1579" spans="13:27">
      <c r="M1579" s="24" t="str">
        <f t="array" ref="M1579">LEFT(L1579,MIN(FIND({"A","B","C"},MID(L1579,2,LEN(L1579))&amp;"ABC")))</f>
        <v/>
      </c>
      <c r="N1579" s="24" t="str">
        <f t="array" ref="N1579">SUBSTITUTE(L1579,M1579,"")</f>
        <v/>
      </c>
      <c r="X1579" s="258" t="str">
        <f t="shared" si="70"/>
        <v/>
      </c>
      <c r="Y1579" s="36" t="str">
        <f t="shared" si="71"/>
        <v/>
      </c>
      <c r="Z1579" s="340" t="str">
        <f>IF(AND(C1579&gt;0,D1579&lt;&gt;"",S1579=""),VLOOKUP(A1579&amp;IF(H1579="黑丝","黑","白")&amp;E1579,经纬!A:M,13,FALSE)*(I1579-AB1579),"")</f>
        <v/>
      </c>
      <c r="AA1579" s="340" t="str">
        <f>IF(AND(C1579&gt;0,D1579&lt;&gt;"",S1579=""),VLOOKUP(A1579&amp;IF(H1579="黑丝","黑","白")&amp;E1579,经纬!A:N,14,FALSE)*(I1579-AB1579),"")</f>
        <v/>
      </c>
    </row>
    <row r="1580" spans="13:27">
      <c r="M1580" s="24" t="str">
        <f t="array" ref="M1580">LEFT(L1580,MIN(FIND({"A","B","C"},MID(L1580,2,LEN(L1580))&amp;"ABC")))</f>
        <v/>
      </c>
      <c r="N1580" s="24" t="str">
        <f t="array" ref="N1580">SUBSTITUTE(L1580,M1580,"")</f>
        <v/>
      </c>
      <c r="X1580" s="258" t="str">
        <f t="shared" si="70"/>
        <v/>
      </c>
      <c r="Y1580" s="36" t="str">
        <f t="shared" si="71"/>
        <v/>
      </c>
      <c r="Z1580" s="340" t="str">
        <f>IF(AND(C1580&gt;0,D1580&lt;&gt;"",S1580=""),VLOOKUP(A1580&amp;IF(H1580="黑丝","黑","白")&amp;E1580,经纬!A:M,13,FALSE)*(I1580-AB1580),"")</f>
        <v/>
      </c>
      <c r="AA1580" s="340" t="str">
        <f>IF(AND(C1580&gt;0,D1580&lt;&gt;"",S1580=""),VLOOKUP(A1580&amp;IF(H1580="黑丝","黑","白")&amp;E1580,经纬!A:N,14,FALSE)*(I1580-AB1580),"")</f>
        <v/>
      </c>
    </row>
    <row r="1581" spans="13:27">
      <c r="M1581" s="24" t="str">
        <f t="array" ref="M1581">LEFT(L1581,MIN(FIND({"A","B","C"},MID(L1581,2,LEN(L1581))&amp;"ABC")))</f>
        <v/>
      </c>
      <c r="N1581" s="24" t="str">
        <f t="array" ref="N1581">SUBSTITUTE(L1581,M1581,"")</f>
        <v/>
      </c>
      <c r="X1581" s="258" t="str">
        <f t="shared" si="70"/>
        <v/>
      </c>
      <c r="Y1581" s="36" t="str">
        <f t="shared" si="71"/>
        <v/>
      </c>
      <c r="Z1581" s="340" t="str">
        <f>IF(AND(C1581&gt;0,D1581&lt;&gt;"",S1581=""),VLOOKUP(A1581&amp;IF(H1581="黑丝","黑","白")&amp;E1581,经纬!A:M,13,FALSE)*(I1581-AB1581),"")</f>
        <v/>
      </c>
      <c r="AA1581" s="340" t="str">
        <f>IF(AND(C1581&gt;0,D1581&lt;&gt;"",S1581=""),VLOOKUP(A1581&amp;IF(H1581="黑丝","黑","白")&amp;E1581,经纬!A:N,14,FALSE)*(I1581-AB1581),"")</f>
        <v/>
      </c>
    </row>
    <row r="1582" spans="13:27">
      <c r="M1582" s="24" t="str">
        <f t="array" ref="M1582">LEFT(L1582,MIN(FIND({"A","B","C"},MID(L1582,2,LEN(L1582))&amp;"ABC")))</f>
        <v/>
      </c>
      <c r="N1582" s="24" t="str">
        <f t="array" ref="N1582">SUBSTITUTE(L1582,M1582,"")</f>
        <v/>
      </c>
      <c r="X1582" s="258" t="str">
        <f t="shared" si="70"/>
        <v/>
      </c>
      <c r="Y1582" s="36" t="str">
        <f t="shared" si="71"/>
        <v/>
      </c>
      <c r="Z1582" s="340" t="str">
        <f>IF(AND(C1582&gt;0,D1582&lt;&gt;"",S1582=""),VLOOKUP(A1582&amp;IF(H1582="黑丝","黑","白")&amp;E1582,经纬!A:M,13,FALSE)*(I1582-AB1582),"")</f>
        <v/>
      </c>
      <c r="AA1582" s="340" t="str">
        <f>IF(AND(C1582&gt;0,D1582&lt;&gt;"",S1582=""),VLOOKUP(A1582&amp;IF(H1582="黑丝","黑","白")&amp;E1582,经纬!A:N,14,FALSE)*(I1582-AB1582),"")</f>
        <v/>
      </c>
    </row>
    <row r="1583" spans="13:27">
      <c r="M1583" s="24" t="str">
        <f t="array" ref="M1583">LEFT(L1583,MIN(FIND({"A","B","C"},MID(L1583,2,LEN(L1583))&amp;"ABC")))</f>
        <v/>
      </c>
      <c r="N1583" s="24" t="str">
        <f t="array" ref="N1583">SUBSTITUTE(L1583,M1583,"")</f>
        <v/>
      </c>
      <c r="X1583" s="258" t="str">
        <f t="shared" si="70"/>
        <v/>
      </c>
      <c r="Y1583" s="36" t="str">
        <f t="shared" si="71"/>
        <v/>
      </c>
      <c r="Z1583" s="340" t="str">
        <f>IF(AND(C1583&gt;0,D1583&lt;&gt;"",S1583=""),VLOOKUP(A1583&amp;IF(H1583="黑丝","黑","白")&amp;E1583,经纬!A:M,13,FALSE)*(I1583-AB1583),"")</f>
        <v/>
      </c>
      <c r="AA1583" s="340" t="str">
        <f>IF(AND(C1583&gt;0,D1583&lt;&gt;"",S1583=""),VLOOKUP(A1583&amp;IF(H1583="黑丝","黑","白")&amp;E1583,经纬!A:N,14,FALSE)*(I1583-AB1583),"")</f>
        <v/>
      </c>
    </row>
    <row r="1584" spans="13:27">
      <c r="M1584" s="24" t="str">
        <f t="array" ref="M1584">LEFT(L1584,MIN(FIND({"A","B","C"},MID(L1584,2,LEN(L1584))&amp;"ABC")))</f>
        <v/>
      </c>
      <c r="N1584" s="24" t="str">
        <f t="array" ref="N1584">SUBSTITUTE(L1584,M1584,"")</f>
        <v/>
      </c>
      <c r="X1584" s="258" t="str">
        <f t="shared" si="70"/>
        <v/>
      </c>
      <c r="Y1584" s="36" t="str">
        <f t="shared" si="71"/>
        <v/>
      </c>
      <c r="Z1584" s="340" t="str">
        <f>IF(AND(C1584&gt;0,D1584&lt;&gt;"",S1584=""),VLOOKUP(A1584&amp;IF(H1584="黑丝","黑","白")&amp;E1584,经纬!A:M,13,FALSE)*(I1584-AB1584),"")</f>
        <v/>
      </c>
      <c r="AA1584" s="340" t="str">
        <f>IF(AND(C1584&gt;0,D1584&lt;&gt;"",S1584=""),VLOOKUP(A1584&amp;IF(H1584="黑丝","黑","白")&amp;E1584,经纬!A:N,14,FALSE)*(I1584-AB1584),"")</f>
        <v/>
      </c>
    </row>
    <row r="1585" spans="13:27">
      <c r="M1585" s="24" t="str">
        <f t="array" ref="M1585">LEFT(L1585,MIN(FIND({"A","B","C"},MID(L1585,2,LEN(L1585))&amp;"ABC")))</f>
        <v/>
      </c>
      <c r="N1585" s="24" t="str">
        <f t="array" ref="N1585">SUBSTITUTE(L1585,M1585,"")</f>
        <v/>
      </c>
      <c r="X1585" s="258" t="str">
        <f t="shared" si="70"/>
        <v/>
      </c>
      <c r="Y1585" s="36" t="str">
        <f t="shared" si="71"/>
        <v/>
      </c>
      <c r="Z1585" s="340" t="str">
        <f>IF(AND(C1585&gt;0,D1585&lt;&gt;"",S1585=""),VLOOKUP(A1585&amp;IF(H1585="黑丝","黑","白")&amp;E1585,经纬!A:M,13,FALSE)*(I1585-AB1585),"")</f>
        <v/>
      </c>
      <c r="AA1585" s="340" t="str">
        <f>IF(AND(C1585&gt;0,D1585&lt;&gt;"",S1585=""),VLOOKUP(A1585&amp;IF(H1585="黑丝","黑","白")&amp;E1585,经纬!A:N,14,FALSE)*(I1585-AB1585),"")</f>
        <v/>
      </c>
    </row>
    <row r="1586" spans="13:27">
      <c r="M1586" s="24" t="str">
        <f t="array" ref="M1586">LEFT(L1586,MIN(FIND({"A","B","C"},MID(L1586,2,LEN(L1586))&amp;"ABC")))</f>
        <v/>
      </c>
      <c r="N1586" s="24" t="str">
        <f t="array" ref="N1586">SUBSTITUTE(L1586,M1586,"")</f>
        <v/>
      </c>
      <c r="X1586" s="258" t="str">
        <f t="shared" si="70"/>
        <v/>
      </c>
      <c r="Y1586" s="36" t="str">
        <f t="shared" si="71"/>
        <v/>
      </c>
      <c r="Z1586" s="340" t="str">
        <f>IF(AND(C1586&gt;0,D1586&lt;&gt;"",S1586=""),VLOOKUP(A1586&amp;IF(H1586="黑丝","黑","白")&amp;E1586,经纬!A:M,13,FALSE)*(I1586-AB1586),"")</f>
        <v/>
      </c>
      <c r="AA1586" s="340" t="str">
        <f>IF(AND(C1586&gt;0,D1586&lt;&gt;"",S1586=""),VLOOKUP(A1586&amp;IF(H1586="黑丝","黑","白")&amp;E1586,经纬!A:N,14,FALSE)*(I1586-AB1586),"")</f>
        <v/>
      </c>
    </row>
    <row r="1587" spans="13:27">
      <c r="M1587" s="24" t="str">
        <f t="array" ref="M1587">LEFT(L1587,MIN(FIND({"A","B","C"},MID(L1587,2,LEN(L1587))&amp;"ABC")))</f>
        <v/>
      </c>
      <c r="N1587" s="24" t="str">
        <f t="array" ref="N1587">SUBSTITUTE(L1587,M1587,"")</f>
        <v/>
      </c>
      <c r="X1587" s="258" t="str">
        <f t="shared" si="70"/>
        <v/>
      </c>
      <c r="Y1587" s="36" t="str">
        <f t="shared" si="71"/>
        <v/>
      </c>
      <c r="Z1587" s="340" t="str">
        <f>IF(AND(C1587&gt;0,D1587&lt;&gt;"",S1587=""),VLOOKUP(A1587&amp;IF(H1587="黑丝","黑","白")&amp;E1587,经纬!A:M,13,FALSE)*(I1587-AB1587),"")</f>
        <v/>
      </c>
      <c r="AA1587" s="340" t="str">
        <f>IF(AND(C1587&gt;0,D1587&lt;&gt;"",S1587=""),VLOOKUP(A1587&amp;IF(H1587="黑丝","黑","白")&amp;E1587,经纬!A:N,14,FALSE)*(I1587-AB1587),"")</f>
        <v/>
      </c>
    </row>
    <row r="1588" spans="13:27">
      <c r="M1588" s="24" t="str">
        <f t="array" ref="M1588">LEFT(L1588,MIN(FIND({"A","B","C"},MID(L1588,2,LEN(L1588))&amp;"ABC")))</f>
        <v/>
      </c>
      <c r="N1588" s="24" t="str">
        <f t="array" ref="N1588">SUBSTITUTE(L1588,M1588,"")</f>
        <v/>
      </c>
      <c r="X1588" s="258" t="str">
        <f t="shared" si="70"/>
        <v/>
      </c>
      <c r="Y1588" s="36" t="str">
        <f t="shared" si="71"/>
        <v/>
      </c>
      <c r="Z1588" s="340" t="str">
        <f>IF(AND(C1588&gt;0,D1588&lt;&gt;"",S1588=""),VLOOKUP(A1588&amp;IF(H1588="黑丝","黑","白")&amp;E1588,经纬!A:M,13,FALSE)*(I1588-AB1588),"")</f>
        <v/>
      </c>
      <c r="AA1588" s="340" t="str">
        <f>IF(AND(C1588&gt;0,D1588&lt;&gt;"",S1588=""),VLOOKUP(A1588&amp;IF(H1588="黑丝","黑","白")&amp;E1588,经纬!A:N,14,FALSE)*(I1588-AB1588),"")</f>
        <v/>
      </c>
    </row>
    <row r="1589" spans="13:27">
      <c r="M1589" s="24" t="str">
        <f t="array" ref="M1589">LEFT(L1589,MIN(FIND({"A","B","C"},MID(L1589,2,LEN(L1589))&amp;"ABC")))</f>
        <v/>
      </c>
      <c r="N1589" s="24" t="str">
        <f t="array" ref="N1589">SUBSTITUTE(L1589,M1589,"")</f>
        <v/>
      </c>
      <c r="X1589" s="258" t="str">
        <f t="shared" si="70"/>
        <v/>
      </c>
      <c r="Y1589" s="36" t="str">
        <f t="shared" si="71"/>
        <v/>
      </c>
      <c r="Z1589" s="340" t="str">
        <f>IF(AND(C1589&gt;0,D1589&lt;&gt;"",S1589=""),VLOOKUP(A1589&amp;IF(H1589="黑丝","黑","白")&amp;E1589,经纬!A:M,13,FALSE)*(I1589-AB1589),"")</f>
        <v/>
      </c>
      <c r="AA1589" s="340" t="str">
        <f>IF(AND(C1589&gt;0,D1589&lt;&gt;"",S1589=""),VLOOKUP(A1589&amp;IF(H1589="黑丝","黑","白")&amp;E1589,经纬!A:N,14,FALSE)*(I1589-AB1589),"")</f>
        <v/>
      </c>
    </row>
    <row r="1590" spans="13:27">
      <c r="M1590" s="24" t="str">
        <f t="array" ref="M1590">LEFT(L1590,MIN(FIND({"A","B","C"},MID(L1590,2,LEN(L1590))&amp;"ABC")))</f>
        <v/>
      </c>
      <c r="N1590" s="24" t="str">
        <f t="array" ref="N1590">SUBSTITUTE(L1590,M1590,"")</f>
        <v/>
      </c>
      <c r="X1590" s="258" t="str">
        <f t="shared" si="70"/>
        <v/>
      </c>
      <c r="Y1590" s="36" t="str">
        <f t="shared" si="71"/>
        <v/>
      </c>
      <c r="Z1590" s="340" t="str">
        <f>IF(AND(C1590&gt;0,D1590&lt;&gt;"",S1590=""),VLOOKUP(A1590&amp;IF(H1590="黑丝","黑","白")&amp;E1590,经纬!A:M,13,FALSE)*(I1590-AB1590),"")</f>
        <v/>
      </c>
      <c r="AA1590" s="340" t="str">
        <f>IF(AND(C1590&gt;0,D1590&lt;&gt;"",S1590=""),VLOOKUP(A1590&amp;IF(H1590="黑丝","黑","白")&amp;E1590,经纬!A:N,14,FALSE)*(I1590-AB1590),"")</f>
        <v/>
      </c>
    </row>
    <row r="1591" spans="13:27">
      <c r="M1591" s="24" t="str">
        <f t="array" ref="M1591">LEFT(L1591,MIN(FIND({"A","B","C"},MID(L1591,2,LEN(L1591))&amp;"ABC")))</f>
        <v/>
      </c>
      <c r="N1591" s="24" t="str">
        <f t="array" ref="N1591">SUBSTITUTE(L1591,M1591,"")</f>
        <v/>
      </c>
      <c r="X1591" s="258" t="str">
        <f t="shared" si="70"/>
        <v/>
      </c>
      <c r="Y1591" s="36" t="str">
        <f t="shared" si="71"/>
        <v/>
      </c>
      <c r="Z1591" s="340" t="str">
        <f>IF(AND(C1591&gt;0,D1591&lt;&gt;"",S1591=""),VLOOKUP(A1591&amp;IF(H1591="黑丝","黑","白")&amp;E1591,经纬!A:M,13,FALSE)*(I1591-AB1591),"")</f>
        <v/>
      </c>
      <c r="AA1591" s="340" t="str">
        <f>IF(AND(C1591&gt;0,D1591&lt;&gt;"",S1591=""),VLOOKUP(A1591&amp;IF(H1591="黑丝","黑","白")&amp;E1591,经纬!A:N,14,FALSE)*(I1591-AB1591),"")</f>
        <v/>
      </c>
    </row>
    <row r="1592" spans="13:27">
      <c r="M1592" s="24" t="str">
        <f t="array" ref="M1592">LEFT(L1592,MIN(FIND({"A","B","C"},MID(L1592,2,LEN(L1592))&amp;"ABC")))</f>
        <v/>
      </c>
      <c r="N1592" s="24" t="str">
        <f t="array" ref="N1592">SUBSTITUTE(L1592,M1592,"")</f>
        <v/>
      </c>
      <c r="X1592" s="258" t="str">
        <f t="shared" si="70"/>
        <v/>
      </c>
      <c r="Y1592" s="36" t="str">
        <f t="shared" si="71"/>
        <v/>
      </c>
      <c r="Z1592" s="340" t="str">
        <f>IF(AND(C1592&gt;0,D1592&lt;&gt;"",S1592=""),VLOOKUP(A1592&amp;IF(H1592="黑丝","黑","白")&amp;E1592,经纬!A:M,13,FALSE)*(I1592-AB1592),"")</f>
        <v/>
      </c>
      <c r="AA1592" s="340" t="str">
        <f>IF(AND(C1592&gt;0,D1592&lt;&gt;"",S1592=""),VLOOKUP(A1592&amp;IF(H1592="黑丝","黑","白")&amp;E1592,经纬!A:N,14,FALSE)*(I1592-AB1592),"")</f>
        <v/>
      </c>
    </row>
    <row r="1593" spans="13:27">
      <c r="M1593" s="24" t="str">
        <f t="array" ref="M1593">LEFT(L1593,MIN(FIND({"A","B","C"},MID(L1593,2,LEN(L1593))&amp;"ABC")))</f>
        <v/>
      </c>
      <c r="N1593" s="24" t="str">
        <f t="array" ref="N1593">SUBSTITUTE(L1593,M1593,"")</f>
        <v/>
      </c>
      <c r="X1593" s="258" t="str">
        <f t="shared" si="70"/>
        <v/>
      </c>
      <c r="Y1593" s="36" t="str">
        <f t="shared" si="71"/>
        <v/>
      </c>
      <c r="Z1593" s="340" t="str">
        <f>IF(AND(C1593&gt;0,D1593&lt;&gt;"",S1593=""),VLOOKUP(A1593&amp;IF(H1593="黑丝","黑","白")&amp;E1593,经纬!A:M,13,FALSE)*(I1593-AB1593),"")</f>
        <v/>
      </c>
      <c r="AA1593" s="340" t="str">
        <f>IF(AND(C1593&gt;0,D1593&lt;&gt;"",S1593=""),VLOOKUP(A1593&amp;IF(H1593="黑丝","黑","白")&amp;E1593,经纬!A:N,14,FALSE)*(I1593-AB1593),"")</f>
        <v/>
      </c>
    </row>
    <row r="1594" spans="13:27">
      <c r="M1594" s="24" t="str">
        <f t="array" ref="M1594">LEFT(L1594,MIN(FIND({"A","B","C"},MID(L1594,2,LEN(L1594))&amp;"ABC")))</f>
        <v/>
      </c>
      <c r="N1594" s="24" t="str">
        <f t="array" ref="N1594">SUBSTITUTE(L1594,M1594,"")</f>
        <v/>
      </c>
      <c r="X1594" s="258" t="str">
        <f t="shared" si="70"/>
        <v/>
      </c>
      <c r="Y1594" s="36" t="str">
        <f t="shared" si="71"/>
        <v/>
      </c>
      <c r="Z1594" s="340" t="str">
        <f>IF(AND(C1594&gt;0,D1594&lt;&gt;"",S1594=""),VLOOKUP(A1594&amp;IF(H1594="黑丝","黑","白")&amp;E1594,经纬!A:M,13,FALSE)*(I1594-AB1594),"")</f>
        <v/>
      </c>
      <c r="AA1594" s="340" t="str">
        <f>IF(AND(C1594&gt;0,D1594&lt;&gt;"",S1594=""),VLOOKUP(A1594&amp;IF(H1594="黑丝","黑","白")&amp;E1594,经纬!A:N,14,FALSE)*(I1594-AB1594),"")</f>
        <v/>
      </c>
    </row>
    <row r="1595" spans="13:27">
      <c r="M1595" s="24" t="str">
        <f t="array" ref="M1595">LEFT(L1595,MIN(FIND({"A","B","C"},MID(L1595,2,LEN(L1595))&amp;"ABC")))</f>
        <v/>
      </c>
      <c r="N1595" s="24" t="str">
        <f t="array" ref="N1595">SUBSTITUTE(L1595,M1595,"")</f>
        <v/>
      </c>
      <c r="X1595" s="258" t="str">
        <f t="shared" si="70"/>
        <v/>
      </c>
      <c r="Y1595" s="36" t="str">
        <f t="shared" si="71"/>
        <v/>
      </c>
      <c r="Z1595" s="340" t="str">
        <f>IF(AND(C1595&gt;0,D1595&lt;&gt;"",S1595=""),VLOOKUP(A1595&amp;IF(H1595="黑丝","黑","白")&amp;E1595,经纬!A:M,13,FALSE)*(I1595-AB1595),"")</f>
        <v/>
      </c>
      <c r="AA1595" s="340" t="str">
        <f>IF(AND(C1595&gt;0,D1595&lt;&gt;"",S1595=""),VLOOKUP(A1595&amp;IF(H1595="黑丝","黑","白")&amp;E1595,经纬!A:N,14,FALSE)*(I1595-AB1595),"")</f>
        <v/>
      </c>
    </row>
    <row r="1596" spans="13:27">
      <c r="M1596" s="24" t="str">
        <f t="array" ref="M1596">LEFT(L1596,MIN(FIND({"A","B","C"},MID(L1596,2,LEN(L1596))&amp;"ABC")))</f>
        <v/>
      </c>
      <c r="N1596" s="24" t="str">
        <f t="array" ref="N1596">SUBSTITUTE(L1596,M1596,"")</f>
        <v/>
      </c>
      <c r="X1596" s="258" t="str">
        <f t="shared" si="70"/>
        <v/>
      </c>
      <c r="Y1596" s="36" t="str">
        <f t="shared" si="71"/>
        <v/>
      </c>
      <c r="Z1596" s="340" t="str">
        <f>IF(AND(C1596&gt;0,D1596&lt;&gt;"",S1596=""),VLOOKUP(A1596&amp;IF(H1596="黑丝","黑","白")&amp;E1596,经纬!A:M,13,FALSE)*(I1596-AB1596),"")</f>
        <v/>
      </c>
      <c r="AA1596" s="340" t="str">
        <f>IF(AND(C1596&gt;0,D1596&lt;&gt;"",S1596=""),VLOOKUP(A1596&amp;IF(H1596="黑丝","黑","白")&amp;E1596,经纬!A:N,14,FALSE)*(I1596-AB1596),"")</f>
        <v/>
      </c>
    </row>
    <row r="1597" spans="13:27">
      <c r="M1597" s="24" t="str">
        <f t="array" ref="M1597">LEFT(L1597,MIN(FIND({"A","B","C"},MID(L1597,2,LEN(L1597))&amp;"ABC")))</f>
        <v/>
      </c>
      <c r="N1597" s="24" t="str">
        <f t="array" ref="N1597">SUBSTITUTE(L1597,M1597,"")</f>
        <v/>
      </c>
      <c r="X1597" s="258" t="str">
        <f t="shared" si="70"/>
        <v/>
      </c>
      <c r="Y1597" s="36" t="str">
        <f t="shared" si="71"/>
        <v/>
      </c>
      <c r="Z1597" s="340" t="str">
        <f>IF(AND(C1597&gt;0,D1597&lt;&gt;"",S1597=""),VLOOKUP(A1597&amp;IF(H1597="黑丝","黑","白")&amp;E1597,经纬!A:M,13,FALSE)*(I1597-AB1597),"")</f>
        <v/>
      </c>
      <c r="AA1597" s="340" t="str">
        <f>IF(AND(C1597&gt;0,D1597&lt;&gt;"",S1597=""),VLOOKUP(A1597&amp;IF(H1597="黑丝","黑","白")&amp;E1597,经纬!A:N,14,FALSE)*(I1597-AB1597),"")</f>
        <v/>
      </c>
    </row>
    <row r="1598" spans="13:27">
      <c r="M1598" s="24" t="str">
        <f t="array" ref="M1598">LEFT(L1598,MIN(FIND({"A","B","C"},MID(L1598,2,LEN(L1598))&amp;"ABC")))</f>
        <v/>
      </c>
      <c r="N1598" s="24" t="str">
        <f t="array" ref="N1598">SUBSTITUTE(L1598,M1598,"")</f>
        <v/>
      </c>
      <c r="X1598" s="258" t="str">
        <f t="shared" si="70"/>
        <v/>
      </c>
      <c r="Y1598" s="36" t="str">
        <f t="shared" si="71"/>
        <v/>
      </c>
      <c r="Z1598" s="340" t="str">
        <f>IF(AND(C1598&gt;0,D1598&lt;&gt;"",S1598=""),VLOOKUP(A1598&amp;IF(H1598="黑丝","黑","白")&amp;E1598,经纬!A:M,13,FALSE)*(I1598-AB1598),"")</f>
        <v/>
      </c>
      <c r="AA1598" s="340" t="str">
        <f>IF(AND(C1598&gt;0,D1598&lt;&gt;"",S1598=""),VLOOKUP(A1598&amp;IF(H1598="黑丝","黑","白")&amp;E1598,经纬!A:N,14,FALSE)*(I1598-AB1598),"")</f>
        <v/>
      </c>
    </row>
    <row r="1599" spans="13:27">
      <c r="M1599" s="24" t="str">
        <f t="array" ref="M1599">LEFT(L1599,MIN(FIND({"A","B","C"},MID(L1599,2,LEN(L1599))&amp;"ABC")))</f>
        <v/>
      </c>
      <c r="N1599" s="24" t="str">
        <f t="array" ref="N1599">SUBSTITUTE(L1599,M1599,"")</f>
        <v/>
      </c>
      <c r="X1599" s="258" t="str">
        <f t="shared" si="70"/>
        <v/>
      </c>
      <c r="Y1599" s="36" t="str">
        <f t="shared" si="71"/>
        <v/>
      </c>
      <c r="Z1599" s="340" t="str">
        <f>IF(AND(C1599&gt;0,D1599&lt;&gt;"",S1599=""),VLOOKUP(A1599&amp;IF(H1599="黑丝","黑","白")&amp;E1599,经纬!A:M,13,FALSE)*(I1599-AB1599),"")</f>
        <v/>
      </c>
      <c r="AA1599" s="340" t="str">
        <f>IF(AND(C1599&gt;0,D1599&lt;&gt;"",S1599=""),VLOOKUP(A1599&amp;IF(H1599="黑丝","黑","白")&amp;E1599,经纬!A:N,14,FALSE)*(I1599-AB1599),"")</f>
        <v/>
      </c>
    </row>
    <row r="1600" spans="13:27">
      <c r="M1600" s="24" t="str">
        <f t="array" ref="M1600">LEFT(L1600,MIN(FIND({"A","B","C"},MID(L1600,2,LEN(L1600))&amp;"ABC")))</f>
        <v/>
      </c>
      <c r="N1600" s="24" t="str">
        <f t="array" ref="N1600">SUBSTITUTE(L1600,M1600,"")</f>
        <v/>
      </c>
      <c r="X1600" s="258" t="str">
        <f t="shared" si="70"/>
        <v/>
      </c>
      <c r="Y1600" s="36" t="str">
        <f t="shared" si="71"/>
        <v/>
      </c>
      <c r="Z1600" s="340" t="str">
        <f>IF(AND(C1600&gt;0,D1600&lt;&gt;"",S1600=""),VLOOKUP(A1600&amp;IF(H1600="黑丝","黑","白")&amp;E1600,经纬!A:M,13,FALSE)*(I1600-AB1600),"")</f>
        <v/>
      </c>
      <c r="AA1600" s="340" t="str">
        <f>IF(AND(C1600&gt;0,D1600&lt;&gt;"",S1600=""),VLOOKUP(A1600&amp;IF(H1600="黑丝","黑","白")&amp;E1600,经纬!A:N,14,FALSE)*(I1600-AB1600),"")</f>
        <v/>
      </c>
    </row>
    <row r="1601" spans="13:27">
      <c r="M1601" s="24" t="str">
        <f t="array" ref="M1601">LEFT(L1601,MIN(FIND({"A","B","C"},MID(L1601,2,LEN(L1601))&amp;"ABC")))</f>
        <v/>
      </c>
      <c r="N1601" s="24" t="str">
        <f t="array" ref="N1601">SUBSTITUTE(L1601,M1601,"")</f>
        <v/>
      </c>
      <c r="X1601" s="258" t="str">
        <f t="shared" si="70"/>
        <v/>
      </c>
      <c r="Y1601" s="36" t="str">
        <f t="shared" si="71"/>
        <v/>
      </c>
      <c r="Z1601" s="340" t="str">
        <f>IF(AND(C1601&gt;0,D1601&lt;&gt;"",S1601=""),VLOOKUP(A1601&amp;IF(H1601="黑丝","黑","白")&amp;E1601,经纬!A:M,13,FALSE)*(I1601-AB1601),"")</f>
        <v/>
      </c>
      <c r="AA1601" s="340" t="str">
        <f>IF(AND(C1601&gt;0,D1601&lt;&gt;"",S1601=""),VLOOKUP(A1601&amp;IF(H1601="黑丝","黑","白")&amp;E1601,经纬!A:N,14,FALSE)*(I1601-AB1601),"")</f>
        <v/>
      </c>
    </row>
    <row r="1602" spans="13:27">
      <c r="M1602" s="24" t="str">
        <f t="array" ref="M1602">LEFT(L1602,MIN(FIND({"A","B","C"},MID(L1602,2,LEN(L1602))&amp;"ABC")))</f>
        <v/>
      </c>
      <c r="N1602" s="24" t="str">
        <f t="array" ref="N1602">SUBSTITUTE(L1602,M1602,"")</f>
        <v/>
      </c>
      <c r="X1602" s="258" t="str">
        <f t="shared" si="70"/>
        <v/>
      </c>
      <c r="Y1602" s="36" t="str">
        <f t="shared" si="71"/>
        <v/>
      </c>
      <c r="Z1602" s="340" t="str">
        <f>IF(AND(C1602&gt;0,D1602&lt;&gt;"",S1602=""),VLOOKUP(A1602&amp;IF(H1602="黑丝","黑","白")&amp;E1602,经纬!A:M,13,FALSE)*(I1602-AB1602),"")</f>
        <v/>
      </c>
      <c r="AA1602" s="340" t="str">
        <f>IF(AND(C1602&gt;0,D1602&lt;&gt;"",S1602=""),VLOOKUP(A1602&amp;IF(H1602="黑丝","黑","白")&amp;E1602,经纬!A:N,14,FALSE)*(I1602-AB1602),"")</f>
        <v/>
      </c>
    </row>
    <row r="1603" spans="13:27">
      <c r="M1603" s="24" t="str">
        <f t="array" ref="M1603">LEFT(L1603,MIN(FIND({"A","B","C"},MID(L1603,2,LEN(L1603))&amp;"ABC")))</f>
        <v/>
      </c>
      <c r="N1603" s="24" t="str">
        <f t="array" ref="N1603">SUBSTITUTE(L1603,M1603,"")</f>
        <v/>
      </c>
      <c r="X1603" s="258" t="str">
        <f t="shared" si="70"/>
        <v/>
      </c>
      <c r="Y1603" s="36" t="str">
        <f t="shared" si="71"/>
        <v/>
      </c>
      <c r="Z1603" s="340" t="str">
        <f>IF(AND(C1603&gt;0,D1603&lt;&gt;"",S1603=""),VLOOKUP(A1603&amp;IF(H1603="黑丝","黑","白")&amp;E1603,经纬!A:M,13,FALSE)*(I1603-AB1603),"")</f>
        <v/>
      </c>
      <c r="AA1603" s="340" t="str">
        <f>IF(AND(C1603&gt;0,D1603&lt;&gt;"",S1603=""),VLOOKUP(A1603&amp;IF(H1603="黑丝","黑","白")&amp;E1603,经纬!A:N,14,FALSE)*(I1603-AB1603),"")</f>
        <v/>
      </c>
    </row>
    <row r="1604" spans="13:27">
      <c r="M1604" s="24" t="str">
        <f t="array" ref="M1604">LEFT(L1604,MIN(FIND({"A","B","C"},MID(L1604,2,LEN(L1604))&amp;"ABC")))</f>
        <v/>
      </c>
      <c r="N1604" s="24" t="str">
        <f t="array" ref="N1604">SUBSTITUTE(L1604,M1604,"")</f>
        <v/>
      </c>
      <c r="X1604" s="258" t="str">
        <f t="shared" si="70"/>
        <v/>
      </c>
      <c r="Y1604" s="36" t="str">
        <f t="shared" si="71"/>
        <v/>
      </c>
      <c r="Z1604" s="340" t="str">
        <f>IF(AND(C1604&gt;0,D1604&lt;&gt;"",S1604=""),VLOOKUP(A1604&amp;IF(H1604="黑丝","黑","白")&amp;E1604,经纬!A:M,13,FALSE)*(I1604-AB1604),"")</f>
        <v/>
      </c>
      <c r="AA1604" s="340" t="str">
        <f>IF(AND(C1604&gt;0,D1604&lt;&gt;"",S1604=""),VLOOKUP(A1604&amp;IF(H1604="黑丝","黑","白")&amp;E1604,经纬!A:N,14,FALSE)*(I1604-AB1604),"")</f>
        <v/>
      </c>
    </row>
    <row r="1605" spans="13:27">
      <c r="M1605" s="24" t="str">
        <f t="array" ref="M1605">LEFT(L1605,MIN(FIND({"A","B","C"},MID(L1605,2,LEN(L1605))&amp;"ABC")))</f>
        <v/>
      </c>
      <c r="N1605" s="24" t="str">
        <f t="array" ref="N1605">SUBSTITUTE(L1605,M1605,"")</f>
        <v/>
      </c>
      <c r="X1605" s="258" t="str">
        <f t="shared" si="70"/>
        <v/>
      </c>
      <c r="Y1605" s="36" t="str">
        <f t="shared" si="71"/>
        <v/>
      </c>
      <c r="Z1605" s="340" t="str">
        <f>IF(AND(C1605&gt;0,D1605&lt;&gt;"",S1605=""),VLOOKUP(A1605&amp;IF(H1605="黑丝","黑","白")&amp;E1605,经纬!A:M,13,FALSE)*(I1605-AB1605),"")</f>
        <v/>
      </c>
      <c r="AA1605" s="340" t="str">
        <f>IF(AND(C1605&gt;0,D1605&lt;&gt;"",S1605=""),VLOOKUP(A1605&amp;IF(H1605="黑丝","黑","白")&amp;E1605,经纬!A:N,14,FALSE)*(I1605-AB1605),"")</f>
        <v/>
      </c>
    </row>
    <row r="1606" spans="13:27">
      <c r="M1606" s="24" t="str">
        <f t="array" ref="M1606">LEFT(L1606,MIN(FIND({"A","B","C"},MID(L1606,2,LEN(L1606))&amp;"ABC")))</f>
        <v/>
      </c>
      <c r="N1606" s="24" t="str">
        <f t="array" ref="N1606">SUBSTITUTE(L1606,M1606,"")</f>
        <v/>
      </c>
      <c r="X1606" s="258" t="str">
        <f t="shared" si="70"/>
        <v/>
      </c>
      <c r="Y1606" s="36" t="str">
        <f t="shared" si="71"/>
        <v/>
      </c>
      <c r="Z1606" s="340" t="str">
        <f>IF(AND(C1606&gt;0,D1606&lt;&gt;"",S1606=""),VLOOKUP(A1606&amp;IF(H1606="黑丝","黑","白")&amp;E1606,经纬!A:M,13,FALSE)*(I1606-AB1606),"")</f>
        <v/>
      </c>
      <c r="AA1606" s="340" t="str">
        <f>IF(AND(C1606&gt;0,D1606&lt;&gt;"",S1606=""),VLOOKUP(A1606&amp;IF(H1606="黑丝","黑","白")&amp;E1606,经纬!A:N,14,FALSE)*(I1606-AB1606),"")</f>
        <v/>
      </c>
    </row>
    <row r="1607" spans="13:27">
      <c r="M1607" s="24" t="str">
        <f t="array" ref="M1607">LEFT(L1607,MIN(FIND({"A","B","C"},MID(L1607,2,LEN(L1607))&amp;"ABC")))</f>
        <v/>
      </c>
      <c r="N1607" s="24" t="str">
        <f t="array" ref="N1607">SUBSTITUTE(L1607,M1607,"")</f>
        <v/>
      </c>
      <c r="X1607" s="258" t="str">
        <f t="shared" si="70"/>
        <v/>
      </c>
      <c r="Y1607" s="36" t="str">
        <f t="shared" si="71"/>
        <v/>
      </c>
      <c r="Z1607" s="340" t="str">
        <f>IF(AND(C1607&gt;0,D1607&lt;&gt;"",S1607=""),VLOOKUP(A1607&amp;IF(H1607="黑丝","黑","白")&amp;E1607,经纬!A:M,13,FALSE)*(I1607-AB1607),"")</f>
        <v/>
      </c>
      <c r="AA1607" s="340" t="str">
        <f>IF(AND(C1607&gt;0,D1607&lt;&gt;"",S1607=""),VLOOKUP(A1607&amp;IF(H1607="黑丝","黑","白")&amp;E1607,经纬!A:N,14,FALSE)*(I1607-AB1607),"")</f>
        <v/>
      </c>
    </row>
    <row r="1608" spans="13:27">
      <c r="M1608" s="24" t="str">
        <f t="array" ref="M1608">LEFT(L1608,MIN(FIND({"A","B","C"},MID(L1608,2,LEN(L1608))&amp;"ABC")))</f>
        <v/>
      </c>
      <c r="N1608" s="24" t="str">
        <f t="array" ref="N1608">SUBSTITUTE(L1608,M1608,"")</f>
        <v/>
      </c>
      <c r="X1608" s="258" t="str">
        <f t="shared" si="70"/>
        <v/>
      </c>
      <c r="Y1608" s="36" t="str">
        <f t="shared" si="71"/>
        <v/>
      </c>
      <c r="Z1608" s="340" t="str">
        <f>IF(AND(C1608&gt;0,D1608&lt;&gt;"",S1608=""),VLOOKUP(A1608&amp;IF(H1608="黑丝","黑","白")&amp;E1608,经纬!A:M,13,FALSE)*(I1608-AB1608),"")</f>
        <v/>
      </c>
      <c r="AA1608" s="340" t="str">
        <f>IF(AND(C1608&gt;0,D1608&lt;&gt;"",S1608=""),VLOOKUP(A1608&amp;IF(H1608="黑丝","黑","白")&amp;E1608,经纬!A:N,14,FALSE)*(I1608-AB1608),"")</f>
        <v/>
      </c>
    </row>
    <row r="1609" spans="13:27">
      <c r="M1609" s="24" t="str">
        <f t="array" ref="M1609">LEFT(L1609,MIN(FIND({"A","B","C"},MID(L1609,2,LEN(L1609))&amp;"ABC")))</f>
        <v/>
      </c>
      <c r="N1609" s="24" t="str">
        <f t="array" ref="N1609">SUBSTITUTE(L1609,M1609,"")</f>
        <v/>
      </c>
      <c r="X1609" s="258" t="str">
        <f t="shared" si="70"/>
        <v/>
      </c>
      <c r="Y1609" s="36" t="str">
        <f t="shared" si="71"/>
        <v/>
      </c>
      <c r="Z1609" s="340" t="str">
        <f>IF(AND(C1609&gt;0,D1609&lt;&gt;"",S1609=""),VLOOKUP(A1609&amp;IF(H1609="黑丝","黑","白")&amp;E1609,经纬!A:M,13,FALSE)*(I1609-AB1609),"")</f>
        <v/>
      </c>
      <c r="AA1609" s="340" t="str">
        <f>IF(AND(C1609&gt;0,D1609&lt;&gt;"",S1609=""),VLOOKUP(A1609&amp;IF(H1609="黑丝","黑","白")&amp;E1609,经纬!A:N,14,FALSE)*(I1609-AB1609),"")</f>
        <v/>
      </c>
    </row>
    <row r="1610" spans="13:27">
      <c r="M1610" s="24" t="str">
        <f t="array" ref="M1610">LEFT(L1610,MIN(FIND({"A","B","C"},MID(L1610,2,LEN(L1610))&amp;"ABC")))</f>
        <v/>
      </c>
      <c r="N1610" s="24" t="str">
        <f t="array" ref="N1610">SUBSTITUTE(L1610,M1610,"")</f>
        <v/>
      </c>
      <c r="X1610" s="258" t="str">
        <f t="shared" si="70"/>
        <v/>
      </c>
      <c r="Y1610" s="36" t="str">
        <f t="shared" si="71"/>
        <v/>
      </c>
      <c r="Z1610" s="340" t="str">
        <f>IF(AND(C1610&gt;0,D1610&lt;&gt;"",S1610=""),VLOOKUP(A1610&amp;IF(H1610="黑丝","黑","白")&amp;E1610,经纬!A:M,13,FALSE)*(I1610-AB1610),"")</f>
        <v/>
      </c>
      <c r="AA1610" s="340" t="str">
        <f>IF(AND(C1610&gt;0,D1610&lt;&gt;"",S1610=""),VLOOKUP(A1610&amp;IF(H1610="黑丝","黑","白")&amp;E1610,经纬!A:N,14,FALSE)*(I1610-AB1610),"")</f>
        <v/>
      </c>
    </row>
    <row r="1611" spans="13:27">
      <c r="M1611" s="24" t="str">
        <f t="array" ref="M1611">LEFT(L1611,MIN(FIND({"A","B","C"},MID(L1611,2,LEN(L1611))&amp;"ABC")))</f>
        <v/>
      </c>
      <c r="N1611" s="24" t="str">
        <f t="array" ref="N1611">SUBSTITUTE(L1611,M1611,"")</f>
        <v/>
      </c>
      <c r="X1611" s="258" t="str">
        <f t="shared" si="70"/>
        <v/>
      </c>
      <c r="Y1611" s="36" t="str">
        <f t="shared" si="71"/>
        <v/>
      </c>
      <c r="Z1611" s="340" t="str">
        <f>IF(AND(C1611&gt;0,D1611&lt;&gt;"",S1611=""),VLOOKUP(A1611&amp;IF(H1611="黑丝","黑","白")&amp;E1611,经纬!A:M,13,FALSE)*(I1611-AB1611),"")</f>
        <v/>
      </c>
      <c r="AA1611" s="340" t="str">
        <f>IF(AND(C1611&gt;0,D1611&lt;&gt;"",S1611=""),VLOOKUP(A1611&amp;IF(H1611="黑丝","黑","白")&amp;E1611,经纬!A:N,14,FALSE)*(I1611-AB1611),"")</f>
        <v/>
      </c>
    </row>
    <row r="1612" spans="13:27">
      <c r="M1612" s="24" t="str">
        <f t="array" ref="M1612">LEFT(L1612,MIN(FIND({"A","B","C"},MID(L1612,2,LEN(L1612))&amp;"ABC")))</f>
        <v/>
      </c>
      <c r="N1612" s="24" t="str">
        <f t="array" ref="N1612">SUBSTITUTE(L1612,M1612,"")</f>
        <v/>
      </c>
      <c r="X1612" s="258" t="str">
        <f t="shared" si="70"/>
        <v/>
      </c>
      <c r="Y1612" s="36" t="str">
        <f t="shared" si="71"/>
        <v/>
      </c>
      <c r="Z1612" s="340" t="str">
        <f>IF(AND(C1612&gt;0,D1612&lt;&gt;"",S1612=""),VLOOKUP(A1612&amp;IF(H1612="黑丝","黑","白")&amp;E1612,经纬!A:M,13,FALSE)*(I1612-AB1612),"")</f>
        <v/>
      </c>
      <c r="AA1612" s="340" t="str">
        <f>IF(AND(C1612&gt;0,D1612&lt;&gt;"",S1612=""),VLOOKUP(A1612&amp;IF(H1612="黑丝","黑","白")&amp;E1612,经纬!A:N,14,FALSE)*(I1612-AB1612),"")</f>
        <v/>
      </c>
    </row>
    <row r="1613" spans="13:27">
      <c r="M1613" s="24" t="str">
        <f t="array" ref="M1613">LEFT(L1613,MIN(FIND({"A","B","C"},MID(L1613,2,LEN(L1613))&amp;"ABC")))</f>
        <v/>
      </c>
      <c r="N1613" s="24" t="str">
        <f t="array" ref="N1613">SUBSTITUTE(L1613,M1613,"")</f>
        <v/>
      </c>
      <c r="X1613" s="258" t="str">
        <f t="shared" si="70"/>
        <v/>
      </c>
      <c r="Y1613" s="36" t="str">
        <f t="shared" si="71"/>
        <v/>
      </c>
      <c r="Z1613" s="340" t="str">
        <f>IF(AND(C1613&gt;0,D1613&lt;&gt;"",S1613=""),VLOOKUP(A1613&amp;IF(H1613="黑丝","黑","白")&amp;E1613,经纬!A:M,13,FALSE)*(I1613-AB1613),"")</f>
        <v/>
      </c>
      <c r="AA1613" s="340" t="str">
        <f>IF(AND(C1613&gt;0,D1613&lt;&gt;"",S1613=""),VLOOKUP(A1613&amp;IF(H1613="黑丝","黑","白")&amp;E1613,经纬!A:N,14,FALSE)*(I1613-AB1613),"")</f>
        <v/>
      </c>
    </row>
    <row r="1614" spans="13:27">
      <c r="M1614" s="24" t="str">
        <f t="array" ref="M1614">LEFT(L1614,MIN(FIND({"A","B","C"},MID(L1614,2,LEN(L1614))&amp;"ABC")))</f>
        <v/>
      </c>
      <c r="N1614" s="24" t="str">
        <f t="array" ref="N1614">SUBSTITUTE(L1614,M1614,"")</f>
        <v/>
      </c>
      <c r="X1614" s="258" t="str">
        <f t="shared" si="70"/>
        <v/>
      </c>
      <c r="Y1614" s="36" t="str">
        <f t="shared" si="71"/>
        <v/>
      </c>
      <c r="Z1614" s="340" t="str">
        <f>IF(AND(C1614&gt;0,D1614&lt;&gt;"",S1614=""),VLOOKUP(A1614&amp;IF(H1614="黑丝","黑","白")&amp;E1614,经纬!A:M,13,FALSE)*(I1614-AB1614),"")</f>
        <v/>
      </c>
      <c r="AA1614" s="340" t="str">
        <f>IF(AND(C1614&gt;0,D1614&lt;&gt;"",S1614=""),VLOOKUP(A1614&amp;IF(H1614="黑丝","黑","白")&amp;E1614,经纬!A:N,14,FALSE)*(I1614-AB1614),"")</f>
        <v/>
      </c>
    </row>
    <row r="1615" spans="13:27">
      <c r="M1615" s="24" t="str">
        <f t="array" ref="M1615">LEFT(L1615,MIN(FIND({"A","B","C"},MID(L1615,2,LEN(L1615))&amp;"ABC")))</f>
        <v/>
      </c>
      <c r="N1615" s="24" t="str">
        <f t="array" ref="N1615">SUBSTITUTE(L1615,M1615,"")</f>
        <v/>
      </c>
      <c r="X1615" s="258" t="str">
        <f t="shared" si="70"/>
        <v/>
      </c>
      <c r="Y1615" s="36" t="str">
        <f t="shared" si="71"/>
        <v/>
      </c>
      <c r="Z1615" s="340" t="str">
        <f>IF(AND(C1615&gt;0,D1615&lt;&gt;"",S1615=""),VLOOKUP(A1615&amp;IF(H1615="黑丝","黑","白")&amp;E1615,经纬!A:M,13,FALSE)*(I1615-AB1615),"")</f>
        <v/>
      </c>
      <c r="AA1615" s="340" t="str">
        <f>IF(AND(C1615&gt;0,D1615&lt;&gt;"",S1615=""),VLOOKUP(A1615&amp;IF(H1615="黑丝","黑","白")&amp;E1615,经纬!A:N,14,FALSE)*(I1615-AB1615),"")</f>
        <v/>
      </c>
    </row>
    <row r="1616" spans="13:27">
      <c r="M1616" s="24" t="str">
        <f t="array" ref="M1616">LEFT(L1616,MIN(FIND({"A","B","C"},MID(L1616,2,LEN(L1616))&amp;"ABC")))</f>
        <v/>
      </c>
      <c r="N1616" s="24" t="str">
        <f t="array" ref="N1616">SUBSTITUTE(L1616,M1616,"")</f>
        <v/>
      </c>
      <c r="X1616" s="258" t="str">
        <f t="shared" si="70"/>
        <v/>
      </c>
      <c r="Y1616" s="36" t="str">
        <f t="shared" si="71"/>
        <v/>
      </c>
      <c r="Z1616" s="340" t="str">
        <f>IF(AND(C1616&gt;0,D1616&lt;&gt;"",S1616=""),VLOOKUP(A1616&amp;IF(H1616="黑丝","黑","白")&amp;E1616,经纬!A:M,13,FALSE)*(I1616-AB1616),"")</f>
        <v/>
      </c>
      <c r="AA1616" s="340" t="str">
        <f>IF(AND(C1616&gt;0,D1616&lt;&gt;"",S1616=""),VLOOKUP(A1616&amp;IF(H1616="黑丝","黑","白")&amp;E1616,经纬!A:N,14,FALSE)*(I1616-AB1616),"")</f>
        <v/>
      </c>
    </row>
    <row r="1617" spans="13:27">
      <c r="M1617" s="24" t="str">
        <f t="array" ref="M1617">LEFT(L1617,MIN(FIND({"A","B","C"},MID(L1617,2,LEN(L1617))&amp;"ABC")))</f>
        <v/>
      </c>
      <c r="N1617" s="24" t="str">
        <f t="array" ref="N1617">SUBSTITUTE(L1617,M1617,"")</f>
        <v/>
      </c>
      <c r="X1617" s="258" t="str">
        <f t="shared" si="70"/>
        <v/>
      </c>
      <c r="Y1617" s="36" t="str">
        <f t="shared" si="71"/>
        <v/>
      </c>
      <c r="Z1617" s="340" t="str">
        <f>IF(AND(C1617&gt;0,D1617&lt;&gt;"",S1617=""),VLOOKUP(A1617&amp;IF(H1617="黑丝","黑","白")&amp;E1617,经纬!A:M,13,FALSE)*(I1617-AB1617),"")</f>
        <v/>
      </c>
      <c r="AA1617" s="340" t="str">
        <f>IF(AND(C1617&gt;0,D1617&lt;&gt;"",S1617=""),VLOOKUP(A1617&amp;IF(H1617="黑丝","黑","白")&amp;E1617,经纬!A:N,14,FALSE)*(I1617-AB1617),"")</f>
        <v/>
      </c>
    </row>
    <row r="1618" spans="13:27">
      <c r="M1618" s="24" t="str">
        <f t="array" ref="M1618">LEFT(L1618,MIN(FIND({"A","B","C"},MID(L1618,2,LEN(L1618))&amp;"ABC")))</f>
        <v/>
      </c>
      <c r="N1618" s="24" t="str">
        <f t="array" ref="N1618">SUBSTITUTE(L1618,M1618,"")</f>
        <v/>
      </c>
      <c r="X1618" s="258" t="str">
        <f t="shared" si="70"/>
        <v/>
      </c>
      <c r="Y1618" s="36" t="str">
        <f t="shared" si="71"/>
        <v/>
      </c>
      <c r="Z1618" s="340" t="str">
        <f>IF(AND(C1618&gt;0,D1618&lt;&gt;"",S1618=""),VLOOKUP(A1618&amp;IF(H1618="黑丝","黑","白")&amp;E1618,经纬!A:M,13,FALSE)*(I1618-AB1618),"")</f>
        <v/>
      </c>
      <c r="AA1618" s="340" t="str">
        <f>IF(AND(C1618&gt;0,D1618&lt;&gt;"",S1618=""),VLOOKUP(A1618&amp;IF(H1618="黑丝","黑","白")&amp;E1618,经纬!A:N,14,FALSE)*(I1618-AB1618),"")</f>
        <v/>
      </c>
    </row>
    <row r="1619" spans="13:27">
      <c r="M1619" s="24" t="str">
        <f t="array" ref="M1619">LEFT(L1619,MIN(FIND({"A","B","C"},MID(L1619,2,LEN(L1619))&amp;"ABC")))</f>
        <v/>
      </c>
      <c r="N1619" s="24" t="str">
        <f t="array" ref="N1619">SUBSTITUTE(L1619,M1619,"")</f>
        <v/>
      </c>
      <c r="X1619" s="258" t="str">
        <f t="shared" si="70"/>
        <v/>
      </c>
      <c r="Y1619" s="36" t="str">
        <f t="shared" si="71"/>
        <v/>
      </c>
      <c r="Z1619" s="340" t="str">
        <f>IF(AND(C1619&gt;0,D1619&lt;&gt;"",S1619=""),VLOOKUP(A1619&amp;IF(H1619="黑丝","黑","白")&amp;E1619,经纬!A:M,13,FALSE)*(I1619-AB1619),"")</f>
        <v/>
      </c>
      <c r="AA1619" s="340" t="str">
        <f>IF(AND(C1619&gt;0,D1619&lt;&gt;"",S1619=""),VLOOKUP(A1619&amp;IF(H1619="黑丝","黑","白")&amp;E1619,经纬!A:N,14,FALSE)*(I1619-AB1619),"")</f>
        <v/>
      </c>
    </row>
    <row r="1620" spans="13:27">
      <c r="M1620" s="24" t="str">
        <f t="array" ref="M1620">LEFT(L1620,MIN(FIND({"A","B","C"},MID(L1620,2,LEN(L1620))&amp;"ABC")))</f>
        <v/>
      </c>
      <c r="N1620" s="24" t="str">
        <f t="array" ref="N1620">SUBSTITUTE(L1620,M1620,"")</f>
        <v/>
      </c>
      <c r="X1620" s="258" t="str">
        <f t="shared" si="70"/>
        <v/>
      </c>
      <c r="Y1620" s="36" t="str">
        <f t="shared" si="71"/>
        <v/>
      </c>
      <c r="Z1620" s="340" t="str">
        <f>IF(AND(C1620&gt;0,D1620&lt;&gt;"",S1620=""),VLOOKUP(A1620&amp;IF(H1620="黑丝","黑","白")&amp;E1620,经纬!A:M,13,FALSE)*(I1620-AB1620),"")</f>
        <v/>
      </c>
      <c r="AA1620" s="340" t="str">
        <f>IF(AND(C1620&gt;0,D1620&lt;&gt;"",S1620=""),VLOOKUP(A1620&amp;IF(H1620="黑丝","黑","白")&amp;E1620,经纬!A:N,14,FALSE)*(I1620-AB1620),"")</f>
        <v/>
      </c>
    </row>
    <row r="1621" spans="13:27">
      <c r="M1621" s="24" t="str">
        <f t="array" ref="M1621">LEFT(L1621,MIN(FIND({"A","B","C"},MID(L1621,2,LEN(L1621))&amp;"ABC")))</f>
        <v/>
      </c>
      <c r="N1621" s="24" t="str">
        <f t="array" ref="N1621">SUBSTITUTE(L1621,M1621,"")</f>
        <v/>
      </c>
      <c r="X1621" s="258" t="str">
        <f t="shared" si="70"/>
        <v/>
      </c>
      <c r="Y1621" s="36" t="str">
        <f t="shared" si="71"/>
        <v/>
      </c>
      <c r="Z1621" s="340" t="str">
        <f>IF(AND(C1621&gt;0,D1621&lt;&gt;"",S1621=""),VLOOKUP(A1621&amp;IF(H1621="黑丝","黑","白")&amp;E1621,经纬!A:M,13,FALSE)*(I1621-AB1621),"")</f>
        <v/>
      </c>
      <c r="AA1621" s="340" t="str">
        <f>IF(AND(C1621&gt;0,D1621&lt;&gt;"",S1621=""),VLOOKUP(A1621&amp;IF(H1621="黑丝","黑","白")&amp;E1621,经纬!A:N,14,FALSE)*(I1621-AB1621),"")</f>
        <v/>
      </c>
    </row>
    <row r="1622" spans="13:27">
      <c r="M1622" s="24" t="str">
        <f t="array" ref="M1622">LEFT(L1622,MIN(FIND({"A","B","C"},MID(L1622,2,LEN(L1622))&amp;"ABC")))</f>
        <v/>
      </c>
      <c r="N1622" s="24" t="str">
        <f t="array" ref="N1622">SUBSTITUTE(L1622,M1622,"")</f>
        <v/>
      </c>
      <c r="X1622" s="258" t="str">
        <f t="shared" si="70"/>
        <v/>
      </c>
      <c r="Y1622" s="36" t="str">
        <f t="shared" si="71"/>
        <v/>
      </c>
      <c r="Z1622" s="340" t="str">
        <f>IF(AND(C1622&gt;0,D1622&lt;&gt;"",S1622=""),VLOOKUP(A1622&amp;IF(H1622="黑丝","黑","白")&amp;E1622,经纬!A:M,13,FALSE)*(I1622-AB1622),"")</f>
        <v/>
      </c>
      <c r="AA1622" s="340" t="str">
        <f>IF(AND(C1622&gt;0,D1622&lt;&gt;"",S1622=""),VLOOKUP(A1622&amp;IF(H1622="黑丝","黑","白")&amp;E1622,经纬!A:N,14,FALSE)*(I1622-AB1622),"")</f>
        <v/>
      </c>
    </row>
    <row r="1623" spans="13:27">
      <c r="M1623" s="24" t="str">
        <f t="array" ref="M1623">LEFT(L1623,MIN(FIND({"A","B","C"},MID(L1623,2,LEN(L1623))&amp;"ABC")))</f>
        <v/>
      </c>
      <c r="N1623" s="24" t="str">
        <f t="array" ref="N1623">SUBSTITUTE(L1623,M1623,"")</f>
        <v/>
      </c>
      <c r="X1623" s="258" t="str">
        <f t="shared" si="70"/>
        <v/>
      </c>
      <c r="Y1623" s="36" t="str">
        <f t="shared" si="71"/>
        <v/>
      </c>
      <c r="Z1623" s="340" t="str">
        <f>IF(AND(C1623&gt;0,D1623&lt;&gt;"",S1623=""),VLOOKUP(A1623&amp;IF(H1623="黑丝","黑","白")&amp;E1623,经纬!A:M,13,FALSE)*(I1623-AB1623),"")</f>
        <v/>
      </c>
      <c r="AA1623" s="340" t="str">
        <f>IF(AND(C1623&gt;0,D1623&lt;&gt;"",S1623=""),VLOOKUP(A1623&amp;IF(H1623="黑丝","黑","白")&amp;E1623,经纬!A:N,14,FALSE)*(I1623-AB1623),"")</f>
        <v/>
      </c>
    </row>
    <row r="1624" spans="13:27">
      <c r="M1624" s="24" t="str">
        <f t="array" ref="M1624">LEFT(L1624,MIN(FIND({"A","B","C"},MID(L1624,2,LEN(L1624))&amp;"ABC")))</f>
        <v/>
      </c>
      <c r="N1624" s="24" t="str">
        <f t="array" ref="N1624">SUBSTITUTE(L1624,M1624,"")</f>
        <v/>
      </c>
      <c r="X1624" s="258" t="str">
        <f t="shared" si="70"/>
        <v/>
      </c>
      <c r="Y1624" s="36" t="str">
        <f t="shared" si="71"/>
        <v/>
      </c>
      <c r="Z1624" s="340" t="str">
        <f>IF(AND(C1624&gt;0,D1624&lt;&gt;"",S1624=""),VLOOKUP(A1624&amp;IF(H1624="黑丝","黑","白")&amp;E1624,经纬!A:M,13,FALSE)*(I1624-AB1624),"")</f>
        <v/>
      </c>
      <c r="AA1624" s="340" t="str">
        <f>IF(AND(C1624&gt;0,D1624&lt;&gt;"",S1624=""),VLOOKUP(A1624&amp;IF(H1624="黑丝","黑","白")&amp;E1624,经纬!A:N,14,FALSE)*(I1624-AB1624),"")</f>
        <v/>
      </c>
    </row>
    <row r="1625" spans="13:27">
      <c r="M1625" s="24" t="str">
        <f t="array" ref="M1625">LEFT(L1625,MIN(FIND({"A","B","C"},MID(L1625,2,LEN(L1625))&amp;"ABC")))</f>
        <v/>
      </c>
      <c r="N1625" s="24" t="str">
        <f t="array" ref="N1625">SUBSTITUTE(L1625,M1625,"")</f>
        <v/>
      </c>
      <c r="X1625" s="258" t="str">
        <f t="shared" si="70"/>
        <v/>
      </c>
      <c r="Y1625" s="36" t="str">
        <f t="shared" si="71"/>
        <v/>
      </c>
      <c r="Z1625" s="340" t="str">
        <f>IF(AND(C1625&gt;0,D1625&lt;&gt;"",S1625=""),VLOOKUP(A1625&amp;IF(H1625="黑丝","黑","白")&amp;E1625,经纬!A:M,13,FALSE)*(I1625-AB1625),"")</f>
        <v/>
      </c>
      <c r="AA1625" s="340" t="str">
        <f>IF(AND(C1625&gt;0,D1625&lt;&gt;"",S1625=""),VLOOKUP(A1625&amp;IF(H1625="黑丝","黑","白")&amp;E1625,经纬!A:N,14,FALSE)*(I1625-AB1625),"")</f>
        <v/>
      </c>
    </row>
    <row r="1626" spans="13:27">
      <c r="M1626" s="24" t="str">
        <f t="array" ref="M1626">LEFT(L1626,MIN(FIND({"A","B","C"},MID(L1626,2,LEN(L1626))&amp;"ABC")))</f>
        <v/>
      </c>
      <c r="N1626" s="24" t="str">
        <f t="array" ref="N1626">SUBSTITUTE(L1626,M1626,"")</f>
        <v/>
      </c>
      <c r="X1626" s="258" t="str">
        <f t="shared" si="70"/>
        <v/>
      </c>
      <c r="Y1626" s="36" t="str">
        <f t="shared" si="71"/>
        <v/>
      </c>
      <c r="Z1626" s="340" t="str">
        <f>IF(AND(C1626&gt;0,D1626&lt;&gt;"",S1626=""),VLOOKUP(A1626&amp;IF(H1626="黑丝","黑","白")&amp;E1626,经纬!A:M,13,FALSE)*(I1626-AB1626),"")</f>
        <v/>
      </c>
      <c r="AA1626" s="340" t="str">
        <f>IF(AND(C1626&gt;0,D1626&lt;&gt;"",S1626=""),VLOOKUP(A1626&amp;IF(H1626="黑丝","黑","白")&amp;E1626,经纬!A:N,14,FALSE)*(I1626-AB1626),"")</f>
        <v/>
      </c>
    </row>
    <row r="1627" spans="13:27">
      <c r="M1627" s="24" t="str">
        <f t="array" ref="M1627">LEFT(L1627,MIN(FIND({"A","B","C"},MID(L1627,2,LEN(L1627))&amp;"ABC")))</f>
        <v/>
      </c>
      <c r="N1627" s="24" t="str">
        <f t="array" ref="N1627">SUBSTITUTE(L1627,M1627,"")</f>
        <v/>
      </c>
      <c r="X1627" s="258" t="str">
        <f t="shared" si="70"/>
        <v/>
      </c>
      <c r="Y1627" s="36" t="str">
        <f t="shared" si="71"/>
        <v/>
      </c>
      <c r="Z1627" s="340" t="str">
        <f>IF(AND(C1627&gt;0,D1627&lt;&gt;"",S1627=""),VLOOKUP(A1627&amp;IF(H1627="黑丝","黑","白")&amp;E1627,经纬!A:M,13,FALSE)*(I1627-AB1627),"")</f>
        <v/>
      </c>
      <c r="AA1627" s="340" t="str">
        <f>IF(AND(C1627&gt;0,D1627&lt;&gt;"",S1627=""),VLOOKUP(A1627&amp;IF(H1627="黑丝","黑","白")&amp;E1627,经纬!A:N,14,FALSE)*(I1627-AB1627),"")</f>
        <v/>
      </c>
    </row>
    <row r="1628" spans="13:27">
      <c r="M1628" s="24" t="str">
        <f t="array" ref="M1628">LEFT(L1628,MIN(FIND({"A","B","C"},MID(L1628,2,LEN(L1628))&amp;"ABC")))</f>
        <v/>
      </c>
      <c r="N1628" s="24" t="str">
        <f t="array" ref="N1628">SUBSTITUTE(L1628,M1628,"")</f>
        <v/>
      </c>
      <c r="X1628" s="258" t="str">
        <f t="shared" ref="X1628:X1691" si="72">IF(B1628="","",IF(S1628&lt;&gt;"","",IF(AND(Z1628&lt;&gt;"",AA1628&lt;&gt;""),SUM(Z1628:AA1628),IF(AB1628&lt;&gt;"",(I1628/((1/((G1628+2)/100*K1628/1000))*0.9144)/IF(H1628="黑丝",22,20)-AB1628)*(IF(H1628="黑丝",22,20)),I1628/((1/((G1628+2)/100*K1628/1000))*0.9144)))))</f>
        <v/>
      </c>
      <c r="Y1628" s="36" t="str">
        <f t="shared" si="71"/>
        <v/>
      </c>
      <c r="Z1628" s="340" t="str">
        <f>IF(AND(C1628&gt;0,D1628&lt;&gt;"",S1628=""),VLOOKUP(A1628&amp;IF(H1628="黑丝","黑","白")&amp;E1628,经纬!A:M,13,FALSE)*(I1628-AB1628),"")</f>
        <v/>
      </c>
      <c r="AA1628" s="340" t="str">
        <f>IF(AND(C1628&gt;0,D1628&lt;&gt;"",S1628=""),VLOOKUP(A1628&amp;IF(H1628="黑丝","黑","白")&amp;E1628,经纬!A:N,14,FALSE)*(I1628-AB1628),"")</f>
        <v/>
      </c>
    </row>
    <row r="1629" spans="13:27">
      <c r="M1629" s="24" t="str">
        <f t="array" ref="M1629">LEFT(L1629,MIN(FIND({"A","B","C"},MID(L1629,2,LEN(L1629))&amp;"ABC")))</f>
        <v/>
      </c>
      <c r="N1629" s="24" t="str">
        <f t="array" ref="N1629">SUBSTITUTE(L1629,M1629,"")</f>
        <v/>
      </c>
      <c r="X1629" s="258" t="str">
        <f t="shared" si="72"/>
        <v/>
      </c>
      <c r="Y1629" s="36" t="str">
        <f t="shared" si="71"/>
        <v/>
      </c>
      <c r="Z1629" s="340" t="str">
        <f>IF(AND(C1629&gt;0,D1629&lt;&gt;"",S1629=""),VLOOKUP(A1629&amp;IF(H1629="黑丝","黑","白")&amp;E1629,经纬!A:M,13,FALSE)*(I1629-AB1629),"")</f>
        <v/>
      </c>
      <c r="AA1629" s="340" t="str">
        <f>IF(AND(C1629&gt;0,D1629&lt;&gt;"",S1629=""),VLOOKUP(A1629&amp;IF(H1629="黑丝","黑","白")&amp;E1629,经纬!A:N,14,FALSE)*(I1629-AB1629),"")</f>
        <v/>
      </c>
    </row>
    <row r="1630" spans="13:27">
      <c r="M1630" s="24" t="str">
        <f t="array" ref="M1630">LEFT(L1630,MIN(FIND({"A","B","C"},MID(L1630,2,LEN(L1630))&amp;"ABC")))</f>
        <v/>
      </c>
      <c r="N1630" s="24" t="str">
        <f t="array" ref="N1630">SUBSTITUTE(L1630,M1630,"")</f>
        <v/>
      </c>
      <c r="X1630" s="258" t="str">
        <f t="shared" si="72"/>
        <v/>
      </c>
      <c r="Y1630" s="36" t="str">
        <f t="shared" si="71"/>
        <v/>
      </c>
      <c r="Z1630" s="340" t="str">
        <f>IF(AND(C1630&gt;0,D1630&lt;&gt;"",S1630=""),VLOOKUP(A1630&amp;IF(H1630="黑丝","黑","白")&amp;E1630,经纬!A:M,13,FALSE)*(I1630-AB1630),"")</f>
        <v/>
      </c>
      <c r="AA1630" s="340" t="str">
        <f>IF(AND(C1630&gt;0,D1630&lt;&gt;"",S1630=""),VLOOKUP(A1630&amp;IF(H1630="黑丝","黑","白")&amp;E1630,经纬!A:N,14,FALSE)*(I1630-AB1630),"")</f>
        <v/>
      </c>
    </row>
    <row r="1631" spans="13:27">
      <c r="M1631" s="24" t="str">
        <f t="array" ref="M1631">LEFT(L1631,MIN(FIND({"A","B","C"},MID(L1631,2,LEN(L1631))&amp;"ABC")))</f>
        <v/>
      </c>
      <c r="N1631" s="24" t="str">
        <f t="array" ref="N1631">SUBSTITUTE(L1631,M1631,"")</f>
        <v/>
      </c>
      <c r="X1631" s="258" t="str">
        <f t="shared" si="72"/>
        <v/>
      </c>
      <c r="Y1631" s="36" t="str">
        <f t="shared" si="71"/>
        <v/>
      </c>
      <c r="Z1631" s="340" t="str">
        <f>IF(AND(C1631&gt;0,D1631&lt;&gt;"",S1631=""),VLOOKUP(A1631&amp;IF(H1631="黑丝","黑","白")&amp;E1631,经纬!A:M,13,FALSE)*(I1631-AB1631),"")</f>
        <v/>
      </c>
      <c r="AA1631" s="340" t="str">
        <f>IF(AND(C1631&gt;0,D1631&lt;&gt;"",S1631=""),VLOOKUP(A1631&amp;IF(H1631="黑丝","黑","白")&amp;E1631,经纬!A:N,14,FALSE)*(I1631-AB1631),"")</f>
        <v/>
      </c>
    </row>
    <row r="1632" spans="13:27">
      <c r="M1632" s="24" t="str">
        <f t="array" ref="M1632">LEFT(L1632,MIN(FIND({"A","B","C"},MID(L1632,2,LEN(L1632))&amp;"ABC")))</f>
        <v/>
      </c>
      <c r="N1632" s="24" t="str">
        <f t="array" ref="N1632">SUBSTITUTE(L1632,M1632,"")</f>
        <v/>
      </c>
      <c r="X1632" s="258" t="str">
        <f t="shared" si="72"/>
        <v/>
      </c>
      <c r="Y1632" s="36" t="str">
        <f t="shared" si="71"/>
        <v/>
      </c>
      <c r="Z1632" s="340" t="str">
        <f>IF(AND(C1632&gt;0,D1632&lt;&gt;"",S1632=""),VLOOKUP(A1632&amp;IF(H1632="黑丝","黑","白")&amp;E1632,经纬!A:M,13,FALSE)*(I1632-AB1632),"")</f>
        <v/>
      </c>
      <c r="AA1632" s="340" t="str">
        <f>IF(AND(C1632&gt;0,D1632&lt;&gt;"",S1632=""),VLOOKUP(A1632&amp;IF(H1632="黑丝","黑","白")&amp;E1632,经纬!A:N,14,FALSE)*(I1632-AB1632),"")</f>
        <v/>
      </c>
    </row>
    <row r="1633" spans="13:27">
      <c r="M1633" s="24" t="str">
        <f t="array" ref="M1633">LEFT(L1633,MIN(FIND({"A","B","C"},MID(L1633,2,LEN(L1633))&amp;"ABC")))</f>
        <v/>
      </c>
      <c r="N1633" s="24" t="str">
        <f t="array" ref="N1633">SUBSTITUTE(L1633,M1633,"")</f>
        <v/>
      </c>
      <c r="X1633" s="258" t="str">
        <f t="shared" si="72"/>
        <v/>
      </c>
      <c r="Y1633" s="36" t="str">
        <f t="shared" si="71"/>
        <v/>
      </c>
      <c r="Z1633" s="340" t="str">
        <f>IF(AND(C1633&gt;0,D1633&lt;&gt;"",S1633=""),VLOOKUP(A1633&amp;IF(H1633="黑丝","黑","白")&amp;E1633,经纬!A:M,13,FALSE)*(I1633-AB1633),"")</f>
        <v/>
      </c>
      <c r="AA1633" s="340" t="str">
        <f>IF(AND(C1633&gt;0,D1633&lt;&gt;"",S1633=""),VLOOKUP(A1633&amp;IF(H1633="黑丝","黑","白")&amp;E1633,经纬!A:N,14,FALSE)*(I1633-AB1633),"")</f>
        <v/>
      </c>
    </row>
    <row r="1634" spans="13:27">
      <c r="M1634" s="24" t="str">
        <f t="array" ref="M1634">LEFT(L1634,MIN(FIND({"A","B","C"},MID(L1634,2,LEN(L1634))&amp;"ABC")))</f>
        <v/>
      </c>
      <c r="N1634" s="24" t="str">
        <f t="array" ref="N1634">SUBSTITUTE(L1634,M1634,"")</f>
        <v/>
      </c>
      <c r="X1634" s="258" t="str">
        <f t="shared" si="72"/>
        <v/>
      </c>
      <c r="Y1634" s="36" t="str">
        <f t="shared" si="71"/>
        <v/>
      </c>
      <c r="Z1634" s="340" t="str">
        <f>IF(AND(C1634&gt;0,D1634&lt;&gt;"",S1634=""),VLOOKUP(A1634&amp;IF(H1634="黑丝","黑","白")&amp;E1634,经纬!A:M,13,FALSE)*(I1634-AB1634),"")</f>
        <v/>
      </c>
      <c r="AA1634" s="340" t="str">
        <f>IF(AND(C1634&gt;0,D1634&lt;&gt;"",S1634=""),VLOOKUP(A1634&amp;IF(H1634="黑丝","黑","白")&amp;E1634,经纬!A:N,14,FALSE)*(I1634-AB1634),"")</f>
        <v/>
      </c>
    </row>
    <row r="1635" spans="13:27">
      <c r="M1635" s="24" t="str">
        <f t="array" ref="M1635">LEFT(L1635,MIN(FIND({"A","B","C"},MID(L1635,2,LEN(L1635))&amp;"ABC")))</f>
        <v/>
      </c>
      <c r="N1635" s="24" t="str">
        <f t="array" ref="N1635">SUBSTITUTE(L1635,M1635,"")</f>
        <v/>
      </c>
      <c r="X1635" s="258" t="str">
        <f t="shared" si="72"/>
        <v/>
      </c>
      <c r="Y1635" s="36" t="str">
        <f t="shared" si="71"/>
        <v/>
      </c>
      <c r="Z1635" s="340" t="str">
        <f>IF(AND(C1635&gt;0,D1635&lt;&gt;"",S1635=""),VLOOKUP(A1635&amp;IF(H1635="黑丝","黑","白")&amp;E1635,经纬!A:M,13,FALSE)*(I1635-AB1635),"")</f>
        <v/>
      </c>
      <c r="AA1635" s="340" t="str">
        <f>IF(AND(C1635&gt;0,D1635&lt;&gt;"",S1635=""),VLOOKUP(A1635&amp;IF(H1635="黑丝","黑","白")&amp;E1635,经纬!A:N,14,FALSE)*(I1635-AB1635),"")</f>
        <v/>
      </c>
    </row>
    <row r="1636" spans="13:27">
      <c r="M1636" s="24" t="str">
        <f t="array" ref="M1636">LEFT(L1636,MIN(FIND({"A","B","C"},MID(L1636,2,LEN(L1636))&amp;"ABC")))</f>
        <v/>
      </c>
      <c r="N1636" s="24" t="str">
        <f t="array" ref="N1636">SUBSTITUTE(L1636,M1636,"")</f>
        <v/>
      </c>
      <c r="X1636" s="258" t="str">
        <f t="shared" si="72"/>
        <v/>
      </c>
      <c r="Y1636" s="36" t="str">
        <f t="shared" si="71"/>
        <v/>
      </c>
      <c r="Z1636" s="340" t="str">
        <f>IF(AND(C1636&gt;0,D1636&lt;&gt;"",S1636=""),VLOOKUP(A1636&amp;IF(H1636="黑丝","黑","白")&amp;E1636,经纬!A:M,13,FALSE)*(I1636-AB1636),"")</f>
        <v/>
      </c>
      <c r="AA1636" s="340" t="str">
        <f>IF(AND(C1636&gt;0,D1636&lt;&gt;"",S1636=""),VLOOKUP(A1636&amp;IF(H1636="黑丝","黑","白")&amp;E1636,经纬!A:N,14,FALSE)*(I1636-AB1636),"")</f>
        <v/>
      </c>
    </row>
    <row r="1637" spans="13:27">
      <c r="M1637" s="24" t="str">
        <f t="array" ref="M1637">LEFT(L1637,MIN(FIND({"A","B","C"},MID(L1637,2,LEN(L1637))&amp;"ABC")))</f>
        <v/>
      </c>
      <c r="N1637" s="24" t="str">
        <f t="array" ref="N1637">SUBSTITUTE(L1637,M1637,"")</f>
        <v/>
      </c>
      <c r="X1637" s="258" t="str">
        <f t="shared" si="72"/>
        <v/>
      </c>
      <c r="Y1637" s="36" t="str">
        <f t="shared" si="71"/>
        <v/>
      </c>
      <c r="Z1637" s="340" t="str">
        <f>IF(AND(C1637&gt;0,D1637&lt;&gt;"",S1637=""),VLOOKUP(A1637&amp;IF(H1637="黑丝","黑","白")&amp;E1637,经纬!A:M,13,FALSE)*(I1637-AB1637),"")</f>
        <v/>
      </c>
      <c r="AA1637" s="340" t="str">
        <f>IF(AND(C1637&gt;0,D1637&lt;&gt;"",S1637=""),VLOOKUP(A1637&amp;IF(H1637="黑丝","黑","白")&amp;E1637,经纬!A:N,14,FALSE)*(I1637-AB1637),"")</f>
        <v/>
      </c>
    </row>
    <row r="1638" spans="13:27">
      <c r="M1638" s="24" t="str">
        <f t="array" ref="M1638">LEFT(L1638,MIN(FIND({"A","B","C"},MID(L1638,2,LEN(L1638))&amp;"ABC")))</f>
        <v/>
      </c>
      <c r="N1638" s="24" t="str">
        <f t="array" ref="N1638">SUBSTITUTE(L1638,M1638,"")</f>
        <v/>
      </c>
      <c r="X1638" s="258" t="str">
        <f t="shared" si="72"/>
        <v/>
      </c>
      <c r="Y1638" s="36" t="str">
        <f t="shared" si="71"/>
        <v/>
      </c>
      <c r="Z1638" s="340" t="str">
        <f>IF(AND(C1638&gt;0,D1638&lt;&gt;"",S1638=""),VLOOKUP(A1638&amp;IF(H1638="黑丝","黑","白")&amp;E1638,经纬!A:M,13,FALSE)*(I1638-AB1638),"")</f>
        <v/>
      </c>
      <c r="AA1638" s="340" t="str">
        <f>IF(AND(C1638&gt;0,D1638&lt;&gt;"",S1638=""),VLOOKUP(A1638&amp;IF(H1638="黑丝","黑","白")&amp;E1638,经纬!A:N,14,FALSE)*(I1638-AB1638),"")</f>
        <v/>
      </c>
    </row>
    <row r="1639" spans="13:27">
      <c r="M1639" s="24" t="str">
        <f t="array" ref="M1639">LEFT(L1639,MIN(FIND({"A","B","C"},MID(L1639,2,LEN(L1639))&amp;"ABC")))</f>
        <v/>
      </c>
      <c r="N1639" s="24" t="str">
        <f t="array" ref="N1639">SUBSTITUTE(L1639,M1639,"")</f>
        <v/>
      </c>
      <c r="X1639" s="258" t="str">
        <f t="shared" si="72"/>
        <v/>
      </c>
      <c r="Y1639" s="36" t="str">
        <f t="shared" si="71"/>
        <v/>
      </c>
      <c r="Z1639" s="340" t="str">
        <f>IF(AND(C1639&gt;0,D1639&lt;&gt;"",S1639=""),VLOOKUP(A1639&amp;IF(H1639="黑丝","黑","白")&amp;E1639,经纬!A:M,13,FALSE)*(I1639-AB1639),"")</f>
        <v/>
      </c>
      <c r="AA1639" s="340" t="str">
        <f>IF(AND(C1639&gt;0,D1639&lt;&gt;"",S1639=""),VLOOKUP(A1639&amp;IF(H1639="黑丝","黑","白")&amp;E1639,经纬!A:N,14,FALSE)*(I1639-AB1639),"")</f>
        <v/>
      </c>
    </row>
    <row r="1640" spans="13:27">
      <c r="M1640" s="24" t="str">
        <f t="array" ref="M1640">LEFT(L1640,MIN(FIND({"A","B","C"},MID(L1640,2,LEN(L1640))&amp;"ABC")))</f>
        <v/>
      </c>
      <c r="N1640" s="24" t="str">
        <f t="array" ref="N1640">SUBSTITUTE(L1640,M1640,"")</f>
        <v/>
      </c>
      <c r="X1640" s="258" t="str">
        <f t="shared" si="72"/>
        <v/>
      </c>
      <c r="Y1640" s="36" t="str">
        <f t="shared" si="71"/>
        <v/>
      </c>
      <c r="Z1640" s="340" t="str">
        <f>IF(AND(C1640&gt;0,D1640&lt;&gt;"",S1640=""),VLOOKUP(A1640&amp;IF(H1640="黑丝","黑","白")&amp;E1640,经纬!A:M,13,FALSE)*(I1640-AB1640),"")</f>
        <v/>
      </c>
      <c r="AA1640" s="340" t="str">
        <f>IF(AND(C1640&gt;0,D1640&lt;&gt;"",S1640=""),VLOOKUP(A1640&amp;IF(H1640="黑丝","黑","白")&amp;E1640,经纬!A:N,14,FALSE)*(I1640-AB1640),"")</f>
        <v/>
      </c>
    </row>
    <row r="1641" spans="13:27">
      <c r="M1641" s="24" t="str">
        <f t="array" ref="M1641">LEFT(L1641,MIN(FIND({"A","B","C"},MID(L1641,2,LEN(L1641))&amp;"ABC")))</f>
        <v/>
      </c>
      <c r="N1641" s="24" t="str">
        <f t="array" ref="N1641">SUBSTITUTE(L1641,M1641,"")</f>
        <v/>
      </c>
      <c r="X1641" s="258" t="str">
        <f t="shared" si="72"/>
        <v/>
      </c>
      <c r="Y1641" s="36" t="str">
        <f t="shared" ref="Y1641:Y1704" si="73">IF(OR(B1641="",D1641&lt;&gt;""),"",IF(S1641&lt;&gt;"","",I1641/((1/((G1641+2)/100*K1641/1000))*0.9144)/IF(H1641="黑丝",22,20)-AB1641))</f>
        <v/>
      </c>
      <c r="Z1641" s="340" t="str">
        <f>IF(AND(C1641&gt;0,D1641&lt;&gt;"",S1641=""),VLOOKUP(A1641&amp;IF(H1641="黑丝","黑","白")&amp;E1641,经纬!A:M,13,FALSE)*(I1641-AB1641),"")</f>
        <v/>
      </c>
      <c r="AA1641" s="340" t="str">
        <f>IF(AND(C1641&gt;0,D1641&lt;&gt;"",S1641=""),VLOOKUP(A1641&amp;IF(H1641="黑丝","黑","白")&amp;E1641,经纬!A:N,14,FALSE)*(I1641-AB1641),"")</f>
        <v/>
      </c>
    </row>
    <row r="1642" spans="13:27">
      <c r="M1642" s="24" t="str">
        <f t="array" ref="M1642">LEFT(L1642,MIN(FIND({"A","B","C"},MID(L1642,2,LEN(L1642))&amp;"ABC")))</f>
        <v/>
      </c>
      <c r="N1642" s="24" t="str">
        <f t="array" ref="N1642">SUBSTITUTE(L1642,M1642,"")</f>
        <v/>
      </c>
      <c r="X1642" s="258" t="str">
        <f t="shared" si="72"/>
        <v/>
      </c>
      <c r="Y1642" s="36" t="str">
        <f t="shared" si="73"/>
        <v/>
      </c>
      <c r="Z1642" s="340" t="str">
        <f>IF(AND(C1642&gt;0,D1642&lt;&gt;"",S1642=""),VLOOKUP(A1642&amp;IF(H1642="黑丝","黑","白")&amp;E1642,经纬!A:M,13,FALSE)*(I1642-AB1642),"")</f>
        <v/>
      </c>
      <c r="AA1642" s="340" t="str">
        <f>IF(AND(C1642&gt;0,D1642&lt;&gt;"",S1642=""),VLOOKUP(A1642&amp;IF(H1642="黑丝","黑","白")&amp;E1642,经纬!A:N,14,FALSE)*(I1642-AB1642),"")</f>
        <v/>
      </c>
    </row>
    <row r="1643" spans="13:27">
      <c r="M1643" s="24" t="str">
        <f t="array" ref="M1643">LEFT(L1643,MIN(FIND({"A","B","C"},MID(L1643,2,LEN(L1643))&amp;"ABC")))</f>
        <v/>
      </c>
      <c r="N1643" s="24" t="str">
        <f t="array" ref="N1643">SUBSTITUTE(L1643,M1643,"")</f>
        <v/>
      </c>
      <c r="X1643" s="258" t="str">
        <f t="shared" si="72"/>
        <v/>
      </c>
      <c r="Y1643" s="36" t="str">
        <f t="shared" si="73"/>
        <v/>
      </c>
      <c r="Z1643" s="340" t="str">
        <f>IF(AND(C1643&gt;0,D1643&lt;&gt;"",S1643=""),VLOOKUP(A1643&amp;IF(H1643="黑丝","黑","白")&amp;E1643,经纬!A:M,13,FALSE)*(I1643-AB1643),"")</f>
        <v/>
      </c>
      <c r="AA1643" s="340" t="str">
        <f>IF(AND(C1643&gt;0,D1643&lt;&gt;"",S1643=""),VLOOKUP(A1643&amp;IF(H1643="黑丝","黑","白")&amp;E1643,经纬!A:N,14,FALSE)*(I1643-AB1643),"")</f>
        <v/>
      </c>
    </row>
    <row r="1644" spans="13:27">
      <c r="M1644" s="24" t="str">
        <f t="array" ref="M1644">LEFT(L1644,MIN(FIND({"A","B","C"},MID(L1644,2,LEN(L1644))&amp;"ABC")))</f>
        <v/>
      </c>
      <c r="N1644" s="24" t="str">
        <f t="array" ref="N1644">SUBSTITUTE(L1644,M1644,"")</f>
        <v/>
      </c>
      <c r="X1644" s="258" t="str">
        <f t="shared" si="72"/>
        <v/>
      </c>
      <c r="Y1644" s="36" t="str">
        <f t="shared" si="73"/>
        <v/>
      </c>
      <c r="Z1644" s="340" t="str">
        <f>IF(AND(C1644&gt;0,D1644&lt;&gt;"",S1644=""),VLOOKUP(A1644&amp;IF(H1644="黑丝","黑","白")&amp;E1644,经纬!A:M,13,FALSE)*(I1644-AB1644),"")</f>
        <v/>
      </c>
      <c r="AA1644" s="340" t="str">
        <f>IF(AND(C1644&gt;0,D1644&lt;&gt;"",S1644=""),VLOOKUP(A1644&amp;IF(H1644="黑丝","黑","白")&amp;E1644,经纬!A:N,14,FALSE)*(I1644-AB1644),"")</f>
        <v/>
      </c>
    </row>
    <row r="1645" spans="13:27">
      <c r="M1645" s="24" t="str">
        <f t="array" ref="M1645">LEFT(L1645,MIN(FIND({"A","B","C"},MID(L1645,2,LEN(L1645))&amp;"ABC")))</f>
        <v/>
      </c>
      <c r="N1645" s="24" t="str">
        <f t="array" ref="N1645">SUBSTITUTE(L1645,M1645,"")</f>
        <v/>
      </c>
      <c r="X1645" s="258" t="str">
        <f t="shared" si="72"/>
        <v/>
      </c>
      <c r="Y1645" s="36" t="str">
        <f t="shared" si="73"/>
        <v/>
      </c>
      <c r="Z1645" s="340" t="str">
        <f>IF(AND(C1645&gt;0,D1645&lt;&gt;"",S1645=""),VLOOKUP(A1645&amp;IF(H1645="黑丝","黑","白")&amp;E1645,经纬!A:M,13,FALSE)*(I1645-AB1645),"")</f>
        <v/>
      </c>
      <c r="AA1645" s="340" t="str">
        <f>IF(AND(C1645&gt;0,D1645&lt;&gt;"",S1645=""),VLOOKUP(A1645&amp;IF(H1645="黑丝","黑","白")&amp;E1645,经纬!A:N,14,FALSE)*(I1645-AB1645),"")</f>
        <v/>
      </c>
    </row>
    <row r="1646" spans="13:27">
      <c r="M1646" s="24" t="str">
        <f t="array" ref="M1646">LEFT(L1646,MIN(FIND({"A","B","C"},MID(L1646,2,LEN(L1646))&amp;"ABC")))</f>
        <v/>
      </c>
      <c r="N1646" s="24" t="str">
        <f t="array" ref="N1646">SUBSTITUTE(L1646,M1646,"")</f>
        <v/>
      </c>
      <c r="X1646" s="258" t="str">
        <f t="shared" si="72"/>
        <v/>
      </c>
      <c r="Y1646" s="36" t="str">
        <f t="shared" si="73"/>
        <v/>
      </c>
      <c r="Z1646" s="340" t="str">
        <f>IF(AND(C1646&gt;0,D1646&lt;&gt;"",S1646=""),VLOOKUP(A1646&amp;IF(H1646="黑丝","黑","白")&amp;E1646,经纬!A:M,13,FALSE)*(I1646-AB1646),"")</f>
        <v/>
      </c>
      <c r="AA1646" s="340" t="str">
        <f>IF(AND(C1646&gt;0,D1646&lt;&gt;"",S1646=""),VLOOKUP(A1646&amp;IF(H1646="黑丝","黑","白")&amp;E1646,经纬!A:N,14,FALSE)*(I1646-AB1646),"")</f>
        <v/>
      </c>
    </row>
    <row r="1647" spans="13:27">
      <c r="M1647" s="24" t="str">
        <f t="array" ref="M1647">LEFT(L1647,MIN(FIND({"A","B","C"},MID(L1647,2,LEN(L1647))&amp;"ABC")))</f>
        <v/>
      </c>
      <c r="N1647" s="24" t="str">
        <f t="array" ref="N1647">SUBSTITUTE(L1647,M1647,"")</f>
        <v/>
      </c>
      <c r="X1647" s="258" t="str">
        <f t="shared" si="72"/>
        <v/>
      </c>
      <c r="Y1647" s="36" t="str">
        <f t="shared" si="73"/>
        <v/>
      </c>
      <c r="Z1647" s="340" t="str">
        <f>IF(AND(C1647&gt;0,D1647&lt;&gt;"",S1647=""),VLOOKUP(A1647&amp;IF(H1647="黑丝","黑","白")&amp;E1647,经纬!A:M,13,FALSE)*(I1647-AB1647),"")</f>
        <v/>
      </c>
      <c r="AA1647" s="340" t="str">
        <f>IF(AND(C1647&gt;0,D1647&lt;&gt;"",S1647=""),VLOOKUP(A1647&amp;IF(H1647="黑丝","黑","白")&amp;E1647,经纬!A:N,14,FALSE)*(I1647-AB1647),"")</f>
        <v/>
      </c>
    </row>
    <row r="1648" spans="13:27">
      <c r="M1648" s="24" t="str">
        <f t="array" ref="M1648">LEFT(L1648,MIN(FIND({"A","B","C"},MID(L1648,2,LEN(L1648))&amp;"ABC")))</f>
        <v/>
      </c>
      <c r="N1648" s="24" t="str">
        <f t="array" ref="N1648">SUBSTITUTE(L1648,M1648,"")</f>
        <v/>
      </c>
      <c r="X1648" s="258" t="str">
        <f t="shared" si="72"/>
        <v/>
      </c>
      <c r="Y1648" s="36" t="str">
        <f t="shared" si="73"/>
        <v/>
      </c>
      <c r="Z1648" s="340" t="str">
        <f>IF(AND(C1648&gt;0,D1648&lt;&gt;"",S1648=""),VLOOKUP(A1648&amp;IF(H1648="黑丝","黑","白")&amp;E1648,经纬!A:M,13,FALSE)*(I1648-AB1648),"")</f>
        <v/>
      </c>
      <c r="AA1648" s="340" t="str">
        <f>IF(AND(C1648&gt;0,D1648&lt;&gt;"",S1648=""),VLOOKUP(A1648&amp;IF(H1648="黑丝","黑","白")&amp;E1648,经纬!A:N,14,FALSE)*(I1648-AB1648),"")</f>
        <v/>
      </c>
    </row>
    <row r="1649" spans="13:27">
      <c r="M1649" s="24" t="str">
        <f t="array" ref="M1649">LEFT(L1649,MIN(FIND({"A","B","C"},MID(L1649,2,LEN(L1649))&amp;"ABC")))</f>
        <v/>
      </c>
      <c r="N1649" s="24" t="str">
        <f t="array" ref="N1649">SUBSTITUTE(L1649,M1649,"")</f>
        <v/>
      </c>
      <c r="X1649" s="258" t="str">
        <f t="shared" si="72"/>
        <v/>
      </c>
      <c r="Y1649" s="36" t="str">
        <f t="shared" si="73"/>
        <v/>
      </c>
      <c r="Z1649" s="340" t="str">
        <f>IF(AND(C1649&gt;0,D1649&lt;&gt;"",S1649=""),VLOOKUP(A1649&amp;IF(H1649="黑丝","黑","白")&amp;E1649,经纬!A:M,13,FALSE)*(I1649-AB1649),"")</f>
        <v/>
      </c>
      <c r="AA1649" s="340" t="str">
        <f>IF(AND(C1649&gt;0,D1649&lt;&gt;"",S1649=""),VLOOKUP(A1649&amp;IF(H1649="黑丝","黑","白")&amp;E1649,经纬!A:N,14,FALSE)*(I1649-AB1649),"")</f>
        <v/>
      </c>
    </row>
    <row r="1650" spans="13:27">
      <c r="M1650" s="24" t="str">
        <f t="array" ref="M1650">LEFT(L1650,MIN(FIND({"A","B","C"},MID(L1650,2,LEN(L1650))&amp;"ABC")))</f>
        <v/>
      </c>
      <c r="N1650" s="24" t="str">
        <f t="array" ref="N1650">SUBSTITUTE(L1650,M1650,"")</f>
        <v/>
      </c>
      <c r="X1650" s="258" t="str">
        <f t="shared" si="72"/>
        <v/>
      </c>
      <c r="Y1650" s="36" t="str">
        <f t="shared" si="73"/>
        <v/>
      </c>
      <c r="Z1650" s="340" t="str">
        <f>IF(AND(C1650&gt;0,D1650&lt;&gt;"",S1650=""),VLOOKUP(A1650&amp;IF(H1650="黑丝","黑","白")&amp;E1650,经纬!A:M,13,FALSE)*(I1650-AB1650),"")</f>
        <v/>
      </c>
      <c r="AA1650" s="340" t="str">
        <f>IF(AND(C1650&gt;0,D1650&lt;&gt;"",S1650=""),VLOOKUP(A1650&amp;IF(H1650="黑丝","黑","白")&amp;E1650,经纬!A:N,14,FALSE)*(I1650-AB1650),"")</f>
        <v/>
      </c>
    </row>
    <row r="1651" spans="13:27">
      <c r="M1651" s="24" t="str">
        <f t="array" ref="M1651">LEFT(L1651,MIN(FIND({"A","B","C"},MID(L1651,2,LEN(L1651))&amp;"ABC")))</f>
        <v/>
      </c>
      <c r="N1651" s="24" t="str">
        <f t="array" ref="N1651">SUBSTITUTE(L1651,M1651,"")</f>
        <v/>
      </c>
      <c r="X1651" s="258" t="str">
        <f t="shared" si="72"/>
        <v/>
      </c>
      <c r="Y1651" s="36" t="str">
        <f t="shared" si="73"/>
        <v/>
      </c>
      <c r="Z1651" s="340" t="str">
        <f>IF(AND(C1651&gt;0,D1651&lt;&gt;"",S1651=""),VLOOKUP(A1651&amp;IF(H1651="黑丝","黑","白")&amp;E1651,经纬!A:M,13,FALSE)*(I1651-AB1651),"")</f>
        <v/>
      </c>
      <c r="AA1651" s="340" t="str">
        <f>IF(AND(C1651&gt;0,D1651&lt;&gt;"",S1651=""),VLOOKUP(A1651&amp;IF(H1651="黑丝","黑","白")&amp;E1651,经纬!A:N,14,FALSE)*(I1651-AB1651),"")</f>
        <v/>
      </c>
    </row>
    <row r="1652" spans="13:27">
      <c r="M1652" s="24" t="str">
        <f t="array" ref="M1652">LEFT(L1652,MIN(FIND({"A","B","C"},MID(L1652,2,LEN(L1652))&amp;"ABC")))</f>
        <v/>
      </c>
      <c r="N1652" s="24" t="str">
        <f t="array" ref="N1652">SUBSTITUTE(L1652,M1652,"")</f>
        <v/>
      </c>
      <c r="X1652" s="258" t="str">
        <f t="shared" si="72"/>
        <v/>
      </c>
      <c r="Y1652" s="36" t="str">
        <f t="shared" si="73"/>
        <v/>
      </c>
      <c r="Z1652" s="340" t="str">
        <f>IF(AND(C1652&gt;0,D1652&lt;&gt;"",S1652=""),VLOOKUP(A1652&amp;IF(H1652="黑丝","黑","白")&amp;E1652,经纬!A:M,13,FALSE)*(I1652-AB1652),"")</f>
        <v/>
      </c>
      <c r="AA1652" s="340" t="str">
        <f>IF(AND(C1652&gt;0,D1652&lt;&gt;"",S1652=""),VLOOKUP(A1652&amp;IF(H1652="黑丝","黑","白")&amp;E1652,经纬!A:N,14,FALSE)*(I1652-AB1652),"")</f>
        <v/>
      </c>
    </row>
    <row r="1653" spans="13:27">
      <c r="M1653" s="24" t="str">
        <f t="array" ref="M1653">LEFT(L1653,MIN(FIND({"A","B","C"},MID(L1653,2,LEN(L1653))&amp;"ABC")))</f>
        <v/>
      </c>
      <c r="N1653" s="24" t="str">
        <f t="array" ref="N1653">SUBSTITUTE(L1653,M1653,"")</f>
        <v/>
      </c>
      <c r="X1653" s="258" t="str">
        <f t="shared" si="72"/>
        <v/>
      </c>
      <c r="Y1653" s="36" t="str">
        <f t="shared" si="73"/>
        <v/>
      </c>
      <c r="Z1653" s="340" t="str">
        <f>IF(AND(C1653&gt;0,D1653&lt;&gt;"",S1653=""),VLOOKUP(A1653&amp;IF(H1653="黑丝","黑","白")&amp;E1653,经纬!A:M,13,FALSE)*(I1653-AB1653),"")</f>
        <v/>
      </c>
      <c r="AA1653" s="340" t="str">
        <f>IF(AND(C1653&gt;0,D1653&lt;&gt;"",S1653=""),VLOOKUP(A1653&amp;IF(H1653="黑丝","黑","白")&amp;E1653,经纬!A:N,14,FALSE)*(I1653-AB1653),"")</f>
        <v/>
      </c>
    </row>
    <row r="1654" spans="13:27">
      <c r="M1654" s="24" t="str">
        <f t="array" ref="M1654">LEFT(L1654,MIN(FIND({"A","B","C"},MID(L1654,2,LEN(L1654))&amp;"ABC")))</f>
        <v/>
      </c>
      <c r="N1654" s="24" t="str">
        <f t="array" ref="N1654">SUBSTITUTE(L1654,M1654,"")</f>
        <v/>
      </c>
      <c r="X1654" s="258" t="str">
        <f t="shared" si="72"/>
        <v/>
      </c>
      <c r="Y1654" s="36" t="str">
        <f t="shared" si="73"/>
        <v/>
      </c>
      <c r="Z1654" s="340" t="str">
        <f>IF(AND(C1654&gt;0,D1654&lt;&gt;"",S1654=""),VLOOKUP(A1654&amp;IF(H1654="黑丝","黑","白")&amp;E1654,经纬!A:M,13,FALSE)*(I1654-AB1654),"")</f>
        <v/>
      </c>
      <c r="AA1654" s="340" t="str">
        <f>IF(AND(C1654&gt;0,D1654&lt;&gt;"",S1654=""),VLOOKUP(A1654&amp;IF(H1654="黑丝","黑","白")&amp;E1654,经纬!A:N,14,FALSE)*(I1654-AB1654),"")</f>
        <v/>
      </c>
    </row>
    <row r="1655" spans="13:27">
      <c r="M1655" s="24" t="str">
        <f t="array" ref="M1655">LEFT(L1655,MIN(FIND({"A","B","C"},MID(L1655,2,LEN(L1655))&amp;"ABC")))</f>
        <v/>
      </c>
      <c r="N1655" s="24" t="str">
        <f t="array" ref="N1655">SUBSTITUTE(L1655,M1655,"")</f>
        <v/>
      </c>
      <c r="X1655" s="258" t="str">
        <f t="shared" si="72"/>
        <v/>
      </c>
      <c r="Y1655" s="36" t="str">
        <f t="shared" si="73"/>
        <v/>
      </c>
      <c r="Z1655" s="340" t="str">
        <f>IF(AND(C1655&gt;0,D1655&lt;&gt;"",S1655=""),VLOOKUP(A1655&amp;IF(H1655="黑丝","黑","白")&amp;E1655,经纬!A:M,13,FALSE)*(I1655-AB1655),"")</f>
        <v/>
      </c>
      <c r="AA1655" s="340" t="str">
        <f>IF(AND(C1655&gt;0,D1655&lt;&gt;"",S1655=""),VLOOKUP(A1655&amp;IF(H1655="黑丝","黑","白")&amp;E1655,经纬!A:N,14,FALSE)*(I1655-AB1655),"")</f>
        <v/>
      </c>
    </row>
    <row r="1656" spans="13:27">
      <c r="M1656" s="24" t="str">
        <f t="array" ref="M1656">LEFT(L1656,MIN(FIND({"A","B","C"},MID(L1656,2,LEN(L1656))&amp;"ABC")))</f>
        <v/>
      </c>
      <c r="N1656" s="24" t="str">
        <f t="array" ref="N1656">SUBSTITUTE(L1656,M1656,"")</f>
        <v/>
      </c>
      <c r="X1656" s="258" t="str">
        <f t="shared" si="72"/>
        <v/>
      </c>
      <c r="Y1656" s="36" t="str">
        <f t="shared" si="73"/>
        <v/>
      </c>
      <c r="Z1656" s="340" t="str">
        <f>IF(AND(C1656&gt;0,D1656&lt;&gt;"",S1656=""),VLOOKUP(A1656&amp;IF(H1656="黑丝","黑","白")&amp;E1656,经纬!A:M,13,FALSE)*(I1656-AB1656),"")</f>
        <v/>
      </c>
      <c r="AA1656" s="340" t="str">
        <f>IF(AND(C1656&gt;0,D1656&lt;&gt;"",S1656=""),VLOOKUP(A1656&amp;IF(H1656="黑丝","黑","白")&amp;E1656,经纬!A:N,14,FALSE)*(I1656-AB1656),"")</f>
        <v/>
      </c>
    </row>
    <row r="1657" spans="13:27">
      <c r="M1657" s="24" t="str">
        <f t="array" ref="M1657">LEFT(L1657,MIN(FIND({"A","B","C"},MID(L1657,2,LEN(L1657))&amp;"ABC")))</f>
        <v/>
      </c>
      <c r="N1657" s="24" t="str">
        <f t="array" ref="N1657">SUBSTITUTE(L1657,M1657,"")</f>
        <v/>
      </c>
      <c r="X1657" s="258" t="str">
        <f t="shared" si="72"/>
        <v/>
      </c>
      <c r="Y1657" s="36" t="str">
        <f t="shared" si="73"/>
        <v/>
      </c>
      <c r="Z1657" s="340" t="str">
        <f>IF(AND(C1657&gt;0,D1657&lt;&gt;"",S1657=""),VLOOKUP(A1657&amp;IF(H1657="黑丝","黑","白")&amp;E1657,经纬!A:M,13,FALSE)*(I1657-AB1657),"")</f>
        <v/>
      </c>
      <c r="AA1657" s="340" t="str">
        <f>IF(AND(C1657&gt;0,D1657&lt;&gt;"",S1657=""),VLOOKUP(A1657&amp;IF(H1657="黑丝","黑","白")&amp;E1657,经纬!A:N,14,FALSE)*(I1657-AB1657),"")</f>
        <v/>
      </c>
    </row>
    <row r="1658" spans="13:27">
      <c r="M1658" s="24" t="str">
        <f t="array" ref="M1658">LEFT(L1658,MIN(FIND({"A","B","C"},MID(L1658,2,LEN(L1658))&amp;"ABC")))</f>
        <v/>
      </c>
      <c r="N1658" s="24" t="str">
        <f t="array" ref="N1658">SUBSTITUTE(L1658,M1658,"")</f>
        <v/>
      </c>
      <c r="X1658" s="258" t="str">
        <f t="shared" si="72"/>
        <v/>
      </c>
      <c r="Y1658" s="36" t="str">
        <f t="shared" si="73"/>
        <v/>
      </c>
      <c r="Z1658" s="340" t="str">
        <f>IF(AND(C1658&gt;0,D1658&lt;&gt;"",S1658=""),VLOOKUP(A1658&amp;IF(H1658="黑丝","黑","白")&amp;E1658,经纬!A:M,13,FALSE)*(I1658-AB1658),"")</f>
        <v/>
      </c>
      <c r="AA1658" s="340" t="str">
        <f>IF(AND(C1658&gt;0,D1658&lt;&gt;"",S1658=""),VLOOKUP(A1658&amp;IF(H1658="黑丝","黑","白")&amp;E1658,经纬!A:N,14,FALSE)*(I1658-AB1658),"")</f>
        <v/>
      </c>
    </row>
    <row r="1659" spans="13:27">
      <c r="M1659" s="24" t="str">
        <f t="array" ref="M1659">LEFT(L1659,MIN(FIND({"A","B","C"},MID(L1659,2,LEN(L1659))&amp;"ABC")))</f>
        <v/>
      </c>
      <c r="N1659" s="24" t="str">
        <f t="array" ref="N1659">SUBSTITUTE(L1659,M1659,"")</f>
        <v/>
      </c>
      <c r="X1659" s="258" t="str">
        <f t="shared" si="72"/>
        <v/>
      </c>
      <c r="Y1659" s="36" t="str">
        <f t="shared" si="73"/>
        <v/>
      </c>
      <c r="Z1659" s="340" t="str">
        <f>IF(AND(C1659&gt;0,D1659&lt;&gt;"",S1659=""),VLOOKUP(A1659&amp;IF(H1659="黑丝","黑","白")&amp;E1659,经纬!A:M,13,FALSE)*(I1659-AB1659),"")</f>
        <v/>
      </c>
      <c r="AA1659" s="340" t="str">
        <f>IF(AND(C1659&gt;0,D1659&lt;&gt;"",S1659=""),VLOOKUP(A1659&amp;IF(H1659="黑丝","黑","白")&amp;E1659,经纬!A:N,14,FALSE)*(I1659-AB1659),"")</f>
        <v/>
      </c>
    </row>
    <row r="1660" spans="13:27">
      <c r="M1660" s="24" t="str">
        <f t="array" ref="M1660">LEFT(L1660,MIN(FIND({"A","B","C"},MID(L1660,2,LEN(L1660))&amp;"ABC")))</f>
        <v/>
      </c>
      <c r="N1660" s="24" t="str">
        <f t="array" ref="N1660">SUBSTITUTE(L1660,M1660,"")</f>
        <v/>
      </c>
      <c r="X1660" s="258" t="str">
        <f t="shared" si="72"/>
        <v/>
      </c>
      <c r="Y1660" s="36" t="str">
        <f t="shared" si="73"/>
        <v/>
      </c>
      <c r="Z1660" s="340" t="str">
        <f>IF(AND(C1660&gt;0,D1660&lt;&gt;"",S1660=""),VLOOKUP(A1660&amp;IF(H1660="黑丝","黑","白")&amp;E1660,经纬!A:M,13,FALSE)*(I1660-AB1660),"")</f>
        <v/>
      </c>
      <c r="AA1660" s="340" t="str">
        <f>IF(AND(C1660&gt;0,D1660&lt;&gt;"",S1660=""),VLOOKUP(A1660&amp;IF(H1660="黑丝","黑","白")&amp;E1660,经纬!A:N,14,FALSE)*(I1660-AB1660),"")</f>
        <v/>
      </c>
    </row>
    <row r="1661" spans="13:27">
      <c r="M1661" s="24" t="str">
        <f t="array" ref="M1661">LEFT(L1661,MIN(FIND({"A","B","C"},MID(L1661,2,LEN(L1661))&amp;"ABC")))</f>
        <v/>
      </c>
      <c r="N1661" s="24" t="str">
        <f t="array" ref="N1661">SUBSTITUTE(L1661,M1661,"")</f>
        <v/>
      </c>
      <c r="X1661" s="258" t="str">
        <f t="shared" si="72"/>
        <v/>
      </c>
      <c r="Y1661" s="36" t="str">
        <f t="shared" si="73"/>
        <v/>
      </c>
      <c r="Z1661" s="340" t="str">
        <f>IF(AND(C1661&gt;0,D1661&lt;&gt;"",S1661=""),VLOOKUP(A1661&amp;IF(H1661="黑丝","黑","白")&amp;E1661,经纬!A:M,13,FALSE)*(I1661-AB1661),"")</f>
        <v/>
      </c>
      <c r="AA1661" s="340" t="str">
        <f>IF(AND(C1661&gt;0,D1661&lt;&gt;"",S1661=""),VLOOKUP(A1661&amp;IF(H1661="黑丝","黑","白")&amp;E1661,经纬!A:N,14,FALSE)*(I1661-AB1661),"")</f>
        <v/>
      </c>
    </row>
    <row r="1662" spans="13:27">
      <c r="M1662" s="24" t="str">
        <f t="array" ref="M1662">LEFT(L1662,MIN(FIND({"A","B","C"},MID(L1662,2,LEN(L1662))&amp;"ABC")))</f>
        <v/>
      </c>
      <c r="N1662" s="24" t="str">
        <f t="array" ref="N1662">SUBSTITUTE(L1662,M1662,"")</f>
        <v/>
      </c>
      <c r="X1662" s="258" t="str">
        <f t="shared" si="72"/>
        <v/>
      </c>
      <c r="Y1662" s="36" t="str">
        <f t="shared" si="73"/>
        <v/>
      </c>
      <c r="Z1662" s="340" t="str">
        <f>IF(AND(C1662&gt;0,D1662&lt;&gt;"",S1662=""),VLOOKUP(A1662&amp;IF(H1662="黑丝","黑","白")&amp;E1662,经纬!A:M,13,FALSE)*(I1662-AB1662),"")</f>
        <v/>
      </c>
      <c r="AA1662" s="340" t="str">
        <f>IF(AND(C1662&gt;0,D1662&lt;&gt;"",S1662=""),VLOOKUP(A1662&amp;IF(H1662="黑丝","黑","白")&amp;E1662,经纬!A:N,14,FALSE)*(I1662-AB1662),"")</f>
        <v/>
      </c>
    </row>
    <row r="1663" spans="13:27">
      <c r="M1663" s="24" t="str">
        <f t="array" ref="M1663">LEFT(L1663,MIN(FIND({"A","B","C"},MID(L1663,2,LEN(L1663))&amp;"ABC")))</f>
        <v/>
      </c>
      <c r="N1663" s="24" t="str">
        <f t="array" ref="N1663">SUBSTITUTE(L1663,M1663,"")</f>
        <v/>
      </c>
      <c r="X1663" s="258" t="str">
        <f t="shared" si="72"/>
        <v/>
      </c>
      <c r="Y1663" s="36" t="str">
        <f t="shared" si="73"/>
        <v/>
      </c>
      <c r="Z1663" s="340" t="str">
        <f>IF(AND(C1663&gt;0,D1663&lt;&gt;"",S1663=""),VLOOKUP(A1663&amp;IF(H1663="黑丝","黑","白")&amp;E1663,经纬!A:M,13,FALSE)*(I1663-AB1663),"")</f>
        <v/>
      </c>
      <c r="AA1663" s="340" t="str">
        <f>IF(AND(C1663&gt;0,D1663&lt;&gt;"",S1663=""),VLOOKUP(A1663&amp;IF(H1663="黑丝","黑","白")&amp;E1663,经纬!A:N,14,FALSE)*(I1663-AB1663),"")</f>
        <v/>
      </c>
    </row>
    <row r="1664" spans="13:27">
      <c r="M1664" s="24" t="str">
        <f t="array" ref="M1664">LEFT(L1664,MIN(FIND({"A","B","C"},MID(L1664,2,LEN(L1664))&amp;"ABC")))</f>
        <v/>
      </c>
      <c r="N1664" s="24" t="str">
        <f t="array" ref="N1664">SUBSTITUTE(L1664,M1664,"")</f>
        <v/>
      </c>
      <c r="X1664" s="258" t="str">
        <f t="shared" si="72"/>
        <v/>
      </c>
      <c r="Y1664" s="36" t="str">
        <f t="shared" si="73"/>
        <v/>
      </c>
      <c r="Z1664" s="340" t="str">
        <f>IF(AND(C1664&gt;0,D1664&lt;&gt;"",S1664=""),VLOOKUP(A1664&amp;IF(H1664="黑丝","黑","白")&amp;E1664,经纬!A:M,13,FALSE)*(I1664-AB1664),"")</f>
        <v/>
      </c>
      <c r="AA1664" s="340" t="str">
        <f>IF(AND(C1664&gt;0,D1664&lt;&gt;"",S1664=""),VLOOKUP(A1664&amp;IF(H1664="黑丝","黑","白")&amp;E1664,经纬!A:N,14,FALSE)*(I1664-AB1664),"")</f>
        <v/>
      </c>
    </row>
    <row r="1665" spans="13:27">
      <c r="M1665" s="24" t="str">
        <f t="array" ref="M1665">LEFT(L1665,MIN(FIND({"A","B","C"},MID(L1665,2,LEN(L1665))&amp;"ABC")))</f>
        <v/>
      </c>
      <c r="N1665" s="24" t="str">
        <f t="array" ref="N1665">SUBSTITUTE(L1665,M1665,"")</f>
        <v/>
      </c>
      <c r="X1665" s="258" t="str">
        <f t="shared" si="72"/>
        <v/>
      </c>
      <c r="Y1665" s="36" t="str">
        <f t="shared" si="73"/>
        <v/>
      </c>
      <c r="Z1665" s="340" t="str">
        <f>IF(AND(C1665&gt;0,D1665&lt;&gt;"",S1665=""),VLOOKUP(A1665&amp;IF(H1665="黑丝","黑","白")&amp;E1665,经纬!A:M,13,FALSE)*(I1665-AB1665),"")</f>
        <v/>
      </c>
      <c r="AA1665" s="340" t="str">
        <f>IF(AND(C1665&gt;0,D1665&lt;&gt;"",S1665=""),VLOOKUP(A1665&amp;IF(H1665="黑丝","黑","白")&amp;E1665,经纬!A:N,14,FALSE)*(I1665-AB1665),"")</f>
        <v/>
      </c>
    </row>
    <row r="1666" spans="13:27">
      <c r="M1666" s="24" t="str">
        <f t="array" ref="M1666">LEFT(L1666,MIN(FIND({"A","B","C"},MID(L1666,2,LEN(L1666))&amp;"ABC")))</f>
        <v/>
      </c>
      <c r="N1666" s="24" t="str">
        <f t="array" ref="N1666">SUBSTITUTE(L1666,M1666,"")</f>
        <v/>
      </c>
      <c r="X1666" s="258" t="str">
        <f t="shared" si="72"/>
        <v/>
      </c>
      <c r="Y1666" s="36" t="str">
        <f t="shared" si="73"/>
        <v/>
      </c>
      <c r="Z1666" s="340" t="str">
        <f>IF(AND(C1666&gt;0,D1666&lt;&gt;"",S1666=""),VLOOKUP(A1666&amp;IF(H1666="黑丝","黑","白")&amp;E1666,经纬!A:M,13,FALSE)*(I1666-AB1666),"")</f>
        <v/>
      </c>
      <c r="AA1666" s="340" t="str">
        <f>IF(AND(C1666&gt;0,D1666&lt;&gt;"",S1666=""),VLOOKUP(A1666&amp;IF(H1666="黑丝","黑","白")&amp;E1666,经纬!A:N,14,FALSE)*(I1666-AB1666),"")</f>
        <v/>
      </c>
    </row>
    <row r="1667" spans="13:27">
      <c r="M1667" s="24" t="str">
        <f t="array" ref="M1667">LEFT(L1667,MIN(FIND({"A","B","C"},MID(L1667,2,LEN(L1667))&amp;"ABC")))</f>
        <v/>
      </c>
      <c r="N1667" s="24" t="str">
        <f t="array" ref="N1667">SUBSTITUTE(L1667,M1667,"")</f>
        <v/>
      </c>
      <c r="X1667" s="258" t="str">
        <f t="shared" si="72"/>
        <v/>
      </c>
      <c r="Y1667" s="36" t="str">
        <f t="shared" si="73"/>
        <v/>
      </c>
      <c r="Z1667" s="340" t="str">
        <f>IF(AND(C1667&gt;0,D1667&lt;&gt;"",S1667=""),VLOOKUP(A1667&amp;IF(H1667="黑丝","黑","白")&amp;E1667,经纬!A:M,13,FALSE)*(I1667-AB1667),"")</f>
        <v/>
      </c>
      <c r="AA1667" s="340" t="str">
        <f>IF(AND(C1667&gt;0,D1667&lt;&gt;"",S1667=""),VLOOKUP(A1667&amp;IF(H1667="黑丝","黑","白")&amp;E1667,经纬!A:N,14,FALSE)*(I1667-AB1667),"")</f>
        <v/>
      </c>
    </row>
    <row r="1668" spans="13:27">
      <c r="M1668" s="24" t="str">
        <f t="array" ref="M1668">LEFT(L1668,MIN(FIND({"A","B","C"},MID(L1668,2,LEN(L1668))&amp;"ABC")))</f>
        <v/>
      </c>
      <c r="N1668" s="24" t="str">
        <f t="array" ref="N1668">SUBSTITUTE(L1668,M1668,"")</f>
        <v/>
      </c>
      <c r="X1668" s="258" t="str">
        <f t="shared" si="72"/>
        <v/>
      </c>
      <c r="Y1668" s="36" t="str">
        <f t="shared" si="73"/>
        <v/>
      </c>
      <c r="Z1668" s="340" t="str">
        <f>IF(AND(C1668&gt;0,D1668&lt;&gt;"",S1668=""),VLOOKUP(A1668&amp;IF(H1668="黑丝","黑","白")&amp;E1668,经纬!A:M,13,FALSE)*(I1668-AB1668),"")</f>
        <v/>
      </c>
      <c r="AA1668" s="340" t="str">
        <f>IF(AND(C1668&gt;0,D1668&lt;&gt;"",S1668=""),VLOOKUP(A1668&amp;IF(H1668="黑丝","黑","白")&amp;E1668,经纬!A:N,14,FALSE)*(I1668-AB1668),"")</f>
        <v/>
      </c>
    </row>
    <row r="1669" spans="13:27">
      <c r="M1669" s="24" t="str">
        <f t="array" ref="M1669">LEFT(L1669,MIN(FIND({"A","B","C"},MID(L1669,2,LEN(L1669))&amp;"ABC")))</f>
        <v/>
      </c>
      <c r="N1669" s="24" t="str">
        <f t="array" ref="N1669">SUBSTITUTE(L1669,M1669,"")</f>
        <v/>
      </c>
      <c r="X1669" s="258" t="str">
        <f t="shared" si="72"/>
        <v/>
      </c>
      <c r="Y1669" s="36" t="str">
        <f t="shared" si="73"/>
        <v/>
      </c>
      <c r="Z1669" s="340" t="str">
        <f>IF(AND(C1669&gt;0,D1669&lt;&gt;"",S1669=""),VLOOKUP(A1669&amp;IF(H1669="黑丝","黑","白")&amp;E1669,经纬!A:M,13,FALSE)*(I1669-AB1669),"")</f>
        <v/>
      </c>
      <c r="AA1669" s="340" t="str">
        <f>IF(AND(C1669&gt;0,D1669&lt;&gt;"",S1669=""),VLOOKUP(A1669&amp;IF(H1669="黑丝","黑","白")&amp;E1669,经纬!A:N,14,FALSE)*(I1669-AB1669),"")</f>
        <v/>
      </c>
    </row>
    <row r="1670" spans="13:27">
      <c r="M1670" s="24" t="str">
        <f t="array" ref="M1670">LEFT(L1670,MIN(FIND({"A","B","C"},MID(L1670,2,LEN(L1670))&amp;"ABC")))</f>
        <v/>
      </c>
      <c r="N1670" s="24" t="str">
        <f t="array" ref="N1670">SUBSTITUTE(L1670,M1670,"")</f>
        <v/>
      </c>
      <c r="X1670" s="258" t="str">
        <f t="shared" si="72"/>
        <v/>
      </c>
      <c r="Y1670" s="36" t="str">
        <f t="shared" si="73"/>
        <v/>
      </c>
      <c r="Z1670" s="340" t="str">
        <f>IF(AND(C1670&gt;0,D1670&lt;&gt;"",S1670=""),VLOOKUP(A1670&amp;IF(H1670="黑丝","黑","白")&amp;E1670,经纬!A:M,13,FALSE)*(I1670-AB1670),"")</f>
        <v/>
      </c>
      <c r="AA1670" s="340" t="str">
        <f>IF(AND(C1670&gt;0,D1670&lt;&gt;"",S1670=""),VLOOKUP(A1670&amp;IF(H1670="黑丝","黑","白")&amp;E1670,经纬!A:N,14,FALSE)*(I1670-AB1670),"")</f>
        <v/>
      </c>
    </row>
    <row r="1671" spans="13:27">
      <c r="M1671" s="24" t="str">
        <f t="array" ref="M1671">LEFT(L1671,MIN(FIND({"A","B","C"},MID(L1671,2,LEN(L1671))&amp;"ABC")))</f>
        <v/>
      </c>
      <c r="N1671" s="24" t="str">
        <f t="array" ref="N1671">SUBSTITUTE(L1671,M1671,"")</f>
        <v/>
      </c>
      <c r="X1671" s="258" t="str">
        <f t="shared" si="72"/>
        <v/>
      </c>
      <c r="Y1671" s="36" t="str">
        <f t="shared" si="73"/>
        <v/>
      </c>
      <c r="Z1671" s="340" t="str">
        <f>IF(AND(C1671&gt;0,D1671&lt;&gt;"",S1671=""),VLOOKUP(A1671&amp;IF(H1671="黑丝","黑","白")&amp;E1671,经纬!A:M,13,FALSE)*(I1671-AB1671),"")</f>
        <v/>
      </c>
      <c r="AA1671" s="340" t="str">
        <f>IF(AND(C1671&gt;0,D1671&lt;&gt;"",S1671=""),VLOOKUP(A1671&amp;IF(H1671="黑丝","黑","白")&amp;E1671,经纬!A:N,14,FALSE)*(I1671-AB1671),"")</f>
        <v/>
      </c>
    </row>
    <row r="1672" spans="13:27">
      <c r="M1672" s="24" t="str">
        <f t="array" ref="M1672">LEFT(L1672,MIN(FIND({"A","B","C"},MID(L1672,2,LEN(L1672))&amp;"ABC")))</f>
        <v/>
      </c>
      <c r="N1672" s="24" t="str">
        <f t="array" ref="N1672">SUBSTITUTE(L1672,M1672,"")</f>
        <v/>
      </c>
      <c r="X1672" s="258" t="str">
        <f t="shared" si="72"/>
        <v/>
      </c>
      <c r="Y1672" s="36" t="str">
        <f t="shared" si="73"/>
        <v/>
      </c>
      <c r="Z1672" s="340" t="str">
        <f>IF(AND(C1672&gt;0,D1672&lt;&gt;"",S1672=""),VLOOKUP(A1672&amp;IF(H1672="黑丝","黑","白")&amp;E1672,经纬!A:M,13,FALSE)*(I1672-AB1672),"")</f>
        <v/>
      </c>
      <c r="AA1672" s="340" t="str">
        <f>IF(AND(C1672&gt;0,D1672&lt;&gt;"",S1672=""),VLOOKUP(A1672&amp;IF(H1672="黑丝","黑","白")&amp;E1672,经纬!A:N,14,FALSE)*(I1672-AB1672),"")</f>
        <v/>
      </c>
    </row>
    <row r="1673" spans="13:27">
      <c r="M1673" s="24" t="str">
        <f t="array" ref="M1673">LEFT(L1673,MIN(FIND({"A","B","C"},MID(L1673,2,LEN(L1673))&amp;"ABC")))</f>
        <v/>
      </c>
      <c r="N1673" s="24" t="str">
        <f t="array" ref="N1673">SUBSTITUTE(L1673,M1673,"")</f>
        <v/>
      </c>
      <c r="X1673" s="258" t="str">
        <f t="shared" si="72"/>
        <v/>
      </c>
      <c r="Y1673" s="36" t="str">
        <f t="shared" si="73"/>
        <v/>
      </c>
      <c r="Z1673" s="340" t="str">
        <f>IF(AND(C1673&gt;0,D1673&lt;&gt;"",S1673=""),VLOOKUP(A1673&amp;IF(H1673="黑丝","黑","白")&amp;E1673,经纬!A:M,13,FALSE)*(I1673-AB1673),"")</f>
        <v/>
      </c>
      <c r="AA1673" s="340" t="str">
        <f>IF(AND(C1673&gt;0,D1673&lt;&gt;"",S1673=""),VLOOKUP(A1673&amp;IF(H1673="黑丝","黑","白")&amp;E1673,经纬!A:N,14,FALSE)*(I1673-AB1673),"")</f>
        <v/>
      </c>
    </row>
    <row r="1674" spans="13:27">
      <c r="M1674" s="24" t="str">
        <f t="array" ref="M1674">LEFT(L1674,MIN(FIND({"A","B","C"},MID(L1674,2,LEN(L1674))&amp;"ABC")))</f>
        <v/>
      </c>
      <c r="N1674" s="24" t="str">
        <f t="array" ref="N1674">SUBSTITUTE(L1674,M1674,"")</f>
        <v/>
      </c>
      <c r="X1674" s="258" t="str">
        <f t="shared" si="72"/>
        <v/>
      </c>
      <c r="Y1674" s="36" t="str">
        <f t="shared" si="73"/>
        <v/>
      </c>
      <c r="Z1674" s="340" t="str">
        <f>IF(AND(C1674&gt;0,D1674&lt;&gt;"",S1674=""),VLOOKUP(A1674&amp;IF(H1674="黑丝","黑","白")&amp;E1674,经纬!A:M,13,FALSE)*(I1674-AB1674),"")</f>
        <v/>
      </c>
      <c r="AA1674" s="340" t="str">
        <f>IF(AND(C1674&gt;0,D1674&lt;&gt;"",S1674=""),VLOOKUP(A1674&amp;IF(H1674="黑丝","黑","白")&amp;E1674,经纬!A:N,14,FALSE)*(I1674-AB1674),"")</f>
        <v/>
      </c>
    </row>
    <row r="1675" spans="13:27">
      <c r="M1675" s="24" t="str">
        <f t="array" ref="M1675">LEFT(L1675,MIN(FIND({"A","B","C"},MID(L1675,2,LEN(L1675))&amp;"ABC")))</f>
        <v/>
      </c>
      <c r="N1675" s="24" t="str">
        <f t="array" ref="N1675">SUBSTITUTE(L1675,M1675,"")</f>
        <v/>
      </c>
      <c r="X1675" s="258" t="str">
        <f t="shared" si="72"/>
        <v/>
      </c>
      <c r="Y1675" s="36" t="str">
        <f t="shared" si="73"/>
        <v/>
      </c>
      <c r="Z1675" s="340" t="str">
        <f>IF(AND(C1675&gt;0,D1675&lt;&gt;"",S1675=""),VLOOKUP(A1675&amp;IF(H1675="黑丝","黑","白")&amp;E1675,经纬!A:M,13,FALSE)*(I1675-AB1675),"")</f>
        <v/>
      </c>
      <c r="AA1675" s="340" t="str">
        <f>IF(AND(C1675&gt;0,D1675&lt;&gt;"",S1675=""),VLOOKUP(A1675&amp;IF(H1675="黑丝","黑","白")&amp;E1675,经纬!A:N,14,FALSE)*(I1675-AB1675),"")</f>
        <v/>
      </c>
    </row>
    <row r="1676" spans="13:27">
      <c r="M1676" s="24" t="str">
        <f t="array" ref="M1676">LEFT(L1676,MIN(FIND({"A","B","C"},MID(L1676,2,LEN(L1676))&amp;"ABC")))</f>
        <v/>
      </c>
      <c r="N1676" s="24" t="str">
        <f t="array" ref="N1676">SUBSTITUTE(L1676,M1676,"")</f>
        <v/>
      </c>
      <c r="X1676" s="258" t="str">
        <f t="shared" si="72"/>
        <v/>
      </c>
      <c r="Y1676" s="36" t="str">
        <f t="shared" si="73"/>
        <v/>
      </c>
      <c r="Z1676" s="340" t="str">
        <f>IF(AND(C1676&gt;0,D1676&lt;&gt;"",S1676=""),VLOOKUP(A1676&amp;IF(H1676="黑丝","黑","白")&amp;E1676,经纬!A:M,13,FALSE)*(I1676-AB1676),"")</f>
        <v/>
      </c>
      <c r="AA1676" s="340" t="str">
        <f>IF(AND(C1676&gt;0,D1676&lt;&gt;"",S1676=""),VLOOKUP(A1676&amp;IF(H1676="黑丝","黑","白")&amp;E1676,经纬!A:N,14,FALSE)*(I1676-AB1676),"")</f>
        <v/>
      </c>
    </row>
    <row r="1677" spans="13:27">
      <c r="M1677" s="24" t="str">
        <f t="array" ref="M1677">LEFT(L1677,MIN(FIND({"A","B","C"},MID(L1677,2,LEN(L1677))&amp;"ABC")))</f>
        <v/>
      </c>
      <c r="N1677" s="24" t="str">
        <f t="array" ref="N1677">SUBSTITUTE(L1677,M1677,"")</f>
        <v/>
      </c>
      <c r="X1677" s="258" t="str">
        <f t="shared" si="72"/>
        <v/>
      </c>
      <c r="Y1677" s="36" t="str">
        <f t="shared" si="73"/>
        <v/>
      </c>
      <c r="Z1677" s="340" t="str">
        <f>IF(AND(C1677&gt;0,D1677&lt;&gt;"",S1677=""),VLOOKUP(A1677&amp;IF(H1677="黑丝","黑","白")&amp;E1677,经纬!A:M,13,FALSE)*(I1677-AB1677),"")</f>
        <v/>
      </c>
      <c r="AA1677" s="340" t="str">
        <f>IF(AND(C1677&gt;0,D1677&lt;&gt;"",S1677=""),VLOOKUP(A1677&amp;IF(H1677="黑丝","黑","白")&amp;E1677,经纬!A:N,14,FALSE)*(I1677-AB1677),"")</f>
        <v/>
      </c>
    </row>
    <row r="1678" spans="13:27">
      <c r="M1678" s="24" t="str">
        <f t="array" ref="M1678">LEFT(L1678,MIN(FIND({"A","B","C"},MID(L1678,2,LEN(L1678))&amp;"ABC")))</f>
        <v/>
      </c>
      <c r="N1678" s="24" t="str">
        <f t="array" ref="N1678">SUBSTITUTE(L1678,M1678,"")</f>
        <v/>
      </c>
      <c r="X1678" s="258" t="str">
        <f t="shared" si="72"/>
        <v/>
      </c>
      <c r="Y1678" s="36" t="str">
        <f t="shared" si="73"/>
        <v/>
      </c>
      <c r="Z1678" s="340" t="str">
        <f>IF(AND(C1678&gt;0,D1678&lt;&gt;"",S1678=""),VLOOKUP(A1678&amp;IF(H1678="黑丝","黑","白")&amp;E1678,经纬!A:M,13,FALSE)*(I1678-AB1678),"")</f>
        <v/>
      </c>
      <c r="AA1678" s="340" t="str">
        <f>IF(AND(C1678&gt;0,D1678&lt;&gt;"",S1678=""),VLOOKUP(A1678&amp;IF(H1678="黑丝","黑","白")&amp;E1678,经纬!A:N,14,FALSE)*(I1678-AB1678),"")</f>
        <v/>
      </c>
    </row>
    <row r="1679" spans="13:27">
      <c r="M1679" s="24" t="str">
        <f t="array" ref="M1679">LEFT(L1679,MIN(FIND({"A","B","C"},MID(L1679,2,LEN(L1679))&amp;"ABC")))</f>
        <v/>
      </c>
      <c r="N1679" s="24" t="str">
        <f t="array" ref="N1679">SUBSTITUTE(L1679,M1679,"")</f>
        <v/>
      </c>
      <c r="X1679" s="258" t="str">
        <f t="shared" si="72"/>
        <v/>
      </c>
      <c r="Y1679" s="36" t="str">
        <f t="shared" si="73"/>
        <v/>
      </c>
      <c r="Z1679" s="340" t="str">
        <f>IF(AND(C1679&gt;0,D1679&lt;&gt;"",S1679=""),VLOOKUP(A1679&amp;IF(H1679="黑丝","黑","白")&amp;E1679,经纬!A:M,13,FALSE)*(I1679-AB1679),"")</f>
        <v/>
      </c>
      <c r="AA1679" s="340" t="str">
        <f>IF(AND(C1679&gt;0,D1679&lt;&gt;"",S1679=""),VLOOKUP(A1679&amp;IF(H1679="黑丝","黑","白")&amp;E1679,经纬!A:N,14,FALSE)*(I1679-AB1679),"")</f>
        <v/>
      </c>
    </row>
    <row r="1680" spans="13:27">
      <c r="M1680" s="24" t="str">
        <f t="array" ref="M1680">LEFT(L1680,MIN(FIND({"A","B","C"},MID(L1680,2,LEN(L1680))&amp;"ABC")))</f>
        <v/>
      </c>
      <c r="N1680" s="24" t="str">
        <f t="array" ref="N1680">SUBSTITUTE(L1680,M1680,"")</f>
        <v/>
      </c>
      <c r="X1680" s="258" t="str">
        <f t="shared" si="72"/>
        <v/>
      </c>
      <c r="Y1680" s="36" t="str">
        <f t="shared" si="73"/>
        <v/>
      </c>
      <c r="Z1680" s="340" t="str">
        <f>IF(AND(C1680&gt;0,D1680&lt;&gt;"",S1680=""),VLOOKUP(A1680&amp;IF(H1680="黑丝","黑","白")&amp;E1680,经纬!A:M,13,FALSE)*(I1680-AB1680),"")</f>
        <v/>
      </c>
      <c r="AA1680" s="340" t="str">
        <f>IF(AND(C1680&gt;0,D1680&lt;&gt;"",S1680=""),VLOOKUP(A1680&amp;IF(H1680="黑丝","黑","白")&amp;E1680,经纬!A:N,14,FALSE)*(I1680-AB1680),"")</f>
        <v/>
      </c>
    </row>
    <row r="1681" spans="13:27">
      <c r="M1681" s="24" t="str">
        <f t="array" ref="M1681">LEFT(L1681,MIN(FIND({"A","B","C"},MID(L1681,2,LEN(L1681))&amp;"ABC")))</f>
        <v/>
      </c>
      <c r="N1681" s="24" t="str">
        <f t="array" ref="N1681">SUBSTITUTE(L1681,M1681,"")</f>
        <v/>
      </c>
      <c r="X1681" s="258" t="str">
        <f t="shared" si="72"/>
        <v/>
      </c>
      <c r="Y1681" s="36" t="str">
        <f t="shared" si="73"/>
        <v/>
      </c>
      <c r="Z1681" s="340" t="str">
        <f>IF(AND(C1681&gt;0,D1681&lt;&gt;"",S1681=""),VLOOKUP(A1681&amp;IF(H1681="黑丝","黑","白")&amp;E1681,经纬!A:M,13,FALSE)*(I1681-AB1681),"")</f>
        <v/>
      </c>
      <c r="AA1681" s="340" t="str">
        <f>IF(AND(C1681&gt;0,D1681&lt;&gt;"",S1681=""),VLOOKUP(A1681&amp;IF(H1681="黑丝","黑","白")&amp;E1681,经纬!A:N,14,FALSE)*(I1681-AB1681),"")</f>
        <v/>
      </c>
    </row>
    <row r="1682" spans="13:27">
      <c r="M1682" s="24" t="str">
        <f t="array" ref="M1682">LEFT(L1682,MIN(FIND({"A","B","C"},MID(L1682,2,LEN(L1682))&amp;"ABC")))</f>
        <v/>
      </c>
      <c r="N1682" s="24" t="str">
        <f t="array" ref="N1682">SUBSTITUTE(L1682,M1682,"")</f>
        <v/>
      </c>
      <c r="X1682" s="258" t="str">
        <f t="shared" si="72"/>
        <v/>
      </c>
      <c r="Y1682" s="36" t="str">
        <f t="shared" si="73"/>
        <v/>
      </c>
      <c r="Z1682" s="340" t="str">
        <f>IF(AND(C1682&gt;0,D1682&lt;&gt;"",S1682=""),VLOOKUP(A1682&amp;IF(H1682="黑丝","黑","白")&amp;E1682,经纬!A:M,13,FALSE)*(I1682-AB1682),"")</f>
        <v/>
      </c>
      <c r="AA1682" s="340" t="str">
        <f>IF(AND(C1682&gt;0,D1682&lt;&gt;"",S1682=""),VLOOKUP(A1682&amp;IF(H1682="黑丝","黑","白")&amp;E1682,经纬!A:N,14,FALSE)*(I1682-AB1682),"")</f>
        <v/>
      </c>
    </row>
    <row r="1683" spans="13:27">
      <c r="M1683" s="24" t="str">
        <f t="array" ref="M1683">LEFT(L1683,MIN(FIND({"A","B","C"},MID(L1683,2,LEN(L1683))&amp;"ABC")))</f>
        <v/>
      </c>
      <c r="N1683" s="24" t="str">
        <f t="array" ref="N1683">SUBSTITUTE(L1683,M1683,"")</f>
        <v/>
      </c>
      <c r="X1683" s="258" t="str">
        <f t="shared" si="72"/>
        <v/>
      </c>
      <c r="Y1683" s="36" t="str">
        <f t="shared" si="73"/>
        <v/>
      </c>
      <c r="Z1683" s="340" t="str">
        <f>IF(AND(C1683&gt;0,D1683&lt;&gt;"",S1683=""),VLOOKUP(A1683&amp;IF(H1683="黑丝","黑","白")&amp;E1683,经纬!A:M,13,FALSE)*(I1683-AB1683),"")</f>
        <v/>
      </c>
      <c r="AA1683" s="340" t="str">
        <f>IF(AND(C1683&gt;0,D1683&lt;&gt;"",S1683=""),VLOOKUP(A1683&amp;IF(H1683="黑丝","黑","白")&amp;E1683,经纬!A:N,14,FALSE)*(I1683-AB1683),"")</f>
        <v/>
      </c>
    </row>
    <row r="1684" spans="13:27">
      <c r="M1684" s="24" t="str">
        <f t="array" ref="M1684">LEFT(L1684,MIN(FIND({"A","B","C"},MID(L1684,2,LEN(L1684))&amp;"ABC")))</f>
        <v/>
      </c>
      <c r="N1684" s="24" t="str">
        <f t="array" ref="N1684">SUBSTITUTE(L1684,M1684,"")</f>
        <v/>
      </c>
      <c r="X1684" s="258" t="str">
        <f t="shared" si="72"/>
        <v/>
      </c>
      <c r="Y1684" s="36" t="str">
        <f t="shared" si="73"/>
        <v/>
      </c>
      <c r="Z1684" s="340" t="str">
        <f>IF(AND(C1684&gt;0,D1684&lt;&gt;"",S1684=""),VLOOKUP(A1684&amp;IF(H1684="黑丝","黑","白")&amp;E1684,经纬!A:M,13,FALSE)*(I1684-AB1684),"")</f>
        <v/>
      </c>
      <c r="AA1684" s="340" t="str">
        <f>IF(AND(C1684&gt;0,D1684&lt;&gt;"",S1684=""),VLOOKUP(A1684&amp;IF(H1684="黑丝","黑","白")&amp;E1684,经纬!A:N,14,FALSE)*(I1684-AB1684),"")</f>
        <v/>
      </c>
    </row>
    <row r="1685" spans="13:27">
      <c r="M1685" s="24" t="str">
        <f t="array" ref="M1685">LEFT(L1685,MIN(FIND({"A","B","C"},MID(L1685,2,LEN(L1685))&amp;"ABC")))</f>
        <v/>
      </c>
      <c r="N1685" s="24" t="str">
        <f t="array" ref="N1685">SUBSTITUTE(L1685,M1685,"")</f>
        <v/>
      </c>
      <c r="X1685" s="258" t="str">
        <f t="shared" si="72"/>
        <v/>
      </c>
      <c r="Y1685" s="36" t="str">
        <f t="shared" si="73"/>
        <v/>
      </c>
      <c r="Z1685" s="340" t="str">
        <f>IF(AND(C1685&gt;0,D1685&lt;&gt;"",S1685=""),VLOOKUP(A1685&amp;IF(H1685="黑丝","黑","白")&amp;E1685,经纬!A:M,13,FALSE)*(I1685-AB1685),"")</f>
        <v/>
      </c>
      <c r="AA1685" s="340" t="str">
        <f>IF(AND(C1685&gt;0,D1685&lt;&gt;"",S1685=""),VLOOKUP(A1685&amp;IF(H1685="黑丝","黑","白")&amp;E1685,经纬!A:N,14,FALSE)*(I1685-AB1685),"")</f>
        <v/>
      </c>
    </row>
    <row r="1686" spans="13:27">
      <c r="M1686" s="24" t="str">
        <f t="array" ref="M1686">LEFT(L1686,MIN(FIND({"A","B","C"},MID(L1686,2,LEN(L1686))&amp;"ABC")))</f>
        <v/>
      </c>
      <c r="N1686" s="24" t="str">
        <f t="array" ref="N1686">SUBSTITUTE(L1686,M1686,"")</f>
        <v/>
      </c>
      <c r="X1686" s="258" t="str">
        <f t="shared" si="72"/>
        <v/>
      </c>
      <c r="Y1686" s="36" t="str">
        <f t="shared" si="73"/>
        <v/>
      </c>
      <c r="Z1686" s="340" t="str">
        <f>IF(AND(C1686&gt;0,D1686&lt;&gt;"",S1686=""),VLOOKUP(A1686&amp;IF(H1686="黑丝","黑","白")&amp;E1686,经纬!A:M,13,FALSE)*(I1686-AB1686),"")</f>
        <v/>
      </c>
      <c r="AA1686" s="340" t="str">
        <f>IF(AND(C1686&gt;0,D1686&lt;&gt;"",S1686=""),VLOOKUP(A1686&amp;IF(H1686="黑丝","黑","白")&amp;E1686,经纬!A:N,14,FALSE)*(I1686-AB1686),"")</f>
        <v/>
      </c>
    </row>
    <row r="1687" spans="13:27">
      <c r="M1687" s="24" t="str">
        <f t="array" ref="M1687">LEFT(L1687,MIN(FIND({"A","B","C"},MID(L1687,2,LEN(L1687))&amp;"ABC")))</f>
        <v/>
      </c>
      <c r="N1687" s="24" t="str">
        <f t="array" ref="N1687">SUBSTITUTE(L1687,M1687,"")</f>
        <v/>
      </c>
      <c r="X1687" s="258" t="str">
        <f t="shared" si="72"/>
        <v/>
      </c>
      <c r="Y1687" s="36" t="str">
        <f t="shared" si="73"/>
        <v/>
      </c>
      <c r="Z1687" s="340" t="str">
        <f>IF(AND(C1687&gt;0,D1687&lt;&gt;"",S1687=""),VLOOKUP(A1687&amp;IF(H1687="黑丝","黑","白")&amp;E1687,经纬!A:M,13,FALSE)*(I1687-AB1687),"")</f>
        <v/>
      </c>
      <c r="AA1687" s="340" t="str">
        <f>IF(AND(C1687&gt;0,D1687&lt;&gt;"",S1687=""),VLOOKUP(A1687&amp;IF(H1687="黑丝","黑","白")&amp;E1687,经纬!A:N,14,FALSE)*(I1687-AB1687),"")</f>
        <v/>
      </c>
    </row>
    <row r="1688" spans="13:27">
      <c r="M1688" s="24" t="str">
        <f t="array" ref="M1688">LEFT(L1688,MIN(FIND({"A","B","C"},MID(L1688,2,LEN(L1688))&amp;"ABC")))</f>
        <v/>
      </c>
      <c r="N1688" s="24" t="str">
        <f t="array" ref="N1688">SUBSTITUTE(L1688,M1688,"")</f>
        <v/>
      </c>
      <c r="X1688" s="258" t="str">
        <f t="shared" si="72"/>
        <v/>
      </c>
      <c r="Y1688" s="36" t="str">
        <f t="shared" si="73"/>
        <v/>
      </c>
      <c r="Z1688" s="340" t="str">
        <f>IF(AND(C1688&gt;0,D1688&lt;&gt;"",S1688=""),VLOOKUP(A1688&amp;IF(H1688="黑丝","黑","白")&amp;E1688,经纬!A:M,13,FALSE)*(I1688-AB1688),"")</f>
        <v/>
      </c>
      <c r="AA1688" s="340" t="str">
        <f>IF(AND(C1688&gt;0,D1688&lt;&gt;"",S1688=""),VLOOKUP(A1688&amp;IF(H1688="黑丝","黑","白")&amp;E1688,经纬!A:N,14,FALSE)*(I1688-AB1688),"")</f>
        <v/>
      </c>
    </row>
    <row r="1689" spans="13:27">
      <c r="M1689" s="24" t="str">
        <f t="array" ref="M1689">LEFT(L1689,MIN(FIND({"A","B","C"},MID(L1689,2,LEN(L1689))&amp;"ABC")))</f>
        <v/>
      </c>
      <c r="N1689" s="24" t="str">
        <f t="array" ref="N1689">SUBSTITUTE(L1689,M1689,"")</f>
        <v/>
      </c>
      <c r="X1689" s="258" t="str">
        <f t="shared" si="72"/>
        <v/>
      </c>
      <c r="Y1689" s="36" t="str">
        <f t="shared" si="73"/>
        <v/>
      </c>
      <c r="Z1689" s="340" t="str">
        <f>IF(AND(C1689&gt;0,D1689&lt;&gt;"",S1689=""),VLOOKUP(A1689&amp;IF(H1689="黑丝","黑","白")&amp;E1689,经纬!A:M,13,FALSE)*(I1689-AB1689),"")</f>
        <v/>
      </c>
      <c r="AA1689" s="340" t="str">
        <f>IF(AND(C1689&gt;0,D1689&lt;&gt;"",S1689=""),VLOOKUP(A1689&amp;IF(H1689="黑丝","黑","白")&amp;E1689,经纬!A:N,14,FALSE)*(I1689-AB1689),"")</f>
        <v/>
      </c>
    </row>
    <row r="1690" spans="13:27">
      <c r="M1690" s="24" t="str">
        <f t="array" ref="M1690">LEFT(L1690,MIN(FIND({"A","B","C"},MID(L1690,2,LEN(L1690))&amp;"ABC")))</f>
        <v/>
      </c>
      <c r="N1690" s="24" t="str">
        <f t="array" ref="N1690">SUBSTITUTE(L1690,M1690,"")</f>
        <v/>
      </c>
      <c r="X1690" s="258" t="str">
        <f t="shared" si="72"/>
        <v/>
      </c>
      <c r="Y1690" s="36" t="str">
        <f t="shared" si="73"/>
        <v/>
      </c>
      <c r="Z1690" s="340" t="str">
        <f>IF(AND(C1690&gt;0,D1690&lt;&gt;"",S1690=""),VLOOKUP(A1690&amp;IF(H1690="黑丝","黑","白")&amp;E1690,经纬!A:M,13,FALSE)*(I1690-AB1690),"")</f>
        <v/>
      </c>
      <c r="AA1690" s="340" t="str">
        <f>IF(AND(C1690&gt;0,D1690&lt;&gt;"",S1690=""),VLOOKUP(A1690&amp;IF(H1690="黑丝","黑","白")&amp;E1690,经纬!A:N,14,FALSE)*(I1690-AB1690),"")</f>
        <v/>
      </c>
    </row>
    <row r="1691" spans="13:27">
      <c r="M1691" s="24" t="str">
        <f t="array" ref="M1691">LEFT(L1691,MIN(FIND({"A","B","C"},MID(L1691,2,LEN(L1691))&amp;"ABC")))</f>
        <v/>
      </c>
      <c r="N1691" s="24" t="str">
        <f t="array" ref="N1691">SUBSTITUTE(L1691,M1691,"")</f>
        <v/>
      </c>
      <c r="X1691" s="258" t="str">
        <f t="shared" si="72"/>
        <v/>
      </c>
      <c r="Y1691" s="36" t="str">
        <f t="shared" si="73"/>
        <v/>
      </c>
      <c r="Z1691" s="340" t="str">
        <f>IF(AND(C1691&gt;0,D1691&lt;&gt;"",S1691=""),VLOOKUP(A1691&amp;IF(H1691="黑丝","黑","白")&amp;E1691,经纬!A:M,13,FALSE)*(I1691-AB1691),"")</f>
        <v/>
      </c>
      <c r="AA1691" s="340" t="str">
        <f>IF(AND(C1691&gt;0,D1691&lt;&gt;"",S1691=""),VLOOKUP(A1691&amp;IF(H1691="黑丝","黑","白")&amp;E1691,经纬!A:N,14,FALSE)*(I1691-AB1691),"")</f>
        <v/>
      </c>
    </row>
    <row r="1692" spans="13:27">
      <c r="M1692" s="24" t="str">
        <f t="array" ref="M1692">LEFT(L1692,MIN(FIND({"A","B","C"},MID(L1692,2,LEN(L1692))&amp;"ABC")))</f>
        <v/>
      </c>
      <c r="N1692" s="24" t="str">
        <f t="array" ref="N1692">SUBSTITUTE(L1692,M1692,"")</f>
        <v/>
      </c>
      <c r="X1692" s="258" t="str">
        <f t="shared" ref="X1692:X1755" si="74">IF(B1692="","",IF(S1692&lt;&gt;"","",IF(AND(Z1692&lt;&gt;"",AA1692&lt;&gt;""),SUM(Z1692:AA1692),IF(AB1692&lt;&gt;"",(I1692/((1/((G1692+2)/100*K1692/1000))*0.9144)/IF(H1692="黑丝",22,20)-AB1692)*(IF(H1692="黑丝",22,20)),I1692/((1/((G1692+2)/100*K1692/1000))*0.9144)))))</f>
        <v/>
      </c>
      <c r="Y1692" s="36" t="str">
        <f t="shared" si="73"/>
        <v/>
      </c>
      <c r="Z1692" s="340" t="str">
        <f>IF(AND(C1692&gt;0,D1692&lt;&gt;"",S1692=""),VLOOKUP(A1692&amp;IF(H1692="黑丝","黑","白")&amp;E1692,经纬!A:M,13,FALSE)*(I1692-AB1692),"")</f>
        <v/>
      </c>
      <c r="AA1692" s="340" t="str">
        <f>IF(AND(C1692&gt;0,D1692&lt;&gt;"",S1692=""),VLOOKUP(A1692&amp;IF(H1692="黑丝","黑","白")&amp;E1692,经纬!A:N,14,FALSE)*(I1692-AB1692),"")</f>
        <v/>
      </c>
    </row>
    <row r="1693" spans="13:27">
      <c r="M1693" s="24" t="str">
        <f t="array" ref="M1693">LEFT(L1693,MIN(FIND({"A","B","C"},MID(L1693,2,LEN(L1693))&amp;"ABC")))</f>
        <v/>
      </c>
      <c r="N1693" s="24" t="str">
        <f t="array" ref="N1693">SUBSTITUTE(L1693,M1693,"")</f>
        <v/>
      </c>
      <c r="X1693" s="258" t="str">
        <f t="shared" si="74"/>
        <v/>
      </c>
      <c r="Y1693" s="36" t="str">
        <f t="shared" si="73"/>
        <v/>
      </c>
      <c r="Z1693" s="340" t="str">
        <f>IF(AND(C1693&gt;0,D1693&lt;&gt;"",S1693=""),VLOOKUP(A1693&amp;IF(H1693="黑丝","黑","白")&amp;E1693,经纬!A:M,13,FALSE)*(I1693-AB1693),"")</f>
        <v/>
      </c>
      <c r="AA1693" s="340" t="str">
        <f>IF(AND(C1693&gt;0,D1693&lt;&gt;"",S1693=""),VLOOKUP(A1693&amp;IF(H1693="黑丝","黑","白")&amp;E1693,经纬!A:N,14,FALSE)*(I1693-AB1693),"")</f>
        <v/>
      </c>
    </row>
    <row r="1694" spans="13:27">
      <c r="M1694" s="24" t="str">
        <f t="array" ref="M1694">LEFT(L1694,MIN(FIND({"A","B","C"},MID(L1694,2,LEN(L1694))&amp;"ABC")))</f>
        <v/>
      </c>
      <c r="N1694" s="24" t="str">
        <f t="array" ref="N1694">SUBSTITUTE(L1694,M1694,"")</f>
        <v/>
      </c>
      <c r="X1694" s="258" t="str">
        <f t="shared" si="74"/>
        <v/>
      </c>
      <c r="Y1694" s="36" t="str">
        <f t="shared" si="73"/>
        <v/>
      </c>
      <c r="Z1694" s="340" t="str">
        <f>IF(AND(C1694&gt;0,D1694&lt;&gt;"",S1694=""),VLOOKUP(A1694&amp;IF(H1694="黑丝","黑","白")&amp;E1694,经纬!A:M,13,FALSE)*(I1694-AB1694),"")</f>
        <v/>
      </c>
      <c r="AA1694" s="340" t="str">
        <f>IF(AND(C1694&gt;0,D1694&lt;&gt;"",S1694=""),VLOOKUP(A1694&amp;IF(H1694="黑丝","黑","白")&amp;E1694,经纬!A:N,14,FALSE)*(I1694-AB1694),"")</f>
        <v/>
      </c>
    </row>
    <row r="1695" spans="13:27">
      <c r="M1695" s="24" t="str">
        <f t="array" ref="M1695">LEFT(L1695,MIN(FIND({"A","B","C"},MID(L1695,2,LEN(L1695))&amp;"ABC")))</f>
        <v/>
      </c>
      <c r="N1695" s="24" t="str">
        <f t="array" ref="N1695">SUBSTITUTE(L1695,M1695,"")</f>
        <v/>
      </c>
      <c r="X1695" s="258" t="str">
        <f t="shared" si="74"/>
        <v/>
      </c>
      <c r="Y1695" s="36" t="str">
        <f t="shared" si="73"/>
        <v/>
      </c>
      <c r="Z1695" s="340" t="str">
        <f>IF(AND(C1695&gt;0,D1695&lt;&gt;"",S1695=""),VLOOKUP(A1695&amp;IF(H1695="黑丝","黑","白")&amp;E1695,经纬!A:M,13,FALSE)*(I1695-AB1695),"")</f>
        <v/>
      </c>
      <c r="AA1695" s="340" t="str">
        <f>IF(AND(C1695&gt;0,D1695&lt;&gt;"",S1695=""),VLOOKUP(A1695&amp;IF(H1695="黑丝","黑","白")&amp;E1695,经纬!A:N,14,FALSE)*(I1695-AB1695),"")</f>
        <v/>
      </c>
    </row>
    <row r="1696" spans="13:27">
      <c r="M1696" s="24" t="str">
        <f t="array" ref="M1696">LEFT(L1696,MIN(FIND({"A","B","C"},MID(L1696,2,LEN(L1696))&amp;"ABC")))</f>
        <v/>
      </c>
      <c r="N1696" s="24" t="str">
        <f t="array" ref="N1696">SUBSTITUTE(L1696,M1696,"")</f>
        <v/>
      </c>
      <c r="X1696" s="258" t="str">
        <f t="shared" si="74"/>
        <v/>
      </c>
      <c r="Y1696" s="36" t="str">
        <f t="shared" si="73"/>
        <v/>
      </c>
      <c r="Z1696" s="340" t="str">
        <f>IF(AND(C1696&gt;0,D1696&lt;&gt;"",S1696=""),VLOOKUP(A1696&amp;IF(H1696="黑丝","黑","白")&amp;E1696,经纬!A:M,13,FALSE)*(I1696-AB1696),"")</f>
        <v/>
      </c>
      <c r="AA1696" s="340" t="str">
        <f>IF(AND(C1696&gt;0,D1696&lt;&gt;"",S1696=""),VLOOKUP(A1696&amp;IF(H1696="黑丝","黑","白")&amp;E1696,经纬!A:N,14,FALSE)*(I1696-AB1696),"")</f>
        <v/>
      </c>
    </row>
    <row r="1697" spans="13:27">
      <c r="M1697" s="24" t="str">
        <f t="array" ref="M1697">LEFT(L1697,MIN(FIND({"A","B","C"},MID(L1697,2,LEN(L1697))&amp;"ABC")))</f>
        <v/>
      </c>
      <c r="N1697" s="24" t="str">
        <f t="array" ref="N1697">SUBSTITUTE(L1697,M1697,"")</f>
        <v/>
      </c>
      <c r="X1697" s="258" t="str">
        <f t="shared" si="74"/>
        <v/>
      </c>
      <c r="Y1697" s="36" t="str">
        <f t="shared" si="73"/>
        <v/>
      </c>
      <c r="Z1697" s="340" t="str">
        <f>IF(AND(C1697&gt;0,D1697&lt;&gt;"",S1697=""),VLOOKUP(A1697&amp;IF(H1697="黑丝","黑","白")&amp;E1697,经纬!A:M,13,FALSE)*(I1697-AB1697),"")</f>
        <v/>
      </c>
      <c r="AA1697" s="340" t="str">
        <f>IF(AND(C1697&gt;0,D1697&lt;&gt;"",S1697=""),VLOOKUP(A1697&amp;IF(H1697="黑丝","黑","白")&amp;E1697,经纬!A:N,14,FALSE)*(I1697-AB1697),"")</f>
        <v/>
      </c>
    </row>
    <row r="1698" spans="13:27">
      <c r="M1698" s="24" t="str">
        <f t="array" ref="M1698">LEFT(L1698,MIN(FIND({"A","B","C"},MID(L1698,2,LEN(L1698))&amp;"ABC")))</f>
        <v/>
      </c>
      <c r="N1698" s="24" t="str">
        <f t="array" ref="N1698">SUBSTITUTE(L1698,M1698,"")</f>
        <v/>
      </c>
      <c r="X1698" s="258" t="str">
        <f t="shared" si="74"/>
        <v/>
      </c>
      <c r="Y1698" s="36" t="str">
        <f t="shared" si="73"/>
        <v/>
      </c>
      <c r="Z1698" s="340" t="str">
        <f>IF(AND(C1698&gt;0,D1698&lt;&gt;"",S1698=""),VLOOKUP(A1698&amp;IF(H1698="黑丝","黑","白")&amp;E1698,经纬!A:M,13,FALSE)*(I1698-AB1698),"")</f>
        <v/>
      </c>
      <c r="AA1698" s="340" t="str">
        <f>IF(AND(C1698&gt;0,D1698&lt;&gt;"",S1698=""),VLOOKUP(A1698&amp;IF(H1698="黑丝","黑","白")&amp;E1698,经纬!A:N,14,FALSE)*(I1698-AB1698),"")</f>
        <v/>
      </c>
    </row>
    <row r="1699" spans="13:27">
      <c r="M1699" s="24" t="str">
        <f t="array" ref="M1699">LEFT(L1699,MIN(FIND({"A","B","C"},MID(L1699,2,LEN(L1699))&amp;"ABC")))</f>
        <v/>
      </c>
      <c r="N1699" s="24" t="str">
        <f t="array" ref="N1699">SUBSTITUTE(L1699,M1699,"")</f>
        <v/>
      </c>
      <c r="X1699" s="258" t="str">
        <f t="shared" si="74"/>
        <v/>
      </c>
      <c r="Y1699" s="36" t="str">
        <f t="shared" si="73"/>
        <v/>
      </c>
      <c r="Z1699" s="340" t="str">
        <f>IF(AND(C1699&gt;0,D1699&lt;&gt;"",S1699=""),VLOOKUP(A1699&amp;IF(H1699="黑丝","黑","白")&amp;E1699,经纬!A:M,13,FALSE)*(I1699-AB1699),"")</f>
        <v/>
      </c>
      <c r="AA1699" s="340" t="str">
        <f>IF(AND(C1699&gt;0,D1699&lt;&gt;"",S1699=""),VLOOKUP(A1699&amp;IF(H1699="黑丝","黑","白")&amp;E1699,经纬!A:N,14,FALSE)*(I1699-AB1699),"")</f>
        <v/>
      </c>
    </row>
    <row r="1700" spans="13:27">
      <c r="M1700" s="24" t="str">
        <f t="array" ref="M1700">LEFT(L1700,MIN(FIND({"A","B","C"},MID(L1700,2,LEN(L1700))&amp;"ABC")))</f>
        <v/>
      </c>
      <c r="N1700" s="24" t="str">
        <f t="array" ref="N1700">SUBSTITUTE(L1700,M1700,"")</f>
        <v/>
      </c>
      <c r="X1700" s="258" t="str">
        <f t="shared" si="74"/>
        <v/>
      </c>
      <c r="Y1700" s="36" t="str">
        <f t="shared" si="73"/>
        <v/>
      </c>
      <c r="Z1700" s="340" t="str">
        <f>IF(AND(C1700&gt;0,D1700&lt;&gt;"",S1700=""),VLOOKUP(A1700&amp;IF(H1700="黑丝","黑","白")&amp;E1700,经纬!A:M,13,FALSE)*(I1700-AB1700),"")</f>
        <v/>
      </c>
      <c r="AA1700" s="340" t="str">
        <f>IF(AND(C1700&gt;0,D1700&lt;&gt;"",S1700=""),VLOOKUP(A1700&amp;IF(H1700="黑丝","黑","白")&amp;E1700,经纬!A:N,14,FALSE)*(I1700-AB1700),"")</f>
        <v/>
      </c>
    </row>
    <row r="1701" spans="13:27">
      <c r="M1701" s="24" t="str">
        <f t="array" ref="M1701">LEFT(L1701,MIN(FIND({"A","B","C"},MID(L1701,2,LEN(L1701))&amp;"ABC")))</f>
        <v/>
      </c>
      <c r="N1701" s="24" t="str">
        <f t="array" ref="N1701">SUBSTITUTE(L1701,M1701,"")</f>
        <v/>
      </c>
      <c r="X1701" s="258" t="str">
        <f t="shared" si="74"/>
        <v/>
      </c>
      <c r="Y1701" s="36" t="str">
        <f t="shared" si="73"/>
        <v/>
      </c>
      <c r="Z1701" s="340" t="str">
        <f>IF(AND(C1701&gt;0,D1701&lt;&gt;"",S1701=""),VLOOKUP(A1701&amp;IF(H1701="黑丝","黑","白")&amp;E1701,经纬!A:M,13,FALSE)*(I1701-AB1701),"")</f>
        <v/>
      </c>
      <c r="AA1701" s="340" t="str">
        <f>IF(AND(C1701&gt;0,D1701&lt;&gt;"",S1701=""),VLOOKUP(A1701&amp;IF(H1701="黑丝","黑","白")&amp;E1701,经纬!A:N,14,FALSE)*(I1701-AB1701),"")</f>
        <v/>
      </c>
    </row>
    <row r="1702" spans="13:27">
      <c r="M1702" s="24" t="str">
        <f t="array" ref="M1702">LEFT(L1702,MIN(FIND({"A","B","C"},MID(L1702,2,LEN(L1702))&amp;"ABC")))</f>
        <v/>
      </c>
      <c r="N1702" s="24" t="str">
        <f t="array" ref="N1702">SUBSTITUTE(L1702,M1702,"")</f>
        <v/>
      </c>
      <c r="X1702" s="258" t="str">
        <f t="shared" si="74"/>
        <v/>
      </c>
      <c r="Y1702" s="36" t="str">
        <f t="shared" si="73"/>
        <v/>
      </c>
      <c r="Z1702" s="340" t="str">
        <f>IF(AND(C1702&gt;0,D1702&lt;&gt;"",S1702=""),VLOOKUP(A1702&amp;IF(H1702="黑丝","黑","白")&amp;E1702,经纬!A:M,13,FALSE)*(I1702-AB1702),"")</f>
        <v/>
      </c>
      <c r="AA1702" s="340" t="str">
        <f>IF(AND(C1702&gt;0,D1702&lt;&gt;"",S1702=""),VLOOKUP(A1702&amp;IF(H1702="黑丝","黑","白")&amp;E1702,经纬!A:N,14,FALSE)*(I1702-AB1702),"")</f>
        <v/>
      </c>
    </row>
    <row r="1703" spans="13:27">
      <c r="M1703" s="24" t="str">
        <f t="array" ref="M1703">LEFT(L1703,MIN(FIND({"A","B","C"},MID(L1703,2,LEN(L1703))&amp;"ABC")))</f>
        <v/>
      </c>
      <c r="N1703" s="24" t="str">
        <f t="array" ref="N1703">SUBSTITUTE(L1703,M1703,"")</f>
        <v/>
      </c>
      <c r="X1703" s="258" t="str">
        <f t="shared" si="74"/>
        <v/>
      </c>
      <c r="Y1703" s="36" t="str">
        <f t="shared" si="73"/>
        <v/>
      </c>
      <c r="Z1703" s="340" t="str">
        <f>IF(AND(C1703&gt;0,D1703&lt;&gt;"",S1703=""),VLOOKUP(A1703&amp;IF(H1703="黑丝","黑","白")&amp;E1703,经纬!A:M,13,FALSE)*(I1703-AB1703),"")</f>
        <v/>
      </c>
      <c r="AA1703" s="340" t="str">
        <f>IF(AND(C1703&gt;0,D1703&lt;&gt;"",S1703=""),VLOOKUP(A1703&amp;IF(H1703="黑丝","黑","白")&amp;E1703,经纬!A:N,14,FALSE)*(I1703-AB1703),"")</f>
        <v/>
      </c>
    </row>
    <row r="1704" spans="13:27">
      <c r="M1704" s="24" t="str">
        <f t="array" ref="M1704">LEFT(L1704,MIN(FIND({"A","B","C"},MID(L1704,2,LEN(L1704))&amp;"ABC")))</f>
        <v/>
      </c>
      <c r="N1704" s="24" t="str">
        <f t="array" ref="N1704">SUBSTITUTE(L1704,M1704,"")</f>
        <v/>
      </c>
      <c r="X1704" s="258" t="str">
        <f t="shared" si="74"/>
        <v/>
      </c>
      <c r="Y1704" s="36" t="str">
        <f t="shared" si="73"/>
        <v/>
      </c>
      <c r="Z1704" s="340" t="str">
        <f>IF(AND(C1704&gt;0,D1704&lt;&gt;"",S1704=""),VLOOKUP(A1704&amp;IF(H1704="黑丝","黑","白")&amp;E1704,经纬!A:M,13,FALSE)*(I1704-AB1704),"")</f>
        <v/>
      </c>
      <c r="AA1704" s="340" t="str">
        <f>IF(AND(C1704&gt;0,D1704&lt;&gt;"",S1704=""),VLOOKUP(A1704&amp;IF(H1704="黑丝","黑","白")&amp;E1704,经纬!A:N,14,FALSE)*(I1704-AB1704),"")</f>
        <v/>
      </c>
    </row>
    <row r="1705" spans="13:27">
      <c r="M1705" s="24" t="str">
        <f t="array" ref="M1705">LEFT(L1705,MIN(FIND({"A","B","C"},MID(L1705,2,LEN(L1705))&amp;"ABC")))</f>
        <v/>
      </c>
      <c r="N1705" s="24" t="str">
        <f t="array" ref="N1705">SUBSTITUTE(L1705,M1705,"")</f>
        <v/>
      </c>
      <c r="X1705" s="258" t="str">
        <f t="shared" si="74"/>
        <v/>
      </c>
      <c r="Y1705" s="36" t="str">
        <f t="shared" ref="Y1705:Y1768" si="75">IF(OR(B1705="",D1705&lt;&gt;""),"",IF(S1705&lt;&gt;"","",I1705/((1/((G1705+2)/100*K1705/1000))*0.9144)/IF(H1705="黑丝",22,20)-AB1705))</f>
        <v/>
      </c>
      <c r="Z1705" s="340" t="str">
        <f>IF(AND(C1705&gt;0,D1705&lt;&gt;"",S1705=""),VLOOKUP(A1705&amp;IF(H1705="黑丝","黑","白")&amp;E1705,经纬!A:M,13,FALSE)*(I1705-AB1705),"")</f>
        <v/>
      </c>
      <c r="AA1705" s="340" t="str">
        <f>IF(AND(C1705&gt;0,D1705&lt;&gt;"",S1705=""),VLOOKUP(A1705&amp;IF(H1705="黑丝","黑","白")&amp;E1705,经纬!A:N,14,FALSE)*(I1705-AB1705),"")</f>
        <v/>
      </c>
    </row>
    <row r="1706" spans="13:27">
      <c r="M1706" s="24" t="str">
        <f t="array" ref="M1706">LEFT(L1706,MIN(FIND({"A","B","C"},MID(L1706,2,LEN(L1706))&amp;"ABC")))</f>
        <v/>
      </c>
      <c r="N1706" s="24" t="str">
        <f t="array" ref="N1706">SUBSTITUTE(L1706,M1706,"")</f>
        <v/>
      </c>
      <c r="X1706" s="258" t="str">
        <f t="shared" si="74"/>
        <v/>
      </c>
      <c r="Y1706" s="36" t="str">
        <f t="shared" si="75"/>
        <v/>
      </c>
      <c r="Z1706" s="340" t="str">
        <f>IF(AND(C1706&gt;0,D1706&lt;&gt;"",S1706=""),VLOOKUP(A1706&amp;IF(H1706="黑丝","黑","白")&amp;E1706,经纬!A:M,13,FALSE)*(I1706-AB1706),"")</f>
        <v/>
      </c>
      <c r="AA1706" s="340" t="str">
        <f>IF(AND(C1706&gt;0,D1706&lt;&gt;"",S1706=""),VLOOKUP(A1706&amp;IF(H1706="黑丝","黑","白")&amp;E1706,经纬!A:N,14,FALSE)*(I1706-AB1706),"")</f>
        <v/>
      </c>
    </row>
    <row r="1707" spans="13:27">
      <c r="M1707" s="24" t="str">
        <f t="array" ref="M1707">LEFT(L1707,MIN(FIND({"A","B","C"},MID(L1707,2,LEN(L1707))&amp;"ABC")))</f>
        <v/>
      </c>
      <c r="N1707" s="24" t="str">
        <f t="array" ref="N1707">SUBSTITUTE(L1707,M1707,"")</f>
        <v/>
      </c>
      <c r="X1707" s="258" t="str">
        <f t="shared" si="74"/>
        <v/>
      </c>
      <c r="Y1707" s="36" t="str">
        <f t="shared" si="75"/>
        <v/>
      </c>
      <c r="Z1707" s="340" t="str">
        <f>IF(AND(C1707&gt;0,D1707&lt;&gt;"",S1707=""),VLOOKUP(A1707&amp;IF(H1707="黑丝","黑","白")&amp;E1707,经纬!A:M,13,FALSE)*(I1707-AB1707),"")</f>
        <v/>
      </c>
      <c r="AA1707" s="340" t="str">
        <f>IF(AND(C1707&gt;0,D1707&lt;&gt;"",S1707=""),VLOOKUP(A1707&amp;IF(H1707="黑丝","黑","白")&amp;E1707,经纬!A:N,14,FALSE)*(I1707-AB1707),"")</f>
        <v/>
      </c>
    </row>
    <row r="1708" spans="13:27">
      <c r="M1708" s="24" t="str">
        <f t="array" ref="M1708">LEFT(L1708,MIN(FIND({"A","B","C"},MID(L1708,2,LEN(L1708))&amp;"ABC")))</f>
        <v/>
      </c>
      <c r="N1708" s="24" t="str">
        <f t="array" ref="N1708">SUBSTITUTE(L1708,M1708,"")</f>
        <v/>
      </c>
      <c r="X1708" s="258" t="str">
        <f t="shared" si="74"/>
        <v/>
      </c>
      <c r="Y1708" s="36" t="str">
        <f t="shared" si="75"/>
        <v/>
      </c>
      <c r="Z1708" s="340" t="str">
        <f>IF(AND(C1708&gt;0,D1708&lt;&gt;"",S1708=""),VLOOKUP(A1708&amp;IF(H1708="黑丝","黑","白")&amp;E1708,经纬!A:M,13,FALSE)*(I1708-AB1708),"")</f>
        <v/>
      </c>
      <c r="AA1708" s="340" t="str">
        <f>IF(AND(C1708&gt;0,D1708&lt;&gt;"",S1708=""),VLOOKUP(A1708&amp;IF(H1708="黑丝","黑","白")&amp;E1708,经纬!A:N,14,FALSE)*(I1708-AB1708),"")</f>
        <v/>
      </c>
    </row>
    <row r="1709" spans="13:27">
      <c r="M1709" s="24" t="str">
        <f t="array" ref="M1709">LEFT(L1709,MIN(FIND({"A","B","C"},MID(L1709,2,LEN(L1709))&amp;"ABC")))</f>
        <v/>
      </c>
      <c r="N1709" s="24" t="str">
        <f t="array" ref="N1709">SUBSTITUTE(L1709,M1709,"")</f>
        <v/>
      </c>
      <c r="X1709" s="258" t="str">
        <f t="shared" si="74"/>
        <v/>
      </c>
      <c r="Y1709" s="36" t="str">
        <f t="shared" si="75"/>
        <v/>
      </c>
      <c r="Z1709" s="340" t="str">
        <f>IF(AND(C1709&gt;0,D1709&lt;&gt;"",S1709=""),VLOOKUP(A1709&amp;IF(H1709="黑丝","黑","白")&amp;E1709,经纬!A:M,13,FALSE)*(I1709-AB1709),"")</f>
        <v/>
      </c>
      <c r="AA1709" s="340" t="str">
        <f>IF(AND(C1709&gt;0,D1709&lt;&gt;"",S1709=""),VLOOKUP(A1709&amp;IF(H1709="黑丝","黑","白")&amp;E1709,经纬!A:N,14,FALSE)*(I1709-AB1709),"")</f>
        <v/>
      </c>
    </row>
    <row r="1710" spans="13:27">
      <c r="M1710" s="24" t="str">
        <f t="array" ref="M1710">LEFT(L1710,MIN(FIND({"A","B","C"},MID(L1710,2,LEN(L1710))&amp;"ABC")))</f>
        <v/>
      </c>
      <c r="N1710" s="24" t="str">
        <f t="array" ref="N1710">SUBSTITUTE(L1710,M1710,"")</f>
        <v/>
      </c>
      <c r="X1710" s="258" t="str">
        <f t="shared" si="74"/>
        <v/>
      </c>
      <c r="Y1710" s="36" t="str">
        <f t="shared" si="75"/>
        <v/>
      </c>
      <c r="Z1710" s="340" t="str">
        <f>IF(AND(C1710&gt;0,D1710&lt;&gt;"",S1710=""),VLOOKUP(A1710&amp;IF(H1710="黑丝","黑","白")&amp;E1710,经纬!A:M,13,FALSE)*(I1710-AB1710),"")</f>
        <v/>
      </c>
      <c r="AA1710" s="340" t="str">
        <f>IF(AND(C1710&gt;0,D1710&lt;&gt;"",S1710=""),VLOOKUP(A1710&amp;IF(H1710="黑丝","黑","白")&amp;E1710,经纬!A:N,14,FALSE)*(I1710-AB1710),"")</f>
        <v/>
      </c>
    </row>
    <row r="1711" spans="13:27">
      <c r="M1711" s="24" t="str">
        <f t="array" ref="M1711">LEFT(L1711,MIN(FIND({"A","B","C"},MID(L1711,2,LEN(L1711))&amp;"ABC")))</f>
        <v/>
      </c>
      <c r="N1711" s="24" t="str">
        <f t="array" ref="N1711">SUBSTITUTE(L1711,M1711,"")</f>
        <v/>
      </c>
      <c r="X1711" s="258" t="str">
        <f t="shared" si="74"/>
        <v/>
      </c>
      <c r="Y1711" s="36" t="str">
        <f t="shared" si="75"/>
        <v/>
      </c>
      <c r="Z1711" s="340" t="str">
        <f>IF(AND(C1711&gt;0,D1711&lt;&gt;"",S1711=""),VLOOKUP(A1711&amp;IF(H1711="黑丝","黑","白")&amp;E1711,经纬!A:M,13,FALSE)*(I1711-AB1711),"")</f>
        <v/>
      </c>
      <c r="AA1711" s="340" t="str">
        <f>IF(AND(C1711&gt;0,D1711&lt;&gt;"",S1711=""),VLOOKUP(A1711&amp;IF(H1711="黑丝","黑","白")&amp;E1711,经纬!A:N,14,FALSE)*(I1711-AB1711),"")</f>
        <v/>
      </c>
    </row>
    <row r="1712" spans="13:27">
      <c r="M1712" s="24" t="str">
        <f t="array" ref="M1712">LEFT(L1712,MIN(FIND({"A","B","C"},MID(L1712,2,LEN(L1712))&amp;"ABC")))</f>
        <v/>
      </c>
      <c r="N1712" s="24" t="str">
        <f t="array" ref="N1712">SUBSTITUTE(L1712,M1712,"")</f>
        <v/>
      </c>
      <c r="X1712" s="258" t="str">
        <f t="shared" si="74"/>
        <v/>
      </c>
      <c r="Y1712" s="36" t="str">
        <f t="shared" si="75"/>
        <v/>
      </c>
      <c r="Z1712" s="340" t="str">
        <f>IF(AND(C1712&gt;0,D1712&lt;&gt;"",S1712=""),VLOOKUP(A1712&amp;IF(H1712="黑丝","黑","白")&amp;E1712,经纬!A:M,13,FALSE)*(I1712-AB1712),"")</f>
        <v/>
      </c>
      <c r="AA1712" s="340" t="str">
        <f>IF(AND(C1712&gt;0,D1712&lt;&gt;"",S1712=""),VLOOKUP(A1712&amp;IF(H1712="黑丝","黑","白")&amp;E1712,经纬!A:N,14,FALSE)*(I1712-AB1712),"")</f>
        <v/>
      </c>
    </row>
    <row r="1713" spans="13:27">
      <c r="M1713" s="24" t="str">
        <f t="array" ref="M1713">LEFT(L1713,MIN(FIND({"A","B","C"},MID(L1713,2,LEN(L1713))&amp;"ABC")))</f>
        <v/>
      </c>
      <c r="N1713" s="24" t="str">
        <f t="array" ref="N1713">SUBSTITUTE(L1713,M1713,"")</f>
        <v/>
      </c>
      <c r="X1713" s="258" t="str">
        <f t="shared" si="74"/>
        <v/>
      </c>
      <c r="Y1713" s="36" t="str">
        <f t="shared" si="75"/>
        <v/>
      </c>
      <c r="Z1713" s="340" t="str">
        <f>IF(AND(C1713&gt;0,D1713&lt;&gt;"",S1713=""),VLOOKUP(A1713&amp;IF(H1713="黑丝","黑","白")&amp;E1713,经纬!A:M,13,FALSE)*(I1713-AB1713),"")</f>
        <v/>
      </c>
      <c r="AA1713" s="340" t="str">
        <f>IF(AND(C1713&gt;0,D1713&lt;&gt;"",S1713=""),VLOOKUP(A1713&amp;IF(H1713="黑丝","黑","白")&amp;E1713,经纬!A:N,14,FALSE)*(I1713-AB1713),"")</f>
        <v/>
      </c>
    </row>
    <row r="1714" spans="13:27">
      <c r="M1714" s="24" t="str">
        <f t="array" ref="M1714">LEFT(L1714,MIN(FIND({"A","B","C"},MID(L1714,2,LEN(L1714))&amp;"ABC")))</f>
        <v/>
      </c>
      <c r="N1714" s="24" t="str">
        <f t="array" ref="N1714">SUBSTITUTE(L1714,M1714,"")</f>
        <v/>
      </c>
      <c r="X1714" s="258" t="str">
        <f t="shared" si="74"/>
        <v/>
      </c>
      <c r="Y1714" s="36" t="str">
        <f t="shared" si="75"/>
        <v/>
      </c>
      <c r="Z1714" s="340" t="str">
        <f>IF(AND(C1714&gt;0,D1714&lt;&gt;"",S1714=""),VLOOKUP(A1714&amp;IF(H1714="黑丝","黑","白")&amp;E1714,经纬!A:M,13,FALSE)*(I1714-AB1714),"")</f>
        <v/>
      </c>
      <c r="AA1714" s="340" t="str">
        <f>IF(AND(C1714&gt;0,D1714&lt;&gt;"",S1714=""),VLOOKUP(A1714&amp;IF(H1714="黑丝","黑","白")&amp;E1714,经纬!A:N,14,FALSE)*(I1714-AB1714),"")</f>
        <v/>
      </c>
    </row>
    <row r="1715" spans="13:27">
      <c r="M1715" s="24" t="str">
        <f t="array" ref="M1715">LEFT(L1715,MIN(FIND({"A","B","C"},MID(L1715,2,LEN(L1715))&amp;"ABC")))</f>
        <v/>
      </c>
      <c r="N1715" s="24" t="str">
        <f t="array" ref="N1715">SUBSTITUTE(L1715,M1715,"")</f>
        <v/>
      </c>
      <c r="X1715" s="258" t="str">
        <f t="shared" si="74"/>
        <v/>
      </c>
      <c r="Y1715" s="36" t="str">
        <f t="shared" si="75"/>
        <v/>
      </c>
      <c r="Z1715" s="340" t="str">
        <f>IF(AND(C1715&gt;0,D1715&lt;&gt;"",S1715=""),VLOOKUP(A1715&amp;IF(H1715="黑丝","黑","白")&amp;E1715,经纬!A:M,13,FALSE)*(I1715-AB1715),"")</f>
        <v/>
      </c>
      <c r="AA1715" s="340" t="str">
        <f>IF(AND(C1715&gt;0,D1715&lt;&gt;"",S1715=""),VLOOKUP(A1715&amp;IF(H1715="黑丝","黑","白")&amp;E1715,经纬!A:N,14,FALSE)*(I1715-AB1715),"")</f>
        <v/>
      </c>
    </row>
    <row r="1716" spans="13:27">
      <c r="M1716" s="24" t="str">
        <f t="array" ref="M1716">LEFT(L1716,MIN(FIND({"A","B","C"},MID(L1716,2,LEN(L1716))&amp;"ABC")))</f>
        <v/>
      </c>
      <c r="N1716" s="24" t="str">
        <f t="array" ref="N1716">SUBSTITUTE(L1716,M1716,"")</f>
        <v/>
      </c>
      <c r="X1716" s="258" t="str">
        <f t="shared" si="74"/>
        <v/>
      </c>
      <c r="Y1716" s="36" t="str">
        <f t="shared" si="75"/>
        <v/>
      </c>
      <c r="Z1716" s="340" t="str">
        <f>IF(AND(C1716&gt;0,D1716&lt;&gt;"",S1716=""),VLOOKUP(A1716&amp;IF(H1716="黑丝","黑","白")&amp;E1716,经纬!A:M,13,FALSE)*(I1716-AB1716),"")</f>
        <v/>
      </c>
      <c r="AA1716" s="340" t="str">
        <f>IF(AND(C1716&gt;0,D1716&lt;&gt;"",S1716=""),VLOOKUP(A1716&amp;IF(H1716="黑丝","黑","白")&amp;E1716,经纬!A:N,14,FALSE)*(I1716-AB1716),"")</f>
        <v/>
      </c>
    </row>
    <row r="1717" spans="13:27">
      <c r="M1717" s="24" t="str">
        <f t="array" ref="M1717">LEFT(L1717,MIN(FIND({"A","B","C"},MID(L1717,2,LEN(L1717))&amp;"ABC")))</f>
        <v/>
      </c>
      <c r="N1717" s="24" t="str">
        <f t="array" ref="N1717">SUBSTITUTE(L1717,M1717,"")</f>
        <v/>
      </c>
      <c r="X1717" s="258" t="str">
        <f t="shared" si="74"/>
        <v/>
      </c>
      <c r="Y1717" s="36" t="str">
        <f t="shared" si="75"/>
        <v/>
      </c>
      <c r="Z1717" s="340" t="str">
        <f>IF(AND(C1717&gt;0,D1717&lt;&gt;"",S1717=""),VLOOKUP(A1717&amp;IF(H1717="黑丝","黑","白")&amp;E1717,经纬!A:M,13,FALSE)*(I1717-AB1717),"")</f>
        <v/>
      </c>
      <c r="AA1717" s="340" t="str">
        <f>IF(AND(C1717&gt;0,D1717&lt;&gt;"",S1717=""),VLOOKUP(A1717&amp;IF(H1717="黑丝","黑","白")&amp;E1717,经纬!A:N,14,FALSE)*(I1717-AB1717),"")</f>
        <v/>
      </c>
    </row>
    <row r="1718" spans="13:27">
      <c r="M1718" s="24" t="str">
        <f t="array" ref="M1718">LEFT(L1718,MIN(FIND({"A","B","C"},MID(L1718,2,LEN(L1718))&amp;"ABC")))</f>
        <v/>
      </c>
      <c r="N1718" s="24" t="str">
        <f t="array" ref="N1718">SUBSTITUTE(L1718,M1718,"")</f>
        <v/>
      </c>
      <c r="X1718" s="258" t="str">
        <f t="shared" si="74"/>
        <v/>
      </c>
      <c r="Y1718" s="36" t="str">
        <f t="shared" si="75"/>
        <v/>
      </c>
      <c r="Z1718" s="340" t="str">
        <f>IF(AND(C1718&gt;0,D1718&lt;&gt;"",S1718=""),VLOOKUP(A1718&amp;IF(H1718="黑丝","黑","白")&amp;E1718,经纬!A:M,13,FALSE)*(I1718-AB1718),"")</f>
        <v/>
      </c>
      <c r="AA1718" s="340" t="str">
        <f>IF(AND(C1718&gt;0,D1718&lt;&gt;"",S1718=""),VLOOKUP(A1718&amp;IF(H1718="黑丝","黑","白")&amp;E1718,经纬!A:N,14,FALSE)*(I1718-AB1718),"")</f>
        <v/>
      </c>
    </row>
    <row r="1719" spans="13:27">
      <c r="M1719" s="24" t="str">
        <f t="array" ref="M1719">LEFT(L1719,MIN(FIND({"A","B","C"},MID(L1719,2,LEN(L1719))&amp;"ABC")))</f>
        <v/>
      </c>
      <c r="N1719" s="24" t="str">
        <f t="array" ref="N1719">SUBSTITUTE(L1719,M1719,"")</f>
        <v/>
      </c>
      <c r="X1719" s="258" t="str">
        <f t="shared" si="74"/>
        <v/>
      </c>
      <c r="Y1719" s="36" t="str">
        <f t="shared" si="75"/>
        <v/>
      </c>
      <c r="Z1719" s="340" t="str">
        <f>IF(AND(C1719&gt;0,D1719&lt;&gt;"",S1719=""),VLOOKUP(A1719&amp;IF(H1719="黑丝","黑","白")&amp;E1719,经纬!A:M,13,FALSE)*(I1719-AB1719),"")</f>
        <v/>
      </c>
      <c r="AA1719" s="340" t="str">
        <f>IF(AND(C1719&gt;0,D1719&lt;&gt;"",S1719=""),VLOOKUP(A1719&amp;IF(H1719="黑丝","黑","白")&amp;E1719,经纬!A:N,14,FALSE)*(I1719-AB1719),"")</f>
        <v/>
      </c>
    </row>
    <row r="1720" spans="13:27">
      <c r="M1720" s="24" t="str">
        <f t="array" ref="M1720">LEFT(L1720,MIN(FIND({"A","B","C"},MID(L1720,2,LEN(L1720))&amp;"ABC")))</f>
        <v/>
      </c>
      <c r="N1720" s="24" t="str">
        <f t="array" ref="N1720">SUBSTITUTE(L1720,M1720,"")</f>
        <v/>
      </c>
      <c r="X1720" s="258" t="str">
        <f t="shared" si="74"/>
        <v/>
      </c>
      <c r="Y1720" s="36" t="str">
        <f t="shared" si="75"/>
        <v/>
      </c>
      <c r="Z1720" s="340" t="str">
        <f>IF(AND(C1720&gt;0,D1720&lt;&gt;"",S1720=""),VLOOKUP(A1720&amp;IF(H1720="黑丝","黑","白")&amp;E1720,经纬!A:M,13,FALSE)*(I1720-AB1720),"")</f>
        <v/>
      </c>
      <c r="AA1720" s="340" t="str">
        <f>IF(AND(C1720&gt;0,D1720&lt;&gt;"",S1720=""),VLOOKUP(A1720&amp;IF(H1720="黑丝","黑","白")&amp;E1720,经纬!A:N,14,FALSE)*(I1720-AB1720),"")</f>
        <v/>
      </c>
    </row>
    <row r="1721" spans="13:27">
      <c r="M1721" s="24" t="str">
        <f t="array" ref="M1721">LEFT(L1721,MIN(FIND({"A","B","C"},MID(L1721,2,LEN(L1721))&amp;"ABC")))</f>
        <v/>
      </c>
      <c r="N1721" s="24" t="str">
        <f t="array" ref="N1721">SUBSTITUTE(L1721,M1721,"")</f>
        <v/>
      </c>
      <c r="X1721" s="258" t="str">
        <f t="shared" si="74"/>
        <v/>
      </c>
      <c r="Y1721" s="36" t="str">
        <f t="shared" si="75"/>
        <v/>
      </c>
      <c r="Z1721" s="340" t="str">
        <f>IF(AND(C1721&gt;0,D1721&lt;&gt;"",S1721=""),VLOOKUP(A1721&amp;IF(H1721="黑丝","黑","白")&amp;E1721,经纬!A:M,13,FALSE)*(I1721-AB1721),"")</f>
        <v/>
      </c>
      <c r="AA1721" s="340" t="str">
        <f>IF(AND(C1721&gt;0,D1721&lt;&gt;"",S1721=""),VLOOKUP(A1721&amp;IF(H1721="黑丝","黑","白")&amp;E1721,经纬!A:N,14,FALSE)*(I1721-AB1721),"")</f>
        <v/>
      </c>
    </row>
    <row r="1722" spans="13:27">
      <c r="M1722" s="24" t="str">
        <f t="array" ref="M1722">LEFT(L1722,MIN(FIND({"A","B","C"},MID(L1722,2,LEN(L1722))&amp;"ABC")))</f>
        <v/>
      </c>
      <c r="N1722" s="24" t="str">
        <f t="array" ref="N1722">SUBSTITUTE(L1722,M1722,"")</f>
        <v/>
      </c>
      <c r="X1722" s="258" t="str">
        <f t="shared" si="74"/>
        <v/>
      </c>
      <c r="Y1722" s="36" t="str">
        <f t="shared" si="75"/>
        <v/>
      </c>
      <c r="Z1722" s="340" t="str">
        <f>IF(AND(C1722&gt;0,D1722&lt;&gt;"",S1722=""),VLOOKUP(A1722&amp;IF(H1722="黑丝","黑","白")&amp;E1722,经纬!A:M,13,FALSE)*(I1722-AB1722),"")</f>
        <v/>
      </c>
      <c r="AA1722" s="340" t="str">
        <f>IF(AND(C1722&gt;0,D1722&lt;&gt;"",S1722=""),VLOOKUP(A1722&amp;IF(H1722="黑丝","黑","白")&amp;E1722,经纬!A:N,14,FALSE)*(I1722-AB1722),"")</f>
        <v/>
      </c>
    </row>
    <row r="1723" spans="13:27">
      <c r="M1723" s="24" t="str">
        <f t="array" ref="M1723">LEFT(L1723,MIN(FIND({"A","B","C"},MID(L1723,2,LEN(L1723))&amp;"ABC")))</f>
        <v/>
      </c>
      <c r="N1723" s="24" t="str">
        <f t="array" ref="N1723">SUBSTITUTE(L1723,M1723,"")</f>
        <v/>
      </c>
      <c r="X1723" s="258" t="str">
        <f t="shared" si="74"/>
        <v/>
      </c>
      <c r="Y1723" s="36" t="str">
        <f t="shared" si="75"/>
        <v/>
      </c>
      <c r="Z1723" s="340" t="str">
        <f>IF(AND(C1723&gt;0,D1723&lt;&gt;"",S1723=""),VLOOKUP(A1723&amp;IF(H1723="黑丝","黑","白")&amp;E1723,经纬!A:M,13,FALSE)*(I1723-AB1723),"")</f>
        <v/>
      </c>
      <c r="AA1723" s="340" t="str">
        <f>IF(AND(C1723&gt;0,D1723&lt;&gt;"",S1723=""),VLOOKUP(A1723&amp;IF(H1723="黑丝","黑","白")&amp;E1723,经纬!A:N,14,FALSE)*(I1723-AB1723),"")</f>
        <v/>
      </c>
    </row>
    <row r="1724" spans="13:27">
      <c r="M1724" s="24" t="str">
        <f t="array" ref="M1724">LEFT(L1724,MIN(FIND({"A","B","C"},MID(L1724,2,LEN(L1724))&amp;"ABC")))</f>
        <v/>
      </c>
      <c r="N1724" s="24" t="str">
        <f t="array" ref="N1724">SUBSTITUTE(L1724,M1724,"")</f>
        <v/>
      </c>
      <c r="X1724" s="258" t="str">
        <f t="shared" si="74"/>
        <v/>
      </c>
      <c r="Y1724" s="36" t="str">
        <f t="shared" si="75"/>
        <v/>
      </c>
      <c r="Z1724" s="340" t="str">
        <f>IF(AND(C1724&gt;0,D1724&lt;&gt;"",S1724=""),VLOOKUP(A1724&amp;IF(H1724="黑丝","黑","白")&amp;E1724,经纬!A:M,13,FALSE)*(I1724-AB1724),"")</f>
        <v/>
      </c>
      <c r="AA1724" s="340" t="str">
        <f>IF(AND(C1724&gt;0,D1724&lt;&gt;"",S1724=""),VLOOKUP(A1724&amp;IF(H1724="黑丝","黑","白")&amp;E1724,经纬!A:N,14,FALSE)*(I1724-AB1724),"")</f>
        <v/>
      </c>
    </row>
    <row r="1725" spans="13:27">
      <c r="M1725" s="24" t="str">
        <f t="array" ref="M1725">LEFT(L1725,MIN(FIND({"A","B","C"},MID(L1725,2,LEN(L1725))&amp;"ABC")))</f>
        <v/>
      </c>
      <c r="N1725" s="24" t="str">
        <f t="array" ref="N1725">SUBSTITUTE(L1725,M1725,"")</f>
        <v/>
      </c>
      <c r="X1725" s="258" t="str">
        <f t="shared" si="74"/>
        <v/>
      </c>
      <c r="Y1725" s="36" t="str">
        <f t="shared" si="75"/>
        <v/>
      </c>
      <c r="Z1725" s="340" t="str">
        <f>IF(AND(C1725&gt;0,D1725&lt;&gt;"",S1725=""),VLOOKUP(A1725&amp;IF(H1725="黑丝","黑","白")&amp;E1725,经纬!A:M,13,FALSE)*(I1725-AB1725),"")</f>
        <v/>
      </c>
      <c r="AA1725" s="340" t="str">
        <f>IF(AND(C1725&gt;0,D1725&lt;&gt;"",S1725=""),VLOOKUP(A1725&amp;IF(H1725="黑丝","黑","白")&amp;E1725,经纬!A:N,14,FALSE)*(I1725-AB1725),"")</f>
        <v/>
      </c>
    </row>
    <row r="1726" spans="13:27">
      <c r="M1726" s="24" t="str">
        <f t="array" ref="M1726">LEFT(L1726,MIN(FIND({"A","B","C"},MID(L1726,2,LEN(L1726))&amp;"ABC")))</f>
        <v/>
      </c>
      <c r="N1726" s="24" t="str">
        <f t="array" ref="N1726">SUBSTITUTE(L1726,M1726,"")</f>
        <v/>
      </c>
      <c r="X1726" s="258" t="str">
        <f t="shared" si="74"/>
        <v/>
      </c>
      <c r="Y1726" s="36" t="str">
        <f t="shared" si="75"/>
        <v/>
      </c>
      <c r="Z1726" s="340" t="str">
        <f>IF(AND(C1726&gt;0,D1726&lt;&gt;"",S1726=""),VLOOKUP(A1726&amp;IF(H1726="黑丝","黑","白")&amp;E1726,经纬!A:M,13,FALSE)*(I1726-AB1726),"")</f>
        <v/>
      </c>
      <c r="AA1726" s="340" t="str">
        <f>IF(AND(C1726&gt;0,D1726&lt;&gt;"",S1726=""),VLOOKUP(A1726&amp;IF(H1726="黑丝","黑","白")&amp;E1726,经纬!A:N,14,FALSE)*(I1726-AB1726),"")</f>
        <v/>
      </c>
    </row>
    <row r="1727" spans="13:27">
      <c r="M1727" s="24" t="str">
        <f t="array" ref="M1727">LEFT(L1727,MIN(FIND({"A","B","C"},MID(L1727,2,LEN(L1727))&amp;"ABC")))</f>
        <v/>
      </c>
      <c r="N1727" s="24" t="str">
        <f t="array" ref="N1727">SUBSTITUTE(L1727,M1727,"")</f>
        <v/>
      </c>
      <c r="X1727" s="258" t="str">
        <f t="shared" si="74"/>
        <v/>
      </c>
      <c r="Y1727" s="36" t="str">
        <f t="shared" si="75"/>
        <v/>
      </c>
      <c r="Z1727" s="340" t="str">
        <f>IF(AND(C1727&gt;0,D1727&lt;&gt;"",S1727=""),VLOOKUP(A1727&amp;IF(H1727="黑丝","黑","白")&amp;E1727,经纬!A:M,13,FALSE)*(I1727-AB1727),"")</f>
        <v/>
      </c>
      <c r="AA1727" s="340" t="str">
        <f>IF(AND(C1727&gt;0,D1727&lt;&gt;"",S1727=""),VLOOKUP(A1727&amp;IF(H1727="黑丝","黑","白")&amp;E1727,经纬!A:N,14,FALSE)*(I1727-AB1727),"")</f>
        <v/>
      </c>
    </row>
    <row r="1728" spans="13:27">
      <c r="M1728" s="24" t="str">
        <f t="array" ref="M1728">LEFT(L1728,MIN(FIND({"A","B","C"},MID(L1728,2,LEN(L1728))&amp;"ABC")))</f>
        <v/>
      </c>
      <c r="N1728" s="24" t="str">
        <f t="array" ref="N1728">SUBSTITUTE(L1728,M1728,"")</f>
        <v/>
      </c>
      <c r="X1728" s="258" t="str">
        <f t="shared" si="74"/>
        <v/>
      </c>
      <c r="Y1728" s="36" t="str">
        <f t="shared" si="75"/>
        <v/>
      </c>
      <c r="Z1728" s="340" t="str">
        <f>IF(AND(C1728&gt;0,D1728&lt;&gt;"",S1728=""),VLOOKUP(A1728&amp;IF(H1728="黑丝","黑","白")&amp;E1728,经纬!A:M,13,FALSE)*(I1728-AB1728),"")</f>
        <v/>
      </c>
      <c r="AA1728" s="340" t="str">
        <f>IF(AND(C1728&gt;0,D1728&lt;&gt;"",S1728=""),VLOOKUP(A1728&amp;IF(H1728="黑丝","黑","白")&amp;E1728,经纬!A:N,14,FALSE)*(I1728-AB1728),"")</f>
        <v/>
      </c>
    </row>
    <row r="1729" spans="13:27">
      <c r="M1729" s="24" t="str">
        <f t="array" ref="M1729">LEFT(L1729,MIN(FIND({"A","B","C"},MID(L1729,2,LEN(L1729))&amp;"ABC")))</f>
        <v/>
      </c>
      <c r="N1729" s="24" t="str">
        <f t="array" ref="N1729">SUBSTITUTE(L1729,M1729,"")</f>
        <v/>
      </c>
      <c r="X1729" s="258" t="str">
        <f t="shared" si="74"/>
        <v/>
      </c>
      <c r="Y1729" s="36" t="str">
        <f t="shared" si="75"/>
        <v/>
      </c>
      <c r="Z1729" s="340" t="str">
        <f>IF(AND(C1729&gt;0,D1729&lt;&gt;"",S1729=""),VLOOKUP(A1729&amp;IF(H1729="黑丝","黑","白")&amp;E1729,经纬!A:M,13,FALSE)*(I1729-AB1729),"")</f>
        <v/>
      </c>
      <c r="AA1729" s="340" t="str">
        <f>IF(AND(C1729&gt;0,D1729&lt;&gt;"",S1729=""),VLOOKUP(A1729&amp;IF(H1729="黑丝","黑","白")&amp;E1729,经纬!A:N,14,FALSE)*(I1729-AB1729),"")</f>
        <v/>
      </c>
    </row>
    <row r="1730" spans="13:27">
      <c r="M1730" s="24" t="str">
        <f t="array" ref="M1730">LEFT(L1730,MIN(FIND({"A","B","C"},MID(L1730,2,LEN(L1730))&amp;"ABC")))</f>
        <v/>
      </c>
      <c r="N1730" s="24" t="str">
        <f t="array" ref="N1730">SUBSTITUTE(L1730,M1730,"")</f>
        <v/>
      </c>
      <c r="X1730" s="258" t="str">
        <f t="shared" si="74"/>
        <v/>
      </c>
      <c r="Y1730" s="36" t="str">
        <f t="shared" si="75"/>
        <v/>
      </c>
      <c r="Z1730" s="340" t="str">
        <f>IF(AND(C1730&gt;0,D1730&lt;&gt;"",S1730=""),VLOOKUP(A1730&amp;IF(H1730="黑丝","黑","白")&amp;E1730,经纬!A:M,13,FALSE)*(I1730-AB1730),"")</f>
        <v/>
      </c>
      <c r="AA1730" s="340" t="str">
        <f>IF(AND(C1730&gt;0,D1730&lt;&gt;"",S1730=""),VLOOKUP(A1730&amp;IF(H1730="黑丝","黑","白")&amp;E1730,经纬!A:N,14,FALSE)*(I1730-AB1730),"")</f>
        <v/>
      </c>
    </row>
    <row r="1731" spans="13:27">
      <c r="M1731" s="24" t="str">
        <f t="array" ref="M1731">LEFT(L1731,MIN(FIND({"A","B","C"},MID(L1731,2,LEN(L1731))&amp;"ABC")))</f>
        <v/>
      </c>
      <c r="N1731" s="24" t="str">
        <f t="array" ref="N1731">SUBSTITUTE(L1731,M1731,"")</f>
        <v/>
      </c>
      <c r="X1731" s="258" t="str">
        <f t="shared" si="74"/>
        <v/>
      </c>
      <c r="Y1731" s="36" t="str">
        <f t="shared" si="75"/>
        <v/>
      </c>
      <c r="Z1731" s="340" t="str">
        <f>IF(AND(C1731&gt;0,D1731&lt;&gt;"",S1731=""),VLOOKUP(A1731&amp;IF(H1731="黑丝","黑","白")&amp;E1731,经纬!A:M,13,FALSE)*(I1731-AB1731),"")</f>
        <v/>
      </c>
      <c r="AA1731" s="340" t="str">
        <f>IF(AND(C1731&gt;0,D1731&lt;&gt;"",S1731=""),VLOOKUP(A1731&amp;IF(H1731="黑丝","黑","白")&amp;E1731,经纬!A:N,14,FALSE)*(I1731-AB1731),"")</f>
        <v/>
      </c>
    </row>
    <row r="1732" spans="13:27">
      <c r="M1732" s="24" t="str">
        <f t="array" ref="M1732">LEFT(L1732,MIN(FIND({"A","B","C"},MID(L1732,2,LEN(L1732))&amp;"ABC")))</f>
        <v/>
      </c>
      <c r="N1732" s="24" t="str">
        <f t="array" ref="N1732">SUBSTITUTE(L1732,M1732,"")</f>
        <v/>
      </c>
      <c r="X1732" s="258" t="str">
        <f t="shared" si="74"/>
        <v/>
      </c>
      <c r="Y1732" s="36" t="str">
        <f t="shared" si="75"/>
        <v/>
      </c>
      <c r="Z1732" s="340" t="str">
        <f>IF(AND(C1732&gt;0,D1732&lt;&gt;"",S1732=""),VLOOKUP(A1732&amp;IF(H1732="黑丝","黑","白")&amp;E1732,经纬!A:M,13,FALSE)*(I1732-AB1732),"")</f>
        <v/>
      </c>
      <c r="AA1732" s="340" t="str">
        <f>IF(AND(C1732&gt;0,D1732&lt;&gt;"",S1732=""),VLOOKUP(A1732&amp;IF(H1732="黑丝","黑","白")&amp;E1732,经纬!A:N,14,FALSE)*(I1732-AB1732),"")</f>
        <v/>
      </c>
    </row>
    <row r="1733" spans="13:27">
      <c r="M1733" s="24" t="str">
        <f t="array" ref="M1733">LEFT(L1733,MIN(FIND({"A","B","C"},MID(L1733,2,LEN(L1733))&amp;"ABC")))</f>
        <v/>
      </c>
      <c r="N1733" s="24" t="str">
        <f t="array" ref="N1733">SUBSTITUTE(L1733,M1733,"")</f>
        <v/>
      </c>
      <c r="X1733" s="258" t="str">
        <f t="shared" si="74"/>
        <v/>
      </c>
      <c r="Y1733" s="36" t="str">
        <f t="shared" si="75"/>
        <v/>
      </c>
      <c r="Z1733" s="340" t="str">
        <f>IF(AND(C1733&gt;0,D1733&lt;&gt;"",S1733=""),VLOOKUP(A1733&amp;IF(H1733="黑丝","黑","白")&amp;E1733,经纬!A:M,13,FALSE)*(I1733-AB1733),"")</f>
        <v/>
      </c>
      <c r="AA1733" s="340" t="str">
        <f>IF(AND(C1733&gt;0,D1733&lt;&gt;"",S1733=""),VLOOKUP(A1733&amp;IF(H1733="黑丝","黑","白")&amp;E1733,经纬!A:N,14,FALSE)*(I1733-AB1733),"")</f>
        <v/>
      </c>
    </row>
    <row r="1734" spans="13:27">
      <c r="M1734" s="24" t="str">
        <f t="array" ref="M1734">LEFT(L1734,MIN(FIND({"A","B","C"},MID(L1734,2,LEN(L1734))&amp;"ABC")))</f>
        <v/>
      </c>
      <c r="N1734" s="24" t="str">
        <f t="array" ref="N1734">SUBSTITUTE(L1734,M1734,"")</f>
        <v/>
      </c>
      <c r="X1734" s="258" t="str">
        <f t="shared" si="74"/>
        <v/>
      </c>
      <c r="Y1734" s="36" t="str">
        <f t="shared" si="75"/>
        <v/>
      </c>
      <c r="Z1734" s="340" t="str">
        <f>IF(AND(C1734&gt;0,D1734&lt;&gt;"",S1734=""),VLOOKUP(A1734&amp;IF(H1734="黑丝","黑","白")&amp;E1734,经纬!A:M,13,FALSE)*(I1734-AB1734),"")</f>
        <v/>
      </c>
      <c r="AA1734" s="340" t="str">
        <f>IF(AND(C1734&gt;0,D1734&lt;&gt;"",S1734=""),VLOOKUP(A1734&amp;IF(H1734="黑丝","黑","白")&amp;E1734,经纬!A:N,14,FALSE)*(I1734-AB1734),"")</f>
        <v/>
      </c>
    </row>
    <row r="1735" spans="13:27">
      <c r="M1735" s="24" t="str">
        <f t="array" ref="M1735">LEFT(L1735,MIN(FIND({"A","B","C"},MID(L1735,2,LEN(L1735))&amp;"ABC")))</f>
        <v/>
      </c>
      <c r="N1735" s="24" t="str">
        <f t="array" ref="N1735">SUBSTITUTE(L1735,M1735,"")</f>
        <v/>
      </c>
      <c r="X1735" s="258" t="str">
        <f t="shared" si="74"/>
        <v/>
      </c>
      <c r="Y1735" s="36" t="str">
        <f t="shared" si="75"/>
        <v/>
      </c>
      <c r="Z1735" s="340" t="str">
        <f>IF(AND(C1735&gt;0,D1735&lt;&gt;"",S1735=""),VLOOKUP(A1735&amp;IF(H1735="黑丝","黑","白")&amp;E1735,经纬!A:M,13,FALSE)*(I1735-AB1735),"")</f>
        <v/>
      </c>
      <c r="AA1735" s="340" t="str">
        <f>IF(AND(C1735&gt;0,D1735&lt;&gt;"",S1735=""),VLOOKUP(A1735&amp;IF(H1735="黑丝","黑","白")&amp;E1735,经纬!A:N,14,FALSE)*(I1735-AB1735),"")</f>
        <v/>
      </c>
    </row>
    <row r="1736" spans="13:27">
      <c r="M1736" s="24" t="str">
        <f t="array" ref="M1736">LEFT(L1736,MIN(FIND({"A","B","C"},MID(L1736,2,LEN(L1736))&amp;"ABC")))</f>
        <v/>
      </c>
      <c r="N1736" s="24" t="str">
        <f t="array" ref="N1736">SUBSTITUTE(L1736,M1736,"")</f>
        <v/>
      </c>
      <c r="X1736" s="258" t="str">
        <f t="shared" si="74"/>
        <v/>
      </c>
      <c r="Y1736" s="36" t="str">
        <f t="shared" si="75"/>
        <v/>
      </c>
      <c r="Z1736" s="340" t="str">
        <f>IF(AND(C1736&gt;0,D1736&lt;&gt;"",S1736=""),VLOOKUP(A1736&amp;IF(H1736="黑丝","黑","白")&amp;E1736,经纬!A:M,13,FALSE)*(I1736-AB1736),"")</f>
        <v/>
      </c>
      <c r="AA1736" s="340" t="str">
        <f>IF(AND(C1736&gt;0,D1736&lt;&gt;"",S1736=""),VLOOKUP(A1736&amp;IF(H1736="黑丝","黑","白")&amp;E1736,经纬!A:N,14,FALSE)*(I1736-AB1736),"")</f>
        <v/>
      </c>
    </row>
    <row r="1737" spans="13:27">
      <c r="M1737" s="24" t="str">
        <f t="array" ref="M1737">LEFT(L1737,MIN(FIND({"A","B","C"},MID(L1737,2,LEN(L1737))&amp;"ABC")))</f>
        <v/>
      </c>
      <c r="N1737" s="24" t="str">
        <f t="array" ref="N1737">SUBSTITUTE(L1737,M1737,"")</f>
        <v/>
      </c>
      <c r="X1737" s="258" t="str">
        <f t="shared" si="74"/>
        <v/>
      </c>
      <c r="Y1737" s="36" t="str">
        <f t="shared" si="75"/>
        <v/>
      </c>
      <c r="Z1737" s="340" t="str">
        <f>IF(AND(C1737&gt;0,D1737&lt;&gt;"",S1737=""),VLOOKUP(A1737&amp;IF(H1737="黑丝","黑","白")&amp;E1737,经纬!A:M,13,FALSE)*(I1737-AB1737),"")</f>
        <v/>
      </c>
      <c r="AA1737" s="340" t="str">
        <f>IF(AND(C1737&gt;0,D1737&lt;&gt;"",S1737=""),VLOOKUP(A1737&amp;IF(H1737="黑丝","黑","白")&amp;E1737,经纬!A:N,14,FALSE)*(I1737-AB1737),"")</f>
        <v/>
      </c>
    </row>
    <row r="1738" spans="13:27">
      <c r="M1738" s="24" t="str">
        <f t="array" ref="M1738">LEFT(L1738,MIN(FIND({"A","B","C"},MID(L1738,2,LEN(L1738))&amp;"ABC")))</f>
        <v/>
      </c>
      <c r="N1738" s="24" t="str">
        <f t="array" ref="N1738">SUBSTITUTE(L1738,M1738,"")</f>
        <v/>
      </c>
      <c r="X1738" s="258" t="str">
        <f t="shared" si="74"/>
        <v/>
      </c>
      <c r="Y1738" s="36" t="str">
        <f t="shared" si="75"/>
        <v/>
      </c>
      <c r="Z1738" s="340" t="str">
        <f>IF(AND(C1738&gt;0,D1738&lt;&gt;"",S1738=""),VLOOKUP(A1738&amp;IF(H1738="黑丝","黑","白")&amp;E1738,经纬!A:M,13,FALSE)*(I1738-AB1738),"")</f>
        <v/>
      </c>
      <c r="AA1738" s="340" t="str">
        <f>IF(AND(C1738&gt;0,D1738&lt;&gt;"",S1738=""),VLOOKUP(A1738&amp;IF(H1738="黑丝","黑","白")&amp;E1738,经纬!A:N,14,FALSE)*(I1738-AB1738),"")</f>
        <v/>
      </c>
    </row>
    <row r="1739" spans="13:27">
      <c r="M1739" s="24" t="str">
        <f t="array" ref="M1739">LEFT(L1739,MIN(FIND({"A","B","C"},MID(L1739,2,LEN(L1739))&amp;"ABC")))</f>
        <v/>
      </c>
      <c r="N1739" s="24" t="str">
        <f t="array" ref="N1739">SUBSTITUTE(L1739,M1739,"")</f>
        <v/>
      </c>
      <c r="X1739" s="258" t="str">
        <f t="shared" si="74"/>
        <v/>
      </c>
      <c r="Y1739" s="36" t="str">
        <f t="shared" si="75"/>
        <v/>
      </c>
      <c r="Z1739" s="340" t="str">
        <f>IF(AND(C1739&gt;0,D1739&lt;&gt;"",S1739=""),VLOOKUP(A1739&amp;IF(H1739="黑丝","黑","白")&amp;E1739,经纬!A:M,13,FALSE)*(I1739-AB1739),"")</f>
        <v/>
      </c>
      <c r="AA1739" s="340" t="str">
        <f>IF(AND(C1739&gt;0,D1739&lt;&gt;"",S1739=""),VLOOKUP(A1739&amp;IF(H1739="黑丝","黑","白")&amp;E1739,经纬!A:N,14,FALSE)*(I1739-AB1739),"")</f>
        <v/>
      </c>
    </row>
    <row r="1740" spans="13:27">
      <c r="M1740" s="24" t="str">
        <f t="array" ref="M1740">LEFT(L1740,MIN(FIND({"A","B","C"},MID(L1740,2,LEN(L1740))&amp;"ABC")))</f>
        <v/>
      </c>
      <c r="N1740" s="24" t="str">
        <f t="array" ref="N1740">SUBSTITUTE(L1740,M1740,"")</f>
        <v/>
      </c>
      <c r="X1740" s="258" t="str">
        <f t="shared" si="74"/>
        <v/>
      </c>
      <c r="Y1740" s="36" t="str">
        <f t="shared" si="75"/>
        <v/>
      </c>
      <c r="Z1740" s="340" t="str">
        <f>IF(AND(C1740&gt;0,D1740&lt;&gt;"",S1740=""),VLOOKUP(A1740&amp;IF(H1740="黑丝","黑","白")&amp;E1740,经纬!A:M,13,FALSE)*(I1740-AB1740),"")</f>
        <v/>
      </c>
      <c r="AA1740" s="340" t="str">
        <f>IF(AND(C1740&gt;0,D1740&lt;&gt;"",S1740=""),VLOOKUP(A1740&amp;IF(H1740="黑丝","黑","白")&amp;E1740,经纬!A:N,14,FALSE)*(I1740-AB1740),"")</f>
        <v/>
      </c>
    </row>
    <row r="1741" spans="13:27">
      <c r="M1741" s="24" t="str">
        <f t="array" ref="M1741">LEFT(L1741,MIN(FIND({"A","B","C"},MID(L1741,2,LEN(L1741))&amp;"ABC")))</f>
        <v/>
      </c>
      <c r="N1741" s="24" t="str">
        <f t="array" ref="N1741">SUBSTITUTE(L1741,M1741,"")</f>
        <v/>
      </c>
      <c r="X1741" s="258" t="str">
        <f t="shared" si="74"/>
        <v/>
      </c>
      <c r="Y1741" s="36" t="str">
        <f t="shared" si="75"/>
        <v/>
      </c>
      <c r="Z1741" s="340" t="str">
        <f>IF(AND(C1741&gt;0,D1741&lt;&gt;"",S1741=""),VLOOKUP(A1741&amp;IF(H1741="黑丝","黑","白")&amp;E1741,经纬!A:M,13,FALSE)*(I1741-AB1741),"")</f>
        <v/>
      </c>
      <c r="AA1741" s="340" t="str">
        <f>IF(AND(C1741&gt;0,D1741&lt;&gt;"",S1741=""),VLOOKUP(A1741&amp;IF(H1741="黑丝","黑","白")&amp;E1741,经纬!A:N,14,FALSE)*(I1741-AB1741),"")</f>
        <v/>
      </c>
    </row>
    <row r="1742" spans="13:27">
      <c r="M1742" s="24" t="str">
        <f t="array" ref="M1742">LEFT(L1742,MIN(FIND({"A","B","C"},MID(L1742,2,LEN(L1742))&amp;"ABC")))</f>
        <v/>
      </c>
      <c r="N1742" s="24" t="str">
        <f t="array" ref="N1742">SUBSTITUTE(L1742,M1742,"")</f>
        <v/>
      </c>
      <c r="X1742" s="258" t="str">
        <f t="shared" si="74"/>
        <v/>
      </c>
      <c r="Y1742" s="36" t="str">
        <f t="shared" si="75"/>
        <v/>
      </c>
      <c r="Z1742" s="340" t="str">
        <f>IF(AND(C1742&gt;0,D1742&lt;&gt;"",S1742=""),VLOOKUP(A1742&amp;IF(H1742="黑丝","黑","白")&amp;E1742,经纬!A:M,13,FALSE)*(I1742-AB1742),"")</f>
        <v/>
      </c>
      <c r="AA1742" s="340" t="str">
        <f>IF(AND(C1742&gt;0,D1742&lt;&gt;"",S1742=""),VLOOKUP(A1742&amp;IF(H1742="黑丝","黑","白")&amp;E1742,经纬!A:N,14,FALSE)*(I1742-AB1742),"")</f>
        <v/>
      </c>
    </row>
    <row r="1743" spans="13:27">
      <c r="M1743" s="24" t="str">
        <f t="array" ref="M1743">LEFT(L1743,MIN(FIND({"A","B","C"},MID(L1743,2,LEN(L1743))&amp;"ABC")))</f>
        <v/>
      </c>
      <c r="N1743" s="24" t="str">
        <f t="array" ref="N1743">SUBSTITUTE(L1743,M1743,"")</f>
        <v/>
      </c>
      <c r="X1743" s="258" t="str">
        <f t="shared" si="74"/>
        <v/>
      </c>
      <c r="Y1743" s="36" t="str">
        <f t="shared" si="75"/>
        <v/>
      </c>
      <c r="Z1743" s="340" t="str">
        <f>IF(AND(C1743&gt;0,D1743&lt;&gt;"",S1743=""),VLOOKUP(A1743&amp;IF(H1743="黑丝","黑","白")&amp;E1743,经纬!A:M,13,FALSE)*(I1743-AB1743),"")</f>
        <v/>
      </c>
      <c r="AA1743" s="340" t="str">
        <f>IF(AND(C1743&gt;0,D1743&lt;&gt;"",S1743=""),VLOOKUP(A1743&amp;IF(H1743="黑丝","黑","白")&amp;E1743,经纬!A:N,14,FALSE)*(I1743-AB1743),"")</f>
        <v/>
      </c>
    </row>
    <row r="1744" spans="13:27">
      <c r="M1744" s="24" t="str">
        <f t="array" ref="M1744">LEFT(L1744,MIN(FIND({"A","B","C"},MID(L1744,2,LEN(L1744))&amp;"ABC")))</f>
        <v/>
      </c>
      <c r="N1744" s="24" t="str">
        <f t="array" ref="N1744">SUBSTITUTE(L1744,M1744,"")</f>
        <v/>
      </c>
      <c r="X1744" s="258" t="str">
        <f t="shared" si="74"/>
        <v/>
      </c>
      <c r="Y1744" s="36" t="str">
        <f t="shared" si="75"/>
        <v/>
      </c>
      <c r="Z1744" s="340" t="str">
        <f>IF(AND(C1744&gt;0,D1744&lt;&gt;"",S1744=""),VLOOKUP(A1744&amp;IF(H1744="黑丝","黑","白")&amp;E1744,经纬!A:M,13,FALSE)*(I1744-AB1744),"")</f>
        <v/>
      </c>
      <c r="AA1744" s="340" t="str">
        <f>IF(AND(C1744&gt;0,D1744&lt;&gt;"",S1744=""),VLOOKUP(A1744&amp;IF(H1744="黑丝","黑","白")&amp;E1744,经纬!A:N,14,FALSE)*(I1744-AB1744),"")</f>
        <v/>
      </c>
    </row>
    <row r="1745" spans="13:27">
      <c r="M1745" s="24" t="str">
        <f t="array" ref="M1745">LEFT(L1745,MIN(FIND({"A","B","C"},MID(L1745,2,LEN(L1745))&amp;"ABC")))</f>
        <v/>
      </c>
      <c r="N1745" s="24" t="str">
        <f t="array" ref="N1745">SUBSTITUTE(L1745,M1745,"")</f>
        <v/>
      </c>
      <c r="X1745" s="258" t="str">
        <f t="shared" si="74"/>
        <v/>
      </c>
      <c r="Y1745" s="36" t="str">
        <f t="shared" si="75"/>
        <v/>
      </c>
      <c r="Z1745" s="340" t="str">
        <f>IF(AND(C1745&gt;0,D1745&lt;&gt;"",S1745=""),VLOOKUP(A1745&amp;IF(H1745="黑丝","黑","白")&amp;E1745,经纬!A:M,13,FALSE)*(I1745-AB1745),"")</f>
        <v/>
      </c>
      <c r="AA1745" s="340" t="str">
        <f>IF(AND(C1745&gt;0,D1745&lt;&gt;"",S1745=""),VLOOKUP(A1745&amp;IF(H1745="黑丝","黑","白")&amp;E1745,经纬!A:N,14,FALSE)*(I1745-AB1745),"")</f>
        <v/>
      </c>
    </row>
    <row r="1746" spans="13:27">
      <c r="M1746" s="24" t="str">
        <f t="array" ref="M1746">LEFT(L1746,MIN(FIND({"A","B","C"},MID(L1746,2,LEN(L1746))&amp;"ABC")))</f>
        <v/>
      </c>
      <c r="N1746" s="24" t="str">
        <f t="array" ref="N1746">SUBSTITUTE(L1746,M1746,"")</f>
        <v/>
      </c>
      <c r="X1746" s="258" t="str">
        <f t="shared" si="74"/>
        <v/>
      </c>
      <c r="Y1746" s="36" t="str">
        <f t="shared" si="75"/>
        <v/>
      </c>
      <c r="Z1746" s="340" t="str">
        <f>IF(AND(C1746&gt;0,D1746&lt;&gt;"",S1746=""),VLOOKUP(A1746&amp;IF(H1746="黑丝","黑","白")&amp;E1746,经纬!A:M,13,FALSE)*(I1746-AB1746),"")</f>
        <v/>
      </c>
      <c r="AA1746" s="340" t="str">
        <f>IF(AND(C1746&gt;0,D1746&lt;&gt;"",S1746=""),VLOOKUP(A1746&amp;IF(H1746="黑丝","黑","白")&amp;E1746,经纬!A:N,14,FALSE)*(I1746-AB1746),"")</f>
        <v/>
      </c>
    </row>
    <row r="1747" spans="13:27">
      <c r="M1747" s="24" t="str">
        <f t="array" ref="M1747">LEFT(L1747,MIN(FIND({"A","B","C"},MID(L1747,2,LEN(L1747))&amp;"ABC")))</f>
        <v/>
      </c>
      <c r="N1747" s="24" t="str">
        <f t="array" ref="N1747">SUBSTITUTE(L1747,M1747,"")</f>
        <v/>
      </c>
      <c r="X1747" s="258" t="str">
        <f t="shared" si="74"/>
        <v/>
      </c>
      <c r="Y1747" s="36" t="str">
        <f t="shared" si="75"/>
        <v/>
      </c>
      <c r="Z1747" s="340" t="str">
        <f>IF(AND(C1747&gt;0,D1747&lt;&gt;"",S1747=""),VLOOKUP(A1747&amp;IF(H1747="黑丝","黑","白")&amp;E1747,经纬!A:M,13,FALSE)*(I1747-AB1747),"")</f>
        <v/>
      </c>
      <c r="AA1747" s="340" t="str">
        <f>IF(AND(C1747&gt;0,D1747&lt;&gt;"",S1747=""),VLOOKUP(A1747&amp;IF(H1747="黑丝","黑","白")&amp;E1747,经纬!A:N,14,FALSE)*(I1747-AB1747),"")</f>
        <v/>
      </c>
    </row>
    <row r="1748" spans="13:27">
      <c r="M1748" s="24" t="str">
        <f t="array" ref="M1748">LEFT(L1748,MIN(FIND({"A","B","C"},MID(L1748,2,LEN(L1748))&amp;"ABC")))</f>
        <v/>
      </c>
      <c r="N1748" s="24" t="str">
        <f t="array" ref="N1748">SUBSTITUTE(L1748,M1748,"")</f>
        <v/>
      </c>
      <c r="X1748" s="258" t="str">
        <f t="shared" si="74"/>
        <v/>
      </c>
      <c r="Y1748" s="36" t="str">
        <f t="shared" si="75"/>
        <v/>
      </c>
      <c r="Z1748" s="340" t="str">
        <f>IF(AND(C1748&gt;0,D1748&lt;&gt;"",S1748=""),VLOOKUP(A1748&amp;IF(H1748="黑丝","黑","白")&amp;E1748,经纬!A:M,13,FALSE)*(I1748-AB1748),"")</f>
        <v/>
      </c>
      <c r="AA1748" s="340" t="str">
        <f>IF(AND(C1748&gt;0,D1748&lt;&gt;"",S1748=""),VLOOKUP(A1748&amp;IF(H1748="黑丝","黑","白")&amp;E1748,经纬!A:N,14,FALSE)*(I1748-AB1748),"")</f>
        <v/>
      </c>
    </row>
    <row r="1749" spans="13:27">
      <c r="M1749" s="24" t="str">
        <f t="array" ref="M1749">LEFT(L1749,MIN(FIND({"A","B","C"},MID(L1749,2,LEN(L1749))&amp;"ABC")))</f>
        <v/>
      </c>
      <c r="N1749" s="24" t="str">
        <f t="array" ref="N1749">SUBSTITUTE(L1749,M1749,"")</f>
        <v/>
      </c>
      <c r="X1749" s="258" t="str">
        <f t="shared" si="74"/>
        <v/>
      </c>
      <c r="Y1749" s="36" t="str">
        <f t="shared" si="75"/>
        <v/>
      </c>
      <c r="Z1749" s="340" t="str">
        <f>IF(AND(C1749&gt;0,D1749&lt;&gt;"",S1749=""),VLOOKUP(A1749&amp;IF(H1749="黑丝","黑","白")&amp;E1749,经纬!A:M,13,FALSE)*(I1749-AB1749),"")</f>
        <v/>
      </c>
      <c r="AA1749" s="340" t="str">
        <f>IF(AND(C1749&gt;0,D1749&lt;&gt;"",S1749=""),VLOOKUP(A1749&amp;IF(H1749="黑丝","黑","白")&amp;E1749,经纬!A:N,14,FALSE)*(I1749-AB1749),"")</f>
        <v/>
      </c>
    </row>
    <row r="1750" spans="13:27">
      <c r="M1750" s="24" t="str">
        <f t="array" ref="M1750">LEFT(L1750,MIN(FIND({"A","B","C"},MID(L1750,2,LEN(L1750))&amp;"ABC")))</f>
        <v/>
      </c>
      <c r="N1750" s="24" t="str">
        <f t="array" ref="N1750">SUBSTITUTE(L1750,M1750,"")</f>
        <v/>
      </c>
      <c r="X1750" s="258" t="str">
        <f t="shared" si="74"/>
        <v/>
      </c>
      <c r="Y1750" s="36" t="str">
        <f t="shared" si="75"/>
        <v/>
      </c>
      <c r="Z1750" s="340" t="str">
        <f>IF(AND(C1750&gt;0,D1750&lt;&gt;"",S1750=""),VLOOKUP(A1750&amp;IF(H1750="黑丝","黑","白")&amp;E1750,经纬!A:M,13,FALSE)*(I1750-AB1750),"")</f>
        <v/>
      </c>
      <c r="AA1750" s="340" t="str">
        <f>IF(AND(C1750&gt;0,D1750&lt;&gt;"",S1750=""),VLOOKUP(A1750&amp;IF(H1750="黑丝","黑","白")&amp;E1750,经纬!A:N,14,FALSE)*(I1750-AB1750),"")</f>
        <v/>
      </c>
    </row>
    <row r="1751" spans="13:27">
      <c r="M1751" s="24" t="str">
        <f t="array" ref="M1751">LEFT(L1751,MIN(FIND({"A","B","C"},MID(L1751,2,LEN(L1751))&amp;"ABC")))</f>
        <v/>
      </c>
      <c r="N1751" s="24" t="str">
        <f t="array" ref="N1751">SUBSTITUTE(L1751,M1751,"")</f>
        <v/>
      </c>
      <c r="X1751" s="258" t="str">
        <f t="shared" si="74"/>
        <v/>
      </c>
      <c r="Y1751" s="36" t="str">
        <f t="shared" si="75"/>
        <v/>
      </c>
      <c r="Z1751" s="340" t="str">
        <f>IF(AND(C1751&gt;0,D1751&lt;&gt;"",S1751=""),VLOOKUP(A1751&amp;IF(H1751="黑丝","黑","白")&amp;E1751,经纬!A:M,13,FALSE)*(I1751-AB1751),"")</f>
        <v/>
      </c>
      <c r="AA1751" s="340" t="str">
        <f>IF(AND(C1751&gt;0,D1751&lt;&gt;"",S1751=""),VLOOKUP(A1751&amp;IF(H1751="黑丝","黑","白")&amp;E1751,经纬!A:N,14,FALSE)*(I1751-AB1751),"")</f>
        <v/>
      </c>
    </row>
    <row r="1752" spans="13:27">
      <c r="M1752" s="24" t="str">
        <f t="array" ref="M1752">LEFT(L1752,MIN(FIND({"A","B","C"},MID(L1752,2,LEN(L1752))&amp;"ABC")))</f>
        <v/>
      </c>
      <c r="N1752" s="24" t="str">
        <f t="array" ref="N1752">SUBSTITUTE(L1752,M1752,"")</f>
        <v/>
      </c>
      <c r="X1752" s="258" t="str">
        <f t="shared" si="74"/>
        <v/>
      </c>
      <c r="Y1752" s="36" t="str">
        <f t="shared" si="75"/>
        <v/>
      </c>
      <c r="Z1752" s="340" t="str">
        <f>IF(AND(C1752&gt;0,D1752&lt;&gt;"",S1752=""),VLOOKUP(A1752&amp;IF(H1752="黑丝","黑","白")&amp;E1752,经纬!A:M,13,FALSE)*(I1752-AB1752),"")</f>
        <v/>
      </c>
      <c r="AA1752" s="340" t="str">
        <f>IF(AND(C1752&gt;0,D1752&lt;&gt;"",S1752=""),VLOOKUP(A1752&amp;IF(H1752="黑丝","黑","白")&amp;E1752,经纬!A:N,14,FALSE)*(I1752-AB1752),"")</f>
        <v/>
      </c>
    </row>
    <row r="1753" spans="13:27">
      <c r="M1753" s="24" t="str">
        <f t="array" ref="M1753">LEFT(L1753,MIN(FIND({"A","B","C"},MID(L1753,2,LEN(L1753))&amp;"ABC")))</f>
        <v/>
      </c>
      <c r="N1753" s="24" t="str">
        <f t="array" ref="N1753">SUBSTITUTE(L1753,M1753,"")</f>
        <v/>
      </c>
      <c r="X1753" s="258" t="str">
        <f t="shared" si="74"/>
        <v/>
      </c>
      <c r="Y1753" s="36" t="str">
        <f t="shared" si="75"/>
        <v/>
      </c>
      <c r="Z1753" s="340" t="str">
        <f>IF(AND(C1753&gt;0,D1753&lt;&gt;"",S1753=""),VLOOKUP(A1753&amp;IF(H1753="黑丝","黑","白")&amp;E1753,经纬!A:M,13,FALSE)*(I1753-AB1753),"")</f>
        <v/>
      </c>
      <c r="AA1753" s="340" t="str">
        <f>IF(AND(C1753&gt;0,D1753&lt;&gt;"",S1753=""),VLOOKUP(A1753&amp;IF(H1753="黑丝","黑","白")&amp;E1753,经纬!A:N,14,FALSE)*(I1753-AB1753),"")</f>
        <v/>
      </c>
    </row>
    <row r="1754" spans="13:27">
      <c r="M1754" s="24" t="str">
        <f t="array" ref="M1754">LEFT(L1754,MIN(FIND({"A","B","C"},MID(L1754,2,LEN(L1754))&amp;"ABC")))</f>
        <v/>
      </c>
      <c r="N1754" s="24" t="str">
        <f t="array" ref="N1754">SUBSTITUTE(L1754,M1754,"")</f>
        <v/>
      </c>
      <c r="X1754" s="258" t="str">
        <f t="shared" si="74"/>
        <v/>
      </c>
      <c r="Y1754" s="36" t="str">
        <f t="shared" si="75"/>
        <v/>
      </c>
      <c r="Z1754" s="340" t="str">
        <f>IF(AND(C1754&gt;0,D1754&lt;&gt;"",S1754=""),VLOOKUP(A1754&amp;IF(H1754="黑丝","黑","白")&amp;E1754,经纬!A:M,13,FALSE)*(I1754-AB1754),"")</f>
        <v/>
      </c>
      <c r="AA1754" s="340" t="str">
        <f>IF(AND(C1754&gt;0,D1754&lt;&gt;"",S1754=""),VLOOKUP(A1754&amp;IF(H1754="黑丝","黑","白")&amp;E1754,经纬!A:N,14,FALSE)*(I1754-AB1754),"")</f>
        <v/>
      </c>
    </row>
    <row r="1755" spans="13:27">
      <c r="M1755" s="24" t="str">
        <f t="array" ref="M1755">LEFT(L1755,MIN(FIND({"A","B","C"},MID(L1755,2,LEN(L1755))&amp;"ABC")))</f>
        <v/>
      </c>
      <c r="N1755" s="24" t="str">
        <f t="array" ref="N1755">SUBSTITUTE(L1755,M1755,"")</f>
        <v/>
      </c>
      <c r="X1755" s="258" t="str">
        <f t="shared" si="74"/>
        <v/>
      </c>
      <c r="Y1755" s="36" t="str">
        <f t="shared" si="75"/>
        <v/>
      </c>
      <c r="Z1755" s="340" t="str">
        <f>IF(AND(C1755&gt;0,D1755&lt;&gt;"",S1755=""),VLOOKUP(A1755&amp;IF(H1755="黑丝","黑","白")&amp;E1755,经纬!A:M,13,FALSE)*(I1755-AB1755),"")</f>
        <v/>
      </c>
      <c r="AA1755" s="340" t="str">
        <f>IF(AND(C1755&gt;0,D1755&lt;&gt;"",S1755=""),VLOOKUP(A1755&amp;IF(H1755="黑丝","黑","白")&amp;E1755,经纬!A:N,14,FALSE)*(I1755-AB1755),"")</f>
        <v/>
      </c>
    </row>
    <row r="1756" spans="13:27">
      <c r="M1756" s="24" t="str">
        <f t="array" ref="M1756">LEFT(L1756,MIN(FIND({"A","B","C"},MID(L1756,2,LEN(L1756))&amp;"ABC")))</f>
        <v/>
      </c>
      <c r="N1756" s="24" t="str">
        <f t="array" ref="N1756">SUBSTITUTE(L1756,M1756,"")</f>
        <v/>
      </c>
      <c r="X1756" s="258" t="str">
        <f t="shared" ref="X1756:X1819" si="76">IF(B1756="","",IF(S1756&lt;&gt;"","",IF(AND(Z1756&lt;&gt;"",AA1756&lt;&gt;""),SUM(Z1756:AA1756),IF(AB1756&lt;&gt;"",(I1756/((1/((G1756+2)/100*K1756/1000))*0.9144)/IF(H1756="黑丝",22,20)-AB1756)*(IF(H1756="黑丝",22,20)),I1756/((1/((G1756+2)/100*K1756/1000))*0.9144)))))</f>
        <v/>
      </c>
      <c r="Y1756" s="36" t="str">
        <f t="shared" si="75"/>
        <v/>
      </c>
      <c r="Z1756" s="340" t="str">
        <f>IF(AND(C1756&gt;0,D1756&lt;&gt;"",S1756=""),VLOOKUP(A1756&amp;IF(H1756="黑丝","黑","白")&amp;E1756,经纬!A:M,13,FALSE)*(I1756-AB1756),"")</f>
        <v/>
      </c>
      <c r="AA1756" s="340" t="str">
        <f>IF(AND(C1756&gt;0,D1756&lt;&gt;"",S1756=""),VLOOKUP(A1756&amp;IF(H1756="黑丝","黑","白")&amp;E1756,经纬!A:N,14,FALSE)*(I1756-AB1756),"")</f>
        <v/>
      </c>
    </row>
    <row r="1757" spans="13:27">
      <c r="M1757" s="24" t="str">
        <f t="array" ref="M1757">LEFT(L1757,MIN(FIND({"A","B","C"},MID(L1757,2,LEN(L1757))&amp;"ABC")))</f>
        <v/>
      </c>
      <c r="N1757" s="24" t="str">
        <f t="array" ref="N1757">SUBSTITUTE(L1757,M1757,"")</f>
        <v/>
      </c>
      <c r="X1757" s="258" t="str">
        <f t="shared" si="76"/>
        <v/>
      </c>
      <c r="Y1757" s="36" t="str">
        <f t="shared" si="75"/>
        <v/>
      </c>
      <c r="Z1757" s="340" t="str">
        <f>IF(AND(C1757&gt;0,D1757&lt;&gt;"",S1757=""),VLOOKUP(A1757&amp;IF(H1757="黑丝","黑","白")&amp;E1757,经纬!A:M,13,FALSE)*(I1757-AB1757),"")</f>
        <v/>
      </c>
      <c r="AA1757" s="340" t="str">
        <f>IF(AND(C1757&gt;0,D1757&lt;&gt;"",S1757=""),VLOOKUP(A1757&amp;IF(H1757="黑丝","黑","白")&amp;E1757,经纬!A:N,14,FALSE)*(I1757-AB1757),"")</f>
        <v/>
      </c>
    </row>
    <row r="1758" spans="13:27">
      <c r="M1758" s="24" t="str">
        <f t="array" ref="M1758">LEFT(L1758,MIN(FIND({"A","B","C"},MID(L1758,2,LEN(L1758))&amp;"ABC")))</f>
        <v/>
      </c>
      <c r="N1758" s="24" t="str">
        <f t="array" ref="N1758">SUBSTITUTE(L1758,M1758,"")</f>
        <v/>
      </c>
      <c r="X1758" s="258" t="str">
        <f t="shared" si="76"/>
        <v/>
      </c>
      <c r="Y1758" s="36" t="str">
        <f t="shared" si="75"/>
        <v/>
      </c>
      <c r="Z1758" s="340" t="str">
        <f>IF(AND(C1758&gt;0,D1758&lt;&gt;"",S1758=""),VLOOKUP(A1758&amp;IF(H1758="黑丝","黑","白")&amp;E1758,经纬!A:M,13,FALSE)*(I1758-AB1758),"")</f>
        <v/>
      </c>
      <c r="AA1758" s="340" t="str">
        <f>IF(AND(C1758&gt;0,D1758&lt;&gt;"",S1758=""),VLOOKUP(A1758&amp;IF(H1758="黑丝","黑","白")&amp;E1758,经纬!A:N,14,FALSE)*(I1758-AB1758),"")</f>
        <v/>
      </c>
    </row>
    <row r="1759" spans="13:27">
      <c r="M1759" s="24" t="str">
        <f t="array" ref="M1759">LEFT(L1759,MIN(FIND({"A","B","C"},MID(L1759,2,LEN(L1759))&amp;"ABC")))</f>
        <v/>
      </c>
      <c r="N1759" s="24" t="str">
        <f t="array" ref="N1759">SUBSTITUTE(L1759,M1759,"")</f>
        <v/>
      </c>
      <c r="X1759" s="258" t="str">
        <f t="shared" si="76"/>
        <v/>
      </c>
      <c r="Y1759" s="36" t="str">
        <f t="shared" si="75"/>
        <v/>
      </c>
      <c r="Z1759" s="340" t="str">
        <f>IF(AND(C1759&gt;0,D1759&lt;&gt;"",S1759=""),VLOOKUP(A1759&amp;IF(H1759="黑丝","黑","白")&amp;E1759,经纬!A:M,13,FALSE)*(I1759-AB1759),"")</f>
        <v/>
      </c>
      <c r="AA1759" s="340" t="str">
        <f>IF(AND(C1759&gt;0,D1759&lt;&gt;"",S1759=""),VLOOKUP(A1759&amp;IF(H1759="黑丝","黑","白")&amp;E1759,经纬!A:N,14,FALSE)*(I1759-AB1759),"")</f>
        <v/>
      </c>
    </row>
    <row r="1760" spans="13:27">
      <c r="M1760" s="24" t="str">
        <f t="array" ref="M1760">LEFT(L1760,MIN(FIND({"A","B","C"},MID(L1760,2,LEN(L1760))&amp;"ABC")))</f>
        <v/>
      </c>
      <c r="N1760" s="24" t="str">
        <f t="array" ref="N1760">SUBSTITUTE(L1760,M1760,"")</f>
        <v/>
      </c>
      <c r="X1760" s="258" t="str">
        <f t="shared" si="76"/>
        <v/>
      </c>
      <c r="Y1760" s="36" t="str">
        <f t="shared" si="75"/>
        <v/>
      </c>
      <c r="Z1760" s="340" t="str">
        <f>IF(AND(C1760&gt;0,D1760&lt;&gt;"",S1760=""),VLOOKUP(A1760&amp;IF(H1760="黑丝","黑","白")&amp;E1760,经纬!A:M,13,FALSE)*(I1760-AB1760),"")</f>
        <v/>
      </c>
      <c r="AA1760" s="340" t="str">
        <f>IF(AND(C1760&gt;0,D1760&lt;&gt;"",S1760=""),VLOOKUP(A1760&amp;IF(H1760="黑丝","黑","白")&amp;E1760,经纬!A:N,14,FALSE)*(I1760-AB1760),"")</f>
        <v/>
      </c>
    </row>
    <row r="1761" spans="13:27">
      <c r="M1761" s="24" t="str">
        <f t="array" ref="M1761">LEFT(L1761,MIN(FIND({"A","B","C"},MID(L1761,2,LEN(L1761))&amp;"ABC")))</f>
        <v/>
      </c>
      <c r="N1761" s="24" t="str">
        <f t="array" ref="N1761">SUBSTITUTE(L1761,M1761,"")</f>
        <v/>
      </c>
      <c r="X1761" s="258" t="str">
        <f t="shared" si="76"/>
        <v/>
      </c>
      <c r="Y1761" s="36" t="str">
        <f t="shared" si="75"/>
        <v/>
      </c>
      <c r="Z1761" s="340" t="str">
        <f>IF(AND(C1761&gt;0,D1761&lt;&gt;"",S1761=""),VLOOKUP(A1761&amp;IF(H1761="黑丝","黑","白")&amp;E1761,经纬!A:M,13,FALSE)*(I1761-AB1761),"")</f>
        <v/>
      </c>
      <c r="AA1761" s="340" t="str">
        <f>IF(AND(C1761&gt;0,D1761&lt;&gt;"",S1761=""),VLOOKUP(A1761&amp;IF(H1761="黑丝","黑","白")&amp;E1761,经纬!A:N,14,FALSE)*(I1761-AB1761),"")</f>
        <v/>
      </c>
    </row>
    <row r="1762" spans="13:27">
      <c r="M1762" s="24" t="str">
        <f t="array" ref="M1762">LEFT(L1762,MIN(FIND({"A","B","C"},MID(L1762,2,LEN(L1762))&amp;"ABC")))</f>
        <v/>
      </c>
      <c r="N1762" s="24" t="str">
        <f t="array" ref="N1762">SUBSTITUTE(L1762,M1762,"")</f>
        <v/>
      </c>
      <c r="X1762" s="258" t="str">
        <f t="shared" si="76"/>
        <v/>
      </c>
      <c r="Y1762" s="36" t="str">
        <f t="shared" si="75"/>
        <v/>
      </c>
      <c r="Z1762" s="340" t="str">
        <f>IF(AND(C1762&gt;0,D1762&lt;&gt;"",S1762=""),VLOOKUP(A1762&amp;IF(H1762="黑丝","黑","白")&amp;E1762,经纬!A:M,13,FALSE)*(I1762-AB1762),"")</f>
        <v/>
      </c>
      <c r="AA1762" s="340" t="str">
        <f>IF(AND(C1762&gt;0,D1762&lt;&gt;"",S1762=""),VLOOKUP(A1762&amp;IF(H1762="黑丝","黑","白")&amp;E1762,经纬!A:N,14,FALSE)*(I1762-AB1762),"")</f>
        <v/>
      </c>
    </row>
    <row r="1763" spans="13:27">
      <c r="M1763" s="24" t="str">
        <f t="array" ref="M1763">LEFT(L1763,MIN(FIND({"A","B","C"},MID(L1763,2,LEN(L1763))&amp;"ABC")))</f>
        <v/>
      </c>
      <c r="N1763" s="24" t="str">
        <f t="array" ref="N1763">SUBSTITUTE(L1763,M1763,"")</f>
        <v/>
      </c>
      <c r="X1763" s="258" t="str">
        <f t="shared" si="76"/>
        <v/>
      </c>
      <c r="Y1763" s="36" t="str">
        <f t="shared" si="75"/>
        <v/>
      </c>
      <c r="Z1763" s="340" t="str">
        <f>IF(AND(C1763&gt;0,D1763&lt;&gt;"",S1763=""),VLOOKUP(A1763&amp;IF(H1763="黑丝","黑","白")&amp;E1763,经纬!A:M,13,FALSE)*(I1763-AB1763),"")</f>
        <v/>
      </c>
      <c r="AA1763" s="340" t="str">
        <f>IF(AND(C1763&gt;0,D1763&lt;&gt;"",S1763=""),VLOOKUP(A1763&amp;IF(H1763="黑丝","黑","白")&amp;E1763,经纬!A:N,14,FALSE)*(I1763-AB1763),"")</f>
        <v/>
      </c>
    </row>
    <row r="1764" spans="13:27">
      <c r="M1764" s="24" t="str">
        <f t="array" ref="M1764">LEFT(L1764,MIN(FIND({"A","B","C"},MID(L1764,2,LEN(L1764))&amp;"ABC")))</f>
        <v/>
      </c>
      <c r="N1764" s="24" t="str">
        <f t="array" ref="N1764">SUBSTITUTE(L1764,M1764,"")</f>
        <v/>
      </c>
      <c r="X1764" s="258" t="str">
        <f t="shared" si="76"/>
        <v/>
      </c>
      <c r="Y1764" s="36" t="str">
        <f t="shared" si="75"/>
        <v/>
      </c>
      <c r="Z1764" s="340" t="str">
        <f>IF(AND(C1764&gt;0,D1764&lt;&gt;"",S1764=""),VLOOKUP(A1764&amp;IF(H1764="黑丝","黑","白")&amp;E1764,经纬!A:M,13,FALSE)*(I1764-AB1764),"")</f>
        <v/>
      </c>
      <c r="AA1764" s="340" t="str">
        <f>IF(AND(C1764&gt;0,D1764&lt;&gt;"",S1764=""),VLOOKUP(A1764&amp;IF(H1764="黑丝","黑","白")&amp;E1764,经纬!A:N,14,FALSE)*(I1764-AB1764),"")</f>
        <v/>
      </c>
    </row>
    <row r="1765" spans="13:27">
      <c r="M1765" s="24" t="str">
        <f t="array" ref="M1765">LEFT(L1765,MIN(FIND({"A","B","C"},MID(L1765,2,LEN(L1765))&amp;"ABC")))</f>
        <v/>
      </c>
      <c r="N1765" s="24" t="str">
        <f t="array" ref="N1765">SUBSTITUTE(L1765,M1765,"")</f>
        <v/>
      </c>
      <c r="X1765" s="258" t="str">
        <f t="shared" si="76"/>
        <v/>
      </c>
      <c r="Y1765" s="36" t="str">
        <f t="shared" si="75"/>
        <v/>
      </c>
      <c r="Z1765" s="340" t="str">
        <f>IF(AND(C1765&gt;0,D1765&lt;&gt;"",S1765=""),VLOOKUP(A1765&amp;IF(H1765="黑丝","黑","白")&amp;E1765,经纬!A:M,13,FALSE)*(I1765-AB1765),"")</f>
        <v/>
      </c>
      <c r="AA1765" s="340" t="str">
        <f>IF(AND(C1765&gt;0,D1765&lt;&gt;"",S1765=""),VLOOKUP(A1765&amp;IF(H1765="黑丝","黑","白")&amp;E1765,经纬!A:N,14,FALSE)*(I1765-AB1765),"")</f>
        <v/>
      </c>
    </row>
    <row r="1766" spans="13:27">
      <c r="M1766" s="24" t="str">
        <f t="array" ref="M1766">LEFT(L1766,MIN(FIND({"A","B","C"},MID(L1766,2,LEN(L1766))&amp;"ABC")))</f>
        <v/>
      </c>
      <c r="N1766" s="24" t="str">
        <f t="array" ref="N1766">SUBSTITUTE(L1766,M1766,"")</f>
        <v/>
      </c>
      <c r="X1766" s="258" t="str">
        <f t="shared" si="76"/>
        <v/>
      </c>
      <c r="Y1766" s="36" t="str">
        <f t="shared" si="75"/>
        <v/>
      </c>
      <c r="Z1766" s="340" t="str">
        <f>IF(AND(C1766&gt;0,D1766&lt;&gt;"",S1766=""),VLOOKUP(A1766&amp;IF(H1766="黑丝","黑","白")&amp;E1766,经纬!A:M,13,FALSE)*(I1766-AB1766),"")</f>
        <v/>
      </c>
      <c r="AA1766" s="340" t="str">
        <f>IF(AND(C1766&gt;0,D1766&lt;&gt;"",S1766=""),VLOOKUP(A1766&amp;IF(H1766="黑丝","黑","白")&amp;E1766,经纬!A:N,14,FALSE)*(I1766-AB1766),"")</f>
        <v/>
      </c>
    </row>
    <row r="1767" spans="13:27">
      <c r="M1767" s="24" t="str">
        <f t="array" ref="M1767">LEFT(L1767,MIN(FIND({"A","B","C"},MID(L1767,2,LEN(L1767))&amp;"ABC")))</f>
        <v/>
      </c>
      <c r="N1767" s="24" t="str">
        <f t="array" ref="N1767">SUBSTITUTE(L1767,M1767,"")</f>
        <v/>
      </c>
      <c r="X1767" s="258" t="str">
        <f t="shared" si="76"/>
        <v/>
      </c>
      <c r="Y1767" s="36" t="str">
        <f t="shared" si="75"/>
        <v/>
      </c>
      <c r="Z1767" s="340" t="str">
        <f>IF(AND(C1767&gt;0,D1767&lt;&gt;"",S1767=""),VLOOKUP(A1767&amp;IF(H1767="黑丝","黑","白")&amp;E1767,经纬!A:M,13,FALSE)*(I1767-AB1767),"")</f>
        <v/>
      </c>
      <c r="AA1767" s="340" t="str">
        <f>IF(AND(C1767&gt;0,D1767&lt;&gt;"",S1767=""),VLOOKUP(A1767&amp;IF(H1767="黑丝","黑","白")&amp;E1767,经纬!A:N,14,FALSE)*(I1767-AB1767),"")</f>
        <v/>
      </c>
    </row>
    <row r="1768" spans="13:27">
      <c r="M1768" s="24" t="str">
        <f t="array" ref="M1768">LEFT(L1768,MIN(FIND({"A","B","C"},MID(L1768,2,LEN(L1768))&amp;"ABC")))</f>
        <v/>
      </c>
      <c r="N1768" s="24" t="str">
        <f t="array" ref="N1768">SUBSTITUTE(L1768,M1768,"")</f>
        <v/>
      </c>
      <c r="X1768" s="258" t="str">
        <f t="shared" si="76"/>
        <v/>
      </c>
      <c r="Y1768" s="36" t="str">
        <f t="shared" si="75"/>
        <v/>
      </c>
      <c r="Z1768" s="340" t="str">
        <f>IF(AND(C1768&gt;0,D1768&lt;&gt;"",S1768=""),VLOOKUP(A1768&amp;IF(H1768="黑丝","黑","白")&amp;E1768,经纬!A:M,13,FALSE)*(I1768-AB1768),"")</f>
        <v/>
      </c>
      <c r="AA1768" s="340" t="str">
        <f>IF(AND(C1768&gt;0,D1768&lt;&gt;"",S1768=""),VLOOKUP(A1768&amp;IF(H1768="黑丝","黑","白")&amp;E1768,经纬!A:N,14,FALSE)*(I1768-AB1768),"")</f>
        <v/>
      </c>
    </row>
    <row r="1769" spans="13:27">
      <c r="M1769" s="24" t="str">
        <f t="array" ref="M1769">LEFT(L1769,MIN(FIND({"A","B","C"},MID(L1769,2,LEN(L1769))&amp;"ABC")))</f>
        <v/>
      </c>
      <c r="N1769" s="24" t="str">
        <f t="array" ref="N1769">SUBSTITUTE(L1769,M1769,"")</f>
        <v/>
      </c>
      <c r="X1769" s="258" t="str">
        <f t="shared" si="76"/>
        <v/>
      </c>
      <c r="Y1769" s="36" t="str">
        <f t="shared" ref="Y1769:Y1832" si="77">IF(OR(B1769="",D1769&lt;&gt;""),"",IF(S1769&lt;&gt;"","",I1769/((1/((G1769+2)/100*K1769/1000))*0.9144)/IF(H1769="黑丝",22,20)-AB1769))</f>
        <v/>
      </c>
      <c r="Z1769" s="340" t="str">
        <f>IF(AND(C1769&gt;0,D1769&lt;&gt;"",S1769=""),VLOOKUP(A1769&amp;IF(H1769="黑丝","黑","白")&amp;E1769,经纬!A:M,13,FALSE)*(I1769-AB1769),"")</f>
        <v/>
      </c>
      <c r="AA1769" s="340" t="str">
        <f>IF(AND(C1769&gt;0,D1769&lt;&gt;"",S1769=""),VLOOKUP(A1769&amp;IF(H1769="黑丝","黑","白")&amp;E1769,经纬!A:N,14,FALSE)*(I1769-AB1769),"")</f>
        <v/>
      </c>
    </row>
    <row r="1770" spans="13:27">
      <c r="M1770" s="24" t="str">
        <f t="array" ref="M1770">LEFT(L1770,MIN(FIND({"A","B","C"},MID(L1770,2,LEN(L1770))&amp;"ABC")))</f>
        <v/>
      </c>
      <c r="N1770" s="24" t="str">
        <f t="array" ref="N1770">SUBSTITUTE(L1770,M1770,"")</f>
        <v/>
      </c>
      <c r="X1770" s="258" t="str">
        <f t="shared" si="76"/>
        <v/>
      </c>
      <c r="Y1770" s="36" t="str">
        <f t="shared" si="77"/>
        <v/>
      </c>
      <c r="Z1770" s="340" t="str">
        <f>IF(AND(C1770&gt;0,D1770&lt;&gt;"",S1770=""),VLOOKUP(A1770&amp;IF(H1770="黑丝","黑","白")&amp;E1770,经纬!A:M,13,FALSE)*(I1770-AB1770),"")</f>
        <v/>
      </c>
      <c r="AA1770" s="340" t="str">
        <f>IF(AND(C1770&gt;0,D1770&lt;&gt;"",S1770=""),VLOOKUP(A1770&amp;IF(H1770="黑丝","黑","白")&amp;E1770,经纬!A:N,14,FALSE)*(I1770-AB1770),"")</f>
        <v/>
      </c>
    </row>
    <row r="1771" spans="13:27">
      <c r="M1771" s="24" t="str">
        <f t="array" ref="M1771">LEFT(L1771,MIN(FIND({"A","B","C"},MID(L1771,2,LEN(L1771))&amp;"ABC")))</f>
        <v/>
      </c>
      <c r="N1771" s="24" t="str">
        <f t="array" ref="N1771">SUBSTITUTE(L1771,M1771,"")</f>
        <v/>
      </c>
      <c r="X1771" s="258" t="str">
        <f t="shared" si="76"/>
        <v/>
      </c>
      <c r="Y1771" s="36" t="str">
        <f t="shared" si="77"/>
        <v/>
      </c>
      <c r="Z1771" s="340" t="str">
        <f>IF(AND(C1771&gt;0,D1771&lt;&gt;"",S1771=""),VLOOKUP(A1771&amp;IF(H1771="黑丝","黑","白")&amp;E1771,经纬!A:M,13,FALSE)*(I1771-AB1771),"")</f>
        <v/>
      </c>
      <c r="AA1771" s="340" t="str">
        <f>IF(AND(C1771&gt;0,D1771&lt;&gt;"",S1771=""),VLOOKUP(A1771&amp;IF(H1771="黑丝","黑","白")&amp;E1771,经纬!A:N,14,FALSE)*(I1771-AB1771),"")</f>
        <v/>
      </c>
    </row>
    <row r="1772" spans="13:27">
      <c r="M1772" s="24" t="str">
        <f t="array" ref="M1772">LEFT(L1772,MIN(FIND({"A","B","C"},MID(L1772,2,LEN(L1772))&amp;"ABC")))</f>
        <v/>
      </c>
      <c r="N1772" s="24" t="str">
        <f t="array" ref="N1772">SUBSTITUTE(L1772,M1772,"")</f>
        <v/>
      </c>
      <c r="X1772" s="258" t="str">
        <f t="shared" si="76"/>
        <v/>
      </c>
      <c r="Y1772" s="36" t="str">
        <f t="shared" si="77"/>
        <v/>
      </c>
      <c r="Z1772" s="340" t="str">
        <f>IF(AND(C1772&gt;0,D1772&lt;&gt;"",S1772=""),VLOOKUP(A1772&amp;IF(H1772="黑丝","黑","白")&amp;E1772,经纬!A:M,13,FALSE)*(I1772-AB1772),"")</f>
        <v/>
      </c>
      <c r="AA1772" s="340" t="str">
        <f>IF(AND(C1772&gt;0,D1772&lt;&gt;"",S1772=""),VLOOKUP(A1772&amp;IF(H1772="黑丝","黑","白")&amp;E1772,经纬!A:N,14,FALSE)*(I1772-AB1772),"")</f>
        <v/>
      </c>
    </row>
    <row r="1773" spans="13:27">
      <c r="M1773" s="24" t="str">
        <f t="array" ref="M1773">LEFT(L1773,MIN(FIND({"A","B","C"},MID(L1773,2,LEN(L1773))&amp;"ABC")))</f>
        <v/>
      </c>
      <c r="N1773" s="24" t="str">
        <f t="array" ref="N1773">SUBSTITUTE(L1773,M1773,"")</f>
        <v/>
      </c>
      <c r="X1773" s="258" t="str">
        <f t="shared" si="76"/>
        <v/>
      </c>
      <c r="Y1773" s="36" t="str">
        <f t="shared" si="77"/>
        <v/>
      </c>
      <c r="Z1773" s="340" t="str">
        <f>IF(AND(C1773&gt;0,D1773&lt;&gt;"",S1773=""),VLOOKUP(A1773&amp;IF(H1773="黑丝","黑","白")&amp;E1773,经纬!A:M,13,FALSE)*(I1773-AB1773),"")</f>
        <v/>
      </c>
      <c r="AA1773" s="340" t="str">
        <f>IF(AND(C1773&gt;0,D1773&lt;&gt;"",S1773=""),VLOOKUP(A1773&amp;IF(H1773="黑丝","黑","白")&amp;E1773,经纬!A:N,14,FALSE)*(I1773-AB1773),"")</f>
        <v/>
      </c>
    </row>
    <row r="1774" spans="13:27">
      <c r="M1774" s="24" t="str">
        <f t="array" ref="M1774">LEFT(L1774,MIN(FIND({"A","B","C"},MID(L1774,2,LEN(L1774))&amp;"ABC")))</f>
        <v/>
      </c>
      <c r="N1774" s="24" t="str">
        <f t="array" ref="N1774">SUBSTITUTE(L1774,M1774,"")</f>
        <v/>
      </c>
      <c r="X1774" s="258" t="str">
        <f t="shared" si="76"/>
        <v/>
      </c>
      <c r="Y1774" s="36" t="str">
        <f t="shared" si="77"/>
        <v/>
      </c>
      <c r="Z1774" s="340" t="str">
        <f>IF(AND(C1774&gt;0,D1774&lt;&gt;"",S1774=""),VLOOKUP(A1774&amp;IF(H1774="黑丝","黑","白")&amp;E1774,经纬!A:M,13,FALSE)*(I1774-AB1774),"")</f>
        <v/>
      </c>
      <c r="AA1774" s="340" t="str">
        <f>IF(AND(C1774&gt;0,D1774&lt;&gt;"",S1774=""),VLOOKUP(A1774&amp;IF(H1774="黑丝","黑","白")&amp;E1774,经纬!A:N,14,FALSE)*(I1774-AB1774),"")</f>
        <v/>
      </c>
    </row>
    <row r="1775" spans="13:27">
      <c r="M1775" s="24" t="str">
        <f t="array" ref="M1775">LEFT(L1775,MIN(FIND({"A","B","C"},MID(L1775,2,LEN(L1775))&amp;"ABC")))</f>
        <v/>
      </c>
      <c r="N1775" s="24" t="str">
        <f t="array" ref="N1775">SUBSTITUTE(L1775,M1775,"")</f>
        <v/>
      </c>
      <c r="X1775" s="258" t="str">
        <f t="shared" si="76"/>
        <v/>
      </c>
      <c r="Y1775" s="36" t="str">
        <f t="shared" si="77"/>
        <v/>
      </c>
      <c r="Z1775" s="340" t="str">
        <f>IF(AND(C1775&gt;0,D1775&lt;&gt;"",S1775=""),VLOOKUP(A1775&amp;IF(H1775="黑丝","黑","白")&amp;E1775,经纬!A:M,13,FALSE)*(I1775-AB1775),"")</f>
        <v/>
      </c>
      <c r="AA1775" s="340" t="str">
        <f>IF(AND(C1775&gt;0,D1775&lt;&gt;"",S1775=""),VLOOKUP(A1775&amp;IF(H1775="黑丝","黑","白")&amp;E1775,经纬!A:N,14,FALSE)*(I1775-AB1775),"")</f>
        <v/>
      </c>
    </row>
    <row r="1776" spans="13:27">
      <c r="M1776" s="24" t="str">
        <f t="array" ref="M1776">LEFT(L1776,MIN(FIND({"A","B","C"},MID(L1776,2,LEN(L1776))&amp;"ABC")))</f>
        <v/>
      </c>
      <c r="N1776" s="24" t="str">
        <f t="array" ref="N1776">SUBSTITUTE(L1776,M1776,"")</f>
        <v/>
      </c>
      <c r="X1776" s="258" t="str">
        <f t="shared" si="76"/>
        <v/>
      </c>
      <c r="Y1776" s="36" t="str">
        <f t="shared" si="77"/>
        <v/>
      </c>
      <c r="Z1776" s="340" t="str">
        <f>IF(AND(C1776&gt;0,D1776&lt;&gt;"",S1776=""),VLOOKUP(A1776&amp;IF(H1776="黑丝","黑","白")&amp;E1776,经纬!A:M,13,FALSE)*(I1776-AB1776),"")</f>
        <v/>
      </c>
      <c r="AA1776" s="340" t="str">
        <f>IF(AND(C1776&gt;0,D1776&lt;&gt;"",S1776=""),VLOOKUP(A1776&amp;IF(H1776="黑丝","黑","白")&amp;E1776,经纬!A:N,14,FALSE)*(I1776-AB1776),"")</f>
        <v/>
      </c>
    </row>
    <row r="1777" spans="13:27">
      <c r="M1777" s="24" t="str">
        <f t="array" ref="M1777">LEFT(L1777,MIN(FIND({"A","B","C"},MID(L1777,2,LEN(L1777))&amp;"ABC")))</f>
        <v/>
      </c>
      <c r="N1777" s="24" t="str">
        <f t="array" ref="N1777">SUBSTITUTE(L1777,M1777,"")</f>
        <v/>
      </c>
      <c r="X1777" s="258" t="str">
        <f t="shared" si="76"/>
        <v/>
      </c>
      <c r="Y1777" s="36" t="str">
        <f t="shared" si="77"/>
        <v/>
      </c>
      <c r="Z1777" s="340" t="str">
        <f>IF(AND(C1777&gt;0,D1777&lt;&gt;"",S1777=""),VLOOKUP(A1777&amp;IF(H1777="黑丝","黑","白")&amp;E1777,经纬!A:M,13,FALSE)*(I1777-AB1777),"")</f>
        <v/>
      </c>
      <c r="AA1777" s="340" t="str">
        <f>IF(AND(C1777&gt;0,D1777&lt;&gt;"",S1777=""),VLOOKUP(A1777&amp;IF(H1777="黑丝","黑","白")&amp;E1777,经纬!A:N,14,FALSE)*(I1777-AB1777),"")</f>
        <v/>
      </c>
    </row>
    <row r="1778" spans="13:27">
      <c r="M1778" s="24" t="str">
        <f t="array" ref="M1778">LEFT(L1778,MIN(FIND({"A","B","C"},MID(L1778,2,LEN(L1778))&amp;"ABC")))</f>
        <v/>
      </c>
      <c r="N1778" s="24" t="str">
        <f t="array" ref="N1778">SUBSTITUTE(L1778,M1778,"")</f>
        <v/>
      </c>
      <c r="X1778" s="258" t="str">
        <f t="shared" si="76"/>
        <v/>
      </c>
      <c r="Y1778" s="36" t="str">
        <f t="shared" si="77"/>
        <v/>
      </c>
      <c r="Z1778" s="340" t="str">
        <f>IF(AND(C1778&gt;0,D1778&lt;&gt;"",S1778=""),VLOOKUP(A1778&amp;IF(H1778="黑丝","黑","白")&amp;E1778,经纬!A:M,13,FALSE)*(I1778-AB1778),"")</f>
        <v/>
      </c>
      <c r="AA1778" s="340" t="str">
        <f>IF(AND(C1778&gt;0,D1778&lt;&gt;"",S1778=""),VLOOKUP(A1778&amp;IF(H1778="黑丝","黑","白")&amp;E1778,经纬!A:N,14,FALSE)*(I1778-AB1778),"")</f>
        <v/>
      </c>
    </row>
    <row r="1779" spans="13:27">
      <c r="M1779" s="24" t="str">
        <f t="array" ref="M1779">LEFT(L1779,MIN(FIND({"A","B","C"},MID(L1779,2,LEN(L1779))&amp;"ABC")))</f>
        <v/>
      </c>
      <c r="N1779" s="24" t="str">
        <f t="array" ref="N1779">SUBSTITUTE(L1779,M1779,"")</f>
        <v/>
      </c>
      <c r="X1779" s="258" t="str">
        <f t="shared" si="76"/>
        <v/>
      </c>
      <c r="Y1779" s="36" t="str">
        <f t="shared" si="77"/>
        <v/>
      </c>
      <c r="Z1779" s="340" t="str">
        <f>IF(AND(C1779&gt;0,D1779&lt;&gt;"",S1779=""),VLOOKUP(A1779&amp;IF(H1779="黑丝","黑","白")&amp;E1779,经纬!A:M,13,FALSE)*(I1779-AB1779),"")</f>
        <v/>
      </c>
      <c r="AA1779" s="340" t="str">
        <f>IF(AND(C1779&gt;0,D1779&lt;&gt;"",S1779=""),VLOOKUP(A1779&amp;IF(H1779="黑丝","黑","白")&amp;E1779,经纬!A:N,14,FALSE)*(I1779-AB1779),"")</f>
        <v/>
      </c>
    </row>
    <row r="1780" spans="13:27">
      <c r="M1780" s="24" t="str">
        <f t="array" ref="M1780">LEFT(L1780,MIN(FIND({"A","B","C"},MID(L1780,2,LEN(L1780))&amp;"ABC")))</f>
        <v/>
      </c>
      <c r="N1780" s="24" t="str">
        <f t="array" ref="N1780">SUBSTITUTE(L1780,M1780,"")</f>
        <v/>
      </c>
      <c r="X1780" s="258" t="str">
        <f t="shared" si="76"/>
        <v/>
      </c>
      <c r="Y1780" s="36" t="str">
        <f t="shared" si="77"/>
        <v/>
      </c>
      <c r="Z1780" s="340" t="str">
        <f>IF(AND(C1780&gt;0,D1780&lt;&gt;"",S1780=""),VLOOKUP(A1780&amp;IF(H1780="黑丝","黑","白")&amp;E1780,经纬!A:M,13,FALSE)*(I1780-AB1780),"")</f>
        <v/>
      </c>
      <c r="AA1780" s="340" t="str">
        <f>IF(AND(C1780&gt;0,D1780&lt;&gt;"",S1780=""),VLOOKUP(A1780&amp;IF(H1780="黑丝","黑","白")&amp;E1780,经纬!A:N,14,FALSE)*(I1780-AB1780),"")</f>
        <v/>
      </c>
    </row>
    <row r="1781" spans="13:27">
      <c r="M1781" s="24" t="str">
        <f t="array" ref="M1781">LEFT(L1781,MIN(FIND({"A","B","C"},MID(L1781,2,LEN(L1781))&amp;"ABC")))</f>
        <v/>
      </c>
      <c r="N1781" s="24" t="str">
        <f t="array" ref="N1781">SUBSTITUTE(L1781,M1781,"")</f>
        <v/>
      </c>
      <c r="X1781" s="258" t="str">
        <f t="shared" si="76"/>
        <v/>
      </c>
      <c r="Y1781" s="36" t="str">
        <f t="shared" si="77"/>
        <v/>
      </c>
      <c r="Z1781" s="340" t="str">
        <f>IF(AND(C1781&gt;0,D1781&lt;&gt;"",S1781=""),VLOOKUP(A1781&amp;IF(H1781="黑丝","黑","白")&amp;E1781,经纬!A:M,13,FALSE)*(I1781-AB1781),"")</f>
        <v/>
      </c>
      <c r="AA1781" s="340" t="str">
        <f>IF(AND(C1781&gt;0,D1781&lt;&gt;"",S1781=""),VLOOKUP(A1781&amp;IF(H1781="黑丝","黑","白")&amp;E1781,经纬!A:N,14,FALSE)*(I1781-AB1781),"")</f>
        <v/>
      </c>
    </row>
    <row r="1782" spans="13:27">
      <c r="M1782" s="24" t="str">
        <f t="array" ref="M1782">LEFT(L1782,MIN(FIND({"A","B","C"},MID(L1782,2,LEN(L1782))&amp;"ABC")))</f>
        <v/>
      </c>
      <c r="N1782" s="24" t="str">
        <f t="array" ref="N1782">SUBSTITUTE(L1782,M1782,"")</f>
        <v/>
      </c>
      <c r="X1782" s="258" t="str">
        <f t="shared" si="76"/>
        <v/>
      </c>
      <c r="Y1782" s="36" t="str">
        <f t="shared" si="77"/>
        <v/>
      </c>
      <c r="Z1782" s="340" t="str">
        <f>IF(AND(C1782&gt;0,D1782&lt;&gt;"",S1782=""),VLOOKUP(A1782&amp;IF(H1782="黑丝","黑","白")&amp;E1782,经纬!A:M,13,FALSE)*(I1782-AB1782),"")</f>
        <v/>
      </c>
      <c r="AA1782" s="340" t="str">
        <f>IF(AND(C1782&gt;0,D1782&lt;&gt;"",S1782=""),VLOOKUP(A1782&amp;IF(H1782="黑丝","黑","白")&amp;E1782,经纬!A:N,14,FALSE)*(I1782-AB1782),"")</f>
        <v/>
      </c>
    </row>
    <row r="1783" spans="13:27">
      <c r="M1783" s="24" t="str">
        <f t="array" ref="M1783">LEFT(L1783,MIN(FIND({"A","B","C"},MID(L1783,2,LEN(L1783))&amp;"ABC")))</f>
        <v/>
      </c>
      <c r="N1783" s="24" t="str">
        <f t="array" ref="N1783">SUBSTITUTE(L1783,M1783,"")</f>
        <v/>
      </c>
      <c r="X1783" s="258" t="str">
        <f t="shared" si="76"/>
        <v/>
      </c>
      <c r="Y1783" s="36" t="str">
        <f t="shared" si="77"/>
        <v/>
      </c>
      <c r="Z1783" s="340" t="str">
        <f>IF(AND(C1783&gt;0,D1783&lt;&gt;"",S1783=""),VLOOKUP(A1783&amp;IF(H1783="黑丝","黑","白")&amp;E1783,经纬!A:M,13,FALSE)*(I1783-AB1783),"")</f>
        <v/>
      </c>
      <c r="AA1783" s="340" t="str">
        <f>IF(AND(C1783&gt;0,D1783&lt;&gt;"",S1783=""),VLOOKUP(A1783&amp;IF(H1783="黑丝","黑","白")&amp;E1783,经纬!A:N,14,FALSE)*(I1783-AB1783),"")</f>
        <v/>
      </c>
    </row>
    <row r="1784" spans="13:27">
      <c r="M1784" s="24" t="str">
        <f t="array" ref="M1784">LEFT(L1784,MIN(FIND({"A","B","C"},MID(L1784,2,LEN(L1784))&amp;"ABC")))</f>
        <v/>
      </c>
      <c r="N1784" s="24" t="str">
        <f t="array" ref="N1784">SUBSTITUTE(L1784,M1784,"")</f>
        <v/>
      </c>
      <c r="X1784" s="258" t="str">
        <f t="shared" si="76"/>
        <v/>
      </c>
      <c r="Y1784" s="36" t="str">
        <f t="shared" si="77"/>
        <v/>
      </c>
      <c r="Z1784" s="340" t="str">
        <f>IF(AND(C1784&gt;0,D1784&lt;&gt;"",S1784=""),VLOOKUP(A1784&amp;IF(H1784="黑丝","黑","白")&amp;E1784,经纬!A:M,13,FALSE)*(I1784-AB1784),"")</f>
        <v/>
      </c>
      <c r="AA1784" s="340" t="str">
        <f>IF(AND(C1784&gt;0,D1784&lt;&gt;"",S1784=""),VLOOKUP(A1784&amp;IF(H1784="黑丝","黑","白")&amp;E1784,经纬!A:N,14,FALSE)*(I1784-AB1784),"")</f>
        <v/>
      </c>
    </row>
    <row r="1785" spans="13:27">
      <c r="M1785" s="24" t="str">
        <f t="array" ref="M1785">LEFT(L1785,MIN(FIND({"A","B","C"},MID(L1785,2,LEN(L1785))&amp;"ABC")))</f>
        <v/>
      </c>
      <c r="N1785" s="24" t="str">
        <f t="array" ref="N1785">SUBSTITUTE(L1785,M1785,"")</f>
        <v/>
      </c>
      <c r="X1785" s="258" t="str">
        <f t="shared" si="76"/>
        <v/>
      </c>
      <c r="Y1785" s="36" t="str">
        <f t="shared" si="77"/>
        <v/>
      </c>
      <c r="Z1785" s="340" t="str">
        <f>IF(AND(C1785&gt;0,D1785&lt;&gt;"",S1785=""),VLOOKUP(A1785&amp;IF(H1785="黑丝","黑","白")&amp;E1785,经纬!A:M,13,FALSE)*(I1785-AB1785),"")</f>
        <v/>
      </c>
      <c r="AA1785" s="340" t="str">
        <f>IF(AND(C1785&gt;0,D1785&lt;&gt;"",S1785=""),VLOOKUP(A1785&amp;IF(H1785="黑丝","黑","白")&amp;E1785,经纬!A:N,14,FALSE)*(I1785-AB1785),"")</f>
        <v/>
      </c>
    </row>
    <row r="1786" spans="13:27">
      <c r="M1786" s="24" t="str">
        <f t="array" ref="M1786">LEFT(L1786,MIN(FIND({"A","B","C"},MID(L1786,2,LEN(L1786))&amp;"ABC")))</f>
        <v/>
      </c>
      <c r="N1786" s="24" t="str">
        <f t="array" ref="N1786">SUBSTITUTE(L1786,M1786,"")</f>
        <v/>
      </c>
      <c r="X1786" s="258" t="str">
        <f t="shared" si="76"/>
        <v/>
      </c>
      <c r="Y1786" s="36" t="str">
        <f t="shared" si="77"/>
        <v/>
      </c>
      <c r="Z1786" s="340" t="str">
        <f>IF(AND(C1786&gt;0,D1786&lt;&gt;"",S1786=""),VLOOKUP(A1786&amp;IF(H1786="黑丝","黑","白")&amp;E1786,经纬!A:M,13,FALSE)*(I1786-AB1786),"")</f>
        <v/>
      </c>
      <c r="AA1786" s="340" t="str">
        <f>IF(AND(C1786&gt;0,D1786&lt;&gt;"",S1786=""),VLOOKUP(A1786&amp;IF(H1786="黑丝","黑","白")&amp;E1786,经纬!A:N,14,FALSE)*(I1786-AB1786),"")</f>
        <v/>
      </c>
    </row>
    <row r="1787" spans="13:27">
      <c r="M1787" s="24" t="str">
        <f t="array" ref="M1787">LEFT(L1787,MIN(FIND({"A","B","C"},MID(L1787,2,LEN(L1787))&amp;"ABC")))</f>
        <v/>
      </c>
      <c r="N1787" s="24" t="str">
        <f t="array" ref="N1787">SUBSTITUTE(L1787,M1787,"")</f>
        <v/>
      </c>
      <c r="X1787" s="258" t="str">
        <f t="shared" si="76"/>
        <v/>
      </c>
      <c r="Y1787" s="36" t="str">
        <f t="shared" si="77"/>
        <v/>
      </c>
      <c r="Z1787" s="340" t="str">
        <f>IF(AND(C1787&gt;0,D1787&lt;&gt;"",S1787=""),VLOOKUP(A1787&amp;IF(H1787="黑丝","黑","白")&amp;E1787,经纬!A:M,13,FALSE)*(I1787-AB1787),"")</f>
        <v/>
      </c>
      <c r="AA1787" s="340" t="str">
        <f>IF(AND(C1787&gt;0,D1787&lt;&gt;"",S1787=""),VLOOKUP(A1787&amp;IF(H1787="黑丝","黑","白")&amp;E1787,经纬!A:N,14,FALSE)*(I1787-AB1787),"")</f>
        <v/>
      </c>
    </row>
    <row r="1788" spans="13:27">
      <c r="M1788" s="24" t="str">
        <f t="array" ref="M1788">LEFT(L1788,MIN(FIND({"A","B","C"},MID(L1788,2,LEN(L1788))&amp;"ABC")))</f>
        <v/>
      </c>
      <c r="N1788" s="24" t="str">
        <f t="array" ref="N1788">SUBSTITUTE(L1788,M1788,"")</f>
        <v/>
      </c>
      <c r="X1788" s="258" t="str">
        <f t="shared" si="76"/>
        <v/>
      </c>
      <c r="Y1788" s="36" t="str">
        <f t="shared" si="77"/>
        <v/>
      </c>
      <c r="Z1788" s="340" t="str">
        <f>IF(AND(C1788&gt;0,D1788&lt;&gt;"",S1788=""),VLOOKUP(A1788&amp;IF(H1788="黑丝","黑","白")&amp;E1788,经纬!A:M,13,FALSE)*(I1788-AB1788),"")</f>
        <v/>
      </c>
      <c r="AA1788" s="340" t="str">
        <f>IF(AND(C1788&gt;0,D1788&lt;&gt;"",S1788=""),VLOOKUP(A1788&amp;IF(H1788="黑丝","黑","白")&amp;E1788,经纬!A:N,14,FALSE)*(I1788-AB1788),"")</f>
        <v/>
      </c>
    </row>
    <row r="1789" spans="13:27">
      <c r="M1789" s="24" t="str">
        <f t="array" ref="M1789">LEFT(L1789,MIN(FIND({"A","B","C"},MID(L1789,2,LEN(L1789))&amp;"ABC")))</f>
        <v/>
      </c>
      <c r="N1789" s="24" t="str">
        <f t="array" ref="N1789">SUBSTITUTE(L1789,M1789,"")</f>
        <v/>
      </c>
      <c r="X1789" s="258" t="str">
        <f t="shared" si="76"/>
        <v/>
      </c>
      <c r="Y1789" s="36" t="str">
        <f t="shared" si="77"/>
        <v/>
      </c>
      <c r="Z1789" s="340" t="str">
        <f>IF(AND(C1789&gt;0,D1789&lt;&gt;"",S1789=""),VLOOKUP(A1789&amp;IF(H1789="黑丝","黑","白")&amp;E1789,经纬!A:M,13,FALSE)*(I1789-AB1789),"")</f>
        <v/>
      </c>
      <c r="AA1789" s="340" t="str">
        <f>IF(AND(C1789&gt;0,D1789&lt;&gt;"",S1789=""),VLOOKUP(A1789&amp;IF(H1789="黑丝","黑","白")&amp;E1789,经纬!A:N,14,FALSE)*(I1789-AB1789),"")</f>
        <v/>
      </c>
    </row>
    <row r="1790" spans="13:27">
      <c r="M1790" s="24" t="str">
        <f t="array" ref="M1790">LEFT(L1790,MIN(FIND({"A","B","C"},MID(L1790,2,LEN(L1790))&amp;"ABC")))</f>
        <v/>
      </c>
      <c r="N1790" s="24" t="str">
        <f t="array" ref="N1790">SUBSTITUTE(L1790,M1790,"")</f>
        <v/>
      </c>
      <c r="X1790" s="258" t="str">
        <f t="shared" si="76"/>
        <v/>
      </c>
      <c r="Y1790" s="36" t="str">
        <f t="shared" si="77"/>
        <v/>
      </c>
      <c r="Z1790" s="340" t="str">
        <f>IF(AND(C1790&gt;0,D1790&lt;&gt;"",S1790=""),VLOOKUP(A1790&amp;IF(H1790="黑丝","黑","白")&amp;E1790,经纬!A:M,13,FALSE)*(I1790-AB1790),"")</f>
        <v/>
      </c>
      <c r="AA1790" s="340" t="str">
        <f>IF(AND(C1790&gt;0,D1790&lt;&gt;"",S1790=""),VLOOKUP(A1790&amp;IF(H1790="黑丝","黑","白")&amp;E1790,经纬!A:N,14,FALSE)*(I1790-AB1790),"")</f>
        <v/>
      </c>
    </row>
    <row r="1791" spans="13:27">
      <c r="M1791" s="24" t="str">
        <f t="array" ref="M1791">LEFT(L1791,MIN(FIND({"A","B","C"},MID(L1791,2,LEN(L1791))&amp;"ABC")))</f>
        <v/>
      </c>
      <c r="N1791" s="24" t="str">
        <f t="array" ref="N1791">SUBSTITUTE(L1791,M1791,"")</f>
        <v/>
      </c>
      <c r="X1791" s="258" t="str">
        <f t="shared" si="76"/>
        <v/>
      </c>
      <c r="Y1791" s="36" t="str">
        <f t="shared" si="77"/>
        <v/>
      </c>
      <c r="Z1791" s="340" t="str">
        <f>IF(AND(C1791&gt;0,D1791&lt;&gt;"",S1791=""),VLOOKUP(A1791&amp;IF(H1791="黑丝","黑","白")&amp;E1791,经纬!A:M,13,FALSE)*(I1791-AB1791),"")</f>
        <v/>
      </c>
      <c r="AA1791" s="340" t="str">
        <f>IF(AND(C1791&gt;0,D1791&lt;&gt;"",S1791=""),VLOOKUP(A1791&amp;IF(H1791="黑丝","黑","白")&amp;E1791,经纬!A:N,14,FALSE)*(I1791-AB1791),"")</f>
        <v/>
      </c>
    </row>
    <row r="1792" spans="13:27">
      <c r="M1792" s="24" t="str">
        <f t="array" ref="M1792">LEFT(L1792,MIN(FIND({"A","B","C"},MID(L1792,2,LEN(L1792))&amp;"ABC")))</f>
        <v/>
      </c>
      <c r="N1792" s="24" t="str">
        <f t="array" ref="N1792">SUBSTITUTE(L1792,M1792,"")</f>
        <v/>
      </c>
      <c r="X1792" s="258" t="str">
        <f t="shared" si="76"/>
        <v/>
      </c>
      <c r="Y1792" s="36" t="str">
        <f t="shared" si="77"/>
        <v/>
      </c>
      <c r="Z1792" s="340" t="str">
        <f>IF(AND(C1792&gt;0,D1792&lt;&gt;"",S1792=""),VLOOKUP(A1792&amp;IF(H1792="黑丝","黑","白")&amp;E1792,经纬!A:M,13,FALSE)*(I1792-AB1792),"")</f>
        <v/>
      </c>
      <c r="AA1792" s="340" t="str">
        <f>IF(AND(C1792&gt;0,D1792&lt;&gt;"",S1792=""),VLOOKUP(A1792&amp;IF(H1792="黑丝","黑","白")&amp;E1792,经纬!A:N,14,FALSE)*(I1792-AB1792),"")</f>
        <v/>
      </c>
    </row>
    <row r="1793" spans="13:27">
      <c r="M1793" s="24" t="str">
        <f t="array" ref="M1793">LEFT(L1793,MIN(FIND({"A","B","C"},MID(L1793,2,LEN(L1793))&amp;"ABC")))</f>
        <v/>
      </c>
      <c r="N1793" s="24" t="str">
        <f t="array" ref="N1793">SUBSTITUTE(L1793,M1793,"")</f>
        <v/>
      </c>
      <c r="X1793" s="258" t="str">
        <f t="shared" si="76"/>
        <v/>
      </c>
      <c r="Y1793" s="36" t="str">
        <f t="shared" si="77"/>
        <v/>
      </c>
      <c r="Z1793" s="340" t="str">
        <f>IF(AND(C1793&gt;0,D1793&lt;&gt;"",S1793=""),VLOOKUP(A1793&amp;IF(H1793="黑丝","黑","白")&amp;E1793,经纬!A:M,13,FALSE)*(I1793-AB1793),"")</f>
        <v/>
      </c>
      <c r="AA1793" s="340" t="str">
        <f>IF(AND(C1793&gt;0,D1793&lt;&gt;"",S1793=""),VLOOKUP(A1793&amp;IF(H1793="黑丝","黑","白")&amp;E1793,经纬!A:N,14,FALSE)*(I1793-AB1793),"")</f>
        <v/>
      </c>
    </row>
    <row r="1794" spans="13:27">
      <c r="M1794" s="24" t="str">
        <f t="array" ref="M1794">LEFT(L1794,MIN(FIND({"A","B","C"},MID(L1794,2,LEN(L1794))&amp;"ABC")))</f>
        <v/>
      </c>
      <c r="N1794" s="24" t="str">
        <f t="array" ref="N1794">SUBSTITUTE(L1794,M1794,"")</f>
        <v/>
      </c>
      <c r="X1794" s="258" t="str">
        <f t="shared" si="76"/>
        <v/>
      </c>
      <c r="Y1794" s="36" t="str">
        <f t="shared" si="77"/>
        <v/>
      </c>
      <c r="Z1794" s="340" t="str">
        <f>IF(AND(C1794&gt;0,D1794&lt;&gt;"",S1794=""),VLOOKUP(A1794&amp;IF(H1794="黑丝","黑","白")&amp;E1794,经纬!A:M,13,FALSE)*(I1794-AB1794),"")</f>
        <v/>
      </c>
      <c r="AA1794" s="340" t="str">
        <f>IF(AND(C1794&gt;0,D1794&lt;&gt;"",S1794=""),VLOOKUP(A1794&amp;IF(H1794="黑丝","黑","白")&amp;E1794,经纬!A:N,14,FALSE)*(I1794-AB1794),"")</f>
        <v/>
      </c>
    </row>
    <row r="1795" spans="13:27">
      <c r="M1795" s="24" t="str">
        <f t="array" ref="M1795">LEFT(L1795,MIN(FIND({"A","B","C"},MID(L1795,2,LEN(L1795))&amp;"ABC")))</f>
        <v/>
      </c>
      <c r="N1795" s="24" t="str">
        <f t="array" ref="N1795">SUBSTITUTE(L1795,M1795,"")</f>
        <v/>
      </c>
      <c r="X1795" s="258" t="str">
        <f t="shared" si="76"/>
        <v/>
      </c>
      <c r="Y1795" s="36" t="str">
        <f t="shared" si="77"/>
        <v/>
      </c>
      <c r="Z1795" s="340" t="str">
        <f>IF(AND(C1795&gt;0,D1795&lt;&gt;"",S1795=""),VLOOKUP(A1795&amp;IF(H1795="黑丝","黑","白")&amp;E1795,经纬!A:M,13,FALSE)*(I1795-AB1795),"")</f>
        <v/>
      </c>
      <c r="AA1795" s="340" t="str">
        <f>IF(AND(C1795&gt;0,D1795&lt;&gt;"",S1795=""),VLOOKUP(A1795&amp;IF(H1795="黑丝","黑","白")&amp;E1795,经纬!A:N,14,FALSE)*(I1795-AB1795),"")</f>
        <v/>
      </c>
    </row>
    <row r="1796" spans="13:27">
      <c r="M1796" s="24" t="str">
        <f t="array" ref="M1796">LEFT(L1796,MIN(FIND({"A","B","C"},MID(L1796,2,LEN(L1796))&amp;"ABC")))</f>
        <v/>
      </c>
      <c r="N1796" s="24" t="str">
        <f t="array" ref="N1796">SUBSTITUTE(L1796,M1796,"")</f>
        <v/>
      </c>
      <c r="X1796" s="258" t="str">
        <f t="shared" si="76"/>
        <v/>
      </c>
      <c r="Y1796" s="36" t="str">
        <f t="shared" si="77"/>
        <v/>
      </c>
      <c r="Z1796" s="340" t="str">
        <f>IF(AND(C1796&gt;0,D1796&lt;&gt;"",S1796=""),VLOOKUP(A1796&amp;IF(H1796="黑丝","黑","白")&amp;E1796,经纬!A:M,13,FALSE)*(I1796-AB1796),"")</f>
        <v/>
      </c>
      <c r="AA1796" s="340" t="str">
        <f>IF(AND(C1796&gt;0,D1796&lt;&gt;"",S1796=""),VLOOKUP(A1796&amp;IF(H1796="黑丝","黑","白")&amp;E1796,经纬!A:N,14,FALSE)*(I1796-AB1796),"")</f>
        <v/>
      </c>
    </row>
    <row r="1797" spans="13:27">
      <c r="M1797" s="24" t="str">
        <f t="array" ref="M1797">LEFT(L1797,MIN(FIND({"A","B","C"},MID(L1797,2,LEN(L1797))&amp;"ABC")))</f>
        <v/>
      </c>
      <c r="N1797" s="24" t="str">
        <f t="array" ref="N1797">SUBSTITUTE(L1797,M1797,"")</f>
        <v/>
      </c>
      <c r="X1797" s="258" t="str">
        <f t="shared" si="76"/>
        <v/>
      </c>
      <c r="Y1797" s="36" t="str">
        <f t="shared" si="77"/>
        <v/>
      </c>
      <c r="Z1797" s="340" t="str">
        <f>IF(AND(C1797&gt;0,D1797&lt;&gt;"",S1797=""),VLOOKUP(A1797&amp;IF(H1797="黑丝","黑","白")&amp;E1797,经纬!A:M,13,FALSE)*(I1797-AB1797),"")</f>
        <v/>
      </c>
      <c r="AA1797" s="340" t="str">
        <f>IF(AND(C1797&gt;0,D1797&lt;&gt;"",S1797=""),VLOOKUP(A1797&amp;IF(H1797="黑丝","黑","白")&amp;E1797,经纬!A:N,14,FALSE)*(I1797-AB1797),"")</f>
        <v/>
      </c>
    </row>
    <row r="1798" spans="13:27">
      <c r="M1798" s="24" t="str">
        <f t="array" ref="M1798">LEFT(L1798,MIN(FIND({"A","B","C"},MID(L1798,2,LEN(L1798))&amp;"ABC")))</f>
        <v/>
      </c>
      <c r="N1798" s="24" t="str">
        <f t="array" ref="N1798">SUBSTITUTE(L1798,M1798,"")</f>
        <v/>
      </c>
      <c r="X1798" s="258" t="str">
        <f t="shared" si="76"/>
        <v/>
      </c>
      <c r="Y1798" s="36" t="str">
        <f t="shared" si="77"/>
        <v/>
      </c>
      <c r="Z1798" s="340" t="str">
        <f>IF(AND(C1798&gt;0,D1798&lt;&gt;"",S1798=""),VLOOKUP(A1798&amp;IF(H1798="黑丝","黑","白")&amp;E1798,经纬!A:M,13,FALSE)*(I1798-AB1798),"")</f>
        <v/>
      </c>
      <c r="AA1798" s="340" t="str">
        <f>IF(AND(C1798&gt;0,D1798&lt;&gt;"",S1798=""),VLOOKUP(A1798&amp;IF(H1798="黑丝","黑","白")&amp;E1798,经纬!A:N,14,FALSE)*(I1798-AB1798),"")</f>
        <v/>
      </c>
    </row>
    <row r="1799" spans="13:27">
      <c r="M1799" s="24" t="str">
        <f t="array" ref="M1799">LEFT(L1799,MIN(FIND({"A","B","C"},MID(L1799,2,LEN(L1799))&amp;"ABC")))</f>
        <v/>
      </c>
      <c r="N1799" s="24" t="str">
        <f t="array" ref="N1799">SUBSTITUTE(L1799,M1799,"")</f>
        <v/>
      </c>
      <c r="X1799" s="258" t="str">
        <f t="shared" si="76"/>
        <v/>
      </c>
      <c r="Y1799" s="36" t="str">
        <f t="shared" si="77"/>
        <v/>
      </c>
      <c r="Z1799" s="340" t="str">
        <f>IF(AND(C1799&gt;0,D1799&lt;&gt;"",S1799=""),VLOOKUP(A1799&amp;IF(H1799="黑丝","黑","白")&amp;E1799,经纬!A:M,13,FALSE)*(I1799-AB1799),"")</f>
        <v/>
      </c>
      <c r="AA1799" s="340" t="str">
        <f>IF(AND(C1799&gt;0,D1799&lt;&gt;"",S1799=""),VLOOKUP(A1799&amp;IF(H1799="黑丝","黑","白")&amp;E1799,经纬!A:N,14,FALSE)*(I1799-AB1799),"")</f>
        <v/>
      </c>
    </row>
    <row r="1800" spans="13:27">
      <c r="M1800" s="24" t="str">
        <f t="array" ref="M1800">LEFT(L1800,MIN(FIND({"A","B","C"},MID(L1800,2,LEN(L1800))&amp;"ABC")))</f>
        <v/>
      </c>
      <c r="N1800" s="24" t="str">
        <f t="array" ref="N1800">SUBSTITUTE(L1800,M1800,"")</f>
        <v/>
      </c>
      <c r="X1800" s="258" t="str">
        <f t="shared" si="76"/>
        <v/>
      </c>
      <c r="Y1800" s="36" t="str">
        <f t="shared" si="77"/>
        <v/>
      </c>
      <c r="Z1800" s="340" t="str">
        <f>IF(AND(C1800&gt;0,D1800&lt;&gt;"",S1800=""),VLOOKUP(A1800&amp;IF(H1800="黑丝","黑","白")&amp;E1800,经纬!A:M,13,FALSE)*(I1800-AB1800),"")</f>
        <v/>
      </c>
      <c r="AA1800" s="340" t="str">
        <f>IF(AND(C1800&gt;0,D1800&lt;&gt;"",S1800=""),VLOOKUP(A1800&amp;IF(H1800="黑丝","黑","白")&amp;E1800,经纬!A:N,14,FALSE)*(I1800-AB1800),"")</f>
        <v/>
      </c>
    </row>
    <row r="1801" spans="13:27">
      <c r="M1801" s="24" t="str">
        <f t="array" ref="M1801">LEFT(L1801,MIN(FIND({"A","B","C"},MID(L1801,2,LEN(L1801))&amp;"ABC")))</f>
        <v/>
      </c>
      <c r="N1801" s="24" t="str">
        <f t="array" ref="N1801">SUBSTITUTE(L1801,M1801,"")</f>
        <v/>
      </c>
      <c r="X1801" s="258" t="str">
        <f t="shared" si="76"/>
        <v/>
      </c>
      <c r="Y1801" s="36" t="str">
        <f t="shared" si="77"/>
        <v/>
      </c>
      <c r="Z1801" s="340" t="str">
        <f>IF(AND(C1801&gt;0,D1801&lt;&gt;"",S1801=""),VLOOKUP(A1801&amp;IF(H1801="黑丝","黑","白")&amp;E1801,经纬!A:M,13,FALSE)*(I1801-AB1801),"")</f>
        <v/>
      </c>
      <c r="AA1801" s="340" t="str">
        <f>IF(AND(C1801&gt;0,D1801&lt;&gt;"",S1801=""),VLOOKUP(A1801&amp;IF(H1801="黑丝","黑","白")&amp;E1801,经纬!A:N,14,FALSE)*(I1801-AB1801),"")</f>
        <v/>
      </c>
    </row>
    <row r="1802" spans="13:27">
      <c r="M1802" s="24" t="str">
        <f t="array" ref="M1802">LEFT(L1802,MIN(FIND({"A","B","C"},MID(L1802,2,LEN(L1802))&amp;"ABC")))</f>
        <v/>
      </c>
      <c r="N1802" s="24" t="str">
        <f t="array" ref="N1802">SUBSTITUTE(L1802,M1802,"")</f>
        <v/>
      </c>
      <c r="X1802" s="258" t="str">
        <f t="shared" si="76"/>
        <v/>
      </c>
      <c r="Y1802" s="36" t="str">
        <f t="shared" si="77"/>
        <v/>
      </c>
      <c r="Z1802" s="340" t="str">
        <f>IF(AND(C1802&gt;0,D1802&lt;&gt;"",S1802=""),VLOOKUP(A1802&amp;IF(H1802="黑丝","黑","白")&amp;E1802,经纬!A:M,13,FALSE)*(I1802-AB1802),"")</f>
        <v/>
      </c>
      <c r="AA1802" s="340" t="str">
        <f>IF(AND(C1802&gt;0,D1802&lt;&gt;"",S1802=""),VLOOKUP(A1802&amp;IF(H1802="黑丝","黑","白")&amp;E1802,经纬!A:N,14,FALSE)*(I1802-AB1802),"")</f>
        <v/>
      </c>
    </row>
    <row r="1803" spans="13:27">
      <c r="M1803" s="24" t="str">
        <f t="array" ref="M1803">LEFT(L1803,MIN(FIND({"A","B","C"},MID(L1803,2,LEN(L1803))&amp;"ABC")))</f>
        <v/>
      </c>
      <c r="N1803" s="24" t="str">
        <f t="array" ref="N1803">SUBSTITUTE(L1803,M1803,"")</f>
        <v/>
      </c>
      <c r="X1803" s="258" t="str">
        <f t="shared" si="76"/>
        <v/>
      </c>
      <c r="Y1803" s="36" t="str">
        <f t="shared" si="77"/>
        <v/>
      </c>
      <c r="Z1803" s="340" t="str">
        <f>IF(AND(C1803&gt;0,D1803&lt;&gt;"",S1803=""),VLOOKUP(A1803&amp;IF(H1803="黑丝","黑","白")&amp;E1803,经纬!A:M,13,FALSE)*(I1803-AB1803),"")</f>
        <v/>
      </c>
      <c r="AA1803" s="340" t="str">
        <f>IF(AND(C1803&gt;0,D1803&lt;&gt;"",S1803=""),VLOOKUP(A1803&amp;IF(H1803="黑丝","黑","白")&amp;E1803,经纬!A:N,14,FALSE)*(I1803-AB1803),"")</f>
        <v/>
      </c>
    </row>
    <row r="1804" spans="13:27">
      <c r="M1804" s="24" t="str">
        <f t="array" ref="M1804">LEFT(L1804,MIN(FIND({"A","B","C"},MID(L1804,2,LEN(L1804))&amp;"ABC")))</f>
        <v/>
      </c>
      <c r="N1804" s="24" t="str">
        <f t="array" ref="N1804">SUBSTITUTE(L1804,M1804,"")</f>
        <v/>
      </c>
      <c r="X1804" s="258" t="str">
        <f t="shared" si="76"/>
        <v/>
      </c>
      <c r="Y1804" s="36" t="str">
        <f t="shared" si="77"/>
        <v/>
      </c>
      <c r="Z1804" s="340" t="str">
        <f>IF(AND(C1804&gt;0,D1804&lt;&gt;"",S1804=""),VLOOKUP(A1804&amp;IF(H1804="黑丝","黑","白")&amp;E1804,经纬!A:M,13,FALSE)*(I1804-AB1804),"")</f>
        <v/>
      </c>
      <c r="AA1804" s="340" t="str">
        <f>IF(AND(C1804&gt;0,D1804&lt;&gt;"",S1804=""),VLOOKUP(A1804&amp;IF(H1804="黑丝","黑","白")&amp;E1804,经纬!A:N,14,FALSE)*(I1804-AB1804),"")</f>
        <v/>
      </c>
    </row>
    <row r="1805" spans="13:27">
      <c r="M1805" s="24" t="str">
        <f t="array" ref="M1805">LEFT(L1805,MIN(FIND({"A","B","C"},MID(L1805,2,LEN(L1805))&amp;"ABC")))</f>
        <v/>
      </c>
      <c r="N1805" s="24" t="str">
        <f t="array" ref="N1805">SUBSTITUTE(L1805,M1805,"")</f>
        <v/>
      </c>
      <c r="X1805" s="258" t="str">
        <f t="shared" si="76"/>
        <v/>
      </c>
      <c r="Y1805" s="36" t="str">
        <f t="shared" si="77"/>
        <v/>
      </c>
      <c r="Z1805" s="340" t="str">
        <f>IF(AND(C1805&gt;0,D1805&lt;&gt;"",S1805=""),VLOOKUP(A1805&amp;IF(H1805="黑丝","黑","白")&amp;E1805,经纬!A:M,13,FALSE)*(I1805-AB1805),"")</f>
        <v/>
      </c>
      <c r="AA1805" s="340" t="str">
        <f>IF(AND(C1805&gt;0,D1805&lt;&gt;"",S1805=""),VLOOKUP(A1805&amp;IF(H1805="黑丝","黑","白")&amp;E1805,经纬!A:N,14,FALSE)*(I1805-AB1805),"")</f>
        <v/>
      </c>
    </row>
    <row r="1806" spans="13:27">
      <c r="M1806" s="24" t="str">
        <f t="array" ref="M1806">LEFT(L1806,MIN(FIND({"A","B","C"},MID(L1806,2,LEN(L1806))&amp;"ABC")))</f>
        <v/>
      </c>
      <c r="N1806" s="24" t="str">
        <f t="array" ref="N1806">SUBSTITUTE(L1806,M1806,"")</f>
        <v/>
      </c>
      <c r="X1806" s="258" t="str">
        <f t="shared" si="76"/>
        <v/>
      </c>
      <c r="Y1806" s="36" t="str">
        <f t="shared" si="77"/>
        <v/>
      </c>
      <c r="Z1806" s="340" t="str">
        <f>IF(AND(C1806&gt;0,D1806&lt;&gt;"",S1806=""),VLOOKUP(A1806&amp;IF(H1806="黑丝","黑","白")&amp;E1806,经纬!A:M,13,FALSE)*(I1806-AB1806),"")</f>
        <v/>
      </c>
      <c r="AA1806" s="340" t="str">
        <f>IF(AND(C1806&gt;0,D1806&lt;&gt;"",S1806=""),VLOOKUP(A1806&amp;IF(H1806="黑丝","黑","白")&amp;E1806,经纬!A:N,14,FALSE)*(I1806-AB1806),"")</f>
        <v/>
      </c>
    </row>
    <row r="1807" spans="13:27">
      <c r="M1807" s="24" t="str">
        <f t="array" ref="M1807">LEFT(L1807,MIN(FIND({"A","B","C"},MID(L1807,2,LEN(L1807))&amp;"ABC")))</f>
        <v/>
      </c>
      <c r="N1807" s="24" t="str">
        <f t="array" ref="N1807">SUBSTITUTE(L1807,M1807,"")</f>
        <v/>
      </c>
      <c r="X1807" s="258" t="str">
        <f t="shared" si="76"/>
        <v/>
      </c>
      <c r="Y1807" s="36" t="str">
        <f t="shared" si="77"/>
        <v/>
      </c>
      <c r="Z1807" s="340" t="str">
        <f>IF(AND(C1807&gt;0,D1807&lt;&gt;"",S1807=""),VLOOKUP(A1807&amp;IF(H1807="黑丝","黑","白")&amp;E1807,经纬!A:M,13,FALSE)*(I1807-AB1807),"")</f>
        <v/>
      </c>
      <c r="AA1807" s="340" t="str">
        <f>IF(AND(C1807&gt;0,D1807&lt;&gt;"",S1807=""),VLOOKUP(A1807&amp;IF(H1807="黑丝","黑","白")&amp;E1807,经纬!A:N,14,FALSE)*(I1807-AB1807),"")</f>
        <v/>
      </c>
    </row>
    <row r="1808" spans="13:27">
      <c r="M1808" s="24" t="str">
        <f t="array" ref="M1808">LEFT(L1808,MIN(FIND({"A","B","C"},MID(L1808,2,LEN(L1808))&amp;"ABC")))</f>
        <v/>
      </c>
      <c r="N1808" s="24" t="str">
        <f t="array" ref="N1808">SUBSTITUTE(L1808,M1808,"")</f>
        <v/>
      </c>
      <c r="X1808" s="258" t="str">
        <f t="shared" si="76"/>
        <v/>
      </c>
      <c r="Y1808" s="36" t="str">
        <f t="shared" si="77"/>
        <v/>
      </c>
      <c r="Z1808" s="340" t="str">
        <f>IF(AND(C1808&gt;0,D1808&lt;&gt;"",S1808=""),VLOOKUP(A1808&amp;IF(H1808="黑丝","黑","白")&amp;E1808,经纬!A:M,13,FALSE)*(I1808-AB1808),"")</f>
        <v/>
      </c>
      <c r="AA1808" s="340" t="str">
        <f>IF(AND(C1808&gt;0,D1808&lt;&gt;"",S1808=""),VLOOKUP(A1808&amp;IF(H1808="黑丝","黑","白")&amp;E1808,经纬!A:N,14,FALSE)*(I1808-AB1808),"")</f>
        <v/>
      </c>
    </row>
    <row r="1809" spans="13:27">
      <c r="M1809" s="24" t="str">
        <f t="array" ref="M1809">LEFT(L1809,MIN(FIND({"A","B","C"},MID(L1809,2,LEN(L1809))&amp;"ABC")))</f>
        <v/>
      </c>
      <c r="N1809" s="24" t="str">
        <f t="array" ref="N1809">SUBSTITUTE(L1809,M1809,"")</f>
        <v/>
      </c>
      <c r="X1809" s="258" t="str">
        <f t="shared" si="76"/>
        <v/>
      </c>
      <c r="Y1809" s="36" t="str">
        <f t="shared" si="77"/>
        <v/>
      </c>
      <c r="Z1809" s="340" t="str">
        <f>IF(AND(C1809&gt;0,D1809&lt;&gt;"",S1809=""),VLOOKUP(A1809&amp;IF(H1809="黑丝","黑","白")&amp;E1809,经纬!A:M,13,FALSE)*(I1809-AB1809),"")</f>
        <v/>
      </c>
      <c r="AA1809" s="340" t="str">
        <f>IF(AND(C1809&gt;0,D1809&lt;&gt;"",S1809=""),VLOOKUP(A1809&amp;IF(H1809="黑丝","黑","白")&amp;E1809,经纬!A:N,14,FALSE)*(I1809-AB1809),"")</f>
        <v/>
      </c>
    </row>
    <row r="1810" spans="13:27">
      <c r="M1810" s="24" t="str">
        <f t="array" ref="M1810">LEFT(L1810,MIN(FIND({"A","B","C"},MID(L1810,2,LEN(L1810))&amp;"ABC")))</f>
        <v/>
      </c>
      <c r="N1810" s="24" t="str">
        <f t="array" ref="N1810">SUBSTITUTE(L1810,M1810,"")</f>
        <v/>
      </c>
      <c r="X1810" s="258" t="str">
        <f t="shared" si="76"/>
        <v/>
      </c>
      <c r="Y1810" s="36" t="str">
        <f t="shared" si="77"/>
        <v/>
      </c>
      <c r="Z1810" s="340" t="str">
        <f>IF(AND(C1810&gt;0,D1810&lt;&gt;"",S1810=""),VLOOKUP(A1810&amp;IF(H1810="黑丝","黑","白")&amp;E1810,经纬!A:M,13,FALSE)*(I1810-AB1810),"")</f>
        <v/>
      </c>
      <c r="AA1810" s="340" t="str">
        <f>IF(AND(C1810&gt;0,D1810&lt;&gt;"",S1810=""),VLOOKUP(A1810&amp;IF(H1810="黑丝","黑","白")&amp;E1810,经纬!A:N,14,FALSE)*(I1810-AB1810),"")</f>
        <v/>
      </c>
    </row>
    <row r="1811" spans="13:27">
      <c r="M1811" s="24" t="str">
        <f t="array" ref="M1811">LEFT(L1811,MIN(FIND({"A","B","C"},MID(L1811,2,LEN(L1811))&amp;"ABC")))</f>
        <v/>
      </c>
      <c r="N1811" s="24" t="str">
        <f t="array" ref="N1811">SUBSTITUTE(L1811,M1811,"")</f>
        <v/>
      </c>
      <c r="X1811" s="258" t="str">
        <f t="shared" si="76"/>
        <v/>
      </c>
      <c r="Y1811" s="36" t="str">
        <f t="shared" si="77"/>
        <v/>
      </c>
      <c r="Z1811" s="340" t="str">
        <f>IF(AND(C1811&gt;0,D1811&lt;&gt;"",S1811=""),VLOOKUP(A1811&amp;IF(H1811="黑丝","黑","白")&amp;E1811,经纬!A:M,13,FALSE)*(I1811-AB1811),"")</f>
        <v/>
      </c>
      <c r="AA1811" s="340" t="str">
        <f>IF(AND(C1811&gt;0,D1811&lt;&gt;"",S1811=""),VLOOKUP(A1811&amp;IF(H1811="黑丝","黑","白")&amp;E1811,经纬!A:N,14,FALSE)*(I1811-AB1811),"")</f>
        <v/>
      </c>
    </row>
    <row r="1812" spans="13:27">
      <c r="M1812" s="24" t="str">
        <f t="array" ref="M1812">LEFT(L1812,MIN(FIND({"A","B","C"},MID(L1812,2,LEN(L1812))&amp;"ABC")))</f>
        <v/>
      </c>
      <c r="N1812" s="24" t="str">
        <f t="array" ref="N1812">SUBSTITUTE(L1812,M1812,"")</f>
        <v/>
      </c>
      <c r="X1812" s="258" t="str">
        <f t="shared" si="76"/>
        <v/>
      </c>
      <c r="Y1812" s="36" t="str">
        <f t="shared" si="77"/>
        <v/>
      </c>
      <c r="Z1812" s="340" t="str">
        <f>IF(AND(C1812&gt;0,D1812&lt;&gt;"",S1812=""),VLOOKUP(A1812&amp;IF(H1812="黑丝","黑","白")&amp;E1812,经纬!A:M,13,FALSE)*(I1812-AB1812),"")</f>
        <v/>
      </c>
      <c r="AA1812" s="340" t="str">
        <f>IF(AND(C1812&gt;0,D1812&lt;&gt;"",S1812=""),VLOOKUP(A1812&amp;IF(H1812="黑丝","黑","白")&amp;E1812,经纬!A:N,14,FALSE)*(I1812-AB1812),"")</f>
        <v/>
      </c>
    </row>
    <row r="1813" spans="13:27">
      <c r="M1813" s="24" t="str">
        <f t="array" ref="M1813">LEFT(L1813,MIN(FIND({"A","B","C"},MID(L1813,2,LEN(L1813))&amp;"ABC")))</f>
        <v/>
      </c>
      <c r="N1813" s="24" t="str">
        <f t="array" ref="N1813">SUBSTITUTE(L1813,M1813,"")</f>
        <v/>
      </c>
      <c r="X1813" s="258" t="str">
        <f t="shared" si="76"/>
        <v/>
      </c>
      <c r="Y1813" s="36" t="str">
        <f t="shared" si="77"/>
        <v/>
      </c>
      <c r="Z1813" s="340" t="str">
        <f>IF(AND(C1813&gt;0,D1813&lt;&gt;"",S1813=""),VLOOKUP(A1813&amp;IF(H1813="黑丝","黑","白")&amp;E1813,经纬!A:M,13,FALSE)*(I1813-AB1813),"")</f>
        <v/>
      </c>
      <c r="AA1813" s="340" t="str">
        <f>IF(AND(C1813&gt;0,D1813&lt;&gt;"",S1813=""),VLOOKUP(A1813&amp;IF(H1813="黑丝","黑","白")&amp;E1813,经纬!A:N,14,FALSE)*(I1813-AB1813),"")</f>
        <v/>
      </c>
    </row>
    <row r="1814" spans="13:27">
      <c r="M1814" s="24" t="str">
        <f t="array" ref="M1814">LEFT(L1814,MIN(FIND({"A","B","C"},MID(L1814,2,LEN(L1814))&amp;"ABC")))</f>
        <v/>
      </c>
      <c r="N1814" s="24" t="str">
        <f t="array" ref="N1814">SUBSTITUTE(L1814,M1814,"")</f>
        <v/>
      </c>
      <c r="X1814" s="258" t="str">
        <f t="shared" si="76"/>
        <v/>
      </c>
      <c r="Y1814" s="36" t="str">
        <f t="shared" si="77"/>
        <v/>
      </c>
      <c r="Z1814" s="340" t="str">
        <f>IF(AND(C1814&gt;0,D1814&lt;&gt;"",S1814=""),VLOOKUP(A1814&amp;IF(H1814="黑丝","黑","白")&amp;E1814,经纬!A:M,13,FALSE)*(I1814-AB1814),"")</f>
        <v/>
      </c>
      <c r="AA1814" s="340" t="str">
        <f>IF(AND(C1814&gt;0,D1814&lt;&gt;"",S1814=""),VLOOKUP(A1814&amp;IF(H1814="黑丝","黑","白")&amp;E1814,经纬!A:N,14,FALSE)*(I1814-AB1814),"")</f>
        <v/>
      </c>
    </row>
    <row r="1815" spans="13:27">
      <c r="M1815" s="24" t="str">
        <f t="array" ref="M1815">LEFT(L1815,MIN(FIND({"A","B","C"},MID(L1815,2,LEN(L1815))&amp;"ABC")))</f>
        <v/>
      </c>
      <c r="N1815" s="24" t="str">
        <f t="array" ref="N1815">SUBSTITUTE(L1815,M1815,"")</f>
        <v/>
      </c>
      <c r="X1815" s="258" t="str">
        <f t="shared" si="76"/>
        <v/>
      </c>
      <c r="Y1815" s="36" t="str">
        <f t="shared" si="77"/>
        <v/>
      </c>
      <c r="Z1815" s="340" t="str">
        <f>IF(AND(C1815&gt;0,D1815&lt;&gt;"",S1815=""),VLOOKUP(A1815&amp;IF(H1815="黑丝","黑","白")&amp;E1815,经纬!A:M,13,FALSE)*(I1815-AB1815),"")</f>
        <v/>
      </c>
      <c r="AA1815" s="340" t="str">
        <f>IF(AND(C1815&gt;0,D1815&lt;&gt;"",S1815=""),VLOOKUP(A1815&amp;IF(H1815="黑丝","黑","白")&amp;E1815,经纬!A:N,14,FALSE)*(I1815-AB1815),"")</f>
        <v/>
      </c>
    </row>
    <row r="1816" spans="13:27">
      <c r="M1816" s="24" t="str">
        <f t="array" ref="M1816">LEFT(L1816,MIN(FIND({"A","B","C"},MID(L1816,2,LEN(L1816))&amp;"ABC")))</f>
        <v/>
      </c>
      <c r="N1816" s="24" t="str">
        <f t="array" ref="N1816">SUBSTITUTE(L1816,M1816,"")</f>
        <v/>
      </c>
      <c r="X1816" s="258" t="str">
        <f t="shared" si="76"/>
        <v/>
      </c>
      <c r="Y1816" s="36" t="str">
        <f t="shared" si="77"/>
        <v/>
      </c>
      <c r="Z1816" s="340" t="str">
        <f>IF(AND(C1816&gt;0,D1816&lt;&gt;"",S1816=""),VLOOKUP(A1816&amp;IF(H1816="黑丝","黑","白")&amp;E1816,经纬!A:M,13,FALSE)*(I1816-AB1816),"")</f>
        <v/>
      </c>
      <c r="AA1816" s="340" t="str">
        <f>IF(AND(C1816&gt;0,D1816&lt;&gt;"",S1816=""),VLOOKUP(A1816&amp;IF(H1816="黑丝","黑","白")&amp;E1816,经纬!A:N,14,FALSE)*(I1816-AB1816),"")</f>
        <v/>
      </c>
    </row>
    <row r="1817" spans="13:27">
      <c r="M1817" s="24" t="str">
        <f t="array" ref="M1817">LEFT(L1817,MIN(FIND({"A","B","C"},MID(L1817,2,LEN(L1817))&amp;"ABC")))</f>
        <v/>
      </c>
      <c r="N1817" s="24" t="str">
        <f t="array" ref="N1817">SUBSTITUTE(L1817,M1817,"")</f>
        <v/>
      </c>
      <c r="X1817" s="258" t="str">
        <f t="shared" si="76"/>
        <v/>
      </c>
      <c r="Y1817" s="36" t="str">
        <f t="shared" si="77"/>
        <v/>
      </c>
      <c r="Z1817" s="340" t="str">
        <f>IF(AND(C1817&gt;0,D1817&lt;&gt;"",S1817=""),VLOOKUP(A1817&amp;IF(H1817="黑丝","黑","白")&amp;E1817,经纬!A:M,13,FALSE)*(I1817-AB1817),"")</f>
        <v/>
      </c>
      <c r="AA1817" s="340" t="str">
        <f>IF(AND(C1817&gt;0,D1817&lt;&gt;"",S1817=""),VLOOKUP(A1817&amp;IF(H1817="黑丝","黑","白")&amp;E1817,经纬!A:N,14,FALSE)*(I1817-AB1817),"")</f>
        <v/>
      </c>
    </row>
    <row r="1818" spans="13:27">
      <c r="M1818" s="24" t="str">
        <f t="array" ref="M1818">LEFT(L1818,MIN(FIND({"A","B","C"},MID(L1818,2,LEN(L1818))&amp;"ABC")))</f>
        <v/>
      </c>
      <c r="N1818" s="24" t="str">
        <f t="array" ref="N1818">SUBSTITUTE(L1818,M1818,"")</f>
        <v/>
      </c>
      <c r="X1818" s="258" t="str">
        <f t="shared" si="76"/>
        <v/>
      </c>
      <c r="Y1818" s="36" t="str">
        <f t="shared" si="77"/>
        <v/>
      </c>
      <c r="Z1818" s="340" t="str">
        <f>IF(AND(C1818&gt;0,D1818&lt;&gt;"",S1818=""),VLOOKUP(A1818&amp;IF(H1818="黑丝","黑","白")&amp;E1818,经纬!A:M,13,FALSE)*(I1818-AB1818),"")</f>
        <v/>
      </c>
      <c r="AA1818" s="340" t="str">
        <f>IF(AND(C1818&gt;0,D1818&lt;&gt;"",S1818=""),VLOOKUP(A1818&amp;IF(H1818="黑丝","黑","白")&amp;E1818,经纬!A:N,14,FALSE)*(I1818-AB1818),"")</f>
        <v/>
      </c>
    </row>
    <row r="1819" spans="13:27">
      <c r="M1819" s="24" t="str">
        <f t="array" ref="M1819">LEFT(L1819,MIN(FIND({"A","B","C"},MID(L1819,2,LEN(L1819))&amp;"ABC")))</f>
        <v/>
      </c>
      <c r="N1819" s="24" t="str">
        <f t="array" ref="N1819">SUBSTITUTE(L1819,M1819,"")</f>
        <v/>
      </c>
      <c r="X1819" s="258" t="str">
        <f t="shared" si="76"/>
        <v/>
      </c>
      <c r="Y1819" s="36" t="str">
        <f t="shared" si="77"/>
        <v/>
      </c>
      <c r="Z1819" s="340" t="str">
        <f>IF(AND(C1819&gt;0,D1819&lt;&gt;"",S1819=""),VLOOKUP(A1819&amp;IF(H1819="黑丝","黑","白")&amp;E1819,经纬!A:M,13,FALSE)*(I1819-AB1819),"")</f>
        <v/>
      </c>
      <c r="AA1819" s="340" t="str">
        <f>IF(AND(C1819&gt;0,D1819&lt;&gt;"",S1819=""),VLOOKUP(A1819&amp;IF(H1819="黑丝","黑","白")&amp;E1819,经纬!A:N,14,FALSE)*(I1819-AB1819),"")</f>
        <v/>
      </c>
    </row>
    <row r="1820" spans="13:27">
      <c r="M1820" s="24" t="str">
        <f t="array" ref="M1820">LEFT(L1820,MIN(FIND({"A","B","C"},MID(L1820,2,LEN(L1820))&amp;"ABC")))</f>
        <v/>
      </c>
      <c r="N1820" s="24" t="str">
        <f t="array" ref="N1820">SUBSTITUTE(L1820,M1820,"")</f>
        <v/>
      </c>
      <c r="X1820" s="258" t="str">
        <f t="shared" ref="X1820:X1883" si="78">IF(B1820="","",IF(S1820&lt;&gt;"","",IF(AND(Z1820&lt;&gt;"",AA1820&lt;&gt;""),SUM(Z1820:AA1820),IF(AB1820&lt;&gt;"",(I1820/((1/((G1820+2)/100*K1820/1000))*0.9144)/IF(H1820="黑丝",22,20)-AB1820)*(IF(H1820="黑丝",22,20)),I1820/((1/((G1820+2)/100*K1820/1000))*0.9144)))))</f>
        <v/>
      </c>
      <c r="Y1820" s="36" t="str">
        <f t="shared" si="77"/>
        <v/>
      </c>
      <c r="Z1820" s="340" t="str">
        <f>IF(AND(C1820&gt;0,D1820&lt;&gt;"",S1820=""),VLOOKUP(A1820&amp;IF(H1820="黑丝","黑","白")&amp;E1820,经纬!A:M,13,FALSE)*(I1820-AB1820),"")</f>
        <v/>
      </c>
      <c r="AA1820" s="340" t="str">
        <f>IF(AND(C1820&gt;0,D1820&lt;&gt;"",S1820=""),VLOOKUP(A1820&amp;IF(H1820="黑丝","黑","白")&amp;E1820,经纬!A:N,14,FALSE)*(I1820-AB1820),"")</f>
        <v/>
      </c>
    </row>
    <row r="1821" spans="13:27">
      <c r="M1821" s="24" t="str">
        <f t="array" ref="M1821">LEFT(L1821,MIN(FIND({"A","B","C"},MID(L1821,2,LEN(L1821))&amp;"ABC")))</f>
        <v/>
      </c>
      <c r="N1821" s="24" t="str">
        <f t="array" ref="N1821">SUBSTITUTE(L1821,M1821,"")</f>
        <v/>
      </c>
      <c r="X1821" s="258" t="str">
        <f t="shared" si="78"/>
        <v/>
      </c>
      <c r="Y1821" s="36" t="str">
        <f t="shared" si="77"/>
        <v/>
      </c>
      <c r="Z1821" s="340" t="str">
        <f>IF(AND(C1821&gt;0,D1821&lt;&gt;"",S1821=""),VLOOKUP(A1821&amp;IF(H1821="黑丝","黑","白")&amp;E1821,经纬!A:M,13,FALSE)*(I1821-AB1821),"")</f>
        <v/>
      </c>
      <c r="AA1821" s="340" t="str">
        <f>IF(AND(C1821&gt;0,D1821&lt;&gt;"",S1821=""),VLOOKUP(A1821&amp;IF(H1821="黑丝","黑","白")&amp;E1821,经纬!A:N,14,FALSE)*(I1821-AB1821),"")</f>
        <v/>
      </c>
    </row>
    <row r="1822" spans="13:27">
      <c r="M1822" s="24" t="str">
        <f t="array" ref="M1822">LEFT(L1822,MIN(FIND({"A","B","C"},MID(L1822,2,LEN(L1822))&amp;"ABC")))</f>
        <v/>
      </c>
      <c r="N1822" s="24" t="str">
        <f t="array" ref="N1822">SUBSTITUTE(L1822,M1822,"")</f>
        <v/>
      </c>
      <c r="X1822" s="258" t="str">
        <f t="shared" si="78"/>
        <v/>
      </c>
      <c r="Y1822" s="36" t="str">
        <f t="shared" si="77"/>
        <v/>
      </c>
      <c r="Z1822" s="340" t="str">
        <f>IF(AND(C1822&gt;0,D1822&lt;&gt;"",S1822=""),VLOOKUP(A1822&amp;IF(H1822="黑丝","黑","白")&amp;E1822,经纬!A:M,13,FALSE)*(I1822-AB1822),"")</f>
        <v/>
      </c>
      <c r="AA1822" s="340" t="str">
        <f>IF(AND(C1822&gt;0,D1822&lt;&gt;"",S1822=""),VLOOKUP(A1822&amp;IF(H1822="黑丝","黑","白")&amp;E1822,经纬!A:N,14,FALSE)*(I1822-AB1822),"")</f>
        <v/>
      </c>
    </row>
    <row r="1823" spans="13:27">
      <c r="M1823" s="24" t="str">
        <f t="array" ref="M1823">LEFT(L1823,MIN(FIND({"A","B","C"},MID(L1823,2,LEN(L1823))&amp;"ABC")))</f>
        <v/>
      </c>
      <c r="N1823" s="24" t="str">
        <f t="array" ref="N1823">SUBSTITUTE(L1823,M1823,"")</f>
        <v/>
      </c>
      <c r="X1823" s="258" t="str">
        <f t="shared" si="78"/>
        <v/>
      </c>
      <c r="Y1823" s="36" t="str">
        <f t="shared" si="77"/>
        <v/>
      </c>
      <c r="Z1823" s="340" t="str">
        <f>IF(AND(C1823&gt;0,D1823&lt;&gt;"",S1823=""),VLOOKUP(A1823&amp;IF(H1823="黑丝","黑","白")&amp;E1823,经纬!A:M,13,FALSE)*(I1823-AB1823),"")</f>
        <v/>
      </c>
      <c r="AA1823" s="340" t="str">
        <f>IF(AND(C1823&gt;0,D1823&lt;&gt;"",S1823=""),VLOOKUP(A1823&amp;IF(H1823="黑丝","黑","白")&amp;E1823,经纬!A:N,14,FALSE)*(I1823-AB1823),"")</f>
        <v/>
      </c>
    </row>
    <row r="1824" spans="13:27">
      <c r="M1824" s="24" t="str">
        <f t="array" ref="M1824">LEFT(L1824,MIN(FIND({"A","B","C"},MID(L1824,2,LEN(L1824))&amp;"ABC")))</f>
        <v/>
      </c>
      <c r="N1824" s="24" t="str">
        <f t="array" ref="N1824">SUBSTITUTE(L1824,M1824,"")</f>
        <v/>
      </c>
      <c r="X1824" s="258" t="str">
        <f t="shared" si="78"/>
        <v/>
      </c>
      <c r="Y1824" s="36" t="str">
        <f t="shared" si="77"/>
        <v/>
      </c>
      <c r="Z1824" s="340" t="str">
        <f>IF(AND(C1824&gt;0,D1824&lt;&gt;"",S1824=""),VLOOKUP(A1824&amp;IF(H1824="黑丝","黑","白")&amp;E1824,经纬!A:M,13,FALSE)*(I1824-AB1824),"")</f>
        <v/>
      </c>
      <c r="AA1824" s="340" t="str">
        <f>IF(AND(C1824&gt;0,D1824&lt;&gt;"",S1824=""),VLOOKUP(A1824&amp;IF(H1824="黑丝","黑","白")&amp;E1824,经纬!A:N,14,FALSE)*(I1824-AB1824),"")</f>
        <v/>
      </c>
    </row>
    <row r="1825" spans="13:27">
      <c r="M1825" s="24" t="str">
        <f t="array" ref="M1825">LEFT(L1825,MIN(FIND({"A","B","C"},MID(L1825,2,LEN(L1825))&amp;"ABC")))</f>
        <v/>
      </c>
      <c r="N1825" s="24" t="str">
        <f t="array" ref="N1825">SUBSTITUTE(L1825,M1825,"")</f>
        <v/>
      </c>
      <c r="X1825" s="258" t="str">
        <f t="shared" si="78"/>
        <v/>
      </c>
      <c r="Y1825" s="36" t="str">
        <f t="shared" si="77"/>
        <v/>
      </c>
      <c r="Z1825" s="340" t="str">
        <f>IF(AND(C1825&gt;0,D1825&lt;&gt;"",S1825=""),VLOOKUP(A1825&amp;IF(H1825="黑丝","黑","白")&amp;E1825,经纬!A:M,13,FALSE)*(I1825-AB1825),"")</f>
        <v/>
      </c>
      <c r="AA1825" s="340" t="str">
        <f>IF(AND(C1825&gt;0,D1825&lt;&gt;"",S1825=""),VLOOKUP(A1825&amp;IF(H1825="黑丝","黑","白")&amp;E1825,经纬!A:N,14,FALSE)*(I1825-AB1825),"")</f>
        <v/>
      </c>
    </row>
    <row r="1826" spans="13:27">
      <c r="M1826" s="24" t="str">
        <f t="array" ref="M1826">LEFT(L1826,MIN(FIND({"A","B","C"},MID(L1826,2,LEN(L1826))&amp;"ABC")))</f>
        <v/>
      </c>
      <c r="N1826" s="24" t="str">
        <f t="array" ref="N1826">SUBSTITUTE(L1826,M1826,"")</f>
        <v/>
      </c>
      <c r="X1826" s="258" t="str">
        <f t="shared" si="78"/>
        <v/>
      </c>
      <c r="Y1826" s="36" t="str">
        <f t="shared" si="77"/>
        <v/>
      </c>
      <c r="Z1826" s="340" t="str">
        <f>IF(AND(C1826&gt;0,D1826&lt;&gt;"",S1826=""),VLOOKUP(A1826&amp;IF(H1826="黑丝","黑","白")&amp;E1826,经纬!A:M,13,FALSE)*(I1826-AB1826),"")</f>
        <v/>
      </c>
      <c r="AA1826" s="340" t="str">
        <f>IF(AND(C1826&gt;0,D1826&lt;&gt;"",S1826=""),VLOOKUP(A1826&amp;IF(H1826="黑丝","黑","白")&amp;E1826,经纬!A:N,14,FALSE)*(I1826-AB1826),"")</f>
        <v/>
      </c>
    </row>
    <row r="1827" spans="13:27">
      <c r="M1827" s="24" t="str">
        <f t="array" ref="M1827">LEFT(L1827,MIN(FIND({"A","B","C"},MID(L1827,2,LEN(L1827))&amp;"ABC")))</f>
        <v/>
      </c>
      <c r="N1827" s="24" t="str">
        <f t="array" ref="N1827">SUBSTITUTE(L1827,M1827,"")</f>
        <v/>
      </c>
      <c r="X1827" s="258" t="str">
        <f t="shared" si="78"/>
        <v/>
      </c>
      <c r="Y1827" s="36" t="str">
        <f t="shared" si="77"/>
        <v/>
      </c>
      <c r="Z1827" s="340" t="str">
        <f>IF(AND(C1827&gt;0,D1827&lt;&gt;"",S1827=""),VLOOKUP(A1827&amp;IF(H1827="黑丝","黑","白")&amp;E1827,经纬!A:M,13,FALSE)*(I1827-AB1827),"")</f>
        <v/>
      </c>
      <c r="AA1827" s="340" t="str">
        <f>IF(AND(C1827&gt;0,D1827&lt;&gt;"",S1827=""),VLOOKUP(A1827&amp;IF(H1827="黑丝","黑","白")&amp;E1827,经纬!A:N,14,FALSE)*(I1827-AB1827),"")</f>
        <v/>
      </c>
    </row>
    <row r="1828" spans="13:27">
      <c r="M1828" s="24" t="str">
        <f t="array" ref="M1828">LEFT(L1828,MIN(FIND({"A","B","C"},MID(L1828,2,LEN(L1828))&amp;"ABC")))</f>
        <v/>
      </c>
      <c r="N1828" s="24" t="str">
        <f t="array" ref="N1828">SUBSTITUTE(L1828,M1828,"")</f>
        <v/>
      </c>
      <c r="X1828" s="258" t="str">
        <f t="shared" si="78"/>
        <v/>
      </c>
      <c r="Y1828" s="36" t="str">
        <f t="shared" si="77"/>
        <v/>
      </c>
      <c r="Z1828" s="340" t="str">
        <f>IF(AND(C1828&gt;0,D1828&lt;&gt;"",S1828=""),VLOOKUP(A1828&amp;IF(H1828="黑丝","黑","白")&amp;E1828,经纬!A:M,13,FALSE)*(I1828-AB1828),"")</f>
        <v/>
      </c>
      <c r="AA1828" s="340" t="str">
        <f>IF(AND(C1828&gt;0,D1828&lt;&gt;"",S1828=""),VLOOKUP(A1828&amp;IF(H1828="黑丝","黑","白")&amp;E1828,经纬!A:N,14,FALSE)*(I1828-AB1828),"")</f>
        <v/>
      </c>
    </row>
    <row r="1829" spans="13:27">
      <c r="M1829" s="24" t="str">
        <f t="array" ref="M1829">LEFT(L1829,MIN(FIND({"A","B","C"},MID(L1829,2,LEN(L1829))&amp;"ABC")))</f>
        <v/>
      </c>
      <c r="N1829" s="24" t="str">
        <f t="array" ref="N1829">SUBSTITUTE(L1829,M1829,"")</f>
        <v/>
      </c>
      <c r="X1829" s="258" t="str">
        <f t="shared" si="78"/>
        <v/>
      </c>
      <c r="Y1829" s="36" t="str">
        <f t="shared" si="77"/>
        <v/>
      </c>
      <c r="Z1829" s="340" t="str">
        <f>IF(AND(C1829&gt;0,D1829&lt;&gt;"",S1829=""),VLOOKUP(A1829&amp;IF(H1829="黑丝","黑","白")&amp;E1829,经纬!A:M,13,FALSE)*(I1829-AB1829),"")</f>
        <v/>
      </c>
      <c r="AA1829" s="340" t="str">
        <f>IF(AND(C1829&gt;0,D1829&lt;&gt;"",S1829=""),VLOOKUP(A1829&amp;IF(H1829="黑丝","黑","白")&amp;E1829,经纬!A:N,14,FALSE)*(I1829-AB1829),"")</f>
        <v/>
      </c>
    </row>
    <row r="1830" spans="13:27">
      <c r="M1830" s="24" t="str">
        <f t="array" ref="M1830">LEFT(L1830,MIN(FIND({"A","B","C"},MID(L1830,2,LEN(L1830))&amp;"ABC")))</f>
        <v/>
      </c>
      <c r="N1830" s="24" t="str">
        <f t="array" ref="N1830">SUBSTITUTE(L1830,M1830,"")</f>
        <v/>
      </c>
      <c r="X1830" s="258" t="str">
        <f t="shared" si="78"/>
        <v/>
      </c>
      <c r="Y1830" s="36" t="str">
        <f t="shared" si="77"/>
        <v/>
      </c>
      <c r="Z1830" s="340" t="str">
        <f>IF(AND(C1830&gt;0,D1830&lt;&gt;"",S1830=""),VLOOKUP(A1830&amp;IF(H1830="黑丝","黑","白")&amp;E1830,经纬!A:M,13,FALSE)*(I1830-AB1830),"")</f>
        <v/>
      </c>
      <c r="AA1830" s="340" t="str">
        <f>IF(AND(C1830&gt;0,D1830&lt;&gt;"",S1830=""),VLOOKUP(A1830&amp;IF(H1830="黑丝","黑","白")&amp;E1830,经纬!A:N,14,FALSE)*(I1830-AB1830),"")</f>
        <v/>
      </c>
    </row>
    <row r="1831" spans="13:27">
      <c r="M1831" s="24" t="str">
        <f t="array" ref="M1831">LEFT(L1831,MIN(FIND({"A","B","C"},MID(L1831,2,LEN(L1831))&amp;"ABC")))</f>
        <v/>
      </c>
      <c r="N1831" s="24" t="str">
        <f t="array" ref="N1831">SUBSTITUTE(L1831,M1831,"")</f>
        <v/>
      </c>
      <c r="X1831" s="258" t="str">
        <f t="shared" si="78"/>
        <v/>
      </c>
      <c r="Y1831" s="36" t="str">
        <f t="shared" si="77"/>
        <v/>
      </c>
      <c r="Z1831" s="340" t="str">
        <f>IF(AND(C1831&gt;0,D1831&lt;&gt;"",S1831=""),VLOOKUP(A1831&amp;IF(H1831="黑丝","黑","白")&amp;E1831,经纬!A:M,13,FALSE)*(I1831-AB1831),"")</f>
        <v/>
      </c>
      <c r="AA1831" s="340" t="str">
        <f>IF(AND(C1831&gt;0,D1831&lt;&gt;"",S1831=""),VLOOKUP(A1831&amp;IF(H1831="黑丝","黑","白")&amp;E1831,经纬!A:N,14,FALSE)*(I1831-AB1831),"")</f>
        <v/>
      </c>
    </row>
    <row r="1832" spans="13:27">
      <c r="M1832" s="24" t="str">
        <f t="array" ref="M1832">LEFT(L1832,MIN(FIND({"A","B","C"},MID(L1832,2,LEN(L1832))&amp;"ABC")))</f>
        <v/>
      </c>
      <c r="N1832" s="24" t="str">
        <f t="array" ref="N1832">SUBSTITUTE(L1832,M1832,"")</f>
        <v/>
      </c>
      <c r="X1832" s="258" t="str">
        <f t="shared" si="78"/>
        <v/>
      </c>
      <c r="Y1832" s="36" t="str">
        <f t="shared" si="77"/>
        <v/>
      </c>
      <c r="Z1832" s="340" t="str">
        <f>IF(AND(C1832&gt;0,D1832&lt;&gt;"",S1832=""),VLOOKUP(A1832&amp;IF(H1832="黑丝","黑","白")&amp;E1832,经纬!A:M,13,FALSE)*(I1832-AB1832),"")</f>
        <v/>
      </c>
      <c r="AA1832" s="340" t="str">
        <f>IF(AND(C1832&gt;0,D1832&lt;&gt;"",S1832=""),VLOOKUP(A1832&amp;IF(H1832="黑丝","黑","白")&amp;E1832,经纬!A:N,14,FALSE)*(I1832-AB1832),"")</f>
        <v/>
      </c>
    </row>
    <row r="1833" spans="13:27">
      <c r="M1833" s="24" t="str">
        <f t="array" ref="M1833">LEFT(L1833,MIN(FIND({"A","B","C"},MID(L1833,2,LEN(L1833))&amp;"ABC")))</f>
        <v/>
      </c>
      <c r="N1833" s="24" t="str">
        <f t="array" ref="N1833">SUBSTITUTE(L1833,M1833,"")</f>
        <v/>
      </c>
      <c r="X1833" s="258" t="str">
        <f t="shared" si="78"/>
        <v/>
      </c>
      <c r="Y1833" s="36" t="str">
        <f t="shared" ref="Y1833:Y1896" si="79">IF(OR(B1833="",D1833&lt;&gt;""),"",IF(S1833&lt;&gt;"","",I1833/((1/((G1833+2)/100*K1833/1000))*0.9144)/IF(H1833="黑丝",22,20)-AB1833))</f>
        <v/>
      </c>
      <c r="Z1833" s="340" t="str">
        <f>IF(AND(C1833&gt;0,D1833&lt;&gt;"",S1833=""),VLOOKUP(A1833&amp;IF(H1833="黑丝","黑","白")&amp;E1833,经纬!A:M,13,FALSE)*(I1833-AB1833),"")</f>
        <v/>
      </c>
      <c r="AA1833" s="340" t="str">
        <f>IF(AND(C1833&gt;0,D1833&lt;&gt;"",S1833=""),VLOOKUP(A1833&amp;IF(H1833="黑丝","黑","白")&amp;E1833,经纬!A:N,14,FALSE)*(I1833-AB1833),"")</f>
        <v/>
      </c>
    </row>
    <row r="1834" spans="13:27">
      <c r="M1834" s="24" t="str">
        <f t="array" ref="M1834">LEFT(L1834,MIN(FIND({"A","B","C"},MID(L1834,2,LEN(L1834))&amp;"ABC")))</f>
        <v/>
      </c>
      <c r="N1834" s="24" t="str">
        <f t="array" ref="N1834">SUBSTITUTE(L1834,M1834,"")</f>
        <v/>
      </c>
      <c r="X1834" s="258" t="str">
        <f t="shared" si="78"/>
        <v/>
      </c>
      <c r="Y1834" s="36" t="str">
        <f t="shared" si="79"/>
        <v/>
      </c>
      <c r="Z1834" s="340" t="str">
        <f>IF(AND(C1834&gt;0,D1834&lt;&gt;"",S1834=""),VLOOKUP(A1834&amp;IF(H1834="黑丝","黑","白")&amp;E1834,经纬!A:M,13,FALSE)*(I1834-AB1834),"")</f>
        <v/>
      </c>
      <c r="AA1834" s="340" t="str">
        <f>IF(AND(C1834&gt;0,D1834&lt;&gt;"",S1834=""),VLOOKUP(A1834&amp;IF(H1834="黑丝","黑","白")&amp;E1834,经纬!A:N,14,FALSE)*(I1834-AB1834),"")</f>
        <v/>
      </c>
    </row>
    <row r="1835" spans="13:27">
      <c r="M1835" s="24" t="str">
        <f t="array" ref="M1835">LEFT(L1835,MIN(FIND({"A","B","C"},MID(L1835,2,LEN(L1835))&amp;"ABC")))</f>
        <v/>
      </c>
      <c r="N1835" s="24" t="str">
        <f t="array" ref="N1835">SUBSTITUTE(L1835,M1835,"")</f>
        <v/>
      </c>
      <c r="X1835" s="258" t="str">
        <f t="shared" si="78"/>
        <v/>
      </c>
      <c r="Y1835" s="36" t="str">
        <f t="shared" si="79"/>
        <v/>
      </c>
      <c r="Z1835" s="340" t="str">
        <f>IF(AND(C1835&gt;0,D1835&lt;&gt;"",S1835=""),VLOOKUP(A1835&amp;IF(H1835="黑丝","黑","白")&amp;E1835,经纬!A:M,13,FALSE)*(I1835-AB1835),"")</f>
        <v/>
      </c>
      <c r="AA1835" s="340" t="str">
        <f>IF(AND(C1835&gt;0,D1835&lt;&gt;"",S1835=""),VLOOKUP(A1835&amp;IF(H1835="黑丝","黑","白")&amp;E1835,经纬!A:N,14,FALSE)*(I1835-AB1835),"")</f>
        <v/>
      </c>
    </row>
    <row r="1836" spans="13:27">
      <c r="M1836" s="24" t="str">
        <f t="array" ref="M1836">LEFT(L1836,MIN(FIND({"A","B","C"},MID(L1836,2,LEN(L1836))&amp;"ABC")))</f>
        <v/>
      </c>
      <c r="N1836" s="24" t="str">
        <f t="array" ref="N1836">SUBSTITUTE(L1836,M1836,"")</f>
        <v/>
      </c>
      <c r="X1836" s="258" t="str">
        <f t="shared" si="78"/>
        <v/>
      </c>
      <c r="Y1836" s="36" t="str">
        <f t="shared" si="79"/>
        <v/>
      </c>
      <c r="Z1836" s="340" t="str">
        <f>IF(AND(C1836&gt;0,D1836&lt;&gt;"",S1836=""),VLOOKUP(A1836&amp;IF(H1836="黑丝","黑","白")&amp;E1836,经纬!A:M,13,FALSE)*(I1836-AB1836),"")</f>
        <v/>
      </c>
      <c r="AA1836" s="340" t="str">
        <f>IF(AND(C1836&gt;0,D1836&lt;&gt;"",S1836=""),VLOOKUP(A1836&amp;IF(H1836="黑丝","黑","白")&amp;E1836,经纬!A:N,14,FALSE)*(I1836-AB1836),"")</f>
        <v/>
      </c>
    </row>
    <row r="1837" spans="13:27">
      <c r="M1837" s="24" t="str">
        <f t="array" ref="M1837">LEFT(L1837,MIN(FIND({"A","B","C"},MID(L1837,2,LEN(L1837))&amp;"ABC")))</f>
        <v/>
      </c>
      <c r="N1837" s="24" t="str">
        <f t="array" ref="N1837">SUBSTITUTE(L1837,M1837,"")</f>
        <v/>
      </c>
      <c r="X1837" s="258" t="str">
        <f t="shared" si="78"/>
        <v/>
      </c>
      <c r="Y1837" s="36" t="str">
        <f t="shared" si="79"/>
        <v/>
      </c>
      <c r="Z1837" s="340" t="str">
        <f>IF(AND(C1837&gt;0,D1837&lt;&gt;"",S1837=""),VLOOKUP(A1837&amp;IF(H1837="黑丝","黑","白")&amp;E1837,经纬!A:M,13,FALSE)*(I1837-AB1837),"")</f>
        <v/>
      </c>
      <c r="AA1837" s="340" t="str">
        <f>IF(AND(C1837&gt;0,D1837&lt;&gt;"",S1837=""),VLOOKUP(A1837&amp;IF(H1837="黑丝","黑","白")&amp;E1837,经纬!A:N,14,FALSE)*(I1837-AB1837),"")</f>
        <v/>
      </c>
    </row>
    <row r="1838" spans="13:27">
      <c r="M1838" s="24" t="str">
        <f t="array" ref="M1838">LEFT(L1838,MIN(FIND({"A","B","C"},MID(L1838,2,LEN(L1838))&amp;"ABC")))</f>
        <v/>
      </c>
      <c r="N1838" s="24" t="str">
        <f t="array" ref="N1838">SUBSTITUTE(L1838,M1838,"")</f>
        <v/>
      </c>
      <c r="X1838" s="258" t="str">
        <f t="shared" si="78"/>
        <v/>
      </c>
      <c r="Y1838" s="36" t="str">
        <f t="shared" si="79"/>
        <v/>
      </c>
      <c r="Z1838" s="340" t="str">
        <f>IF(AND(C1838&gt;0,D1838&lt;&gt;"",S1838=""),VLOOKUP(A1838&amp;IF(H1838="黑丝","黑","白")&amp;E1838,经纬!A:M,13,FALSE)*(I1838-AB1838),"")</f>
        <v/>
      </c>
      <c r="AA1838" s="340" t="str">
        <f>IF(AND(C1838&gt;0,D1838&lt;&gt;"",S1838=""),VLOOKUP(A1838&amp;IF(H1838="黑丝","黑","白")&amp;E1838,经纬!A:N,14,FALSE)*(I1838-AB1838),"")</f>
        <v/>
      </c>
    </row>
    <row r="1839" spans="13:27">
      <c r="M1839" s="24" t="str">
        <f t="array" ref="M1839">LEFT(L1839,MIN(FIND({"A","B","C"},MID(L1839,2,LEN(L1839))&amp;"ABC")))</f>
        <v/>
      </c>
      <c r="N1839" s="24" t="str">
        <f t="array" ref="N1839">SUBSTITUTE(L1839,M1839,"")</f>
        <v/>
      </c>
      <c r="X1839" s="258" t="str">
        <f t="shared" si="78"/>
        <v/>
      </c>
      <c r="Y1839" s="36" t="str">
        <f t="shared" si="79"/>
        <v/>
      </c>
      <c r="Z1839" s="340" t="str">
        <f>IF(AND(C1839&gt;0,D1839&lt;&gt;"",S1839=""),VLOOKUP(A1839&amp;IF(H1839="黑丝","黑","白")&amp;E1839,经纬!A:M,13,FALSE)*(I1839-AB1839),"")</f>
        <v/>
      </c>
      <c r="AA1839" s="340" t="str">
        <f>IF(AND(C1839&gt;0,D1839&lt;&gt;"",S1839=""),VLOOKUP(A1839&amp;IF(H1839="黑丝","黑","白")&amp;E1839,经纬!A:N,14,FALSE)*(I1839-AB1839),"")</f>
        <v/>
      </c>
    </row>
    <row r="1840" spans="13:27">
      <c r="M1840" s="24" t="str">
        <f t="array" ref="M1840">LEFT(L1840,MIN(FIND({"A","B","C"},MID(L1840,2,LEN(L1840))&amp;"ABC")))</f>
        <v/>
      </c>
      <c r="N1840" s="24" t="str">
        <f t="array" ref="N1840">SUBSTITUTE(L1840,M1840,"")</f>
        <v/>
      </c>
      <c r="X1840" s="258" t="str">
        <f t="shared" si="78"/>
        <v/>
      </c>
      <c r="Y1840" s="36" t="str">
        <f t="shared" si="79"/>
        <v/>
      </c>
      <c r="Z1840" s="340" t="str">
        <f>IF(AND(C1840&gt;0,D1840&lt;&gt;"",S1840=""),VLOOKUP(A1840&amp;IF(H1840="黑丝","黑","白")&amp;E1840,经纬!A:M,13,FALSE)*(I1840-AB1840),"")</f>
        <v/>
      </c>
      <c r="AA1840" s="340" t="str">
        <f>IF(AND(C1840&gt;0,D1840&lt;&gt;"",S1840=""),VLOOKUP(A1840&amp;IF(H1840="黑丝","黑","白")&amp;E1840,经纬!A:N,14,FALSE)*(I1840-AB1840),"")</f>
        <v/>
      </c>
    </row>
    <row r="1841" spans="13:27">
      <c r="M1841" s="24" t="str">
        <f t="array" ref="M1841">LEFT(L1841,MIN(FIND({"A","B","C"},MID(L1841,2,LEN(L1841))&amp;"ABC")))</f>
        <v/>
      </c>
      <c r="N1841" s="24" t="str">
        <f t="array" ref="N1841">SUBSTITUTE(L1841,M1841,"")</f>
        <v/>
      </c>
      <c r="X1841" s="258" t="str">
        <f t="shared" si="78"/>
        <v/>
      </c>
      <c r="Y1841" s="36" t="str">
        <f t="shared" si="79"/>
        <v/>
      </c>
      <c r="Z1841" s="340" t="str">
        <f>IF(AND(C1841&gt;0,D1841&lt;&gt;"",S1841=""),VLOOKUP(A1841&amp;IF(H1841="黑丝","黑","白")&amp;E1841,经纬!A:M,13,FALSE)*(I1841-AB1841),"")</f>
        <v/>
      </c>
      <c r="AA1841" s="340" t="str">
        <f>IF(AND(C1841&gt;0,D1841&lt;&gt;"",S1841=""),VLOOKUP(A1841&amp;IF(H1841="黑丝","黑","白")&amp;E1841,经纬!A:N,14,FALSE)*(I1841-AB1841),"")</f>
        <v/>
      </c>
    </row>
    <row r="1842" spans="13:27">
      <c r="M1842" s="24" t="str">
        <f t="array" ref="M1842">LEFT(L1842,MIN(FIND({"A","B","C"},MID(L1842,2,LEN(L1842))&amp;"ABC")))</f>
        <v/>
      </c>
      <c r="N1842" s="24" t="str">
        <f t="array" ref="N1842">SUBSTITUTE(L1842,M1842,"")</f>
        <v/>
      </c>
      <c r="X1842" s="258" t="str">
        <f t="shared" si="78"/>
        <v/>
      </c>
      <c r="Y1842" s="36" t="str">
        <f t="shared" si="79"/>
        <v/>
      </c>
      <c r="Z1842" s="340" t="str">
        <f>IF(AND(C1842&gt;0,D1842&lt;&gt;"",S1842=""),VLOOKUP(A1842&amp;IF(H1842="黑丝","黑","白")&amp;E1842,经纬!A:M,13,FALSE)*(I1842-AB1842),"")</f>
        <v/>
      </c>
      <c r="AA1842" s="340" t="str">
        <f>IF(AND(C1842&gt;0,D1842&lt;&gt;"",S1842=""),VLOOKUP(A1842&amp;IF(H1842="黑丝","黑","白")&amp;E1842,经纬!A:N,14,FALSE)*(I1842-AB1842),"")</f>
        <v/>
      </c>
    </row>
    <row r="1843" spans="13:27">
      <c r="M1843" s="24" t="str">
        <f t="array" ref="M1843">LEFT(L1843,MIN(FIND({"A","B","C"},MID(L1843,2,LEN(L1843))&amp;"ABC")))</f>
        <v/>
      </c>
      <c r="N1843" s="24" t="str">
        <f t="array" ref="N1843">SUBSTITUTE(L1843,M1843,"")</f>
        <v/>
      </c>
      <c r="X1843" s="258" t="str">
        <f t="shared" si="78"/>
        <v/>
      </c>
      <c r="Y1843" s="36" t="str">
        <f t="shared" si="79"/>
        <v/>
      </c>
      <c r="Z1843" s="340" t="str">
        <f>IF(AND(C1843&gt;0,D1843&lt;&gt;"",S1843=""),VLOOKUP(A1843&amp;IF(H1843="黑丝","黑","白")&amp;E1843,经纬!A:M,13,FALSE)*(I1843-AB1843),"")</f>
        <v/>
      </c>
      <c r="AA1843" s="340" t="str">
        <f>IF(AND(C1843&gt;0,D1843&lt;&gt;"",S1843=""),VLOOKUP(A1843&amp;IF(H1843="黑丝","黑","白")&amp;E1843,经纬!A:N,14,FALSE)*(I1843-AB1843),"")</f>
        <v/>
      </c>
    </row>
    <row r="1844" spans="13:27">
      <c r="M1844" s="24" t="str">
        <f t="array" ref="M1844">LEFT(L1844,MIN(FIND({"A","B","C"},MID(L1844,2,LEN(L1844))&amp;"ABC")))</f>
        <v/>
      </c>
      <c r="N1844" s="24" t="str">
        <f t="array" ref="N1844">SUBSTITUTE(L1844,M1844,"")</f>
        <v/>
      </c>
      <c r="X1844" s="258" t="str">
        <f t="shared" si="78"/>
        <v/>
      </c>
      <c r="Y1844" s="36" t="str">
        <f t="shared" si="79"/>
        <v/>
      </c>
      <c r="Z1844" s="340" t="str">
        <f>IF(AND(C1844&gt;0,D1844&lt;&gt;"",S1844=""),VLOOKUP(A1844&amp;IF(H1844="黑丝","黑","白")&amp;E1844,经纬!A:M,13,FALSE)*(I1844-AB1844),"")</f>
        <v/>
      </c>
      <c r="AA1844" s="340" t="str">
        <f>IF(AND(C1844&gt;0,D1844&lt;&gt;"",S1844=""),VLOOKUP(A1844&amp;IF(H1844="黑丝","黑","白")&amp;E1844,经纬!A:N,14,FALSE)*(I1844-AB1844),"")</f>
        <v/>
      </c>
    </row>
    <row r="1845" spans="13:27">
      <c r="M1845" s="24" t="str">
        <f t="array" ref="M1845">LEFT(L1845,MIN(FIND({"A","B","C"},MID(L1845,2,LEN(L1845))&amp;"ABC")))</f>
        <v/>
      </c>
      <c r="N1845" s="24" t="str">
        <f t="array" ref="N1845">SUBSTITUTE(L1845,M1845,"")</f>
        <v/>
      </c>
      <c r="X1845" s="258" t="str">
        <f t="shared" si="78"/>
        <v/>
      </c>
      <c r="Y1845" s="36" t="str">
        <f t="shared" si="79"/>
        <v/>
      </c>
      <c r="Z1845" s="340" t="str">
        <f>IF(AND(C1845&gt;0,D1845&lt;&gt;"",S1845=""),VLOOKUP(A1845&amp;IF(H1845="黑丝","黑","白")&amp;E1845,经纬!A:M,13,FALSE)*(I1845-AB1845),"")</f>
        <v/>
      </c>
      <c r="AA1845" s="340" t="str">
        <f>IF(AND(C1845&gt;0,D1845&lt;&gt;"",S1845=""),VLOOKUP(A1845&amp;IF(H1845="黑丝","黑","白")&amp;E1845,经纬!A:N,14,FALSE)*(I1845-AB1845),"")</f>
        <v/>
      </c>
    </row>
    <row r="1846" spans="13:27">
      <c r="M1846" s="24" t="str">
        <f t="array" ref="M1846">LEFT(L1846,MIN(FIND({"A","B","C"},MID(L1846,2,LEN(L1846))&amp;"ABC")))</f>
        <v/>
      </c>
      <c r="N1846" s="24" t="str">
        <f t="array" ref="N1846">SUBSTITUTE(L1846,M1846,"")</f>
        <v/>
      </c>
      <c r="X1846" s="258" t="str">
        <f t="shared" si="78"/>
        <v/>
      </c>
      <c r="Y1846" s="36" t="str">
        <f t="shared" si="79"/>
        <v/>
      </c>
      <c r="Z1846" s="340" t="str">
        <f>IF(AND(C1846&gt;0,D1846&lt;&gt;"",S1846=""),VLOOKUP(A1846&amp;IF(H1846="黑丝","黑","白")&amp;E1846,经纬!A:M,13,FALSE)*(I1846-AB1846),"")</f>
        <v/>
      </c>
      <c r="AA1846" s="340" t="str">
        <f>IF(AND(C1846&gt;0,D1846&lt;&gt;"",S1846=""),VLOOKUP(A1846&amp;IF(H1846="黑丝","黑","白")&amp;E1846,经纬!A:N,14,FALSE)*(I1846-AB1846),"")</f>
        <v/>
      </c>
    </row>
    <row r="1847" spans="13:27">
      <c r="M1847" s="24" t="str">
        <f t="array" ref="M1847">LEFT(L1847,MIN(FIND({"A","B","C"},MID(L1847,2,LEN(L1847))&amp;"ABC")))</f>
        <v/>
      </c>
      <c r="N1847" s="24" t="str">
        <f t="array" ref="N1847">SUBSTITUTE(L1847,M1847,"")</f>
        <v/>
      </c>
      <c r="X1847" s="258" t="str">
        <f t="shared" si="78"/>
        <v/>
      </c>
      <c r="Y1847" s="36" t="str">
        <f t="shared" si="79"/>
        <v/>
      </c>
      <c r="Z1847" s="340" t="str">
        <f>IF(AND(C1847&gt;0,D1847&lt;&gt;"",S1847=""),VLOOKUP(A1847&amp;IF(H1847="黑丝","黑","白")&amp;E1847,经纬!A:M,13,FALSE)*(I1847-AB1847),"")</f>
        <v/>
      </c>
      <c r="AA1847" s="340" t="str">
        <f>IF(AND(C1847&gt;0,D1847&lt;&gt;"",S1847=""),VLOOKUP(A1847&amp;IF(H1847="黑丝","黑","白")&amp;E1847,经纬!A:N,14,FALSE)*(I1847-AB1847),"")</f>
        <v/>
      </c>
    </row>
    <row r="1848" spans="13:27">
      <c r="M1848" s="24" t="str">
        <f t="array" ref="M1848">LEFT(L1848,MIN(FIND({"A","B","C"},MID(L1848,2,LEN(L1848))&amp;"ABC")))</f>
        <v/>
      </c>
      <c r="N1848" s="24" t="str">
        <f t="array" ref="N1848">SUBSTITUTE(L1848,M1848,"")</f>
        <v/>
      </c>
      <c r="X1848" s="258" t="str">
        <f t="shared" si="78"/>
        <v/>
      </c>
      <c r="Y1848" s="36" t="str">
        <f t="shared" si="79"/>
        <v/>
      </c>
      <c r="Z1848" s="340" t="str">
        <f>IF(AND(C1848&gt;0,D1848&lt;&gt;"",S1848=""),VLOOKUP(A1848&amp;IF(H1848="黑丝","黑","白")&amp;E1848,经纬!A:M,13,FALSE)*(I1848-AB1848),"")</f>
        <v/>
      </c>
      <c r="AA1848" s="340" t="str">
        <f>IF(AND(C1848&gt;0,D1848&lt;&gt;"",S1848=""),VLOOKUP(A1848&amp;IF(H1848="黑丝","黑","白")&amp;E1848,经纬!A:N,14,FALSE)*(I1848-AB1848),"")</f>
        <v/>
      </c>
    </row>
    <row r="1849" spans="13:27">
      <c r="M1849" s="24" t="str">
        <f t="array" ref="M1849">LEFT(L1849,MIN(FIND({"A","B","C"},MID(L1849,2,LEN(L1849))&amp;"ABC")))</f>
        <v/>
      </c>
      <c r="N1849" s="24" t="str">
        <f t="array" ref="N1849">SUBSTITUTE(L1849,M1849,"")</f>
        <v/>
      </c>
      <c r="X1849" s="258" t="str">
        <f t="shared" si="78"/>
        <v/>
      </c>
      <c r="Y1849" s="36" t="str">
        <f t="shared" si="79"/>
        <v/>
      </c>
      <c r="Z1849" s="340" t="str">
        <f>IF(AND(C1849&gt;0,D1849&lt;&gt;"",S1849=""),VLOOKUP(A1849&amp;IF(H1849="黑丝","黑","白")&amp;E1849,经纬!A:M,13,FALSE)*(I1849-AB1849),"")</f>
        <v/>
      </c>
      <c r="AA1849" s="340" t="str">
        <f>IF(AND(C1849&gt;0,D1849&lt;&gt;"",S1849=""),VLOOKUP(A1849&amp;IF(H1849="黑丝","黑","白")&amp;E1849,经纬!A:N,14,FALSE)*(I1849-AB1849),"")</f>
        <v/>
      </c>
    </row>
    <row r="1850" spans="13:27">
      <c r="M1850" s="24" t="str">
        <f t="array" ref="M1850">LEFT(L1850,MIN(FIND({"A","B","C"},MID(L1850,2,LEN(L1850))&amp;"ABC")))</f>
        <v/>
      </c>
      <c r="N1850" s="24" t="str">
        <f t="array" ref="N1850">SUBSTITUTE(L1850,M1850,"")</f>
        <v/>
      </c>
      <c r="X1850" s="258" t="str">
        <f t="shared" si="78"/>
        <v/>
      </c>
      <c r="Y1850" s="36" t="str">
        <f t="shared" si="79"/>
        <v/>
      </c>
      <c r="Z1850" s="340" t="str">
        <f>IF(AND(C1850&gt;0,D1850&lt;&gt;"",S1850=""),VLOOKUP(A1850&amp;IF(H1850="黑丝","黑","白")&amp;E1850,经纬!A:M,13,FALSE)*(I1850-AB1850),"")</f>
        <v/>
      </c>
      <c r="AA1850" s="340" t="str">
        <f>IF(AND(C1850&gt;0,D1850&lt;&gt;"",S1850=""),VLOOKUP(A1850&amp;IF(H1850="黑丝","黑","白")&amp;E1850,经纬!A:N,14,FALSE)*(I1850-AB1850),"")</f>
        <v/>
      </c>
    </row>
    <row r="1851" spans="13:27">
      <c r="M1851" s="24" t="str">
        <f t="array" ref="M1851">LEFT(L1851,MIN(FIND({"A","B","C"},MID(L1851,2,LEN(L1851))&amp;"ABC")))</f>
        <v/>
      </c>
      <c r="N1851" s="24" t="str">
        <f t="array" ref="N1851">SUBSTITUTE(L1851,M1851,"")</f>
        <v/>
      </c>
      <c r="X1851" s="258" t="str">
        <f t="shared" si="78"/>
        <v/>
      </c>
      <c r="Y1851" s="36" t="str">
        <f t="shared" si="79"/>
        <v/>
      </c>
      <c r="Z1851" s="340" t="str">
        <f>IF(AND(C1851&gt;0,D1851&lt;&gt;"",S1851=""),VLOOKUP(A1851&amp;IF(H1851="黑丝","黑","白")&amp;E1851,经纬!A:M,13,FALSE)*(I1851-AB1851),"")</f>
        <v/>
      </c>
      <c r="AA1851" s="340" t="str">
        <f>IF(AND(C1851&gt;0,D1851&lt;&gt;"",S1851=""),VLOOKUP(A1851&amp;IF(H1851="黑丝","黑","白")&amp;E1851,经纬!A:N,14,FALSE)*(I1851-AB1851),"")</f>
        <v/>
      </c>
    </row>
    <row r="1852" spans="13:27">
      <c r="M1852" s="24" t="str">
        <f t="array" ref="M1852">LEFT(L1852,MIN(FIND({"A","B","C"},MID(L1852,2,LEN(L1852))&amp;"ABC")))</f>
        <v/>
      </c>
      <c r="N1852" s="24" t="str">
        <f t="array" ref="N1852">SUBSTITUTE(L1852,M1852,"")</f>
        <v/>
      </c>
      <c r="X1852" s="258" t="str">
        <f t="shared" si="78"/>
        <v/>
      </c>
      <c r="Y1852" s="36" t="str">
        <f t="shared" si="79"/>
        <v/>
      </c>
      <c r="Z1852" s="340" t="str">
        <f>IF(AND(C1852&gt;0,D1852&lt;&gt;"",S1852=""),VLOOKUP(A1852&amp;IF(H1852="黑丝","黑","白")&amp;E1852,经纬!A:M,13,FALSE)*(I1852-AB1852),"")</f>
        <v/>
      </c>
      <c r="AA1852" s="340" t="str">
        <f>IF(AND(C1852&gt;0,D1852&lt;&gt;"",S1852=""),VLOOKUP(A1852&amp;IF(H1852="黑丝","黑","白")&amp;E1852,经纬!A:N,14,FALSE)*(I1852-AB1852),"")</f>
        <v/>
      </c>
    </row>
    <row r="1853" spans="13:27">
      <c r="M1853" s="24" t="str">
        <f t="array" ref="M1853">LEFT(L1853,MIN(FIND({"A","B","C"},MID(L1853,2,LEN(L1853))&amp;"ABC")))</f>
        <v/>
      </c>
      <c r="N1853" s="24" t="str">
        <f t="array" ref="N1853">SUBSTITUTE(L1853,M1853,"")</f>
        <v/>
      </c>
      <c r="X1853" s="258" t="str">
        <f t="shared" si="78"/>
        <v/>
      </c>
      <c r="Y1853" s="36" t="str">
        <f t="shared" si="79"/>
        <v/>
      </c>
      <c r="Z1853" s="340" t="str">
        <f>IF(AND(C1853&gt;0,D1853&lt;&gt;"",S1853=""),VLOOKUP(A1853&amp;IF(H1853="黑丝","黑","白")&amp;E1853,经纬!A:M,13,FALSE)*(I1853-AB1853),"")</f>
        <v/>
      </c>
      <c r="AA1853" s="340" t="str">
        <f>IF(AND(C1853&gt;0,D1853&lt;&gt;"",S1853=""),VLOOKUP(A1853&amp;IF(H1853="黑丝","黑","白")&amp;E1853,经纬!A:N,14,FALSE)*(I1853-AB1853),"")</f>
        <v/>
      </c>
    </row>
    <row r="1854" spans="13:27">
      <c r="M1854" s="24" t="str">
        <f t="array" ref="M1854">LEFT(L1854,MIN(FIND({"A","B","C"},MID(L1854,2,LEN(L1854))&amp;"ABC")))</f>
        <v/>
      </c>
      <c r="N1854" s="24" t="str">
        <f t="array" ref="N1854">SUBSTITUTE(L1854,M1854,"")</f>
        <v/>
      </c>
      <c r="X1854" s="258" t="str">
        <f t="shared" si="78"/>
        <v/>
      </c>
      <c r="Y1854" s="36" t="str">
        <f t="shared" si="79"/>
        <v/>
      </c>
      <c r="Z1854" s="340" t="str">
        <f>IF(AND(C1854&gt;0,D1854&lt;&gt;"",S1854=""),VLOOKUP(A1854&amp;IF(H1854="黑丝","黑","白")&amp;E1854,经纬!A:M,13,FALSE)*(I1854-AB1854),"")</f>
        <v/>
      </c>
      <c r="AA1854" s="340" t="str">
        <f>IF(AND(C1854&gt;0,D1854&lt;&gt;"",S1854=""),VLOOKUP(A1854&amp;IF(H1854="黑丝","黑","白")&amp;E1854,经纬!A:N,14,FALSE)*(I1854-AB1854),"")</f>
        <v/>
      </c>
    </row>
    <row r="1855" spans="13:27">
      <c r="M1855" s="24" t="str">
        <f t="array" ref="M1855">LEFT(L1855,MIN(FIND({"A","B","C"},MID(L1855,2,LEN(L1855))&amp;"ABC")))</f>
        <v/>
      </c>
      <c r="N1855" s="24" t="str">
        <f t="array" ref="N1855">SUBSTITUTE(L1855,M1855,"")</f>
        <v/>
      </c>
      <c r="X1855" s="258" t="str">
        <f t="shared" si="78"/>
        <v/>
      </c>
      <c r="Y1855" s="36" t="str">
        <f t="shared" si="79"/>
        <v/>
      </c>
      <c r="Z1855" s="340" t="str">
        <f>IF(AND(C1855&gt;0,D1855&lt;&gt;"",S1855=""),VLOOKUP(A1855&amp;IF(H1855="黑丝","黑","白")&amp;E1855,经纬!A:M,13,FALSE)*(I1855-AB1855),"")</f>
        <v/>
      </c>
      <c r="AA1855" s="340" t="str">
        <f>IF(AND(C1855&gt;0,D1855&lt;&gt;"",S1855=""),VLOOKUP(A1855&amp;IF(H1855="黑丝","黑","白")&amp;E1855,经纬!A:N,14,FALSE)*(I1855-AB1855),"")</f>
        <v/>
      </c>
    </row>
    <row r="1856" spans="13:27">
      <c r="M1856" s="24" t="str">
        <f t="array" ref="M1856">LEFT(L1856,MIN(FIND({"A","B","C"},MID(L1856,2,LEN(L1856))&amp;"ABC")))</f>
        <v/>
      </c>
      <c r="N1856" s="24" t="str">
        <f t="array" ref="N1856">SUBSTITUTE(L1856,M1856,"")</f>
        <v/>
      </c>
      <c r="X1856" s="258" t="str">
        <f t="shared" si="78"/>
        <v/>
      </c>
      <c r="Y1856" s="36" t="str">
        <f t="shared" si="79"/>
        <v/>
      </c>
      <c r="Z1856" s="340" t="str">
        <f>IF(AND(C1856&gt;0,D1856&lt;&gt;"",S1856=""),VLOOKUP(A1856&amp;IF(H1856="黑丝","黑","白")&amp;E1856,经纬!A:M,13,FALSE)*(I1856-AB1856),"")</f>
        <v/>
      </c>
      <c r="AA1856" s="340" t="str">
        <f>IF(AND(C1856&gt;0,D1856&lt;&gt;"",S1856=""),VLOOKUP(A1856&amp;IF(H1856="黑丝","黑","白")&amp;E1856,经纬!A:N,14,FALSE)*(I1856-AB1856),"")</f>
        <v/>
      </c>
    </row>
    <row r="1857" spans="13:27">
      <c r="M1857" s="24" t="str">
        <f t="array" ref="M1857">LEFT(L1857,MIN(FIND({"A","B","C"},MID(L1857,2,LEN(L1857))&amp;"ABC")))</f>
        <v/>
      </c>
      <c r="N1857" s="24" t="str">
        <f t="array" ref="N1857">SUBSTITUTE(L1857,M1857,"")</f>
        <v/>
      </c>
      <c r="X1857" s="258" t="str">
        <f t="shared" si="78"/>
        <v/>
      </c>
      <c r="Y1857" s="36" t="str">
        <f t="shared" si="79"/>
        <v/>
      </c>
      <c r="Z1857" s="340" t="str">
        <f>IF(AND(C1857&gt;0,D1857&lt;&gt;"",S1857=""),VLOOKUP(A1857&amp;IF(H1857="黑丝","黑","白")&amp;E1857,经纬!A:M,13,FALSE)*(I1857-AB1857),"")</f>
        <v/>
      </c>
      <c r="AA1857" s="340" t="str">
        <f>IF(AND(C1857&gt;0,D1857&lt;&gt;"",S1857=""),VLOOKUP(A1857&amp;IF(H1857="黑丝","黑","白")&amp;E1857,经纬!A:N,14,FALSE)*(I1857-AB1857),"")</f>
        <v/>
      </c>
    </row>
    <row r="1858" spans="13:27">
      <c r="M1858" s="24" t="str">
        <f t="array" ref="M1858">LEFT(L1858,MIN(FIND({"A","B","C"},MID(L1858,2,LEN(L1858))&amp;"ABC")))</f>
        <v/>
      </c>
      <c r="N1858" s="24" t="str">
        <f t="array" ref="N1858">SUBSTITUTE(L1858,M1858,"")</f>
        <v/>
      </c>
      <c r="X1858" s="258" t="str">
        <f t="shared" si="78"/>
        <v/>
      </c>
      <c r="Y1858" s="36" t="str">
        <f t="shared" si="79"/>
        <v/>
      </c>
      <c r="Z1858" s="340" t="str">
        <f>IF(AND(C1858&gt;0,D1858&lt;&gt;"",S1858=""),VLOOKUP(A1858&amp;IF(H1858="黑丝","黑","白")&amp;E1858,经纬!A:M,13,FALSE)*(I1858-AB1858),"")</f>
        <v/>
      </c>
      <c r="AA1858" s="340" t="str">
        <f>IF(AND(C1858&gt;0,D1858&lt;&gt;"",S1858=""),VLOOKUP(A1858&amp;IF(H1858="黑丝","黑","白")&amp;E1858,经纬!A:N,14,FALSE)*(I1858-AB1858),"")</f>
        <v/>
      </c>
    </row>
    <row r="1859" spans="13:27">
      <c r="M1859" s="24" t="str">
        <f t="array" ref="M1859">LEFT(L1859,MIN(FIND({"A","B","C"},MID(L1859,2,LEN(L1859))&amp;"ABC")))</f>
        <v/>
      </c>
      <c r="N1859" s="24" t="str">
        <f t="array" ref="N1859">SUBSTITUTE(L1859,M1859,"")</f>
        <v/>
      </c>
      <c r="X1859" s="258" t="str">
        <f t="shared" si="78"/>
        <v/>
      </c>
      <c r="Y1859" s="36" t="str">
        <f t="shared" si="79"/>
        <v/>
      </c>
      <c r="Z1859" s="340" t="str">
        <f>IF(AND(C1859&gt;0,D1859&lt;&gt;"",S1859=""),VLOOKUP(A1859&amp;IF(H1859="黑丝","黑","白")&amp;E1859,经纬!A:M,13,FALSE)*(I1859-AB1859),"")</f>
        <v/>
      </c>
      <c r="AA1859" s="340" t="str">
        <f>IF(AND(C1859&gt;0,D1859&lt;&gt;"",S1859=""),VLOOKUP(A1859&amp;IF(H1859="黑丝","黑","白")&amp;E1859,经纬!A:N,14,FALSE)*(I1859-AB1859),"")</f>
        <v/>
      </c>
    </row>
    <row r="1860" spans="13:27">
      <c r="M1860" s="24" t="str">
        <f t="array" ref="M1860">LEFT(L1860,MIN(FIND({"A","B","C"},MID(L1860,2,LEN(L1860))&amp;"ABC")))</f>
        <v/>
      </c>
      <c r="N1860" s="24" t="str">
        <f t="array" ref="N1860">SUBSTITUTE(L1860,M1860,"")</f>
        <v/>
      </c>
      <c r="X1860" s="258" t="str">
        <f t="shared" si="78"/>
        <v/>
      </c>
      <c r="Y1860" s="36" t="str">
        <f t="shared" si="79"/>
        <v/>
      </c>
      <c r="Z1860" s="340" t="str">
        <f>IF(AND(C1860&gt;0,D1860&lt;&gt;"",S1860=""),VLOOKUP(A1860&amp;IF(H1860="黑丝","黑","白")&amp;E1860,经纬!A:M,13,FALSE)*(I1860-AB1860),"")</f>
        <v/>
      </c>
      <c r="AA1860" s="340" t="str">
        <f>IF(AND(C1860&gt;0,D1860&lt;&gt;"",S1860=""),VLOOKUP(A1860&amp;IF(H1860="黑丝","黑","白")&amp;E1860,经纬!A:N,14,FALSE)*(I1860-AB1860),"")</f>
        <v/>
      </c>
    </row>
    <row r="1861" spans="13:27">
      <c r="M1861" s="24" t="str">
        <f t="array" ref="M1861">LEFT(L1861,MIN(FIND({"A","B","C"},MID(L1861,2,LEN(L1861))&amp;"ABC")))</f>
        <v/>
      </c>
      <c r="N1861" s="24" t="str">
        <f t="array" ref="N1861">SUBSTITUTE(L1861,M1861,"")</f>
        <v/>
      </c>
      <c r="X1861" s="258" t="str">
        <f t="shared" si="78"/>
        <v/>
      </c>
      <c r="Y1861" s="36" t="str">
        <f t="shared" si="79"/>
        <v/>
      </c>
      <c r="Z1861" s="340" t="str">
        <f>IF(AND(C1861&gt;0,D1861&lt;&gt;"",S1861=""),VLOOKUP(A1861&amp;IF(H1861="黑丝","黑","白")&amp;E1861,经纬!A:M,13,FALSE)*(I1861-AB1861),"")</f>
        <v/>
      </c>
      <c r="AA1861" s="340" t="str">
        <f>IF(AND(C1861&gt;0,D1861&lt;&gt;"",S1861=""),VLOOKUP(A1861&amp;IF(H1861="黑丝","黑","白")&amp;E1861,经纬!A:N,14,FALSE)*(I1861-AB1861),"")</f>
        <v/>
      </c>
    </row>
    <row r="1862" spans="13:27">
      <c r="M1862" s="24" t="str">
        <f t="array" ref="M1862">LEFT(L1862,MIN(FIND({"A","B","C"},MID(L1862,2,LEN(L1862))&amp;"ABC")))</f>
        <v/>
      </c>
      <c r="N1862" s="24" t="str">
        <f t="array" ref="N1862">SUBSTITUTE(L1862,M1862,"")</f>
        <v/>
      </c>
      <c r="X1862" s="258" t="str">
        <f t="shared" si="78"/>
        <v/>
      </c>
      <c r="Y1862" s="36" t="str">
        <f t="shared" si="79"/>
        <v/>
      </c>
      <c r="Z1862" s="340" t="str">
        <f>IF(AND(C1862&gt;0,D1862&lt;&gt;"",S1862=""),VLOOKUP(A1862&amp;IF(H1862="黑丝","黑","白")&amp;E1862,经纬!A:M,13,FALSE)*(I1862-AB1862),"")</f>
        <v/>
      </c>
      <c r="AA1862" s="340" t="str">
        <f>IF(AND(C1862&gt;0,D1862&lt;&gt;"",S1862=""),VLOOKUP(A1862&amp;IF(H1862="黑丝","黑","白")&amp;E1862,经纬!A:N,14,FALSE)*(I1862-AB1862),"")</f>
        <v/>
      </c>
    </row>
    <row r="1863" spans="13:27">
      <c r="M1863" s="24" t="str">
        <f t="array" ref="M1863">LEFT(L1863,MIN(FIND({"A","B","C"},MID(L1863,2,LEN(L1863))&amp;"ABC")))</f>
        <v/>
      </c>
      <c r="N1863" s="24" t="str">
        <f t="array" ref="N1863">SUBSTITUTE(L1863,M1863,"")</f>
        <v/>
      </c>
      <c r="X1863" s="258" t="str">
        <f t="shared" si="78"/>
        <v/>
      </c>
      <c r="Y1863" s="36" t="str">
        <f t="shared" si="79"/>
        <v/>
      </c>
      <c r="Z1863" s="340" t="str">
        <f>IF(AND(C1863&gt;0,D1863&lt;&gt;"",S1863=""),VLOOKUP(A1863&amp;IF(H1863="黑丝","黑","白")&amp;E1863,经纬!A:M,13,FALSE)*(I1863-AB1863),"")</f>
        <v/>
      </c>
      <c r="AA1863" s="340" t="str">
        <f>IF(AND(C1863&gt;0,D1863&lt;&gt;"",S1863=""),VLOOKUP(A1863&amp;IF(H1863="黑丝","黑","白")&amp;E1863,经纬!A:N,14,FALSE)*(I1863-AB1863),"")</f>
        <v/>
      </c>
    </row>
    <row r="1864" spans="13:27">
      <c r="M1864" s="24" t="str">
        <f t="array" ref="M1864">LEFT(L1864,MIN(FIND({"A","B","C"},MID(L1864,2,LEN(L1864))&amp;"ABC")))</f>
        <v/>
      </c>
      <c r="N1864" s="24" t="str">
        <f t="array" ref="N1864">SUBSTITUTE(L1864,M1864,"")</f>
        <v/>
      </c>
      <c r="X1864" s="258" t="str">
        <f t="shared" si="78"/>
        <v/>
      </c>
      <c r="Y1864" s="36" t="str">
        <f t="shared" si="79"/>
        <v/>
      </c>
      <c r="Z1864" s="340" t="str">
        <f>IF(AND(C1864&gt;0,D1864&lt;&gt;"",S1864=""),VLOOKUP(A1864&amp;IF(H1864="黑丝","黑","白")&amp;E1864,经纬!A:M,13,FALSE)*(I1864-AB1864),"")</f>
        <v/>
      </c>
      <c r="AA1864" s="340" t="str">
        <f>IF(AND(C1864&gt;0,D1864&lt;&gt;"",S1864=""),VLOOKUP(A1864&amp;IF(H1864="黑丝","黑","白")&amp;E1864,经纬!A:N,14,FALSE)*(I1864-AB1864),"")</f>
        <v/>
      </c>
    </row>
    <row r="1865" spans="13:27">
      <c r="M1865" s="24" t="str">
        <f t="array" ref="M1865">LEFT(L1865,MIN(FIND({"A","B","C"},MID(L1865,2,LEN(L1865))&amp;"ABC")))</f>
        <v/>
      </c>
      <c r="N1865" s="24" t="str">
        <f t="array" ref="N1865">SUBSTITUTE(L1865,M1865,"")</f>
        <v/>
      </c>
      <c r="X1865" s="258" t="str">
        <f t="shared" si="78"/>
        <v/>
      </c>
      <c r="Y1865" s="36" t="str">
        <f t="shared" si="79"/>
        <v/>
      </c>
      <c r="Z1865" s="340" t="str">
        <f>IF(AND(C1865&gt;0,D1865&lt;&gt;"",S1865=""),VLOOKUP(A1865&amp;IF(H1865="黑丝","黑","白")&amp;E1865,经纬!A:M,13,FALSE)*(I1865-AB1865),"")</f>
        <v/>
      </c>
      <c r="AA1865" s="340" t="str">
        <f>IF(AND(C1865&gt;0,D1865&lt;&gt;"",S1865=""),VLOOKUP(A1865&amp;IF(H1865="黑丝","黑","白")&amp;E1865,经纬!A:N,14,FALSE)*(I1865-AB1865),"")</f>
        <v/>
      </c>
    </row>
    <row r="1866" spans="13:27">
      <c r="M1866" s="24" t="str">
        <f t="array" ref="M1866">LEFT(L1866,MIN(FIND({"A","B","C"},MID(L1866,2,LEN(L1866))&amp;"ABC")))</f>
        <v/>
      </c>
      <c r="N1866" s="24" t="str">
        <f t="array" ref="N1866">SUBSTITUTE(L1866,M1866,"")</f>
        <v/>
      </c>
      <c r="X1866" s="258" t="str">
        <f t="shared" si="78"/>
        <v/>
      </c>
      <c r="Y1866" s="36" t="str">
        <f t="shared" si="79"/>
        <v/>
      </c>
      <c r="Z1866" s="340" t="str">
        <f>IF(AND(C1866&gt;0,D1866&lt;&gt;"",S1866=""),VLOOKUP(A1866&amp;IF(H1866="黑丝","黑","白")&amp;E1866,经纬!A:M,13,FALSE)*(I1866-AB1866),"")</f>
        <v/>
      </c>
      <c r="AA1866" s="340" t="str">
        <f>IF(AND(C1866&gt;0,D1866&lt;&gt;"",S1866=""),VLOOKUP(A1866&amp;IF(H1866="黑丝","黑","白")&amp;E1866,经纬!A:N,14,FALSE)*(I1866-AB1866),"")</f>
        <v/>
      </c>
    </row>
    <row r="1867" spans="13:27">
      <c r="M1867" s="24" t="str">
        <f t="array" ref="M1867">LEFT(L1867,MIN(FIND({"A","B","C"},MID(L1867,2,LEN(L1867))&amp;"ABC")))</f>
        <v/>
      </c>
      <c r="N1867" s="24" t="str">
        <f t="array" ref="N1867">SUBSTITUTE(L1867,M1867,"")</f>
        <v/>
      </c>
      <c r="X1867" s="258" t="str">
        <f t="shared" si="78"/>
        <v/>
      </c>
      <c r="Y1867" s="36" t="str">
        <f t="shared" si="79"/>
        <v/>
      </c>
      <c r="Z1867" s="340" t="str">
        <f>IF(AND(C1867&gt;0,D1867&lt;&gt;"",S1867=""),VLOOKUP(A1867&amp;IF(H1867="黑丝","黑","白")&amp;E1867,经纬!A:M,13,FALSE)*(I1867-AB1867),"")</f>
        <v/>
      </c>
      <c r="AA1867" s="340" t="str">
        <f>IF(AND(C1867&gt;0,D1867&lt;&gt;"",S1867=""),VLOOKUP(A1867&amp;IF(H1867="黑丝","黑","白")&amp;E1867,经纬!A:N,14,FALSE)*(I1867-AB1867),"")</f>
        <v/>
      </c>
    </row>
    <row r="1868" spans="13:27">
      <c r="M1868" s="24" t="str">
        <f t="array" ref="M1868">LEFT(L1868,MIN(FIND({"A","B","C"},MID(L1868,2,LEN(L1868))&amp;"ABC")))</f>
        <v/>
      </c>
      <c r="N1868" s="24" t="str">
        <f t="array" ref="N1868">SUBSTITUTE(L1868,M1868,"")</f>
        <v/>
      </c>
      <c r="X1868" s="258" t="str">
        <f t="shared" si="78"/>
        <v/>
      </c>
      <c r="Y1868" s="36" t="str">
        <f t="shared" si="79"/>
        <v/>
      </c>
      <c r="Z1868" s="340" t="str">
        <f>IF(AND(C1868&gt;0,D1868&lt;&gt;"",S1868=""),VLOOKUP(A1868&amp;IF(H1868="黑丝","黑","白")&amp;E1868,经纬!A:M,13,FALSE)*(I1868-AB1868),"")</f>
        <v/>
      </c>
      <c r="AA1868" s="340" t="str">
        <f>IF(AND(C1868&gt;0,D1868&lt;&gt;"",S1868=""),VLOOKUP(A1868&amp;IF(H1868="黑丝","黑","白")&amp;E1868,经纬!A:N,14,FALSE)*(I1868-AB1868),"")</f>
        <v/>
      </c>
    </row>
    <row r="1869" spans="13:27">
      <c r="M1869" s="24" t="str">
        <f t="array" ref="M1869">LEFT(L1869,MIN(FIND({"A","B","C"},MID(L1869,2,LEN(L1869))&amp;"ABC")))</f>
        <v/>
      </c>
      <c r="N1869" s="24" t="str">
        <f t="array" ref="N1869">SUBSTITUTE(L1869,M1869,"")</f>
        <v/>
      </c>
      <c r="X1869" s="258" t="str">
        <f t="shared" si="78"/>
        <v/>
      </c>
      <c r="Y1869" s="36" t="str">
        <f t="shared" si="79"/>
        <v/>
      </c>
      <c r="Z1869" s="340" t="str">
        <f>IF(AND(C1869&gt;0,D1869&lt;&gt;"",S1869=""),VLOOKUP(A1869&amp;IF(H1869="黑丝","黑","白")&amp;E1869,经纬!A:M,13,FALSE)*(I1869-AB1869),"")</f>
        <v/>
      </c>
      <c r="AA1869" s="340" t="str">
        <f>IF(AND(C1869&gt;0,D1869&lt;&gt;"",S1869=""),VLOOKUP(A1869&amp;IF(H1869="黑丝","黑","白")&amp;E1869,经纬!A:N,14,FALSE)*(I1869-AB1869),"")</f>
        <v/>
      </c>
    </row>
    <row r="1870" spans="13:27">
      <c r="M1870" s="24" t="str">
        <f t="array" ref="M1870">LEFT(L1870,MIN(FIND({"A","B","C"},MID(L1870,2,LEN(L1870))&amp;"ABC")))</f>
        <v/>
      </c>
      <c r="N1870" s="24" t="str">
        <f t="array" ref="N1870">SUBSTITUTE(L1870,M1870,"")</f>
        <v/>
      </c>
      <c r="X1870" s="258" t="str">
        <f t="shared" si="78"/>
        <v/>
      </c>
      <c r="Y1870" s="36" t="str">
        <f t="shared" si="79"/>
        <v/>
      </c>
      <c r="Z1870" s="340" t="str">
        <f>IF(AND(C1870&gt;0,D1870&lt;&gt;"",S1870=""),VLOOKUP(A1870&amp;IF(H1870="黑丝","黑","白")&amp;E1870,经纬!A:M,13,FALSE)*(I1870-AB1870),"")</f>
        <v/>
      </c>
      <c r="AA1870" s="340" t="str">
        <f>IF(AND(C1870&gt;0,D1870&lt;&gt;"",S1870=""),VLOOKUP(A1870&amp;IF(H1870="黑丝","黑","白")&amp;E1870,经纬!A:N,14,FALSE)*(I1870-AB1870),"")</f>
        <v/>
      </c>
    </row>
    <row r="1871" spans="13:27">
      <c r="M1871" s="24" t="str">
        <f t="array" ref="M1871">LEFT(L1871,MIN(FIND({"A","B","C"},MID(L1871,2,LEN(L1871))&amp;"ABC")))</f>
        <v/>
      </c>
      <c r="N1871" s="24" t="str">
        <f t="array" ref="N1871">SUBSTITUTE(L1871,M1871,"")</f>
        <v/>
      </c>
      <c r="X1871" s="258" t="str">
        <f t="shared" si="78"/>
        <v/>
      </c>
      <c r="Y1871" s="36" t="str">
        <f t="shared" si="79"/>
        <v/>
      </c>
      <c r="Z1871" s="340" t="str">
        <f>IF(AND(C1871&gt;0,D1871&lt;&gt;"",S1871=""),VLOOKUP(A1871&amp;IF(H1871="黑丝","黑","白")&amp;E1871,经纬!A:M,13,FALSE)*(I1871-AB1871),"")</f>
        <v/>
      </c>
      <c r="AA1871" s="340" t="str">
        <f>IF(AND(C1871&gt;0,D1871&lt;&gt;"",S1871=""),VLOOKUP(A1871&amp;IF(H1871="黑丝","黑","白")&amp;E1871,经纬!A:N,14,FALSE)*(I1871-AB1871),"")</f>
        <v/>
      </c>
    </row>
    <row r="1872" spans="13:27">
      <c r="M1872" s="24" t="str">
        <f t="array" ref="M1872">LEFT(L1872,MIN(FIND({"A","B","C"},MID(L1872,2,LEN(L1872))&amp;"ABC")))</f>
        <v/>
      </c>
      <c r="N1872" s="24" t="str">
        <f t="array" ref="N1872">SUBSTITUTE(L1872,M1872,"")</f>
        <v/>
      </c>
      <c r="X1872" s="258" t="str">
        <f t="shared" si="78"/>
        <v/>
      </c>
      <c r="Y1872" s="36" t="str">
        <f t="shared" si="79"/>
        <v/>
      </c>
      <c r="Z1872" s="340" t="str">
        <f>IF(AND(C1872&gt;0,D1872&lt;&gt;"",S1872=""),VLOOKUP(A1872&amp;IF(H1872="黑丝","黑","白")&amp;E1872,经纬!A:M,13,FALSE)*(I1872-AB1872),"")</f>
        <v/>
      </c>
      <c r="AA1872" s="340" t="str">
        <f>IF(AND(C1872&gt;0,D1872&lt;&gt;"",S1872=""),VLOOKUP(A1872&amp;IF(H1872="黑丝","黑","白")&amp;E1872,经纬!A:N,14,FALSE)*(I1872-AB1872),"")</f>
        <v/>
      </c>
    </row>
    <row r="1873" spans="13:27">
      <c r="M1873" s="24" t="str">
        <f t="array" ref="M1873">LEFT(L1873,MIN(FIND({"A","B","C"},MID(L1873,2,LEN(L1873))&amp;"ABC")))</f>
        <v/>
      </c>
      <c r="N1873" s="24" t="str">
        <f t="array" ref="N1873">SUBSTITUTE(L1873,M1873,"")</f>
        <v/>
      </c>
      <c r="X1873" s="258" t="str">
        <f t="shared" si="78"/>
        <v/>
      </c>
      <c r="Y1873" s="36" t="str">
        <f t="shared" si="79"/>
        <v/>
      </c>
      <c r="Z1873" s="340" t="str">
        <f>IF(AND(C1873&gt;0,D1873&lt;&gt;"",S1873=""),VLOOKUP(A1873&amp;IF(H1873="黑丝","黑","白")&amp;E1873,经纬!A:M,13,FALSE)*(I1873-AB1873),"")</f>
        <v/>
      </c>
      <c r="AA1873" s="340" t="str">
        <f>IF(AND(C1873&gt;0,D1873&lt;&gt;"",S1873=""),VLOOKUP(A1873&amp;IF(H1873="黑丝","黑","白")&amp;E1873,经纬!A:N,14,FALSE)*(I1873-AB1873),"")</f>
        <v/>
      </c>
    </row>
    <row r="1874" spans="13:27">
      <c r="M1874" s="24" t="str">
        <f t="array" ref="M1874">LEFT(L1874,MIN(FIND({"A","B","C"},MID(L1874,2,LEN(L1874))&amp;"ABC")))</f>
        <v/>
      </c>
      <c r="N1874" s="24" t="str">
        <f t="array" ref="N1874">SUBSTITUTE(L1874,M1874,"")</f>
        <v/>
      </c>
      <c r="X1874" s="258" t="str">
        <f t="shared" si="78"/>
        <v/>
      </c>
      <c r="Y1874" s="36" t="str">
        <f t="shared" si="79"/>
        <v/>
      </c>
      <c r="Z1874" s="340" t="str">
        <f>IF(AND(C1874&gt;0,D1874&lt;&gt;"",S1874=""),VLOOKUP(A1874&amp;IF(H1874="黑丝","黑","白")&amp;E1874,经纬!A:M,13,FALSE)*(I1874-AB1874),"")</f>
        <v/>
      </c>
      <c r="AA1874" s="340" t="str">
        <f>IF(AND(C1874&gt;0,D1874&lt;&gt;"",S1874=""),VLOOKUP(A1874&amp;IF(H1874="黑丝","黑","白")&amp;E1874,经纬!A:N,14,FALSE)*(I1874-AB1874),"")</f>
        <v/>
      </c>
    </row>
    <row r="1875" spans="13:27">
      <c r="M1875" s="24" t="str">
        <f t="array" ref="M1875">LEFT(L1875,MIN(FIND({"A","B","C"},MID(L1875,2,LEN(L1875))&amp;"ABC")))</f>
        <v/>
      </c>
      <c r="N1875" s="24" t="str">
        <f t="array" ref="N1875">SUBSTITUTE(L1875,M1875,"")</f>
        <v/>
      </c>
      <c r="X1875" s="258" t="str">
        <f t="shared" si="78"/>
        <v/>
      </c>
      <c r="Y1875" s="36" t="str">
        <f t="shared" si="79"/>
        <v/>
      </c>
      <c r="Z1875" s="340" t="str">
        <f>IF(AND(C1875&gt;0,D1875&lt;&gt;"",S1875=""),VLOOKUP(A1875&amp;IF(H1875="黑丝","黑","白")&amp;E1875,经纬!A:M,13,FALSE)*(I1875-AB1875),"")</f>
        <v/>
      </c>
      <c r="AA1875" s="340" t="str">
        <f>IF(AND(C1875&gt;0,D1875&lt;&gt;"",S1875=""),VLOOKUP(A1875&amp;IF(H1875="黑丝","黑","白")&amp;E1875,经纬!A:N,14,FALSE)*(I1875-AB1875),"")</f>
        <v/>
      </c>
    </row>
    <row r="1876" spans="13:27">
      <c r="M1876" s="24" t="str">
        <f t="array" ref="M1876">LEFT(L1876,MIN(FIND({"A","B","C"},MID(L1876,2,LEN(L1876))&amp;"ABC")))</f>
        <v/>
      </c>
      <c r="N1876" s="24" t="str">
        <f t="array" ref="N1876">SUBSTITUTE(L1876,M1876,"")</f>
        <v/>
      </c>
      <c r="X1876" s="258" t="str">
        <f t="shared" si="78"/>
        <v/>
      </c>
      <c r="Y1876" s="36" t="str">
        <f t="shared" si="79"/>
        <v/>
      </c>
      <c r="Z1876" s="340" t="str">
        <f>IF(AND(C1876&gt;0,D1876&lt;&gt;"",S1876=""),VLOOKUP(A1876&amp;IF(H1876="黑丝","黑","白")&amp;E1876,经纬!A:M,13,FALSE)*(I1876-AB1876),"")</f>
        <v/>
      </c>
      <c r="AA1876" s="340" t="str">
        <f>IF(AND(C1876&gt;0,D1876&lt;&gt;"",S1876=""),VLOOKUP(A1876&amp;IF(H1876="黑丝","黑","白")&amp;E1876,经纬!A:N,14,FALSE)*(I1876-AB1876),"")</f>
        <v/>
      </c>
    </row>
    <row r="1877" spans="13:27">
      <c r="M1877" s="24" t="str">
        <f t="array" ref="M1877">LEFT(L1877,MIN(FIND({"A","B","C"},MID(L1877,2,LEN(L1877))&amp;"ABC")))</f>
        <v/>
      </c>
      <c r="N1877" s="24" t="str">
        <f t="array" ref="N1877">SUBSTITUTE(L1877,M1877,"")</f>
        <v/>
      </c>
      <c r="X1877" s="258" t="str">
        <f t="shared" si="78"/>
        <v/>
      </c>
      <c r="Y1877" s="36" t="str">
        <f t="shared" si="79"/>
        <v/>
      </c>
      <c r="Z1877" s="340" t="str">
        <f>IF(AND(C1877&gt;0,D1877&lt;&gt;"",S1877=""),VLOOKUP(A1877&amp;IF(H1877="黑丝","黑","白")&amp;E1877,经纬!A:M,13,FALSE)*(I1877-AB1877),"")</f>
        <v/>
      </c>
      <c r="AA1877" s="340" t="str">
        <f>IF(AND(C1877&gt;0,D1877&lt;&gt;"",S1877=""),VLOOKUP(A1877&amp;IF(H1877="黑丝","黑","白")&amp;E1877,经纬!A:N,14,FALSE)*(I1877-AB1877),"")</f>
        <v/>
      </c>
    </row>
    <row r="1878" spans="13:27">
      <c r="M1878" s="24" t="str">
        <f t="array" ref="M1878">LEFT(L1878,MIN(FIND({"A","B","C"},MID(L1878,2,LEN(L1878))&amp;"ABC")))</f>
        <v/>
      </c>
      <c r="N1878" s="24" t="str">
        <f t="array" ref="N1878">SUBSTITUTE(L1878,M1878,"")</f>
        <v/>
      </c>
      <c r="X1878" s="258" t="str">
        <f t="shared" si="78"/>
        <v/>
      </c>
      <c r="Y1878" s="36" t="str">
        <f t="shared" si="79"/>
        <v/>
      </c>
      <c r="Z1878" s="340" t="str">
        <f>IF(AND(C1878&gt;0,D1878&lt;&gt;"",S1878=""),VLOOKUP(A1878&amp;IF(H1878="黑丝","黑","白")&amp;E1878,经纬!A:M,13,FALSE)*(I1878-AB1878),"")</f>
        <v/>
      </c>
      <c r="AA1878" s="340" t="str">
        <f>IF(AND(C1878&gt;0,D1878&lt;&gt;"",S1878=""),VLOOKUP(A1878&amp;IF(H1878="黑丝","黑","白")&amp;E1878,经纬!A:N,14,FALSE)*(I1878-AB1878),"")</f>
        <v/>
      </c>
    </row>
    <row r="1879" spans="13:27">
      <c r="M1879" s="24" t="str">
        <f t="array" ref="M1879">LEFT(L1879,MIN(FIND({"A","B","C"},MID(L1879,2,LEN(L1879))&amp;"ABC")))</f>
        <v/>
      </c>
      <c r="N1879" s="24" t="str">
        <f t="array" ref="N1879">SUBSTITUTE(L1879,M1879,"")</f>
        <v/>
      </c>
      <c r="X1879" s="258" t="str">
        <f t="shared" si="78"/>
        <v/>
      </c>
      <c r="Y1879" s="36" t="str">
        <f t="shared" si="79"/>
        <v/>
      </c>
      <c r="Z1879" s="340" t="str">
        <f>IF(AND(C1879&gt;0,D1879&lt;&gt;"",S1879=""),VLOOKUP(A1879&amp;IF(H1879="黑丝","黑","白")&amp;E1879,经纬!A:M,13,FALSE)*(I1879-AB1879),"")</f>
        <v/>
      </c>
      <c r="AA1879" s="340" t="str">
        <f>IF(AND(C1879&gt;0,D1879&lt;&gt;"",S1879=""),VLOOKUP(A1879&amp;IF(H1879="黑丝","黑","白")&amp;E1879,经纬!A:N,14,FALSE)*(I1879-AB1879),"")</f>
        <v/>
      </c>
    </row>
    <row r="1880" spans="13:27">
      <c r="M1880" s="24" t="str">
        <f t="array" ref="M1880">LEFT(L1880,MIN(FIND({"A","B","C"},MID(L1880,2,LEN(L1880))&amp;"ABC")))</f>
        <v/>
      </c>
      <c r="N1880" s="24" t="str">
        <f t="array" ref="N1880">SUBSTITUTE(L1880,M1880,"")</f>
        <v/>
      </c>
      <c r="X1880" s="258" t="str">
        <f t="shared" si="78"/>
        <v/>
      </c>
      <c r="Y1880" s="36" t="str">
        <f t="shared" si="79"/>
        <v/>
      </c>
      <c r="Z1880" s="340" t="str">
        <f>IF(AND(C1880&gt;0,D1880&lt;&gt;"",S1880=""),VLOOKUP(A1880&amp;IF(H1880="黑丝","黑","白")&amp;E1880,经纬!A:M,13,FALSE)*(I1880-AB1880),"")</f>
        <v/>
      </c>
      <c r="AA1880" s="340" t="str">
        <f>IF(AND(C1880&gt;0,D1880&lt;&gt;"",S1880=""),VLOOKUP(A1880&amp;IF(H1880="黑丝","黑","白")&amp;E1880,经纬!A:N,14,FALSE)*(I1880-AB1880),"")</f>
        <v/>
      </c>
    </row>
    <row r="1881" spans="13:27">
      <c r="M1881" s="24" t="str">
        <f t="array" ref="M1881">LEFT(L1881,MIN(FIND({"A","B","C"},MID(L1881,2,LEN(L1881))&amp;"ABC")))</f>
        <v/>
      </c>
      <c r="N1881" s="24" t="str">
        <f t="array" ref="N1881">SUBSTITUTE(L1881,M1881,"")</f>
        <v/>
      </c>
      <c r="X1881" s="258" t="str">
        <f t="shared" si="78"/>
        <v/>
      </c>
      <c r="Y1881" s="36" t="str">
        <f t="shared" si="79"/>
        <v/>
      </c>
      <c r="Z1881" s="340" t="str">
        <f>IF(AND(C1881&gt;0,D1881&lt;&gt;"",S1881=""),VLOOKUP(A1881&amp;IF(H1881="黑丝","黑","白")&amp;E1881,经纬!A:M,13,FALSE)*(I1881-AB1881),"")</f>
        <v/>
      </c>
      <c r="AA1881" s="340" t="str">
        <f>IF(AND(C1881&gt;0,D1881&lt;&gt;"",S1881=""),VLOOKUP(A1881&amp;IF(H1881="黑丝","黑","白")&amp;E1881,经纬!A:N,14,FALSE)*(I1881-AB1881),"")</f>
        <v/>
      </c>
    </row>
    <row r="1882" spans="13:27">
      <c r="M1882" s="24" t="str">
        <f t="array" ref="M1882">LEFT(L1882,MIN(FIND({"A","B","C"},MID(L1882,2,LEN(L1882))&amp;"ABC")))</f>
        <v/>
      </c>
      <c r="N1882" s="24" t="str">
        <f t="array" ref="N1882">SUBSTITUTE(L1882,M1882,"")</f>
        <v/>
      </c>
      <c r="X1882" s="258" t="str">
        <f t="shared" si="78"/>
        <v/>
      </c>
      <c r="Y1882" s="36" t="str">
        <f t="shared" si="79"/>
        <v/>
      </c>
      <c r="Z1882" s="340" t="str">
        <f>IF(AND(C1882&gt;0,D1882&lt;&gt;"",S1882=""),VLOOKUP(A1882&amp;IF(H1882="黑丝","黑","白")&amp;E1882,经纬!A:M,13,FALSE)*(I1882-AB1882),"")</f>
        <v/>
      </c>
      <c r="AA1882" s="340" t="str">
        <f>IF(AND(C1882&gt;0,D1882&lt;&gt;"",S1882=""),VLOOKUP(A1882&amp;IF(H1882="黑丝","黑","白")&amp;E1882,经纬!A:N,14,FALSE)*(I1882-AB1882),"")</f>
        <v/>
      </c>
    </row>
    <row r="1883" spans="13:27">
      <c r="M1883" s="24" t="str">
        <f t="array" ref="M1883">LEFT(L1883,MIN(FIND({"A","B","C"},MID(L1883,2,LEN(L1883))&amp;"ABC")))</f>
        <v/>
      </c>
      <c r="N1883" s="24" t="str">
        <f t="array" ref="N1883">SUBSTITUTE(L1883,M1883,"")</f>
        <v/>
      </c>
      <c r="X1883" s="258" t="str">
        <f t="shared" si="78"/>
        <v/>
      </c>
      <c r="Y1883" s="36" t="str">
        <f t="shared" si="79"/>
        <v/>
      </c>
      <c r="Z1883" s="340" t="str">
        <f>IF(AND(C1883&gt;0,D1883&lt;&gt;"",S1883=""),VLOOKUP(A1883&amp;IF(H1883="黑丝","黑","白")&amp;E1883,经纬!A:M,13,FALSE)*(I1883-AB1883),"")</f>
        <v/>
      </c>
      <c r="AA1883" s="340" t="str">
        <f>IF(AND(C1883&gt;0,D1883&lt;&gt;"",S1883=""),VLOOKUP(A1883&amp;IF(H1883="黑丝","黑","白")&amp;E1883,经纬!A:N,14,FALSE)*(I1883-AB1883),"")</f>
        <v/>
      </c>
    </row>
    <row r="1884" spans="13:27">
      <c r="M1884" s="24" t="str">
        <f t="array" ref="M1884">LEFT(L1884,MIN(FIND({"A","B","C"},MID(L1884,2,LEN(L1884))&amp;"ABC")))</f>
        <v/>
      </c>
      <c r="N1884" s="24" t="str">
        <f t="array" ref="N1884">SUBSTITUTE(L1884,M1884,"")</f>
        <v/>
      </c>
      <c r="X1884" s="258" t="str">
        <f t="shared" ref="X1884:X1947" si="80">IF(B1884="","",IF(S1884&lt;&gt;"","",IF(AND(Z1884&lt;&gt;"",AA1884&lt;&gt;""),SUM(Z1884:AA1884),IF(AB1884&lt;&gt;"",(I1884/((1/((G1884+2)/100*K1884/1000))*0.9144)/IF(H1884="黑丝",22,20)-AB1884)*(IF(H1884="黑丝",22,20)),I1884/((1/((G1884+2)/100*K1884/1000))*0.9144)))))</f>
        <v/>
      </c>
      <c r="Y1884" s="36" t="str">
        <f t="shared" si="79"/>
        <v/>
      </c>
      <c r="Z1884" s="340" t="str">
        <f>IF(AND(C1884&gt;0,D1884&lt;&gt;"",S1884=""),VLOOKUP(A1884&amp;IF(H1884="黑丝","黑","白")&amp;E1884,经纬!A:M,13,FALSE)*(I1884-AB1884),"")</f>
        <v/>
      </c>
      <c r="AA1884" s="340" t="str">
        <f>IF(AND(C1884&gt;0,D1884&lt;&gt;"",S1884=""),VLOOKUP(A1884&amp;IF(H1884="黑丝","黑","白")&amp;E1884,经纬!A:N,14,FALSE)*(I1884-AB1884),"")</f>
        <v/>
      </c>
    </row>
    <row r="1885" spans="13:27">
      <c r="M1885" s="24" t="str">
        <f t="array" ref="M1885">LEFT(L1885,MIN(FIND({"A","B","C"},MID(L1885,2,LEN(L1885))&amp;"ABC")))</f>
        <v/>
      </c>
      <c r="N1885" s="24" t="str">
        <f t="array" ref="N1885">SUBSTITUTE(L1885,M1885,"")</f>
        <v/>
      </c>
      <c r="X1885" s="258" t="str">
        <f t="shared" si="80"/>
        <v/>
      </c>
      <c r="Y1885" s="36" t="str">
        <f t="shared" si="79"/>
        <v/>
      </c>
      <c r="Z1885" s="340" t="str">
        <f>IF(AND(C1885&gt;0,D1885&lt;&gt;"",S1885=""),VLOOKUP(A1885&amp;IF(H1885="黑丝","黑","白")&amp;E1885,经纬!A:M,13,FALSE)*(I1885-AB1885),"")</f>
        <v/>
      </c>
      <c r="AA1885" s="340" t="str">
        <f>IF(AND(C1885&gt;0,D1885&lt;&gt;"",S1885=""),VLOOKUP(A1885&amp;IF(H1885="黑丝","黑","白")&amp;E1885,经纬!A:N,14,FALSE)*(I1885-AB1885),"")</f>
        <v/>
      </c>
    </row>
    <row r="1886" spans="13:27">
      <c r="M1886" s="24" t="str">
        <f t="array" ref="M1886">LEFT(L1886,MIN(FIND({"A","B","C"},MID(L1886,2,LEN(L1886))&amp;"ABC")))</f>
        <v/>
      </c>
      <c r="N1886" s="24" t="str">
        <f t="array" ref="N1886">SUBSTITUTE(L1886,M1886,"")</f>
        <v/>
      </c>
      <c r="X1886" s="258" t="str">
        <f t="shared" si="80"/>
        <v/>
      </c>
      <c r="Y1886" s="36" t="str">
        <f t="shared" si="79"/>
        <v/>
      </c>
      <c r="Z1886" s="340" t="str">
        <f>IF(AND(C1886&gt;0,D1886&lt;&gt;"",S1886=""),VLOOKUP(A1886&amp;IF(H1886="黑丝","黑","白")&amp;E1886,经纬!A:M,13,FALSE)*(I1886-AB1886),"")</f>
        <v/>
      </c>
      <c r="AA1886" s="340" t="str">
        <f>IF(AND(C1886&gt;0,D1886&lt;&gt;"",S1886=""),VLOOKUP(A1886&amp;IF(H1886="黑丝","黑","白")&amp;E1886,经纬!A:N,14,FALSE)*(I1886-AB1886),"")</f>
        <v/>
      </c>
    </row>
    <row r="1887" spans="13:27">
      <c r="M1887" s="24" t="str">
        <f t="array" ref="M1887">LEFT(L1887,MIN(FIND({"A","B","C"},MID(L1887,2,LEN(L1887))&amp;"ABC")))</f>
        <v/>
      </c>
      <c r="N1887" s="24" t="str">
        <f t="array" ref="N1887">SUBSTITUTE(L1887,M1887,"")</f>
        <v/>
      </c>
      <c r="X1887" s="258" t="str">
        <f t="shared" si="80"/>
        <v/>
      </c>
      <c r="Y1887" s="36" t="str">
        <f t="shared" si="79"/>
        <v/>
      </c>
      <c r="Z1887" s="340" t="str">
        <f>IF(AND(C1887&gt;0,D1887&lt;&gt;"",S1887=""),VLOOKUP(A1887&amp;IF(H1887="黑丝","黑","白")&amp;E1887,经纬!A:M,13,FALSE)*(I1887-AB1887),"")</f>
        <v/>
      </c>
      <c r="AA1887" s="340" t="str">
        <f>IF(AND(C1887&gt;0,D1887&lt;&gt;"",S1887=""),VLOOKUP(A1887&amp;IF(H1887="黑丝","黑","白")&amp;E1887,经纬!A:N,14,FALSE)*(I1887-AB1887),"")</f>
        <v/>
      </c>
    </row>
    <row r="1888" spans="13:27">
      <c r="M1888" s="24" t="str">
        <f t="array" ref="M1888">LEFT(L1888,MIN(FIND({"A","B","C"},MID(L1888,2,LEN(L1888))&amp;"ABC")))</f>
        <v/>
      </c>
      <c r="N1888" s="24" t="str">
        <f t="array" ref="N1888">SUBSTITUTE(L1888,M1888,"")</f>
        <v/>
      </c>
      <c r="X1888" s="258" t="str">
        <f t="shared" si="80"/>
        <v/>
      </c>
      <c r="Y1888" s="36" t="str">
        <f t="shared" si="79"/>
        <v/>
      </c>
      <c r="Z1888" s="340" t="str">
        <f>IF(AND(C1888&gt;0,D1888&lt;&gt;"",S1888=""),VLOOKUP(A1888&amp;IF(H1888="黑丝","黑","白")&amp;E1888,经纬!A:M,13,FALSE)*(I1888-AB1888),"")</f>
        <v/>
      </c>
      <c r="AA1888" s="340" t="str">
        <f>IF(AND(C1888&gt;0,D1888&lt;&gt;"",S1888=""),VLOOKUP(A1888&amp;IF(H1888="黑丝","黑","白")&amp;E1888,经纬!A:N,14,FALSE)*(I1888-AB1888),"")</f>
        <v/>
      </c>
    </row>
    <row r="1889" spans="13:27">
      <c r="M1889" s="24" t="str">
        <f t="array" ref="M1889">LEFT(L1889,MIN(FIND({"A","B","C"},MID(L1889,2,LEN(L1889))&amp;"ABC")))</f>
        <v/>
      </c>
      <c r="N1889" s="24" t="str">
        <f t="array" ref="N1889">SUBSTITUTE(L1889,M1889,"")</f>
        <v/>
      </c>
      <c r="X1889" s="258" t="str">
        <f t="shared" si="80"/>
        <v/>
      </c>
      <c r="Y1889" s="36" t="str">
        <f t="shared" si="79"/>
        <v/>
      </c>
      <c r="Z1889" s="340" t="str">
        <f>IF(AND(C1889&gt;0,D1889&lt;&gt;"",S1889=""),VLOOKUP(A1889&amp;IF(H1889="黑丝","黑","白")&amp;E1889,经纬!A:M,13,FALSE)*(I1889-AB1889),"")</f>
        <v/>
      </c>
      <c r="AA1889" s="340" t="str">
        <f>IF(AND(C1889&gt;0,D1889&lt;&gt;"",S1889=""),VLOOKUP(A1889&amp;IF(H1889="黑丝","黑","白")&amp;E1889,经纬!A:N,14,FALSE)*(I1889-AB1889),"")</f>
        <v/>
      </c>
    </row>
    <row r="1890" spans="13:27">
      <c r="M1890" s="24" t="str">
        <f t="array" ref="M1890">LEFT(L1890,MIN(FIND({"A","B","C"},MID(L1890,2,LEN(L1890))&amp;"ABC")))</f>
        <v/>
      </c>
      <c r="N1890" s="24" t="str">
        <f t="array" ref="N1890">SUBSTITUTE(L1890,M1890,"")</f>
        <v/>
      </c>
      <c r="X1890" s="258" t="str">
        <f t="shared" si="80"/>
        <v/>
      </c>
      <c r="Y1890" s="36" t="str">
        <f t="shared" si="79"/>
        <v/>
      </c>
      <c r="Z1890" s="340" t="str">
        <f>IF(AND(C1890&gt;0,D1890&lt;&gt;"",S1890=""),VLOOKUP(A1890&amp;IF(H1890="黑丝","黑","白")&amp;E1890,经纬!A:M,13,FALSE)*(I1890-AB1890),"")</f>
        <v/>
      </c>
      <c r="AA1890" s="340" t="str">
        <f>IF(AND(C1890&gt;0,D1890&lt;&gt;"",S1890=""),VLOOKUP(A1890&amp;IF(H1890="黑丝","黑","白")&amp;E1890,经纬!A:N,14,FALSE)*(I1890-AB1890),"")</f>
        <v/>
      </c>
    </row>
    <row r="1891" spans="13:27">
      <c r="M1891" s="24" t="str">
        <f t="array" ref="M1891">LEFT(L1891,MIN(FIND({"A","B","C"},MID(L1891,2,LEN(L1891))&amp;"ABC")))</f>
        <v/>
      </c>
      <c r="N1891" s="24" t="str">
        <f t="array" ref="N1891">SUBSTITUTE(L1891,M1891,"")</f>
        <v/>
      </c>
      <c r="X1891" s="258" t="str">
        <f t="shared" si="80"/>
        <v/>
      </c>
      <c r="Y1891" s="36" t="str">
        <f t="shared" si="79"/>
        <v/>
      </c>
      <c r="Z1891" s="340" t="str">
        <f>IF(AND(C1891&gt;0,D1891&lt;&gt;"",S1891=""),VLOOKUP(A1891&amp;IF(H1891="黑丝","黑","白")&amp;E1891,经纬!A:M,13,FALSE)*(I1891-AB1891),"")</f>
        <v/>
      </c>
      <c r="AA1891" s="340" t="str">
        <f>IF(AND(C1891&gt;0,D1891&lt;&gt;"",S1891=""),VLOOKUP(A1891&amp;IF(H1891="黑丝","黑","白")&amp;E1891,经纬!A:N,14,FALSE)*(I1891-AB1891),"")</f>
        <v/>
      </c>
    </row>
    <row r="1892" spans="13:27">
      <c r="M1892" s="24" t="str">
        <f t="array" ref="M1892">LEFT(L1892,MIN(FIND({"A","B","C"},MID(L1892,2,LEN(L1892))&amp;"ABC")))</f>
        <v/>
      </c>
      <c r="N1892" s="24" t="str">
        <f t="array" ref="N1892">SUBSTITUTE(L1892,M1892,"")</f>
        <v/>
      </c>
      <c r="X1892" s="258" t="str">
        <f t="shared" si="80"/>
        <v/>
      </c>
      <c r="Y1892" s="36" t="str">
        <f t="shared" si="79"/>
        <v/>
      </c>
      <c r="Z1892" s="340" t="str">
        <f>IF(AND(C1892&gt;0,D1892&lt;&gt;"",S1892=""),VLOOKUP(A1892&amp;IF(H1892="黑丝","黑","白")&amp;E1892,经纬!A:M,13,FALSE)*(I1892-AB1892),"")</f>
        <v/>
      </c>
      <c r="AA1892" s="340" t="str">
        <f>IF(AND(C1892&gt;0,D1892&lt;&gt;"",S1892=""),VLOOKUP(A1892&amp;IF(H1892="黑丝","黑","白")&amp;E1892,经纬!A:N,14,FALSE)*(I1892-AB1892),"")</f>
        <v/>
      </c>
    </row>
    <row r="1893" spans="13:27">
      <c r="M1893" s="24" t="str">
        <f t="array" ref="M1893">LEFT(L1893,MIN(FIND({"A","B","C"},MID(L1893,2,LEN(L1893))&amp;"ABC")))</f>
        <v/>
      </c>
      <c r="N1893" s="24" t="str">
        <f t="array" ref="N1893">SUBSTITUTE(L1893,M1893,"")</f>
        <v/>
      </c>
      <c r="X1893" s="258" t="str">
        <f t="shared" si="80"/>
        <v/>
      </c>
      <c r="Y1893" s="36" t="str">
        <f t="shared" si="79"/>
        <v/>
      </c>
      <c r="Z1893" s="340" t="str">
        <f>IF(AND(C1893&gt;0,D1893&lt;&gt;"",S1893=""),VLOOKUP(A1893&amp;IF(H1893="黑丝","黑","白")&amp;E1893,经纬!A:M,13,FALSE)*(I1893-AB1893),"")</f>
        <v/>
      </c>
      <c r="AA1893" s="340" t="str">
        <f>IF(AND(C1893&gt;0,D1893&lt;&gt;"",S1893=""),VLOOKUP(A1893&amp;IF(H1893="黑丝","黑","白")&amp;E1893,经纬!A:N,14,FALSE)*(I1893-AB1893),"")</f>
        <v/>
      </c>
    </row>
    <row r="1894" spans="13:27">
      <c r="M1894" s="24" t="str">
        <f t="array" ref="M1894">LEFT(L1894,MIN(FIND({"A","B","C"},MID(L1894,2,LEN(L1894))&amp;"ABC")))</f>
        <v/>
      </c>
      <c r="N1894" s="24" t="str">
        <f t="array" ref="N1894">SUBSTITUTE(L1894,M1894,"")</f>
        <v/>
      </c>
      <c r="X1894" s="258" t="str">
        <f t="shared" si="80"/>
        <v/>
      </c>
      <c r="Y1894" s="36" t="str">
        <f t="shared" si="79"/>
        <v/>
      </c>
      <c r="Z1894" s="340" t="str">
        <f>IF(AND(C1894&gt;0,D1894&lt;&gt;"",S1894=""),VLOOKUP(A1894&amp;IF(H1894="黑丝","黑","白")&amp;E1894,经纬!A:M,13,FALSE)*(I1894-AB1894),"")</f>
        <v/>
      </c>
      <c r="AA1894" s="340" t="str">
        <f>IF(AND(C1894&gt;0,D1894&lt;&gt;"",S1894=""),VLOOKUP(A1894&amp;IF(H1894="黑丝","黑","白")&amp;E1894,经纬!A:N,14,FALSE)*(I1894-AB1894),"")</f>
        <v/>
      </c>
    </row>
    <row r="1895" spans="13:27">
      <c r="M1895" s="24" t="str">
        <f t="array" ref="M1895">LEFT(L1895,MIN(FIND({"A","B","C"},MID(L1895,2,LEN(L1895))&amp;"ABC")))</f>
        <v/>
      </c>
      <c r="N1895" s="24" t="str">
        <f t="array" ref="N1895">SUBSTITUTE(L1895,M1895,"")</f>
        <v/>
      </c>
      <c r="X1895" s="258" t="str">
        <f t="shared" si="80"/>
        <v/>
      </c>
      <c r="Y1895" s="36" t="str">
        <f t="shared" si="79"/>
        <v/>
      </c>
      <c r="Z1895" s="340" t="str">
        <f>IF(AND(C1895&gt;0,D1895&lt;&gt;"",S1895=""),VLOOKUP(A1895&amp;IF(H1895="黑丝","黑","白")&amp;E1895,经纬!A:M,13,FALSE)*(I1895-AB1895),"")</f>
        <v/>
      </c>
      <c r="AA1895" s="340" t="str">
        <f>IF(AND(C1895&gt;0,D1895&lt;&gt;"",S1895=""),VLOOKUP(A1895&amp;IF(H1895="黑丝","黑","白")&amp;E1895,经纬!A:N,14,FALSE)*(I1895-AB1895),"")</f>
        <v/>
      </c>
    </row>
    <row r="1896" spans="13:27">
      <c r="M1896" s="24" t="str">
        <f t="array" ref="M1896">LEFT(L1896,MIN(FIND({"A","B","C"},MID(L1896,2,LEN(L1896))&amp;"ABC")))</f>
        <v/>
      </c>
      <c r="N1896" s="24" t="str">
        <f t="array" ref="N1896">SUBSTITUTE(L1896,M1896,"")</f>
        <v/>
      </c>
      <c r="X1896" s="258" t="str">
        <f t="shared" si="80"/>
        <v/>
      </c>
      <c r="Y1896" s="36" t="str">
        <f t="shared" si="79"/>
        <v/>
      </c>
      <c r="Z1896" s="340" t="str">
        <f>IF(AND(C1896&gt;0,D1896&lt;&gt;"",S1896=""),VLOOKUP(A1896&amp;IF(H1896="黑丝","黑","白")&amp;E1896,经纬!A:M,13,FALSE)*(I1896-AB1896),"")</f>
        <v/>
      </c>
      <c r="AA1896" s="340" t="str">
        <f>IF(AND(C1896&gt;0,D1896&lt;&gt;"",S1896=""),VLOOKUP(A1896&amp;IF(H1896="黑丝","黑","白")&amp;E1896,经纬!A:N,14,FALSE)*(I1896-AB1896),"")</f>
        <v/>
      </c>
    </row>
    <row r="1897" spans="13:27">
      <c r="M1897" s="24" t="str">
        <f t="array" ref="M1897">LEFT(L1897,MIN(FIND({"A","B","C"},MID(L1897,2,LEN(L1897))&amp;"ABC")))</f>
        <v/>
      </c>
      <c r="N1897" s="24" t="str">
        <f t="array" ref="N1897">SUBSTITUTE(L1897,M1897,"")</f>
        <v/>
      </c>
      <c r="X1897" s="258" t="str">
        <f t="shared" si="80"/>
        <v/>
      </c>
      <c r="Y1897" s="36" t="str">
        <f t="shared" ref="Y1897:Y1960" si="81">IF(OR(B1897="",D1897&lt;&gt;""),"",IF(S1897&lt;&gt;"","",I1897/((1/((G1897+2)/100*K1897/1000))*0.9144)/IF(H1897="黑丝",22,20)-AB1897))</f>
        <v/>
      </c>
      <c r="Z1897" s="340" t="str">
        <f>IF(AND(C1897&gt;0,D1897&lt;&gt;"",S1897=""),VLOOKUP(A1897&amp;IF(H1897="黑丝","黑","白")&amp;E1897,经纬!A:M,13,FALSE)*(I1897-AB1897),"")</f>
        <v/>
      </c>
      <c r="AA1897" s="340" t="str">
        <f>IF(AND(C1897&gt;0,D1897&lt;&gt;"",S1897=""),VLOOKUP(A1897&amp;IF(H1897="黑丝","黑","白")&amp;E1897,经纬!A:N,14,FALSE)*(I1897-AB1897),"")</f>
        <v/>
      </c>
    </row>
    <row r="1898" spans="13:27">
      <c r="M1898" s="24" t="str">
        <f t="array" ref="M1898">LEFT(L1898,MIN(FIND({"A","B","C"},MID(L1898,2,LEN(L1898))&amp;"ABC")))</f>
        <v/>
      </c>
      <c r="N1898" s="24" t="str">
        <f t="array" ref="N1898">SUBSTITUTE(L1898,M1898,"")</f>
        <v/>
      </c>
      <c r="X1898" s="258" t="str">
        <f t="shared" si="80"/>
        <v/>
      </c>
      <c r="Y1898" s="36" t="str">
        <f t="shared" si="81"/>
        <v/>
      </c>
      <c r="Z1898" s="340" t="str">
        <f>IF(AND(C1898&gt;0,D1898&lt;&gt;"",S1898=""),VLOOKUP(A1898&amp;IF(H1898="黑丝","黑","白")&amp;E1898,经纬!A:M,13,FALSE)*(I1898-AB1898),"")</f>
        <v/>
      </c>
      <c r="AA1898" s="340" t="str">
        <f>IF(AND(C1898&gt;0,D1898&lt;&gt;"",S1898=""),VLOOKUP(A1898&amp;IF(H1898="黑丝","黑","白")&amp;E1898,经纬!A:N,14,FALSE)*(I1898-AB1898),"")</f>
        <v/>
      </c>
    </row>
    <row r="1899" spans="13:27">
      <c r="M1899" s="24" t="str">
        <f t="array" ref="M1899">LEFT(L1899,MIN(FIND({"A","B","C"},MID(L1899,2,LEN(L1899))&amp;"ABC")))</f>
        <v/>
      </c>
      <c r="N1899" s="24" t="str">
        <f t="array" ref="N1899">SUBSTITUTE(L1899,M1899,"")</f>
        <v/>
      </c>
      <c r="X1899" s="258" t="str">
        <f t="shared" si="80"/>
        <v/>
      </c>
      <c r="Y1899" s="36" t="str">
        <f t="shared" si="81"/>
        <v/>
      </c>
      <c r="Z1899" s="340" t="str">
        <f>IF(AND(C1899&gt;0,D1899&lt;&gt;"",S1899=""),VLOOKUP(A1899&amp;IF(H1899="黑丝","黑","白")&amp;E1899,经纬!A:M,13,FALSE)*(I1899-AB1899),"")</f>
        <v/>
      </c>
      <c r="AA1899" s="340" t="str">
        <f>IF(AND(C1899&gt;0,D1899&lt;&gt;"",S1899=""),VLOOKUP(A1899&amp;IF(H1899="黑丝","黑","白")&amp;E1899,经纬!A:N,14,FALSE)*(I1899-AB1899),"")</f>
        <v/>
      </c>
    </row>
    <row r="1900" spans="13:27">
      <c r="M1900" s="24" t="str">
        <f t="array" ref="M1900">LEFT(L1900,MIN(FIND({"A","B","C"},MID(L1900,2,LEN(L1900))&amp;"ABC")))</f>
        <v/>
      </c>
      <c r="N1900" s="24" t="str">
        <f t="array" ref="N1900">SUBSTITUTE(L1900,M1900,"")</f>
        <v/>
      </c>
      <c r="X1900" s="258" t="str">
        <f t="shared" si="80"/>
        <v/>
      </c>
      <c r="Y1900" s="36" t="str">
        <f t="shared" si="81"/>
        <v/>
      </c>
      <c r="Z1900" s="340" t="str">
        <f>IF(AND(C1900&gt;0,D1900&lt;&gt;"",S1900=""),VLOOKUP(A1900&amp;IF(H1900="黑丝","黑","白")&amp;E1900,经纬!A:M,13,FALSE)*(I1900-AB1900),"")</f>
        <v/>
      </c>
      <c r="AA1900" s="340" t="str">
        <f>IF(AND(C1900&gt;0,D1900&lt;&gt;"",S1900=""),VLOOKUP(A1900&amp;IF(H1900="黑丝","黑","白")&amp;E1900,经纬!A:N,14,FALSE)*(I1900-AB1900),"")</f>
        <v/>
      </c>
    </row>
    <row r="1901" spans="13:27">
      <c r="M1901" s="24" t="str">
        <f t="array" ref="M1901">LEFT(L1901,MIN(FIND({"A","B","C"},MID(L1901,2,LEN(L1901))&amp;"ABC")))</f>
        <v/>
      </c>
      <c r="N1901" s="24" t="str">
        <f t="array" ref="N1901">SUBSTITUTE(L1901,M1901,"")</f>
        <v/>
      </c>
      <c r="X1901" s="258" t="str">
        <f t="shared" si="80"/>
        <v/>
      </c>
      <c r="Y1901" s="36" t="str">
        <f t="shared" si="81"/>
        <v/>
      </c>
      <c r="Z1901" s="340" t="str">
        <f>IF(AND(C1901&gt;0,D1901&lt;&gt;"",S1901=""),VLOOKUP(A1901&amp;IF(H1901="黑丝","黑","白")&amp;E1901,经纬!A:M,13,FALSE)*(I1901-AB1901),"")</f>
        <v/>
      </c>
      <c r="AA1901" s="340" t="str">
        <f>IF(AND(C1901&gt;0,D1901&lt;&gt;"",S1901=""),VLOOKUP(A1901&amp;IF(H1901="黑丝","黑","白")&amp;E1901,经纬!A:N,14,FALSE)*(I1901-AB1901),"")</f>
        <v/>
      </c>
    </row>
    <row r="1902" spans="13:27">
      <c r="M1902" s="24" t="str">
        <f t="array" ref="M1902">LEFT(L1902,MIN(FIND({"A","B","C"},MID(L1902,2,LEN(L1902))&amp;"ABC")))</f>
        <v/>
      </c>
      <c r="N1902" s="24" t="str">
        <f t="array" ref="N1902">SUBSTITUTE(L1902,M1902,"")</f>
        <v/>
      </c>
      <c r="X1902" s="258" t="str">
        <f t="shared" si="80"/>
        <v/>
      </c>
      <c r="Y1902" s="36" t="str">
        <f t="shared" si="81"/>
        <v/>
      </c>
      <c r="Z1902" s="340" t="str">
        <f>IF(AND(C1902&gt;0,D1902&lt;&gt;"",S1902=""),VLOOKUP(A1902&amp;IF(H1902="黑丝","黑","白")&amp;E1902,经纬!A:M,13,FALSE)*(I1902-AB1902),"")</f>
        <v/>
      </c>
      <c r="AA1902" s="340" t="str">
        <f>IF(AND(C1902&gt;0,D1902&lt;&gt;"",S1902=""),VLOOKUP(A1902&amp;IF(H1902="黑丝","黑","白")&amp;E1902,经纬!A:N,14,FALSE)*(I1902-AB1902),"")</f>
        <v/>
      </c>
    </row>
    <row r="1903" spans="13:27">
      <c r="M1903" s="24" t="str">
        <f t="array" ref="M1903">LEFT(L1903,MIN(FIND({"A","B","C"},MID(L1903,2,LEN(L1903))&amp;"ABC")))</f>
        <v/>
      </c>
      <c r="N1903" s="24" t="str">
        <f t="array" ref="N1903">SUBSTITUTE(L1903,M1903,"")</f>
        <v/>
      </c>
      <c r="X1903" s="258" t="str">
        <f t="shared" si="80"/>
        <v/>
      </c>
      <c r="Y1903" s="36" t="str">
        <f t="shared" si="81"/>
        <v/>
      </c>
      <c r="Z1903" s="340" t="str">
        <f>IF(AND(C1903&gt;0,D1903&lt;&gt;"",S1903=""),VLOOKUP(A1903&amp;IF(H1903="黑丝","黑","白")&amp;E1903,经纬!A:M,13,FALSE)*(I1903-AB1903),"")</f>
        <v/>
      </c>
      <c r="AA1903" s="340" t="str">
        <f>IF(AND(C1903&gt;0,D1903&lt;&gt;"",S1903=""),VLOOKUP(A1903&amp;IF(H1903="黑丝","黑","白")&amp;E1903,经纬!A:N,14,FALSE)*(I1903-AB1903),"")</f>
        <v/>
      </c>
    </row>
    <row r="1904" spans="13:27">
      <c r="M1904" s="24" t="str">
        <f t="array" ref="M1904">LEFT(L1904,MIN(FIND({"A","B","C"},MID(L1904,2,LEN(L1904))&amp;"ABC")))</f>
        <v/>
      </c>
      <c r="N1904" s="24" t="str">
        <f t="array" ref="N1904">SUBSTITUTE(L1904,M1904,"")</f>
        <v/>
      </c>
      <c r="X1904" s="258" t="str">
        <f t="shared" si="80"/>
        <v/>
      </c>
      <c r="Y1904" s="36" t="str">
        <f t="shared" si="81"/>
        <v/>
      </c>
      <c r="Z1904" s="340" t="str">
        <f>IF(AND(C1904&gt;0,D1904&lt;&gt;"",S1904=""),VLOOKUP(A1904&amp;IF(H1904="黑丝","黑","白")&amp;E1904,经纬!A:M,13,FALSE)*(I1904-AB1904),"")</f>
        <v/>
      </c>
      <c r="AA1904" s="340" t="str">
        <f>IF(AND(C1904&gt;0,D1904&lt;&gt;"",S1904=""),VLOOKUP(A1904&amp;IF(H1904="黑丝","黑","白")&amp;E1904,经纬!A:N,14,FALSE)*(I1904-AB1904),"")</f>
        <v/>
      </c>
    </row>
    <row r="1905" spans="13:27">
      <c r="M1905" s="24" t="str">
        <f t="array" ref="M1905">LEFT(L1905,MIN(FIND({"A","B","C"},MID(L1905,2,LEN(L1905))&amp;"ABC")))</f>
        <v/>
      </c>
      <c r="N1905" s="24" t="str">
        <f t="array" ref="N1905">SUBSTITUTE(L1905,M1905,"")</f>
        <v/>
      </c>
      <c r="X1905" s="258" t="str">
        <f t="shared" si="80"/>
        <v/>
      </c>
      <c r="Y1905" s="36" t="str">
        <f t="shared" si="81"/>
        <v/>
      </c>
      <c r="Z1905" s="340" t="str">
        <f>IF(AND(C1905&gt;0,D1905&lt;&gt;"",S1905=""),VLOOKUP(A1905&amp;IF(H1905="黑丝","黑","白")&amp;E1905,经纬!A:M,13,FALSE)*(I1905-AB1905),"")</f>
        <v/>
      </c>
      <c r="AA1905" s="340" t="str">
        <f>IF(AND(C1905&gt;0,D1905&lt;&gt;"",S1905=""),VLOOKUP(A1905&amp;IF(H1905="黑丝","黑","白")&amp;E1905,经纬!A:N,14,FALSE)*(I1905-AB1905),"")</f>
        <v/>
      </c>
    </row>
    <row r="1906" spans="13:27">
      <c r="M1906" s="24" t="str">
        <f t="array" ref="M1906">LEFT(L1906,MIN(FIND({"A","B","C"},MID(L1906,2,LEN(L1906))&amp;"ABC")))</f>
        <v/>
      </c>
      <c r="N1906" s="24" t="str">
        <f t="array" ref="N1906">SUBSTITUTE(L1906,M1906,"")</f>
        <v/>
      </c>
      <c r="X1906" s="258" t="str">
        <f t="shared" si="80"/>
        <v/>
      </c>
      <c r="Y1906" s="36" t="str">
        <f t="shared" si="81"/>
        <v/>
      </c>
      <c r="Z1906" s="340" t="str">
        <f>IF(AND(C1906&gt;0,D1906&lt;&gt;"",S1906=""),VLOOKUP(A1906&amp;IF(H1906="黑丝","黑","白")&amp;E1906,经纬!A:M,13,FALSE)*(I1906-AB1906),"")</f>
        <v/>
      </c>
      <c r="AA1906" s="340" t="str">
        <f>IF(AND(C1906&gt;0,D1906&lt;&gt;"",S1906=""),VLOOKUP(A1906&amp;IF(H1906="黑丝","黑","白")&amp;E1906,经纬!A:N,14,FALSE)*(I1906-AB1906),"")</f>
        <v/>
      </c>
    </row>
    <row r="1907" spans="13:27">
      <c r="M1907" s="24" t="str">
        <f t="array" ref="M1907">LEFT(L1907,MIN(FIND({"A","B","C"},MID(L1907,2,LEN(L1907))&amp;"ABC")))</f>
        <v/>
      </c>
      <c r="N1907" s="24" t="str">
        <f t="array" ref="N1907">SUBSTITUTE(L1907,M1907,"")</f>
        <v/>
      </c>
      <c r="X1907" s="258" t="str">
        <f t="shared" si="80"/>
        <v/>
      </c>
      <c r="Y1907" s="36" t="str">
        <f t="shared" si="81"/>
        <v/>
      </c>
      <c r="Z1907" s="340" t="str">
        <f>IF(AND(C1907&gt;0,D1907&lt;&gt;"",S1907=""),VLOOKUP(A1907&amp;IF(H1907="黑丝","黑","白")&amp;E1907,经纬!A:M,13,FALSE)*(I1907-AB1907),"")</f>
        <v/>
      </c>
      <c r="AA1907" s="340" t="str">
        <f>IF(AND(C1907&gt;0,D1907&lt;&gt;"",S1907=""),VLOOKUP(A1907&amp;IF(H1907="黑丝","黑","白")&amp;E1907,经纬!A:N,14,FALSE)*(I1907-AB1907),"")</f>
        <v/>
      </c>
    </row>
    <row r="1908" spans="13:27">
      <c r="M1908" s="24" t="str">
        <f t="array" ref="M1908">LEFT(L1908,MIN(FIND({"A","B","C"},MID(L1908,2,LEN(L1908))&amp;"ABC")))</f>
        <v/>
      </c>
      <c r="N1908" s="24" t="str">
        <f t="array" ref="N1908">SUBSTITUTE(L1908,M1908,"")</f>
        <v/>
      </c>
      <c r="X1908" s="258" t="str">
        <f t="shared" si="80"/>
        <v/>
      </c>
      <c r="Y1908" s="36" t="str">
        <f t="shared" si="81"/>
        <v/>
      </c>
      <c r="Z1908" s="340" t="str">
        <f>IF(AND(C1908&gt;0,D1908&lt;&gt;"",S1908=""),VLOOKUP(A1908&amp;IF(H1908="黑丝","黑","白")&amp;E1908,经纬!A:M,13,FALSE)*(I1908-AB1908),"")</f>
        <v/>
      </c>
      <c r="AA1908" s="340" t="str">
        <f>IF(AND(C1908&gt;0,D1908&lt;&gt;"",S1908=""),VLOOKUP(A1908&amp;IF(H1908="黑丝","黑","白")&amp;E1908,经纬!A:N,14,FALSE)*(I1908-AB1908),"")</f>
        <v/>
      </c>
    </row>
    <row r="1909" spans="13:27">
      <c r="M1909" s="24" t="str">
        <f t="array" ref="M1909">LEFT(L1909,MIN(FIND({"A","B","C"},MID(L1909,2,LEN(L1909))&amp;"ABC")))</f>
        <v/>
      </c>
      <c r="N1909" s="24" t="str">
        <f t="array" ref="N1909">SUBSTITUTE(L1909,M1909,"")</f>
        <v/>
      </c>
      <c r="X1909" s="258" t="str">
        <f t="shared" si="80"/>
        <v/>
      </c>
      <c r="Y1909" s="36" t="str">
        <f t="shared" si="81"/>
        <v/>
      </c>
      <c r="Z1909" s="340" t="str">
        <f>IF(AND(C1909&gt;0,D1909&lt;&gt;"",S1909=""),VLOOKUP(A1909&amp;IF(H1909="黑丝","黑","白")&amp;E1909,经纬!A:M,13,FALSE)*(I1909-AB1909),"")</f>
        <v/>
      </c>
      <c r="AA1909" s="340" t="str">
        <f>IF(AND(C1909&gt;0,D1909&lt;&gt;"",S1909=""),VLOOKUP(A1909&amp;IF(H1909="黑丝","黑","白")&amp;E1909,经纬!A:N,14,FALSE)*(I1909-AB1909),"")</f>
        <v/>
      </c>
    </row>
    <row r="1910" spans="13:27">
      <c r="M1910" s="24" t="str">
        <f t="array" ref="M1910">LEFT(L1910,MIN(FIND({"A","B","C"},MID(L1910,2,LEN(L1910))&amp;"ABC")))</f>
        <v/>
      </c>
      <c r="N1910" s="24" t="str">
        <f t="array" ref="N1910">SUBSTITUTE(L1910,M1910,"")</f>
        <v/>
      </c>
      <c r="X1910" s="258" t="str">
        <f t="shared" si="80"/>
        <v/>
      </c>
      <c r="Y1910" s="36" t="str">
        <f t="shared" si="81"/>
        <v/>
      </c>
      <c r="Z1910" s="340" t="str">
        <f>IF(AND(C1910&gt;0,D1910&lt;&gt;"",S1910=""),VLOOKUP(A1910&amp;IF(H1910="黑丝","黑","白")&amp;E1910,经纬!A:M,13,FALSE)*(I1910-AB1910),"")</f>
        <v/>
      </c>
      <c r="AA1910" s="340" t="str">
        <f>IF(AND(C1910&gt;0,D1910&lt;&gt;"",S1910=""),VLOOKUP(A1910&amp;IF(H1910="黑丝","黑","白")&amp;E1910,经纬!A:N,14,FALSE)*(I1910-AB1910),"")</f>
        <v/>
      </c>
    </row>
    <row r="1911" spans="13:27">
      <c r="M1911" s="24" t="str">
        <f t="array" ref="M1911">LEFT(L1911,MIN(FIND({"A","B","C"},MID(L1911,2,LEN(L1911))&amp;"ABC")))</f>
        <v/>
      </c>
      <c r="N1911" s="24" t="str">
        <f t="array" ref="N1911">SUBSTITUTE(L1911,M1911,"")</f>
        <v/>
      </c>
      <c r="X1911" s="258" t="str">
        <f t="shared" si="80"/>
        <v/>
      </c>
      <c r="Y1911" s="36" t="str">
        <f t="shared" si="81"/>
        <v/>
      </c>
      <c r="Z1911" s="340" t="str">
        <f>IF(AND(C1911&gt;0,D1911&lt;&gt;"",S1911=""),VLOOKUP(A1911&amp;IF(H1911="黑丝","黑","白")&amp;E1911,经纬!A:M,13,FALSE)*(I1911-AB1911),"")</f>
        <v/>
      </c>
      <c r="AA1911" s="340" t="str">
        <f>IF(AND(C1911&gt;0,D1911&lt;&gt;"",S1911=""),VLOOKUP(A1911&amp;IF(H1911="黑丝","黑","白")&amp;E1911,经纬!A:N,14,FALSE)*(I1911-AB1911),"")</f>
        <v/>
      </c>
    </row>
    <row r="1912" spans="13:27">
      <c r="M1912" s="24" t="str">
        <f t="array" ref="M1912">LEFT(L1912,MIN(FIND({"A","B","C"},MID(L1912,2,LEN(L1912))&amp;"ABC")))</f>
        <v/>
      </c>
      <c r="N1912" s="24" t="str">
        <f t="array" ref="N1912">SUBSTITUTE(L1912,M1912,"")</f>
        <v/>
      </c>
      <c r="X1912" s="258" t="str">
        <f t="shared" si="80"/>
        <v/>
      </c>
      <c r="Y1912" s="36" t="str">
        <f t="shared" si="81"/>
        <v/>
      </c>
      <c r="Z1912" s="340" t="str">
        <f>IF(AND(C1912&gt;0,D1912&lt;&gt;"",S1912=""),VLOOKUP(A1912&amp;IF(H1912="黑丝","黑","白")&amp;E1912,经纬!A:M,13,FALSE)*(I1912-AB1912),"")</f>
        <v/>
      </c>
      <c r="AA1912" s="340" t="str">
        <f>IF(AND(C1912&gt;0,D1912&lt;&gt;"",S1912=""),VLOOKUP(A1912&amp;IF(H1912="黑丝","黑","白")&amp;E1912,经纬!A:N,14,FALSE)*(I1912-AB1912),"")</f>
        <v/>
      </c>
    </row>
    <row r="1913" spans="13:27">
      <c r="M1913" s="24" t="str">
        <f t="array" ref="M1913">LEFT(L1913,MIN(FIND({"A","B","C"},MID(L1913,2,LEN(L1913))&amp;"ABC")))</f>
        <v/>
      </c>
      <c r="N1913" s="24" t="str">
        <f t="array" ref="N1913">SUBSTITUTE(L1913,M1913,"")</f>
        <v/>
      </c>
      <c r="X1913" s="258" t="str">
        <f t="shared" si="80"/>
        <v/>
      </c>
      <c r="Y1913" s="36" t="str">
        <f t="shared" si="81"/>
        <v/>
      </c>
      <c r="Z1913" s="340" t="str">
        <f>IF(AND(C1913&gt;0,D1913&lt;&gt;"",S1913=""),VLOOKUP(A1913&amp;IF(H1913="黑丝","黑","白")&amp;E1913,经纬!A:M,13,FALSE)*(I1913-AB1913),"")</f>
        <v/>
      </c>
      <c r="AA1913" s="340" t="str">
        <f>IF(AND(C1913&gt;0,D1913&lt;&gt;"",S1913=""),VLOOKUP(A1913&amp;IF(H1913="黑丝","黑","白")&amp;E1913,经纬!A:N,14,FALSE)*(I1913-AB1913),"")</f>
        <v/>
      </c>
    </row>
    <row r="1914" spans="13:27">
      <c r="M1914" s="24" t="str">
        <f t="array" ref="M1914">LEFT(L1914,MIN(FIND({"A","B","C"},MID(L1914,2,LEN(L1914))&amp;"ABC")))</f>
        <v/>
      </c>
      <c r="N1914" s="24" t="str">
        <f t="array" ref="N1914">SUBSTITUTE(L1914,M1914,"")</f>
        <v/>
      </c>
      <c r="X1914" s="258" t="str">
        <f t="shared" si="80"/>
        <v/>
      </c>
      <c r="Y1914" s="36" t="str">
        <f t="shared" si="81"/>
        <v/>
      </c>
      <c r="Z1914" s="340" t="str">
        <f>IF(AND(C1914&gt;0,D1914&lt;&gt;"",S1914=""),VLOOKUP(A1914&amp;IF(H1914="黑丝","黑","白")&amp;E1914,经纬!A:M,13,FALSE)*(I1914-AB1914),"")</f>
        <v/>
      </c>
      <c r="AA1914" s="340" t="str">
        <f>IF(AND(C1914&gt;0,D1914&lt;&gt;"",S1914=""),VLOOKUP(A1914&amp;IF(H1914="黑丝","黑","白")&amp;E1914,经纬!A:N,14,FALSE)*(I1914-AB1914),"")</f>
        <v/>
      </c>
    </row>
    <row r="1915" spans="13:27">
      <c r="M1915" s="24" t="str">
        <f t="array" ref="M1915">LEFT(L1915,MIN(FIND({"A","B","C"},MID(L1915,2,LEN(L1915))&amp;"ABC")))</f>
        <v/>
      </c>
      <c r="N1915" s="24" t="str">
        <f t="array" ref="N1915">SUBSTITUTE(L1915,M1915,"")</f>
        <v/>
      </c>
      <c r="X1915" s="258" t="str">
        <f t="shared" si="80"/>
        <v/>
      </c>
      <c r="Y1915" s="36" t="str">
        <f t="shared" si="81"/>
        <v/>
      </c>
      <c r="Z1915" s="340" t="str">
        <f>IF(AND(C1915&gt;0,D1915&lt;&gt;"",S1915=""),VLOOKUP(A1915&amp;IF(H1915="黑丝","黑","白")&amp;E1915,经纬!A:M,13,FALSE)*(I1915-AB1915),"")</f>
        <v/>
      </c>
      <c r="AA1915" s="340" t="str">
        <f>IF(AND(C1915&gt;0,D1915&lt;&gt;"",S1915=""),VLOOKUP(A1915&amp;IF(H1915="黑丝","黑","白")&amp;E1915,经纬!A:N,14,FALSE)*(I1915-AB1915),"")</f>
        <v/>
      </c>
    </row>
    <row r="1916" spans="13:27">
      <c r="M1916" s="24" t="str">
        <f t="array" ref="M1916">LEFT(L1916,MIN(FIND({"A","B","C"},MID(L1916,2,LEN(L1916))&amp;"ABC")))</f>
        <v/>
      </c>
      <c r="N1916" s="24" t="str">
        <f t="array" ref="N1916">SUBSTITUTE(L1916,M1916,"")</f>
        <v/>
      </c>
      <c r="X1916" s="258" t="str">
        <f t="shared" si="80"/>
        <v/>
      </c>
      <c r="Y1916" s="36" t="str">
        <f t="shared" si="81"/>
        <v/>
      </c>
      <c r="Z1916" s="340" t="str">
        <f>IF(AND(C1916&gt;0,D1916&lt;&gt;"",S1916=""),VLOOKUP(A1916&amp;IF(H1916="黑丝","黑","白")&amp;E1916,经纬!A:M,13,FALSE)*(I1916-AB1916),"")</f>
        <v/>
      </c>
      <c r="AA1916" s="340" t="str">
        <f>IF(AND(C1916&gt;0,D1916&lt;&gt;"",S1916=""),VLOOKUP(A1916&amp;IF(H1916="黑丝","黑","白")&amp;E1916,经纬!A:N,14,FALSE)*(I1916-AB1916),"")</f>
        <v/>
      </c>
    </row>
    <row r="1917" spans="13:27">
      <c r="M1917" s="24" t="str">
        <f t="array" ref="M1917">LEFT(L1917,MIN(FIND({"A","B","C"},MID(L1917,2,LEN(L1917))&amp;"ABC")))</f>
        <v/>
      </c>
      <c r="N1917" s="24" t="str">
        <f t="array" ref="N1917">SUBSTITUTE(L1917,M1917,"")</f>
        <v/>
      </c>
      <c r="X1917" s="258" t="str">
        <f t="shared" si="80"/>
        <v/>
      </c>
      <c r="Y1917" s="36" t="str">
        <f t="shared" si="81"/>
        <v/>
      </c>
      <c r="Z1917" s="340" t="str">
        <f>IF(AND(C1917&gt;0,D1917&lt;&gt;"",S1917=""),VLOOKUP(A1917&amp;IF(H1917="黑丝","黑","白")&amp;E1917,经纬!A:M,13,FALSE)*(I1917-AB1917),"")</f>
        <v/>
      </c>
      <c r="AA1917" s="340" t="str">
        <f>IF(AND(C1917&gt;0,D1917&lt;&gt;"",S1917=""),VLOOKUP(A1917&amp;IF(H1917="黑丝","黑","白")&amp;E1917,经纬!A:N,14,FALSE)*(I1917-AB1917),"")</f>
        <v/>
      </c>
    </row>
    <row r="1918" spans="13:27">
      <c r="M1918" s="24" t="str">
        <f t="array" ref="M1918">LEFT(L1918,MIN(FIND({"A","B","C"},MID(L1918,2,LEN(L1918))&amp;"ABC")))</f>
        <v/>
      </c>
      <c r="N1918" s="24" t="str">
        <f t="array" ref="N1918">SUBSTITUTE(L1918,M1918,"")</f>
        <v/>
      </c>
      <c r="X1918" s="258" t="str">
        <f t="shared" si="80"/>
        <v/>
      </c>
      <c r="Y1918" s="36" t="str">
        <f t="shared" si="81"/>
        <v/>
      </c>
      <c r="Z1918" s="340" t="str">
        <f>IF(AND(C1918&gt;0,D1918&lt;&gt;"",S1918=""),VLOOKUP(A1918&amp;IF(H1918="黑丝","黑","白")&amp;E1918,经纬!A:M,13,FALSE)*(I1918-AB1918),"")</f>
        <v/>
      </c>
      <c r="AA1918" s="340" t="str">
        <f>IF(AND(C1918&gt;0,D1918&lt;&gt;"",S1918=""),VLOOKUP(A1918&amp;IF(H1918="黑丝","黑","白")&amp;E1918,经纬!A:N,14,FALSE)*(I1918-AB1918),"")</f>
        <v/>
      </c>
    </row>
    <row r="1919" spans="13:27">
      <c r="M1919" s="24" t="str">
        <f t="array" ref="M1919">LEFT(L1919,MIN(FIND({"A","B","C"},MID(L1919,2,LEN(L1919))&amp;"ABC")))</f>
        <v/>
      </c>
      <c r="N1919" s="24" t="str">
        <f t="array" ref="N1919">SUBSTITUTE(L1919,M1919,"")</f>
        <v/>
      </c>
      <c r="X1919" s="258" t="str">
        <f t="shared" si="80"/>
        <v/>
      </c>
      <c r="Y1919" s="36" t="str">
        <f t="shared" si="81"/>
        <v/>
      </c>
      <c r="Z1919" s="340" t="str">
        <f>IF(AND(C1919&gt;0,D1919&lt;&gt;"",S1919=""),VLOOKUP(A1919&amp;IF(H1919="黑丝","黑","白")&amp;E1919,经纬!A:M,13,FALSE)*(I1919-AB1919),"")</f>
        <v/>
      </c>
      <c r="AA1919" s="340" t="str">
        <f>IF(AND(C1919&gt;0,D1919&lt;&gt;"",S1919=""),VLOOKUP(A1919&amp;IF(H1919="黑丝","黑","白")&amp;E1919,经纬!A:N,14,FALSE)*(I1919-AB1919),"")</f>
        <v/>
      </c>
    </row>
    <row r="1920" spans="13:27">
      <c r="M1920" s="24" t="str">
        <f t="array" ref="M1920">LEFT(L1920,MIN(FIND({"A","B","C"},MID(L1920,2,LEN(L1920))&amp;"ABC")))</f>
        <v/>
      </c>
      <c r="N1920" s="24" t="str">
        <f t="array" ref="N1920">SUBSTITUTE(L1920,M1920,"")</f>
        <v/>
      </c>
      <c r="X1920" s="258" t="str">
        <f t="shared" si="80"/>
        <v/>
      </c>
      <c r="Y1920" s="36" t="str">
        <f t="shared" si="81"/>
        <v/>
      </c>
      <c r="Z1920" s="340" t="str">
        <f>IF(AND(C1920&gt;0,D1920&lt;&gt;"",S1920=""),VLOOKUP(A1920&amp;IF(H1920="黑丝","黑","白")&amp;E1920,经纬!A:M,13,FALSE)*(I1920-AB1920),"")</f>
        <v/>
      </c>
      <c r="AA1920" s="340" t="str">
        <f>IF(AND(C1920&gt;0,D1920&lt;&gt;"",S1920=""),VLOOKUP(A1920&amp;IF(H1920="黑丝","黑","白")&amp;E1920,经纬!A:N,14,FALSE)*(I1920-AB1920),"")</f>
        <v/>
      </c>
    </row>
    <row r="1921" spans="13:27">
      <c r="M1921" s="24" t="str">
        <f t="array" ref="M1921">LEFT(L1921,MIN(FIND({"A","B","C"},MID(L1921,2,LEN(L1921))&amp;"ABC")))</f>
        <v/>
      </c>
      <c r="N1921" s="24" t="str">
        <f t="array" ref="N1921">SUBSTITUTE(L1921,M1921,"")</f>
        <v/>
      </c>
      <c r="X1921" s="258" t="str">
        <f t="shared" si="80"/>
        <v/>
      </c>
      <c r="Y1921" s="36" t="str">
        <f t="shared" si="81"/>
        <v/>
      </c>
      <c r="Z1921" s="340" t="str">
        <f>IF(AND(C1921&gt;0,D1921&lt;&gt;"",S1921=""),VLOOKUP(A1921&amp;IF(H1921="黑丝","黑","白")&amp;E1921,经纬!A:M,13,FALSE)*(I1921-AB1921),"")</f>
        <v/>
      </c>
      <c r="AA1921" s="340" t="str">
        <f>IF(AND(C1921&gt;0,D1921&lt;&gt;"",S1921=""),VLOOKUP(A1921&amp;IF(H1921="黑丝","黑","白")&amp;E1921,经纬!A:N,14,FALSE)*(I1921-AB1921),"")</f>
        <v/>
      </c>
    </row>
    <row r="1922" spans="13:27">
      <c r="M1922" s="24" t="str">
        <f t="array" ref="M1922">LEFT(L1922,MIN(FIND({"A","B","C"},MID(L1922,2,LEN(L1922))&amp;"ABC")))</f>
        <v/>
      </c>
      <c r="N1922" s="24" t="str">
        <f t="array" ref="N1922">SUBSTITUTE(L1922,M1922,"")</f>
        <v/>
      </c>
      <c r="X1922" s="258" t="str">
        <f t="shared" si="80"/>
        <v/>
      </c>
      <c r="Y1922" s="36" t="str">
        <f t="shared" si="81"/>
        <v/>
      </c>
      <c r="Z1922" s="340" t="str">
        <f>IF(AND(C1922&gt;0,D1922&lt;&gt;"",S1922=""),VLOOKUP(A1922&amp;IF(H1922="黑丝","黑","白")&amp;E1922,经纬!A:M,13,FALSE)*(I1922-AB1922),"")</f>
        <v/>
      </c>
      <c r="AA1922" s="340" t="str">
        <f>IF(AND(C1922&gt;0,D1922&lt;&gt;"",S1922=""),VLOOKUP(A1922&amp;IF(H1922="黑丝","黑","白")&amp;E1922,经纬!A:N,14,FALSE)*(I1922-AB1922),"")</f>
        <v/>
      </c>
    </row>
    <row r="1923" spans="13:27">
      <c r="M1923" s="24" t="str">
        <f t="array" ref="M1923">LEFT(L1923,MIN(FIND({"A","B","C"},MID(L1923,2,LEN(L1923))&amp;"ABC")))</f>
        <v/>
      </c>
      <c r="N1923" s="24" t="str">
        <f t="array" ref="N1923">SUBSTITUTE(L1923,M1923,"")</f>
        <v/>
      </c>
      <c r="X1923" s="258" t="str">
        <f t="shared" si="80"/>
        <v/>
      </c>
      <c r="Y1923" s="36" t="str">
        <f t="shared" si="81"/>
        <v/>
      </c>
      <c r="Z1923" s="340" t="str">
        <f>IF(AND(C1923&gt;0,D1923&lt;&gt;"",S1923=""),VLOOKUP(A1923&amp;IF(H1923="黑丝","黑","白")&amp;E1923,经纬!A:M,13,FALSE)*(I1923-AB1923),"")</f>
        <v/>
      </c>
      <c r="AA1923" s="340" t="str">
        <f>IF(AND(C1923&gt;0,D1923&lt;&gt;"",S1923=""),VLOOKUP(A1923&amp;IF(H1923="黑丝","黑","白")&amp;E1923,经纬!A:N,14,FALSE)*(I1923-AB1923),"")</f>
        <v/>
      </c>
    </row>
    <row r="1924" spans="13:27">
      <c r="M1924" s="24" t="str">
        <f t="array" ref="M1924">LEFT(L1924,MIN(FIND({"A","B","C"},MID(L1924,2,LEN(L1924))&amp;"ABC")))</f>
        <v/>
      </c>
      <c r="N1924" s="24" t="str">
        <f t="array" ref="N1924">SUBSTITUTE(L1924,M1924,"")</f>
        <v/>
      </c>
      <c r="X1924" s="258" t="str">
        <f t="shared" si="80"/>
        <v/>
      </c>
      <c r="Y1924" s="36" t="str">
        <f t="shared" si="81"/>
        <v/>
      </c>
      <c r="Z1924" s="340" t="str">
        <f>IF(AND(C1924&gt;0,D1924&lt;&gt;"",S1924=""),VLOOKUP(A1924&amp;IF(H1924="黑丝","黑","白")&amp;E1924,经纬!A:M,13,FALSE)*(I1924-AB1924),"")</f>
        <v/>
      </c>
      <c r="AA1924" s="340" t="str">
        <f>IF(AND(C1924&gt;0,D1924&lt;&gt;"",S1924=""),VLOOKUP(A1924&amp;IF(H1924="黑丝","黑","白")&amp;E1924,经纬!A:N,14,FALSE)*(I1924-AB1924),"")</f>
        <v/>
      </c>
    </row>
    <row r="1925" spans="13:27">
      <c r="M1925" s="24" t="str">
        <f t="array" ref="M1925">LEFT(L1925,MIN(FIND({"A","B","C"},MID(L1925,2,LEN(L1925))&amp;"ABC")))</f>
        <v/>
      </c>
      <c r="N1925" s="24" t="str">
        <f t="array" ref="N1925">SUBSTITUTE(L1925,M1925,"")</f>
        <v/>
      </c>
      <c r="X1925" s="258" t="str">
        <f t="shared" si="80"/>
        <v/>
      </c>
      <c r="Y1925" s="36" t="str">
        <f t="shared" si="81"/>
        <v/>
      </c>
      <c r="Z1925" s="340" t="str">
        <f>IF(AND(C1925&gt;0,D1925&lt;&gt;"",S1925=""),VLOOKUP(A1925&amp;IF(H1925="黑丝","黑","白")&amp;E1925,经纬!A:M,13,FALSE)*(I1925-AB1925),"")</f>
        <v/>
      </c>
      <c r="AA1925" s="340" t="str">
        <f>IF(AND(C1925&gt;0,D1925&lt;&gt;"",S1925=""),VLOOKUP(A1925&amp;IF(H1925="黑丝","黑","白")&amp;E1925,经纬!A:N,14,FALSE)*(I1925-AB1925),"")</f>
        <v/>
      </c>
    </row>
    <row r="1926" spans="13:27">
      <c r="M1926" s="24" t="str">
        <f t="array" ref="M1926">LEFT(L1926,MIN(FIND({"A","B","C"},MID(L1926,2,LEN(L1926))&amp;"ABC")))</f>
        <v/>
      </c>
      <c r="N1926" s="24" t="str">
        <f t="array" ref="N1926">SUBSTITUTE(L1926,M1926,"")</f>
        <v/>
      </c>
      <c r="X1926" s="258" t="str">
        <f t="shared" si="80"/>
        <v/>
      </c>
      <c r="Y1926" s="36" t="str">
        <f t="shared" si="81"/>
        <v/>
      </c>
      <c r="Z1926" s="340" t="str">
        <f>IF(AND(C1926&gt;0,D1926&lt;&gt;"",S1926=""),VLOOKUP(A1926&amp;IF(H1926="黑丝","黑","白")&amp;E1926,经纬!A:M,13,FALSE)*(I1926-AB1926),"")</f>
        <v/>
      </c>
      <c r="AA1926" s="340" t="str">
        <f>IF(AND(C1926&gt;0,D1926&lt;&gt;"",S1926=""),VLOOKUP(A1926&amp;IF(H1926="黑丝","黑","白")&amp;E1926,经纬!A:N,14,FALSE)*(I1926-AB1926),"")</f>
        <v/>
      </c>
    </row>
    <row r="1927" spans="13:27">
      <c r="M1927" s="24" t="str">
        <f t="array" ref="M1927">LEFT(L1927,MIN(FIND({"A","B","C"},MID(L1927,2,LEN(L1927))&amp;"ABC")))</f>
        <v/>
      </c>
      <c r="N1927" s="24" t="str">
        <f t="array" ref="N1927">SUBSTITUTE(L1927,M1927,"")</f>
        <v/>
      </c>
      <c r="X1927" s="258" t="str">
        <f t="shared" si="80"/>
        <v/>
      </c>
      <c r="Y1927" s="36" t="str">
        <f t="shared" si="81"/>
        <v/>
      </c>
      <c r="Z1927" s="340" t="str">
        <f>IF(AND(C1927&gt;0,D1927&lt;&gt;"",S1927=""),VLOOKUP(A1927&amp;IF(H1927="黑丝","黑","白")&amp;E1927,经纬!A:M,13,FALSE)*(I1927-AB1927),"")</f>
        <v/>
      </c>
      <c r="AA1927" s="340" t="str">
        <f>IF(AND(C1927&gt;0,D1927&lt;&gt;"",S1927=""),VLOOKUP(A1927&amp;IF(H1927="黑丝","黑","白")&amp;E1927,经纬!A:N,14,FALSE)*(I1927-AB1927),"")</f>
        <v/>
      </c>
    </row>
    <row r="1928" spans="13:27">
      <c r="M1928" s="24" t="str">
        <f t="array" ref="M1928">LEFT(L1928,MIN(FIND({"A","B","C"},MID(L1928,2,LEN(L1928))&amp;"ABC")))</f>
        <v/>
      </c>
      <c r="N1928" s="24" t="str">
        <f t="array" ref="N1928">SUBSTITUTE(L1928,M1928,"")</f>
        <v/>
      </c>
      <c r="X1928" s="258" t="str">
        <f t="shared" si="80"/>
        <v/>
      </c>
      <c r="Y1928" s="36" t="str">
        <f t="shared" si="81"/>
        <v/>
      </c>
      <c r="Z1928" s="340" t="str">
        <f>IF(AND(C1928&gt;0,D1928&lt;&gt;"",S1928=""),VLOOKUP(A1928&amp;IF(H1928="黑丝","黑","白")&amp;E1928,经纬!A:M,13,FALSE)*(I1928-AB1928),"")</f>
        <v/>
      </c>
      <c r="AA1928" s="340" t="str">
        <f>IF(AND(C1928&gt;0,D1928&lt;&gt;"",S1928=""),VLOOKUP(A1928&amp;IF(H1928="黑丝","黑","白")&amp;E1928,经纬!A:N,14,FALSE)*(I1928-AB1928),"")</f>
        <v/>
      </c>
    </row>
    <row r="1929" spans="13:27">
      <c r="M1929" s="24" t="str">
        <f t="array" ref="M1929">LEFT(L1929,MIN(FIND({"A","B","C"},MID(L1929,2,LEN(L1929))&amp;"ABC")))</f>
        <v/>
      </c>
      <c r="N1929" s="24" t="str">
        <f t="array" ref="N1929">SUBSTITUTE(L1929,M1929,"")</f>
        <v/>
      </c>
      <c r="X1929" s="258" t="str">
        <f t="shared" si="80"/>
        <v/>
      </c>
      <c r="Y1929" s="36" t="str">
        <f t="shared" si="81"/>
        <v/>
      </c>
      <c r="Z1929" s="340" t="str">
        <f>IF(AND(C1929&gt;0,D1929&lt;&gt;"",S1929=""),VLOOKUP(A1929&amp;IF(H1929="黑丝","黑","白")&amp;E1929,经纬!A:M,13,FALSE)*(I1929-AB1929),"")</f>
        <v/>
      </c>
      <c r="AA1929" s="340" t="str">
        <f>IF(AND(C1929&gt;0,D1929&lt;&gt;"",S1929=""),VLOOKUP(A1929&amp;IF(H1929="黑丝","黑","白")&amp;E1929,经纬!A:N,14,FALSE)*(I1929-AB1929),"")</f>
        <v/>
      </c>
    </row>
    <row r="1930" spans="13:27">
      <c r="M1930" s="24" t="str">
        <f t="array" ref="M1930">LEFT(L1930,MIN(FIND({"A","B","C"},MID(L1930,2,LEN(L1930))&amp;"ABC")))</f>
        <v/>
      </c>
      <c r="N1930" s="24" t="str">
        <f t="array" ref="N1930">SUBSTITUTE(L1930,M1930,"")</f>
        <v/>
      </c>
      <c r="X1930" s="258" t="str">
        <f t="shared" si="80"/>
        <v/>
      </c>
      <c r="Y1930" s="36" t="str">
        <f t="shared" si="81"/>
        <v/>
      </c>
      <c r="Z1930" s="340" t="str">
        <f>IF(AND(C1930&gt;0,D1930&lt;&gt;"",S1930=""),VLOOKUP(A1930&amp;IF(H1930="黑丝","黑","白")&amp;E1930,经纬!A:M,13,FALSE)*(I1930-AB1930),"")</f>
        <v/>
      </c>
      <c r="AA1930" s="340" t="str">
        <f>IF(AND(C1930&gt;0,D1930&lt;&gt;"",S1930=""),VLOOKUP(A1930&amp;IF(H1930="黑丝","黑","白")&amp;E1930,经纬!A:N,14,FALSE)*(I1930-AB1930),"")</f>
        <v/>
      </c>
    </row>
    <row r="1931" spans="13:27">
      <c r="M1931" s="24" t="str">
        <f t="array" ref="M1931">LEFT(L1931,MIN(FIND({"A","B","C"},MID(L1931,2,LEN(L1931))&amp;"ABC")))</f>
        <v/>
      </c>
      <c r="N1931" s="24" t="str">
        <f t="array" ref="N1931">SUBSTITUTE(L1931,M1931,"")</f>
        <v/>
      </c>
      <c r="X1931" s="258" t="str">
        <f t="shared" si="80"/>
        <v/>
      </c>
      <c r="Y1931" s="36" t="str">
        <f t="shared" si="81"/>
        <v/>
      </c>
      <c r="Z1931" s="340" t="str">
        <f>IF(AND(C1931&gt;0,D1931&lt;&gt;"",S1931=""),VLOOKUP(A1931&amp;IF(H1931="黑丝","黑","白")&amp;E1931,经纬!A:M,13,FALSE)*(I1931-AB1931),"")</f>
        <v/>
      </c>
      <c r="AA1931" s="340" t="str">
        <f>IF(AND(C1931&gt;0,D1931&lt;&gt;"",S1931=""),VLOOKUP(A1931&amp;IF(H1931="黑丝","黑","白")&amp;E1931,经纬!A:N,14,FALSE)*(I1931-AB1931),"")</f>
        <v/>
      </c>
    </row>
    <row r="1932" spans="13:27">
      <c r="M1932" s="24" t="str">
        <f t="array" ref="M1932">LEFT(L1932,MIN(FIND({"A","B","C"},MID(L1932,2,LEN(L1932))&amp;"ABC")))</f>
        <v/>
      </c>
      <c r="N1932" s="24" t="str">
        <f t="array" ref="N1932">SUBSTITUTE(L1932,M1932,"")</f>
        <v/>
      </c>
      <c r="X1932" s="258" t="str">
        <f t="shared" si="80"/>
        <v/>
      </c>
      <c r="Y1932" s="36" t="str">
        <f t="shared" si="81"/>
        <v/>
      </c>
      <c r="Z1932" s="340" t="str">
        <f>IF(AND(C1932&gt;0,D1932&lt;&gt;"",S1932=""),VLOOKUP(A1932&amp;IF(H1932="黑丝","黑","白")&amp;E1932,经纬!A:M,13,FALSE)*(I1932-AB1932),"")</f>
        <v/>
      </c>
      <c r="AA1932" s="340" t="str">
        <f>IF(AND(C1932&gt;0,D1932&lt;&gt;"",S1932=""),VLOOKUP(A1932&amp;IF(H1932="黑丝","黑","白")&amp;E1932,经纬!A:N,14,FALSE)*(I1932-AB1932),"")</f>
        <v/>
      </c>
    </row>
    <row r="1933" spans="13:27">
      <c r="M1933" s="24" t="str">
        <f t="array" ref="M1933">LEFT(L1933,MIN(FIND({"A","B","C"},MID(L1933,2,LEN(L1933))&amp;"ABC")))</f>
        <v/>
      </c>
      <c r="N1933" s="24" t="str">
        <f t="array" ref="N1933">SUBSTITUTE(L1933,M1933,"")</f>
        <v/>
      </c>
      <c r="X1933" s="258" t="str">
        <f t="shared" si="80"/>
        <v/>
      </c>
      <c r="Y1933" s="36" t="str">
        <f t="shared" si="81"/>
        <v/>
      </c>
      <c r="Z1933" s="340" t="str">
        <f>IF(AND(C1933&gt;0,D1933&lt;&gt;"",S1933=""),VLOOKUP(A1933&amp;IF(H1933="黑丝","黑","白")&amp;E1933,经纬!A:M,13,FALSE)*(I1933-AB1933),"")</f>
        <v/>
      </c>
      <c r="AA1933" s="340" t="str">
        <f>IF(AND(C1933&gt;0,D1933&lt;&gt;"",S1933=""),VLOOKUP(A1933&amp;IF(H1933="黑丝","黑","白")&amp;E1933,经纬!A:N,14,FALSE)*(I1933-AB1933),"")</f>
        <v/>
      </c>
    </row>
    <row r="1934" spans="13:27">
      <c r="M1934" s="24" t="str">
        <f t="array" ref="M1934">LEFT(L1934,MIN(FIND({"A","B","C"},MID(L1934,2,LEN(L1934))&amp;"ABC")))</f>
        <v/>
      </c>
      <c r="N1934" s="24" t="str">
        <f t="array" ref="N1934">SUBSTITUTE(L1934,M1934,"")</f>
        <v/>
      </c>
      <c r="X1934" s="258" t="str">
        <f t="shared" si="80"/>
        <v/>
      </c>
      <c r="Y1934" s="36" t="str">
        <f t="shared" si="81"/>
        <v/>
      </c>
      <c r="Z1934" s="340" t="str">
        <f>IF(AND(C1934&gt;0,D1934&lt;&gt;"",S1934=""),VLOOKUP(A1934&amp;IF(H1934="黑丝","黑","白")&amp;E1934,经纬!A:M,13,FALSE)*(I1934-AB1934),"")</f>
        <v/>
      </c>
      <c r="AA1934" s="340" t="str">
        <f>IF(AND(C1934&gt;0,D1934&lt;&gt;"",S1934=""),VLOOKUP(A1934&amp;IF(H1934="黑丝","黑","白")&amp;E1934,经纬!A:N,14,FALSE)*(I1934-AB1934),"")</f>
        <v/>
      </c>
    </row>
    <row r="1935" spans="13:27">
      <c r="M1935" s="24" t="str">
        <f t="array" ref="M1935">LEFT(L1935,MIN(FIND({"A","B","C"},MID(L1935,2,LEN(L1935))&amp;"ABC")))</f>
        <v/>
      </c>
      <c r="N1935" s="24" t="str">
        <f t="array" ref="N1935">SUBSTITUTE(L1935,M1935,"")</f>
        <v/>
      </c>
      <c r="X1935" s="258" t="str">
        <f t="shared" si="80"/>
        <v/>
      </c>
      <c r="Y1935" s="36" t="str">
        <f t="shared" si="81"/>
        <v/>
      </c>
      <c r="Z1935" s="340" t="str">
        <f>IF(AND(C1935&gt;0,D1935&lt;&gt;"",S1935=""),VLOOKUP(A1935&amp;IF(H1935="黑丝","黑","白")&amp;E1935,经纬!A:M,13,FALSE)*(I1935-AB1935),"")</f>
        <v/>
      </c>
      <c r="AA1935" s="340" t="str">
        <f>IF(AND(C1935&gt;0,D1935&lt;&gt;"",S1935=""),VLOOKUP(A1935&amp;IF(H1935="黑丝","黑","白")&amp;E1935,经纬!A:N,14,FALSE)*(I1935-AB1935),"")</f>
        <v/>
      </c>
    </row>
    <row r="1936" spans="13:27">
      <c r="M1936" s="24" t="str">
        <f t="array" ref="M1936">LEFT(L1936,MIN(FIND({"A","B","C"},MID(L1936,2,LEN(L1936))&amp;"ABC")))</f>
        <v/>
      </c>
      <c r="N1936" s="24" t="str">
        <f t="array" ref="N1936">SUBSTITUTE(L1936,M1936,"")</f>
        <v/>
      </c>
      <c r="X1936" s="258" t="str">
        <f t="shared" si="80"/>
        <v/>
      </c>
      <c r="Y1936" s="36" t="str">
        <f t="shared" si="81"/>
        <v/>
      </c>
      <c r="Z1936" s="340" t="str">
        <f>IF(AND(C1936&gt;0,D1936&lt;&gt;"",S1936=""),VLOOKUP(A1936&amp;IF(H1936="黑丝","黑","白")&amp;E1936,经纬!A:M,13,FALSE)*(I1936-AB1936),"")</f>
        <v/>
      </c>
      <c r="AA1936" s="340" t="str">
        <f>IF(AND(C1936&gt;0,D1936&lt;&gt;"",S1936=""),VLOOKUP(A1936&amp;IF(H1936="黑丝","黑","白")&amp;E1936,经纬!A:N,14,FALSE)*(I1936-AB1936),"")</f>
        <v/>
      </c>
    </row>
    <row r="1937" spans="13:27">
      <c r="M1937" s="24" t="str">
        <f t="array" ref="M1937">LEFT(L1937,MIN(FIND({"A","B","C"},MID(L1937,2,LEN(L1937))&amp;"ABC")))</f>
        <v/>
      </c>
      <c r="N1937" s="24" t="str">
        <f t="array" ref="N1937">SUBSTITUTE(L1937,M1937,"")</f>
        <v/>
      </c>
      <c r="X1937" s="258" t="str">
        <f t="shared" si="80"/>
        <v/>
      </c>
      <c r="Y1937" s="36" t="str">
        <f t="shared" si="81"/>
        <v/>
      </c>
      <c r="Z1937" s="340" t="str">
        <f>IF(AND(C1937&gt;0,D1937&lt;&gt;"",S1937=""),VLOOKUP(A1937&amp;IF(H1937="黑丝","黑","白")&amp;E1937,经纬!A:M,13,FALSE)*(I1937-AB1937),"")</f>
        <v/>
      </c>
      <c r="AA1937" s="340" t="str">
        <f>IF(AND(C1937&gt;0,D1937&lt;&gt;"",S1937=""),VLOOKUP(A1937&amp;IF(H1937="黑丝","黑","白")&amp;E1937,经纬!A:N,14,FALSE)*(I1937-AB1937),"")</f>
        <v/>
      </c>
    </row>
    <row r="1938" spans="13:27">
      <c r="M1938" s="24" t="str">
        <f t="array" ref="M1938">LEFT(L1938,MIN(FIND({"A","B","C"},MID(L1938,2,LEN(L1938))&amp;"ABC")))</f>
        <v/>
      </c>
      <c r="N1938" s="24" t="str">
        <f t="array" ref="N1938">SUBSTITUTE(L1938,M1938,"")</f>
        <v/>
      </c>
      <c r="X1938" s="258" t="str">
        <f t="shared" si="80"/>
        <v/>
      </c>
      <c r="Y1938" s="36" t="str">
        <f t="shared" si="81"/>
        <v/>
      </c>
      <c r="Z1938" s="340" t="str">
        <f>IF(AND(C1938&gt;0,D1938&lt;&gt;"",S1938=""),VLOOKUP(A1938&amp;IF(H1938="黑丝","黑","白")&amp;E1938,经纬!A:M,13,FALSE)*(I1938-AB1938),"")</f>
        <v/>
      </c>
      <c r="AA1938" s="340" t="str">
        <f>IF(AND(C1938&gt;0,D1938&lt;&gt;"",S1938=""),VLOOKUP(A1938&amp;IF(H1938="黑丝","黑","白")&amp;E1938,经纬!A:N,14,FALSE)*(I1938-AB1938),"")</f>
        <v/>
      </c>
    </row>
    <row r="1939" spans="13:27">
      <c r="M1939" s="24" t="str">
        <f t="array" ref="M1939">LEFT(L1939,MIN(FIND({"A","B","C"},MID(L1939,2,LEN(L1939))&amp;"ABC")))</f>
        <v/>
      </c>
      <c r="N1939" s="24" t="str">
        <f t="array" ref="N1939">SUBSTITUTE(L1939,M1939,"")</f>
        <v/>
      </c>
      <c r="X1939" s="258" t="str">
        <f t="shared" si="80"/>
        <v/>
      </c>
      <c r="Y1939" s="36" t="str">
        <f t="shared" si="81"/>
        <v/>
      </c>
      <c r="Z1939" s="340" t="str">
        <f>IF(AND(C1939&gt;0,D1939&lt;&gt;"",S1939=""),VLOOKUP(A1939&amp;IF(H1939="黑丝","黑","白")&amp;E1939,经纬!A:M,13,FALSE)*(I1939-AB1939),"")</f>
        <v/>
      </c>
      <c r="AA1939" s="340" t="str">
        <f>IF(AND(C1939&gt;0,D1939&lt;&gt;"",S1939=""),VLOOKUP(A1939&amp;IF(H1939="黑丝","黑","白")&amp;E1939,经纬!A:N,14,FALSE)*(I1939-AB1939),"")</f>
        <v/>
      </c>
    </row>
    <row r="1940" spans="13:27">
      <c r="M1940" s="24" t="str">
        <f t="array" ref="M1940">LEFT(L1940,MIN(FIND({"A","B","C"},MID(L1940,2,LEN(L1940))&amp;"ABC")))</f>
        <v/>
      </c>
      <c r="N1940" s="24" t="str">
        <f t="array" ref="N1940">SUBSTITUTE(L1940,M1940,"")</f>
        <v/>
      </c>
      <c r="X1940" s="258" t="str">
        <f t="shared" si="80"/>
        <v/>
      </c>
      <c r="Y1940" s="36" t="str">
        <f t="shared" si="81"/>
        <v/>
      </c>
      <c r="Z1940" s="340" t="str">
        <f>IF(AND(C1940&gt;0,D1940&lt;&gt;"",S1940=""),VLOOKUP(A1940&amp;IF(H1940="黑丝","黑","白")&amp;E1940,经纬!A:M,13,FALSE)*(I1940-AB1940),"")</f>
        <v/>
      </c>
      <c r="AA1940" s="340" t="str">
        <f>IF(AND(C1940&gt;0,D1940&lt;&gt;"",S1940=""),VLOOKUP(A1940&amp;IF(H1940="黑丝","黑","白")&amp;E1940,经纬!A:N,14,FALSE)*(I1940-AB1940),"")</f>
        <v/>
      </c>
    </row>
    <row r="1941" spans="13:27">
      <c r="M1941" s="24" t="str">
        <f t="array" ref="M1941">LEFT(L1941,MIN(FIND({"A","B","C"},MID(L1941,2,LEN(L1941))&amp;"ABC")))</f>
        <v/>
      </c>
      <c r="N1941" s="24" t="str">
        <f t="array" ref="N1941">SUBSTITUTE(L1941,M1941,"")</f>
        <v/>
      </c>
      <c r="X1941" s="258" t="str">
        <f t="shared" si="80"/>
        <v/>
      </c>
      <c r="Y1941" s="36" t="str">
        <f t="shared" si="81"/>
        <v/>
      </c>
      <c r="Z1941" s="340" t="str">
        <f>IF(AND(C1941&gt;0,D1941&lt;&gt;"",S1941=""),VLOOKUP(A1941&amp;IF(H1941="黑丝","黑","白")&amp;E1941,经纬!A:M,13,FALSE)*(I1941-AB1941),"")</f>
        <v/>
      </c>
      <c r="AA1941" s="340" t="str">
        <f>IF(AND(C1941&gt;0,D1941&lt;&gt;"",S1941=""),VLOOKUP(A1941&amp;IF(H1941="黑丝","黑","白")&amp;E1941,经纬!A:N,14,FALSE)*(I1941-AB1941),"")</f>
        <v/>
      </c>
    </row>
    <row r="1942" spans="13:27">
      <c r="M1942" s="24" t="str">
        <f t="array" ref="M1942">LEFT(L1942,MIN(FIND({"A","B","C"},MID(L1942,2,LEN(L1942))&amp;"ABC")))</f>
        <v/>
      </c>
      <c r="N1942" s="24" t="str">
        <f t="array" ref="N1942">SUBSTITUTE(L1942,M1942,"")</f>
        <v/>
      </c>
      <c r="X1942" s="258" t="str">
        <f t="shared" si="80"/>
        <v/>
      </c>
      <c r="Y1942" s="36" t="str">
        <f t="shared" si="81"/>
        <v/>
      </c>
      <c r="Z1942" s="340" t="str">
        <f>IF(AND(C1942&gt;0,D1942&lt;&gt;"",S1942=""),VLOOKUP(A1942&amp;IF(H1942="黑丝","黑","白")&amp;E1942,经纬!A:M,13,FALSE)*(I1942-AB1942),"")</f>
        <v/>
      </c>
      <c r="AA1942" s="340" t="str">
        <f>IF(AND(C1942&gt;0,D1942&lt;&gt;"",S1942=""),VLOOKUP(A1942&amp;IF(H1942="黑丝","黑","白")&amp;E1942,经纬!A:N,14,FALSE)*(I1942-AB1942),"")</f>
        <v/>
      </c>
    </row>
    <row r="1943" spans="13:27">
      <c r="M1943" s="24" t="str">
        <f t="array" ref="M1943">LEFT(L1943,MIN(FIND({"A","B","C"},MID(L1943,2,LEN(L1943))&amp;"ABC")))</f>
        <v/>
      </c>
      <c r="N1943" s="24" t="str">
        <f t="array" ref="N1943">SUBSTITUTE(L1943,M1943,"")</f>
        <v/>
      </c>
      <c r="X1943" s="258" t="str">
        <f t="shared" si="80"/>
        <v/>
      </c>
      <c r="Y1943" s="36" t="str">
        <f t="shared" si="81"/>
        <v/>
      </c>
      <c r="Z1943" s="340" t="str">
        <f>IF(AND(C1943&gt;0,D1943&lt;&gt;"",S1943=""),VLOOKUP(A1943&amp;IF(H1943="黑丝","黑","白")&amp;E1943,经纬!A:M,13,FALSE)*(I1943-AB1943),"")</f>
        <v/>
      </c>
      <c r="AA1943" s="340" t="str">
        <f>IF(AND(C1943&gt;0,D1943&lt;&gt;"",S1943=""),VLOOKUP(A1943&amp;IF(H1943="黑丝","黑","白")&amp;E1943,经纬!A:N,14,FALSE)*(I1943-AB1943),"")</f>
        <v/>
      </c>
    </row>
    <row r="1944" spans="13:27">
      <c r="M1944" s="24" t="str">
        <f t="array" ref="M1944">LEFT(L1944,MIN(FIND({"A","B","C"},MID(L1944,2,LEN(L1944))&amp;"ABC")))</f>
        <v/>
      </c>
      <c r="N1944" s="24" t="str">
        <f t="array" ref="N1944">SUBSTITUTE(L1944,M1944,"")</f>
        <v/>
      </c>
      <c r="X1944" s="258" t="str">
        <f t="shared" si="80"/>
        <v/>
      </c>
      <c r="Y1944" s="36" t="str">
        <f t="shared" si="81"/>
        <v/>
      </c>
      <c r="Z1944" s="340" t="str">
        <f>IF(AND(C1944&gt;0,D1944&lt;&gt;"",S1944=""),VLOOKUP(A1944&amp;IF(H1944="黑丝","黑","白")&amp;E1944,经纬!A:M,13,FALSE)*(I1944-AB1944),"")</f>
        <v/>
      </c>
      <c r="AA1944" s="340" t="str">
        <f>IF(AND(C1944&gt;0,D1944&lt;&gt;"",S1944=""),VLOOKUP(A1944&amp;IF(H1944="黑丝","黑","白")&amp;E1944,经纬!A:N,14,FALSE)*(I1944-AB1944),"")</f>
        <v/>
      </c>
    </row>
    <row r="1945" spans="13:27">
      <c r="M1945" s="24" t="str">
        <f t="array" ref="M1945">LEFT(L1945,MIN(FIND({"A","B","C"},MID(L1945,2,LEN(L1945))&amp;"ABC")))</f>
        <v/>
      </c>
      <c r="N1945" s="24" t="str">
        <f t="array" ref="N1945">SUBSTITUTE(L1945,M1945,"")</f>
        <v/>
      </c>
      <c r="X1945" s="258" t="str">
        <f t="shared" si="80"/>
        <v/>
      </c>
      <c r="Y1945" s="36" t="str">
        <f t="shared" si="81"/>
        <v/>
      </c>
      <c r="Z1945" s="340" t="str">
        <f>IF(AND(C1945&gt;0,D1945&lt;&gt;"",S1945=""),VLOOKUP(A1945&amp;IF(H1945="黑丝","黑","白")&amp;E1945,经纬!A:M,13,FALSE)*(I1945-AB1945),"")</f>
        <v/>
      </c>
      <c r="AA1945" s="340" t="str">
        <f>IF(AND(C1945&gt;0,D1945&lt;&gt;"",S1945=""),VLOOKUP(A1945&amp;IF(H1945="黑丝","黑","白")&amp;E1945,经纬!A:N,14,FALSE)*(I1945-AB1945),"")</f>
        <v/>
      </c>
    </row>
    <row r="1946" spans="13:27">
      <c r="M1946" s="24" t="str">
        <f t="array" ref="M1946">LEFT(L1946,MIN(FIND({"A","B","C"},MID(L1946,2,LEN(L1946))&amp;"ABC")))</f>
        <v/>
      </c>
      <c r="N1946" s="24" t="str">
        <f t="array" ref="N1946">SUBSTITUTE(L1946,M1946,"")</f>
        <v/>
      </c>
      <c r="X1946" s="258" t="str">
        <f t="shared" si="80"/>
        <v/>
      </c>
      <c r="Y1946" s="36" t="str">
        <f t="shared" si="81"/>
        <v/>
      </c>
      <c r="Z1946" s="340" t="str">
        <f>IF(AND(C1946&gt;0,D1946&lt;&gt;"",S1946=""),VLOOKUP(A1946&amp;IF(H1946="黑丝","黑","白")&amp;E1946,经纬!A:M,13,FALSE)*(I1946-AB1946),"")</f>
        <v/>
      </c>
      <c r="AA1946" s="340" t="str">
        <f>IF(AND(C1946&gt;0,D1946&lt;&gt;"",S1946=""),VLOOKUP(A1946&amp;IF(H1946="黑丝","黑","白")&amp;E1946,经纬!A:N,14,FALSE)*(I1946-AB1946),"")</f>
        <v/>
      </c>
    </row>
    <row r="1947" spans="13:27">
      <c r="M1947" s="24" t="str">
        <f t="array" ref="M1947">LEFT(L1947,MIN(FIND({"A","B","C"},MID(L1947,2,LEN(L1947))&amp;"ABC")))</f>
        <v/>
      </c>
      <c r="N1947" s="24" t="str">
        <f t="array" ref="N1947">SUBSTITUTE(L1947,M1947,"")</f>
        <v/>
      </c>
      <c r="X1947" s="258" t="str">
        <f t="shared" si="80"/>
        <v/>
      </c>
      <c r="Y1947" s="36" t="str">
        <f t="shared" si="81"/>
        <v/>
      </c>
      <c r="Z1947" s="340" t="str">
        <f>IF(AND(C1947&gt;0,D1947&lt;&gt;"",S1947=""),VLOOKUP(A1947&amp;IF(H1947="黑丝","黑","白")&amp;E1947,经纬!A:M,13,FALSE)*(I1947-AB1947),"")</f>
        <v/>
      </c>
      <c r="AA1947" s="340" t="str">
        <f>IF(AND(C1947&gt;0,D1947&lt;&gt;"",S1947=""),VLOOKUP(A1947&amp;IF(H1947="黑丝","黑","白")&amp;E1947,经纬!A:N,14,FALSE)*(I1947-AB1947),"")</f>
        <v/>
      </c>
    </row>
    <row r="1948" spans="13:27">
      <c r="M1948" s="24" t="str">
        <f t="array" ref="M1948">LEFT(L1948,MIN(FIND({"A","B","C"},MID(L1948,2,LEN(L1948))&amp;"ABC")))</f>
        <v/>
      </c>
      <c r="N1948" s="24" t="str">
        <f t="array" ref="N1948">SUBSTITUTE(L1948,M1948,"")</f>
        <v/>
      </c>
      <c r="X1948" s="258" t="str">
        <f t="shared" ref="X1948:X2011" si="82">IF(B1948="","",IF(S1948&lt;&gt;"","",IF(AND(Z1948&lt;&gt;"",AA1948&lt;&gt;""),SUM(Z1948:AA1948),IF(AB1948&lt;&gt;"",(I1948/((1/((G1948+2)/100*K1948/1000))*0.9144)/IF(H1948="黑丝",22,20)-AB1948)*(IF(H1948="黑丝",22,20)),I1948/((1/((G1948+2)/100*K1948/1000))*0.9144)))))</f>
        <v/>
      </c>
      <c r="Y1948" s="36" t="str">
        <f t="shared" si="81"/>
        <v/>
      </c>
      <c r="Z1948" s="340" t="str">
        <f>IF(AND(C1948&gt;0,D1948&lt;&gt;"",S1948=""),VLOOKUP(A1948&amp;IF(H1948="黑丝","黑","白")&amp;E1948,经纬!A:M,13,FALSE)*(I1948-AB1948),"")</f>
        <v/>
      </c>
      <c r="AA1948" s="340" t="str">
        <f>IF(AND(C1948&gt;0,D1948&lt;&gt;"",S1948=""),VLOOKUP(A1948&amp;IF(H1948="黑丝","黑","白")&amp;E1948,经纬!A:N,14,FALSE)*(I1948-AB1948),"")</f>
        <v/>
      </c>
    </row>
    <row r="1949" spans="13:27">
      <c r="M1949" s="24" t="str">
        <f t="array" ref="M1949">LEFT(L1949,MIN(FIND({"A","B","C"},MID(L1949,2,LEN(L1949))&amp;"ABC")))</f>
        <v/>
      </c>
      <c r="N1949" s="24" t="str">
        <f t="array" ref="N1949">SUBSTITUTE(L1949,M1949,"")</f>
        <v/>
      </c>
      <c r="X1949" s="258" t="str">
        <f t="shared" si="82"/>
        <v/>
      </c>
      <c r="Y1949" s="36" t="str">
        <f t="shared" si="81"/>
        <v/>
      </c>
      <c r="Z1949" s="340" t="str">
        <f>IF(AND(C1949&gt;0,D1949&lt;&gt;"",S1949=""),VLOOKUP(A1949&amp;IF(H1949="黑丝","黑","白")&amp;E1949,经纬!A:M,13,FALSE)*(I1949-AB1949),"")</f>
        <v/>
      </c>
      <c r="AA1949" s="340" t="str">
        <f>IF(AND(C1949&gt;0,D1949&lt;&gt;"",S1949=""),VLOOKUP(A1949&amp;IF(H1949="黑丝","黑","白")&amp;E1949,经纬!A:N,14,FALSE)*(I1949-AB1949),"")</f>
        <v/>
      </c>
    </row>
    <row r="1950" spans="13:27">
      <c r="M1950" s="24" t="str">
        <f t="array" ref="M1950">LEFT(L1950,MIN(FIND({"A","B","C"},MID(L1950,2,LEN(L1950))&amp;"ABC")))</f>
        <v/>
      </c>
      <c r="N1950" s="24" t="str">
        <f t="array" ref="N1950">SUBSTITUTE(L1950,M1950,"")</f>
        <v/>
      </c>
      <c r="X1950" s="258" t="str">
        <f t="shared" si="82"/>
        <v/>
      </c>
      <c r="Y1950" s="36" t="str">
        <f t="shared" si="81"/>
        <v/>
      </c>
      <c r="Z1950" s="340" t="str">
        <f>IF(AND(C1950&gt;0,D1950&lt;&gt;"",S1950=""),VLOOKUP(A1950&amp;IF(H1950="黑丝","黑","白")&amp;E1950,经纬!A:M,13,FALSE)*(I1950-AB1950),"")</f>
        <v/>
      </c>
      <c r="AA1950" s="340" t="str">
        <f>IF(AND(C1950&gt;0,D1950&lt;&gt;"",S1950=""),VLOOKUP(A1950&amp;IF(H1950="黑丝","黑","白")&amp;E1950,经纬!A:N,14,FALSE)*(I1950-AB1950),"")</f>
        <v/>
      </c>
    </row>
    <row r="1951" spans="13:27">
      <c r="M1951" s="24" t="str">
        <f t="array" ref="M1951">LEFT(L1951,MIN(FIND({"A","B","C"},MID(L1951,2,LEN(L1951))&amp;"ABC")))</f>
        <v/>
      </c>
      <c r="N1951" s="24" t="str">
        <f t="array" ref="N1951">SUBSTITUTE(L1951,M1951,"")</f>
        <v/>
      </c>
      <c r="X1951" s="258" t="str">
        <f t="shared" si="82"/>
        <v/>
      </c>
      <c r="Y1951" s="36" t="str">
        <f t="shared" si="81"/>
        <v/>
      </c>
      <c r="Z1951" s="340" t="str">
        <f>IF(AND(C1951&gt;0,D1951&lt;&gt;"",S1951=""),VLOOKUP(A1951&amp;IF(H1951="黑丝","黑","白")&amp;E1951,经纬!A:M,13,FALSE)*(I1951-AB1951),"")</f>
        <v/>
      </c>
      <c r="AA1951" s="340" t="str">
        <f>IF(AND(C1951&gt;0,D1951&lt;&gt;"",S1951=""),VLOOKUP(A1951&amp;IF(H1951="黑丝","黑","白")&amp;E1951,经纬!A:N,14,FALSE)*(I1951-AB1951),"")</f>
        <v/>
      </c>
    </row>
    <row r="1952" spans="13:27">
      <c r="M1952" s="24" t="str">
        <f t="array" ref="M1952">LEFT(L1952,MIN(FIND({"A","B","C"},MID(L1952,2,LEN(L1952))&amp;"ABC")))</f>
        <v/>
      </c>
      <c r="N1952" s="24" t="str">
        <f t="array" ref="N1952">SUBSTITUTE(L1952,M1952,"")</f>
        <v/>
      </c>
      <c r="X1952" s="258" t="str">
        <f t="shared" si="82"/>
        <v/>
      </c>
      <c r="Y1952" s="36" t="str">
        <f t="shared" si="81"/>
        <v/>
      </c>
      <c r="Z1952" s="340" t="str">
        <f>IF(AND(C1952&gt;0,D1952&lt;&gt;"",S1952=""),VLOOKUP(A1952&amp;IF(H1952="黑丝","黑","白")&amp;E1952,经纬!A:M,13,FALSE)*(I1952-AB1952),"")</f>
        <v/>
      </c>
      <c r="AA1952" s="340" t="str">
        <f>IF(AND(C1952&gt;0,D1952&lt;&gt;"",S1952=""),VLOOKUP(A1952&amp;IF(H1952="黑丝","黑","白")&amp;E1952,经纬!A:N,14,FALSE)*(I1952-AB1952),"")</f>
        <v/>
      </c>
    </row>
    <row r="1953" spans="13:27">
      <c r="M1953" s="24" t="str">
        <f t="array" ref="M1953">LEFT(L1953,MIN(FIND({"A","B","C"},MID(L1953,2,LEN(L1953))&amp;"ABC")))</f>
        <v/>
      </c>
      <c r="N1953" s="24" t="str">
        <f t="array" ref="N1953">SUBSTITUTE(L1953,M1953,"")</f>
        <v/>
      </c>
      <c r="X1953" s="258" t="str">
        <f t="shared" si="82"/>
        <v/>
      </c>
      <c r="Y1953" s="36" t="str">
        <f t="shared" si="81"/>
        <v/>
      </c>
      <c r="Z1953" s="340" t="str">
        <f>IF(AND(C1953&gt;0,D1953&lt;&gt;"",S1953=""),VLOOKUP(A1953&amp;IF(H1953="黑丝","黑","白")&amp;E1953,经纬!A:M,13,FALSE)*(I1953-AB1953),"")</f>
        <v/>
      </c>
      <c r="AA1953" s="340" t="str">
        <f>IF(AND(C1953&gt;0,D1953&lt;&gt;"",S1953=""),VLOOKUP(A1953&amp;IF(H1953="黑丝","黑","白")&amp;E1953,经纬!A:N,14,FALSE)*(I1953-AB1953),"")</f>
        <v/>
      </c>
    </row>
    <row r="1954" spans="13:27">
      <c r="M1954" s="24" t="str">
        <f t="array" ref="M1954">LEFT(L1954,MIN(FIND({"A","B","C"},MID(L1954,2,LEN(L1954))&amp;"ABC")))</f>
        <v/>
      </c>
      <c r="N1954" s="24" t="str">
        <f t="array" ref="N1954">SUBSTITUTE(L1954,M1954,"")</f>
        <v/>
      </c>
      <c r="X1954" s="258" t="str">
        <f t="shared" si="82"/>
        <v/>
      </c>
      <c r="Y1954" s="36" t="str">
        <f t="shared" si="81"/>
        <v/>
      </c>
      <c r="Z1954" s="340" t="str">
        <f>IF(AND(C1954&gt;0,D1954&lt;&gt;"",S1954=""),VLOOKUP(A1954&amp;IF(H1954="黑丝","黑","白")&amp;E1954,经纬!A:M,13,FALSE)*(I1954-AB1954),"")</f>
        <v/>
      </c>
      <c r="AA1954" s="340" t="str">
        <f>IF(AND(C1954&gt;0,D1954&lt;&gt;"",S1954=""),VLOOKUP(A1954&amp;IF(H1954="黑丝","黑","白")&amp;E1954,经纬!A:N,14,FALSE)*(I1954-AB1954),"")</f>
        <v/>
      </c>
    </row>
    <row r="1955" spans="13:27">
      <c r="M1955" s="24" t="str">
        <f t="array" ref="M1955">LEFT(L1955,MIN(FIND({"A","B","C"},MID(L1955,2,LEN(L1955))&amp;"ABC")))</f>
        <v/>
      </c>
      <c r="N1955" s="24" t="str">
        <f t="array" ref="N1955">SUBSTITUTE(L1955,M1955,"")</f>
        <v/>
      </c>
      <c r="X1955" s="258" t="str">
        <f t="shared" si="82"/>
        <v/>
      </c>
      <c r="Y1955" s="36" t="str">
        <f t="shared" si="81"/>
        <v/>
      </c>
      <c r="Z1955" s="340" t="str">
        <f>IF(AND(C1955&gt;0,D1955&lt;&gt;"",S1955=""),VLOOKUP(A1955&amp;IF(H1955="黑丝","黑","白")&amp;E1955,经纬!A:M,13,FALSE)*(I1955-AB1955),"")</f>
        <v/>
      </c>
      <c r="AA1955" s="340" t="str">
        <f>IF(AND(C1955&gt;0,D1955&lt;&gt;"",S1955=""),VLOOKUP(A1955&amp;IF(H1955="黑丝","黑","白")&amp;E1955,经纬!A:N,14,FALSE)*(I1955-AB1955),"")</f>
        <v/>
      </c>
    </row>
    <row r="1956" spans="13:27">
      <c r="M1956" s="24" t="str">
        <f t="array" ref="M1956">LEFT(L1956,MIN(FIND({"A","B","C"},MID(L1956,2,LEN(L1956))&amp;"ABC")))</f>
        <v/>
      </c>
      <c r="N1956" s="24" t="str">
        <f t="array" ref="N1956">SUBSTITUTE(L1956,M1956,"")</f>
        <v/>
      </c>
      <c r="X1956" s="258" t="str">
        <f t="shared" si="82"/>
        <v/>
      </c>
      <c r="Y1956" s="36" t="str">
        <f t="shared" si="81"/>
        <v/>
      </c>
      <c r="Z1956" s="340" t="str">
        <f>IF(AND(C1956&gt;0,D1956&lt;&gt;"",S1956=""),VLOOKUP(A1956&amp;IF(H1956="黑丝","黑","白")&amp;E1956,经纬!A:M,13,FALSE)*(I1956-AB1956),"")</f>
        <v/>
      </c>
      <c r="AA1956" s="340" t="str">
        <f>IF(AND(C1956&gt;0,D1956&lt;&gt;"",S1956=""),VLOOKUP(A1956&amp;IF(H1956="黑丝","黑","白")&amp;E1956,经纬!A:N,14,FALSE)*(I1956-AB1956),"")</f>
        <v/>
      </c>
    </row>
    <row r="1957" spans="13:27">
      <c r="M1957" s="24" t="str">
        <f t="array" ref="M1957">LEFT(L1957,MIN(FIND({"A","B","C"},MID(L1957,2,LEN(L1957))&amp;"ABC")))</f>
        <v/>
      </c>
      <c r="N1957" s="24" t="str">
        <f t="array" ref="N1957">SUBSTITUTE(L1957,M1957,"")</f>
        <v/>
      </c>
      <c r="X1957" s="258" t="str">
        <f t="shared" si="82"/>
        <v/>
      </c>
      <c r="Y1957" s="36" t="str">
        <f t="shared" si="81"/>
        <v/>
      </c>
      <c r="Z1957" s="340" t="str">
        <f>IF(AND(C1957&gt;0,D1957&lt;&gt;"",S1957=""),VLOOKUP(A1957&amp;IF(H1957="黑丝","黑","白")&amp;E1957,经纬!A:M,13,FALSE)*(I1957-AB1957),"")</f>
        <v/>
      </c>
      <c r="AA1957" s="340" t="str">
        <f>IF(AND(C1957&gt;0,D1957&lt;&gt;"",S1957=""),VLOOKUP(A1957&amp;IF(H1957="黑丝","黑","白")&amp;E1957,经纬!A:N,14,FALSE)*(I1957-AB1957),"")</f>
        <v/>
      </c>
    </row>
    <row r="1958" spans="13:27">
      <c r="M1958" s="24" t="str">
        <f t="array" ref="M1958">LEFT(L1958,MIN(FIND({"A","B","C"},MID(L1958,2,LEN(L1958))&amp;"ABC")))</f>
        <v/>
      </c>
      <c r="N1958" s="24" t="str">
        <f t="array" ref="N1958">SUBSTITUTE(L1958,M1958,"")</f>
        <v/>
      </c>
      <c r="X1958" s="258" t="str">
        <f t="shared" si="82"/>
        <v/>
      </c>
      <c r="Y1958" s="36" t="str">
        <f t="shared" si="81"/>
        <v/>
      </c>
      <c r="Z1958" s="340" t="str">
        <f>IF(AND(C1958&gt;0,D1958&lt;&gt;"",S1958=""),VLOOKUP(A1958&amp;IF(H1958="黑丝","黑","白")&amp;E1958,经纬!A:M,13,FALSE)*(I1958-AB1958),"")</f>
        <v/>
      </c>
      <c r="AA1958" s="340" t="str">
        <f>IF(AND(C1958&gt;0,D1958&lt;&gt;"",S1958=""),VLOOKUP(A1958&amp;IF(H1958="黑丝","黑","白")&amp;E1958,经纬!A:N,14,FALSE)*(I1958-AB1958),"")</f>
        <v/>
      </c>
    </row>
    <row r="1959" spans="13:27">
      <c r="M1959" s="24" t="str">
        <f t="array" ref="M1959">LEFT(L1959,MIN(FIND({"A","B","C"},MID(L1959,2,LEN(L1959))&amp;"ABC")))</f>
        <v/>
      </c>
      <c r="N1959" s="24" t="str">
        <f t="array" ref="N1959">SUBSTITUTE(L1959,M1959,"")</f>
        <v/>
      </c>
      <c r="X1959" s="258" t="str">
        <f t="shared" si="82"/>
        <v/>
      </c>
      <c r="Y1959" s="36" t="str">
        <f t="shared" si="81"/>
        <v/>
      </c>
      <c r="Z1959" s="340" t="str">
        <f>IF(AND(C1959&gt;0,D1959&lt;&gt;"",S1959=""),VLOOKUP(A1959&amp;IF(H1959="黑丝","黑","白")&amp;E1959,经纬!A:M,13,FALSE)*(I1959-AB1959),"")</f>
        <v/>
      </c>
      <c r="AA1959" s="340" t="str">
        <f>IF(AND(C1959&gt;0,D1959&lt;&gt;"",S1959=""),VLOOKUP(A1959&amp;IF(H1959="黑丝","黑","白")&amp;E1959,经纬!A:N,14,FALSE)*(I1959-AB1959),"")</f>
        <v/>
      </c>
    </row>
    <row r="1960" spans="13:27">
      <c r="M1960" s="24" t="str">
        <f t="array" ref="M1960">LEFT(L1960,MIN(FIND({"A","B","C"},MID(L1960,2,LEN(L1960))&amp;"ABC")))</f>
        <v/>
      </c>
      <c r="N1960" s="24" t="str">
        <f t="array" ref="N1960">SUBSTITUTE(L1960,M1960,"")</f>
        <v/>
      </c>
      <c r="X1960" s="258" t="str">
        <f t="shared" si="82"/>
        <v/>
      </c>
      <c r="Y1960" s="36" t="str">
        <f t="shared" si="81"/>
        <v/>
      </c>
      <c r="Z1960" s="340" t="str">
        <f>IF(AND(C1960&gt;0,D1960&lt;&gt;"",S1960=""),VLOOKUP(A1960&amp;IF(H1960="黑丝","黑","白")&amp;E1960,经纬!A:M,13,FALSE)*(I1960-AB1960),"")</f>
        <v/>
      </c>
      <c r="AA1960" s="340" t="str">
        <f>IF(AND(C1960&gt;0,D1960&lt;&gt;"",S1960=""),VLOOKUP(A1960&amp;IF(H1960="黑丝","黑","白")&amp;E1960,经纬!A:N,14,FALSE)*(I1960-AB1960),"")</f>
        <v/>
      </c>
    </row>
    <row r="1961" spans="13:27">
      <c r="M1961" s="24" t="str">
        <f t="array" ref="M1961">LEFT(L1961,MIN(FIND({"A","B","C"},MID(L1961,2,LEN(L1961))&amp;"ABC")))</f>
        <v/>
      </c>
      <c r="N1961" s="24" t="str">
        <f t="array" ref="N1961">SUBSTITUTE(L1961,M1961,"")</f>
        <v/>
      </c>
      <c r="X1961" s="258" t="str">
        <f t="shared" si="82"/>
        <v/>
      </c>
      <c r="Y1961" s="36" t="str">
        <f t="shared" ref="Y1961:Y2024" si="83">IF(OR(B1961="",D1961&lt;&gt;""),"",IF(S1961&lt;&gt;"","",I1961/((1/((G1961+2)/100*K1961/1000))*0.9144)/IF(H1961="黑丝",22,20)-AB1961))</f>
        <v/>
      </c>
      <c r="Z1961" s="340" t="str">
        <f>IF(AND(C1961&gt;0,D1961&lt;&gt;"",S1961=""),VLOOKUP(A1961&amp;IF(H1961="黑丝","黑","白")&amp;E1961,经纬!A:M,13,FALSE)*(I1961-AB1961),"")</f>
        <v/>
      </c>
      <c r="AA1961" s="340" t="str">
        <f>IF(AND(C1961&gt;0,D1961&lt;&gt;"",S1961=""),VLOOKUP(A1961&amp;IF(H1961="黑丝","黑","白")&amp;E1961,经纬!A:N,14,FALSE)*(I1961-AB1961),"")</f>
        <v/>
      </c>
    </row>
    <row r="1962" spans="13:27">
      <c r="M1962" s="24" t="str">
        <f t="array" ref="M1962">LEFT(L1962,MIN(FIND({"A","B","C"},MID(L1962,2,LEN(L1962))&amp;"ABC")))</f>
        <v/>
      </c>
      <c r="N1962" s="24" t="str">
        <f t="array" ref="N1962">SUBSTITUTE(L1962,M1962,"")</f>
        <v/>
      </c>
      <c r="X1962" s="258" t="str">
        <f t="shared" si="82"/>
        <v/>
      </c>
      <c r="Y1962" s="36" t="str">
        <f t="shared" si="83"/>
        <v/>
      </c>
      <c r="Z1962" s="340" t="str">
        <f>IF(AND(C1962&gt;0,D1962&lt;&gt;"",S1962=""),VLOOKUP(A1962&amp;IF(H1962="黑丝","黑","白")&amp;E1962,经纬!A:M,13,FALSE)*(I1962-AB1962),"")</f>
        <v/>
      </c>
      <c r="AA1962" s="340" t="str">
        <f>IF(AND(C1962&gt;0,D1962&lt;&gt;"",S1962=""),VLOOKUP(A1962&amp;IF(H1962="黑丝","黑","白")&amp;E1962,经纬!A:N,14,FALSE)*(I1962-AB1962),"")</f>
        <v/>
      </c>
    </row>
    <row r="1963" spans="13:27">
      <c r="M1963" s="24" t="str">
        <f t="array" ref="M1963">LEFT(L1963,MIN(FIND({"A","B","C"},MID(L1963,2,LEN(L1963))&amp;"ABC")))</f>
        <v/>
      </c>
      <c r="N1963" s="24" t="str">
        <f t="array" ref="N1963">SUBSTITUTE(L1963,M1963,"")</f>
        <v/>
      </c>
      <c r="X1963" s="258" t="str">
        <f t="shared" si="82"/>
        <v/>
      </c>
      <c r="Y1963" s="36" t="str">
        <f t="shared" si="83"/>
        <v/>
      </c>
      <c r="Z1963" s="340" t="str">
        <f>IF(AND(C1963&gt;0,D1963&lt;&gt;"",S1963=""),VLOOKUP(A1963&amp;IF(H1963="黑丝","黑","白")&amp;E1963,经纬!A:M,13,FALSE)*(I1963-AB1963),"")</f>
        <v/>
      </c>
      <c r="AA1963" s="340" t="str">
        <f>IF(AND(C1963&gt;0,D1963&lt;&gt;"",S1963=""),VLOOKUP(A1963&amp;IF(H1963="黑丝","黑","白")&amp;E1963,经纬!A:N,14,FALSE)*(I1963-AB1963),"")</f>
        <v/>
      </c>
    </row>
    <row r="1964" spans="13:27">
      <c r="M1964" s="24" t="str">
        <f t="array" ref="M1964">LEFT(L1964,MIN(FIND({"A","B","C"},MID(L1964,2,LEN(L1964))&amp;"ABC")))</f>
        <v/>
      </c>
      <c r="N1964" s="24" t="str">
        <f t="array" ref="N1964">SUBSTITUTE(L1964,M1964,"")</f>
        <v/>
      </c>
      <c r="X1964" s="258" t="str">
        <f t="shared" si="82"/>
        <v/>
      </c>
      <c r="Y1964" s="36" t="str">
        <f t="shared" si="83"/>
        <v/>
      </c>
      <c r="Z1964" s="340" t="str">
        <f>IF(AND(C1964&gt;0,D1964&lt;&gt;"",S1964=""),VLOOKUP(A1964&amp;IF(H1964="黑丝","黑","白")&amp;E1964,经纬!A:M,13,FALSE)*(I1964-AB1964),"")</f>
        <v/>
      </c>
      <c r="AA1964" s="340" t="str">
        <f>IF(AND(C1964&gt;0,D1964&lt;&gt;"",S1964=""),VLOOKUP(A1964&amp;IF(H1964="黑丝","黑","白")&amp;E1964,经纬!A:N,14,FALSE)*(I1964-AB1964),"")</f>
        <v/>
      </c>
    </row>
    <row r="1965" spans="13:27">
      <c r="M1965" s="24" t="str">
        <f t="array" ref="M1965">LEFT(L1965,MIN(FIND({"A","B","C"},MID(L1965,2,LEN(L1965))&amp;"ABC")))</f>
        <v/>
      </c>
      <c r="N1965" s="24" t="str">
        <f t="array" ref="N1965">SUBSTITUTE(L1965,M1965,"")</f>
        <v/>
      </c>
      <c r="X1965" s="258" t="str">
        <f t="shared" si="82"/>
        <v/>
      </c>
      <c r="Y1965" s="36" t="str">
        <f t="shared" si="83"/>
        <v/>
      </c>
      <c r="Z1965" s="340" t="str">
        <f>IF(AND(C1965&gt;0,D1965&lt;&gt;"",S1965=""),VLOOKUP(A1965&amp;IF(H1965="黑丝","黑","白")&amp;E1965,经纬!A:M,13,FALSE)*(I1965-AB1965),"")</f>
        <v/>
      </c>
      <c r="AA1965" s="340" t="str">
        <f>IF(AND(C1965&gt;0,D1965&lt;&gt;"",S1965=""),VLOOKUP(A1965&amp;IF(H1965="黑丝","黑","白")&amp;E1965,经纬!A:N,14,FALSE)*(I1965-AB1965),"")</f>
        <v/>
      </c>
    </row>
    <row r="1966" spans="13:27">
      <c r="M1966" s="24" t="str">
        <f t="array" ref="M1966">LEFT(L1966,MIN(FIND({"A","B","C"},MID(L1966,2,LEN(L1966))&amp;"ABC")))</f>
        <v/>
      </c>
      <c r="N1966" s="24" t="str">
        <f t="array" ref="N1966">SUBSTITUTE(L1966,M1966,"")</f>
        <v/>
      </c>
      <c r="X1966" s="258" t="str">
        <f t="shared" si="82"/>
        <v/>
      </c>
      <c r="Y1966" s="36" t="str">
        <f t="shared" si="83"/>
        <v/>
      </c>
      <c r="Z1966" s="340" t="str">
        <f>IF(AND(C1966&gt;0,D1966&lt;&gt;"",S1966=""),VLOOKUP(A1966&amp;IF(H1966="黑丝","黑","白")&amp;E1966,经纬!A:M,13,FALSE)*(I1966-AB1966),"")</f>
        <v/>
      </c>
      <c r="AA1966" s="340" t="str">
        <f>IF(AND(C1966&gt;0,D1966&lt;&gt;"",S1966=""),VLOOKUP(A1966&amp;IF(H1966="黑丝","黑","白")&amp;E1966,经纬!A:N,14,FALSE)*(I1966-AB1966),"")</f>
        <v/>
      </c>
    </row>
    <row r="1967" spans="13:27">
      <c r="M1967" s="24" t="str">
        <f t="array" ref="M1967">LEFT(L1967,MIN(FIND({"A","B","C"},MID(L1967,2,LEN(L1967))&amp;"ABC")))</f>
        <v/>
      </c>
      <c r="N1967" s="24" t="str">
        <f t="array" ref="N1967">SUBSTITUTE(L1967,M1967,"")</f>
        <v/>
      </c>
      <c r="X1967" s="258" t="str">
        <f t="shared" si="82"/>
        <v/>
      </c>
      <c r="Y1967" s="36" t="str">
        <f t="shared" si="83"/>
        <v/>
      </c>
      <c r="Z1967" s="340" t="str">
        <f>IF(AND(C1967&gt;0,D1967&lt;&gt;"",S1967=""),VLOOKUP(A1967&amp;IF(H1967="黑丝","黑","白")&amp;E1967,经纬!A:M,13,FALSE)*(I1967-AB1967),"")</f>
        <v/>
      </c>
      <c r="AA1967" s="340" t="str">
        <f>IF(AND(C1967&gt;0,D1967&lt;&gt;"",S1967=""),VLOOKUP(A1967&amp;IF(H1967="黑丝","黑","白")&amp;E1967,经纬!A:N,14,FALSE)*(I1967-AB1967),"")</f>
        <v/>
      </c>
    </row>
    <row r="1968" spans="13:27">
      <c r="M1968" s="24" t="str">
        <f t="array" ref="M1968">LEFT(L1968,MIN(FIND({"A","B","C"},MID(L1968,2,LEN(L1968))&amp;"ABC")))</f>
        <v/>
      </c>
      <c r="N1968" s="24" t="str">
        <f t="array" ref="N1968">SUBSTITUTE(L1968,M1968,"")</f>
        <v/>
      </c>
      <c r="X1968" s="258" t="str">
        <f t="shared" si="82"/>
        <v/>
      </c>
      <c r="Y1968" s="36" t="str">
        <f t="shared" si="83"/>
        <v/>
      </c>
      <c r="Z1968" s="340" t="str">
        <f>IF(AND(C1968&gt;0,D1968&lt;&gt;"",S1968=""),VLOOKUP(A1968&amp;IF(H1968="黑丝","黑","白")&amp;E1968,经纬!A:M,13,FALSE)*(I1968-AB1968),"")</f>
        <v/>
      </c>
      <c r="AA1968" s="340" t="str">
        <f>IF(AND(C1968&gt;0,D1968&lt;&gt;"",S1968=""),VLOOKUP(A1968&amp;IF(H1968="黑丝","黑","白")&amp;E1968,经纬!A:N,14,FALSE)*(I1968-AB1968),"")</f>
        <v/>
      </c>
    </row>
    <row r="1969" spans="13:27">
      <c r="M1969" s="24" t="str">
        <f t="array" ref="M1969">LEFT(L1969,MIN(FIND({"A","B","C"},MID(L1969,2,LEN(L1969))&amp;"ABC")))</f>
        <v/>
      </c>
      <c r="N1969" s="24" t="str">
        <f t="array" ref="N1969">SUBSTITUTE(L1969,M1969,"")</f>
        <v/>
      </c>
      <c r="X1969" s="258" t="str">
        <f t="shared" si="82"/>
        <v/>
      </c>
      <c r="Y1969" s="36" t="str">
        <f t="shared" si="83"/>
        <v/>
      </c>
      <c r="Z1969" s="340" t="str">
        <f>IF(AND(C1969&gt;0,D1969&lt;&gt;"",S1969=""),VLOOKUP(A1969&amp;IF(H1969="黑丝","黑","白")&amp;E1969,经纬!A:M,13,FALSE)*(I1969-AB1969),"")</f>
        <v/>
      </c>
      <c r="AA1969" s="340" t="str">
        <f>IF(AND(C1969&gt;0,D1969&lt;&gt;"",S1969=""),VLOOKUP(A1969&amp;IF(H1969="黑丝","黑","白")&amp;E1969,经纬!A:N,14,FALSE)*(I1969-AB1969),"")</f>
        <v/>
      </c>
    </row>
    <row r="1970" spans="13:27">
      <c r="M1970" s="24" t="str">
        <f t="array" ref="M1970">LEFT(L1970,MIN(FIND({"A","B","C"},MID(L1970,2,LEN(L1970))&amp;"ABC")))</f>
        <v/>
      </c>
      <c r="N1970" s="24" t="str">
        <f t="array" ref="N1970">SUBSTITUTE(L1970,M1970,"")</f>
        <v/>
      </c>
      <c r="X1970" s="258" t="str">
        <f t="shared" si="82"/>
        <v/>
      </c>
      <c r="Y1970" s="36" t="str">
        <f t="shared" si="83"/>
        <v/>
      </c>
      <c r="Z1970" s="340" t="str">
        <f>IF(AND(C1970&gt;0,D1970&lt;&gt;"",S1970=""),VLOOKUP(A1970&amp;IF(H1970="黑丝","黑","白")&amp;E1970,经纬!A:M,13,FALSE)*(I1970-AB1970),"")</f>
        <v/>
      </c>
      <c r="AA1970" s="340" t="str">
        <f>IF(AND(C1970&gt;0,D1970&lt;&gt;"",S1970=""),VLOOKUP(A1970&amp;IF(H1970="黑丝","黑","白")&amp;E1970,经纬!A:N,14,FALSE)*(I1970-AB1970),"")</f>
        <v/>
      </c>
    </row>
    <row r="1971" spans="13:27">
      <c r="M1971" s="24" t="str">
        <f t="array" ref="M1971">LEFT(L1971,MIN(FIND({"A","B","C"},MID(L1971,2,LEN(L1971))&amp;"ABC")))</f>
        <v/>
      </c>
      <c r="N1971" s="24" t="str">
        <f t="array" ref="N1971">SUBSTITUTE(L1971,M1971,"")</f>
        <v/>
      </c>
      <c r="X1971" s="258" t="str">
        <f t="shared" si="82"/>
        <v/>
      </c>
      <c r="Y1971" s="36" t="str">
        <f t="shared" si="83"/>
        <v/>
      </c>
      <c r="Z1971" s="340" t="str">
        <f>IF(AND(C1971&gt;0,D1971&lt;&gt;"",S1971=""),VLOOKUP(A1971&amp;IF(H1971="黑丝","黑","白")&amp;E1971,经纬!A:M,13,FALSE)*(I1971-AB1971),"")</f>
        <v/>
      </c>
      <c r="AA1971" s="340" t="str">
        <f>IF(AND(C1971&gt;0,D1971&lt;&gt;"",S1971=""),VLOOKUP(A1971&amp;IF(H1971="黑丝","黑","白")&amp;E1971,经纬!A:N,14,FALSE)*(I1971-AB1971),"")</f>
        <v/>
      </c>
    </row>
    <row r="1972" spans="13:27">
      <c r="M1972" s="24" t="str">
        <f t="array" ref="M1972">LEFT(L1972,MIN(FIND({"A","B","C"},MID(L1972,2,LEN(L1972))&amp;"ABC")))</f>
        <v/>
      </c>
      <c r="N1972" s="24" t="str">
        <f t="array" ref="N1972">SUBSTITUTE(L1972,M1972,"")</f>
        <v/>
      </c>
      <c r="X1972" s="258" t="str">
        <f t="shared" si="82"/>
        <v/>
      </c>
      <c r="Y1972" s="36" t="str">
        <f t="shared" si="83"/>
        <v/>
      </c>
      <c r="Z1972" s="340" t="str">
        <f>IF(AND(C1972&gt;0,D1972&lt;&gt;"",S1972=""),VLOOKUP(A1972&amp;IF(H1972="黑丝","黑","白")&amp;E1972,经纬!A:M,13,FALSE)*(I1972-AB1972),"")</f>
        <v/>
      </c>
      <c r="AA1972" s="340" t="str">
        <f>IF(AND(C1972&gt;0,D1972&lt;&gt;"",S1972=""),VLOOKUP(A1972&amp;IF(H1972="黑丝","黑","白")&amp;E1972,经纬!A:N,14,FALSE)*(I1972-AB1972),"")</f>
        <v/>
      </c>
    </row>
    <row r="1973" spans="13:27">
      <c r="M1973" s="24" t="str">
        <f t="array" ref="M1973">LEFT(L1973,MIN(FIND({"A","B","C"},MID(L1973,2,LEN(L1973))&amp;"ABC")))</f>
        <v/>
      </c>
      <c r="N1973" s="24" t="str">
        <f t="array" ref="N1973">SUBSTITUTE(L1973,M1973,"")</f>
        <v/>
      </c>
      <c r="X1973" s="258" t="str">
        <f t="shared" si="82"/>
        <v/>
      </c>
      <c r="Y1973" s="36" t="str">
        <f t="shared" si="83"/>
        <v/>
      </c>
      <c r="Z1973" s="340" t="str">
        <f>IF(AND(C1973&gt;0,D1973&lt;&gt;"",S1973=""),VLOOKUP(A1973&amp;IF(H1973="黑丝","黑","白")&amp;E1973,经纬!A:M,13,FALSE)*(I1973-AB1973),"")</f>
        <v/>
      </c>
      <c r="AA1973" s="340" t="str">
        <f>IF(AND(C1973&gt;0,D1973&lt;&gt;"",S1973=""),VLOOKUP(A1973&amp;IF(H1973="黑丝","黑","白")&amp;E1973,经纬!A:N,14,FALSE)*(I1973-AB1973),"")</f>
        <v/>
      </c>
    </row>
    <row r="1974" spans="13:27">
      <c r="M1974" s="24" t="str">
        <f t="array" ref="M1974">LEFT(L1974,MIN(FIND({"A","B","C"},MID(L1974,2,LEN(L1974))&amp;"ABC")))</f>
        <v/>
      </c>
      <c r="N1974" s="24" t="str">
        <f t="array" ref="N1974">SUBSTITUTE(L1974,M1974,"")</f>
        <v/>
      </c>
      <c r="X1974" s="258" t="str">
        <f t="shared" si="82"/>
        <v/>
      </c>
      <c r="Y1974" s="36" t="str">
        <f t="shared" si="83"/>
        <v/>
      </c>
      <c r="Z1974" s="340" t="str">
        <f>IF(AND(C1974&gt;0,D1974&lt;&gt;"",S1974=""),VLOOKUP(A1974&amp;IF(H1974="黑丝","黑","白")&amp;E1974,经纬!A:M,13,FALSE)*(I1974-AB1974),"")</f>
        <v/>
      </c>
      <c r="AA1974" s="340" t="str">
        <f>IF(AND(C1974&gt;0,D1974&lt;&gt;"",S1974=""),VLOOKUP(A1974&amp;IF(H1974="黑丝","黑","白")&amp;E1974,经纬!A:N,14,FALSE)*(I1974-AB1974),"")</f>
        <v/>
      </c>
    </row>
    <row r="1975" spans="13:27">
      <c r="M1975" s="24" t="str">
        <f t="array" ref="M1975">LEFT(L1975,MIN(FIND({"A","B","C"},MID(L1975,2,LEN(L1975))&amp;"ABC")))</f>
        <v/>
      </c>
      <c r="N1975" s="24" t="str">
        <f t="array" ref="N1975">SUBSTITUTE(L1975,M1975,"")</f>
        <v/>
      </c>
      <c r="X1975" s="258" t="str">
        <f t="shared" si="82"/>
        <v/>
      </c>
      <c r="Y1975" s="36" t="str">
        <f t="shared" si="83"/>
        <v/>
      </c>
      <c r="Z1975" s="340" t="str">
        <f>IF(AND(C1975&gt;0,D1975&lt;&gt;"",S1975=""),VLOOKUP(A1975&amp;IF(H1975="黑丝","黑","白")&amp;E1975,经纬!A:M,13,FALSE)*(I1975-AB1975),"")</f>
        <v/>
      </c>
      <c r="AA1975" s="340" t="str">
        <f>IF(AND(C1975&gt;0,D1975&lt;&gt;"",S1975=""),VLOOKUP(A1975&amp;IF(H1975="黑丝","黑","白")&amp;E1975,经纬!A:N,14,FALSE)*(I1975-AB1975),"")</f>
        <v/>
      </c>
    </row>
    <row r="1976" spans="13:27">
      <c r="M1976" s="24" t="str">
        <f t="array" ref="M1976">LEFT(L1976,MIN(FIND({"A","B","C"},MID(L1976,2,LEN(L1976))&amp;"ABC")))</f>
        <v/>
      </c>
      <c r="N1976" s="24" t="str">
        <f t="array" ref="N1976">SUBSTITUTE(L1976,M1976,"")</f>
        <v/>
      </c>
      <c r="X1976" s="258" t="str">
        <f t="shared" si="82"/>
        <v/>
      </c>
      <c r="Y1976" s="36" t="str">
        <f t="shared" si="83"/>
        <v/>
      </c>
      <c r="Z1976" s="340" t="str">
        <f>IF(AND(C1976&gt;0,D1976&lt;&gt;"",S1976=""),VLOOKUP(A1976&amp;IF(H1976="黑丝","黑","白")&amp;E1976,经纬!A:M,13,FALSE)*(I1976-AB1976),"")</f>
        <v/>
      </c>
      <c r="AA1976" s="340" t="str">
        <f>IF(AND(C1976&gt;0,D1976&lt;&gt;"",S1976=""),VLOOKUP(A1976&amp;IF(H1976="黑丝","黑","白")&amp;E1976,经纬!A:N,14,FALSE)*(I1976-AB1976),"")</f>
        <v/>
      </c>
    </row>
    <row r="1977" spans="13:27">
      <c r="M1977" s="24" t="str">
        <f t="array" ref="M1977">LEFT(L1977,MIN(FIND({"A","B","C"},MID(L1977,2,LEN(L1977))&amp;"ABC")))</f>
        <v/>
      </c>
      <c r="N1977" s="24" t="str">
        <f t="array" ref="N1977">SUBSTITUTE(L1977,M1977,"")</f>
        <v/>
      </c>
      <c r="X1977" s="258" t="str">
        <f t="shared" si="82"/>
        <v/>
      </c>
      <c r="Y1977" s="36" t="str">
        <f t="shared" si="83"/>
        <v/>
      </c>
      <c r="Z1977" s="340" t="str">
        <f>IF(AND(C1977&gt;0,D1977&lt;&gt;"",S1977=""),VLOOKUP(A1977&amp;IF(H1977="黑丝","黑","白")&amp;E1977,经纬!A:M,13,FALSE)*(I1977-AB1977),"")</f>
        <v/>
      </c>
      <c r="AA1977" s="340" t="str">
        <f>IF(AND(C1977&gt;0,D1977&lt;&gt;"",S1977=""),VLOOKUP(A1977&amp;IF(H1977="黑丝","黑","白")&amp;E1977,经纬!A:N,14,FALSE)*(I1977-AB1977),"")</f>
        <v/>
      </c>
    </row>
    <row r="1978" spans="13:27">
      <c r="M1978" s="24" t="str">
        <f t="array" ref="M1978">LEFT(L1978,MIN(FIND({"A","B","C"},MID(L1978,2,LEN(L1978))&amp;"ABC")))</f>
        <v/>
      </c>
      <c r="N1978" s="24" t="str">
        <f t="array" ref="N1978">SUBSTITUTE(L1978,M1978,"")</f>
        <v/>
      </c>
      <c r="X1978" s="258" t="str">
        <f t="shared" si="82"/>
        <v/>
      </c>
      <c r="Y1978" s="36" t="str">
        <f t="shared" si="83"/>
        <v/>
      </c>
      <c r="Z1978" s="340" t="str">
        <f>IF(AND(C1978&gt;0,D1978&lt;&gt;"",S1978=""),VLOOKUP(A1978&amp;IF(H1978="黑丝","黑","白")&amp;E1978,经纬!A:M,13,FALSE)*(I1978-AB1978),"")</f>
        <v/>
      </c>
      <c r="AA1978" s="340" t="str">
        <f>IF(AND(C1978&gt;0,D1978&lt;&gt;"",S1978=""),VLOOKUP(A1978&amp;IF(H1978="黑丝","黑","白")&amp;E1978,经纬!A:N,14,FALSE)*(I1978-AB1978),"")</f>
        <v/>
      </c>
    </row>
    <row r="1979" spans="13:27">
      <c r="M1979" s="24" t="str">
        <f t="array" ref="M1979">LEFT(L1979,MIN(FIND({"A","B","C"},MID(L1979,2,LEN(L1979))&amp;"ABC")))</f>
        <v/>
      </c>
      <c r="N1979" s="24" t="str">
        <f t="array" ref="N1979">SUBSTITUTE(L1979,M1979,"")</f>
        <v/>
      </c>
      <c r="X1979" s="258" t="str">
        <f t="shared" si="82"/>
        <v/>
      </c>
      <c r="Y1979" s="36" t="str">
        <f t="shared" si="83"/>
        <v/>
      </c>
      <c r="Z1979" s="340" t="str">
        <f>IF(AND(C1979&gt;0,D1979&lt;&gt;"",S1979=""),VLOOKUP(A1979&amp;IF(H1979="黑丝","黑","白")&amp;E1979,经纬!A:M,13,FALSE)*(I1979-AB1979),"")</f>
        <v/>
      </c>
      <c r="AA1979" s="340" t="str">
        <f>IF(AND(C1979&gt;0,D1979&lt;&gt;"",S1979=""),VLOOKUP(A1979&amp;IF(H1979="黑丝","黑","白")&amp;E1979,经纬!A:N,14,FALSE)*(I1979-AB1979),"")</f>
        <v/>
      </c>
    </row>
    <row r="1980" spans="13:27">
      <c r="M1980" s="24" t="str">
        <f t="array" ref="M1980">LEFT(L1980,MIN(FIND({"A","B","C"},MID(L1980,2,LEN(L1980))&amp;"ABC")))</f>
        <v/>
      </c>
      <c r="N1980" s="24" t="str">
        <f t="array" ref="N1980">SUBSTITUTE(L1980,M1980,"")</f>
        <v/>
      </c>
      <c r="X1980" s="258" t="str">
        <f t="shared" si="82"/>
        <v/>
      </c>
      <c r="Y1980" s="36" t="str">
        <f t="shared" si="83"/>
        <v/>
      </c>
      <c r="Z1980" s="340" t="str">
        <f>IF(AND(C1980&gt;0,D1980&lt;&gt;"",S1980=""),VLOOKUP(A1980&amp;IF(H1980="黑丝","黑","白")&amp;E1980,经纬!A:M,13,FALSE)*(I1980-AB1980),"")</f>
        <v/>
      </c>
      <c r="AA1980" s="340" t="str">
        <f>IF(AND(C1980&gt;0,D1980&lt;&gt;"",S1980=""),VLOOKUP(A1980&amp;IF(H1980="黑丝","黑","白")&amp;E1980,经纬!A:N,14,FALSE)*(I1980-AB1980),"")</f>
        <v/>
      </c>
    </row>
    <row r="1981" spans="13:27">
      <c r="M1981" s="24" t="str">
        <f t="array" ref="M1981">LEFT(L1981,MIN(FIND({"A","B","C"},MID(L1981,2,LEN(L1981))&amp;"ABC")))</f>
        <v/>
      </c>
      <c r="N1981" s="24" t="str">
        <f t="array" ref="N1981">SUBSTITUTE(L1981,M1981,"")</f>
        <v/>
      </c>
      <c r="X1981" s="258" t="str">
        <f t="shared" si="82"/>
        <v/>
      </c>
      <c r="Y1981" s="36" t="str">
        <f t="shared" si="83"/>
        <v/>
      </c>
      <c r="Z1981" s="340" t="str">
        <f>IF(AND(C1981&gt;0,D1981&lt;&gt;"",S1981=""),VLOOKUP(A1981&amp;IF(H1981="黑丝","黑","白")&amp;E1981,经纬!A:M,13,FALSE)*(I1981-AB1981),"")</f>
        <v/>
      </c>
      <c r="AA1981" s="340" t="str">
        <f>IF(AND(C1981&gt;0,D1981&lt;&gt;"",S1981=""),VLOOKUP(A1981&amp;IF(H1981="黑丝","黑","白")&amp;E1981,经纬!A:N,14,FALSE)*(I1981-AB1981),"")</f>
        <v/>
      </c>
    </row>
    <row r="1982" spans="13:27">
      <c r="M1982" s="24" t="str">
        <f t="array" ref="M1982">LEFT(L1982,MIN(FIND({"A","B","C"},MID(L1982,2,LEN(L1982))&amp;"ABC")))</f>
        <v/>
      </c>
      <c r="N1982" s="24" t="str">
        <f t="array" ref="N1982">SUBSTITUTE(L1982,M1982,"")</f>
        <v/>
      </c>
      <c r="X1982" s="258" t="str">
        <f t="shared" si="82"/>
        <v/>
      </c>
      <c r="Y1982" s="36" t="str">
        <f t="shared" si="83"/>
        <v/>
      </c>
      <c r="Z1982" s="340" t="str">
        <f>IF(AND(C1982&gt;0,D1982&lt;&gt;"",S1982=""),VLOOKUP(A1982&amp;IF(H1982="黑丝","黑","白")&amp;E1982,经纬!A:M,13,FALSE)*(I1982-AB1982),"")</f>
        <v/>
      </c>
      <c r="AA1982" s="340" t="str">
        <f>IF(AND(C1982&gt;0,D1982&lt;&gt;"",S1982=""),VLOOKUP(A1982&amp;IF(H1982="黑丝","黑","白")&amp;E1982,经纬!A:N,14,FALSE)*(I1982-AB1982),"")</f>
        <v/>
      </c>
    </row>
    <row r="1983" spans="13:27">
      <c r="M1983" s="24" t="str">
        <f t="array" ref="M1983">LEFT(L1983,MIN(FIND({"A","B","C"},MID(L1983,2,LEN(L1983))&amp;"ABC")))</f>
        <v/>
      </c>
      <c r="N1983" s="24" t="str">
        <f t="array" ref="N1983">SUBSTITUTE(L1983,M1983,"")</f>
        <v/>
      </c>
      <c r="X1983" s="258" t="str">
        <f t="shared" si="82"/>
        <v/>
      </c>
      <c r="Y1983" s="36" t="str">
        <f t="shared" si="83"/>
        <v/>
      </c>
      <c r="Z1983" s="340" t="str">
        <f>IF(AND(C1983&gt;0,D1983&lt;&gt;"",S1983=""),VLOOKUP(A1983&amp;IF(H1983="黑丝","黑","白")&amp;E1983,经纬!A:M,13,FALSE)*(I1983-AB1983),"")</f>
        <v/>
      </c>
      <c r="AA1983" s="340" t="str">
        <f>IF(AND(C1983&gt;0,D1983&lt;&gt;"",S1983=""),VLOOKUP(A1983&amp;IF(H1983="黑丝","黑","白")&amp;E1983,经纬!A:N,14,FALSE)*(I1983-AB1983),"")</f>
        <v/>
      </c>
    </row>
    <row r="1984" spans="13:27">
      <c r="M1984" s="24" t="str">
        <f t="array" ref="M1984">LEFT(L1984,MIN(FIND({"A","B","C"},MID(L1984,2,LEN(L1984))&amp;"ABC")))</f>
        <v/>
      </c>
      <c r="N1984" s="24" t="str">
        <f t="array" ref="N1984">SUBSTITUTE(L1984,M1984,"")</f>
        <v/>
      </c>
      <c r="X1984" s="258" t="str">
        <f t="shared" si="82"/>
        <v/>
      </c>
      <c r="Y1984" s="36" t="str">
        <f t="shared" si="83"/>
        <v/>
      </c>
      <c r="Z1984" s="340" t="str">
        <f>IF(AND(C1984&gt;0,D1984&lt;&gt;"",S1984=""),VLOOKUP(A1984&amp;IF(H1984="黑丝","黑","白")&amp;E1984,经纬!A:M,13,FALSE)*(I1984-AB1984),"")</f>
        <v/>
      </c>
      <c r="AA1984" s="340" t="str">
        <f>IF(AND(C1984&gt;0,D1984&lt;&gt;"",S1984=""),VLOOKUP(A1984&amp;IF(H1984="黑丝","黑","白")&amp;E1984,经纬!A:N,14,FALSE)*(I1984-AB1984),"")</f>
        <v/>
      </c>
    </row>
    <row r="1985" spans="13:27">
      <c r="M1985" s="24" t="str">
        <f t="array" ref="M1985">LEFT(L1985,MIN(FIND({"A","B","C"},MID(L1985,2,LEN(L1985))&amp;"ABC")))</f>
        <v/>
      </c>
      <c r="N1985" s="24" t="str">
        <f t="array" ref="N1985">SUBSTITUTE(L1985,M1985,"")</f>
        <v/>
      </c>
      <c r="X1985" s="258" t="str">
        <f t="shared" si="82"/>
        <v/>
      </c>
      <c r="Y1985" s="36" t="str">
        <f t="shared" si="83"/>
        <v/>
      </c>
      <c r="Z1985" s="340" t="str">
        <f>IF(AND(C1985&gt;0,D1985&lt;&gt;"",S1985=""),VLOOKUP(A1985&amp;IF(H1985="黑丝","黑","白")&amp;E1985,经纬!A:M,13,FALSE)*(I1985-AB1985),"")</f>
        <v/>
      </c>
      <c r="AA1985" s="340" t="str">
        <f>IF(AND(C1985&gt;0,D1985&lt;&gt;"",S1985=""),VLOOKUP(A1985&amp;IF(H1985="黑丝","黑","白")&amp;E1985,经纬!A:N,14,FALSE)*(I1985-AB1985),"")</f>
        <v/>
      </c>
    </row>
    <row r="1986" spans="13:27">
      <c r="M1986" s="24" t="str">
        <f t="array" ref="M1986">LEFT(L1986,MIN(FIND({"A","B","C"},MID(L1986,2,LEN(L1986))&amp;"ABC")))</f>
        <v/>
      </c>
      <c r="N1986" s="24" t="str">
        <f t="array" ref="N1986">SUBSTITUTE(L1986,M1986,"")</f>
        <v/>
      </c>
      <c r="X1986" s="258" t="str">
        <f t="shared" si="82"/>
        <v/>
      </c>
      <c r="Y1986" s="36" t="str">
        <f t="shared" si="83"/>
        <v/>
      </c>
      <c r="Z1986" s="340" t="str">
        <f>IF(AND(C1986&gt;0,D1986&lt;&gt;"",S1986=""),VLOOKUP(A1986&amp;IF(H1986="黑丝","黑","白")&amp;E1986,经纬!A:M,13,FALSE)*(I1986-AB1986),"")</f>
        <v/>
      </c>
      <c r="AA1986" s="340" t="str">
        <f>IF(AND(C1986&gt;0,D1986&lt;&gt;"",S1986=""),VLOOKUP(A1986&amp;IF(H1986="黑丝","黑","白")&amp;E1986,经纬!A:N,14,FALSE)*(I1986-AB1986),"")</f>
        <v/>
      </c>
    </row>
    <row r="1987" spans="13:27">
      <c r="M1987" s="24" t="str">
        <f t="array" ref="M1987">LEFT(L1987,MIN(FIND({"A","B","C"},MID(L1987,2,LEN(L1987))&amp;"ABC")))</f>
        <v/>
      </c>
      <c r="N1987" s="24" t="str">
        <f t="array" ref="N1987">SUBSTITUTE(L1987,M1987,"")</f>
        <v/>
      </c>
      <c r="X1987" s="258" t="str">
        <f t="shared" si="82"/>
        <v/>
      </c>
      <c r="Y1987" s="36" t="str">
        <f t="shared" si="83"/>
        <v/>
      </c>
      <c r="Z1987" s="340" t="str">
        <f>IF(AND(C1987&gt;0,D1987&lt;&gt;"",S1987=""),VLOOKUP(A1987&amp;IF(H1987="黑丝","黑","白")&amp;E1987,经纬!A:M,13,FALSE)*(I1987-AB1987),"")</f>
        <v/>
      </c>
      <c r="AA1987" s="340" t="str">
        <f>IF(AND(C1987&gt;0,D1987&lt;&gt;"",S1987=""),VLOOKUP(A1987&amp;IF(H1987="黑丝","黑","白")&amp;E1987,经纬!A:N,14,FALSE)*(I1987-AB1987),"")</f>
        <v/>
      </c>
    </row>
    <row r="1988" spans="13:27">
      <c r="M1988" s="24" t="str">
        <f t="array" ref="M1988">LEFT(L1988,MIN(FIND({"A","B","C"},MID(L1988,2,LEN(L1988))&amp;"ABC")))</f>
        <v/>
      </c>
      <c r="N1988" s="24" t="str">
        <f t="array" ref="N1988">SUBSTITUTE(L1988,M1988,"")</f>
        <v/>
      </c>
      <c r="X1988" s="258" t="str">
        <f t="shared" si="82"/>
        <v/>
      </c>
      <c r="Y1988" s="36" t="str">
        <f t="shared" si="83"/>
        <v/>
      </c>
      <c r="Z1988" s="340" t="str">
        <f>IF(AND(C1988&gt;0,D1988&lt;&gt;"",S1988=""),VLOOKUP(A1988&amp;IF(H1988="黑丝","黑","白")&amp;E1988,经纬!A:M,13,FALSE)*(I1988-AB1988),"")</f>
        <v/>
      </c>
      <c r="AA1988" s="340" t="str">
        <f>IF(AND(C1988&gt;0,D1988&lt;&gt;"",S1988=""),VLOOKUP(A1988&amp;IF(H1988="黑丝","黑","白")&amp;E1988,经纬!A:N,14,FALSE)*(I1988-AB1988),"")</f>
        <v/>
      </c>
    </row>
    <row r="1989" spans="13:27">
      <c r="M1989" s="24" t="str">
        <f t="array" ref="M1989">LEFT(L1989,MIN(FIND({"A","B","C"},MID(L1989,2,LEN(L1989))&amp;"ABC")))</f>
        <v/>
      </c>
      <c r="N1989" s="24" t="str">
        <f t="array" ref="N1989">SUBSTITUTE(L1989,M1989,"")</f>
        <v/>
      </c>
      <c r="X1989" s="258" t="str">
        <f t="shared" si="82"/>
        <v/>
      </c>
      <c r="Y1989" s="36" t="str">
        <f t="shared" si="83"/>
        <v/>
      </c>
      <c r="Z1989" s="340" t="str">
        <f>IF(AND(C1989&gt;0,D1989&lt;&gt;"",S1989=""),VLOOKUP(A1989&amp;IF(H1989="黑丝","黑","白")&amp;E1989,经纬!A:M,13,FALSE)*(I1989-AB1989),"")</f>
        <v/>
      </c>
      <c r="AA1989" s="340" t="str">
        <f>IF(AND(C1989&gt;0,D1989&lt;&gt;"",S1989=""),VLOOKUP(A1989&amp;IF(H1989="黑丝","黑","白")&amp;E1989,经纬!A:N,14,FALSE)*(I1989-AB1989),"")</f>
        <v/>
      </c>
    </row>
    <row r="1990" spans="13:27">
      <c r="M1990" s="24" t="str">
        <f t="array" ref="M1990">LEFT(L1990,MIN(FIND({"A","B","C"},MID(L1990,2,LEN(L1990))&amp;"ABC")))</f>
        <v/>
      </c>
      <c r="N1990" s="24" t="str">
        <f t="array" ref="N1990">SUBSTITUTE(L1990,M1990,"")</f>
        <v/>
      </c>
      <c r="X1990" s="258" t="str">
        <f t="shared" si="82"/>
        <v/>
      </c>
      <c r="Y1990" s="36" t="str">
        <f t="shared" si="83"/>
        <v/>
      </c>
      <c r="Z1990" s="340" t="str">
        <f>IF(AND(C1990&gt;0,D1990&lt;&gt;"",S1990=""),VLOOKUP(A1990&amp;IF(H1990="黑丝","黑","白")&amp;E1990,经纬!A:M,13,FALSE)*(I1990-AB1990),"")</f>
        <v/>
      </c>
      <c r="AA1990" s="340" t="str">
        <f>IF(AND(C1990&gt;0,D1990&lt;&gt;"",S1990=""),VLOOKUP(A1990&amp;IF(H1990="黑丝","黑","白")&amp;E1990,经纬!A:N,14,FALSE)*(I1990-AB1990),"")</f>
        <v/>
      </c>
    </row>
    <row r="1991" spans="13:27">
      <c r="M1991" s="24" t="str">
        <f t="array" ref="M1991">LEFT(L1991,MIN(FIND({"A","B","C"},MID(L1991,2,LEN(L1991))&amp;"ABC")))</f>
        <v/>
      </c>
      <c r="N1991" s="24" t="str">
        <f t="array" ref="N1991">SUBSTITUTE(L1991,M1991,"")</f>
        <v/>
      </c>
      <c r="X1991" s="258" t="str">
        <f t="shared" si="82"/>
        <v/>
      </c>
      <c r="Y1991" s="36" t="str">
        <f t="shared" si="83"/>
        <v/>
      </c>
      <c r="Z1991" s="340" t="str">
        <f>IF(AND(C1991&gt;0,D1991&lt;&gt;"",S1991=""),VLOOKUP(A1991&amp;IF(H1991="黑丝","黑","白")&amp;E1991,经纬!A:M,13,FALSE)*(I1991-AB1991),"")</f>
        <v/>
      </c>
      <c r="AA1991" s="340" t="str">
        <f>IF(AND(C1991&gt;0,D1991&lt;&gt;"",S1991=""),VLOOKUP(A1991&amp;IF(H1991="黑丝","黑","白")&amp;E1991,经纬!A:N,14,FALSE)*(I1991-AB1991),"")</f>
        <v/>
      </c>
    </row>
    <row r="1992" spans="13:27">
      <c r="M1992" s="24" t="str">
        <f t="array" ref="M1992">LEFT(L1992,MIN(FIND({"A","B","C"},MID(L1992,2,LEN(L1992))&amp;"ABC")))</f>
        <v/>
      </c>
      <c r="N1992" s="24" t="str">
        <f t="array" ref="N1992">SUBSTITUTE(L1992,M1992,"")</f>
        <v/>
      </c>
      <c r="X1992" s="258" t="str">
        <f t="shared" si="82"/>
        <v/>
      </c>
      <c r="Y1992" s="36" t="str">
        <f t="shared" si="83"/>
        <v/>
      </c>
      <c r="Z1992" s="340" t="str">
        <f>IF(AND(C1992&gt;0,D1992&lt;&gt;"",S1992=""),VLOOKUP(A1992&amp;IF(H1992="黑丝","黑","白")&amp;E1992,经纬!A:M,13,FALSE)*(I1992-AB1992),"")</f>
        <v/>
      </c>
      <c r="AA1992" s="340" t="str">
        <f>IF(AND(C1992&gt;0,D1992&lt;&gt;"",S1992=""),VLOOKUP(A1992&amp;IF(H1992="黑丝","黑","白")&amp;E1992,经纬!A:N,14,FALSE)*(I1992-AB1992),"")</f>
        <v/>
      </c>
    </row>
    <row r="1993" spans="13:27">
      <c r="M1993" s="24" t="str">
        <f t="array" ref="M1993">LEFT(L1993,MIN(FIND({"A","B","C"},MID(L1993,2,LEN(L1993))&amp;"ABC")))</f>
        <v/>
      </c>
      <c r="N1993" s="24" t="str">
        <f t="array" ref="N1993">SUBSTITUTE(L1993,M1993,"")</f>
        <v/>
      </c>
      <c r="X1993" s="258" t="str">
        <f t="shared" si="82"/>
        <v/>
      </c>
      <c r="Y1993" s="36" t="str">
        <f t="shared" si="83"/>
        <v/>
      </c>
      <c r="Z1993" s="340" t="str">
        <f>IF(AND(C1993&gt;0,D1993&lt;&gt;"",S1993=""),VLOOKUP(A1993&amp;IF(H1993="黑丝","黑","白")&amp;E1993,经纬!A:M,13,FALSE)*(I1993-AB1993),"")</f>
        <v/>
      </c>
      <c r="AA1993" s="340" t="str">
        <f>IF(AND(C1993&gt;0,D1993&lt;&gt;"",S1993=""),VLOOKUP(A1993&amp;IF(H1993="黑丝","黑","白")&amp;E1993,经纬!A:N,14,FALSE)*(I1993-AB1993),"")</f>
        <v/>
      </c>
    </row>
    <row r="1994" spans="13:27">
      <c r="M1994" s="24" t="str">
        <f t="array" ref="M1994">LEFT(L1994,MIN(FIND({"A","B","C"},MID(L1994,2,LEN(L1994))&amp;"ABC")))</f>
        <v/>
      </c>
      <c r="N1994" s="24" t="str">
        <f t="array" ref="N1994">SUBSTITUTE(L1994,M1994,"")</f>
        <v/>
      </c>
      <c r="X1994" s="258" t="str">
        <f t="shared" si="82"/>
        <v/>
      </c>
      <c r="Y1994" s="36" t="str">
        <f t="shared" si="83"/>
        <v/>
      </c>
      <c r="Z1994" s="340" t="str">
        <f>IF(AND(C1994&gt;0,D1994&lt;&gt;"",S1994=""),VLOOKUP(A1994&amp;IF(H1994="黑丝","黑","白")&amp;E1994,经纬!A:M,13,FALSE)*(I1994-AB1994),"")</f>
        <v/>
      </c>
      <c r="AA1994" s="340" t="str">
        <f>IF(AND(C1994&gt;0,D1994&lt;&gt;"",S1994=""),VLOOKUP(A1994&amp;IF(H1994="黑丝","黑","白")&amp;E1994,经纬!A:N,14,FALSE)*(I1994-AB1994),"")</f>
        <v/>
      </c>
    </row>
    <row r="1995" spans="13:27">
      <c r="M1995" s="24" t="str">
        <f t="array" ref="M1995">LEFT(L1995,MIN(FIND({"A","B","C"},MID(L1995,2,LEN(L1995))&amp;"ABC")))</f>
        <v/>
      </c>
      <c r="N1995" s="24" t="str">
        <f t="array" ref="N1995">SUBSTITUTE(L1995,M1995,"")</f>
        <v/>
      </c>
      <c r="X1995" s="258" t="str">
        <f t="shared" si="82"/>
        <v/>
      </c>
      <c r="Y1995" s="36" t="str">
        <f t="shared" si="83"/>
        <v/>
      </c>
      <c r="Z1995" s="340" t="str">
        <f>IF(AND(C1995&gt;0,D1995&lt;&gt;"",S1995=""),VLOOKUP(A1995&amp;IF(H1995="黑丝","黑","白")&amp;E1995,经纬!A:M,13,FALSE)*(I1995-AB1995),"")</f>
        <v/>
      </c>
      <c r="AA1995" s="340" t="str">
        <f>IF(AND(C1995&gt;0,D1995&lt;&gt;"",S1995=""),VLOOKUP(A1995&amp;IF(H1995="黑丝","黑","白")&amp;E1995,经纬!A:N,14,FALSE)*(I1995-AB1995),"")</f>
        <v/>
      </c>
    </row>
    <row r="1996" spans="13:27">
      <c r="M1996" s="24" t="str">
        <f t="array" ref="M1996">LEFT(L1996,MIN(FIND({"A","B","C"},MID(L1996,2,LEN(L1996))&amp;"ABC")))</f>
        <v/>
      </c>
      <c r="N1996" s="24" t="str">
        <f t="array" ref="N1996">SUBSTITUTE(L1996,M1996,"")</f>
        <v/>
      </c>
      <c r="X1996" s="258" t="str">
        <f t="shared" si="82"/>
        <v/>
      </c>
      <c r="Y1996" s="36" t="str">
        <f t="shared" si="83"/>
        <v/>
      </c>
      <c r="Z1996" s="340" t="str">
        <f>IF(AND(C1996&gt;0,D1996&lt;&gt;"",S1996=""),VLOOKUP(A1996&amp;IF(H1996="黑丝","黑","白")&amp;E1996,经纬!A:M,13,FALSE)*(I1996-AB1996),"")</f>
        <v/>
      </c>
      <c r="AA1996" s="340" t="str">
        <f>IF(AND(C1996&gt;0,D1996&lt;&gt;"",S1996=""),VLOOKUP(A1996&amp;IF(H1996="黑丝","黑","白")&amp;E1996,经纬!A:N,14,FALSE)*(I1996-AB1996),"")</f>
        <v/>
      </c>
    </row>
    <row r="1997" spans="13:27">
      <c r="M1997" s="24" t="str">
        <f t="array" ref="M1997">LEFT(L1997,MIN(FIND({"A","B","C"},MID(L1997,2,LEN(L1997))&amp;"ABC")))</f>
        <v/>
      </c>
      <c r="N1997" s="24" t="str">
        <f t="array" ref="N1997">SUBSTITUTE(L1997,M1997,"")</f>
        <v/>
      </c>
      <c r="X1997" s="258" t="str">
        <f t="shared" si="82"/>
        <v/>
      </c>
      <c r="Y1997" s="36" t="str">
        <f t="shared" si="83"/>
        <v/>
      </c>
      <c r="Z1997" s="340" t="str">
        <f>IF(AND(C1997&gt;0,D1997&lt;&gt;"",S1997=""),VLOOKUP(A1997&amp;IF(H1997="黑丝","黑","白")&amp;E1997,经纬!A:M,13,FALSE)*(I1997-AB1997),"")</f>
        <v/>
      </c>
      <c r="AA1997" s="340" t="str">
        <f>IF(AND(C1997&gt;0,D1997&lt;&gt;"",S1997=""),VLOOKUP(A1997&amp;IF(H1997="黑丝","黑","白")&amp;E1997,经纬!A:N,14,FALSE)*(I1997-AB1997),"")</f>
        <v/>
      </c>
    </row>
    <row r="1998" spans="13:27">
      <c r="M1998" s="24" t="str">
        <f t="array" ref="M1998">LEFT(L1998,MIN(FIND({"A","B","C"},MID(L1998,2,LEN(L1998))&amp;"ABC")))</f>
        <v/>
      </c>
      <c r="N1998" s="24" t="str">
        <f t="array" ref="N1998">SUBSTITUTE(L1998,M1998,"")</f>
        <v/>
      </c>
      <c r="X1998" s="258" t="str">
        <f t="shared" si="82"/>
        <v/>
      </c>
      <c r="Y1998" s="36" t="str">
        <f t="shared" si="83"/>
        <v/>
      </c>
      <c r="Z1998" s="340" t="str">
        <f>IF(AND(C1998&gt;0,D1998&lt;&gt;"",S1998=""),VLOOKUP(A1998&amp;IF(H1998="黑丝","黑","白")&amp;E1998,经纬!A:M,13,FALSE)*(I1998-AB1998),"")</f>
        <v/>
      </c>
      <c r="AA1998" s="340" t="str">
        <f>IF(AND(C1998&gt;0,D1998&lt;&gt;"",S1998=""),VLOOKUP(A1998&amp;IF(H1998="黑丝","黑","白")&amp;E1998,经纬!A:N,14,FALSE)*(I1998-AB1998),"")</f>
        <v/>
      </c>
    </row>
    <row r="1999" spans="13:27">
      <c r="M1999" s="24" t="str">
        <f t="array" ref="M1999">LEFT(L1999,MIN(FIND({"A","B","C"},MID(L1999,2,LEN(L1999))&amp;"ABC")))</f>
        <v/>
      </c>
      <c r="N1999" s="24" t="str">
        <f t="array" ref="N1999">SUBSTITUTE(L1999,M1999,"")</f>
        <v/>
      </c>
      <c r="X1999" s="258" t="str">
        <f t="shared" si="82"/>
        <v/>
      </c>
      <c r="Y1999" s="36" t="str">
        <f t="shared" si="83"/>
        <v/>
      </c>
      <c r="Z1999" s="340" t="str">
        <f>IF(AND(C1999&gt;0,D1999&lt;&gt;"",S1999=""),VLOOKUP(A1999&amp;IF(H1999="黑丝","黑","白")&amp;E1999,经纬!A:M,13,FALSE)*(I1999-AB1999),"")</f>
        <v/>
      </c>
      <c r="AA1999" s="340" t="str">
        <f>IF(AND(C1999&gt;0,D1999&lt;&gt;"",S1999=""),VLOOKUP(A1999&amp;IF(H1999="黑丝","黑","白")&amp;E1999,经纬!A:N,14,FALSE)*(I1999-AB1999),"")</f>
        <v/>
      </c>
    </row>
    <row r="2000" spans="13:27">
      <c r="M2000" s="24" t="str">
        <f t="array" ref="M2000">LEFT(L2000,MIN(FIND({"A","B","C"},MID(L2000,2,LEN(L2000))&amp;"ABC")))</f>
        <v/>
      </c>
      <c r="N2000" s="24" t="str">
        <f t="array" ref="N2000">SUBSTITUTE(L2000,M2000,"")</f>
        <v/>
      </c>
      <c r="X2000" s="258" t="str">
        <f t="shared" si="82"/>
        <v/>
      </c>
      <c r="Y2000" s="36" t="str">
        <f t="shared" si="83"/>
        <v/>
      </c>
      <c r="Z2000" s="340" t="str">
        <f>IF(AND(C2000&gt;0,D2000&lt;&gt;"",S2000=""),VLOOKUP(A2000&amp;IF(H2000="黑丝","黑","白")&amp;E2000,经纬!A:M,13,FALSE)*(I2000-AB2000),"")</f>
        <v/>
      </c>
      <c r="AA2000" s="340" t="str">
        <f>IF(AND(C2000&gt;0,D2000&lt;&gt;"",S2000=""),VLOOKUP(A2000&amp;IF(H2000="黑丝","黑","白")&amp;E2000,经纬!A:N,14,FALSE)*(I2000-AB2000),"")</f>
        <v/>
      </c>
    </row>
    <row r="2001" spans="13:27">
      <c r="M2001" s="24" t="str">
        <f t="array" ref="M2001">LEFT(L2001,MIN(FIND({"A","B","C"},MID(L2001,2,LEN(L2001))&amp;"ABC")))</f>
        <v/>
      </c>
      <c r="N2001" s="24" t="str">
        <f t="array" ref="N2001">SUBSTITUTE(L2001,M2001,"")</f>
        <v/>
      </c>
      <c r="X2001" s="258" t="str">
        <f t="shared" si="82"/>
        <v/>
      </c>
      <c r="Y2001" s="36" t="str">
        <f t="shared" si="83"/>
        <v/>
      </c>
      <c r="Z2001" s="340" t="str">
        <f>IF(AND(C2001&gt;0,D2001&lt;&gt;"",S2001=""),VLOOKUP(A2001&amp;IF(H2001="黑丝","黑","白")&amp;E2001,经纬!A:M,13,FALSE)*(I2001-AB2001),"")</f>
        <v/>
      </c>
      <c r="AA2001" s="340" t="str">
        <f>IF(AND(C2001&gt;0,D2001&lt;&gt;"",S2001=""),VLOOKUP(A2001&amp;IF(H2001="黑丝","黑","白")&amp;E2001,经纬!A:N,14,FALSE)*(I2001-AB2001),"")</f>
        <v/>
      </c>
    </row>
    <row r="2002" spans="13:27">
      <c r="M2002" s="24" t="str">
        <f t="array" ref="M2002">LEFT(L2002,MIN(FIND({"A","B","C"},MID(L2002,2,LEN(L2002))&amp;"ABC")))</f>
        <v/>
      </c>
      <c r="N2002" s="24" t="str">
        <f t="array" ref="N2002">SUBSTITUTE(L2002,M2002,"")</f>
        <v/>
      </c>
      <c r="X2002" s="258" t="str">
        <f t="shared" si="82"/>
        <v/>
      </c>
      <c r="Y2002" s="36" t="str">
        <f t="shared" si="83"/>
        <v/>
      </c>
      <c r="Z2002" s="340" t="str">
        <f>IF(AND(C2002&gt;0,D2002&lt;&gt;"",S2002=""),VLOOKUP(A2002&amp;IF(H2002="黑丝","黑","白")&amp;E2002,经纬!A:M,13,FALSE)*(I2002-AB2002),"")</f>
        <v/>
      </c>
      <c r="AA2002" s="340" t="str">
        <f>IF(AND(C2002&gt;0,D2002&lt;&gt;"",S2002=""),VLOOKUP(A2002&amp;IF(H2002="黑丝","黑","白")&amp;E2002,经纬!A:N,14,FALSE)*(I2002-AB2002),"")</f>
        <v/>
      </c>
    </row>
    <row r="2003" spans="13:27">
      <c r="M2003" s="24" t="str">
        <f t="array" ref="M2003">LEFT(L2003,MIN(FIND({"A","B","C"},MID(L2003,2,LEN(L2003))&amp;"ABC")))</f>
        <v/>
      </c>
      <c r="N2003" s="24" t="str">
        <f t="array" ref="N2003">SUBSTITUTE(L2003,M2003,"")</f>
        <v/>
      </c>
      <c r="X2003" s="258" t="str">
        <f t="shared" si="82"/>
        <v/>
      </c>
      <c r="Y2003" s="36" t="str">
        <f t="shared" si="83"/>
        <v/>
      </c>
      <c r="Z2003" s="340" t="str">
        <f>IF(AND(C2003&gt;0,D2003&lt;&gt;"",S2003=""),VLOOKUP(A2003&amp;IF(H2003="黑丝","黑","白")&amp;E2003,经纬!A:M,13,FALSE)*(I2003-AB2003),"")</f>
        <v/>
      </c>
      <c r="AA2003" s="340" t="str">
        <f>IF(AND(C2003&gt;0,D2003&lt;&gt;"",S2003=""),VLOOKUP(A2003&amp;IF(H2003="黑丝","黑","白")&amp;E2003,经纬!A:N,14,FALSE)*(I2003-AB2003),"")</f>
        <v/>
      </c>
    </row>
    <row r="2004" spans="13:27">
      <c r="M2004" s="24" t="str">
        <f t="array" ref="M2004">LEFT(L2004,MIN(FIND({"A","B","C"},MID(L2004,2,LEN(L2004))&amp;"ABC")))</f>
        <v/>
      </c>
      <c r="N2004" s="24" t="str">
        <f t="array" ref="N2004">SUBSTITUTE(L2004,M2004,"")</f>
        <v/>
      </c>
      <c r="X2004" s="258" t="str">
        <f t="shared" si="82"/>
        <v/>
      </c>
      <c r="Y2004" s="36" t="str">
        <f t="shared" si="83"/>
        <v/>
      </c>
      <c r="Z2004" s="340" t="str">
        <f>IF(AND(C2004&gt;0,D2004&lt;&gt;"",S2004=""),VLOOKUP(A2004&amp;IF(H2004="黑丝","黑","白")&amp;E2004,经纬!A:M,13,FALSE)*(I2004-AB2004),"")</f>
        <v/>
      </c>
      <c r="AA2004" s="340" t="str">
        <f>IF(AND(C2004&gt;0,D2004&lt;&gt;"",S2004=""),VLOOKUP(A2004&amp;IF(H2004="黑丝","黑","白")&amp;E2004,经纬!A:N,14,FALSE)*(I2004-AB2004),"")</f>
        <v/>
      </c>
    </row>
    <row r="2005" spans="13:27">
      <c r="M2005" s="24" t="str">
        <f t="array" ref="M2005">LEFT(L2005,MIN(FIND({"A","B","C"},MID(L2005,2,LEN(L2005))&amp;"ABC")))</f>
        <v/>
      </c>
      <c r="N2005" s="24" t="str">
        <f t="array" ref="N2005">SUBSTITUTE(L2005,M2005,"")</f>
        <v/>
      </c>
      <c r="X2005" s="258" t="str">
        <f t="shared" si="82"/>
        <v/>
      </c>
      <c r="Y2005" s="36" t="str">
        <f t="shared" si="83"/>
        <v/>
      </c>
      <c r="Z2005" s="340" t="str">
        <f>IF(AND(C2005&gt;0,D2005&lt;&gt;"",S2005=""),VLOOKUP(A2005&amp;IF(H2005="黑丝","黑","白")&amp;E2005,经纬!A:M,13,FALSE)*(I2005-AB2005),"")</f>
        <v/>
      </c>
      <c r="AA2005" s="340" t="str">
        <f>IF(AND(C2005&gt;0,D2005&lt;&gt;"",S2005=""),VLOOKUP(A2005&amp;IF(H2005="黑丝","黑","白")&amp;E2005,经纬!A:N,14,FALSE)*(I2005-AB2005),"")</f>
        <v/>
      </c>
    </row>
    <row r="2006" spans="13:27">
      <c r="M2006" s="24" t="str">
        <f t="array" ref="M2006">LEFT(L2006,MIN(FIND({"A","B","C"},MID(L2006,2,LEN(L2006))&amp;"ABC")))</f>
        <v/>
      </c>
      <c r="N2006" s="24" t="str">
        <f t="array" ref="N2006">SUBSTITUTE(L2006,M2006,"")</f>
        <v/>
      </c>
      <c r="X2006" s="258" t="str">
        <f t="shared" si="82"/>
        <v/>
      </c>
      <c r="Y2006" s="36" t="str">
        <f t="shared" si="83"/>
        <v/>
      </c>
      <c r="Z2006" s="340" t="str">
        <f>IF(AND(C2006&gt;0,D2006&lt;&gt;"",S2006=""),VLOOKUP(A2006&amp;IF(H2006="黑丝","黑","白")&amp;E2006,经纬!A:M,13,FALSE)*(I2006-AB2006),"")</f>
        <v/>
      </c>
      <c r="AA2006" s="340" t="str">
        <f>IF(AND(C2006&gt;0,D2006&lt;&gt;"",S2006=""),VLOOKUP(A2006&amp;IF(H2006="黑丝","黑","白")&amp;E2006,经纬!A:N,14,FALSE)*(I2006-AB2006),"")</f>
        <v/>
      </c>
    </row>
    <row r="2007" spans="13:27">
      <c r="M2007" s="24" t="str">
        <f t="array" ref="M2007">LEFT(L2007,MIN(FIND({"A","B","C"},MID(L2007,2,LEN(L2007))&amp;"ABC")))</f>
        <v/>
      </c>
      <c r="N2007" s="24" t="str">
        <f t="array" ref="N2007">SUBSTITUTE(L2007,M2007,"")</f>
        <v/>
      </c>
      <c r="X2007" s="258" t="str">
        <f t="shared" si="82"/>
        <v/>
      </c>
      <c r="Y2007" s="36" t="str">
        <f t="shared" si="83"/>
        <v/>
      </c>
      <c r="Z2007" s="340" t="str">
        <f>IF(AND(C2007&gt;0,D2007&lt;&gt;"",S2007=""),VLOOKUP(A2007&amp;IF(H2007="黑丝","黑","白")&amp;E2007,经纬!A:M,13,FALSE)*(I2007-AB2007),"")</f>
        <v/>
      </c>
      <c r="AA2007" s="340" t="str">
        <f>IF(AND(C2007&gt;0,D2007&lt;&gt;"",S2007=""),VLOOKUP(A2007&amp;IF(H2007="黑丝","黑","白")&amp;E2007,经纬!A:N,14,FALSE)*(I2007-AB2007),"")</f>
        <v/>
      </c>
    </row>
    <row r="2008" spans="13:27">
      <c r="M2008" s="24" t="str">
        <f t="array" ref="M2008">LEFT(L2008,MIN(FIND({"A","B","C"},MID(L2008,2,LEN(L2008))&amp;"ABC")))</f>
        <v/>
      </c>
      <c r="N2008" s="24" t="str">
        <f t="array" ref="N2008">SUBSTITUTE(L2008,M2008,"")</f>
        <v/>
      </c>
      <c r="X2008" s="258" t="str">
        <f t="shared" si="82"/>
        <v/>
      </c>
      <c r="Y2008" s="36" t="str">
        <f t="shared" si="83"/>
        <v/>
      </c>
      <c r="Z2008" s="340" t="str">
        <f>IF(AND(C2008&gt;0,D2008&lt;&gt;"",S2008=""),VLOOKUP(A2008&amp;IF(H2008="黑丝","黑","白")&amp;E2008,经纬!A:M,13,FALSE)*(I2008-AB2008),"")</f>
        <v/>
      </c>
      <c r="AA2008" s="340" t="str">
        <f>IF(AND(C2008&gt;0,D2008&lt;&gt;"",S2008=""),VLOOKUP(A2008&amp;IF(H2008="黑丝","黑","白")&amp;E2008,经纬!A:N,14,FALSE)*(I2008-AB2008),"")</f>
        <v/>
      </c>
    </row>
    <row r="2009" spans="13:27">
      <c r="M2009" s="24" t="str">
        <f t="array" ref="M2009">LEFT(L2009,MIN(FIND({"A","B","C"},MID(L2009,2,LEN(L2009))&amp;"ABC")))</f>
        <v/>
      </c>
      <c r="N2009" s="24" t="str">
        <f t="array" ref="N2009">SUBSTITUTE(L2009,M2009,"")</f>
        <v/>
      </c>
      <c r="X2009" s="258" t="str">
        <f t="shared" si="82"/>
        <v/>
      </c>
      <c r="Y2009" s="36" t="str">
        <f t="shared" si="83"/>
        <v/>
      </c>
      <c r="Z2009" s="340" t="str">
        <f>IF(AND(C2009&gt;0,D2009&lt;&gt;"",S2009=""),VLOOKUP(A2009&amp;IF(H2009="黑丝","黑","白")&amp;E2009,经纬!A:M,13,FALSE)*(I2009-AB2009),"")</f>
        <v/>
      </c>
      <c r="AA2009" s="340" t="str">
        <f>IF(AND(C2009&gt;0,D2009&lt;&gt;"",S2009=""),VLOOKUP(A2009&amp;IF(H2009="黑丝","黑","白")&amp;E2009,经纬!A:N,14,FALSE)*(I2009-AB2009),"")</f>
        <v/>
      </c>
    </row>
    <row r="2010" spans="13:27">
      <c r="M2010" s="24" t="str">
        <f t="array" ref="M2010">LEFT(L2010,MIN(FIND({"A","B","C"},MID(L2010,2,LEN(L2010))&amp;"ABC")))</f>
        <v/>
      </c>
      <c r="N2010" s="24" t="str">
        <f t="array" ref="N2010">SUBSTITUTE(L2010,M2010,"")</f>
        <v/>
      </c>
      <c r="X2010" s="258" t="str">
        <f t="shared" si="82"/>
        <v/>
      </c>
      <c r="Y2010" s="36" t="str">
        <f t="shared" si="83"/>
        <v/>
      </c>
      <c r="Z2010" s="340" t="str">
        <f>IF(AND(C2010&gt;0,D2010&lt;&gt;"",S2010=""),VLOOKUP(A2010&amp;IF(H2010="黑丝","黑","白")&amp;E2010,经纬!A:M,13,FALSE)*(I2010-AB2010),"")</f>
        <v/>
      </c>
      <c r="AA2010" s="340" t="str">
        <f>IF(AND(C2010&gt;0,D2010&lt;&gt;"",S2010=""),VLOOKUP(A2010&amp;IF(H2010="黑丝","黑","白")&amp;E2010,经纬!A:N,14,FALSE)*(I2010-AB2010),"")</f>
        <v/>
      </c>
    </row>
    <row r="2011" spans="13:27">
      <c r="M2011" s="24" t="str">
        <f t="array" ref="M2011">LEFT(L2011,MIN(FIND({"A","B","C"},MID(L2011,2,LEN(L2011))&amp;"ABC")))</f>
        <v/>
      </c>
      <c r="N2011" s="24" t="str">
        <f t="array" ref="N2011">SUBSTITUTE(L2011,M2011,"")</f>
        <v/>
      </c>
      <c r="X2011" s="258" t="str">
        <f t="shared" si="82"/>
        <v/>
      </c>
      <c r="Y2011" s="36" t="str">
        <f t="shared" si="83"/>
        <v/>
      </c>
      <c r="Z2011" s="340" t="str">
        <f>IF(AND(C2011&gt;0,D2011&lt;&gt;"",S2011=""),VLOOKUP(A2011&amp;IF(H2011="黑丝","黑","白")&amp;E2011,经纬!A:M,13,FALSE)*(I2011-AB2011),"")</f>
        <v/>
      </c>
      <c r="AA2011" s="340" t="str">
        <f>IF(AND(C2011&gt;0,D2011&lt;&gt;"",S2011=""),VLOOKUP(A2011&amp;IF(H2011="黑丝","黑","白")&amp;E2011,经纬!A:N,14,FALSE)*(I2011-AB2011),"")</f>
        <v/>
      </c>
    </row>
    <row r="2012" spans="13:27">
      <c r="M2012" s="24" t="str">
        <f t="array" ref="M2012">LEFT(L2012,MIN(FIND({"A","B","C"},MID(L2012,2,LEN(L2012))&amp;"ABC")))</f>
        <v/>
      </c>
      <c r="N2012" s="24" t="str">
        <f t="array" ref="N2012">SUBSTITUTE(L2012,M2012,"")</f>
        <v/>
      </c>
      <c r="X2012" s="258" t="str">
        <f t="shared" ref="X2012:X2075" si="84">IF(B2012="","",IF(S2012&lt;&gt;"","",IF(AND(Z2012&lt;&gt;"",AA2012&lt;&gt;""),SUM(Z2012:AA2012),IF(AB2012&lt;&gt;"",(I2012/((1/((G2012+2)/100*K2012/1000))*0.9144)/IF(H2012="黑丝",22,20)-AB2012)*(IF(H2012="黑丝",22,20)),I2012/((1/((G2012+2)/100*K2012/1000))*0.9144)))))</f>
        <v/>
      </c>
      <c r="Y2012" s="36" t="str">
        <f t="shared" si="83"/>
        <v/>
      </c>
      <c r="Z2012" s="340" t="str">
        <f>IF(AND(C2012&gt;0,D2012&lt;&gt;"",S2012=""),VLOOKUP(A2012&amp;IF(H2012="黑丝","黑","白")&amp;E2012,经纬!A:M,13,FALSE)*(I2012-AB2012),"")</f>
        <v/>
      </c>
      <c r="AA2012" s="340" t="str">
        <f>IF(AND(C2012&gt;0,D2012&lt;&gt;"",S2012=""),VLOOKUP(A2012&amp;IF(H2012="黑丝","黑","白")&amp;E2012,经纬!A:N,14,FALSE)*(I2012-AB2012),"")</f>
        <v/>
      </c>
    </row>
    <row r="2013" spans="13:27">
      <c r="M2013" s="24" t="str">
        <f t="array" ref="M2013">LEFT(L2013,MIN(FIND({"A","B","C"},MID(L2013,2,LEN(L2013))&amp;"ABC")))</f>
        <v/>
      </c>
      <c r="N2013" s="24" t="str">
        <f t="array" ref="N2013">SUBSTITUTE(L2013,M2013,"")</f>
        <v/>
      </c>
      <c r="X2013" s="258" t="str">
        <f t="shared" si="84"/>
        <v/>
      </c>
      <c r="Y2013" s="36" t="str">
        <f t="shared" si="83"/>
        <v/>
      </c>
      <c r="Z2013" s="340" t="str">
        <f>IF(AND(C2013&gt;0,D2013&lt;&gt;"",S2013=""),VLOOKUP(A2013&amp;IF(H2013="黑丝","黑","白")&amp;E2013,经纬!A:M,13,FALSE)*(I2013-AB2013),"")</f>
        <v/>
      </c>
      <c r="AA2013" s="340" t="str">
        <f>IF(AND(C2013&gt;0,D2013&lt;&gt;"",S2013=""),VLOOKUP(A2013&amp;IF(H2013="黑丝","黑","白")&amp;E2013,经纬!A:N,14,FALSE)*(I2013-AB2013),"")</f>
        <v/>
      </c>
    </row>
    <row r="2014" spans="13:27">
      <c r="M2014" s="24" t="str">
        <f t="array" ref="M2014">LEFT(L2014,MIN(FIND({"A","B","C"},MID(L2014,2,LEN(L2014))&amp;"ABC")))</f>
        <v/>
      </c>
      <c r="N2014" s="24" t="str">
        <f t="array" ref="N2014">SUBSTITUTE(L2014,M2014,"")</f>
        <v/>
      </c>
      <c r="X2014" s="258" t="str">
        <f t="shared" si="84"/>
        <v/>
      </c>
      <c r="Y2014" s="36" t="str">
        <f t="shared" si="83"/>
        <v/>
      </c>
      <c r="Z2014" s="340" t="str">
        <f>IF(AND(C2014&gt;0,D2014&lt;&gt;"",S2014=""),VLOOKUP(A2014&amp;IF(H2014="黑丝","黑","白")&amp;E2014,经纬!A:M,13,FALSE)*(I2014-AB2014),"")</f>
        <v/>
      </c>
      <c r="AA2014" s="340" t="str">
        <f>IF(AND(C2014&gt;0,D2014&lt;&gt;"",S2014=""),VLOOKUP(A2014&amp;IF(H2014="黑丝","黑","白")&amp;E2014,经纬!A:N,14,FALSE)*(I2014-AB2014),"")</f>
        <v/>
      </c>
    </row>
    <row r="2015" spans="13:27">
      <c r="M2015" s="24" t="str">
        <f t="array" ref="M2015">LEFT(L2015,MIN(FIND({"A","B","C"},MID(L2015,2,LEN(L2015))&amp;"ABC")))</f>
        <v/>
      </c>
      <c r="N2015" s="24" t="str">
        <f t="array" ref="N2015">SUBSTITUTE(L2015,M2015,"")</f>
        <v/>
      </c>
      <c r="X2015" s="258" t="str">
        <f t="shared" si="84"/>
        <v/>
      </c>
      <c r="Y2015" s="36" t="str">
        <f t="shared" si="83"/>
        <v/>
      </c>
      <c r="Z2015" s="340" t="str">
        <f>IF(AND(C2015&gt;0,D2015&lt;&gt;"",S2015=""),VLOOKUP(A2015&amp;IF(H2015="黑丝","黑","白")&amp;E2015,经纬!A:M,13,FALSE)*(I2015-AB2015),"")</f>
        <v/>
      </c>
      <c r="AA2015" s="340" t="str">
        <f>IF(AND(C2015&gt;0,D2015&lt;&gt;"",S2015=""),VLOOKUP(A2015&amp;IF(H2015="黑丝","黑","白")&amp;E2015,经纬!A:N,14,FALSE)*(I2015-AB2015),"")</f>
        <v/>
      </c>
    </row>
    <row r="2016" spans="13:27">
      <c r="M2016" s="24" t="str">
        <f t="array" ref="M2016">LEFT(L2016,MIN(FIND({"A","B","C"},MID(L2016,2,LEN(L2016))&amp;"ABC")))</f>
        <v/>
      </c>
      <c r="N2016" s="24" t="str">
        <f t="array" ref="N2016">SUBSTITUTE(L2016,M2016,"")</f>
        <v/>
      </c>
      <c r="X2016" s="258" t="str">
        <f t="shared" si="84"/>
        <v/>
      </c>
      <c r="Y2016" s="36" t="str">
        <f t="shared" si="83"/>
        <v/>
      </c>
      <c r="Z2016" s="340" t="str">
        <f>IF(AND(C2016&gt;0,D2016&lt;&gt;"",S2016=""),VLOOKUP(A2016&amp;IF(H2016="黑丝","黑","白")&amp;E2016,经纬!A:M,13,FALSE)*(I2016-AB2016),"")</f>
        <v/>
      </c>
      <c r="AA2016" s="340" t="str">
        <f>IF(AND(C2016&gt;0,D2016&lt;&gt;"",S2016=""),VLOOKUP(A2016&amp;IF(H2016="黑丝","黑","白")&amp;E2016,经纬!A:N,14,FALSE)*(I2016-AB2016),"")</f>
        <v/>
      </c>
    </row>
    <row r="2017" spans="13:27">
      <c r="M2017" s="24" t="str">
        <f t="array" ref="M2017">LEFT(L2017,MIN(FIND({"A","B","C"},MID(L2017,2,LEN(L2017))&amp;"ABC")))</f>
        <v/>
      </c>
      <c r="N2017" s="24" t="str">
        <f t="array" ref="N2017">SUBSTITUTE(L2017,M2017,"")</f>
        <v/>
      </c>
      <c r="X2017" s="258" t="str">
        <f t="shared" si="84"/>
        <v/>
      </c>
      <c r="Y2017" s="36" t="str">
        <f t="shared" si="83"/>
        <v/>
      </c>
      <c r="Z2017" s="340" t="str">
        <f>IF(AND(C2017&gt;0,D2017&lt;&gt;"",S2017=""),VLOOKUP(A2017&amp;IF(H2017="黑丝","黑","白")&amp;E2017,经纬!A:M,13,FALSE)*(I2017-AB2017),"")</f>
        <v/>
      </c>
      <c r="AA2017" s="340" t="str">
        <f>IF(AND(C2017&gt;0,D2017&lt;&gt;"",S2017=""),VLOOKUP(A2017&amp;IF(H2017="黑丝","黑","白")&amp;E2017,经纬!A:N,14,FALSE)*(I2017-AB2017),"")</f>
        <v/>
      </c>
    </row>
    <row r="2018" spans="13:27">
      <c r="M2018" s="24" t="str">
        <f t="array" ref="M2018">LEFT(L2018,MIN(FIND({"A","B","C"},MID(L2018,2,LEN(L2018))&amp;"ABC")))</f>
        <v/>
      </c>
      <c r="N2018" s="24" t="str">
        <f t="array" ref="N2018">SUBSTITUTE(L2018,M2018,"")</f>
        <v/>
      </c>
      <c r="X2018" s="258" t="str">
        <f t="shared" si="84"/>
        <v/>
      </c>
      <c r="Y2018" s="36" t="str">
        <f t="shared" si="83"/>
        <v/>
      </c>
      <c r="Z2018" s="340" t="str">
        <f>IF(AND(C2018&gt;0,D2018&lt;&gt;"",S2018=""),VLOOKUP(A2018&amp;IF(H2018="黑丝","黑","白")&amp;E2018,经纬!A:M,13,FALSE)*(I2018-AB2018),"")</f>
        <v/>
      </c>
      <c r="AA2018" s="340" t="str">
        <f>IF(AND(C2018&gt;0,D2018&lt;&gt;"",S2018=""),VLOOKUP(A2018&amp;IF(H2018="黑丝","黑","白")&amp;E2018,经纬!A:N,14,FALSE)*(I2018-AB2018),"")</f>
        <v/>
      </c>
    </row>
    <row r="2019" spans="13:27">
      <c r="M2019" s="24" t="str">
        <f t="array" ref="M2019">LEFT(L2019,MIN(FIND({"A","B","C"},MID(L2019,2,LEN(L2019))&amp;"ABC")))</f>
        <v/>
      </c>
      <c r="N2019" s="24" t="str">
        <f t="array" ref="N2019">SUBSTITUTE(L2019,M2019,"")</f>
        <v/>
      </c>
      <c r="X2019" s="258" t="str">
        <f t="shared" si="84"/>
        <v/>
      </c>
      <c r="Y2019" s="36" t="str">
        <f t="shared" si="83"/>
        <v/>
      </c>
      <c r="Z2019" s="340" t="str">
        <f>IF(AND(C2019&gt;0,D2019&lt;&gt;"",S2019=""),VLOOKUP(A2019&amp;IF(H2019="黑丝","黑","白")&amp;E2019,经纬!A:M,13,FALSE)*(I2019-AB2019),"")</f>
        <v/>
      </c>
      <c r="AA2019" s="340" t="str">
        <f>IF(AND(C2019&gt;0,D2019&lt;&gt;"",S2019=""),VLOOKUP(A2019&amp;IF(H2019="黑丝","黑","白")&amp;E2019,经纬!A:N,14,FALSE)*(I2019-AB2019),"")</f>
        <v/>
      </c>
    </row>
    <row r="2020" spans="13:27">
      <c r="M2020" s="24" t="str">
        <f t="array" ref="M2020">LEFT(L2020,MIN(FIND({"A","B","C"},MID(L2020,2,LEN(L2020))&amp;"ABC")))</f>
        <v/>
      </c>
      <c r="N2020" s="24" t="str">
        <f t="array" ref="N2020">SUBSTITUTE(L2020,M2020,"")</f>
        <v/>
      </c>
      <c r="X2020" s="258" t="str">
        <f t="shared" si="84"/>
        <v/>
      </c>
      <c r="Y2020" s="36" t="str">
        <f t="shared" si="83"/>
        <v/>
      </c>
      <c r="Z2020" s="340" t="str">
        <f>IF(AND(C2020&gt;0,D2020&lt;&gt;"",S2020=""),VLOOKUP(A2020&amp;IF(H2020="黑丝","黑","白")&amp;E2020,经纬!A:M,13,FALSE)*(I2020-AB2020),"")</f>
        <v/>
      </c>
      <c r="AA2020" s="340" t="str">
        <f>IF(AND(C2020&gt;0,D2020&lt;&gt;"",S2020=""),VLOOKUP(A2020&amp;IF(H2020="黑丝","黑","白")&amp;E2020,经纬!A:N,14,FALSE)*(I2020-AB2020),"")</f>
        <v/>
      </c>
    </row>
    <row r="2021" spans="13:27">
      <c r="M2021" s="24" t="str">
        <f t="array" ref="M2021">LEFT(L2021,MIN(FIND({"A","B","C"},MID(L2021,2,LEN(L2021))&amp;"ABC")))</f>
        <v/>
      </c>
      <c r="N2021" s="24" t="str">
        <f t="array" ref="N2021">SUBSTITUTE(L2021,M2021,"")</f>
        <v/>
      </c>
      <c r="X2021" s="258" t="str">
        <f t="shared" si="84"/>
        <v/>
      </c>
      <c r="Y2021" s="36" t="str">
        <f t="shared" si="83"/>
        <v/>
      </c>
      <c r="Z2021" s="340" t="str">
        <f>IF(AND(C2021&gt;0,D2021&lt;&gt;"",S2021=""),VLOOKUP(A2021&amp;IF(H2021="黑丝","黑","白")&amp;E2021,经纬!A:M,13,FALSE)*(I2021-AB2021),"")</f>
        <v/>
      </c>
      <c r="AA2021" s="340" t="str">
        <f>IF(AND(C2021&gt;0,D2021&lt;&gt;"",S2021=""),VLOOKUP(A2021&amp;IF(H2021="黑丝","黑","白")&amp;E2021,经纬!A:N,14,FALSE)*(I2021-AB2021),"")</f>
        <v/>
      </c>
    </row>
    <row r="2022" spans="13:27">
      <c r="M2022" s="24" t="str">
        <f t="array" ref="M2022">LEFT(L2022,MIN(FIND({"A","B","C"},MID(L2022,2,LEN(L2022))&amp;"ABC")))</f>
        <v/>
      </c>
      <c r="N2022" s="24" t="str">
        <f t="array" ref="N2022">SUBSTITUTE(L2022,M2022,"")</f>
        <v/>
      </c>
      <c r="X2022" s="258" t="str">
        <f t="shared" si="84"/>
        <v/>
      </c>
      <c r="Y2022" s="36" t="str">
        <f t="shared" si="83"/>
        <v/>
      </c>
      <c r="Z2022" s="340" t="str">
        <f>IF(AND(C2022&gt;0,D2022&lt;&gt;"",S2022=""),VLOOKUP(A2022&amp;IF(H2022="黑丝","黑","白")&amp;E2022,经纬!A:M,13,FALSE)*(I2022-AB2022),"")</f>
        <v/>
      </c>
      <c r="AA2022" s="340" t="str">
        <f>IF(AND(C2022&gt;0,D2022&lt;&gt;"",S2022=""),VLOOKUP(A2022&amp;IF(H2022="黑丝","黑","白")&amp;E2022,经纬!A:N,14,FALSE)*(I2022-AB2022),"")</f>
        <v/>
      </c>
    </row>
    <row r="2023" spans="13:27">
      <c r="M2023" s="24" t="str">
        <f t="array" ref="M2023">LEFT(L2023,MIN(FIND({"A","B","C"},MID(L2023,2,LEN(L2023))&amp;"ABC")))</f>
        <v/>
      </c>
      <c r="N2023" s="24" t="str">
        <f t="array" ref="N2023">SUBSTITUTE(L2023,M2023,"")</f>
        <v/>
      </c>
      <c r="X2023" s="258" t="str">
        <f t="shared" si="84"/>
        <v/>
      </c>
      <c r="Y2023" s="36" t="str">
        <f t="shared" si="83"/>
        <v/>
      </c>
      <c r="Z2023" s="340" t="str">
        <f>IF(AND(C2023&gt;0,D2023&lt;&gt;"",S2023=""),VLOOKUP(A2023&amp;IF(H2023="黑丝","黑","白")&amp;E2023,经纬!A:M,13,FALSE)*(I2023-AB2023),"")</f>
        <v/>
      </c>
      <c r="AA2023" s="340" t="str">
        <f>IF(AND(C2023&gt;0,D2023&lt;&gt;"",S2023=""),VLOOKUP(A2023&amp;IF(H2023="黑丝","黑","白")&amp;E2023,经纬!A:N,14,FALSE)*(I2023-AB2023),"")</f>
        <v/>
      </c>
    </row>
    <row r="2024" spans="13:27">
      <c r="M2024" s="24" t="str">
        <f t="array" ref="M2024">LEFT(L2024,MIN(FIND({"A","B","C"},MID(L2024,2,LEN(L2024))&amp;"ABC")))</f>
        <v/>
      </c>
      <c r="N2024" s="24" t="str">
        <f t="array" ref="N2024">SUBSTITUTE(L2024,M2024,"")</f>
        <v/>
      </c>
      <c r="X2024" s="258" t="str">
        <f t="shared" si="84"/>
        <v/>
      </c>
      <c r="Y2024" s="36" t="str">
        <f t="shared" si="83"/>
        <v/>
      </c>
      <c r="Z2024" s="340" t="str">
        <f>IF(AND(C2024&gt;0,D2024&lt;&gt;"",S2024=""),VLOOKUP(A2024&amp;IF(H2024="黑丝","黑","白")&amp;E2024,经纬!A:M,13,FALSE)*(I2024-AB2024),"")</f>
        <v/>
      </c>
      <c r="AA2024" s="340" t="str">
        <f>IF(AND(C2024&gt;0,D2024&lt;&gt;"",S2024=""),VLOOKUP(A2024&amp;IF(H2024="黑丝","黑","白")&amp;E2024,经纬!A:N,14,FALSE)*(I2024-AB2024),"")</f>
        <v/>
      </c>
    </row>
    <row r="2025" spans="13:27">
      <c r="M2025" s="24" t="str">
        <f t="array" ref="M2025">LEFT(L2025,MIN(FIND({"A","B","C"},MID(L2025,2,LEN(L2025))&amp;"ABC")))</f>
        <v/>
      </c>
      <c r="N2025" s="24" t="str">
        <f t="array" ref="N2025">SUBSTITUTE(L2025,M2025,"")</f>
        <v/>
      </c>
      <c r="X2025" s="258" t="str">
        <f t="shared" si="84"/>
        <v/>
      </c>
      <c r="Y2025" s="36" t="str">
        <f t="shared" ref="Y2025:Y2088" si="85">IF(OR(B2025="",D2025&lt;&gt;""),"",IF(S2025&lt;&gt;"","",I2025/((1/((G2025+2)/100*K2025/1000))*0.9144)/IF(H2025="黑丝",22,20)-AB2025))</f>
        <v/>
      </c>
      <c r="Z2025" s="340" t="str">
        <f>IF(AND(C2025&gt;0,D2025&lt;&gt;"",S2025=""),VLOOKUP(A2025&amp;IF(H2025="黑丝","黑","白")&amp;E2025,经纬!A:M,13,FALSE)*(I2025-AB2025),"")</f>
        <v/>
      </c>
      <c r="AA2025" s="340" t="str">
        <f>IF(AND(C2025&gt;0,D2025&lt;&gt;"",S2025=""),VLOOKUP(A2025&amp;IF(H2025="黑丝","黑","白")&amp;E2025,经纬!A:N,14,FALSE)*(I2025-AB2025),"")</f>
        <v/>
      </c>
    </row>
    <row r="2026" spans="13:27">
      <c r="M2026" s="24" t="str">
        <f t="array" ref="M2026">LEFT(L2026,MIN(FIND({"A","B","C"},MID(L2026,2,LEN(L2026))&amp;"ABC")))</f>
        <v/>
      </c>
      <c r="N2026" s="24" t="str">
        <f t="array" ref="N2026">SUBSTITUTE(L2026,M2026,"")</f>
        <v/>
      </c>
      <c r="X2026" s="258" t="str">
        <f t="shared" si="84"/>
        <v/>
      </c>
      <c r="Y2026" s="36" t="str">
        <f t="shared" si="85"/>
        <v/>
      </c>
      <c r="Z2026" s="340" t="str">
        <f>IF(AND(C2026&gt;0,D2026&lt;&gt;"",S2026=""),VLOOKUP(A2026&amp;IF(H2026="黑丝","黑","白")&amp;E2026,经纬!A:M,13,FALSE)*(I2026-AB2026),"")</f>
        <v/>
      </c>
      <c r="AA2026" s="340" t="str">
        <f>IF(AND(C2026&gt;0,D2026&lt;&gt;"",S2026=""),VLOOKUP(A2026&amp;IF(H2026="黑丝","黑","白")&amp;E2026,经纬!A:N,14,FALSE)*(I2026-AB2026),"")</f>
        <v/>
      </c>
    </row>
    <row r="2027" spans="13:27">
      <c r="M2027" s="24" t="str">
        <f t="array" ref="M2027">LEFT(L2027,MIN(FIND({"A","B","C"},MID(L2027,2,LEN(L2027))&amp;"ABC")))</f>
        <v/>
      </c>
      <c r="N2027" s="24" t="str">
        <f t="array" ref="N2027">SUBSTITUTE(L2027,M2027,"")</f>
        <v/>
      </c>
      <c r="X2027" s="258" t="str">
        <f t="shared" si="84"/>
        <v/>
      </c>
      <c r="Y2027" s="36" t="str">
        <f t="shared" si="85"/>
        <v/>
      </c>
      <c r="Z2027" s="340" t="str">
        <f>IF(AND(C2027&gt;0,D2027&lt;&gt;"",S2027=""),VLOOKUP(A2027&amp;IF(H2027="黑丝","黑","白")&amp;E2027,经纬!A:M,13,FALSE)*(I2027-AB2027),"")</f>
        <v/>
      </c>
      <c r="AA2027" s="340" t="str">
        <f>IF(AND(C2027&gt;0,D2027&lt;&gt;"",S2027=""),VLOOKUP(A2027&amp;IF(H2027="黑丝","黑","白")&amp;E2027,经纬!A:N,14,FALSE)*(I2027-AB2027),"")</f>
        <v/>
      </c>
    </row>
    <row r="2028" spans="13:27">
      <c r="M2028" s="24" t="str">
        <f t="array" ref="M2028">LEFT(L2028,MIN(FIND({"A","B","C"},MID(L2028,2,LEN(L2028))&amp;"ABC")))</f>
        <v/>
      </c>
      <c r="N2028" s="24" t="str">
        <f t="array" ref="N2028">SUBSTITUTE(L2028,M2028,"")</f>
        <v/>
      </c>
      <c r="X2028" s="258" t="str">
        <f t="shared" si="84"/>
        <v/>
      </c>
      <c r="Y2028" s="36" t="str">
        <f t="shared" si="85"/>
        <v/>
      </c>
      <c r="Z2028" s="340" t="str">
        <f>IF(AND(C2028&gt;0,D2028&lt;&gt;"",S2028=""),VLOOKUP(A2028&amp;IF(H2028="黑丝","黑","白")&amp;E2028,经纬!A:M,13,FALSE)*(I2028-AB2028),"")</f>
        <v/>
      </c>
      <c r="AA2028" s="340" t="str">
        <f>IF(AND(C2028&gt;0,D2028&lt;&gt;"",S2028=""),VLOOKUP(A2028&amp;IF(H2028="黑丝","黑","白")&amp;E2028,经纬!A:N,14,FALSE)*(I2028-AB2028),"")</f>
        <v/>
      </c>
    </row>
    <row r="2029" spans="13:27">
      <c r="M2029" s="24" t="str">
        <f t="array" ref="M2029">LEFT(L2029,MIN(FIND({"A","B","C"},MID(L2029,2,LEN(L2029))&amp;"ABC")))</f>
        <v/>
      </c>
      <c r="N2029" s="24" t="str">
        <f t="array" ref="N2029">SUBSTITUTE(L2029,M2029,"")</f>
        <v/>
      </c>
      <c r="X2029" s="258" t="str">
        <f t="shared" si="84"/>
        <v/>
      </c>
      <c r="Y2029" s="36" t="str">
        <f t="shared" si="85"/>
        <v/>
      </c>
      <c r="Z2029" s="340" t="str">
        <f>IF(AND(C2029&gt;0,D2029&lt;&gt;"",S2029=""),VLOOKUP(A2029&amp;IF(H2029="黑丝","黑","白")&amp;E2029,经纬!A:M,13,FALSE)*(I2029-AB2029),"")</f>
        <v/>
      </c>
      <c r="AA2029" s="340" t="str">
        <f>IF(AND(C2029&gt;0,D2029&lt;&gt;"",S2029=""),VLOOKUP(A2029&amp;IF(H2029="黑丝","黑","白")&amp;E2029,经纬!A:N,14,FALSE)*(I2029-AB2029),"")</f>
        <v/>
      </c>
    </row>
    <row r="2030" spans="13:27">
      <c r="M2030" s="24" t="str">
        <f t="array" ref="M2030">LEFT(L2030,MIN(FIND({"A","B","C"},MID(L2030,2,LEN(L2030))&amp;"ABC")))</f>
        <v/>
      </c>
      <c r="N2030" s="24" t="str">
        <f t="array" ref="N2030">SUBSTITUTE(L2030,M2030,"")</f>
        <v/>
      </c>
      <c r="X2030" s="258" t="str">
        <f t="shared" si="84"/>
        <v/>
      </c>
      <c r="Y2030" s="36" t="str">
        <f t="shared" si="85"/>
        <v/>
      </c>
      <c r="Z2030" s="340" t="str">
        <f>IF(AND(C2030&gt;0,D2030&lt;&gt;"",S2030=""),VLOOKUP(A2030&amp;IF(H2030="黑丝","黑","白")&amp;E2030,经纬!A:M,13,FALSE)*(I2030-AB2030),"")</f>
        <v/>
      </c>
      <c r="AA2030" s="340" t="str">
        <f>IF(AND(C2030&gt;0,D2030&lt;&gt;"",S2030=""),VLOOKUP(A2030&amp;IF(H2030="黑丝","黑","白")&amp;E2030,经纬!A:N,14,FALSE)*(I2030-AB2030),"")</f>
        <v/>
      </c>
    </row>
    <row r="2031" spans="13:27">
      <c r="M2031" s="24" t="str">
        <f t="array" ref="M2031">LEFT(L2031,MIN(FIND({"A","B","C"},MID(L2031,2,LEN(L2031))&amp;"ABC")))</f>
        <v/>
      </c>
      <c r="N2031" s="24" t="str">
        <f t="array" ref="N2031">SUBSTITUTE(L2031,M2031,"")</f>
        <v/>
      </c>
      <c r="X2031" s="258" t="str">
        <f t="shared" si="84"/>
        <v/>
      </c>
      <c r="Y2031" s="36" t="str">
        <f t="shared" si="85"/>
        <v/>
      </c>
      <c r="Z2031" s="340" t="str">
        <f>IF(AND(C2031&gt;0,D2031&lt;&gt;"",S2031=""),VLOOKUP(A2031&amp;IF(H2031="黑丝","黑","白")&amp;E2031,经纬!A:M,13,FALSE)*(I2031-AB2031),"")</f>
        <v/>
      </c>
      <c r="AA2031" s="340" t="str">
        <f>IF(AND(C2031&gt;0,D2031&lt;&gt;"",S2031=""),VLOOKUP(A2031&amp;IF(H2031="黑丝","黑","白")&amp;E2031,经纬!A:N,14,FALSE)*(I2031-AB2031),"")</f>
        <v/>
      </c>
    </row>
    <row r="2032" spans="13:27">
      <c r="M2032" s="24" t="str">
        <f t="array" ref="M2032">LEFT(L2032,MIN(FIND({"A","B","C"},MID(L2032,2,LEN(L2032))&amp;"ABC")))</f>
        <v/>
      </c>
      <c r="N2032" s="24" t="str">
        <f t="array" ref="N2032">SUBSTITUTE(L2032,M2032,"")</f>
        <v/>
      </c>
      <c r="X2032" s="258" t="str">
        <f t="shared" si="84"/>
        <v/>
      </c>
      <c r="Y2032" s="36" t="str">
        <f t="shared" si="85"/>
        <v/>
      </c>
      <c r="Z2032" s="340" t="str">
        <f>IF(AND(C2032&gt;0,D2032&lt;&gt;"",S2032=""),VLOOKUP(A2032&amp;IF(H2032="黑丝","黑","白")&amp;E2032,经纬!A:M,13,FALSE)*(I2032-AB2032),"")</f>
        <v/>
      </c>
      <c r="AA2032" s="340" t="str">
        <f>IF(AND(C2032&gt;0,D2032&lt;&gt;"",S2032=""),VLOOKUP(A2032&amp;IF(H2032="黑丝","黑","白")&amp;E2032,经纬!A:N,14,FALSE)*(I2032-AB2032),"")</f>
        <v/>
      </c>
    </row>
    <row r="2033" spans="13:27">
      <c r="M2033" s="24" t="str">
        <f t="array" ref="M2033">LEFT(L2033,MIN(FIND({"A","B","C"},MID(L2033,2,LEN(L2033))&amp;"ABC")))</f>
        <v/>
      </c>
      <c r="N2033" s="24" t="str">
        <f t="array" ref="N2033">SUBSTITUTE(L2033,M2033,"")</f>
        <v/>
      </c>
      <c r="X2033" s="258" t="str">
        <f t="shared" si="84"/>
        <v/>
      </c>
      <c r="Y2033" s="36" t="str">
        <f t="shared" si="85"/>
        <v/>
      </c>
      <c r="Z2033" s="340" t="str">
        <f>IF(AND(C2033&gt;0,D2033&lt;&gt;"",S2033=""),VLOOKUP(A2033&amp;IF(H2033="黑丝","黑","白")&amp;E2033,经纬!A:M,13,FALSE)*(I2033-AB2033),"")</f>
        <v/>
      </c>
      <c r="AA2033" s="340" t="str">
        <f>IF(AND(C2033&gt;0,D2033&lt;&gt;"",S2033=""),VLOOKUP(A2033&amp;IF(H2033="黑丝","黑","白")&amp;E2033,经纬!A:N,14,FALSE)*(I2033-AB2033),"")</f>
        <v/>
      </c>
    </row>
    <row r="2034" spans="13:27">
      <c r="M2034" s="24" t="str">
        <f t="array" ref="M2034">LEFT(L2034,MIN(FIND({"A","B","C"},MID(L2034,2,LEN(L2034))&amp;"ABC")))</f>
        <v/>
      </c>
      <c r="N2034" s="24" t="str">
        <f t="array" ref="N2034">SUBSTITUTE(L2034,M2034,"")</f>
        <v/>
      </c>
      <c r="X2034" s="258" t="str">
        <f t="shared" si="84"/>
        <v/>
      </c>
      <c r="Y2034" s="36" t="str">
        <f t="shared" si="85"/>
        <v/>
      </c>
      <c r="Z2034" s="340" t="str">
        <f>IF(AND(C2034&gt;0,D2034&lt;&gt;"",S2034=""),VLOOKUP(A2034&amp;IF(H2034="黑丝","黑","白")&amp;E2034,经纬!A:M,13,FALSE)*(I2034-AB2034),"")</f>
        <v/>
      </c>
      <c r="AA2034" s="340" t="str">
        <f>IF(AND(C2034&gt;0,D2034&lt;&gt;"",S2034=""),VLOOKUP(A2034&amp;IF(H2034="黑丝","黑","白")&amp;E2034,经纬!A:N,14,FALSE)*(I2034-AB2034),"")</f>
        <v/>
      </c>
    </row>
    <row r="2035" spans="13:27">
      <c r="M2035" s="24" t="str">
        <f t="array" ref="M2035">LEFT(L2035,MIN(FIND({"A","B","C"},MID(L2035,2,LEN(L2035))&amp;"ABC")))</f>
        <v/>
      </c>
      <c r="N2035" s="24" t="str">
        <f t="array" ref="N2035">SUBSTITUTE(L2035,M2035,"")</f>
        <v/>
      </c>
      <c r="X2035" s="258" t="str">
        <f t="shared" si="84"/>
        <v/>
      </c>
      <c r="Y2035" s="36" t="str">
        <f t="shared" si="85"/>
        <v/>
      </c>
      <c r="Z2035" s="340" t="str">
        <f>IF(AND(C2035&gt;0,D2035&lt;&gt;"",S2035=""),VLOOKUP(A2035&amp;IF(H2035="黑丝","黑","白")&amp;E2035,经纬!A:M,13,FALSE)*(I2035-AB2035),"")</f>
        <v/>
      </c>
      <c r="AA2035" s="340" t="str">
        <f>IF(AND(C2035&gt;0,D2035&lt;&gt;"",S2035=""),VLOOKUP(A2035&amp;IF(H2035="黑丝","黑","白")&amp;E2035,经纬!A:N,14,FALSE)*(I2035-AB2035),"")</f>
        <v/>
      </c>
    </row>
    <row r="2036" spans="13:27">
      <c r="M2036" s="24" t="str">
        <f t="array" ref="M2036">LEFT(L2036,MIN(FIND({"A","B","C"},MID(L2036,2,LEN(L2036))&amp;"ABC")))</f>
        <v/>
      </c>
      <c r="N2036" s="24" t="str">
        <f t="array" ref="N2036">SUBSTITUTE(L2036,M2036,"")</f>
        <v/>
      </c>
      <c r="X2036" s="258" t="str">
        <f t="shared" si="84"/>
        <v/>
      </c>
      <c r="Y2036" s="36" t="str">
        <f t="shared" si="85"/>
        <v/>
      </c>
      <c r="Z2036" s="340" t="str">
        <f>IF(AND(C2036&gt;0,D2036&lt;&gt;"",S2036=""),VLOOKUP(A2036&amp;IF(H2036="黑丝","黑","白")&amp;E2036,经纬!A:M,13,FALSE)*(I2036-AB2036),"")</f>
        <v/>
      </c>
      <c r="AA2036" s="340" t="str">
        <f>IF(AND(C2036&gt;0,D2036&lt;&gt;"",S2036=""),VLOOKUP(A2036&amp;IF(H2036="黑丝","黑","白")&amp;E2036,经纬!A:N,14,FALSE)*(I2036-AB2036),"")</f>
        <v/>
      </c>
    </row>
    <row r="2037" spans="13:27">
      <c r="M2037" s="24" t="str">
        <f t="array" ref="M2037">LEFT(L2037,MIN(FIND({"A","B","C"},MID(L2037,2,LEN(L2037))&amp;"ABC")))</f>
        <v/>
      </c>
      <c r="N2037" s="24" t="str">
        <f t="array" ref="N2037">SUBSTITUTE(L2037,M2037,"")</f>
        <v/>
      </c>
      <c r="X2037" s="258" t="str">
        <f t="shared" si="84"/>
        <v/>
      </c>
      <c r="Y2037" s="36" t="str">
        <f t="shared" si="85"/>
        <v/>
      </c>
      <c r="Z2037" s="340" t="str">
        <f>IF(AND(C2037&gt;0,D2037&lt;&gt;"",S2037=""),VLOOKUP(A2037&amp;IF(H2037="黑丝","黑","白")&amp;E2037,经纬!A:M,13,FALSE)*(I2037-AB2037),"")</f>
        <v/>
      </c>
      <c r="AA2037" s="340" t="str">
        <f>IF(AND(C2037&gt;0,D2037&lt;&gt;"",S2037=""),VLOOKUP(A2037&amp;IF(H2037="黑丝","黑","白")&amp;E2037,经纬!A:N,14,FALSE)*(I2037-AB2037),"")</f>
        <v/>
      </c>
    </row>
    <row r="2038" spans="13:27">
      <c r="M2038" s="24" t="str">
        <f t="array" ref="M2038">LEFT(L2038,MIN(FIND({"A","B","C"},MID(L2038,2,LEN(L2038))&amp;"ABC")))</f>
        <v/>
      </c>
      <c r="N2038" s="24" t="str">
        <f t="array" ref="N2038">SUBSTITUTE(L2038,M2038,"")</f>
        <v/>
      </c>
      <c r="X2038" s="258" t="str">
        <f t="shared" si="84"/>
        <v/>
      </c>
      <c r="Y2038" s="36" t="str">
        <f t="shared" si="85"/>
        <v/>
      </c>
      <c r="Z2038" s="340" t="str">
        <f>IF(AND(C2038&gt;0,D2038&lt;&gt;"",S2038=""),VLOOKUP(A2038&amp;IF(H2038="黑丝","黑","白")&amp;E2038,经纬!A:M,13,FALSE)*(I2038-AB2038),"")</f>
        <v/>
      </c>
      <c r="AA2038" s="340" t="str">
        <f>IF(AND(C2038&gt;0,D2038&lt;&gt;"",S2038=""),VLOOKUP(A2038&amp;IF(H2038="黑丝","黑","白")&amp;E2038,经纬!A:N,14,FALSE)*(I2038-AB2038),"")</f>
        <v/>
      </c>
    </row>
    <row r="2039" spans="13:27">
      <c r="M2039" s="24" t="str">
        <f t="array" ref="M2039">LEFT(L2039,MIN(FIND({"A","B","C"},MID(L2039,2,LEN(L2039))&amp;"ABC")))</f>
        <v/>
      </c>
      <c r="N2039" s="24" t="str">
        <f t="array" ref="N2039">SUBSTITUTE(L2039,M2039,"")</f>
        <v/>
      </c>
      <c r="X2039" s="258" t="str">
        <f t="shared" si="84"/>
        <v/>
      </c>
      <c r="Y2039" s="36" t="str">
        <f t="shared" si="85"/>
        <v/>
      </c>
      <c r="Z2039" s="340" t="str">
        <f>IF(AND(C2039&gt;0,D2039&lt;&gt;"",S2039=""),VLOOKUP(A2039&amp;IF(H2039="黑丝","黑","白")&amp;E2039,经纬!A:M,13,FALSE)*(I2039-AB2039),"")</f>
        <v/>
      </c>
      <c r="AA2039" s="340" t="str">
        <f>IF(AND(C2039&gt;0,D2039&lt;&gt;"",S2039=""),VLOOKUP(A2039&amp;IF(H2039="黑丝","黑","白")&amp;E2039,经纬!A:N,14,FALSE)*(I2039-AB2039),"")</f>
        <v/>
      </c>
    </row>
    <row r="2040" spans="13:27">
      <c r="M2040" s="24" t="str">
        <f t="array" ref="M2040">LEFT(L2040,MIN(FIND({"A","B","C"},MID(L2040,2,LEN(L2040))&amp;"ABC")))</f>
        <v/>
      </c>
      <c r="N2040" s="24" t="str">
        <f t="array" ref="N2040">SUBSTITUTE(L2040,M2040,"")</f>
        <v/>
      </c>
      <c r="X2040" s="258" t="str">
        <f t="shared" si="84"/>
        <v/>
      </c>
      <c r="Y2040" s="36" t="str">
        <f t="shared" si="85"/>
        <v/>
      </c>
      <c r="Z2040" s="340" t="str">
        <f>IF(AND(C2040&gt;0,D2040&lt;&gt;"",S2040=""),VLOOKUP(A2040&amp;IF(H2040="黑丝","黑","白")&amp;E2040,经纬!A:M,13,FALSE)*(I2040-AB2040),"")</f>
        <v/>
      </c>
      <c r="AA2040" s="340" t="str">
        <f>IF(AND(C2040&gt;0,D2040&lt;&gt;"",S2040=""),VLOOKUP(A2040&amp;IF(H2040="黑丝","黑","白")&amp;E2040,经纬!A:N,14,FALSE)*(I2040-AB2040),"")</f>
        <v/>
      </c>
    </row>
    <row r="2041" spans="13:27">
      <c r="M2041" s="24" t="str">
        <f t="array" ref="M2041">LEFT(L2041,MIN(FIND({"A","B","C"},MID(L2041,2,LEN(L2041))&amp;"ABC")))</f>
        <v/>
      </c>
      <c r="N2041" s="24" t="str">
        <f t="array" ref="N2041">SUBSTITUTE(L2041,M2041,"")</f>
        <v/>
      </c>
      <c r="X2041" s="258" t="str">
        <f t="shared" si="84"/>
        <v/>
      </c>
      <c r="Y2041" s="36" t="str">
        <f t="shared" si="85"/>
        <v/>
      </c>
      <c r="Z2041" s="340" t="str">
        <f>IF(AND(C2041&gt;0,D2041&lt;&gt;"",S2041=""),VLOOKUP(A2041&amp;IF(H2041="黑丝","黑","白")&amp;E2041,经纬!A:M,13,FALSE)*(I2041-AB2041),"")</f>
        <v/>
      </c>
      <c r="AA2041" s="340" t="str">
        <f>IF(AND(C2041&gt;0,D2041&lt;&gt;"",S2041=""),VLOOKUP(A2041&amp;IF(H2041="黑丝","黑","白")&amp;E2041,经纬!A:N,14,FALSE)*(I2041-AB2041),"")</f>
        <v/>
      </c>
    </row>
    <row r="2042" spans="13:27">
      <c r="M2042" s="24" t="str">
        <f t="array" ref="M2042">LEFT(L2042,MIN(FIND({"A","B","C"},MID(L2042,2,LEN(L2042))&amp;"ABC")))</f>
        <v/>
      </c>
      <c r="N2042" s="24" t="str">
        <f t="array" ref="N2042">SUBSTITUTE(L2042,M2042,"")</f>
        <v/>
      </c>
      <c r="X2042" s="258" t="str">
        <f t="shared" si="84"/>
        <v/>
      </c>
      <c r="Y2042" s="36" t="str">
        <f t="shared" si="85"/>
        <v/>
      </c>
      <c r="Z2042" s="340" t="str">
        <f>IF(AND(C2042&gt;0,D2042&lt;&gt;"",S2042=""),VLOOKUP(A2042&amp;IF(H2042="黑丝","黑","白")&amp;E2042,经纬!A:M,13,FALSE)*(I2042-AB2042),"")</f>
        <v/>
      </c>
      <c r="AA2042" s="340" t="str">
        <f>IF(AND(C2042&gt;0,D2042&lt;&gt;"",S2042=""),VLOOKUP(A2042&amp;IF(H2042="黑丝","黑","白")&amp;E2042,经纬!A:N,14,FALSE)*(I2042-AB2042),"")</f>
        <v/>
      </c>
    </row>
    <row r="2043" spans="13:27">
      <c r="M2043" s="24" t="str">
        <f t="array" ref="M2043">LEFT(L2043,MIN(FIND({"A","B","C"},MID(L2043,2,LEN(L2043))&amp;"ABC")))</f>
        <v/>
      </c>
      <c r="N2043" s="24" t="str">
        <f t="array" ref="N2043">SUBSTITUTE(L2043,M2043,"")</f>
        <v/>
      </c>
      <c r="X2043" s="258" t="str">
        <f t="shared" si="84"/>
        <v/>
      </c>
      <c r="Y2043" s="36" t="str">
        <f t="shared" si="85"/>
        <v/>
      </c>
      <c r="Z2043" s="340" t="str">
        <f>IF(AND(C2043&gt;0,D2043&lt;&gt;"",S2043=""),VLOOKUP(A2043&amp;IF(H2043="黑丝","黑","白")&amp;E2043,经纬!A:M,13,FALSE)*(I2043-AB2043),"")</f>
        <v/>
      </c>
      <c r="AA2043" s="340" t="str">
        <f>IF(AND(C2043&gt;0,D2043&lt;&gt;"",S2043=""),VLOOKUP(A2043&amp;IF(H2043="黑丝","黑","白")&amp;E2043,经纬!A:N,14,FALSE)*(I2043-AB2043),"")</f>
        <v/>
      </c>
    </row>
    <row r="2044" spans="13:27">
      <c r="M2044" s="24" t="str">
        <f t="array" ref="M2044">LEFT(L2044,MIN(FIND({"A","B","C"},MID(L2044,2,LEN(L2044))&amp;"ABC")))</f>
        <v/>
      </c>
      <c r="N2044" s="24" t="str">
        <f t="array" ref="N2044">SUBSTITUTE(L2044,M2044,"")</f>
        <v/>
      </c>
      <c r="X2044" s="258" t="str">
        <f t="shared" si="84"/>
        <v/>
      </c>
      <c r="Y2044" s="36" t="str">
        <f t="shared" si="85"/>
        <v/>
      </c>
      <c r="Z2044" s="340" t="str">
        <f>IF(AND(C2044&gt;0,D2044&lt;&gt;"",S2044=""),VLOOKUP(A2044&amp;IF(H2044="黑丝","黑","白")&amp;E2044,经纬!A:M,13,FALSE)*(I2044-AB2044),"")</f>
        <v/>
      </c>
      <c r="AA2044" s="340" t="str">
        <f>IF(AND(C2044&gt;0,D2044&lt;&gt;"",S2044=""),VLOOKUP(A2044&amp;IF(H2044="黑丝","黑","白")&amp;E2044,经纬!A:N,14,FALSE)*(I2044-AB2044),"")</f>
        <v/>
      </c>
    </row>
    <row r="2045" spans="13:27">
      <c r="M2045" s="24" t="str">
        <f t="array" ref="M2045">LEFT(L2045,MIN(FIND({"A","B","C"},MID(L2045,2,LEN(L2045))&amp;"ABC")))</f>
        <v/>
      </c>
      <c r="N2045" s="24" t="str">
        <f t="array" ref="N2045">SUBSTITUTE(L2045,M2045,"")</f>
        <v/>
      </c>
      <c r="X2045" s="258" t="str">
        <f t="shared" si="84"/>
        <v/>
      </c>
      <c r="Y2045" s="36" t="str">
        <f t="shared" si="85"/>
        <v/>
      </c>
      <c r="Z2045" s="340" t="str">
        <f>IF(AND(C2045&gt;0,D2045&lt;&gt;"",S2045=""),VLOOKUP(A2045&amp;IF(H2045="黑丝","黑","白")&amp;E2045,经纬!A:M,13,FALSE)*(I2045-AB2045),"")</f>
        <v/>
      </c>
      <c r="AA2045" s="340" t="str">
        <f>IF(AND(C2045&gt;0,D2045&lt;&gt;"",S2045=""),VLOOKUP(A2045&amp;IF(H2045="黑丝","黑","白")&amp;E2045,经纬!A:N,14,FALSE)*(I2045-AB2045),"")</f>
        <v/>
      </c>
    </row>
    <row r="2046" spans="13:27">
      <c r="M2046" s="24" t="str">
        <f t="array" ref="M2046">LEFT(L2046,MIN(FIND({"A","B","C"},MID(L2046,2,LEN(L2046))&amp;"ABC")))</f>
        <v/>
      </c>
      <c r="N2046" s="24" t="str">
        <f t="array" ref="N2046">SUBSTITUTE(L2046,M2046,"")</f>
        <v/>
      </c>
      <c r="X2046" s="258" t="str">
        <f t="shared" si="84"/>
        <v/>
      </c>
      <c r="Y2046" s="36" t="str">
        <f t="shared" si="85"/>
        <v/>
      </c>
      <c r="Z2046" s="340" t="str">
        <f>IF(AND(C2046&gt;0,D2046&lt;&gt;"",S2046=""),VLOOKUP(A2046&amp;IF(H2046="黑丝","黑","白")&amp;E2046,经纬!A:M,13,FALSE)*(I2046-AB2046),"")</f>
        <v/>
      </c>
      <c r="AA2046" s="340" t="str">
        <f>IF(AND(C2046&gt;0,D2046&lt;&gt;"",S2046=""),VLOOKUP(A2046&amp;IF(H2046="黑丝","黑","白")&amp;E2046,经纬!A:N,14,FALSE)*(I2046-AB2046),"")</f>
        <v/>
      </c>
    </row>
    <row r="2047" spans="13:27">
      <c r="M2047" s="24" t="str">
        <f t="array" ref="M2047">LEFT(L2047,MIN(FIND({"A","B","C"},MID(L2047,2,LEN(L2047))&amp;"ABC")))</f>
        <v/>
      </c>
      <c r="N2047" s="24" t="str">
        <f t="array" ref="N2047">SUBSTITUTE(L2047,M2047,"")</f>
        <v/>
      </c>
      <c r="X2047" s="258" t="str">
        <f t="shared" si="84"/>
        <v/>
      </c>
      <c r="Y2047" s="36" t="str">
        <f t="shared" si="85"/>
        <v/>
      </c>
      <c r="Z2047" s="340" t="str">
        <f>IF(AND(C2047&gt;0,D2047&lt;&gt;"",S2047=""),VLOOKUP(A2047&amp;IF(H2047="黑丝","黑","白")&amp;E2047,经纬!A:M,13,FALSE)*(I2047-AB2047),"")</f>
        <v/>
      </c>
      <c r="AA2047" s="340" t="str">
        <f>IF(AND(C2047&gt;0,D2047&lt;&gt;"",S2047=""),VLOOKUP(A2047&amp;IF(H2047="黑丝","黑","白")&amp;E2047,经纬!A:N,14,FALSE)*(I2047-AB2047),"")</f>
        <v/>
      </c>
    </row>
    <row r="2048" spans="13:27">
      <c r="M2048" s="24" t="str">
        <f t="array" ref="M2048">LEFT(L2048,MIN(FIND({"A","B","C"},MID(L2048,2,LEN(L2048))&amp;"ABC")))</f>
        <v/>
      </c>
      <c r="N2048" s="24" t="str">
        <f t="array" ref="N2048">SUBSTITUTE(L2048,M2048,"")</f>
        <v/>
      </c>
      <c r="X2048" s="258" t="str">
        <f t="shared" si="84"/>
        <v/>
      </c>
      <c r="Y2048" s="36" t="str">
        <f t="shared" si="85"/>
        <v/>
      </c>
      <c r="Z2048" s="340" t="str">
        <f>IF(AND(C2048&gt;0,D2048&lt;&gt;"",S2048=""),VLOOKUP(A2048&amp;IF(H2048="黑丝","黑","白")&amp;E2048,经纬!A:M,13,FALSE)*(I2048-AB2048),"")</f>
        <v/>
      </c>
      <c r="AA2048" s="340" t="str">
        <f>IF(AND(C2048&gt;0,D2048&lt;&gt;"",S2048=""),VLOOKUP(A2048&amp;IF(H2048="黑丝","黑","白")&amp;E2048,经纬!A:N,14,FALSE)*(I2048-AB2048),"")</f>
        <v/>
      </c>
    </row>
    <row r="2049" spans="13:27">
      <c r="M2049" s="24" t="str">
        <f t="array" ref="M2049">LEFT(L2049,MIN(FIND({"A","B","C"},MID(L2049,2,LEN(L2049))&amp;"ABC")))</f>
        <v/>
      </c>
      <c r="N2049" s="24" t="str">
        <f t="array" ref="N2049">SUBSTITUTE(L2049,M2049,"")</f>
        <v/>
      </c>
      <c r="X2049" s="258" t="str">
        <f t="shared" si="84"/>
        <v/>
      </c>
      <c r="Y2049" s="36" t="str">
        <f t="shared" si="85"/>
        <v/>
      </c>
      <c r="Z2049" s="340" t="str">
        <f>IF(AND(C2049&gt;0,D2049&lt;&gt;"",S2049=""),VLOOKUP(A2049&amp;IF(H2049="黑丝","黑","白")&amp;E2049,经纬!A:M,13,FALSE)*(I2049-AB2049),"")</f>
        <v/>
      </c>
      <c r="AA2049" s="340" t="str">
        <f>IF(AND(C2049&gt;0,D2049&lt;&gt;"",S2049=""),VLOOKUP(A2049&amp;IF(H2049="黑丝","黑","白")&amp;E2049,经纬!A:N,14,FALSE)*(I2049-AB2049),"")</f>
        <v/>
      </c>
    </row>
    <row r="2050" spans="13:27">
      <c r="M2050" s="24" t="str">
        <f t="array" ref="M2050">LEFT(L2050,MIN(FIND({"A","B","C"},MID(L2050,2,LEN(L2050))&amp;"ABC")))</f>
        <v/>
      </c>
      <c r="N2050" s="24" t="str">
        <f t="array" ref="N2050">SUBSTITUTE(L2050,M2050,"")</f>
        <v/>
      </c>
      <c r="X2050" s="258" t="str">
        <f t="shared" si="84"/>
        <v/>
      </c>
      <c r="Y2050" s="36" t="str">
        <f t="shared" si="85"/>
        <v/>
      </c>
      <c r="Z2050" s="340" t="str">
        <f>IF(AND(C2050&gt;0,D2050&lt;&gt;"",S2050=""),VLOOKUP(A2050&amp;IF(H2050="黑丝","黑","白")&amp;E2050,经纬!A:M,13,FALSE)*(I2050-AB2050),"")</f>
        <v/>
      </c>
      <c r="AA2050" s="340" t="str">
        <f>IF(AND(C2050&gt;0,D2050&lt;&gt;"",S2050=""),VLOOKUP(A2050&amp;IF(H2050="黑丝","黑","白")&amp;E2050,经纬!A:N,14,FALSE)*(I2050-AB2050),"")</f>
        <v/>
      </c>
    </row>
    <row r="2051" spans="13:27">
      <c r="M2051" s="24" t="str">
        <f t="array" ref="M2051">LEFT(L2051,MIN(FIND({"A","B","C"},MID(L2051,2,LEN(L2051))&amp;"ABC")))</f>
        <v/>
      </c>
      <c r="N2051" s="24" t="str">
        <f t="array" ref="N2051">SUBSTITUTE(L2051,M2051,"")</f>
        <v/>
      </c>
      <c r="X2051" s="258" t="str">
        <f t="shared" si="84"/>
        <v/>
      </c>
      <c r="Y2051" s="36" t="str">
        <f t="shared" si="85"/>
        <v/>
      </c>
      <c r="Z2051" s="340" t="str">
        <f>IF(AND(C2051&gt;0,D2051&lt;&gt;"",S2051=""),VLOOKUP(A2051&amp;IF(H2051="黑丝","黑","白")&amp;E2051,经纬!A:M,13,FALSE)*(I2051-AB2051),"")</f>
        <v/>
      </c>
      <c r="AA2051" s="340" t="str">
        <f>IF(AND(C2051&gt;0,D2051&lt;&gt;"",S2051=""),VLOOKUP(A2051&amp;IF(H2051="黑丝","黑","白")&amp;E2051,经纬!A:N,14,FALSE)*(I2051-AB2051),"")</f>
        <v/>
      </c>
    </row>
    <row r="2052" spans="13:27">
      <c r="M2052" s="24" t="str">
        <f t="array" ref="M2052">LEFT(L2052,MIN(FIND({"A","B","C"},MID(L2052,2,LEN(L2052))&amp;"ABC")))</f>
        <v/>
      </c>
      <c r="N2052" s="24" t="str">
        <f t="array" ref="N2052">SUBSTITUTE(L2052,M2052,"")</f>
        <v/>
      </c>
      <c r="X2052" s="258" t="str">
        <f t="shared" si="84"/>
        <v/>
      </c>
      <c r="Y2052" s="36" t="str">
        <f t="shared" si="85"/>
        <v/>
      </c>
      <c r="Z2052" s="340" t="str">
        <f>IF(AND(C2052&gt;0,D2052&lt;&gt;"",S2052=""),VLOOKUP(A2052&amp;IF(H2052="黑丝","黑","白")&amp;E2052,经纬!A:M,13,FALSE)*(I2052-AB2052),"")</f>
        <v/>
      </c>
      <c r="AA2052" s="340" t="str">
        <f>IF(AND(C2052&gt;0,D2052&lt;&gt;"",S2052=""),VLOOKUP(A2052&amp;IF(H2052="黑丝","黑","白")&amp;E2052,经纬!A:N,14,FALSE)*(I2052-AB2052),"")</f>
        <v/>
      </c>
    </row>
    <row r="2053" spans="13:27">
      <c r="M2053" s="24" t="str">
        <f t="array" ref="M2053">LEFT(L2053,MIN(FIND({"A","B","C"},MID(L2053,2,LEN(L2053))&amp;"ABC")))</f>
        <v/>
      </c>
      <c r="N2053" s="24" t="str">
        <f t="array" ref="N2053">SUBSTITUTE(L2053,M2053,"")</f>
        <v/>
      </c>
      <c r="X2053" s="258" t="str">
        <f t="shared" si="84"/>
        <v/>
      </c>
      <c r="Y2053" s="36" t="str">
        <f t="shared" si="85"/>
        <v/>
      </c>
      <c r="Z2053" s="340" t="str">
        <f>IF(AND(C2053&gt;0,D2053&lt;&gt;"",S2053=""),VLOOKUP(A2053&amp;IF(H2053="黑丝","黑","白")&amp;E2053,经纬!A:M,13,FALSE)*(I2053-AB2053),"")</f>
        <v/>
      </c>
      <c r="AA2053" s="340" t="str">
        <f>IF(AND(C2053&gt;0,D2053&lt;&gt;"",S2053=""),VLOOKUP(A2053&amp;IF(H2053="黑丝","黑","白")&amp;E2053,经纬!A:N,14,FALSE)*(I2053-AB2053),"")</f>
        <v/>
      </c>
    </row>
    <row r="2054" spans="13:27">
      <c r="M2054" s="24" t="str">
        <f t="array" ref="M2054">LEFT(L2054,MIN(FIND({"A","B","C"},MID(L2054,2,LEN(L2054))&amp;"ABC")))</f>
        <v/>
      </c>
      <c r="N2054" s="24" t="str">
        <f t="array" ref="N2054">SUBSTITUTE(L2054,M2054,"")</f>
        <v/>
      </c>
      <c r="X2054" s="258" t="str">
        <f t="shared" si="84"/>
        <v/>
      </c>
      <c r="Y2054" s="36" t="str">
        <f t="shared" si="85"/>
        <v/>
      </c>
      <c r="Z2054" s="340" t="str">
        <f>IF(AND(C2054&gt;0,D2054&lt;&gt;"",S2054=""),VLOOKUP(A2054&amp;IF(H2054="黑丝","黑","白")&amp;E2054,经纬!A:M,13,FALSE)*(I2054-AB2054),"")</f>
        <v/>
      </c>
      <c r="AA2054" s="340" t="str">
        <f>IF(AND(C2054&gt;0,D2054&lt;&gt;"",S2054=""),VLOOKUP(A2054&amp;IF(H2054="黑丝","黑","白")&amp;E2054,经纬!A:N,14,FALSE)*(I2054-AB2054),"")</f>
        <v/>
      </c>
    </row>
    <row r="2055" spans="13:27">
      <c r="M2055" s="24" t="str">
        <f t="array" ref="M2055">LEFT(L2055,MIN(FIND({"A","B","C"},MID(L2055,2,LEN(L2055))&amp;"ABC")))</f>
        <v/>
      </c>
      <c r="N2055" s="24" t="str">
        <f t="array" ref="N2055">SUBSTITUTE(L2055,M2055,"")</f>
        <v/>
      </c>
      <c r="X2055" s="258" t="str">
        <f t="shared" si="84"/>
        <v/>
      </c>
      <c r="Y2055" s="36" t="str">
        <f t="shared" si="85"/>
        <v/>
      </c>
      <c r="Z2055" s="340" t="str">
        <f>IF(AND(C2055&gt;0,D2055&lt;&gt;"",S2055=""),VLOOKUP(A2055&amp;IF(H2055="黑丝","黑","白")&amp;E2055,经纬!A:M,13,FALSE)*(I2055-AB2055),"")</f>
        <v/>
      </c>
      <c r="AA2055" s="340" t="str">
        <f>IF(AND(C2055&gt;0,D2055&lt;&gt;"",S2055=""),VLOOKUP(A2055&amp;IF(H2055="黑丝","黑","白")&amp;E2055,经纬!A:N,14,FALSE)*(I2055-AB2055),"")</f>
        <v/>
      </c>
    </row>
    <row r="2056" spans="13:27">
      <c r="M2056" s="24" t="str">
        <f t="array" ref="M2056">LEFT(L2056,MIN(FIND({"A","B","C"},MID(L2056,2,LEN(L2056))&amp;"ABC")))</f>
        <v/>
      </c>
      <c r="N2056" s="24" t="str">
        <f t="array" ref="N2056">SUBSTITUTE(L2056,M2056,"")</f>
        <v/>
      </c>
      <c r="X2056" s="258" t="str">
        <f t="shared" si="84"/>
        <v/>
      </c>
      <c r="Y2056" s="36" t="str">
        <f t="shared" si="85"/>
        <v/>
      </c>
      <c r="Z2056" s="340" t="str">
        <f>IF(AND(C2056&gt;0,D2056&lt;&gt;"",S2056=""),VLOOKUP(A2056&amp;IF(H2056="黑丝","黑","白")&amp;E2056,经纬!A:M,13,FALSE)*(I2056-AB2056),"")</f>
        <v/>
      </c>
      <c r="AA2056" s="340" t="str">
        <f>IF(AND(C2056&gt;0,D2056&lt;&gt;"",S2056=""),VLOOKUP(A2056&amp;IF(H2056="黑丝","黑","白")&amp;E2056,经纬!A:N,14,FALSE)*(I2056-AB2056),"")</f>
        <v/>
      </c>
    </row>
    <row r="2057" spans="13:27">
      <c r="M2057" s="24" t="str">
        <f t="array" ref="M2057">LEFT(L2057,MIN(FIND({"A","B","C"},MID(L2057,2,LEN(L2057))&amp;"ABC")))</f>
        <v/>
      </c>
      <c r="N2057" s="24" t="str">
        <f t="array" ref="N2057">SUBSTITUTE(L2057,M2057,"")</f>
        <v/>
      </c>
      <c r="X2057" s="258" t="str">
        <f t="shared" si="84"/>
        <v/>
      </c>
      <c r="Y2057" s="36" t="str">
        <f t="shared" si="85"/>
        <v/>
      </c>
      <c r="Z2057" s="340" t="str">
        <f>IF(AND(C2057&gt;0,D2057&lt;&gt;"",S2057=""),VLOOKUP(A2057&amp;IF(H2057="黑丝","黑","白")&amp;E2057,经纬!A:M,13,FALSE)*(I2057-AB2057),"")</f>
        <v/>
      </c>
      <c r="AA2057" s="340" t="str">
        <f>IF(AND(C2057&gt;0,D2057&lt;&gt;"",S2057=""),VLOOKUP(A2057&amp;IF(H2057="黑丝","黑","白")&amp;E2057,经纬!A:N,14,FALSE)*(I2057-AB2057),"")</f>
        <v/>
      </c>
    </row>
    <row r="2058" spans="13:27">
      <c r="M2058" s="24" t="str">
        <f t="array" ref="M2058">LEFT(L2058,MIN(FIND({"A","B","C"},MID(L2058,2,LEN(L2058))&amp;"ABC")))</f>
        <v/>
      </c>
      <c r="N2058" s="24" t="str">
        <f t="array" ref="N2058">SUBSTITUTE(L2058,M2058,"")</f>
        <v/>
      </c>
      <c r="X2058" s="258" t="str">
        <f t="shared" si="84"/>
        <v/>
      </c>
      <c r="Y2058" s="36" t="str">
        <f t="shared" si="85"/>
        <v/>
      </c>
      <c r="Z2058" s="340" t="str">
        <f>IF(AND(C2058&gt;0,D2058&lt;&gt;"",S2058=""),VLOOKUP(A2058&amp;IF(H2058="黑丝","黑","白")&amp;E2058,经纬!A:M,13,FALSE)*(I2058-AB2058),"")</f>
        <v/>
      </c>
      <c r="AA2058" s="340" t="str">
        <f>IF(AND(C2058&gt;0,D2058&lt;&gt;"",S2058=""),VLOOKUP(A2058&amp;IF(H2058="黑丝","黑","白")&amp;E2058,经纬!A:N,14,FALSE)*(I2058-AB2058),"")</f>
        <v/>
      </c>
    </row>
    <row r="2059" spans="13:27">
      <c r="M2059" s="24" t="str">
        <f t="array" ref="M2059">LEFT(L2059,MIN(FIND({"A","B","C"},MID(L2059,2,LEN(L2059))&amp;"ABC")))</f>
        <v/>
      </c>
      <c r="N2059" s="24" t="str">
        <f t="array" ref="N2059">SUBSTITUTE(L2059,M2059,"")</f>
        <v/>
      </c>
      <c r="X2059" s="258" t="str">
        <f t="shared" si="84"/>
        <v/>
      </c>
      <c r="Y2059" s="36" t="str">
        <f t="shared" si="85"/>
        <v/>
      </c>
      <c r="Z2059" s="340" t="str">
        <f>IF(AND(C2059&gt;0,D2059&lt;&gt;"",S2059=""),VLOOKUP(A2059&amp;IF(H2059="黑丝","黑","白")&amp;E2059,经纬!A:M,13,FALSE)*(I2059-AB2059),"")</f>
        <v/>
      </c>
      <c r="AA2059" s="340" t="str">
        <f>IF(AND(C2059&gt;0,D2059&lt;&gt;"",S2059=""),VLOOKUP(A2059&amp;IF(H2059="黑丝","黑","白")&amp;E2059,经纬!A:N,14,FALSE)*(I2059-AB2059),"")</f>
        <v/>
      </c>
    </row>
    <row r="2060" spans="13:27">
      <c r="M2060" s="24" t="str">
        <f t="array" ref="M2060">LEFT(L2060,MIN(FIND({"A","B","C"},MID(L2060,2,LEN(L2060))&amp;"ABC")))</f>
        <v/>
      </c>
      <c r="N2060" s="24" t="str">
        <f t="array" ref="N2060">SUBSTITUTE(L2060,M2060,"")</f>
        <v/>
      </c>
      <c r="X2060" s="258" t="str">
        <f t="shared" si="84"/>
        <v/>
      </c>
      <c r="Y2060" s="36" t="str">
        <f t="shared" si="85"/>
        <v/>
      </c>
      <c r="Z2060" s="340" t="str">
        <f>IF(AND(C2060&gt;0,D2060&lt;&gt;"",S2060=""),VLOOKUP(A2060&amp;IF(H2060="黑丝","黑","白")&amp;E2060,经纬!A:M,13,FALSE)*(I2060-AB2060),"")</f>
        <v/>
      </c>
      <c r="AA2060" s="340" t="str">
        <f>IF(AND(C2060&gt;0,D2060&lt;&gt;"",S2060=""),VLOOKUP(A2060&amp;IF(H2060="黑丝","黑","白")&amp;E2060,经纬!A:N,14,FALSE)*(I2060-AB2060),"")</f>
        <v/>
      </c>
    </row>
    <row r="2061" spans="13:27">
      <c r="M2061" s="24" t="str">
        <f t="array" ref="M2061">LEFT(L2061,MIN(FIND({"A","B","C"},MID(L2061,2,LEN(L2061))&amp;"ABC")))</f>
        <v/>
      </c>
      <c r="N2061" s="24" t="str">
        <f t="array" ref="N2061">SUBSTITUTE(L2061,M2061,"")</f>
        <v/>
      </c>
      <c r="X2061" s="258" t="str">
        <f t="shared" si="84"/>
        <v/>
      </c>
      <c r="Y2061" s="36" t="str">
        <f t="shared" si="85"/>
        <v/>
      </c>
      <c r="Z2061" s="340" t="str">
        <f>IF(AND(C2061&gt;0,D2061&lt;&gt;"",S2061=""),VLOOKUP(A2061&amp;IF(H2061="黑丝","黑","白")&amp;E2061,经纬!A:M,13,FALSE)*(I2061-AB2061),"")</f>
        <v/>
      </c>
      <c r="AA2061" s="340" t="str">
        <f>IF(AND(C2061&gt;0,D2061&lt;&gt;"",S2061=""),VLOOKUP(A2061&amp;IF(H2061="黑丝","黑","白")&amp;E2061,经纬!A:N,14,FALSE)*(I2061-AB2061),"")</f>
        <v/>
      </c>
    </row>
    <row r="2062" spans="13:27">
      <c r="M2062" s="24" t="str">
        <f t="array" ref="M2062">LEFT(L2062,MIN(FIND({"A","B","C"},MID(L2062,2,LEN(L2062))&amp;"ABC")))</f>
        <v/>
      </c>
      <c r="N2062" s="24" t="str">
        <f t="array" ref="N2062">SUBSTITUTE(L2062,M2062,"")</f>
        <v/>
      </c>
      <c r="X2062" s="258" t="str">
        <f t="shared" si="84"/>
        <v/>
      </c>
      <c r="Y2062" s="36" t="str">
        <f t="shared" si="85"/>
        <v/>
      </c>
      <c r="Z2062" s="340" t="str">
        <f>IF(AND(C2062&gt;0,D2062&lt;&gt;"",S2062=""),VLOOKUP(A2062&amp;IF(H2062="黑丝","黑","白")&amp;E2062,经纬!A:M,13,FALSE)*(I2062-AB2062),"")</f>
        <v/>
      </c>
      <c r="AA2062" s="340" t="str">
        <f>IF(AND(C2062&gt;0,D2062&lt;&gt;"",S2062=""),VLOOKUP(A2062&amp;IF(H2062="黑丝","黑","白")&amp;E2062,经纬!A:N,14,FALSE)*(I2062-AB2062),"")</f>
        <v/>
      </c>
    </row>
    <row r="2063" spans="13:27">
      <c r="M2063" s="24" t="str">
        <f t="array" ref="M2063">LEFT(L2063,MIN(FIND({"A","B","C"},MID(L2063,2,LEN(L2063))&amp;"ABC")))</f>
        <v/>
      </c>
      <c r="N2063" s="24" t="str">
        <f t="array" ref="N2063">SUBSTITUTE(L2063,M2063,"")</f>
        <v/>
      </c>
      <c r="X2063" s="258" t="str">
        <f t="shared" si="84"/>
        <v/>
      </c>
      <c r="Y2063" s="36" t="str">
        <f t="shared" si="85"/>
        <v/>
      </c>
      <c r="Z2063" s="340" t="str">
        <f>IF(AND(C2063&gt;0,D2063&lt;&gt;"",S2063=""),VLOOKUP(A2063&amp;IF(H2063="黑丝","黑","白")&amp;E2063,经纬!A:M,13,FALSE)*(I2063-AB2063),"")</f>
        <v/>
      </c>
      <c r="AA2063" s="340" t="str">
        <f>IF(AND(C2063&gt;0,D2063&lt;&gt;"",S2063=""),VLOOKUP(A2063&amp;IF(H2063="黑丝","黑","白")&amp;E2063,经纬!A:N,14,FALSE)*(I2063-AB2063),"")</f>
        <v/>
      </c>
    </row>
    <row r="2064" spans="13:27">
      <c r="M2064" s="24" t="str">
        <f t="array" ref="M2064">LEFT(L2064,MIN(FIND({"A","B","C"},MID(L2064,2,LEN(L2064))&amp;"ABC")))</f>
        <v/>
      </c>
      <c r="N2064" s="24" t="str">
        <f t="array" ref="N2064">SUBSTITUTE(L2064,M2064,"")</f>
        <v/>
      </c>
      <c r="X2064" s="258" t="str">
        <f t="shared" si="84"/>
        <v/>
      </c>
      <c r="Y2064" s="36" t="str">
        <f t="shared" si="85"/>
        <v/>
      </c>
      <c r="Z2064" s="340" t="str">
        <f>IF(AND(C2064&gt;0,D2064&lt;&gt;"",S2064=""),VLOOKUP(A2064&amp;IF(H2064="黑丝","黑","白")&amp;E2064,经纬!A:M,13,FALSE)*(I2064-AB2064),"")</f>
        <v/>
      </c>
      <c r="AA2064" s="340" t="str">
        <f>IF(AND(C2064&gt;0,D2064&lt;&gt;"",S2064=""),VLOOKUP(A2064&amp;IF(H2064="黑丝","黑","白")&amp;E2064,经纬!A:N,14,FALSE)*(I2064-AB2064),"")</f>
        <v/>
      </c>
    </row>
    <row r="2065" spans="13:27">
      <c r="M2065" s="24" t="str">
        <f t="array" ref="M2065">LEFT(L2065,MIN(FIND({"A","B","C"},MID(L2065,2,LEN(L2065))&amp;"ABC")))</f>
        <v/>
      </c>
      <c r="N2065" s="24" t="str">
        <f t="array" ref="N2065">SUBSTITUTE(L2065,M2065,"")</f>
        <v/>
      </c>
      <c r="X2065" s="258" t="str">
        <f t="shared" si="84"/>
        <v/>
      </c>
      <c r="Y2065" s="36" t="str">
        <f t="shared" si="85"/>
        <v/>
      </c>
      <c r="Z2065" s="340" t="str">
        <f>IF(AND(C2065&gt;0,D2065&lt;&gt;"",S2065=""),VLOOKUP(A2065&amp;IF(H2065="黑丝","黑","白")&amp;E2065,经纬!A:M,13,FALSE)*(I2065-AB2065),"")</f>
        <v/>
      </c>
      <c r="AA2065" s="340" t="str">
        <f>IF(AND(C2065&gt;0,D2065&lt;&gt;"",S2065=""),VLOOKUP(A2065&amp;IF(H2065="黑丝","黑","白")&amp;E2065,经纬!A:N,14,FALSE)*(I2065-AB2065),"")</f>
        <v/>
      </c>
    </row>
    <row r="2066" spans="13:27">
      <c r="M2066" s="24" t="str">
        <f t="array" ref="M2066">LEFT(L2066,MIN(FIND({"A","B","C"},MID(L2066,2,LEN(L2066))&amp;"ABC")))</f>
        <v/>
      </c>
      <c r="N2066" s="24" t="str">
        <f t="array" ref="N2066">SUBSTITUTE(L2066,M2066,"")</f>
        <v/>
      </c>
      <c r="X2066" s="258" t="str">
        <f t="shared" si="84"/>
        <v/>
      </c>
      <c r="Y2066" s="36" t="str">
        <f t="shared" si="85"/>
        <v/>
      </c>
      <c r="Z2066" s="340" t="str">
        <f>IF(AND(C2066&gt;0,D2066&lt;&gt;"",S2066=""),VLOOKUP(A2066&amp;IF(H2066="黑丝","黑","白")&amp;E2066,经纬!A:M,13,FALSE)*(I2066-AB2066),"")</f>
        <v/>
      </c>
      <c r="AA2066" s="340" t="str">
        <f>IF(AND(C2066&gt;0,D2066&lt;&gt;"",S2066=""),VLOOKUP(A2066&amp;IF(H2066="黑丝","黑","白")&amp;E2066,经纬!A:N,14,FALSE)*(I2066-AB2066),"")</f>
        <v/>
      </c>
    </row>
    <row r="2067" spans="13:27">
      <c r="M2067" s="24" t="str">
        <f t="array" ref="M2067">LEFT(L2067,MIN(FIND({"A","B","C"},MID(L2067,2,LEN(L2067))&amp;"ABC")))</f>
        <v/>
      </c>
      <c r="N2067" s="24" t="str">
        <f t="array" ref="N2067">SUBSTITUTE(L2067,M2067,"")</f>
        <v/>
      </c>
      <c r="X2067" s="258" t="str">
        <f t="shared" si="84"/>
        <v/>
      </c>
      <c r="Y2067" s="36" t="str">
        <f t="shared" si="85"/>
        <v/>
      </c>
      <c r="Z2067" s="340" t="str">
        <f>IF(AND(C2067&gt;0,D2067&lt;&gt;"",S2067=""),VLOOKUP(A2067&amp;IF(H2067="黑丝","黑","白")&amp;E2067,经纬!A:M,13,FALSE)*(I2067-AB2067),"")</f>
        <v/>
      </c>
      <c r="AA2067" s="340" t="str">
        <f>IF(AND(C2067&gt;0,D2067&lt;&gt;"",S2067=""),VLOOKUP(A2067&amp;IF(H2067="黑丝","黑","白")&amp;E2067,经纬!A:N,14,FALSE)*(I2067-AB2067),"")</f>
        <v/>
      </c>
    </row>
    <row r="2068" spans="13:27">
      <c r="M2068" s="24" t="str">
        <f t="array" ref="M2068">LEFT(L2068,MIN(FIND({"A","B","C"},MID(L2068,2,LEN(L2068))&amp;"ABC")))</f>
        <v/>
      </c>
      <c r="N2068" s="24" t="str">
        <f t="array" ref="N2068">SUBSTITUTE(L2068,M2068,"")</f>
        <v/>
      </c>
      <c r="X2068" s="258" t="str">
        <f t="shared" si="84"/>
        <v/>
      </c>
      <c r="Y2068" s="36" t="str">
        <f t="shared" si="85"/>
        <v/>
      </c>
      <c r="Z2068" s="340" t="str">
        <f>IF(AND(C2068&gt;0,D2068&lt;&gt;"",S2068=""),VLOOKUP(A2068&amp;IF(H2068="黑丝","黑","白")&amp;E2068,经纬!A:M,13,FALSE)*(I2068-AB2068),"")</f>
        <v/>
      </c>
      <c r="AA2068" s="340" t="str">
        <f>IF(AND(C2068&gt;0,D2068&lt;&gt;"",S2068=""),VLOOKUP(A2068&amp;IF(H2068="黑丝","黑","白")&amp;E2068,经纬!A:N,14,FALSE)*(I2068-AB2068),"")</f>
        <v/>
      </c>
    </row>
    <row r="2069" spans="13:27">
      <c r="M2069" s="24" t="str">
        <f t="array" ref="M2069">LEFT(L2069,MIN(FIND({"A","B","C"},MID(L2069,2,LEN(L2069))&amp;"ABC")))</f>
        <v/>
      </c>
      <c r="N2069" s="24" t="str">
        <f t="array" ref="N2069">SUBSTITUTE(L2069,M2069,"")</f>
        <v/>
      </c>
      <c r="X2069" s="258" t="str">
        <f t="shared" si="84"/>
        <v/>
      </c>
      <c r="Y2069" s="36" t="str">
        <f t="shared" si="85"/>
        <v/>
      </c>
      <c r="Z2069" s="340" t="str">
        <f>IF(AND(C2069&gt;0,D2069&lt;&gt;"",S2069=""),VLOOKUP(A2069&amp;IF(H2069="黑丝","黑","白")&amp;E2069,经纬!A:M,13,FALSE)*(I2069-AB2069),"")</f>
        <v/>
      </c>
      <c r="AA2069" s="340" t="str">
        <f>IF(AND(C2069&gt;0,D2069&lt;&gt;"",S2069=""),VLOOKUP(A2069&amp;IF(H2069="黑丝","黑","白")&amp;E2069,经纬!A:N,14,FALSE)*(I2069-AB2069),"")</f>
        <v/>
      </c>
    </row>
    <row r="2070" spans="13:27">
      <c r="M2070" s="24" t="str">
        <f t="array" ref="M2070">LEFT(L2070,MIN(FIND({"A","B","C"},MID(L2070,2,LEN(L2070))&amp;"ABC")))</f>
        <v/>
      </c>
      <c r="N2070" s="24" t="str">
        <f t="array" ref="N2070">SUBSTITUTE(L2070,M2070,"")</f>
        <v/>
      </c>
      <c r="X2070" s="258" t="str">
        <f t="shared" si="84"/>
        <v/>
      </c>
      <c r="Y2070" s="36" t="str">
        <f t="shared" si="85"/>
        <v/>
      </c>
      <c r="Z2070" s="340" t="str">
        <f>IF(AND(C2070&gt;0,D2070&lt;&gt;"",S2070=""),VLOOKUP(A2070&amp;IF(H2070="黑丝","黑","白")&amp;E2070,经纬!A:M,13,FALSE)*(I2070-AB2070),"")</f>
        <v/>
      </c>
      <c r="AA2070" s="340" t="str">
        <f>IF(AND(C2070&gt;0,D2070&lt;&gt;"",S2070=""),VLOOKUP(A2070&amp;IF(H2070="黑丝","黑","白")&amp;E2070,经纬!A:N,14,FALSE)*(I2070-AB2070),"")</f>
        <v/>
      </c>
    </row>
    <row r="2071" spans="13:27">
      <c r="M2071" s="24" t="str">
        <f t="array" ref="M2071">LEFT(L2071,MIN(FIND({"A","B","C"},MID(L2071,2,LEN(L2071))&amp;"ABC")))</f>
        <v/>
      </c>
      <c r="N2071" s="24" t="str">
        <f t="array" ref="N2071">SUBSTITUTE(L2071,M2071,"")</f>
        <v/>
      </c>
      <c r="X2071" s="258" t="str">
        <f t="shared" si="84"/>
        <v/>
      </c>
      <c r="Y2071" s="36" t="str">
        <f t="shared" si="85"/>
        <v/>
      </c>
      <c r="Z2071" s="340" t="str">
        <f>IF(AND(C2071&gt;0,D2071&lt;&gt;"",S2071=""),VLOOKUP(A2071&amp;IF(H2071="黑丝","黑","白")&amp;E2071,经纬!A:M,13,FALSE)*(I2071-AB2071),"")</f>
        <v/>
      </c>
      <c r="AA2071" s="340" t="str">
        <f>IF(AND(C2071&gt;0,D2071&lt;&gt;"",S2071=""),VLOOKUP(A2071&amp;IF(H2071="黑丝","黑","白")&amp;E2071,经纬!A:N,14,FALSE)*(I2071-AB2071),"")</f>
        <v/>
      </c>
    </row>
    <row r="2072" spans="13:27">
      <c r="M2072" s="24" t="str">
        <f t="array" ref="M2072">LEFT(L2072,MIN(FIND({"A","B","C"},MID(L2072,2,LEN(L2072))&amp;"ABC")))</f>
        <v/>
      </c>
      <c r="N2072" s="24" t="str">
        <f t="array" ref="N2072">SUBSTITUTE(L2072,M2072,"")</f>
        <v/>
      </c>
      <c r="X2072" s="258" t="str">
        <f t="shared" si="84"/>
        <v/>
      </c>
      <c r="Y2072" s="36" t="str">
        <f t="shared" si="85"/>
        <v/>
      </c>
      <c r="Z2072" s="340" t="str">
        <f>IF(AND(C2072&gt;0,D2072&lt;&gt;"",S2072=""),VLOOKUP(A2072&amp;IF(H2072="黑丝","黑","白")&amp;E2072,经纬!A:M,13,FALSE)*(I2072-AB2072),"")</f>
        <v/>
      </c>
      <c r="AA2072" s="340" t="str">
        <f>IF(AND(C2072&gt;0,D2072&lt;&gt;"",S2072=""),VLOOKUP(A2072&amp;IF(H2072="黑丝","黑","白")&amp;E2072,经纬!A:N,14,FALSE)*(I2072-AB2072),"")</f>
        <v/>
      </c>
    </row>
    <row r="2073" spans="13:27">
      <c r="M2073" s="24" t="str">
        <f t="array" ref="M2073">LEFT(L2073,MIN(FIND({"A","B","C"},MID(L2073,2,LEN(L2073))&amp;"ABC")))</f>
        <v/>
      </c>
      <c r="N2073" s="24" t="str">
        <f t="array" ref="N2073">SUBSTITUTE(L2073,M2073,"")</f>
        <v/>
      </c>
      <c r="X2073" s="258" t="str">
        <f t="shared" si="84"/>
        <v/>
      </c>
      <c r="Y2073" s="36" t="str">
        <f t="shared" si="85"/>
        <v/>
      </c>
      <c r="Z2073" s="340" t="str">
        <f>IF(AND(C2073&gt;0,D2073&lt;&gt;"",S2073=""),VLOOKUP(A2073&amp;IF(H2073="黑丝","黑","白")&amp;E2073,经纬!A:M,13,FALSE)*(I2073-AB2073),"")</f>
        <v/>
      </c>
      <c r="AA2073" s="340" t="str">
        <f>IF(AND(C2073&gt;0,D2073&lt;&gt;"",S2073=""),VLOOKUP(A2073&amp;IF(H2073="黑丝","黑","白")&amp;E2073,经纬!A:N,14,FALSE)*(I2073-AB2073),"")</f>
        <v/>
      </c>
    </row>
    <row r="2074" spans="13:27">
      <c r="M2074" s="24" t="str">
        <f t="array" ref="M2074">LEFT(L2074,MIN(FIND({"A","B","C"},MID(L2074,2,LEN(L2074))&amp;"ABC")))</f>
        <v/>
      </c>
      <c r="N2074" s="24" t="str">
        <f t="array" ref="N2074">SUBSTITUTE(L2074,M2074,"")</f>
        <v/>
      </c>
      <c r="X2074" s="258" t="str">
        <f t="shared" si="84"/>
        <v/>
      </c>
      <c r="Y2074" s="36" t="str">
        <f t="shared" si="85"/>
        <v/>
      </c>
      <c r="Z2074" s="340" t="str">
        <f>IF(AND(C2074&gt;0,D2074&lt;&gt;"",S2074=""),VLOOKUP(A2074&amp;IF(H2074="黑丝","黑","白")&amp;E2074,经纬!A:M,13,FALSE)*(I2074-AB2074),"")</f>
        <v/>
      </c>
      <c r="AA2074" s="340" t="str">
        <f>IF(AND(C2074&gt;0,D2074&lt;&gt;"",S2074=""),VLOOKUP(A2074&amp;IF(H2074="黑丝","黑","白")&amp;E2074,经纬!A:N,14,FALSE)*(I2074-AB2074),"")</f>
        <v/>
      </c>
    </row>
    <row r="2075" spans="13:27">
      <c r="M2075" s="24" t="str">
        <f t="array" ref="M2075">LEFT(L2075,MIN(FIND({"A","B","C"},MID(L2075,2,LEN(L2075))&amp;"ABC")))</f>
        <v/>
      </c>
      <c r="N2075" s="24" t="str">
        <f t="array" ref="N2075">SUBSTITUTE(L2075,M2075,"")</f>
        <v/>
      </c>
      <c r="X2075" s="258" t="str">
        <f t="shared" si="84"/>
        <v/>
      </c>
      <c r="Y2075" s="36" t="str">
        <f t="shared" si="85"/>
        <v/>
      </c>
      <c r="Z2075" s="340" t="str">
        <f>IF(AND(C2075&gt;0,D2075&lt;&gt;"",S2075=""),VLOOKUP(A2075&amp;IF(H2075="黑丝","黑","白")&amp;E2075,经纬!A:M,13,FALSE)*(I2075-AB2075),"")</f>
        <v/>
      </c>
      <c r="AA2075" s="340" t="str">
        <f>IF(AND(C2075&gt;0,D2075&lt;&gt;"",S2075=""),VLOOKUP(A2075&amp;IF(H2075="黑丝","黑","白")&amp;E2075,经纬!A:N,14,FALSE)*(I2075-AB2075),"")</f>
        <v/>
      </c>
    </row>
    <row r="2076" spans="13:27">
      <c r="M2076" s="24" t="str">
        <f t="array" ref="M2076">LEFT(L2076,MIN(FIND({"A","B","C"},MID(L2076,2,LEN(L2076))&amp;"ABC")))</f>
        <v/>
      </c>
      <c r="N2076" s="24" t="str">
        <f t="array" ref="N2076">SUBSTITUTE(L2076,M2076,"")</f>
        <v/>
      </c>
      <c r="X2076" s="258" t="str">
        <f t="shared" ref="X2076:X2139" si="86">IF(B2076="","",IF(S2076&lt;&gt;"","",IF(AND(Z2076&lt;&gt;"",AA2076&lt;&gt;""),SUM(Z2076:AA2076),IF(AB2076&lt;&gt;"",(I2076/((1/((G2076+2)/100*K2076/1000))*0.9144)/IF(H2076="黑丝",22,20)-AB2076)*(IF(H2076="黑丝",22,20)),I2076/((1/((G2076+2)/100*K2076/1000))*0.9144)))))</f>
        <v/>
      </c>
      <c r="Y2076" s="36" t="str">
        <f t="shared" si="85"/>
        <v/>
      </c>
      <c r="Z2076" s="340" t="str">
        <f>IF(AND(C2076&gt;0,D2076&lt;&gt;"",S2076=""),VLOOKUP(A2076&amp;IF(H2076="黑丝","黑","白")&amp;E2076,经纬!A:M,13,FALSE)*(I2076-AB2076),"")</f>
        <v/>
      </c>
      <c r="AA2076" s="340" t="str">
        <f>IF(AND(C2076&gt;0,D2076&lt;&gt;"",S2076=""),VLOOKUP(A2076&amp;IF(H2076="黑丝","黑","白")&amp;E2076,经纬!A:N,14,FALSE)*(I2076-AB2076),"")</f>
        <v/>
      </c>
    </row>
    <row r="2077" spans="13:27">
      <c r="M2077" s="24" t="str">
        <f t="array" ref="M2077">LEFT(L2077,MIN(FIND({"A","B","C"},MID(L2077,2,LEN(L2077))&amp;"ABC")))</f>
        <v/>
      </c>
      <c r="N2077" s="24" t="str">
        <f t="array" ref="N2077">SUBSTITUTE(L2077,M2077,"")</f>
        <v/>
      </c>
      <c r="X2077" s="258" t="str">
        <f t="shared" si="86"/>
        <v/>
      </c>
      <c r="Y2077" s="36" t="str">
        <f t="shared" si="85"/>
        <v/>
      </c>
      <c r="Z2077" s="340" t="str">
        <f>IF(AND(C2077&gt;0,D2077&lt;&gt;"",S2077=""),VLOOKUP(A2077&amp;IF(H2077="黑丝","黑","白")&amp;E2077,经纬!A:M,13,FALSE)*(I2077-AB2077),"")</f>
        <v/>
      </c>
      <c r="AA2077" s="340" t="str">
        <f>IF(AND(C2077&gt;0,D2077&lt;&gt;"",S2077=""),VLOOKUP(A2077&amp;IF(H2077="黑丝","黑","白")&amp;E2077,经纬!A:N,14,FALSE)*(I2077-AB2077),"")</f>
        <v/>
      </c>
    </row>
    <row r="2078" spans="13:27">
      <c r="M2078" s="24" t="str">
        <f t="array" ref="M2078">LEFT(L2078,MIN(FIND({"A","B","C"},MID(L2078,2,LEN(L2078))&amp;"ABC")))</f>
        <v/>
      </c>
      <c r="N2078" s="24" t="str">
        <f t="array" ref="N2078">SUBSTITUTE(L2078,M2078,"")</f>
        <v/>
      </c>
      <c r="X2078" s="258" t="str">
        <f t="shared" si="86"/>
        <v/>
      </c>
      <c r="Y2078" s="36" t="str">
        <f t="shared" si="85"/>
        <v/>
      </c>
      <c r="Z2078" s="340" t="str">
        <f>IF(AND(C2078&gt;0,D2078&lt;&gt;"",S2078=""),VLOOKUP(A2078&amp;IF(H2078="黑丝","黑","白")&amp;E2078,经纬!A:M,13,FALSE)*(I2078-AB2078),"")</f>
        <v/>
      </c>
      <c r="AA2078" s="340" t="str">
        <f>IF(AND(C2078&gt;0,D2078&lt;&gt;"",S2078=""),VLOOKUP(A2078&amp;IF(H2078="黑丝","黑","白")&amp;E2078,经纬!A:N,14,FALSE)*(I2078-AB2078),"")</f>
        <v/>
      </c>
    </row>
    <row r="2079" spans="13:27">
      <c r="M2079" s="24" t="str">
        <f t="array" ref="M2079">LEFT(L2079,MIN(FIND({"A","B","C"},MID(L2079,2,LEN(L2079))&amp;"ABC")))</f>
        <v/>
      </c>
      <c r="N2079" s="24" t="str">
        <f t="array" ref="N2079">SUBSTITUTE(L2079,M2079,"")</f>
        <v/>
      </c>
      <c r="X2079" s="258" t="str">
        <f t="shared" si="86"/>
        <v/>
      </c>
      <c r="Y2079" s="36" t="str">
        <f t="shared" si="85"/>
        <v/>
      </c>
      <c r="Z2079" s="340" t="str">
        <f>IF(AND(C2079&gt;0,D2079&lt;&gt;"",S2079=""),VLOOKUP(A2079&amp;IF(H2079="黑丝","黑","白")&amp;E2079,经纬!A:M,13,FALSE)*(I2079-AB2079),"")</f>
        <v/>
      </c>
      <c r="AA2079" s="340" t="str">
        <f>IF(AND(C2079&gt;0,D2079&lt;&gt;"",S2079=""),VLOOKUP(A2079&amp;IF(H2079="黑丝","黑","白")&amp;E2079,经纬!A:N,14,FALSE)*(I2079-AB2079),"")</f>
        <v/>
      </c>
    </row>
    <row r="2080" spans="13:27">
      <c r="M2080" s="24" t="str">
        <f t="array" ref="M2080">LEFT(L2080,MIN(FIND({"A","B","C"},MID(L2080,2,LEN(L2080))&amp;"ABC")))</f>
        <v/>
      </c>
      <c r="N2080" s="24" t="str">
        <f t="array" ref="N2080">SUBSTITUTE(L2080,M2080,"")</f>
        <v/>
      </c>
      <c r="X2080" s="258" t="str">
        <f t="shared" si="86"/>
        <v/>
      </c>
      <c r="Y2080" s="36" t="str">
        <f t="shared" si="85"/>
        <v/>
      </c>
      <c r="Z2080" s="340" t="str">
        <f>IF(AND(C2080&gt;0,D2080&lt;&gt;"",S2080=""),VLOOKUP(A2080&amp;IF(H2080="黑丝","黑","白")&amp;E2080,经纬!A:M,13,FALSE)*(I2080-AB2080),"")</f>
        <v/>
      </c>
      <c r="AA2080" s="340" t="str">
        <f>IF(AND(C2080&gt;0,D2080&lt;&gt;"",S2080=""),VLOOKUP(A2080&amp;IF(H2080="黑丝","黑","白")&amp;E2080,经纬!A:N,14,FALSE)*(I2080-AB2080),"")</f>
        <v/>
      </c>
    </row>
    <row r="2081" spans="13:27">
      <c r="M2081" s="24" t="str">
        <f t="array" ref="M2081">LEFT(L2081,MIN(FIND({"A","B","C"},MID(L2081,2,LEN(L2081))&amp;"ABC")))</f>
        <v/>
      </c>
      <c r="N2081" s="24" t="str">
        <f t="array" ref="N2081">SUBSTITUTE(L2081,M2081,"")</f>
        <v/>
      </c>
      <c r="X2081" s="258" t="str">
        <f t="shared" si="86"/>
        <v/>
      </c>
      <c r="Y2081" s="36" t="str">
        <f t="shared" si="85"/>
        <v/>
      </c>
      <c r="Z2081" s="340" t="str">
        <f>IF(AND(C2081&gt;0,D2081&lt;&gt;"",S2081=""),VLOOKUP(A2081&amp;IF(H2081="黑丝","黑","白")&amp;E2081,经纬!A:M,13,FALSE)*(I2081-AB2081),"")</f>
        <v/>
      </c>
      <c r="AA2081" s="340" t="str">
        <f>IF(AND(C2081&gt;0,D2081&lt;&gt;"",S2081=""),VLOOKUP(A2081&amp;IF(H2081="黑丝","黑","白")&amp;E2081,经纬!A:N,14,FALSE)*(I2081-AB2081),"")</f>
        <v/>
      </c>
    </row>
    <row r="2082" spans="13:27">
      <c r="M2082" s="24" t="str">
        <f t="array" ref="M2082">LEFT(L2082,MIN(FIND({"A","B","C"},MID(L2082,2,LEN(L2082))&amp;"ABC")))</f>
        <v/>
      </c>
      <c r="N2082" s="24" t="str">
        <f t="array" ref="N2082">SUBSTITUTE(L2082,M2082,"")</f>
        <v/>
      </c>
      <c r="X2082" s="258" t="str">
        <f t="shared" si="86"/>
        <v/>
      </c>
      <c r="Y2082" s="36" t="str">
        <f t="shared" si="85"/>
        <v/>
      </c>
      <c r="Z2082" s="340" t="str">
        <f>IF(AND(C2082&gt;0,D2082&lt;&gt;"",S2082=""),VLOOKUP(A2082&amp;IF(H2082="黑丝","黑","白")&amp;E2082,经纬!A:M,13,FALSE)*(I2082-AB2082),"")</f>
        <v/>
      </c>
      <c r="AA2082" s="340" t="str">
        <f>IF(AND(C2082&gt;0,D2082&lt;&gt;"",S2082=""),VLOOKUP(A2082&amp;IF(H2082="黑丝","黑","白")&amp;E2082,经纬!A:N,14,FALSE)*(I2082-AB2082),"")</f>
        <v/>
      </c>
    </row>
    <row r="2083" spans="13:27">
      <c r="M2083" s="24" t="str">
        <f t="array" ref="M2083">LEFT(L2083,MIN(FIND({"A","B","C"},MID(L2083,2,LEN(L2083))&amp;"ABC")))</f>
        <v/>
      </c>
      <c r="N2083" s="24" t="str">
        <f t="array" ref="N2083">SUBSTITUTE(L2083,M2083,"")</f>
        <v/>
      </c>
      <c r="X2083" s="258" t="str">
        <f t="shared" si="86"/>
        <v/>
      </c>
      <c r="Y2083" s="36" t="str">
        <f t="shared" si="85"/>
        <v/>
      </c>
      <c r="Z2083" s="340" t="str">
        <f>IF(AND(C2083&gt;0,D2083&lt;&gt;"",S2083=""),VLOOKUP(A2083&amp;IF(H2083="黑丝","黑","白")&amp;E2083,经纬!A:M,13,FALSE)*(I2083-AB2083),"")</f>
        <v/>
      </c>
      <c r="AA2083" s="340" t="str">
        <f>IF(AND(C2083&gt;0,D2083&lt;&gt;"",S2083=""),VLOOKUP(A2083&amp;IF(H2083="黑丝","黑","白")&amp;E2083,经纬!A:N,14,FALSE)*(I2083-AB2083),"")</f>
        <v/>
      </c>
    </row>
    <row r="2084" spans="13:27">
      <c r="M2084" s="24" t="str">
        <f t="array" ref="M2084">LEFT(L2084,MIN(FIND({"A","B","C"},MID(L2084,2,LEN(L2084))&amp;"ABC")))</f>
        <v/>
      </c>
      <c r="N2084" s="24" t="str">
        <f t="array" ref="N2084">SUBSTITUTE(L2084,M2084,"")</f>
        <v/>
      </c>
      <c r="X2084" s="258" t="str">
        <f t="shared" si="86"/>
        <v/>
      </c>
      <c r="Y2084" s="36" t="str">
        <f t="shared" si="85"/>
        <v/>
      </c>
      <c r="Z2084" s="340" t="str">
        <f>IF(AND(C2084&gt;0,D2084&lt;&gt;"",S2084=""),VLOOKUP(A2084&amp;IF(H2084="黑丝","黑","白")&amp;E2084,经纬!A:M,13,FALSE)*(I2084-AB2084),"")</f>
        <v/>
      </c>
      <c r="AA2084" s="340" t="str">
        <f>IF(AND(C2084&gt;0,D2084&lt;&gt;"",S2084=""),VLOOKUP(A2084&amp;IF(H2084="黑丝","黑","白")&amp;E2084,经纬!A:N,14,FALSE)*(I2084-AB2084),"")</f>
        <v/>
      </c>
    </row>
    <row r="2085" spans="13:27">
      <c r="M2085" s="24" t="str">
        <f t="array" ref="M2085">LEFT(L2085,MIN(FIND({"A","B","C"},MID(L2085,2,LEN(L2085))&amp;"ABC")))</f>
        <v/>
      </c>
      <c r="N2085" s="24" t="str">
        <f t="array" ref="N2085">SUBSTITUTE(L2085,M2085,"")</f>
        <v/>
      </c>
      <c r="X2085" s="258" t="str">
        <f t="shared" si="86"/>
        <v/>
      </c>
      <c r="Y2085" s="36" t="str">
        <f t="shared" si="85"/>
        <v/>
      </c>
      <c r="Z2085" s="340" t="str">
        <f>IF(AND(C2085&gt;0,D2085&lt;&gt;"",S2085=""),VLOOKUP(A2085&amp;IF(H2085="黑丝","黑","白")&amp;E2085,经纬!A:M,13,FALSE)*(I2085-AB2085),"")</f>
        <v/>
      </c>
      <c r="AA2085" s="340" t="str">
        <f>IF(AND(C2085&gt;0,D2085&lt;&gt;"",S2085=""),VLOOKUP(A2085&amp;IF(H2085="黑丝","黑","白")&amp;E2085,经纬!A:N,14,FALSE)*(I2085-AB2085),"")</f>
        <v/>
      </c>
    </row>
    <row r="2086" spans="13:27">
      <c r="M2086" s="24" t="str">
        <f t="array" ref="M2086">LEFT(L2086,MIN(FIND({"A","B","C"},MID(L2086,2,LEN(L2086))&amp;"ABC")))</f>
        <v/>
      </c>
      <c r="N2086" s="24" t="str">
        <f t="array" ref="N2086">SUBSTITUTE(L2086,M2086,"")</f>
        <v/>
      </c>
      <c r="X2086" s="258" t="str">
        <f t="shared" si="86"/>
        <v/>
      </c>
      <c r="Y2086" s="36" t="str">
        <f t="shared" si="85"/>
        <v/>
      </c>
      <c r="Z2086" s="340" t="str">
        <f>IF(AND(C2086&gt;0,D2086&lt;&gt;"",S2086=""),VLOOKUP(A2086&amp;IF(H2086="黑丝","黑","白")&amp;E2086,经纬!A:M,13,FALSE)*(I2086-AB2086),"")</f>
        <v/>
      </c>
      <c r="AA2086" s="340" t="str">
        <f>IF(AND(C2086&gt;0,D2086&lt;&gt;"",S2086=""),VLOOKUP(A2086&amp;IF(H2086="黑丝","黑","白")&amp;E2086,经纬!A:N,14,FALSE)*(I2086-AB2086),"")</f>
        <v/>
      </c>
    </row>
    <row r="2087" spans="13:27">
      <c r="M2087" s="24" t="str">
        <f t="array" ref="M2087">LEFT(L2087,MIN(FIND({"A","B","C"},MID(L2087,2,LEN(L2087))&amp;"ABC")))</f>
        <v/>
      </c>
      <c r="N2087" s="24" t="str">
        <f t="array" ref="N2087">SUBSTITUTE(L2087,M2087,"")</f>
        <v/>
      </c>
      <c r="X2087" s="258" t="str">
        <f t="shared" si="86"/>
        <v/>
      </c>
      <c r="Y2087" s="36" t="str">
        <f t="shared" si="85"/>
        <v/>
      </c>
      <c r="Z2087" s="340" t="str">
        <f>IF(AND(C2087&gt;0,D2087&lt;&gt;"",S2087=""),VLOOKUP(A2087&amp;IF(H2087="黑丝","黑","白")&amp;E2087,经纬!A:M,13,FALSE)*(I2087-AB2087),"")</f>
        <v/>
      </c>
      <c r="AA2087" s="340" t="str">
        <f>IF(AND(C2087&gt;0,D2087&lt;&gt;"",S2087=""),VLOOKUP(A2087&amp;IF(H2087="黑丝","黑","白")&amp;E2087,经纬!A:N,14,FALSE)*(I2087-AB2087),"")</f>
        <v/>
      </c>
    </row>
    <row r="2088" spans="13:27">
      <c r="M2088" s="24" t="str">
        <f t="array" ref="M2088">LEFT(L2088,MIN(FIND({"A","B","C"},MID(L2088,2,LEN(L2088))&amp;"ABC")))</f>
        <v/>
      </c>
      <c r="N2088" s="24" t="str">
        <f t="array" ref="N2088">SUBSTITUTE(L2088,M2088,"")</f>
        <v/>
      </c>
      <c r="X2088" s="258" t="str">
        <f t="shared" si="86"/>
        <v/>
      </c>
      <c r="Y2088" s="36" t="str">
        <f t="shared" si="85"/>
        <v/>
      </c>
      <c r="Z2088" s="340" t="str">
        <f>IF(AND(C2088&gt;0,D2088&lt;&gt;"",S2088=""),VLOOKUP(A2088&amp;IF(H2088="黑丝","黑","白")&amp;E2088,经纬!A:M,13,FALSE)*(I2088-AB2088),"")</f>
        <v/>
      </c>
      <c r="AA2088" s="340" t="str">
        <f>IF(AND(C2088&gt;0,D2088&lt;&gt;"",S2088=""),VLOOKUP(A2088&amp;IF(H2088="黑丝","黑","白")&amp;E2088,经纬!A:N,14,FALSE)*(I2088-AB2088),"")</f>
        <v/>
      </c>
    </row>
    <row r="2089" spans="13:27">
      <c r="M2089" s="24" t="str">
        <f t="array" ref="M2089">LEFT(L2089,MIN(FIND({"A","B","C"},MID(L2089,2,LEN(L2089))&amp;"ABC")))</f>
        <v/>
      </c>
      <c r="N2089" s="24" t="str">
        <f t="array" ref="N2089">SUBSTITUTE(L2089,M2089,"")</f>
        <v/>
      </c>
      <c r="X2089" s="258" t="str">
        <f t="shared" si="86"/>
        <v/>
      </c>
      <c r="Y2089" s="36" t="str">
        <f t="shared" ref="Y2089:Y2152" si="87">IF(OR(B2089="",D2089&lt;&gt;""),"",IF(S2089&lt;&gt;"","",I2089/((1/((G2089+2)/100*K2089/1000))*0.9144)/IF(H2089="黑丝",22,20)-AB2089))</f>
        <v/>
      </c>
      <c r="Z2089" s="340" t="str">
        <f>IF(AND(C2089&gt;0,D2089&lt;&gt;"",S2089=""),VLOOKUP(A2089&amp;IF(H2089="黑丝","黑","白")&amp;E2089,经纬!A:M,13,FALSE)*(I2089-AB2089),"")</f>
        <v/>
      </c>
      <c r="AA2089" s="340" t="str">
        <f>IF(AND(C2089&gt;0,D2089&lt;&gt;"",S2089=""),VLOOKUP(A2089&amp;IF(H2089="黑丝","黑","白")&amp;E2089,经纬!A:N,14,FALSE)*(I2089-AB2089),"")</f>
        <v/>
      </c>
    </row>
    <row r="2090" spans="13:27">
      <c r="M2090" s="24" t="str">
        <f t="array" ref="M2090">LEFT(L2090,MIN(FIND({"A","B","C"},MID(L2090,2,LEN(L2090))&amp;"ABC")))</f>
        <v/>
      </c>
      <c r="N2090" s="24" t="str">
        <f t="array" ref="N2090">SUBSTITUTE(L2090,M2090,"")</f>
        <v/>
      </c>
      <c r="X2090" s="258" t="str">
        <f t="shared" si="86"/>
        <v/>
      </c>
      <c r="Y2090" s="36" t="str">
        <f t="shared" si="87"/>
        <v/>
      </c>
      <c r="Z2090" s="340" t="str">
        <f>IF(AND(C2090&gt;0,D2090&lt;&gt;"",S2090=""),VLOOKUP(A2090&amp;IF(H2090="黑丝","黑","白")&amp;E2090,经纬!A:M,13,FALSE)*(I2090-AB2090),"")</f>
        <v/>
      </c>
      <c r="AA2090" s="340" t="str">
        <f>IF(AND(C2090&gt;0,D2090&lt;&gt;"",S2090=""),VLOOKUP(A2090&amp;IF(H2090="黑丝","黑","白")&amp;E2090,经纬!A:N,14,FALSE)*(I2090-AB2090),"")</f>
        <v/>
      </c>
    </row>
    <row r="2091" spans="13:27">
      <c r="M2091" s="24" t="str">
        <f t="array" ref="M2091">LEFT(L2091,MIN(FIND({"A","B","C"},MID(L2091,2,LEN(L2091))&amp;"ABC")))</f>
        <v/>
      </c>
      <c r="N2091" s="24" t="str">
        <f t="array" ref="N2091">SUBSTITUTE(L2091,M2091,"")</f>
        <v/>
      </c>
      <c r="X2091" s="258" t="str">
        <f t="shared" si="86"/>
        <v/>
      </c>
      <c r="Y2091" s="36" t="str">
        <f t="shared" si="87"/>
        <v/>
      </c>
      <c r="Z2091" s="340" t="str">
        <f>IF(AND(C2091&gt;0,D2091&lt;&gt;"",S2091=""),VLOOKUP(A2091&amp;IF(H2091="黑丝","黑","白")&amp;E2091,经纬!A:M,13,FALSE)*(I2091-AB2091),"")</f>
        <v/>
      </c>
      <c r="AA2091" s="340" t="str">
        <f>IF(AND(C2091&gt;0,D2091&lt;&gt;"",S2091=""),VLOOKUP(A2091&amp;IF(H2091="黑丝","黑","白")&amp;E2091,经纬!A:N,14,FALSE)*(I2091-AB2091),"")</f>
        <v/>
      </c>
    </row>
    <row r="2092" spans="13:27">
      <c r="M2092" s="24" t="str">
        <f t="array" ref="M2092">LEFT(L2092,MIN(FIND({"A","B","C"},MID(L2092,2,LEN(L2092))&amp;"ABC")))</f>
        <v/>
      </c>
      <c r="N2092" s="24" t="str">
        <f t="array" ref="N2092">SUBSTITUTE(L2092,M2092,"")</f>
        <v/>
      </c>
      <c r="X2092" s="258" t="str">
        <f t="shared" si="86"/>
        <v/>
      </c>
      <c r="Y2092" s="36" t="str">
        <f t="shared" si="87"/>
        <v/>
      </c>
      <c r="Z2092" s="340" t="str">
        <f>IF(AND(C2092&gt;0,D2092&lt;&gt;"",S2092=""),VLOOKUP(A2092&amp;IF(H2092="黑丝","黑","白")&amp;E2092,经纬!A:M,13,FALSE)*(I2092-AB2092),"")</f>
        <v/>
      </c>
      <c r="AA2092" s="340" t="str">
        <f>IF(AND(C2092&gt;0,D2092&lt;&gt;"",S2092=""),VLOOKUP(A2092&amp;IF(H2092="黑丝","黑","白")&amp;E2092,经纬!A:N,14,FALSE)*(I2092-AB2092),"")</f>
        <v/>
      </c>
    </row>
    <row r="2093" spans="13:27">
      <c r="M2093" s="24" t="str">
        <f t="array" ref="M2093">LEFT(L2093,MIN(FIND({"A","B","C"},MID(L2093,2,LEN(L2093))&amp;"ABC")))</f>
        <v/>
      </c>
      <c r="N2093" s="24" t="str">
        <f t="array" ref="N2093">SUBSTITUTE(L2093,M2093,"")</f>
        <v/>
      </c>
      <c r="X2093" s="258" t="str">
        <f t="shared" si="86"/>
        <v/>
      </c>
      <c r="Y2093" s="36" t="str">
        <f t="shared" si="87"/>
        <v/>
      </c>
      <c r="Z2093" s="340" t="str">
        <f>IF(AND(C2093&gt;0,D2093&lt;&gt;"",S2093=""),VLOOKUP(A2093&amp;IF(H2093="黑丝","黑","白")&amp;E2093,经纬!A:M,13,FALSE)*(I2093-AB2093),"")</f>
        <v/>
      </c>
      <c r="AA2093" s="340" t="str">
        <f>IF(AND(C2093&gt;0,D2093&lt;&gt;"",S2093=""),VLOOKUP(A2093&amp;IF(H2093="黑丝","黑","白")&amp;E2093,经纬!A:N,14,FALSE)*(I2093-AB2093),"")</f>
        <v/>
      </c>
    </row>
    <row r="2094" spans="13:27">
      <c r="M2094" s="24" t="str">
        <f t="array" ref="M2094">LEFT(L2094,MIN(FIND({"A","B","C"},MID(L2094,2,LEN(L2094))&amp;"ABC")))</f>
        <v/>
      </c>
      <c r="N2094" s="24" t="str">
        <f t="array" ref="N2094">SUBSTITUTE(L2094,M2094,"")</f>
        <v/>
      </c>
      <c r="X2094" s="258" t="str">
        <f t="shared" si="86"/>
        <v/>
      </c>
      <c r="Y2094" s="36" t="str">
        <f t="shared" si="87"/>
        <v/>
      </c>
      <c r="Z2094" s="340" t="str">
        <f>IF(AND(C2094&gt;0,D2094&lt;&gt;"",S2094=""),VLOOKUP(A2094&amp;IF(H2094="黑丝","黑","白")&amp;E2094,经纬!A:M,13,FALSE)*(I2094-AB2094),"")</f>
        <v/>
      </c>
      <c r="AA2094" s="340" t="str">
        <f>IF(AND(C2094&gt;0,D2094&lt;&gt;"",S2094=""),VLOOKUP(A2094&amp;IF(H2094="黑丝","黑","白")&amp;E2094,经纬!A:N,14,FALSE)*(I2094-AB2094),"")</f>
        <v/>
      </c>
    </row>
    <row r="2095" spans="13:27">
      <c r="M2095" s="24" t="str">
        <f t="array" ref="M2095">LEFT(L2095,MIN(FIND({"A","B","C"},MID(L2095,2,LEN(L2095))&amp;"ABC")))</f>
        <v/>
      </c>
      <c r="N2095" s="24" t="str">
        <f t="array" ref="N2095">SUBSTITUTE(L2095,M2095,"")</f>
        <v/>
      </c>
      <c r="X2095" s="258" t="str">
        <f t="shared" si="86"/>
        <v/>
      </c>
      <c r="Y2095" s="36" t="str">
        <f t="shared" si="87"/>
        <v/>
      </c>
      <c r="Z2095" s="340" t="str">
        <f>IF(AND(C2095&gt;0,D2095&lt;&gt;"",S2095=""),VLOOKUP(A2095&amp;IF(H2095="黑丝","黑","白")&amp;E2095,经纬!A:M,13,FALSE)*(I2095-AB2095),"")</f>
        <v/>
      </c>
      <c r="AA2095" s="340" t="str">
        <f>IF(AND(C2095&gt;0,D2095&lt;&gt;"",S2095=""),VLOOKUP(A2095&amp;IF(H2095="黑丝","黑","白")&amp;E2095,经纬!A:N,14,FALSE)*(I2095-AB2095),"")</f>
        <v/>
      </c>
    </row>
    <row r="2096" spans="13:27">
      <c r="M2096" s="24" t="str">
        <f t="array" ref="M2096">LEFT(L2096,MIN(FIND({"A","B","C"},MID(L2096,2,LEN(L2096))&amp;"ABC")))</f>
        <v/>
      </c>
      <c r="N2096" s="24" t="str">
        <f t="array" ref="N2096">SUBSTITUTE(L2096,M2096,"")</f>
        <v/>
      </c>
      <c r="X2096" s="258" t="str">
        <f t="shared" si="86"/>
        <v/>
      </c>
      <c r="Y2096" s="36" t="str">
        <f t="shared" si="87"/>
        <v/>
      </c>
      <c r="Z2096" s="340" t="str">
        <f>IF(AND(C2096&gt;0,D2096&lt;&gt;"",S2096=""),VLOOKUP(A2096&amp;IF(H2096="黑丝","黑","白")&amp;E2096,经纬!A:M,13,FALSE)*(I2096-AB2096),"")</f>
        <v/>
      </c>
      <c r="AA2096" s="340" t="str">
        <f>IF(AND(C2096&gt;0,D2096&lt;&gt;"",S2096=""),VLOOKUP(A2096&amp;IF(H2096="黑丝","黑","白")&amp;E2096,经纬!A:N,14,FALSE)*(I2096-AB2096),"")</f>
        <v/>
      </c>
    </row>
    <row r="2097" spans="13:27">
      <c r="M2097" s="24" t="str">
        <f t="array" ref="M2097">LEFT(L2097,MIN(FIND({"A","B","C"},MID(L2097,2,LEN(L2097))&amp;"ABC")))</f>
        <v/>
      </c>
      <c r="N2097" s="24" t="str">
        <f t="array" ref="N2097">SUBSTITUTE(L2097,M2097,"")</f>
        <v/>
      </c>
      <c r="X2097" s="258" t="str">
        <f t="shared" si="86"/>
        <v/>
      </c>
      <c r="Y2097" s="36" t="str">
        <f t="shared" si="87"/>
        <v/>
      </c>
      <c r="Z2097" s="340" t="str">
        <f>IF(AND(C2097&gt;0,D2097&lt;&gt;"",S2097=""),VLOOKUP(A2097&amp;IF(H2097="黑丝","黑","白")&amp;E2097,经纬!A:M,13,FALSE)*(I2097-AB2097),"")</f>
        <v/>
      </c>
      <c r="AA2097" s="340" t="str">
        <f>IF(AND(C2097&gt;0,D2097&lt;&gt;"",S2097=""),VLOOKUP(A2097&amp;IF(H2097="黑丝","黑","白")&amp;E2097,经纬!A:N,14,FALSE)*(I2097-AB2097),"")</f>
        <v/>
      </c>
    </row>
    <row r="2098" spans="13:27">
      <c r="M2098" s="24" t="str">
        <f t="array" ref="M2098">LEFT(L2098,MIN(FIND({"A","B","C"},MID(L2098,2,LEN(L2098))&amp;"ABC")))</f>
        <v/>
      </c>
      <c r="N2098" s="24" t="str">
        <f t="array" ref="N2098">SUBSTITUTE(L2098,M2098,"")</f>
        <v/>
      </c>
      <c r="X2098" s="258" t="str">
        <f t="shared" si="86"/>
        <v/>
      </c>
      <c r="Y2098" s="36" t="str">
        <f t="shared" si="87"/>
        <v/>
      </c>
      <c r="Z2098" s="340" t="str">
        <f>IF(AND(C2098&gt;0,D2098&lt;&gt;"",S2098=""),VLOOKUP(A2098&amp;IF(H2098="黑丝","黑","白")&amp;E2098,经纬!A:M,13,FALSE)*(I2098-AB2098),"")</f>
        <v/>
      </c>
      <c r="AA2098" s="340" t="str">
        <f>IF(AND(C2098&gt;0,D2098&lt;&gt;"",S2098=""),VLOOKUP(A2098&amp;IF(H2098="黑丝","黑","白")&amp;E2098,经纬!A:N,14,FALSE)*(I2098-AB2098),"")</f>
        <v/>
      </c>
    </row>
    <row r="2099" spans="13:27">
      <c r="M2099" s="24" t="str">
        <f t="array" ref="M2099">LEFT(L2099,MIN(FIND({"A","B","C"},MID(L2099,2,LEN(L2099))&amp;"ABC")))</f>
        <v/>
      </c>
      <c r="N2099" s="24" t="str">
        <f t="array" ref="N2099">SUBSTITUTE(L2099,M2099,"")</f>
        <v/>
      </c>
      <c r="X2099" s="258" t="str">
        <f t="shared" si="86"/>
        <v/>
      </c>
      <c r="Y2099" s="36" t="str">
        <f t="shared" si="87"/>
        <v/>
      </c>
      <c r="Z2099" s="340" t="str">
        <f>IF(AND(C2099&gt;0,D2099&lt;&gt;"",S2099=""),VLOOKUP(A2099&amp;IF(H2099="黑丝","黑","白")&amp;E2099,经纬!A:M,13,FALSE)*(I2099-AB2099),"")</f>
        <v/>
      </c>
      <c r="AA2099" s="340" t="str">
        <f>IF(AND(C2099&gt;0,D2099&lt;&gt;"",S2099=""),VLOOKUP(A2099&amp;IF(H2099="黑丝","黑","白")&amp;E2099,经纬!A:N,14,FALSE)*(I2099-AB2099),"")</f>
        <v/>
      </c>
    </row>
    <row r="2100" spans="13:27">
      <c r="M2100" s="24" t="str">
        <f t="array" ref="M2100">LEFT(L2100,MIN(FIND({"A","B","C"},MID(L2100,2,LEN(L2100))&amp;"ABC")))</f>
        <v/>
      </c>
      <c r="N2100" s="24" t="str">
        <f t="array" ref="N2100">SUBSTITUTE(L2100,M2100,"")</f>
        <v/>
      </c>
      <c r="X2100" s="258" t="str">
        <f t="shared" si="86"/>
        <v/>
      </c>
      <c r="Y2100" s="36" t="str">
        <f t="shared" si="87"/>
        <v/>
      </c>
      <c r="Z2100" s="340" t="str">
        <f>IF(AND(C2100&gt;0,D2100&lt;&gt;"",S2100=""),VLOOKUP(A2100&amp;IF(H2100="黑丝","黑","白")&amp;E2100,经纬!A:M,13,FALSE)*(I2100-AB2100),"")</f>
        <v/>
      </c>
      <c r="AA2100" s="340" t="str">
        <f>IF(AND(C2100&gt;0,D2100&lt;&gt;"",S2100=""),VLOOKUP(A2100&amp;IF(H2100="黑丝","黑","白")&amp;E2100,经纬!A:N,14,FALSE)*(I2100-AB2100),"")</f>
        <v/>
      </c>
    </row>
    <row r="2101" spans="13:27">
      <c r="M2101" s="24" t="str">
        <f t="array" ref="M2101">LEFT(L2101,MIN(FIND({"A","B","C"},MID(L2101,2,LEN(L2101))&amp;"ABC")))</f>
        <v/>
      </c>
      <c r="N2101" s="24" t="str">
        <f t="array" ref="N2101">SUBSTITUTE(L2101,M2101,"")</f>
        <v/>
      </c>
      <c r="X2101" s="258" t="str">
        <f t="shared" si="86"/>
        <v/>
      </c>
      <c r="Y2101" s="36" t="str">
        <f t="shared" si="87"/>
        <v/>
      </c>
      <c r="Z2101" s="340" t="str">
        <f>IF(AND(C2101&gt;0,D2101&lt;&gt;"",S2101=""),VLOOKUP(A2101&amp;IF(H2101="黑丝","黑","白")&amp;E2101,经纬!A:M,13,FALSE)*(I2101-AB2101),"")</f>
        <v/>
      </c>
      <c r="AA2101" s="340" t="str">
        <f>IF(AND(C2101&gt;0,D2101&lt;&gt;"",S2101=""),VLOOKUP(A2101&amp;IF(H2101="黑丝","黑","白")&amp;E2101,经纬!A:N,14,FALSE)*(I2101-AB2101),"")</f>
        <v/>
      </c>
    </row>
    <row r="2102" spans="13:27">
      <c r="M2102" s="24" t="str">
        <f t="array" ref="M2102">LEFT(L2102,MIN(FIND({"A","B","C"},MID(L2102,2,LEN(L2102))&amp;"ABC")))</f>
        <v/>
      </c>
      <c r="N2102" s="24" t="str">
        <f t="array" ref="N2102">SUBSTITUTE(L2102,M2102,"")</f>
        <v/>
      </c>
      <c r="X2102" s="258" t="str">
        <f t="shared" si="86"/>
        <v/>
      </c>
      <c r="Y2102" s="36" t="str">
        <f t="shared" si="87"/>
        <v/>
      </c>
      <c r="Z2102" s="340" t="str">
        <f>IF(AND(C2102&gt;0,D2102&lt;&gt;"",S2102=""),VLOOKUP(A2102&amp;IF(H2102="黑丝","黑","白")&amp;E2102,经纬!A:M,13,FALSE)*(I2102-AB2102),"")</f>
        <v/>
      </c>
      <c r="AA2102" s="340" t="str">
        <f>IF(AND(C2102&gt;0,D2102&lt;&gt;"",S2102=""),VLOOKUP(A2102&amp;IF(H2102="黑丝","黑","白")&amp;E2102,经纬!A:N,14,FALSE)*(I2102-AB2102),"")</f>
        <v/>
      </c>
    </row>
    <row r="2103" spans="13:27">
      <c r="M2103" s="24" t="str">
        <f t="array" ref="M2103">LEFT(L2103,MIN(FIND({"A","B","C"},MID(L2103,2,LEN(L2103))&amp;"ABC")))</f>
        <v/>
      </c>
      <c r="N2103" s="24" t="str">
        <f t="array" ref="N2103">SUBSTITUTE(L2103,M2103,"")</f>
        <v/>
      </c>
      <c r="X2103" s="258" t="str">
        <f t="shared" si="86"/>
        <v/>
      </c>
      <c r="Y2103" s="36" t="str">
        <f t="shared" si="87"/>
        <v/>
      </c>
      <c r="Z2103" s="340" t="str">
        <f>IF(AND(C2103&gt;0,D2103&lt;&gt;"",S2103=""),VLOOKUP(A2103&amp;IF(H2103="黑丝","黑","白")&amp;E2103,经纬!A:M,13,FALSE)*(I2103-AB2103),"")</f>
        <v/>
      </c>
      <c r="AA2103" s="340" t="str">
        <f>IF(AND(C2103&gt;0,D2103&lt;&gt;"",S2103=""),VLOOKUP(A2103&amp;IF(H2103="黑丝","黑","白")&amp;E2103,经纬!A:N,14,FALSE)*(I2103-AB2103),"")</f>
        <v/>
      </c>
    </row>
    <row r="2104" spans="13:27">
      <c r="M2104" s="24" t="str">
        <f t="array" ref="M2104">LEFT(L2104,MIN(FIND({"A","B","C"},MID(L2104,2,LEN(L2104))&amp;"ABC")))</f>
        <v/>
      </c>
      <c r="N2104" s="24" t="str">
        <f t="array" ref="N2104">SUBSTITUTE(L2104,M2104,"")</f>
        <v/>
      </c>
      <c r="X2104" s="258" t="str">
        <f t="shared" si="86"/>
        <v/>
      </c>
      <c r="Y2104" s="36" t="str">
        <f t="shared" si="87"/>
        <v/>
      </c>
      <c r="Z2104" s="340" t="str">
        <f>IF(AND(C2104&gt;0,D2104&lt;&gt;"",S2104=""),VLOOKUP(A2104&amp;IF(H2104="黑丝","黑","白")&amp;E2104,经纬!A:M,13,FALSE)*(I2104-AB2104),"")</f>
        <v/>
      </c>
      <c r="AA2104" s="340" t="str">
        <f>IF(AND(C2104&gt;0,D2104&lt;&gt;"",S2104=""),VLOOKUP(A2104&amp;IF(H2104="黑丝","黑","白")&amp;E2104,经纬!A:N,14,FALSE)*(I2104-AB2104),"")</f>
        <v/>
      </c>
    </row>
    <row r="2105" spans="13:27">
      <c r="M2105" s="24" t="str">
        <f t="array" ref="M2105">LEFT(L2105,MIN(FIND({"A","B","C"},MID(L2105,2,LEN(L2105))&amp;"ABC")))</f>
        <v/>
      </c>
      <c r="N2105" s="24" t="str">
        <f t="array" ref="N2105">SUBSTITUTE(L2105,M2105,"")</f>
        <v/>
      </c>
      <c r="X2105" s="258" t="str">
        <f t="shared" si="86"/>
        <v/>
      </c>
      <c r="Y2105" s="36" t="str">
        <f t="shared" si="87"/>
        <v/>
      </c>
      <c r="Z2105" s="340" t="str">
        <f>IF(AND(C2105&gt;0,D2105&lt;&gt;"",S2105=""),VLOOKUP(A2105&amp;IF(H2105="黑丝","黑","白")&amp;E2105,经纬!A:M,13,FALSE)*(I2105-AB2105),"")</f>
        <v/>
      </c>
      <c r="AA2105" s="340" t="str">
        <f>IF(AND(C2105&gt;0,D2105&lt;&gt;"",S2105=""),VLOOKUP(A2105&amp;IF(H2105="黑丝","黑","白")&amp;E2105,经纬!A:N,14,FALSE)*(I2105-AB2105),"")</f>
        <v/>
      </c>
    </row>
    <row r="2106" spans="13:27">
      <c r="M2106" s="24" t="str">
        <f t="array" ref="M2106">LEFT(L2106,MIN(FIND({"A","B","C"},MID(L2106,2,LEN(L2106))&amp;"ABC")))</f>
        <v/>
      </c>
      <c r="N2106" s="24" t="str">
        <f t="array" ref="N2106">SUBSTITUTE(L2106,M2106,"")</f>
        <v/>
      </c>
      <c r="X2106" s="258" t="str">
        <f t="shared" si="86"/>
        <v/>
      </c>
      <c r="Y2106" s="36" t="str">
        <f t="shared" si="87"/>
        <v/>
      </c>
      <c r="Z2106" s="340" t="str">
        <f>IF(AND(C2106&gt;0,D2106&lt;&gt;"",S2106=""),VLOOKUP(A2106&amp;IF(H2106="黑丝","黑","白")&amp;E2106,经纬!A:M,13,FALSE)*(I2106-AB2106),"")</f>
        <v/>
      </c>
      <c r="AA2106" s="340" t="str">
        <f>IF(AND(C2106&gt;0,D2106&lt;&gt;"",S2106=""),VLOOKUP(A2106&amp;IF(H2106="黑丝","黑","白")&amp;E2106,经纬!A:N,14,FALSE)*(I2106-AB2106),"")</f>
        <v/>
      </c>
    </row>
    <row r="2107" spans="13:27">
      <c r="M2107" s="24" t="str">
        <f t="array" ref="M2107">LEFT(L2107,MIN(FIND({"A","B","C"},MID(L2107,2,LEN(L2107))&amp;"ABC")))</f>
        <v/>
      </c>
      <c r="N2107" s="24" t="str">
        <f t="array" ref="N2107">SUBSTITUTE(L2107,M2107,"")</f>
        <v/>
      </c>
      <c r="X2107" s="258" t="str">
        <f t="shared" si="86"/>
        <v/>
      </c>
      <c r="Y2107" s="36" t="str">
        <f t="shared" si="87"/>
        <v/>
      </c>
      <c r="Z2107" s="340" t="str">
        <f>IF(AND(C2107&gt;0,D2107&lt;&gt;"",S2107=""),VLOOKUP(A2107&amp;IF(H2107="黑丝","黑","白")&amp;E2107,经纬!A:M,13,FALSE)*(I2107-AB2107),"")</f>
        <v/>
      </c>
      <c r="AA2107" s="340" t="str">
        <f>IF(AND(C2107&gt;0,D2107&lt;&gt;"",S2107=""),VLOOKUP(A2107&amp;IF(H2107="黑丝","黑","白")&amp;E2107,经纬!A:N,14,FALSE)*(I2107-AB2107),"")</f>
        <v/>
      </c>
    </row>
    <row r="2108" spans="13:27">
      <c r="M2108" s="24" t="str">
        <f t="array" ref="M2108">LEFT(L2108,MIN(FIND({"A","B","C"},MID(L2108,2,LEN(L2108))&amp;"ABC")))</f>
        <v/>
      </c>
      <c r="N2108" s="24" t="str">
        <f t="array" ref="N2108">SUBSTITUTE(L2108,M2108,"")</f>
        <v/>
      </c>
      <c r="X2108" s="258" t="str">
        <f t="shared" si="86"/>
        <v/>
      </c>
      <c r="Y2108" s="36" t="str">
        <f t="shared" si="87"/>
        <v/>
      </c>
      <c r="Z2108" s="340" t="str">
        <f>IF(AND(C2108&gt;0,D2108&lt;&gt;"",S2108=""),VLOOKUP(A2108&amp;IF(H2108="黑丝","黑","白")&amp;E2108,经纬!A:M,13,FALSE)*(I2108-AB2108),"")</f>
        <v/>
      </c>
      <c r="AA2108" s="340" t="str">
        <f>IF(AND(C2108&gt;0,D2108&lt;&gt;"",S2108=""),VLOOKUP(A2108&amp;IF(H2108="黑丝","黑","白")&amp;E2108,经纬!A:N,14,FALSE)*(I2108-AB2108),"")</f>
        <v/>
      </c>
    </row>
    <row r="2109" spans="13:27">
      <c r="M2109" s="24" t="str">
        <f t="array" ref="M2109">LEFT(L2109,MIN(FIND({"A","B","C"},MID(L2109,2,LEN(L2109))&amp;"ABC")))</f>
        <v/>
      </c>
      <c r="N2109" s="24" t="str">
        <f t="array" ref="N2109">SUBSTITUTE(L2109,M2109,"")</f>
        <v/>
      </c>
      <c r="X2109" s="258" t="str">
        <f t="shared" si="86"/>
        <v/>
      </c>
      <c r="Y2109" s="36" t="str">
        <f t="shared" si="87"/>
        <v/>
      </c>
      <c r="Z2109" s="340" t="str">
        <f>IF(AND(C2109&gt;0,D2109&lt;&gt;"",S2109=""),VLOOKUP(A2109&amp;IF(H2109="黑丝","黑","白")&amp;E2109,经纬!A:M,13,FALSE)*(I2109-AB2109),"")</f>
        <v/>
      </c>
      <c r="AA2109" s="340" t="str">
        <f>IF(AND(C2109&gt;0,D2109&lt;&gt;"",S2109=""),VLOOKUP(A2109&amp;IF(H2109="黑丝","黑","白")&amp;E2109,经纬!A:N,14,FALSE)*(I2109-AB2109),"")</f>
        <v/>
      </c>
    </row>
    <row r="2110" spans="13:27">
      <c r="M2110" s="24" t="str">
        <f t="array" ref="M2110">LEFT(L2110,MIN(FIND({"A","B","C"},MID(L2110,2,LEN(L2110))&amp;"ABC")))</f>
        <v/>
      </c>
      <c r="N2110" s="24" t="str">
        <f t="array" ref="N2110">SUBSTITUTE(L2110,M2110,"")</f>
        <v/>
      </c>
      <c r="X2110" s="258" t="str">
        <f t="shared" si="86"/>
        <v/>
      </c>
      <c r="Y2110" s="36" t="str">
        <f t="shared" si="87"/>
        <v/>
      </c>
      <c r="Z2110" s="340" t="str">
        <f>IF(AND(C2110&gt;0,D2110&lt;&gt;"",S2110=""),VLOOKUP(A2110&amp;IF(H2110="黑丝","黑","白")&amp;E2110,经纬!A:M,13,FALSE)*(I2110-AB2110),"")</f>
        <v/>
      </c>
      <c r="AA2110" s="340" t="str">
        <f>IF(AND(C2110&gt;0,D2110&lt;&gt;"",S2110=""),VLOOKUP(A2110&amp;IF(H2110="黑丝","黑","白")&amp;E2110,经纬!A:N,14,FALSE)*(I2110-AB2110),"")</f>
        <v/>
      </c>
    </row>
    <row r="2111" spans="13:27">
      <c r="M2111" s="24" t="str">
        <f t="array" ref="M2111">LEFT(L2111,MIN(FIND({"A","B","C"},MID(L2111,2,LEN(L2111))&amp;"ABC")))</f>
        <v/>
      </c>
      <c r="N2111" s="24" t="str">
        <f t="array" ref="N2111">SUBSTITUTE(L2111,M2111,"")</f>
        <v/>
      </c>
      <c r="X2111" s="258" t="str">
        <f t="shared" si="86"/>
        <v/>
      </c>
      <c r="Y2111" s="36" t="str">
        <f t="shared" si="87"/>
        <v/>
      </c>
      <c r="Z2111" s="340" t="str">
        <f>IF(AND(C2111&gt;0,D2111&lt;&gt;"",S2111=""),VLOOKUP(A2111&amp;IF(H2111="黑丝","黑","白")&amp;E2111,经纬!A:M,13,FALSE)*(I2111-AB2111),"")</f>
        <v/>
      </c>
      <c r="AA2111" s="340" t="str">
        <f>IF(AND(C2111&gt;0,D2111&lt;&gt;"",S2111=""),VLOOKUP(A2111&amp;IF(H2111="黑丝","黑","白")&amp;E2111,经纬!A:N,14,FALSE)*(I2111-AB2111),"")</f>
        <v/>
      </c>
    </row>
    <row r="2112" spans="13:27">
      <c r="M2112" s="24" t="str">
        <f t="array" ref="M2112">LEFT(L2112,MIN(FIND({"A","B","C"},MID(L2112,2,LEN(L2112))&amp;"ABC")))</f>
        <v/>
      </c>
      <c r="N2112" s="24" t="str">
        <f t="array" ref="N2112">SUBSTITUTE(L2112,M2112,"")</f>
        <v/>
      </c>
      <c r="X2112" s="258" t="str">
        <f t="shared" si="86"/>
        <v/>
      </c>
      <c r="Y2112" s="36" t="str">
        <f t="shared" si="87"/>
        <v/>
      </c>
      <c r="Z2112" s="340" t="str">
        <f>IF(AND(C2112&gt;0,D2112&lt;&gt;"",S2112=""),VLOOKUP(A2112&amp;IF(H2112="黑丝","黑","白")&amp;E2112,经纬!A:M,13,FALSE)*(I2112-AB2112),"")</f>
        <v/>
      </c>
      <c r="AA2112" s="340" t="str">
        <f>IF(AND(C2112&gt;0,D2112&lt;&gt;"",S2112=""),VLOOKUP(A2112&amp;IF(H2112="黑丝","黑","白")&amp;E2112,经纬!A:N,14,FALSE)*(I2112-AB2112),"")</f>
        <v/>
      </c>
    </row>
    <row r="2113" spans="13:27">
      <c r="M2113" s="24" t="str">
        <f t="array" ref="M2113">LEFT(L2113,MIN(FIND({"A","B","C"},MID(L2113,2,LEN(L2113))&amp;"ABC")))</f>
        <v/>
      </c>
      <c r="N2113" s="24" t="str">
        <f t="array" ref="N2113">SUBSTITUTE(L2113,M2113,"")</f>
        <v/>
      </c>
      <c r="X2113" s="258" t="str">
        <f t="shared" si="86"/>
        <v/>
      </c>
      <c r="Y2113" s="36" t="str">
        <f t="shared" si="87"/>
        <v/>
      </c>
      <c r="Z2113" s="340" t="str">
        <f>IF(AND(C2113&gt;0,D2113&lt;&gt;"",S2113=""),VLOOKUP(A2113&amp;IF(H2113="黑丝","黑","白")&amp;E2113,经纬!A:M,13,FALSE)*(I2113-AB2113),"")</f>
        <v/>
      </c>
      <c r="AA2113" s="340" t="str">
        <f>IF(AND(C2113&gt;0,D2113&lt;&gt;"",S2113=""),VLOOKUP(A2113&amp;IF(H2113="黑丝","黑","白")&amp;E2113,经纬!A:N,14,FALSE)*(I2113-AB2113),"")</f>
        <v/>
      </c>
    </row>
    <row r="2114" spans="13:27">
      <c r="M2114" s="24" t="str">
        <f t="array" ref="M2114">LEFT(L2114,MIN(FIND({"A","B","C"},MID(L2114,2,LEN(L2114))&amp;"ABC")))</f>
        <v/>
      </c>
      <c r="N2114" s="24" t="str">
        <f t="array" ref="N2114">SUBSTITUTE(L2114,M2114,"")</f>
        <v/>
      </c>
      <c r="X2114" s="258" t="str">
        <f t="shared" si="86"/>
        <v/>
      </c>
      <c r="Y2114" s="36" t="str">
        <f t="shared" si="87"/>
        <v/>
      </c>
      <c r="Z2114" s="340" t="str">
        <f>IF(AND(C2114&gt;0,D2114&lt;&gt;"",S2114=""),VLOOKUP(A2114&amp;IF(H2114="黑丝","黑","白")&amp;E2114,经纬!A:M,13,FALSE)*(I2114-AB2114),"")</f>
        <v/>
      </c>
      <c r="AA2114" s="340" t="str">
        <f>IF(AND(C2114&gt;0,D2114&lt;&gt;"",S2114=""),VLOOKUP(A2114&amp;IF(H2114="黑丝","黑","白")&amp;E2114,经纬!A:N,14,FALSE)*(I2114-AB2114),"")</f>
        <v/>
      </c>
    </row>
    <row r="2115" spans="13:27">
      <c r="M2115" s="24" t="str">
        <f t="array" ref="M2115">LEFT(L2115,MIN(FIND({"A","B","C"},MID(L2115,2,LEN(L2115))&amp;"ABC")))</f>
        <v/>
      </c>
      <c r="N2115" s="24" t="str">
        <f t="array" ref="N2115">SUBSTITUTE(L2115,M2115,"")</f>
        <v/>
      </c>
      <c r="X2115" s="258" t="str">
        <f t="shared" si="86"/>
        <v/>
      </c>
      <c r="Y2115" s="36" t="str">
        <f t="shared" si="87"/>
        <v/>
      </c>
      <c r="Z2115" s="340" t="str">
        <f>IF(AND(C2115&gt;0,D2115&lt;&gt;"",S2115=""),VLOOKUP(A2115&amp;IF(H2115="黑丝","黑","白")&amp;E2115,经纬!A:M,13,FALSE)*(I2115-AB2115),"")</f>
        <v/>
      </c>
      <c r="AA2115" s="340" t="str">
        <f>IF(AND(C2115&gt;0,D2115&lt;&gt;"",S2115=""),VLOOKUP(A2115&amp;IF(H2115="黑丝","黑","白")&amp;E2115,经纬!A:N,14,FALSE)*(I2115-AB2115),"")</f>
        <v/>
      </c>
    </row>
    <row r="2116" spans="13:27">
      <c r="M2116" s="24" t="str">
        <f t="array" ref="M2116">LEFT(L2116,MIN(FIND({"A","B","C"},MID(L2116,2,LEN(L2116))&amp;"ABC")))</f>
        <v/>
      </c>
      <c r="N2116" s="24" t="str">
        <f t="array" ref="N2116">SUBSTITUTE(L2116,M2116,"")</f>
        <v/>
      </c>
      <c r="X2116" s="258" t="str">
        <f t="shared" si="86"/>
        <v/>
      </c>
      <c r="Y2116" s="36" t="str">
        <f t="shared" si="87"/>
        <v/>
      </c>
      <c r="Z2116" s="340" t="str">
        <f>IF(AND(C2116&gt;0,D2116&lt;&gt;"",S2116=""),VLOOKUP(A2116&amp;IF(H2116="黑丝","黑","白")&amp;E2116,经纬!A:M,13,FALSE)*(I2116-AB2116),"")</f>
        <v/>
      </c>
      <c r="AA2116" s="340" t="str">
        <f>IF(AND(C2116&gt;0,D2116&lt;&gt;"",S2116=""),VLOOKUP(A2116&amp;IF(H2116="黑丝","黑","白")&amp;E2116,经纬!A:N,14,FALSE)*(I2116-AB2116),"")</f>
        <v/>
      </c>
    </row>
    <row r="2117" spans="13:27">
      <c r="M2117" s="24" t="str">
        <f t="array" ref="M2117">LEFT(L2117,MIN(FIND({"A","B","C"},MID(L2117,2,LEN(L2117))&amp;"ABC")))</f>
        <v/>
      </c>
      <c r="N2117" s="24" t="str">
        <f t="array" ref="N2117">SUBSTITUTE(L2117,M2117,"")</f>
        <v/>
      </c>
      <c r="X2117" s="258" t="str">
        <f t="shared" si="86"/>
        <v/>
      </c>
      <c r="Y2117" s="36" t="str">
        <f t="shared" si="87"/>
        <v/>
      </c>
      <c r="Z2117" s="340" t="str">
        <f>IF(AND(C2117&gt;0,D2117&lt;&gt;"",S2117=""),VLOOKUP(A2117&amp;IF(H2117="黑丝","黑","白")&amp;E2117,经纬!A:M,13,FALSE)*(I2117-AB2117),"")</f>
        <v/>
      </c>
      <c r="AA2117" s="340" t="str">
        <f>IF(AND(C2117&gt;0,D2117&lt;&gt;"",S2117=""),VLOOKUP(A2117&amp;IF(H2117="黑丝","黑","白")&amp;E2117,经纬!A:N,14,FALSE)*(I2117-AB2117),"")</f>
        <v/>
      </c>
    </row>
    <row r="2118" spans="13:27">
      <c r="M2118" s="24" t="str">
        <f t="array" ref="M2118">LEFT(L2118,MIN(FIND({"A","B","C"},MID(L2118,2,LEN(L2118))&amp;"ABC")))</f>
        <v/>
      </c>
      <c r="N2118" s="24" t="str">
        <f t="array" ref="N2118">SUBSTITUTE(L2118,M2118,"")</f>
        <v/>
      </c>
      <c r="X2118" s="258" t="str">
        <f t="shared" si="86"/>
        <v/>
      </c>
      <c r="Y2118" s="36" t="str">
        <f t="shared" si="87"/>
        <v/>
      </c>
      <c r="Z2118" s="340" t="str">
        <f>IF(AND(C2118&gt;0,D2118&lt;&gt;"",S2118=""),VLOOKUP(A2118&amp;IF(H2118="黑丝","黑","白")&amp;E2118,经纬!A:M,13,FALSE)*(I2118-AB2118),"")</f>
        <v/>
      </c>
      <c r="AA2118" s="340" t="str">
        <f>IF(AND(C2118&gt;0,D2118&lt;&gt;"",S2118=""),VLOOKUP(A2118&amp;IF(H2118="黑丝","黑","白")&amp;E2118,经纬!A:N,14,FALSE)*(I2118-AB2118),"")</f>
        <v/>
      </c>
    </row>
    <row r="2119" spans="13:27">
      <c r="M2119" s="24" t="str">
        <f t="array" ref="M2119">LEFT(L2119,MIN(FIND({"A","B","C"},MID(L2119,2,LEN(L2119))&amp;"ABC")))</f>
        <v/>
      </c>
      <c r="N2119" s="24" t="str">
        <f t="array" ref="N2119">SUBSTITUTE(L2119,M2119,"")</f>
        <v/>
      </c>
      <c r="X2119" s="258" t="str">
        <f t="shared" si="86"/>
        <v/>
      </c>
      <c r="Y2119" s="36" t="str">
        <f t="shared" si="87"/>
        <v/>
      </c>
      <c r="Z2119" s="340" t="str">
        <f>IF(AND(C2119&gt;0,D2119&lt;&gt;"",S2119=""),VLOOKUP(A2119&amp;IF(H2119="黑丝","黑","白")&amp;E2119,经纬!A:M,13,FALSE)*(I2119-AB2119),"")</f>
        <v/>
      </c>
      <c r="AA2119" s="340" t="str">
        <f>IF(AND(C2119&gt;0,D2119&lt;&gt;"",S2119=""),VLOOKUP(A2119&amp;IF(H2119="黑丝","黑","白")&amp;E2119,经纬!A:N,14,FALSE)*(I2119-AB2119),"")</f>
        <v/>
      </c>
    </row>
    <row r="2120" spans="13:27">
      <c r="M2120" s="24" t="str">
        <f t="array" ref="M2120">LEFT(L2120,MIN(FIND({"A","B","C"},MID(L2120,2,LEN(L2120))&amp;"ABC")))</f>
        <v/>
      </c>
      <c r="N2120" s="24" t="str">
        <f t="array" ref="N2120">SUBSTITUTE(L2120,M2120,"")</f>
        <v/>
      </c>
      <c r="X2120" s="258" t="str">
        <f t="shared" si="86"/>
        <v/>
      </c>
      <c r="Y2120" s="36" t="str">
        <f t="shared" si="87"/>
        <v/>
      </c>
      <c r="Z2120" s="340" t="str">
        <f>IF(AND(C2120&gt;0,D2120&lt;&gt;"",S2120=""),VLOOKUP(A2120&amp;IF(H2120="黑丝","黑","白")&amp;E2120,经纬!A:M,13,FALSE)*(I2120-AB2120),"")</f>
        <v/>
      </c>
      <c r="AA2120" s="340" t="str">
        <f>IF(AND(C2120&gt;0,D2120&lt;&gt;"",S2120=""),VLOOKUP(A2120&amp;IF(H2120="黑丝","黑","白")&amp;E2120,经纬!A:N,14,FALSE)*(I2120-AB2120),"")</f>
        <v/>
      </c>
    </row>
    <row r="2121" spans="13:27">
      <c r="M2121" s="24" t="str">
        <f t="array" ref="M2121">LEFT(L2121,MIN(FIND({"A","B","C"},MID(L2121,2,LEN(L2121))&amp;"ABC")))</f>
        <v/>
      </c>
      <c r="N2121" s="24" t="str">
        <f t="array" ref="N2121">SUBSTITUTE(L2121,M2121,"")</f>
        <v/>
      </c>
      <c r="X2121" s="258" t="str">
        <f t="shared" si="86"/>
        <v/>
      </c>
      <c r="Y2121" s="36" t="str">
        <f t="shared" si="87"/>
        <v/>
      </c>
      <c r="Z2121" s="340" t="str">
        <f>IF(AND(C2121&gt;0,D2121&lt;&gt;"",S2121=""),VLOOKUP(A2121&amp;IF(H2121="黑丝","黑","白")&amp;E2121,经纬!A:M,13,FALSE)*(I2121-AB2121),"")</f>
        <v/>
      </c>
      <c r="AA2121" s="340" t="str">
        <f>IF(AND(C2121&gt;0,D2121&lt;&gt;"",S2121=""),VLOOKUP(A2121&amp;IF(H2121="黑丝","黑","白")&amp;E2121,经纬!A:N,14,FALSE)*(I2121-AB2121),"")</f>
        <v/>
      </c>
    </row>
    <row r="2122" spans="13:27">
      <c r="M2122" s="24" t="str">
        <f t="array" ref="M2122">LEFT(L2122,MIN(FIND({"A","B","C"},MID(L2122,2,LEN(L2122))&amp;"ABC")))</f>
        <v/>
      </c>
      <c r="N2122" s="24" t="str">
        <f t="array" ref="N2122">SUBSTITUTE(L2122,M2122,"")</f>
        <v/>
      </c>
      <c r="X2122" s="258" t="str">
        <f t="shared" si="86"/>
        <v/>
      </c>
      <c r="Y2122" s="36" t="str">
        <f t="shared" si="87"/>
        <v/>
      </c>
      <c r="Z2122" s="340" t="str">
        <f>IF(AND(C2122&gt;0,D2122&lt;&gt;"",S2122=""),VLOOKUP(A2122&amp;IF(H2122="黑丝","黑","白")&amp;E2122,经纬!A:M,13,FALSE)*(I2122-AB2122),"")</f>
        <v/>
      </c>
      <c r="AA2122" s="340" t="str">
        <f>IF(AND(C2122&gt;0,D2122&lt;&gt;"",S2122=""),VLOOKUP(A2122&amp;IF(H2122="黑丝","黑","白")&amp;E2122,经纬!A:N,14,FALSE)*(I2122-AB2122),"")</f>
        <v/>
      </c>
    </row>
    <row r="2123" spans="13:27">
      <c r="M2123" s="24" t="str">
        <f t="array" ref="M2123">LEFT(L2123,MIN(FIND({"A","B","C"},MID(L2123,2,LEN(L2123))&amp;"ABC")))</f>
        <v/>
      </c>
      <c r="N2123" s="24" t="str">
        <f t="array" ref="N2123">SUBSTITUTE(L2123,M2123,"")</f>
        <v/>
      </c>
      <c r="X2123" s="258" t="str">
        <f t="shared" si="86"/>
        <v/>
      </c>
      <c r="Y2123" s="36" t="str">
        <f t="shared" si="87"/>
        <v/>
      </c>
      <c r="Z2123" s="340" t="str">
        <f>IF(AND(C2123&gt;0,D2123&lt;&gt;"",S2123=""),VLOOKUP(A2123&amp;IF(H2123="黑丝","黑","白")&amp;E2123,经纬!A:M,13,FALSE)*(I2123-AB2123),"")</f>
        <v/>
      </c>
      <c r="AA2123" s="340" t="str">
        <f>IF(AND(C2123&gt;0,D2123&lt;&gt;"",S2123=""),VLOOKUP(A2123&amp;IF(H2123="黑丝","黑","白")&amp;E2123,经纬!A:N,14,FALSE)*(I2123-AB2123),"")</f>
        <v/>
      </c>
    </row>
    <row r="2124" spans="13:27">
      <c r="M2124" s="24" t="str">
        <f t="array" ref="M2124">LEFT(L2124,MIN(FIND({"A","B","C"},MID(L2124,2,LEN(L2124))&amp;"ABC")))</f>
        <v/>
      </c>
      <c r="N2124" s="24" t="str">
        <f t="array" ref="N2124">SUBSTITUTE(L2124,M2124,"")</f>
        <v/>
      </c>
      <c r="X2124" s="258" t="str">
        <f t="shared" si="86"/>
        <v/>
      </c>
      <c r="Y2124" s="36" t="str">
        <f t="shared" si="87"/>
        <v/>
      </c>
      <c r="Z2124" s="340" t="str">
        <f>IF(AND(C2124&gt;0,D2124&lt;&gt;"",S2124=""),VLOOKUP(A2124&amp;IF(H2124="黑丝","黑","白")&amp;E2124,经纬!A:M,13,FALSE)*(I2124-AB2124),"")</f>
        <v/>
      </c>
      <c r="AA2124" s="340" t="str">
        <f>IF(AND(C2124&gt;0,D2124&lt;&gt;"",S2124=""),VLOOKUP(A2124&amp;IF(H2124="黑丝","黑","白")&amp;E2124,经纬!A:N,14,FALSE)*(I2124-AB2124),"")</f>
        <v/>
      </c>
    </row>
    <row r="2125" spans="13:27">
      <c r="M2125" s="24" t="str">
        <f t="array" ref="M2125">LEFT(L2125,MIN(FIND({"A","B","C"},MID(L2125,2,LEN(L2125))&amp;"ABC")))</f>
        <v/>
      </c>
      <c r="N2125" s="24" t="str">
        <f t="array" ref="N2125">SUBSTITUTE(L2125,M2125,"")</f>
        <v/>
      </c>
      <c r="X2125" s="258" t="str">
        <f t="shared" si="86"/>
        <v/>
      </c>
      <c r="Y2125" s="36" t="str">
        <f t="shared" si="87"/>
        <v/>
      </c>
      <c r="Z2125" s="340" t="str">
        <f>IF(AND(C2125&gt;0,D2125&lt;&gt;"",S2125=""),VLOOKUP(A2125&amp;IF(H2125="黑丝","黑","白")&amp;E2125,经纬!A:M,13,FALSE)*(I2125-AB2125),"")</f>
        <v/>
      </c>
      <c r="AA2125" s="340" t="str">
        <f>IF(AND(C2125&gt;0,D2125&lt;&gt;"",S2125=""),VLOOKUP(A2125&amp;IF(H2125="黑丝","黑","白")&amp;E2125,经纬!A:N,14,FALSE)*(I2125-AB2125),"")</f>
        <v/>
      </c>
    </row>
    <row r="2126" spans="13:27">
      <c r="M2126" s="24" t="str">
        <f t="array" ref="M2126">LEFT(L2126,MIN(FIND({"A","B","C"},MID(L2126,2,LEN(L2126))&amp;"ABC")))</f>
        <v/>
      </c>
      <c r="N2126" s="24" t="str">
        <f t="array" ref="N2126">SUBSTITUTE(L2126,M2126,"")</f>
        <v/>
      </c>
      <c r="X2126" s="258" t="str">
        <f t="shared" si="86"/>
        <v/>
      </c>
      <c r="Y2126" s="36" t="str">
        <f t="shared" si="87"/>
        <v/>
      </c>
      <c r="Z2126" s="340" t="str">
        <f>IF(AND(C2126&gt;0,D2126&lt;&gt;"",S2126=""),VLOOKUP(A2126&amp;IF(H2126="黑丝","黑","白")&amp;E2126,经纬!A:M,13,FALSE)*(I2126-AB2126),"")</f>
        <v/>
      </c>
      <c r="AA2126" s="340" t="str">
        <f>IF(AND(C2126&gt;0,D2126&lt;&gt;"",S2126=""),VLOOKUP(A2126&amp;IF(H2126="黑丝","黑","白")&amp;E2126,经纬!A:N,14,FALSE)*(I2126-AB2126),"")</f>
        <v/>
      </c>
    </row>
    <row r="2127" spans="13:27">
      <c r="M2127" s="24" t="str">
        <f t="array" ref="M2127">LEFT(L2127,MIN(FIND({"A","B","C"},MID(L2127,2,LEN(L2127))&amp;"ABC")))</f>
        <v/>
      </c>
      <c r="N2127" s="24" t="str">
        <f t="array" ref="N2127">SUBSTITUTE(L2127,M2127,"")</f>
        <v/>
      </c>
      <c r="X2127" s="258" t="str">
        <f t="shared" si="86"/>
        <v/>
      </c>
      <c r="Y2127" s="36" t="str">
        <f t="shared" si="87"/>
        <v/>
      </c>
      <c r="Z2127" s="340" t="str">
        <f>IF(AND(C2127&gt;0,D2127&lt;&gt;"",S2127=""),VLOOKUP(A2127&amp;IF(H2127="黑丝","黑","白")&amp;E2127,经纬!A:M,13,FALSE)*(I2127-AB2127),"")</f>
        <v/>
      </c>
      <c r="AA2127" s="340" t="str">
        <f>IF(AND(C2127&gt;0,D2127&lt;&gt;"",S2127=""),VLOOKUP(A2127&amp;IF(H2127="黑丝","黑","白")&amp;E2127,经纬!A:N,14,FALSE)*(I2127-AB2127),"")</f>
        <v/>
      </c>
    </row>
    <row r="2128" spans="13:27">
      <c r="M2128" s="24" t="str">
        <f t="array" ref="M2128">LEFT(L2128,MIN(FIND({"A","B","C"},MID(L2128,2,LEN(L2128))&amp;"ABC")))</f>
        <v/>
      </c>
      <c r="N2128" s="24" t="str">
        <f t="array" ref="N2128">SUBSTITUTE(L2128,M2128,"")</f>
        <v/>
      </c>
      <c r="X2128" s="258" t="str">
        <f t="shared" si="86"/>
        <v/>
      </c>
      <c r="Y2128" s="36" t="str">
        <f t="shared" si="87"/>
        <v/>
      </c>
      <c r="Z2128" s="340" t="str">
        <f>IF(AND(C2128&gt;0,D2128&lt;&gt;"",S2128=""),VLOOKUP(A2128&amp;IF(H2128="黑丝","黑","白")&amp;E2128,经纬!A:M,13,FALSE)*(I2128-AB2128),"")</f>
        <v/>
      </c>
      <c r="AA2128" s="340" t="str">
        <f>IF(AND(C2128&gt;0,D2128&lt;&gt;"",S2128=""),VLOOKUP(A2128&amp;IF(H2128="黑丝","黑","白")&amp;E2128,经纬!A:N,14,FALSE)*(I2128-AB2128),"")</f>
        <v/>
      </c>
    </row>
    <row r="2129" spans="13:27">
      <c r="M2129" s="24" t="str">
        <f t="array" ref="M2129">LEFT(L2129,MIN(FIND({"A","B","C"},MID(L2129,2,LEN(L2129))&amp;"ABC")))</f>
        <v/>
      </c>
      <c r="N2129" s="24" t="str">
        <f t="array" ref="N2129">SUBSTITUTE(L2129,M2129,"")</f>
        <v/>
      </c>
      <c r="X2129" s="258" t="str">
        <f t="shared" si="86"/>
        <v/>
      </c>
      <c r="Y2129" s="36" t="str">
        <f t="shared" si="87"/>
        <v/>
      </c>
      <c r="Z2129" s="340" t="str">
        <f>IF(AND(C2129&gt;0,D2129&lt;&gt;"",S2129=""),VLOOKUP(A2129&amp;IF(H2129="黑丝","黑","白")&amp;E2129,经纬!A:M,13,FALSE)*(I2129-AB2129),"")</f>
        <v/>
      </c>
      <c r="AA2129" s="340" t="str">
        <f>IF(AND(C2129&gt;0,D2129&lt;&gt;"",S2129=""),VLOOKUP(A2129&amp;IF(H2129="黑丝","黑","白")&amp;E2129,经纬!A:N,14,FALSE)*(I2129-AB2129),"")</f>
        <v/>
      </c>
    </row>
    <row r="2130" spans="13:27">
      <c r="M2130" s="24" t="str">
        <f t="array" ref="M2130">LEFT(L2130,MIN(FIND({"A","B","C"},MID(L2130,2,LEN(L2130))&amp;"ABC")))</f>
        <v/>
      </c>
      <c r="N2130" s="24" t="str">
        <f t="array" ref="N2130">SUBSTITUTE(L2130,M2130,"")</f>
        <v/>
      </c>
      <c r="X2130" s="258" t="str">
        <f t="shared" si="86"/>
        <v/>
      </c>
      <c r="Y2130" s="36" t="str">
        <f t="shared" si="87"/>
        <v/>
      </c>
      <c r="Z2130" s="340" t="str">
        <f>IF(AND(C2130&gt;0,D2130&lt;&gt;"",S2130=""),VLOOKUP(A2130&amp;IF(H2130="黑丝","黑","白")&amp;E2130,经纬!A:M,13,FALSE)*(I2130-AB2130),"")</f>
        <v/>
      </c>
      <c r="AA2130" s="340" t="str">
        <f>IF(AND(C2130&gt;0,D2130&lt;&gt;"",S2130=""),VLOOKUP(A2130&amp;IF(H2130="黑丝","黑","白")&amp;E2130,经纬!A:N,14,FALSE)*(I2130-AB2130),"")</f>
        <v/>
      </c>
    </row>
    <row r="2131" spans="13:27">
      <c r="M2131" s="24" t="str">
        <f t="array" ref="M2131">LEFT(L2131,MIN(FIND({"A","B","C"},MID(L2131,2,LEN(L2131))&amp;"ABC")))</f>
        <v/>
      </c>
      <c r="N2131" s="24" t="str">
        <f t="array" ref="N2131">SUBSTITUTE(L2131,M2131,"")</f>
        <v/>
      </c>
      <c r="X2131" s="258" t="str">
        <f t="shared" si="86"/>
        <v/>
      </c>
      <c r="Y2131" s="36" t="str">
        <f t="shared" si="87"/>
        <v/>
      </c>
      <c r="Z2131" s="340" t="str">
        <f>IF(AND(C2131&gt;0,D2131&lt;&gt;"",S2131=""),VLOOKUP(A2131&amp;IF(H2131="黑丝","黑","白")&amp;E2131,经纬!A:M,13,FALSE)*(I2131-AB2131),"")</f>
        <v/>
      </c>
      <c r="AA2131" s="340" t="str">
        <f>IF(AND(C2131&gt;0,D2131&lt;&gt;"",S2131=""),VLOOKUP(A2131&amp;IF(H2131="黑丝","黑","白")&amp;E2131,经纬!A:N,14,FALSE)*(I2131-AB2131),"")</f>
        <v/>
      </c>
    </row>
    <row r="2132" spans="13:27">
      <c r="M2132" s="24" t="str">
        <f t="array" ref="M2132">LEFT(L2132,MIN(FIND({"A","B","C"},MID(L2132,2,LEN(L2132))&amp;"ABC")))</f>
        <v/>
      </c>
      <c r="N2132" s="24" t="str">
        <f t="array" ref="N2132">SUBSTITUTE(L2132,M2132,"")</f>
        <v/>
      </c>
      <c r="X2132" s="258" t="str">
        <f t="shared" si="86"/>
        <v/>
      </c>
      <c r="Y2132" s="36" t="str">
        <f t="shared" si="87"/>
        <v/>
      </c>
      <c r="Z2132" s="340" t="str">
        <f>IF(AND(C2132&gt;0,D2132&lt;&gt;"",S2132=""),VLOOKUP(A2132&amp;IF(H2132="黑丝","黑","白")&amp;E2132,经纬!A:M,13,FALSE)*(I2132-AB2132),"")</f>
        <v/>
      </c>
      <c r="AA2132" s="340" t="str">
        <f>IF(AND(C2132&gt;0,D2132&lt;&gt;"",S2132=""),VLOOKUP(A2132&amp;IF(H2132="黑丝","黑","白")&amp;E2132,经纬!A:N,14,FALSE)*(I2132-AB2132),"")</f>
        <v/>
      </c>
    </row>
    <row r="2133" spans="13:27">
      <c r="M2133" s="24" t="str">
        <f t="array" ref="M2133">LEFT(L2133,MIN(FIND({"A","B","C"},MID(L2133,2,LEN(L2133))&amp;"ABC")))</f>
        <v/>
      </c>
      <c r="N2133" s="24" t="str">
        <f t="array" ref="N2133">SUBSTITUTE(L2133,M2133,"")</f>
        <v/>
      </c>
      <c r="X2133" s="258" t="str">
        <f t="shared" si="86"/>
        <v/>
      </c>
      <c r="Y2133" s="36" t="str">
        <f t="shared" si="87"/>
        <v/>
      </c>
      <c r="Z2133" s="340" t="str">
        <f>IF(AND(C2133&gt;0,D2133&lt;&gt;"",S2133=""),VLOOKUP(A2133&amp;IF(H2133="黑丝","黑","白")&amp;E2133,经纬!A:M,13,FALSE)*(I2133-AB2133),"")</f>
        <v/>
      </c>
      <c r="AA2133" s="340" t="str">
        <f>IF(AND(C2133&gt;0,D2133&lt;&gt;"",S2133=""),VLOOKUP(A2133&amp;IF(H2133="黑丝","黑","白")&amp;E2133,经纬!A:N,14,FALSE)*(I2133-AB2133),"")</f>
        <v/>
      </c>
    </row>
    <row r="2134" spans="13:27">
      <c r="M2134" s="24" t="str">
        <f t="array" ref="M2134">LEFT(L2134,MIN(FIND({"A","B","C"},MID(L2134,2,LEN(L2134))&amp;"ABC")))</f>
        <v/>
      </c>
      <c r="N2134" s="24" t="str">
        <f t="array" ref="N2134">SUBSTITUTE(L2134,M2134,"")</f>
        <v/>
      </c>
      <c r="X2134" s="258" t="str">
        <f t="shared" si="86"/>
        <v/>
      </c>
      <c r="Y2134" s="36" t="str">
        <f t="shared" si="87"/>
        <v/>
      </c>
      <c r="Z2134" s="340" t="str">
        <f>IF(AND(C2134&gt;0,D2134&lt;&gt;"",S2134=""),VLOOKUP(A2134&amp;IF(H2134="黑丝","黑","白")&amp;E2134,经纬!A:M,13,FALSE)*(I2134-AB2134),"")</f>
        <v/>
      </c>
      <c r="AA2134" s="340" t="str">
        <f>IF(AND(C2134&gt;0,D2134&lt;&gt;"",S2134=""),VLOOKUP(A2134&amp;IF(H2134="黑丝","黑","白")&amp;E2134,经纬!A:N,14,FALSE)*(I2134-AB2134),"")</f>
        <v/>
      </c>
    </row>
    <row r="2135" spans="13:27">
      <c r="M2135" s="24" t="str">
        <f t="array" ref="M2135">LEFT(L2135,MIN(FIND({"A","B","C"},MID(L2135,2,LEN(L2135))&amp;"ABC")))</f>
        <v/>
      </c>
      <c r="N2135" s="24" t="str">
        <f t="array" ref="N2135">SUBSTITUTE(L2135,M2135,"")</f>
        <v/>
      </c>
      <c r="X2135" s="258" t="str">
        <f t="shared" si="86"/>
        <v/>
      </c>
      <c r="Y2135" s="36" t="str">
        <f t="shared" si="87"/>
        <v/>
      </c>
      <c r="Z2135" s="340" t="str">
        <f>IF(AND(C2135&gt;0,D2135&lt;&gt;"",S2135=""),VLOOKUP(A2135&amp;IF(H2135="黑丝","黑","白")&amp;E2135,经纬!A:M,13,FALSE)*(I2135-AB2135),"")</f>
        <v/>
      </c>
      <c r="AA2135" s="340" t="str">
        <f>IF(AND(C2135&gt;0,D2135&lt;&gt;"",S2135=""),VLOOKUP(A2135&amp;IF(H2135="黑丝","黑","白")&amp;E2135,经纬!A:N,14,FALSE)*(I2135-AB2135),"")</f>
        <v/>
      </c>
    </row>
    <row r="2136" spans="13:27">
      <c r="M2136" s="24" t="str">
        <f t="array" ref="M2136">LEFT(L2136,MIN(FIND({"A","B","C"},MID(L2136,2,LEN(L2136))&amp;"ABC")))</f>
        <v/>
      </c>
      <c r="N2136" s="24" t="str">
        <f t="array" ref="N2136">SUBSTITUTE(L2136,M2136,"")</f>
        <v/>
      </c>
      <c r="X2136" s="258" t="str">
        <f t="shared" si="86"/>
        <v/>
      </c>
      <c r="Y2136" s="36" t="str">
        <f t="shared" si="87"/>
        <v/>
      </c>
      <c r="Z2136" s="340" t="str">
        <f>IF(AND(C2136&gt;0,D2136&lt;&gt;"",S2136=""),VLOOKUP(A2136&amp;IF(H2136="黑丝","黑","白")&amp;E2136,经纬!A:M,13,FALSE)*(I2136-AB2136),"")</f>
        <v/>
      </c>
      <c r="AA2136" s="340" t="str">
        <f>IF(AND(C2136&gt;0,D2136&lt;&gt;"",S2136=""),VLOOKUP(A2136&amp;IF(H2136="黑丝","黑","白")&amp;E2136,经纬!A:N,14,FALSE)*(I2136-AB2136),"")</f>
        <v/>
      </c>
    </row>
    <row r="2137" spans="13:27">
      <c r="M2137" s="24" t="str">
        <f t="array" ref="M2137">LEFT(L2137,MIN(FIND({"A","B","C"},MID(L2137,2,LEN(L2137))&amp;"ABC")))</f>
        <v/>
      </c>
      <c r="N2137" s="24" t="str">
        <f t="array" ref="N2137">SUBSTITUTE(L2137,M2137,"")</f>
        <v/>
      </c>
      <c r="X2137" s="258" t="str">
        <f t="shared" si="86"/>
        <v/>
      </c>
      <c r="Y2137" s="36" t="str">
        <f t="shared" si="87"/>
        <v/>
      </c>
      <c r="Z2137" s="340" t="str">
        <f>IF(AND(C2137&gt;0,D2137&lt;&gt;"",S2137=""),VLOOKUP(A2137&amp;IF(H2137="黑丝","黑","白")&amp;E2137,经纬!A:M,13,FALSE)*(I2137-AB2137),"")</f>
        <v/>
      </c>
      <c r="AA2137" s="340" t="str">
        <f>IF(AND(C2137&gt;0,D2137&lt;&gt;"",S2137=""),VLOOKUP(A2137&amp;IF(H2137="黑丝","黑","白")&amp;E2137,经纬!A:N,14,FALSE)*(I2137-AB2137),"")</f>
        <v/>
      </c>
    </row>
    <row r="2138" spans="13:27">
      <c r="M2138" s="24" t="str">
        <f t="array" ref="M2138">LEFT(L2138,MIN(FIND({"A","B","C"},MID(L2138,2,LEN(L2138))&amp;"ABC")))</f>
        <v/>
      </c>
      <c r="N2138" s="24" t="str">
        <f t="array" ref="N2138">SUBSTITUTE(L2138,M2138,"")</f>
        <v/>
      </c>
      <c r="X2138" s="258" t="str">
        <f t="shared" si="86"/>
        <v/>
      </c>
      <c r="Y2138" s="36" t="str">
        <f t="shared" si="87"/>
        <v/>
      </c>
      <c r="Z2138" s="340" t="str">
        <f>IF(AND(C2138&gt;0,D2138&lt;&gt;"",S2138=""),VLOOKUP(A2138&amp;IF(H2138="黑丝","黑","白")&amp;E2138,经纬!A:M,13,FALSE)*(I2138-AB2138),"")</f>
        <v/>
      </c>
      <c r="AA2138" s="340" t="str">
        <f>IF(AND(C2138&gt;0,D2138&lt;&gt;"",S2138=""),VLOOKUP(A2138&amp;IF(H2138="黑丝","黑","白")&amp;E2138,经纬!A:N,14,FALSE)*(I2138-AB2138),"")</f>
        <v/>
      </c>
    </row>
    <row r="2139" spans="13:27">
      <c r="M2139" s="24" t="str">
        <f t="array" ref="M2139">LEFT(L2139,MIN(FIND({"A","B","C"},MID(L2139,2,LEN(L2139))&amp;"ABC")))</f>
        <v/>
      </c>
      <c r="N2139" s="24" t="str">
        <f t="array" ref="N2139">SUBSTITUTE(L2139,M2139,"")</f>
        <v/>
      </c>
      <c r="X2139" s="258" t="str">
        <f t="shared" si="86"/>
        <v/>
      </c>
      <c r="Y2139" s="36" t="str">
        <f t="shared" si="87"/>
        <v/>
      </c>
      <c r="Z2139" s="340" t="str">
        <f>IF(AND(C2139&gt;0,D2139&lt;&gt;"",S2139=""),VLOOKUP(A2139&amp;IF(H2139="黑丝","黑","白")&amp;E2139,经纬!A:M,13,FALSE)*(I2139-AB2139),"")</f>
        <v/>
      </c>
      <c r="AA2139" s="340" t="str">
        <f>IF(AND(C2139&gt;0,D2139&lt;&gt;"",S2139=""),VLOOKUP(A2139&amp;IF(H2139="黑丝","黑","白")&amp;E2139,经纬!A:N,14,FALSE)*(I2139-AB2139),"")</f>
        <v/>
      </c>
    </row>
    <row r="2140" spans="13:27">
      <c r="M2140" s="24" t="str">
        <f t="array" ref="M2140">LEFT(L2140,MIN(FIND({"A","B","C"},MID(L2140,2,LEN(L2140))&amp;"ABC")))</f>
        <v/>
      </c>
      <c r="N2140" s="24" t="str">
        <f t="array" ref="N2140">SUBSTITUTE(L2140,M2140,"")</f>
        <v/>
      </c>
      <c r="X2140" s="258" t="str">
        <f t="shared" ref="X2140:X2203" si="88">IF(B2140="","",IF(S2140&lt;&gt;"","",IF(AND(Z2140&lt;&gt;"",AA2140&lt;&gt;""),SUM(Z2140:AA2140),IF(AB2140&lt;&gt;"",(I2140/((1/((G2140+2)/100*K2140/1000))*0.9144)/IF(H2140="黑丝",22,20)-AB2140)*(IF(H2140="黑丝",22,20)),I2140/((1/((G2140+2)/100*K2140/1000))*0.9144)))))</f>
        <v/>
      </c>
      <c r="Y2140" s="36" t="str">
        <f t="shared" si="87"/>
        <v/>
      </c>
      <c r="Z2140" s="340" t="str">
        <f>IF(AND(C2140&gt;0,D2140&lt;&gt;"",S2140=""),VLOOKUP(A2140&amp;IF(H2140="黑丝","黑","白")&amp;E2140,经纬!A:M,13,FALSE)*(I2140-AB2140),"")</f>
        <v/>
      </c>
      <c r="AA2140" s="340" t="str">
        <f>IF(AND(C2140&gt;0,D2140&lt;&gt;"",S2140=""),VLOOKUP(A2140&amp;IF(H2140="黑丝","黑","白")&amp;E2140,经纬!A:N,14,FALSE)*(I2140-AB2140),"")</f>
        <v/>
      </c>
    </row>
    <row r="2141" spans="13:27">
      <c r="M2141" s="24" t="str">
        <f t="array" ref="M2141">LEFT(L2141,MIN(FIND({"A","B","C"},MID(L2141,2,LEN(L2141))&amp;"ABC")))</f>
        <v/>
      </c>
      <c r="N2141" s="24" t="str">
        <f t="array" ref="N2141">SUBSTITUTE(L2141,M2141,"")</f>
        <v/>
      </c>
      <c r="X2141" s="258" t="str">
        <f t="shared" si="88"/>
        <v/>
      </c>
      <c r="Y2141" s="36" t="str">
        <f t="shared" si="87"/>
        <v/>
      </c>
      <c r="Z2141" s="340" t="str">
        <f>IF(AND(C2141&gt;0,D2141&lt;&gt;"",S2141=""),VLOOKUP(A2141&amp;IF(H2141="黑丝","黑","白")&amp;E2141,经纬!A:M,13,FALSE)*(I2141-AB2141),"")</f>
        <v/>
      </c>
      <c r="AA2141" s="340" t="str">
        <f>IF(AND(C2141&gt;0,D2141&lt;&gt;"",S2141=""),VLOOKUP(A2141&amp;IF(H2141="黑丝","黑","白")&amp;E2141,经纬!A:N,14,FALSE)*(I2141-AB2141),"")</f>
        <v/>
      </c>
    </row>
    <row r="2142" spans="13:27">
      <c r="M2142" s="24" t="str">
        <f t="array" ref="M2142">LEFT(L2142,MIN(FIND({"A","B","C"},MID(L2142,2,LEN(L2142))&amp;"ABC")))</f>
        <v/>
      </c>
      <c r="N2142" s="24" t="str">
        <f t="array" ref="N2142">SUBSTITUTE(L2142,M2142,"")</f>
        <v/>
      </c>
      <c r="X2142" s="258" t="str">
        <f t="shared" si="88"/>
        <v/>
      </c>
      <c r="Y2142" s="36" t="str">
        <f t="shared" si="87"/>
        <v/>
      </c>
      <c r="Z2142" s="340" t="str">
        <f>IF(AND(C2142&gt;0,D2142&lt;&gt;"",S2142=""),VLOOKUP(A2142&amp;IF(H2142="黑丝","黑","白")&amp;E2142,经纬!A:M,13,FALSE)*(I2142-AB2142),"")</f>
        <v/>
      </c>
      <c r="AA2142" s="340" t="str">
        <f>IF(AND(C2142&gt;0,D2142&lt;&gt;"",S2142=""),VLOOKUP(A2142&amp;IF(H2142="黑丝","黑","白")&amp;E2142,经纬!A:N,14,FALSE)*(I2142-AB2142),"")</f>
        <v/>
      </c>
    </row>
    <row r="2143" spans="13:27">
      <c r="M2143" s="24" t="str">
        <f t="array" ref="M2143">LEFT(L2143,MIN(FIND({"A","B","C"},MID(L2143,2,LEN(L2143))&amp;"ABC")))</f>
        <v/>
      </c>
      <c r="N2143" s="24" t="str">
        <f t="array" ref="N2143">SUBSTITUTE(L2143,M2143,"")</f>
        <v/>
      </c>
      <c r="X2143" s="258" t="str">
        <f t="shared" si="88"/>
        <v/>
      </c>
      <c r="Y2143" s="36" t="str">
        <f t="shared" si="87"/>
        <v/>
      </c>
      <c r="Z2143" s="340" t="str">
        <f>IF(AND(C2143&gt;0,D2143&lt;&gt;"",S2143=""),VLOOKUP(A2143&amp;IF(H2143="黑丝","黑","白")&amp;E2143,经纬!A:M,13,FALSE)*(I2143-AB2143),"")</f>
        <v/>
      </c>
      <c r="AA2143" s="340" t="str">
        <f>IF(AND(C2143&gt;0,D2143&lt;&gt;"",S2143=""),VLOOKUP(A2143&amp;IF(H2143="黑丝","黑","白")&amp;E2143,经纬!A:N,14,FALSE)*(I2143-AB2143),"")</f>
        <v/>
      </c>
    </row>
    <row r="2144" spans="13:27">
      <c r="M2144" s="24" t="str">
        <f t="array" ref="M2144">LEFT(L2144,MIN(FIND({"A","B","C"},MID(L2144,2,LEN(L2144))&amp;"ABC")))</f>
        <v/>
      </c>
      <c r="N2144" s="24" t="str">
        <f t="array" ref="N2144">SUBSTITUTE(L2144,M2144,"")</f>
        <v/>
      </c>
      <c r="X2144" s="258" t="str">
        <f t="shared" si="88"/>
        <v/>
      </c>
      <c r="Y2144" s="36" t="str">
        <f t="shared" si="87"/>
        <v/>
      </c>
      <c r="Z2144" s="340" t="str">
        <f>IF(AND(C2144&gt;0,D2144&lt;&gt;"",S2144=""),VLOOKUP(A2144&amp;IF(H2144="黑丝","黑","白")&amp;E2144,经纬!A:M,13,FALSE)*(I2144-AB2144),"")</f>
        <v/>
      </c>
      <c r="AA2144" s="340" t="str">
        <f>IF(AND(C2144&gt;0,D2144&lt;&gt;"",S2144=""),VLOOKUP(A2144&amp;IF(H2144="黑丝","黑","白")&amp;E2144,经纬!A:N,14,FALSE)*(I2144-AB2144),"")</f>
        <v/>
      </c>
    </row>
    <row r="2145" spans="13:27">
      <c r="M2145" s="24" t="str">
        <f t="array" ref="M2145">LEFT(L2145,MIN(FIND({"A","B","C"},MID(L2145,2,LEN(L2145))&amp;"ABC")))</f>
        <v/>
      </c>
      <c r="N2145" s="24" t="str">
        <f t="array" ref="N2145">SUBSTITUTE(L2145,M2145,"")</f>
        <v/>
      </c>
      <c r="X2145" s="258" t="str">
        <f t="shared" si="88"/>
        <v/>
      </c>
      <c r="Y2145" s="36" t="str">
        <f t="shared" si="87"/>
        <v/>
      </c>
      <c r="Z2145" s="340" t="str">
        <f>IF(AND(C2145&gt;0,D2145&lt;&gt;"",S2145=""),VLOOKUP(A2145&amp;IF(H2145="黑丝","黑","白")&amp;E2145,经纬!A:M,13,FALSE)*(I2145-AB2145),"")</f>
        <v/>
      </c>
      <c r="AA2145" s="340" t="str">
        <f>IF(AND(C2145&gt;0,D2145&lt;&gt;"",S2145=""),VLOOKUP(A2145&amp;IF(H2145="黑丝","黑","白")&amp;E2145,经纬!A:N,14,FALSE)*(I2145-AB2145),"")</f>
        <v/>
      </c>
    </row>
    <row r="2146" spans="13:27">
      <c r="M2146" s="24" t="str">
        <f t="array" ref="M2146">LEFT(L2146,MIN(FIND({"A","B","C"},MID(L2146,2,LEN(L2146))&amp;"ABC")))</f>
        <v/>
      </c>
      <c r="N2146" s="24" t="str">
        <f t="array" ref="N2146">SUBSTITUTE(L2146,M2146,"")</f>
        <v/>
      </c>
      <c r="X2146" s="258" t="str">
        <f t="shared" si="88"/>
        <v/>
      </c>
      <c r="Y2146" s="36" t="str">
        <f t="shared" si="87"/>
        <v/>
      </c>
      <c r="Z2146" s="340" t="str">
        <f>IF(AND(C2146&gt;0,D2146&lt;&gt;"",S2146=""),VLOOKUP(A2146&amp;IF(H2146="黑丝","黑","白")&amp;E2146,经纬!A:M,13,FALSE)*(I2146-AB2146),"")</f>
        <v/>
      </c>
      <c r="AA2146" s="340" t="str">
        <f>IF(AND(C2146&gt;0,D2146&lt;&gt;"",S2146=""),VLOOKUP(A2146&amp;IF(H2146="黑丝","黑","白")&amp;E2146,经纬!A:N,14,FALSE)*(I2146-AB2146),"")</f>
        <v/>
      </c>
    </row>
    <row r="2147" spans="13:27">
      <c r="M2147" s="24" t="str">
        <f t="array" ref="M2147">LEFT(L2147,MIN(FIND({"A","B","C"},MID(L2147,2,LEN(L2147))&amp;"ABC")))</f>
        <v/>
      </c>
      <c r="N2147" s="24" t="str">
        <f t="array" ref="N2147">SUBSTITUTE(L2147,M2147,"")</f>
        <v/>
      </c>
      <c r="X2147" s="258" t="str">
        <f t="shared" si="88"/>
        <v/>
      </c>
      <c r="Y2147" s="36" t="str">
        <f t="shared" si="87"/>
        <v/>
      </c>
      <c r="Z2147" s="340" t="str">
        <f>IF(AND(C2147&gt;0,D2147&lt;&gt;"",S2147=""),VLOOKUP(A2147&amp;IF(H2147="黑丝","黑","白")&amp;E2147,经纬!A:M,13,FALSE)*(I2147-AB2147),"")</f>
        <v/>
      </c>
      <c r="AA2147" s="340" t="str">
        <f>IF(AND(C2147&gt;0,D2147&lt;&gt;"",S2147=""),VLOOKUP(A2147&amp;IF(H2147="黑丝","黑","白")&amp;E2147,经纬!A:N,14,FALSE)*(I2147-AB2147),"")</f>
        <v/>
      </c>
    </row>
    <row r="2148" spans="13:27">
      <c r="M2148" s="24" t="str">
        <f t="array" ref="M2148">LEFT(L2148,MIN(FIND({"A","B","C"},MID(L2148,2,LEN(L2148))&amp;"ABC")))</f>
        <v/>
      </c>
      <c r="N2148" s="24" t="str">
        <f t="array" ref="N2148">SUBSTITUTE(L2148,M2148,"")</f>
        <v/>
      </c>
      <c r="X2148" s="258" t="str">
        <f t="shared" si="88"/>
        <v/>
      </c>
      <c r="Y2148" s="36" t="str">
        <f t="shared" si="87"/>
        <v/>
      </c>
      <c r="Z2148" s="340" t="str">
        <f>IF(AND(C2148&gt;0,D2148&lt;&gt;"",S2148=""),VLOOKUP(A2148&amp;IF(H2148="黑丝","黑","白")&amp;E2148,经纬!A:M,13,FALSE)*(I2148-AB2148),"")</f>
        <v/>
      </c>
      <c r="AA2148" s="340" t="str">
        <f>IF(AND(C2148&gt;0,D2148&lt;&gt;"",S2148=""),VLOOKUP(A2148&amp;IF(H2148="黑丝","黑","白")&amp;E2148,经纬!A:N,14,FALSE)*(I2148-AB2148),"")</f>
        <v/>
      </c>
    </row>
    <row r="2149" spans="13:27">
      <c r="M2149" s="24" t="str">
        <f t="array" ref="M2149">LEFT(L2149,MIN(FIND({"A","B","C"},MID(L2149,2,LEN(L2149))&amp;"ABC")))</f>
        <v/>
      </c>
      <c r="N2149" s="24" t="str">
        <f t="array" ref="N2149">SUBSTITUTE(L2149,M2149,"")</f>
        <v/>
      </c>
      <c r="X2149" s="258" t="str">
        <f t="shared" si="88"/>
        <v/>
      </c>
      <c r="Y2149" s="36" t="str">
        <f t="shared" si="87"/>
        <v/>
      </c>
      <c r="Z2149" s="340" t="str">
        <f>IF(AND(C2149&gt;0,D2149&lt;&gt;"",S2149=""),VLOOKUP(A2149&amp;IF(H2149="黑丝","黑","白")&amp;E2149,经纬!A:M,13,FALSE)*(I2149-AB2149),"")</f>
        <v/>
      </c>
      <c r="AA2149" s="340" t="str">
        <f>IF(AND(C2149&gt;0,D2149&lt;&gt;"",S2149=""),VLOOKUP(A2149&amp;IF(H2149="黑丝","黑","白")&amp;E2149,经纬!A:N,14,FALSE)*(I2149-AB2149),"")</f>
        <v/>
      </c>
    </row>
    <row r="2150" spans="13:27">
      <c r="M2150" s="24" t="str">
        <f t="array" ref="M2150">LEFT(L2150,MIN(FIND({"A","B","C"},MID(L2150,2,LEN(L2150))&amp;"ABC")))</f>
        <v/>
      </c>
      <c r="N2150" s="24" t="str">
        <f t="array" ref="N2150">SUBSTITUTE(L2150,M2150,"")</f>
        <v/>
      </c>
      <c r="X2150" s="258" t="str">
        <f t="shared" si="88"/>
        <v/>
      </c>
      <c r="Y2150" s="36" t="str">
        <f t="shared" si="87"/>
        <v/>
      </c>
      <c r="Z2150" s="340" t="str">
        <f>IF(AND(C2150&gt;0,D2150&lt;&gt;"",S2150=""),VLOOKUP(A2150&amp;IF(H2150="黑丝","黑","白")&amp;E2150,经纬!A:M,13,FALSE)*(I2150-AB2150),"")</f>
        <v/>
      </c>
      <c r="AA2150" s="340" t="str">
        <f>IF(AND(C2150&gt;0,D2150&lt;&gt;"",S2150=""),VLOOKUP(A2150&amp;IF(H2150="黑丝","黑","白")&amp;E2150,经纬!A:N,14,FALSE)*(I2150-AB2150),"")</f>
        <v/>
      </c>
    </row>
    <row r="2151" spans="13:27">
      <c r="M2151" s="24" t="str">
        <f t="array" ref="M2151">LEFT(L2151,MIN(FIND({"A","B","C"},MID(L2151,2,LEN(L2151))&amp;"ABC")))</f>
        <v/>
      </c>
      <c r="N2151" s="24" t="str">
        <f t="array" ref="N2151">SUBSTITUTE(L2151,M2151,"")</f>
        <v/>
      </c>
      <c r="X2151" s="258" t="str">
        <f t="shared" si="88"/>
        <v/>
      </c>
      <c r="Y2151" s="36" t="str">
        <f t="shared" si="87"/>
        <v/>
      </c>
      <c r="Z2151" s="340" t="str">
        <f>IF(AND(C2151&gt;0,D2151&lt;&gt;"",S2151=""),VLOOKUP(A2151&amp;IF(H2151="黑丝","黑","白")&amp;E2151,经纬!A:M,13,FALSE)*(I2151-AB2151),"")</f>
        <v/>
      </c>
      <c r="AA2151" s="340" t="str">
        <f>IF(AND(C2151&gt;0,D2151&lt;&gt;"",S2151=""),VLOOKUP(A2151&amp;IF(H2151="黑丝","黑","白")&amp;E2151,经纬!A:N,14,FALSE)*(I2151-AB2151),"")</f>
        <v/>
      </c>
    </row>
    <row r="2152" spans="13:27">
      <c r="M2152" s="24" t="str">
        <f t="array" ref="M2152">LEFT(L2152,MIN(FIND({"A","B","C"},MID(L2152,2,LEN(L2152))&amp;"ABC")))</f>
        <v/>
      </c>
      <c r="N2152" s="24" t="str">
        <f t="array" ref="N2152">SUBSTITUTE(L2152,M2152,"")</f>
        <v/>
      </c>
      <c r="X2152" s="258" t="str">
        <f t="shared" si="88"/>
        <v/>
      </c>
      <c r="Y2152" s="36" t="str">
        <f t="shared" si="87"/>
        <v/>
      </c>
      <c r="Z2152" s="340" t="str">
        <f>IF(AND(C2152&gt;0,D2152&lt;&gt;"",S2152=""),VLOOKUP(A2152&amp;IF(H2152="黑丝","黑","白")&amp;E2152,经纬!A:M,13,FALSE)*(I2152-AB2152),"")</f>
        <v/>
      </c>
      <c r="AA2152" s="340" t="str">
        <f>IF(AND(C2152&gt;0,D2152&lt;&gt;"",S2152=""),VLOOKUP(A2152&amp;IF(H2152="黑丝","黑","白")&amp;E2152,经纬!A:N,14,FALSE)*(I2152-AB2152),"")</f>
        <v/>
      </c>
    </row>
    <row r="2153" spans="13:27">
      <c r="M2153" s="24" t="str">
        <f t="array" ref="M2153">LEFT(L2153,MIN(FIND({"A","B","C"},MID(L2153,2,LEN(L2153))&amp;"ABC")))</f>
        <v/>
      </c>
      <c r="N2153" s="24" t="str">
        <f t="array" ref="N2153">SUBSTITUTE(L2153,M2153,"")</f>
        <v/>
      </c>
      <c r="X2153" s="258" t="str">
        <f t="shared" si="88"/>
        <v/>
      </c>
      <c r="Y2153" s="36" t="str">
        <f t="shared" ref="Y2153:Y2216" si="89">IF(OR(B2153="",D2153&lt;&gt;""),"",IF(S2153&lt;&gt;"","",I2153/((1/((G2153+2)/100*K2153/1000))*0.9144)/IF(H2153="黑丝",22,20)-AB2153))</f>
        <v/>
      </c>
      <c r="Z2153" s="340" t="str">
        <f>IF(AND(C2153&gt;0,D2153&lt;&gt;"",S2153=""),VLOOKUP(A2153&amp;IF(H2153="黑丝","黑","白")&amp;E2153,经纬!A:M,13,FALSE)*(I2153-AB2153),"")</f>
        <v/>
      </c>
      <c r="AA2153" s="340" t="str">
        <f>IF(AND(C2153&gt;0,D2153&lt;&gt;"",S2153=""),VLOOKUP(A2153&amp;IF(H2153="黑丝","黑","白")&amp;E2153,经纬!A:N,14,FALSE)*(I2153-AB2153),"")</f>
        <v/>
      </c>
    </row>
    <row r="2154" spans="13:27">
      <c r="M2154" s="24" t="str">
        <f t="array" ref="M2154">LEFT(L2154,MIN(FIND({"A","B","C"},MID(L2154,2,LEN(L2154))&amp;"ABC")))</f>
        <v/>
      </c>
      <c r="N2154" s="24" t="str">
        <f t="array" ref="N2154">SUBSTITUTE(L2154,M2154,"")</f>
        <v/>
      </c>
      <c r="X2154" s="258" t="str">
        <f t="shared" si="88"/>
        <v/>
      </c>
      <c r="Y2154" s="36" t="str">
        <f t="shared" si="89"/>
        <v/>
      </c>
      <c r="Z2154" s="340" t="str">
        <f>IF(AND(C2154&gt;0,D2154&lt;&gt;"",S2154=""),VLOOKUP(A2154&amp;IF(H2154="黑丝","黑","白")&amp;E2154,经纬!A:M,13,FALSE)*(I2154-AB2154),"")</f>
        <v/>
      </c>
      <c r="AA2154" s="340" t="str">
        <f>IF(AND(C2154&gt;0,D2154&lt;&gt;"",S2154=""),VLOOKUP(A2154&amp;IF(H2154="黑丝","黑","白")&amp;E2154,经纬!A:N,14,FALSE)*(I2154-AB2154),"")</f>
        <v/>
      </c>
    </row>
    <row r="2155" spans="13:27">
      <c r="M2155" s="24" t="str">
        <f t="array" ref="M2155">LEFT(L2155,MIN(FIND({"A","B","C"},MID(L2155,2,LEN(L2155))&amp;"ABC")))</f>
        <v/>
      </c>
      <c r="N2155" s="24" t="str">
        <f t="array" ref="N2155">SUBSTITUTE(L2155,M2155,"")</f>
        <v/>
      </c>
      <c r="X2155" s="258" t="str">
        <f t="shared" si="88"/>
        <v/>
      </c>
      <c r="Y2155" s="36" t="str">
        <f t="shared" si="89"/>
        <v/>
      </c>
      <c r="Z2155" s="340" t="str">
        <f>IF(AND(C2155&gt;0,D2155&lt;&gt;"",S2155=""),VLOOKUP(A2155&amp;IF(H2155="黑丝","黑","白")&amp;E2155,经纬!A:M,13,FALSE)*(I2155-AB2155),"")</f>
        <v/>
      </c>
      <c r="AA2155" s="340" t="str">
        <f>IF(AND(C2155&gt;0,D2155&lt;&gt;"",S2155=""),VLOOKUP(A2155&amp;IF(H2155="黑丝","黑","白")&amp;E2155,经纬!A:N,14,FALSE)*(I2155-AB2155),"")</f>
        <v/>
      </c>
    </row>
    <row r="2156" spans="13:27">
      <c r="M2156" s="24" t="str">
        <f t="array" ref="M2156">LEFT(L2156,MIN(FIND({"A","B","C"},MID(L2156,2,LEN(L2156))&amp;"ABC")))</f>
        <v/>
      </c>
      <c r="N2156" s="24" t="str">
        <f t="array" ref="N2156">SUBSTITUTE(L2156,M2156,"")</f>
        <v/>
      </c>
      <c r="X2156" s="258" t="str">
        <f t="shared" si="88"/>
        <v/>
      </c>
      <c r="Y2156" s="36" t="str">
        <f t="shared" si="89"/>
        <v/>
      </c>
      <c r="Z2156" s="340" t="str">
        <f>IF(AND(C2156&gt;0,D2156&lt;&gt;"",S2156=""),VLOOKUP(A2156&amp;IF(H2156="黑丝","黑","白")&amp;E2156,经纬!A:M,13,FALSE)*(I2156-AB2156),"")</f>
        <v/>
      </c>
      <c r="AA2156" s="340" t="str">
        <f>IF(AND(C2156&gt;0,D2156&lt;&gt;"",S2156=""),VLOOKUP(A2156&amp;IF(H2156="黑丝","黑","白")&amp;E2156,经纬!A:N,14,FALSE)*(I2156-AB2156),"")</f>
        <v/>
      </c>
    </row>
    <row r="2157" spans="13:27">
      <c r="M2157" s="24" t="str">
        <f t="array" ref="M2157">LEFT(L2157,MIN(FIND({"A","B","C"},MID(L2157,2,LEN(L2157))&amp;"ABC")))</f>
        <v/>
      </c>
      <c r="N2157" s="24" t="str">
        <f t="array" ref="N2157">SUBSTITUTE(L2157,M2157,"")</f>
        <v/>
      </c>
      <c r="X2157" s="258" t="str">
        <f t="shared" si="88"/>
        <v/>
      </c>
      <c r="Y2157" s="36" t="str">
        <f t="shared" si="89"/>
        <v/>
      </c>
      <c r="Z2157" s="340" t="str">
        <f>IF(AND(C2157&gt;0,D2157&lt;&gt;"",S2157=""),VLOOKUP(A2157&amp;IF(H2157="黑丝","黑","白")&amp;E2157,经纬!A:M,13,FALSE)*(I2157-AB2157),"")</f>
        <v/>
      </c>
      <c r="AA2157" s="340" t="str">
        <f>IF(AND(C2157&gt;0,D2157&lt;&gt;"",S2157=""),VLOOKUP(A2157&amp;IF(H2157="黑丝","黑","白")&amp;E2157,经纬!A:N,14,FALSE)*(I2157-AB2157),"")</f>
        <v/>
      </c>
    </row>
    <row r="2158" spans="13:27">
      <c r="M2158" s="24" t="str">
        <f t="array" ref="M2158">LEFT(L2158,MIN(FIND({"A","B","C"},MID(L2158,2,LEN(L2158))&amp;"ABC")))</f>
        <v/>
      </c>
      <c r="N2158" s="24" t="str">
        <f t="array" ref="N2158">SUBSTITUTE(L2158,M2158,"")</f>
        <v/>
      </c>
      <c r="X2158" s="258" t="str">
        <f t="shared" si="88"/>
        <v/>
      </c>
      <c r="Y2158" s="36" t="str">
        <f t="shared" si="89"/>
        <v/>
      </c>
      <c r="Z2158" s="340" t="str">
        <f>IF(AND(C2158&gt;0,D2158&lt;&gt;"",S2158=""),VLOOKUP(A2158&amp;IF(H2158="黑丝","黑","白")&amp;E2158,经纬!A:M,13,FALSE)*(I2158-AB2158),"")</f>
        <v/>
      </c>
      <c r="AA2158" s="340" t="str">
        <f>IF(AND(C2158&gt;0,D2158&lt;&gt;"",S2158=""),VLOOKUP(A2158&amp;IF(H2158="黑丝","黑","白")&amp;E2158,经纬!A:N,14,FALSE)*(I2158-AB2158),"")</f>
        <v/>
      </c>
    </row>
    <row r="2159" spans="13:27">
      <c r="M2159" s="24" t="str">
        <f t="array" ref="M2159">LEFT(L2159,MIN(FIND({"A","B","C"},MID(L2159,2,LEN(L2159))&amp;"ABC")))</f>
        <v/>
      </c>
      <c r="N2159" s="24" t="str">
        <f t="array" ref="N2159">SUBSTITUTE(L2159,M2159,"")</f>
        <v/>
      </c>
      <c r="X2159" s="258" t="str">
        <f t="shared" si="88"/>
        <v/>
      </c>
      <c r="Y2159" s="36" t="str">
        <f t="shared" si="89"/>
        <v/>
      </c>
      <c r="Z2159" s="340" t="str">
        <f>IF(AND(C2159&gt;0,D2159&lt;&gt;"",S2159=""),VLOOKUP(A2159&amp;IF(H2159="黑丝","黑","白")&amp;E2159,经纬!A:M,13,FALSE)*(I2159-AB2159),"")</f>
        <v/>
      </c>
      <c r="AA2159" s="340" t="str">
        <f>IF(AND(C2159&gt;0,D2159&lt;&gt;"",S2159=""),VLOOKUP(A2159&amp;IF(H2159="黑丝","黑","白")&amp;E2159,经纬!A:N,14,FALSE)*(I2159-AB2159),"")</f>
        <v/>
      </c>
    </row>
    <row r="2160" spans="13:27">
      <c r="M2160" s="24" t="str">
        <f t="array" ref="M2160">LEFT(L2160,MIN(FIND({"A","B","C"},MID(L2160,2,LEN(L2160))&amp;"ABC")))</f>
        <v/>
      </c>
      <c r="N2160" s="24" t="str">
        <f t="array" ref="N2160">SUBSTITUTE(L2160,M2160,"")</f>
        <v/>
      </c>
      <c r="X2160" s="258" t="str">
        <f t="shared" si="88"/>
        <v/>
      </c>
      <c r="Y2160" s="36" t="str">
        <f t="shared" si="89"/>
        <v/>
      </c>
      <c r="Z2160" s="340" t="str">
        <f>IF(AND(C2160&gt;0,D2160&lt;&gt;"",S2160=""),VLOOKUP(A2160&amp;IF(H2160="黑丝","黑","白")&amp;E2160,经纬!A:M,13,FALSE)*(I2160-AB2160),"")</f>
        <v/>
      </c>
      <c r="AA2160" s="340" t="str">
        <f>IF(AND(C2160&gt;0,D2160&lt;&gt;"",S2160=""),VLOOKUP(A2160&amp;IF(H2160="黑丝","黑","白")&amp;E2160,经纬!A:N,14,FALSE)*(I2160-AB2160),"")</f>
        <v/>
      </c>
    </row>
    <row r="2161" spans="13:27">
      <c r="M2161" s="24" t="str">
        <f t="array" ref="M2161">LEFT(L2161,MIN(FIND({"A","B","C"},MID(L2161,2,LEN(L2161))&amp;"ABC")))</f>
        <v/>
      </c>
      <c r="N2161" s="24" t="str">
        <f t="array" ref="N2161">SUBSTITUTE(L2161,M2161,"")</f>
        <v/>
      </c>
      <c r="X2161" s="258" t="str">
        <f t="shared" si="88"/>
        <v/>
      </c>
      <c r="Y2161" s="36" t="str">
        <f t="shared" si="89"/>
        <v/>
      </c>
      <c r="Z2161" s="340" t="str">
        <f>IF(AND(C2161&gt;0,D2161&lt;&gt;"",S2161=""),VLOOKUP(A2161&amp;IF(H2161="黑丝","黑","白")&amp;E2161,经纬!A:M,13,FALSE)*(I2161-AB2161),"")</f>
        <v/>
      </c>
      <c r="AA2161" s="340" t="str">
        <f>IF(AND(C2161&gt;0,D2161&lt;&gt;"",S2161=""),VLOOKUP(A2161&amp;IF(H2161="黑丝","黑","白")&amp;E2161,经纬!A:N,14,FALSE)*(I2161-AB2161),"")</f>
        <v/>
      </c>
    </row>
    <row r="2162" spans="13:27">
      <c r="M2162" s="24" t="str">
        <f t="array" ref="M2162">LEFT(L2162,MIN(FIND({"A","B","C"},MID(L2162,2,LEN(L2162))&amp;"ABC")))</f>
        <v/>
      </c>
      <c r="N2162" s="24" t="str">
        <f t="array" ref="N2162">SUBSTITUTE(L2162,M2162,"")</f>
        <v/>
      </c>
      <c r="X2162" s="258" t="str">
        <f t="shared" si="88"/>
        <v/>
      </c>
      <c r="Y2162" s="36" t="str">
        <f t="shared" si="89"/>
        <v/>
      </c>
      <c r="Z2162" s="340" t="str">
        <f>IF(AND(C2162&gt;0,D2162&lt;&gt;"",S2162=""),VLOOKUP(A2162&amp;IF(H2162="黑丝","黑","白")&amp;E2162,经纬!A:M,13,FALSE)*(I2162-AB2162),"")</f>
        <v/>
      </c>
      <c r="AA2162" s="340" t="str">
        <f>IF(AND(C2162&gt;0,D2162&lt;&gt;"",S2162=""),VLOOKUP(A2162&amp;IF(H2162="黑丝","黑","白")&amp;E2162,经纬!A:N,14,FALSE)*(I2162-AB2162),"")</f>
        <v/>
      </c>
    </row>
    <row r="2163" spans="13:27">
      <c r="M2163" s="24" t="str">
        <f t="array" ref="M2163">LEFT(L2163,MIN(FIND({"A","B","C"},MID(L2163,2,LEN(L2163))&amp;"ABC")))</f>
        <v/>
      </c>
      <c r="N2163" s="24" t="str">
        <f t="array" ref="N2163">SUBSTITUTE(L2163,M2163,"")</f>
        <v/>
      </c>
      <c r="X2163" s="258" t="str">
        <f t="shared" si="88"/>
        <v/>
      </c>
      <c r="Y2163" s="36" t="str">
        <f t="shared" si="89"/>
        <v/>
      </c>
      <c r="Z2163" s="340" t="str">
        <f>IF(AND(C2163&gt;0,D2163&lt;&gt;"",S2163=""),VLOOKUP(A2163&amp;IF(H2163="黑丝","黑","白")&amp;E2163,经纬!A:M,13,FALSE)*(I2163-AB2163),"")</f>
        <v/>
      </c>
      <c r="AA2163" s="340" t="str">
        <f>IF(AND(C2163&gt;0,D2163&lt;&gt;"",S2163=""),VLOOKUP(A2163&amp;IF(H2163="黑丝","黑","白")&amp;E2163,经纬!A:N,14,FALSE)*(I2163-AB2163),"")</f>
        <v/>
      </c>
    </row>
    <row r="2164" spans="13:27">
      <c r="M2164" s="24" t="str">
        <f t="array" ref="M2164">LEFT(L2164,MIN(FIND({"A","B","C"},MID(L2164,2,LEN(L2164))&amp;"ABC")))</f>
        <v/>
      </c>
      <c r="N2164" s="24" t="str">
        <f t="array" ref="N2164">SUBSTITUTE(L2164,M2164,"")</f>
        <v/>
      </c>
      <c r="X2164" s="258" t="str">
        <f t="shared" si="88"/>
        <v/>
      </c>
      <c r="Y2164" s="36" t="str">
        <f t="shared" si="89"/>
        <v/>
      </c>
      <c r="Z2164" s="340" t="str">
        <f>IF(AND(C2164&gt;0,D2164&lt;&gt;"",S2164=""),VLOOKUP(A2164&amp;IF(H2164="黑丝","黑","白")&amp;E2164,经纬!A:M,13,FALSE)*(I2164-AB2164),"")</f>
        <v/>
      </c>
      <c r="AA2164" s="340" t="str">
        <f>IF(AND(C2164&gt;0,D2164&lt;&gt;"",S2164=""),VLOOKUP(A2164&amp;IF(H2164="黑丝","黑","白")&amp;E2164,经纬!A:N,14,FALSE)*(I2164-AB2164),"")</f>
        <v/>
      </c>
    </row>
    <row r="2165" spans="13:27">
      <c r="M2165" s="24" t="str">
        <f t="array" ref="M2165">LEFT(L2165,MIN(FIND({"A","B","C"},MID(L2165,2,LEN(L2165))&amp;"ABC")))</f>
        <v/>
      </c>
      <c r="N2165" s="24" t="str">
        <f t="array" ref="N2165">SUBSTITUTE(L2165,M2165,"")</f>
        <v/>
      </c>
      <c r="X2165" s="258" t="str">
        <f t="shared" si="88"/>
        <v/>
      </c>
      <c r="Y2165" s="36" t="str">
        <f t="shared" si="89"/>
        <v/>
      </c>
      <c r="Z2165" s="340" t="str">
        <f>IF(AND(C2165&gt;0,D2165&lt;&gt;"",S2165=""),VLOOKUP(A2165&amp;IF(H2165="黑丝","黑","白")&amp;E2165,经纬!A:M,13,FALSE)*(I2165-AB2165),"")</f>
        <v/>
      </c>
      <c r="AA2165" s="340" t="str">
        <f>IF(AND(C2165&gt;0,D2165&lt;&gt;"",S2165=""),VLOOKUP(A2165&amp;IF(H2165="黑丝","黑","白")&amp;E2165,经纬!A:N,14,FALSE)*(I2165-AB2165),"")</f>
        <v/>
      </c>
    </row>
    <row r="2166" spans="13:27">
      <c r="M2166" s="24" t="str">
        <f t="array" ref="M2166">LEFT(L2166,MIN(FIND({"A","B","C"},MID(L2166,2,LEN(L2166))&amp;"ABC")))</f>
        <v/>
      </c>
      <c r="N2166" s="24" t="str">
        <f t="array" ref="N2166">SUBSTITUTE(L2166,M2166,"")</f>
        <v/>
      </c>
      <c r="X2166" s="258" t="str">
        <f t="shared" si="88"/>
        <v/>
      </c>
      <c r="Y2166" s="36" t="str">
        <f t="shared" si="89"/>
        <v/>
      </c>
      <c r="Z2166" s="340" t="str">
        <f>IF(AND(C2166&gt;0,D2166&lt;&gt;"",S2166=""),VLOOKUP(A2166&amp;IF(H2166="黑丝","黑","白")&amp;E2166,经纬!A:M,13,FALSE)*(I2166-AB2166),"")</f>
        <v/>
      </c>
      <c r="AA2166" s="340" t="str">
        <f>IF(AND(C2166&gt;0,D2166&lt;&gt;"",S2166=""),VLOOKUP(A2166&amp;IF(H2166="黑丝","黑","白")&amp;E2166,经纬!A:N,14,FALSE)*(I2166-AB2166),"")</f>
        <v/>
      </c>
    </row>
    <row r="2167" spans="13:27">
      <c r="M2167" s="24" t="str">
        <f t="array" ref="M2167">LEFT(L2167,MIN(FIND({"A","B","C"},MID(L2167,2,LEN(L2167))&amp;"ABC")))</f>
        <v/>
      </c>
      <c r="N2167" s="24" t="str">
        <f t="array" ref="N2167">SUBSTITUTE(L2167,M2167,"")</f>
        <v/>
      </c>
      <c r="X2167" s="258" t="str">
        <f t="shared" si="88"/>
        <v/>
      </c>
      <c r="Y2167" s="36" t="str">
        <f t="shared" si="89"/>
        <v/>
      </c>
      <c r="Z2167" s="340" t="str">
        <f>IF(AND(C2167&gt;0,D2167&lt;&gt;"",S2167=""),VLOOKUP(A2167&amp;IF(H2167="黑丝","黑","白")&amp;E2167,经纬!A:M,13,FALSE)*(I2167-AB2167),"")</f>
        <v/>
      </c>
      <c r="AA2167" s="340" t="str">
        <f>IF(AND(C2167&gt;0,D2167&lt;&gt;"",S2167=""),VLOOKUP(A2167&amp;IF(H2167="黑丝","黑","白")&amp;E2167,经纬!A:N,14,FALSE)*(I2167-AB2167),"")</f>
        <v/>
      </c>
    </row>
    <row r="2168" spans="13:27">
      <c r="M2168" s="24" t="str">
        <f t="array" ref="M2168">LEFT(L2168,MIN(FIND({"A","B","C"},MID(L2168,2,LEN(L2168))&amp;"ABC")))</f>
        <v/>
      </c>
      <c r="N2168" s="24" t="str">
        <f t="array" ref="N2168">SUBSTITUTE(L2168,M2168,"")</f>
        <v/>
      </c>
      <c r="X2168" s="258" t="str">
        <f t="shared" si="88"/>
        <v/>
      </c>
      <c r="Y2168" s="36" t="str">
        <f t="shared" si="89"/>
        <v/>
      </c>
      <c r="Z2168" s="340" t="str">
        <f>IF(AND(C2168&gt;0,D2168&lt;&gt;"",S2168=""),VLOOKUP(A2168&amp;IF(H2168="黑丝","黑","白")&amp;E2168,经纬!A:M,13,FALSE)*(I2168-AB2168),"")</f>
        <v/>
      </c>
      <c r="AA2168" s="340" t="str">
        <f>IF(AND(C2168&gt;0,D2168&lt;&gt;"",S2168=""),VLOOKUP(A2168&amp;IF(H2168="黑丝","黑","白")&amp;E2168,经纬!A:N,14,FALSE)*(I2168-AB2168),"")</f>
        <v/>
      </c>
    </row>
    <row r="2169" spans="13:27">
      <c r="M2169" s="24" t="str">
        <f t="array" ref="M2169">LEFT(L2169,MIN(FIND({"A","B","C"},MID(L2169,2,LEN(L2169))&amp;"ABC")))</f>
        <v/>
      </c>
      <c r="N2169" s="24" t="str">
        <f t="array" ref="N2169">SUBSTITUTE(L2169,M2169,"")</f>
        <v/>
      </c>
      <c r="X2169" s="258" t="str">
        <f t="shared" si="88"/>
        <v/>
      </c>
      <c r="Y2169" s="36" t="str">
        <f t="shared" si="89"/>
        <v/>
      </c>
      <c r="Z2169" s="340" t="str">
        <f>IF(AND(C2169&gt;0,D2169&lt;&gt;"",S2169=""),VLOOKUP(A2169&amp;IF(H2169="黑丝","黑","白")&amp;E2169,经纬!A:M,13,FALSE)*(I2169-AB2169),"")</f>
        <v/>
      </c>
      <c r="AA2169" s="340" t="str">
        <f>IF(AND(C2169&gt;0,D2169&lt;&gt;"",S2169=""),VLOOKUP(A2169&amp;IF(H2169="黑丝","黑","白")&amp;E2169,经纬!A:N,14,FALSE)*(I2169-AB2169),"")</f>
        <v/>
      </c>
    </row>
    <row r="2170" spans="13:27">
      <c r="M2170" s="24" t="str">
        <f t="array" ref="M2170">LEFT(L2170,MIN(FIND({"A","B","C"},MID(L2170,2,LEN(L2170))&amp;"ABC")))</f>
        <v/>
      </c>
      <c r="N2170" s="24" t="str">
        <f t="array" ref="N2170">SUBSTITUTE(L2170,M2170,"")</f>
        <v/>
      </c>
      <c r="X2170" s="258" t="str">
        <f t="shared" si="88"/>
        <v/>
      </c>
      <c r="Y2170" s="36" t="str">
        <f t="shared" si="89"/>
        <v/>
      </c>
      <c r="Z2170" s="340" t="str">
        <f>IF(AND(C2170&gt;0,D2170&lt;&gt;"",S2170=""),VLOOKUP(A2170&amp;IF(H2170="黑丝","黑","白")&amp;E2170,经纬!A:M,13,FALSE)*(I2170-AB2170),"")</f>
        <v/>
      </c>
      <c r="AA2170" s="340" t="str">
        <f>IF(AND(C2170&gt;0,D2170&lt;&gt;"",S2170=""),VLOOKUP(A2170&amp;IF(H2170="黑丝","黑","白")&amp;E2170,经纬!A:N,14,FALSE)*(I2170-AB2170),"")</f>
        <v/>
      </c>
    </row>
    <row r="2171" spans="13:27">
      <c r="M2171" s="24" t="str">
        <f t="array" ref="M2171">LEFT(L2171,MIN(FIND({"A","B","C"},MID(L2171,2,LEN(L2171))&amp;"ABC")))</f>
        <v/>
      </c>
      <c r="N2171" s="24" t="str">
        <f t="array" ref="N2171">SUBSTITUTE(L2171,M2171,"")</f>
        <v/>
      </c>
      <c r="X2171" s="258" t="str">
        <f t="shared" si="88"/>
        <v/>
      </c>
      <c r="Y2171" s="36" t="str">
        <f t="shared" si="89"/>
        <v/>
      </c>
      <c r="Z2171" s="340" t="str">
        <f>IF(AND(C2171&gt;0,D2171&lt;&gt;"",S2171=""),VLOOKUP(A2171&amp;IF(H2171="黑丝","黑","白")&amp;E2171,经纬!A:M,13,FALSE)*(I2171-AB2171),"")</f>
        <v/>
      </c>
      <c r="AA2171" s="340" t="str">
        <f>IF(AND(C2171&gt;0,D2171&lt;&gt;"",S2171=""),VLOOKUP(A2171&amp;IF(H2171="黑丝","黑","白")&amp;E2171,经纬!A:N,14,FALSE)*(I2171-AB2171),"")</f>
        <v/>
      </c>
    </row>
    <row r="2172" spans="13:27">
      <c r="M2172" s="24" t="str">
        <f t="array" ref="M2172">LEFT(L2172,MIN(FIND({"A","B","C"},MID(L2172,2,LEN(L2172))&amp;"ABC")))</f>
        <v/>
      </c>
      <c r="N2172" s="24" t="str">
        <f t="array" ref="N2172">SUBSTITUTE(L2172,M2172,"")</f>
        <v/>
      </c>
      <c r="X2172" s="258" t="str">
        <f t="shared" si="88"/>
        <v/>
      </c>
      <c r="Y2172" s="36" t="str">
        <f t="shared" si="89"/>
        <v/>
      </c>
      <c r="Z2172" s="340" t="str">
        <f>IF(AND(C2172&gt;0,D2172&lt;&gt;"",S2172=""),VLOOKUP(A2172&amp;IF(H2172="黑丝","黑","白")&amp;E2172,经纬!A:M,13,FALSE)*(I2172-AB2172),"")</f>
        <v/>
      </c>
      <c r="AA2172" s="340" t="str">
        <f>IF(AND(C2172&gt;0,D2172&lt;&gt;"",S2172=""),VLOOKUP(A2172&amp;IF(H2172="黑丝","黑","白")&amp;E2172,经纬!A:N,14,FALSE)*(I2172-AB2172),"")</f>
        <v/>
      </c>
    </row>
    <row r="2173" spans="13:27">
      <c r="M2173" s="24" t="str">
        <f t="array" ref="M2173">LEFT(L2173,MIN(FIND({"A","B","C"},MID(L2173,2,LEN(L2173))&amp;"ABC")))</f>
        <v/>
      </c>
      <c r="N2173" s="24" t="str">
        <f t="array" ref="N2173">SUBSTITUTE(L2173,M2173,"")</f>
        <v/>
      </c>
      <c r="X2173" s="258" t="str">
        <f t="shared" si="88"/>
        <v/>
      </c>
      <c r="Y2173" s="36" t="str">
        <f t="shared" si="89"/>
        <v/>
      </c>
      <c r="Z2173" s="340" t="str">
        <f>IF(AND(C2173&gt;0,D2173&lt;&gt;"",S2173=""),VLOOKUP(A2173&amp;IF(H2173="黑丝","黑","白")&amp;E2173,经纬!A:M,13,FALSE)*(I2173-AB2173),"")</f>
        <v/>
      </c>
      <c r="AA2173" s="340" t="str">
        <f>IF(AND(C2173&gt;0,D2173&lt;&gt;"",S2173=""),VLOOKUP(A2173&amp;IF(H2173="黑丝","黑","白")&amp;E2173,经纬!A:N,14,FALSE)*(I2173-AB2173),"")</f>
        <v/>
      </c>
    </row>
    <row r="2174" spans="13:27">
      <c r="M2174" s="24" t="str">
        <f t="array" ref="M2174">LEFT(L2174,MIN(FIND({"A","B","C"},MID(L2174,2,LEN(L2174))&amp;"ABC")))</f>
        <v/>
      </c>
      <c r="N2174" s="24" t="str">
        <f t="array" ref="N2174">SUBSTITUTE(L2174,M2174,"")</f>
        <v/>
      </c>
      <c r="X2174" s="258" t="str">
        <f t="shared" si="88"/>
        <v/>
      </c>
      <c r="Y2174" s="36" t="str">
        <f t="shared" si="89"/>
        <v/>
      </c>
      <c r="Z2174" s="340" t="str">
        <f>IF(AND(C2174&gt;0,D2174&lt;&gt;"",S2174=""),VLOOKUP(A2174&amp;IF(H2174="黑丝","黑","白")&amp;E2174,经纬!A:M,13,FALSE)*(I2174-AB2174),"")</f>
        <v/>
      </c>
      <c r="AA2174" s="340" t="str">
        <f>IF(AND(C2174&gt;0,D2174&lt;&gt;"",S2174=""),VLOOKUP(A2174&amp;IF(H2174="黑丝","黑","白")&amp;E2174,经纬!A:N,14,FALSE)*(I2174-AB2174),"")</f>
        <v/>
      </c>
    </row>
    <row r="2175" spans="13:27">
      <c r="M2175" s="24" t="str">
        <f t="array" ref="M2175">LEFT(L2175,MIN(FIND({"A","B","C"},MID(L2175,2,LEN(L2175))&amp;"ABC")))</f>
        <v/>
      </c>
      <c r="N2175" s="24" t="str">
        <f t="array" ref="N2175">SUBSTITUTE(L2175,M2175,"")</f>
        <v/>
      </c>
      <c r="X2175" s="258" t="str">
        <f t="shared" si="88"/>
        <v/>
      </c>
      <c r="Y2175" s="36" t="str">
        <f t="shared" si="89"/>
        <v/>
      </c>
      <c r="Z2175" s="340" t="str">
        <f>IF(AND(C2175&gt;0,D2175&lt;&gt;"",S2175=""),VLOOKUP(A2175&amp;IF(H2175="黑丝","黑","白")&amp;E2175,经纬!A:M,13,FALSE)*(I2175-AB2175),"")</f>
        <v/>
      </c>
      <c r="AA2175" s="340" t="str">
        <f>IF(AND(C2175&gt;0,D2175&lt;&gt;"",S2175=""),VLOOKUP(A2175&amp;IF(H2175="黑丝","黑","白")&amp;E2175,经纬!A:N,14,FALSE)*(I2175-AB2175),"")</f>
        <v/>
      </c>
    </row>
    <row r="2176" spans="13:27">
      <c r="M2176" s="24" t="str">
        <f t="array" ref="M2176">LEFT(L2176,MIN(FIND({"A","B","C"},MID(L2176,2,LEN(L2176))&amp;"ABC")))</f>
        <v/>
      </c>
      <c r="N2176" s="24" t="str">
        <f t="array" ref="N2176">SUBSTITUTE(L2176,M2176,"")</f>
        <v/>
      </c>
      <c r="X2176" s="258" t="str">
        <f t="shared" si="88"/>
        <v/>
      </c>
      <c r="Y2176" s="36" t="str">
        <f t="shared" si="89"/>
        <v/>
      </c>
      <c r="Z2176" s="340" t="str">
        <f>IF(AND(C2176&gt;0,D2176&lt;&gt;"",S2176=""),VLOOKUP(A2176&amp;IF(H2176="黑丝","黑","白")&amp;E2176,经纬!A:M,13,FALSE)*(I2176-AB2176),"")</f>
        <v/>
      </c>
      <c r="AA2176" s="340" t="str">
        <f>IF(AND(C2176&gt;0,D2176&lt;&gt;"",S2176=""),VLOOKUP(A2176&amp;IF(H2176="黑丝","黑","白")&amp;E2176,经纬!A:N,14,FALSE)*(I2176-AB2176),"")</f>
        <v/>
      </c>
    </row>
    <row r="2177" spans="13:27">
      <c r="M2177" s="24" t="str">
        <f t="array" ref="M2177">LEFT(L2177,MIN(FIND({"A","B","C"},MID(L2177,2,LEN(L2177))&amp;"ABC")))</f>
        <v/>
      </c>
      <c r="N2177" s="24" t="str">
        <f t="array" ref="N2177">SUBSTITUTE(L2177,M2177,"")</f>
        <v/>
      </c>
      <c r="X2177" s="258" t="str">
        <f t="shared" si="88"/>
        <v/>
      </c>
      <c r="Y2177" s="36" t="str">
        <f t="shared" si="89"/>
        <v/>
      </c>
      <c r="Z2177" s="340" t="str">
        <f>IF(AND(C2177&gt;0,D2177&lt;&gt;"",S2177=""),VLOOKUP(A2177&amp;IF(H2177="黑丝","黑","白")&amp;E2177,经纬!A:M,13,FALSE)*(I2177-AB2177),"")</f>
        <v/>
      </c>
      <c r="AA2177" s="340" t="str">
        <f>IF(AND(C2177&gt;0,D2177&lt;&gt;"",S2177=""),VLOOKUP(A2177&amp;IF(H2177="黑丝","黑","白")&amp;E2177,经纬!A:N,14,FALSE)*(I2177-AB2177),"")</f>
        <v/>
      </c>
    </row>
    <row r="2178" spans="13:27">
      <c r="M2178" s="24" t="str">
        <f t="array" ref="M2178">LEFT(L2178,MIN(FIND({"A","B","C"},MID(L2178,2,LEN(L2178))&amp;"ABC")))</f>
        <v/>
      </c>
      <c r="N2178" s="24" t="str">
        <f t="array" ref="N2178">SUBSTITUTE(L2178,M2178,"")</f>
        <v/>
      </c>
      <c r="X2178" s="258" t="str">
        <f t="shared" si="88"/>
        <v/>
      </c>
      <c r="Y2178" s="36" t="str">
        <f t="shared" si="89"/>
        <v/>
      </c>
      <c r="Z2178" s="340" t="str">
        <f>IF(AND(C2178&gt;0,D2178&lt;&gt;"",S2178=""),VLOOKUP(A2178&amp;IF(H2178="黑丝","黑","白")&amp;E2178,经纬!A:M,13,FALSE)*(I2178-AB2178),"")</f>
        <v/>
      </c>
      <c r="AA2178" s="340" t="str">
        <f>IF(AND(C2178&gt;0,D2178&lt;&gt;"",S2178=""),VLOOKUP(A2178&amp;IF(H2178="黑丝","黑","白")&amp;E2178,经纬!A:N,14,FALSE)*(I2178-AB2178),"")</f>
        <v/>
      </c>
    </row>
    <row r="2179" spans="13:27">
      <c r="M2179" s="24" t="str">
        <f t="array" ref="M2179">LEFT(L2179,MIN(FIND({"A","B","C"},MID(L2179,2,LEN(L2179))&amp;"ABC")))</f>
        <v/>
      </c>
      <c r="N2179" s="24" t="str">
        <f t="array" ref="N2179">SUBSTITUTE(L2179,M2179,"")</f>
        <v/>
      </c>
      <c r="X2179" s="258" t="str">
        <f t="shared" si="88"/>
        <v/>
      </c>
      <c r="Y2179" s="36" t="str">
        <f t="shared" si="89"/>
        <v/>
      </c>
      <c r="Z2179" s="340" t="str">
        <f>IF(AND(C2179&gt;0,D2179&lt;&gt;"",S2179=""),VLOOKUP(A2179&amp;IF(H2179="黑丝","黑","白")&amp;E2179,经纬!A:M,13,FALSE)*(I2179-AB2179),"")</f>
        <v/>
      </c>
      <c r="AA2179" s="340" t="str">
        <f>IF(AND(C2179&gt;0,D2179&lt;&gt;"",S2179=""),VLOOKUP(A2179&amp;IF(H2179="黑丝","黑","白")&amp;E2179,经纬!A:N,14,FALSE)*(I2179-AB2179),"")</f>
        <v/>
      </c>
    </row>
    <row r="2180" spans="13:27">
      <c r="M2180" s="24" t="str">
        <f t="array" ref="M2180">LEFT(L2180,MIN(FIND({"A","B","C"},MID(L2180,2,LEN(L2180))&amp;"ABC")))</f>
        <v/>
      </c>
      <c r="N2180" s="24" t="str">
        <f t="array" ref="N2180">SUBSTITUTE(L2180,M2180,"")</f>
        <v/>
      </c>
      <c r="X2180" s="258" t="str">
        <f t="shared" si="88"/>
        <v/>
      </c>
      <c r="Y2180" s="36" t="str">
        <f t="shared" si="89"/>
        <v/>
      </c>
      <c r="Z2180" s="340" t="str">
        <f>IF(AND(C2180&gt;0,D2180&lt;&gt;"",S2180=""),VLOOKUP(A2180&amp;IF(H2180="黑丝","黑","白")&amp;E2180,经纬!A:M,13,FALSE)*(I2180-AB2180),"")</f>
        <v/>
      </c>
      <c r="AA2180" s="340" t="str">
        <f>IF(AND(C2180&gt;0,D2180&lt;&gt;"",S2180=""),VLOOKUP(A2180&amp;IF(H2180="黑丝","黑","白")&amp;E2180,经纬!A:N,14,FALSE)*(I2180-AB2180),"")</f>
        <v/>
      </c>
    </row>
    <row r="2181" spans="13:27">
      <c r="M2181" s="24" t="str">
        <f t="array" ref="M2181">LEFT(L2181,MIN(FIND({"A","B","C"},MID(L2181,2,LEN(L2181))&amp;"ABC")))</f>
        <v/>
      </c>
      <c r="N2181" s="24" t="str">
        <f t="array" ref="N2181">SUBSTITUTE(L2181,M2181,"")</f>
        <v/>
      </c>
      <c r="X2181" s="258" t="str">
        <f t="shared" si="88"/>
        <v/>
      </c>
      <c r="Y2181" s="36" t="str">
        <f t="shared" si="89"/>
        <v/>
      </c>
      <c r="Z2181" s="340" t="str">
        <f>IF(AND(C2181&gt;0,D2181&lt;&gt;"",S2181=""),VLOOKUP(A2181&amp;IF(H2181="黑丝","黑","白")&amp;E2181,经纬!A:M,13,FALSE)*(I2181-AB2181),"")</f>
        <v/>
      </c>
      <c r="AA2181" s="340" t="str">
        <f>IF(AND(C2181&gt;0,D2181&lt;&gt;"",S2181=""),VLOOKUP(A2181&amp;IF(H2181="黑丝","黑","白")&amp;E2181,经纬!A:N,14,FALSE)*(I2181-AB2181),"")</f>
        <v/>
      </c>
    </row>
    <row r="2182" spans="13:27">
      <c r="M2182" s="24" t="str">
        <f t="array" ref="M2182">LEFT(L2182,MIN(FIND({"A","B","C"},MID(L2182,2,LEN(L2182))&amp;"ABC")))</f>
        <v/>
      </c>
      <c r="N2182" s="24" t="str">
        <f t="array" ref="N2182">SUBSTITUTE(L2182,M2182,"")</f>
        <v/>
      </c>
      <c r="X2182" s="258" t="str">
        <f t="shared" si="88"/>
        <v/>
      </c>
      <c r="Y2182" s="36" t="str">
        <f t="shared" si="89"/>
        <v/>
      </c>
      <c r="Z2182" s="340" t="str">
        <f>IF(AND(C2182&gt;0,D2182&lt;&gt;"",S2182=""),VLOOKUP(A2182&amp;IF(H2182="黑丝","黑","白")&amp;E2182,经纬!A:M,13,FALSE)*(I2182-AB2182),"")</f>
        <v/>
      </c>
      <c r="AA2182" s="340" t="str">
        <f>IF(AND(C2182&gt;0,D2182&lt;&gt;"",S2182=""),VLOOKUP(A2182&amp;IF(H2182="黑丝","黑","白")&amp;E2182,经纬!A:N,14,FALSE)*(I2182-AB2182),"")</f>
        <v/>
      </c>
    </row>
    <row r="2183" spans="13:27">
      <c r="M2183" s="24" t="str">
        <f t="array" ref="M2183">LEFT(L2183,MIN(FIND({"A","B","C"},MID(L2183,2,LEN(L2183))&amp;"ABC")))</f>
        <v/>
      </c>
      <c r="N2183" s="24" t="str">
        <f t="array" ref="N2183">SUBSTITUTE(L2183,M2183,"")</f>
        <v/>
      </c>
      <c r="X2183" s="258" t="str">
        <f t="shared" si="88"/>
        <v/>
      </c>
      <c r="Y2183" s="36" t="str">
        <f t="shared" si="89"/>
        <v/>
      </c>
      <c r="Z2183" s="340" t="str">
        <f>IF(AND(C2183&gt;0,D2183&lt;&gt;"",S2183=""),VLOOKUP(A2183&amp;IF(H2183="黑丝","黑","白")&amp;E2183,经纬!A:M,13,FALSE)*(I2183-AB2183),"")</f>
        <v/>
      </c>
      <c r="AA2183" s="340" t="str">
        <f>IF(AND(C2183&gt;0,D2183&lt;&gt;"",S2183=""),VLOOKUP(A2183&amp;IF(H2183="黑丝","黑","白")&amp;E2183,经纬!A:N,14,FALSE)*(I2183-AB2183),"")</f>
        <v/>
      </c>
    </row>
    <row r="2184" spans="13:27">
      <c r="M2184" s="24" t="str">
        <f t="array" ref="M2184">LEFT(L2184,MIN(FIND({"A","B","C"},MID(L2184,2,LEN(L2184))&amp;"ABC")))</f>
        <v/>
      </c>
      <c r="N2184" s="24" t="str">
        <f t="array" ref="N2184">SUBSTITUTE(L2184,M2184,"")</f>
        <v/>
      </c>
      <c r="X2184" s="258" t="str">
        <f t="shared" si="88"/>
        <v/>
      </c>
      <c r="Y2184" s="36" t="str">
        <f t="shared" si="89"/>
        <v/>
      </c>
      <c r="Z2184" s="340" t="str">
        <f>IF(AND(C2184&gt;0,D2184&lt;&gt;"",S2184=""),VLOOKUP(A2184&amp;IF(H2184="黑丝","黑","白")&amp;E2184,经纬!A:M,13,FALSE)*(I2184-AB2184),"")</f>
        <v/>
      </c>
      <c r="AA2184" s="340" t="str">
        <f>IF(AND(C2184&gt;0,D2184&lt;&gt;"",S2184=""),VLOOKUP(A2184&amp;IF(H2184="黑丝","黑","白")&amp;E2184,经纬!A:N,14,FALSE)*(I2184-AB2184),"")</f>
        <v/>
      </c>
    </row>
    <row r="2185" spans="13:27">
      <c r="M2185" s="24" t="str">
        <f t="array" ref="M2185">LEFT(L2185,MIN(FIND({"A","B","C"},MID(L2185,2,LEN(L2185))&amp;"ABC")))</f>
        <v/>
      </c>
      <c r="N2185" s="24" t="str">
        <f t="array" ref="N2185">SUBSTITUTE(L2185,M2185,"")</f>
        <v/>
      </c>
      <c r="X2185" s="258" t="str">
        <f t="shared" si="88"/>
        <v/>
      </c>
      <c r="Y2185" s="36" t="str">
        <f t="shared" si="89"/>
        <v/>
      </c>
      <c r="Z2185" s="340" t="str">
        <f>IF(AND(C2185&gt;0,D2185&lt;&gt;"",S2185=""),VLOOKUP(A2185&amp;IF(H2185="黑丝","黑","白")&amp;E2185,经纬!A:M,13,FALSE)*(I2185-AB2185),"")</f>
        <v/>
      </c>
      <c r="AA2185" s="340" t="str">
        <f>IF(AND(C2185&gt;0,D2185&lt;&gt;"",S2185=""),VLOOKUP(A2185&amp;IF(H2185="黑丝","黑","白")&amp;E2185,经纬!A:N,14,FALSE)*(I2185-AB2185),"")</f>
        <v/>
      </c>
    </row>
    <row r="2186" spans="13:27">
      <c r="M2186" s="24" t="str">
        <f t="array" ref="M2186">LEFT(L2186,MIN(FIND({"A","B","C"},MID(L2186,2,LEN(L2186))&amp;"ABC")))</f>
        <v/>
      </c>
      <c r="N2186" s="24" t="str">
        <f t="array" ref="N2186">SUBSTITUTE(L2186,M2186,"")</f>
        <v/>
      </c>
      <c r="X2186" s="258" t="str">
        <f t="shared" si="88"/>
        <v/>
      </c>
      <c r="Y2186" s="36" t="str">
        <f t="shared" si="89"/>
        <v/>
      </c>
      <c r="Z2186" s="340" t="str">
        <f>IF(AND(C2186&gt;0,D2186&lt;&gt;"",S2186=""),VLOOKUP(A2186&amp;IF(H2186="黑丝","黑","白")&amp;E2186,经纬!A:M,13,FALSE)*(I2186-AB2186),"")</f>
        <v/>
      </c>
      <c r="AA2186" s="340" t="str">
        <f>IF(AND(C2186&gt;0,D2186&lt;&gt;"",S2186=""),VLOOKUP(A2186&amp;IF(H2186="黑丝","黑","白")&amp;E2186,经纬!A:N,14,FALSE)*(I2186-AB2186),"")</f>
        <v/>
      </c>
    </row>
    <row r="2187" spans="13:27">
      <c r="M2187" s="24" t="str">
        <f t="array" ref="M2187">LEFT(L2187,MIN(FIND({"A","B","C"},MID(L2187,2,LEN(L2187))&amp;"ABC")))</f>
        <v/>
      </c>
      <c r="N2187" s="24" t="str">
        <f t="array" ref="N2187">SUBSTITUTE(L2187,M2187,"")</f>
        <v/>
      </c>
      <c r="X2187" s="258" t="str">
        <f t="shared" si="88"/>
        <v/>
      </c>
      <c r="Y2187" s="36" t="str">
        <f t="shared" si="89"/>
        <v/>
      </c>
      <c r="Z2187" s="340" t="str">
        <f>IF(AND(C2187&gt;0,D2187&lt;&gt;"",S2187=""),VLOOKUP(A2187&amp;IF(H2187="黑丝","黑","白")&amp;E2187,经纬!A:M,13,FALSE)*(I2187-AB2187),"")</f>
        <v/>
      </c>
      <c r="AA2187" s="340" t="str">
        <f>IF(AND(C2187&gt;0,D2187&lt;&gt;"",S2187=""),VLOOKUP(A2187&amp;IF(H2187="黑丝","黑","白")&amp;E2187,经纬!A:N,14,FALSE)*(I2187-AB2187),"")</f>
        <v/>
      </c>
    </row>
    <row r="2188" spans="13:27">
      <c r="M2188" s="24" t="str">
        <f t="array" ref="M2188">LEFT(L2188,MIN(FIND({"A","B","C"},MID(L2188,2,LEN(L2188))&amp;"ABC")))</f>
        <v/>
      </c>
      <c r="N2188" s="24" t="str">
        <f t="array" ref="N2188">SUBSTITUTE(L2188,M2188,"")</f>
        <v/>
      </c>
      <c r="X2188" s="258" t="str">
        <f t="shared" si="88"/>
        <v/>
      </c>
      <c r="Y2188" s="36" t="str">
        <f t="shared" si="89"/>
        <v/>
      </c>
      <c r="Z2188" s="340" t="str">
        <f>IF(AND(C2188&gt;0,D2188&lt;&gt;"",S2188=""),VLOOKUP(A2188&amp;IF(H2188="黑丝","黑","白")&amp;E2188,经纬!A:M,13,FALSE)*(I2188-AB2188),"")</f>
        <v/>
      </c>
      <c r="AA2188" s="340" t="str">
        <f>IF(AND(C2188&gt;0,D2188&lt;&gt;"",S2188=""),VLOOKUP(A2188&amp;IF(H2188="黑丝","黑","白")&amp;E2188,经纬!A:N,14,FALSE)*(I2188-AB2188),"")</f>
        <v/>
      </c>
    </row>
    <row r="2189" spans="13:27">
      <c r="M2189" s="24" t="str">
        <f t="array" ref="M2189">LEFT(L2189,MIN(FIND({"A","B","C"},MID(L2189,2,LEN(L2189))&amp;"ABC")))</f>
        <v/>
      </c>
      <c r="N2189" s="24" t="str">
        <f t="array" ref="N2189">SUBSTITUTE(L2189,M2189,"")</f>
        <v/>
      </c>
      <c r="X2189" s="258" t="str">
        <f t="shared" si="88"/>
        <v/>
      </c>
      <c r="Y2189" s="36" t="str">
        <f t="shared" si="89"/>
        <v/>
      </c>
      <c r="Z2189" s="340" t="str">
        <f>IF(AND(C2189&gt;0,D2189&lt;&gt;"",S2189=""),VLOOKUP(A2189&amp;IF(H2189="黑丝","黑","白")&amp;E2189,经纬!A:M,13,FALSE)*(I2189-AB2189),"")</f>
        <v/>
      </c>
      <c r="AA2189" s="340" t="str">
        <f>IF(AND(C2189&gt;0,D2189&lt;&gt;"",S2189=""),VLOOKUP(A2189&amp;IF(H2189="黑丝","黑","白")&amp;E2189,经纬!A:N,14,FALSE)*(I2189-AB2189),"")</f>
        <v/>
      </c>
    </row>
    <row r="2190" spans="13:27">
      <c r="M2190" s="24" t="str">
        <f t="array" ref="M2190">LEFT(L2190,MIN(FIND({"A","B","C"},MID(L2190,2,LEN(L2190))&amp;"ABC")))</f>
        <v/>
      </c>
      <c r="N2190" s="24" t="str">
        <f t="array" ref="N2190">SUBSTITUTE(L2190,M2190,"")</f>
        <v/>
      </c>
      <c r="X2190" s="258" t="str">
        <f t="shared" si="88"/>
        <v/>
      </c>
      <c r="Y2190" s="36" t="str">
        <f t="shared" si="89"/>
        <v/>
      </c>
      <c r="Z2190" s="340" t="str">
        <f>IF(AND(C2190&gt;0,D2190&lt;&gt;"",S2190=""),VLOOKUP(A2190&amp;IF(H2190="黑丝","黑","白")&amp;E2190,经纬!A:M,13,FALSE)*(I2190-AB2190),"")</f>
        <v/>
      </c>
      <c r="AA2190" s="340" t="str">
        <f>IF(AND(C2190&gt;0,D2190&lt;&gt;"",S2190=""),VLOOKUP(A2190&amp;IF(H2190="黑丝","黑","白")&amp;E2190,经纬!A:N,14,FALSE)*(I2190-AB2190),"")</f>
        <v/>
      </c>
    </row>
    <row r="2191" spans="13:27">
      <c r="M2191" s="24" t="str">
        <f t="array" ref="M2191">LEFT(L2191,MIN(FIND({"A","B","C"},MID(L2191,2,LEN(L2191))&amp;"ABC")))</f>
        <v/>
      </c>
      <c r="N2191" s="24" t="str">
        <f t="array" ref="N2191">SUBSTITUTE(L2191,M2191,"")</f>
        <v/>
      </c>
      <c r="X2191" s="258" t="str">
        <f t="shared" si="88"/>
        <v/>
      </c>
      <c r="Y2191" s="36" t="str">
        <f t="shared" si="89"/>
        <v/>
      </c>
      <c r="Z2191" s="340" t="str">
        <f>IF(AND(C2191&gt;0,D2191&lt;&gt;"",S2191=""),VLOOKUP(A2191&amp;IF(H2191="黑丝","黑","白")&amp;E2191,经纬!A:M,13,FALSE)*(I2191-AB2191),"")</f>
        <v/>
      </c>
      <c r="AA2191" s="340" t="str">
        <f>IF(AND(C2191&gt;0,D2191&lt;&gt;"",S2191=""),VLOOKUP(A2191&amp;IF(H2191="黑丝","黑","白")&amp;E2191,经纬!A:N,14,FALSE)*(I2191-AB2191),"")</f>
        <v/>
      </c>
    </row>
    <row r="2192" spans="13:27">
      <c r="M2192" s="24" t="str">
        <f t="array" ref="M2192">LEFT(L2192,MIN(FIND({"A","B","C"},MID(L2192,2,LEN(L2192))&amp;"ABC")))</f>
        <v/>
      </c>
      <c r="N2192" s="24" t="str">
        <f t="array" ref="N2192">SUBSTITUTE(L2192,M2192,"")</f>
        <v/>
      </c>
      <c r="X2192" s="258" t="str">
        <f t="shared" si="88"/>
        <v/>
      </c>
      <c r="Y2192" s="36" t="str">
        <f t="shared" si="89"/>
        <v/>
      </c>
      <c r="Z2192" s="340" t="str">
        <f>IF(AND(C2192&gt;0,D2192&lt;&gt;"",S2192=""),VLOOKUP(A2192&amp;IF(H2192="黑丝","黑","白")&amp;E2192,经纬!A:M,13,FALSE)*(I2192-AB2192),"")</f>
        <v/>
      </c>
      <c r="AA2192" s="340" t="str">
        <f>IF(AND(C2192&gt;0,D2192&lt;&gt;"",S2192=""),VLOOKUP(A2192&amp;IF(H2192="黑丝","黑","白")&amp;E2192,经纬!A:N,14,FALSE)*(I2192-AB2192),"")</f>
        <v/>
      </c>
    </row>
    <row r="2193" spans="13:27">
      <c r="M2193" s="24" t="str">
        <f t="array" ref="M2193">LEFT(L2193,MIN(FIND({"A","B","C"},MID(L2193,2,LEN(L2193))&amp;"ABC")))</f>
        <v/>
      </c>
      <c r="N2193" s="24" t="str">
        <f t="array" ref="N2193">SUBSTITUTE(L2193,M2193,"")</f>
        <v/>
      </c>
      <c r="X2193" s="258" t="str">
        <f t="shared" si="88"/>
        <v/>
      </c>
      <c r="Y2193" s="36" t="str">
        <f t="shared" si="89"/>
        <v/>
      </c>
      <c r="Z2193" s="340" t="str">
        <f>IF(AND(C2193&gt;0,D2193&lt;&gt;"",S2193=""),VLOOKUP(A2193&amp;IF(H2193="黑丝","黑","白")&amp;E2193,经纬!A:M,13,FALSE)*(I2193-AB2193),"")</f>
        <v/>
      </c>
      <c r="AA2193" s="340" t="str">
        <f>IF(AND(C2193&gt;0,D2193&lt;&gt;"",S2193=""),VLOOKUP(A2193&amp;IF(H2193="黑丝","黑","白")&amp;E2193,经纬!A:N,14,FALSE)*(I2193-AB2193),"")</f>
        <v/>
      </c>
    </row>
    <row r="2194" spans="13:27">
      <c r="M2194" s="24" t="str">
        <f t="array" ref="M2194">LEFT(L2194,MIN(FIND({"A","B","C"},MID(L2194,2,LEN(L2194))&amp;"ABC")))</f>
        <v/>
      </c>
      <c r="N2194" s="24" t="str">
        <f t="array" ref="N2194">SUBSTITUTE(L2194,M2194,"")</f>
        <v/>
      </c>
      <c r="X2194" s="258" t="str">
        <f t="shared" si="88"/>
        <v/>
      </c>
      <c r="Y2194" s="36" t="str">
        <f t="shared" si="89"/>
        <v/>
      </c>
      <c r="Z2194" s="340" t="str">
        <f>IF(AND(C2194&gt;0,D2194&lt;&gt;"",S2194=""),VLOOKUP(A2194&amp;IF(H2194="黑丝","黑","白")&amp;E2194,经纬!A:M,13,FALSE)*(I2194-AB2194),"")</f>
        <v/>
      </c>
      <c r="AA2194" s="340" t="str">
        <f>IF(AND(C2194&gt;0,D2194&lt;&gt;"",S2194=""),VLOOKUP(A2194&amp;IF(H2194="黑丝","黑","白")&amp;E2194,经纬!A:N,14,FALSE)*(I2194-AB2194),"")</f>
        <v/>
      </c>
    </row>
    <row r="2195" spans="13:27">
      <c r="M2195" s="24" t="str">
        <f t="array" ref="M2195">LEFT(L2195,MIN(FIND({"A","B","C"},MID(L2195,2,LEN(L2195))&amp;"ABC")))</f>
        <v/>
      </c>
      <c r="N2195" s="24" t="str">
        <f t="array" ref="N2195">SUBSTITUTE(L2195,M2195,"")</f>
        <v/>
      </c>
      <c r="X2195" s="258" t="str">
        <f t="shared" si="88"/>
        <v/>
      </c>
      <c r="Y2195" s="36" t="str">
        <f t="shared" si="89"/>
        <v/>
      </c>
      <c r="Z2195" s="340" t="str">
        <f>IF(AND(C2195&gt;0,D2195&lt;&gt;"",S2195=""),VLOOKUP(A2195&amp;IF(H2195="黑丝","黑","白")&amp;E2195,经纬!A:M,13,FALSE)*(I2195-AB2195),"")</f>
        <v/>
      </c>
      <c r="AA2195" s="340" t="str">
        <f>IF(AND(C2195&gt;0,D2195&lt;&gt;"",S2195=""),VLOOKUP(A2195&amp;IF(H2195="黑丝","黑","白")&amp;E2195,经纬!A:N,14,FALSE)*(I2195-AB2195),"")</f>
        <v/>
      </c>
    </row>
    <row r="2196" spans="13:27">
      <c r="M2196" s="24" t="str">
        <f t="array" ref="M2196">LEFT(L2196,MIN(FIND({"A","B","C"},MID(L2196,2,LEN(L2196))&amp;"ABC")))</f>
        <v/>
      </c>
      <c r="N2196" s="24" t="str">
        <f t="array" ref="N2196">SUBSTITUTE(L2196,M2196,"")</f>
        <v/>
      </c>
      <c r="X2196" s="258" t="str">
        <f t="shared" si="88"/>
        <v/>
      </c>
      <c r="Y2196" s="36" t="str">
        <f t="shared" si="89"/>
        <v/>
      </c>
      <c r="Z2196" s="340" t="str">
        <f>IF(AND(C2196&gt;0,D2196&lt;&gt;"",S2196=""),VLOOKUP(A2196&amp;IF(H2196="黑丝","黑","白")&amp;E2196,经纬!A:M,13,FALSE)*(I2196-AB2196),"")</f>
        <v/>
      </c>
      <c r="AA2196" s="340" t="str">
        <f>IF(AND(C2196&gt;0,D2196&lt;&gt;"",S2196=""),VLOOKUP(A2196&amp;IF(H2196="黑丝","黑","白")&amp;E2196,经纬!A:N,14,FALSE)*(I2196-AB2196),"")</f>
        <v/>
      </c>
    </row>
    <row r="2197" spans="13:27">
      <c r="M2197" s="24" t="str">
        <f t="array" ref="M2197">LEFT(L2197,MIN(FIND({"A","B","C"},MID(L2197,2,LEN(L2197))&amp;"ABC")))</f>
        <v/>
      </c>
      <c r="N2197" s="24" t="str">
        <f t="array" ref="N2197">SUBSTITUTE(L2197,M2197,"")</f>
        <v/>
      </c>
      <c r="X2197" s="258" t="str">
        <f t="shared" si="88"/>
        <v/>
      </c>
      <c r="Y2197" s="36" t="str">
        <f t="shared" si="89"/>
        <v/>
      </c>
      <c r="Z2197" s="340" t="str">
        <f>IF(AND(C2197&gt;0,D2197&lt;&gt;"",S2197=""),VLOOKUP(A2197&amp;IF(H2197="黑丝","黑","白")&amp;E2197,经纬!A:M,13,FALSE)*(I2197-AB2197),"")</f>
        <v/>
      </c>
      <c r="AA2197" s="340" t="str">
        <f>IF(AND(C2197&gt;0,D2197&lt;&gt;"",S2197=""),VLOOKUP(A2197&amp;IF(H2197="黑丝","黑","白")&amp;E2197,经纬!A:N,14,FALSE)*(I2197-AB2197),"")</f>
        <v/>
      </c>
    </row>
    <row r="2198" spans="13:27">
      <c r="M2198" s="24" t="str">
        <f t="array" ref="M2198">LEFT(L2198,MIN(FIND({"A","B","C"},MID(L2198,2,LEN(L2198))&amp;"ABC")))</f>
        <v/>
      </c>
      <c r="N2198" s="24" t="str">
        <f t="array" ref="N2198">SUBSTITUTE(L2198,M2198,"")</f>
        <v/>
      </c>
      <c r="X2198" s="258" t="str">
        <f t="shared" si="88"/>
        <v/>
      </c>
      <c r="Y2198" s="36" t="str">
        <f t="shared" si="89"/>
        <v/>
      </c>
      <c r="Z2198" s="340" t="str">
        <f>IF(AND(C2198&gt;0,D2198&lt;&gt;"",S2198=""),VLOOKUP(A2198&amp;IF(H2198="黑丝","黑","白")&amp;E2198,经纬!A:M,13,FALSE)*(I2198-AB2198),"")</f>
        <v/>
      </c>
      <c r="AA2198" s="340" t="str">
        <f>IF(AND(C2198&gt;0,D2198&lt;&gt;"",S2198=""),VLOOKUP(A2198&amp;IF(H2198="黑丝","黑","白")&amp;E2198,经纬!A:N,14,FALSE)*(I2198-AB2198),"")</f>
        <v/>
      </c>
    </row>
    <row r="2199" spans="13:27">
      <c r="M2199" s="24" t="str">
        <f t="array" ref="M2199">LEFT(L2199,MIN(FIND({"A","B","C"},MID(L2199,2,LEN(L2199))&amp;"ABC")))</f>
        <v/>
      </c>
      <c r="N2199" s="24" t="str">
        <f t="array" ref="N2199">SUBSTITUTE(L2199,M2199,"")</f>
        <v/>
      </c>
      <c r="X2199" s="258" t="str">
        <f t="shared" si="88"/>
        <v/>
      </c>
      <c r="Y2199" s="36" t="str">
        <f t="shared" si="89"/>
        <v/>
      </c>
      <c r="Z2199" s="340" t="str">
        <f>IF(AND(C2199&gt;0,D2199&lt;&gt;"",S2199=""),VLOOKUP(A2199&amp;IF(H2199="黑丝","黑","白")&amp;E2199,经纬!A:M,13,FALSE)*(I2199-AB2199),"")</f>
        <v/>
      </c>
      <c r="AA2199" s="340" t="str">
        <f>IF(AND(C2199&gt;0,D2199&lt;&gt;"",S2199=""),VLOOKUP(A2199&amp;IF(H2199="黑丝","黑","白")&amp;E2199,经纬!A:N,14,FALSE)*(I2199-AB2199),"")</f>
        <v/>
      </c>
    </row>
    <row r="2200" spans="13:27">
      <c r="M2200" s="24" t="str">
        <f t="array" ref="M2200">LEFT(L2200,MIN(FIND({"A","B","C"},MID(L2200,2,LEN(L2200))&amp;"ABC")))</f>
        <v/>
      </c>
      <c r="N2200" s="24" t="str">
        <f t="array" ref="N2200">SUBSTITUTE(L2200,M2200,"")</f>
        <v/>
      </c>
      <c r="X2200" s="258" t="str">
        <f t="shared" si="88"/>
        <v/>
      </c>
      <c r="Y2200" s="36" t="str">
        <f t="shared" si="89"/>
        <v/>
      </c>
      <c r="Z2200" s="340" t="str">
        <f>IF(AND(C2200&gt;0,D2200&lt;&gt;"",S2200=""),VLOOKUP(A2200&amp;IF(H2200="黑丝","黑","白")&amp;E2200,经纬!A:M,13,FALSE)*(I2200-AB2200),"")</f>
        <v/>
      </c>
      <c r="AA2200" s="340" t="str">
        <f>IF(AND(C2200&gt;0,D2200&lt;&gt;"",S2200=""),VLOOKUP(A2200&amp;IF(H2200="黑丝","黑","白")&amp;E2200,经纬!A:N,14,FALSE)*(I2200-AB2200),"")</f>
        <v/>
      </c>
    </row>
    <row r="2201" spans="13:27">
      <c r="M2201" s="24" t="str">
        <f t="array" ref="M2201">LEFT(L2201,MIN(FIND({"A","B","C"},MID(L2201,2,LEN(L2201))&amp;"ABC")))</f>
        <v/>
      </c>
      <c r="N2201" s="24" t="str">
        <f t="array" ref="N2201">SUBSTITUTE(L2201,M2201,"")</f>
        <v/>
      </c>
      <c r="X2201" s="258" t="str">
        <f t="shared" si="88"/>
        <v/>
      </c>
      <c r="Y2201" s="36" t="str">
        <f t="shared" si="89"/>
        <v/>
      </c>
      <c r="Z2201" s="340" t="str">
        <f>IF(AND(C2201&gt;0,D2201&lt;&gt;"",S2201=""),VLOOKUP(A2201&amp;IF(H2201="黑丝","黑","白")&amp;E2201,经纬!A:M,13,FALSE)*(I2201-AB2201),"")</f>
        <v/>
      </c>
      <c r="AA2201" s="340" t="str">
        <f>IF(AND(C2201&gt;0,D2201&lt;&gt;"",S2201=""),VLOOKUP(A2201&amp;IF(H2201="黑丝","黑","白")&amp;E2201,经纬!A:N,14,FALSE)*(I2201-AB2201),"")</f>
        <v/>
      </c>
    </row>
    <row r="2202" spans="13:27">
      <c r="M2202" s="24" t="str">
        <f t="array" ref="M2202">LEFT(L2202,MIN(FIND({"A","B","C"},MID(L2202,2,LEN(L2202))&amp;"ABC")))</f>
        <v/>
      </c>
      <c r="N2202" s="24" t="str">
        <f t="array" ref="N2202">SUBSTITUTE(L2202,M2202,"")</f>
        <v/>
      </c>
      <c r="X2202" s="258" t="str">
        <f t="shared" si="88"/>
        <v/>
      </c>
      <c r="Y2202" s="36" t="str">
        <f t="shared" si="89"/>
        <v/>
      </c>
      <c r="Z2202" s="340" t="str">
        <f>IF(AND(C2202&gt;0,D2202&lt;&gt;"",S2202=""),VLOOKUP(A2202&amp;IF(H2202="黑丝","黑","白")&amp;E2202,经纬!A:M,13,FALSE)*(I2202-AB2202),"")</f>
        <v/>
      </c>
      <c r="AA2202" s="340" t="str">
        <f>IF(AND(C2202&gt;0,D2202&lt;&gt;"",S2202=""),VLOOKUP(A2202&amp;IF(H2202="黑丝","黑","白")&amp;E2202,经纬!A:N,14,FALSE)*(I2202-AB2202),"")</f>
        <v/>
      </c>
    </row>
    <row r="2203" spans="13:27">
      <c r="M2203" s="24" t="str">
        <f t="array" ref="M2203">LEFT(L2203,MIN(FIND({"A","B","C"},MID(L2203,2,LEN(L2203))&amp;"ABC")))</f>
        <v/>
      </c>
      <c r="N2203" s="24" t="str">
        <f t="array" ref="N2203">SUBSTITUTE(L2203,M2203,"")</f>
        <v/>
      </c>
      <c r="X2203" s="258" t="str">
        <f t="shared" si="88"/>
        <v/>
      </c>
      <c r="Y2203" s="36" t="str">
        <f t="shared" si="89"/>
        <v/>
      </c>
      <c r="Z2203" s="340" t="str">
        <f>IF(AND(C2203&gt;0,D2203&lt;&gt;"",S2203=""),VLOOKUP(A2203&amp;IF(H2203="黑丝","黑","白")&amp;E2203,经纬!A:M,13,FALSE)*(I2203-AB2203),"")</f>
        <v/>
      </c>
      <c r="AA2203" s="340" t="str">
        <f>IF(AND(C2203&gt;0,D2203&lt;&gt;"",S2203=""),VLOOKUP(A2203&amp;IF(H2203="黑丝","黑","白")&amp;E2203,经纬!A:N,14,FALSE)*(I2203-AB2203),"")</f>
        <v/>
      </c>
    </row>
    <row r="2204" spans="13:27">
      <c r="M2204" s="24" t="str">
        <f t="array" ref="M2204">LEFT(L2204,MIN(FIND({"A","B","C"},MID(L2204,2,LEN(L2204))&amp;"ABC")))</f>
        <v/>
      </c>
      <c r="N2204" s="24" t="str">
        <f t="array" ref="N2204">SUBSTITUTE(L2204,M2204,"")</f>
        <v/>
      </c>
      <c r="X2204" s="258" t="str">
        <f t="shared" ref="X2204:X2267" si="90">IF(B2204="","",IF(S2204&lt;&gt;"","",IF(AND(Z2204&lt;&gt;"",AA2204&lt;&gt;""),SUM(Z2204:AA2204),IF(AB2204&lt;&gt;"",(I2204/((1/((G2204+2)/100*K2204/1000))*0.9144)/IF(H2204="黑丝",22,20)-AB2204)*(IF(H2204="黑丝",22,20)),I2204/((1/((G2204+2)/100*K2204/1000))*0.9144)))))</f>
        <v/>
      </c>
      <c r="Y2204" s="36" t="str">
        <f t="shared" si="89"/>
        <v/>
      </c>
      <c r="Z2204" s="340" t="str">
        <f>IF(AND(C2204&gt;0,D2204&lt;&gt;"",S2204=""),VLOOKUP(A2204&amp;IF(H2204="黑丝","黑","白")&amp;E2204,经纬!A:M,13,FALSE)*(I2204-AB2204),"")</f>
        <v/>
      </c>
      <c r="AA2204" s="340" t="str">
        <f>IF(AND(C2204&gt;0,D2204&lt;&gt;"",S2204=""),VLOOKUP(A2204&amp;IF(H2204="黑丝","黑","白")&amp;E2204,经纬!A:N,14,FALSE)*(I2204-AB2204),"")</f>
        <v/>
      </c>
    </row>
    <row r="2205" spans="13:27">
      <c r="M2205" s="24" t="str">
        <f t="array" ref="M2205">LEFT(L2205,MIN(FIND({"A","B","C"},MID(L2205,2,LEN(L2205))&amp;"ABC")))</f>
        <v/>
      </c>
      <c r="N2205" s="24" t="str">
        <f t="array" ref="N2205">SUBSTITUTE(L2205,M2205,"")</f>
        <v/>
      </c>
      <c r="X2205" s="258" t="str">
        <f t="shared" si="90"/>
        <v/>
      </c>
      <c r="Y2205" s="36" t="str">
        <f t="shared" si="89"/>
        <v/>
      </c>
      <c r="Z2205" s="340" t="str">
        <f>IF(AND(C2205&gt;0,D2205&lt;&gt;"",S2205=""),VLOOKUP(A2205&amp;IF(H2205="黑丝","黑","白")&amp;E2205,经纬!A:M,13,FALSE)*(I2205-AB2205),"")</f>
        <v/>
      </c>
      <c r="AA2205" s="340" t="str">
        <f>IF(AND(C2205&gt;0,D2205&lt;&gt;"",S2205=""),VLOOKUP(A2205&amp;IF(H2205="黑丝","黑","白")&amp;E2205,经纬!A:N,14,FALSE)*(I2205-AB2205),"")</f>
        <v/>
      </c>
    </row>
    <row r="2206" spans="13:27">
      <c r="M2206" s="24" t="str">
        <f t="array" ref="M2206">LEFT(L2206,MIN(FIND({"A","B","C"},MID(L2206,2,LEN(L2206))&amp;"ABC")))</f>
        <v/>
      </c>
      <c r="N2206" s="24" t="str">
        <f t="array" ref="N2206">SUBSTITUTE(L2206,M2206,"")</f>
        <v/>
      </c>
      <c r="X2206" s="258" t="str">
        <f t="shared" si="90"/>
        <v/>
      </c>
      <c r="Y2206" s="36" t="str">
        <f t="shared" si="89"/>
        <v/>
      </c>
      <c r="Z2206" s="340" t="str">
        <f>IF(AND(C2206&gt;0,D2206&lt;&gt;"",S2206=""),VLOOKUP(A2206&amp;IF(H2206="黑丝","黑","白")&amp;E2206,经纬!A:M,13,FALSE)*(I2206-AB2206),"")</f>
        <v/>
      </c>
      <c r="AA2206" s="340" t="str">
        <f>IF(AND(C2206&gt;0,D2206&lt;&gt;"",S2206=""),VLOOKUP(A2206&amp;IF(H2206="黑丝","黑","白")&amp;E2206,经纬!A:N,14,FALSE)*(I2206-AB2206),"")</f>
        <v/>
      </c>
    </row>
    <row r="2207" spans="13:27">
      <c r="M2207" s="24" t="str">
        <f t="array" ref="M2207">LEFT(L2207,MIN(FIND({"A","B","C"},MID(L2207,2,LEN(L2207))&amp;"ABC")))</f>
        <v/>
      </c>
      <c r="N2207" s="24" t="str">
        <f t="array" ref="N2207">SUBSTITUTE(L2207,M2207,"")</f>
        <v/>
      </c>
      <c r="X2207" s="258" t="str">
        <f t="shared" si="90"/>
        <v/>
      </c>
      <c r="Y2207" s="36" t="str">
        <f t="shared" si="89"/>
        <v/>
      </c>
      <c r="Z2207" s="340" t="str">
        <f>IF(AND(C2207&gt;0,D2207&lt;&gt;"",S2207=""),VLOOKUP(A2207&amp;IF(H2207="黑丝","黑","白")&amp;E2207,经纬!A:M,13,FALSE)*(I2207-AB2207),"")</f>
        <v/>
      </c>
      <c r="AA2207" s="340" t="str">
        <f>IF(AND(C2207&gt;0,D2207&lt;&gt;"",S2207=""),VLOOKUP(A2207&amp;IF(H2207="黑丝","黑","白")&amp;E2207,经纬!A:N,14,FALSE)*(I2207-AB2207),"")</f>
        <v/>
      </c>
    </row>
    <row r="2208" spans="13:27">
      <c r="M2208" s="24" t="str">
        <f t="array" ref="M2208">LEFT(L2208,MIN(FIND({"A","B","C"},MID(L2208,2,LEN(L2208))&amp;"ABC")))</f>
        <v/>
      </c>
      <c r="N2208" s="24" t="str">
        <f t="array" ref="N2208">SUBSTITUTE(L2208,M2208,"")</f>
        <v/>
      </c>
      <c r="X2208" s="258" t="str">
        <f t="shared" si="90"/>
        <v/>
      </c>
      <c r="Y2208" s="36" t="str">
        <f t="shared" si="89"/>
        <v/>
      </c>
      <c r="Z2208" s="340" t="str">
        <f>IF(AND(C2208&gt;0,D2208&lt;&gt;"",S2208=""),VLOOKUP(A2208&amp;IF(H2208="黑丝","黑","白")&amp;E2208,经纬!A:M,13,FALSE)*(I2208-AB2208),"")</f>
        <v/>
      </c>
      <c r="AA2208" s="340" t="str">
        <f>IF(AND(C2208&gt;0,D2208&lt;&gt;"",S2208=""),VLOOKUP(A2208&amp;IF(H2208="黑丝","黑","白")&amp;E2208,经纬!A:N,14,FALSE)*(I2208-AB2208),"")</f>
        <v/>
      </c>
    </row>
    <row r="2209" spans="13:27">
      <c r="M2209" s="24" t="str">
        <f t="array" ref="M2209">LEFT(L2209,MIN(FIND({"A","B","C"},MID(L2209,2,LEN(L2209))&amp;"ABC")))</f>
        <v/>
      </c>
      <c r="N2209" s="24" t="str">
        <f t="array" ref="N2209">SUBSTITUTE(L2209,M2209,"")</f>
        <v/>
      </c>
      <c r="X2209" s="258" t="str">
        <f t="shared" si="90"/>
        <v/>
      </c>
      <c r="Y2209" s="36" t="str">
        <f t="shared" si="89"/>
        <v/>
      </c>
      <c r="Z2209" s="340" t="str">
        <f>IF(AND(C2209&gt;0,D2209&lt;&gt;"",S2209=""),VLOOKUP(A2209&amp;IF(H2209="黑丝","黑","白")&amp;E2209,经纬!A:M,13,FALSE)*(I2209-AB2209),"")</f>
        <v/>
      </c>
      <c r="AA2209" s="340" t="str">
        <f>IF(AND(C2209&gt;0,D2209&lt;&gt;"",S2209=""),VLOOKUP(A2209&amp;IF(H2209="黑丝","黑","白")&amp;E2209,经纬!A:N,14,FALSE)*(I2209-AB2209),"")</f>
        <v/>
      </c>
    </row>
    <row r="2210" spans="13:27">
      <c r="M2210" s="24" t="str">
        <f t="array" ref="M2210">LEFT(L2210,MIN(FIND({"A","B","C"},MID(L2210,2,LEN(L2210))&amp;"ABC")))</f>
        <v/>
      </c>
      <c r="N2210" s="24" t="str">
        <f t="array" ref="N2210">SUBSTITUTE(L2210,M2210,"")</f>
        <v/>
      </c>
      <c r="X2210" s="258" t="str">
        <f t="shared" si="90"/>
        <v/>
      </c>
      <c r="Y2210" s="36" t="str">
        <f t="shared" si="89"/>
        <v/>
      </c>
      <c r="Z2210" s="340" t="str">
        <f>IF(AND(C2210&gt;0,D2210&lt;&gt;"",S2210=""),VLOOKUP(A2210&amp;IF(H2210="黑丝","黑","白")&amp;E2210,经纬!A:M,13,FALSE)*(I2210-AB2210),"")</f>
        <v/>
      </c>
      <c r="AA2210" s="340" t="str">
        <f>IF(AND(C2210&gt;0,D2210&lt;&gt;"",S2210=""),VLOOKUP(A2210&amp;IF(H2210="黑丝","黑","白")&amp;E2210,经纬!A:N,14,FALSE)*(I2210-AB2210),"")</f>
        <v/>
      </c>
    </row>
    <row r="2211" spans="13:27">
      <c r="M2211" s="24" t="str">
        <f t="array" ref="M2211">LEFT(L2211,MIN(FIND({"A","B","C"},MID(L2211,2,LEN(L2211))&amp;"ABC")))</f>
        <v/>
      </c>
      <c r="N2211" s="24" t="str">
        <f t="array" ref="N2211">SUBSTITUTE(L2211,M2211,"")</f>
        <v/>
      </c>
      <c r="X2211" s="258" t="str">
        <f t="shared" si="90"/>
        <v/>
      </c>
      <c r="Y2211" s="36" t="str">
        <f t="shared" si="89"/>
        <v/>
      </c>
    </row>
    <row r="2212" spans="13:27">
      <c r="M2212" s="24" t="str">
        <f t="array" ref="M2212">LEFT(L2212,MIN(FIND({"A","B","C"},MID(L2212,2,LEN(L2212))&amp;"ABC")))</f>
        <v/>
      </c>
      <c r="N2212" s="24" t="str">
        <f t="array" ref="N2212">SUBSTITUTE(L2212,M2212,"")</f>
        <v/>
      </c>
      <c r="X2212" s="258" t="str">
        <f t="shared" si="90"/>
        <v/>
      </c>
      <c r="Y2212" s="36" t="str">
        <f t="shared" si="89"/>
        <v/>
      </c>
    </row>
    <row r="2213" spans="13:27">
      <c r="M2213" s="24" t="str">
        <f t="array" ref="M2213">LEFT(L2213,MIN(FIND({"A","B","C"},MID(L2213,2,LEN(L2213))&amp;"ABC")))</f>
        <v/>
      </c>
      <c r="N2213" s="24" t="str">
        <f t="array" ref="N2213">SUBSTITUTE(L2213,M2213,"")</f>
        <v/>
      </c>
      <c r="X2213" s="258" t="str">
        <f t="shared" si="90"/>
        <v/>
      </c>
      <c r="Y2213" s="36" t="str">
        <f t="shared" si="89"/>
        <v/>
      </c>
    </row>
    <row r="2214" spans="13:27">
      <c r="M2214" s="24" t="str">
        <f t="array" ref="M2214">LEFT(L2214,MIN(FIND({"A","B","C"},MID(L2214,2,LEN(L2214))&amp;"ABC")))</f>
        <v/>
      </c>
      <c r="N2214" s="24" t="str">
        <f t="array" ref="N2214">SUBSTITUTE(L2214,M2214,"")</f>
        <v/>
      </c>
      <c r="X2214" s="258" t="str">
        <f t="shared" si="90"/>
        <v/>
      </c>
      <c r="Y2214" s="36" t="str">
        <f t="shared" si="89"/>
        <v/>
      </c>
    </row>
    <row r="2215" spans="13:27">
      <c r="M2215" s="24" t="str">
        <f t="array" ref="M2215">LEFT(L2215,MIN(FIND({"A","B","C"},MID(L2215,2,LEN(L2215))&amp;"ABC")))</f>
        <v/>
      </c>
      <c r="N2215" s="24" t="str">
        <f t="array" ref="N2215">SUBSTITUTE(L2215,M2215,"")</f>
        <v/>
      </c>
      <c r="X2215" s="258" t="str">
        <f t="shared" si="90"/>
        <v/>
      </c>
      <c r="Y2215" s="36" t="str">
        <f t="shared" si="89"/>
        <v/>
      </c>
    </row>
    <row r="2216" spans="13:27">
      <c r="M2216" s="24" t="str">
        <f t="array" ref="M2216">LEFT(L2216,MIN(FIND({"A","B","C"},MID(L2216,2,LEN(L2216))&amp;"ABC")))</f>
        <v/>
      </c>
      <c r="N2216" s="24" t="str">
        <f t="array" ref="N2216">SUBSTITUTE(L2216,M2216,"")</f>
        <v/>
      </c>
      <c r="X2216" s="258" t="str">
        <f t="shared" si="90"/>
        <v/>
      </c>
      <c r="Y2216" s="36" t="str">
        <f t="shared" si="89"/>
        <v/>
      </c>
    </row>
    <row r="2217" spans="13:27">
      <c r="M2217" s="24" t="str">
        <f t="array" ref="M2217">LEFT(L2217,MIN(FIND({"A","B","C"},MID(L2217,2,LEN(L2217))&amp;"ABC")))</f>
        <v/>
      </c>
      <c r="N2217" s="24" t="str">
        <f t="array" ref="N2217">SUBSTITUTE(L2217,M2217,"")</f>
        <v/>
      </c>
      <c r="X2217" s="258" t="str">
        <f t="shared" si="90"/>
        <v/>
      </c>
      <c r="Y2217" s="36" t="str">
        <f t="shared" ref="Y2217:Y2280" si="91">IF(OR(B2217="",D2217&lt;&gt;""),"",IF(S2217&lt;&gt;"","",I2217/((1/((G2217+2)/100*K2217/1000))*0.9144)/IF(H2217="黑丝",22,20)-AB2217))</f>
        <v/>
      </c>
    </row>
    <row r="2218" spans="13:27">
      <c r="M2218" s="24" t="str">
        <f t="array" ref="M2218">LEFT(L2218,MIN(FIND({"A","B","C"},MID(L2218,2,LEN(L2218))&amp;"ABC")))</f>
        <v/>
      </c>
      <c r="N2218" s="24" t="str">
        <f t="array" ref="N2218">SUBSTITUTE(L2218,M2218,"")</f>
        <v/>
      </c>
      <c r="X2218" s="258" t="str">
        <f t="shared" si="90"/>
        <v/>
      </c>
      <c r="Y2218" s="36" t="str">
        <f t="shared" si="91"/>
        <v/>
      </c>
    </row>
    <row r="2219" spans="13:27">
      <c r="M2219" s="24" t="str">
        <f t="array" ref="M2219">LEFT(L2219,MIN(FIND({"A","B","C"},MID(L2219,2,LEN(L2219))&amp;"ABC")))</f>
        <v/>
      </c>
      <c r="N2219" s="24" t="str">
        <f t="array" ref="N2219">SUBSTITUTE(L2219,M2219,"")</f>
        <v/>
      </c>
      <c r="X2219" s="258" t="str">
        <f t="shared" si="90"/>
        <v/>
      </c>
      <c r="Y2219" s="36" t="str">
        <f t="shared" si="91"/>
        <v/>
      </c>
    </row>
    <row r="2220" spans="13:27">
      <c r="M2220" s="24" t="str">
        <f t="array" ref="M2220">LEFT(L2220,MIN(FIND({"A","B","C"},MID(L2220,2,LEN(L2220))&amp;"ABC")))</f>
        <v/>
      </c>
      <c r="N2220" s="24" t="str">
        <f t="array" ref="N2220">SUBSTITUTE(L2220,M2220,"")</f>
        <v/>
      </c>
      <c r="X2220" s="258" t="str">
        <f t="shared" si="90"/>
        <v/>
      </c>
      <c r="Y2220" s="36" t="str">
        <f t="shared" si="91"/>
        <v/>
      </c>
    </row>
    <row r="2221" spans="13:27">
      <c r="M2221" s="24" t="str">
        <f t="array" ref="M2221">LEFT(L2221,MIN(FIND({"A","B","C"},MID(L2221,2,LEN(L2221))&amp;"ABC")))</f>
        <v/>
      </c>
      <c r="N2221" s="24" t="str">
        <f t="array" ref="N2221">SUBSTITUTE(L2221,M2221,"")</f>
        <v/>
      </c>
      <c r="X2221" s="258" t="str">
        <f t="shared" si="90"/>
        <v/>
      </c>
      <c r="Y2221" s="36" t="str">
        <f t="shared" si="91"/>
        <v/>
      </c>
    </row>
    <row r="2222" spans="13:27">
      <c r="M2222" s="24" t="str">
        <f t="array" ref="M2222">LEFT(L2222,MIN(FIND({"A","B","C"},MID(L2222,2,LEN(L2222))&amp;"ABC")))</f>
        <v/>
      </c>
      <c r="N2222" s="24" t="str">
        <f t="array" ref="N2222">SUBSTITUTE(L2222,M2222,"")</f>
        <v/>
      </c>
      <c r="X2222" s="258" t="str">
        <f t="shared" si="90"/>
        <v/>
      </c>
      <c r="Y2222" s="36" t="str">
        <f t="shared" si="91"/>
        <v/>
      </c>
    </row>
    <row r="2223" spans="13:27">
      <c r="M2223" s="24" t="str">
        <f t="array" ref="M2223">LEFT(L2223,MIN(FIND({"A","B","C"},MID(L2223,2,LEN(L2223))&amp;"ABC")))</f>
        <v/>
      </c>
      <c r="N2223" s="24" t="str">
        <f t="array" ref="N2223">SUBSTITUTE(L2223,M2223,"")</f>
        <v/>
      </c>
      <c r="X2223" s="258" t="str">
        <f t="shared" si="90"/>
        <v/>
      </c>
      <c r="Y2223" s="36" t="str">
        <f t="shared" si="91"/>
        <v/>
      </c>
    </row>
    <row r="2224" spans="13:27">
      <c r="M2224" s="24" t="str">
        <f t="array" ref="M2224">LEFT(L2224,MIN(FIND({"A","B","C"},MID(L2224,2,LEN(L2224))&amp;"ABC")))</f>
        <v/>
      </c>
      <c r="N2224" s="24" t="str">
        <f t="array" ref="N2224">SUBSTITUTE(L2224,M2224,"")</f>
        <v/>
      </c>
      <c r="X2224" s="258" t="str">
        <f t="shared" si="90"/>
        <v/>
      </c>
      <c r="Y2224" s="36" t="str">
        <f t="shared" si="91"/>
        <v/>
      </c>
    </row>
    <row r="2225" spans="13:25">
      <c r="M2225" s="24" t="str">
        <f t="array" ref="M2225">LEFT(L2225,MIN(FIND({"A","B","C"},MID(L2225,2,LEN(L2225))&amp;"ABC")))</f>
        <v/>
      </c>
      <c r="N2225" s="24" t="str">
        <f t="array" ref="N2225">SUBSTITUTE(L2225,M2225,"")</f>
        <v/>
      </c>
      <c r="X2225" s="258" t="str">
        <f t="shared" si="90"/>
        <v/>
      </c>
      <c r="Y2225" s="36" t="str">
        <f t="shared" si="91"/>
        <v/>
      </c>
    </row>
    <row r="2226" spans="13:25">
      <c r="M2226" s="24" t="str">
        <f t="array" ref="M2226">LEFT(L2226,MIN(FIND({"A","B","C"},MID(L2226,2,LEN(L2226))&amp;"ABC")))</f>
        <v/>
      </c>
      <c r="N2226" s="24" t="str">
        <f t="array" ref="N2226">SUBSTITUTE(L2226,M2226,"")</f>
        <v/>
      </c>
      <c r="X2226" s="258" t="str">
        <f t="shared" si="90"/>
        <v/>
      </c>
      <c r="Y2226" s="36" t="str">
        <f t="shared" si="91"/>
        <v/>
      </c>
    </row>
    <row r="2227" spans="13:25">
      <c r="M2227" s="24" t="str">
        <f t="array" ref="M2227">LEFT(L2227,MIN(FIND({"A","B","C"},MID(L2227,2,LEN(L2227))&amp;"ABC")))</f>
        <v/>
      </c>
      <c r="N2227" s="24" t="str">
        <f t="array" ref="N2227">SUBSTITUTE(L2227,M2227,"")</f>
        <v/>
      </c>
      <c r="X2227" s="258" t="str">
        <f t="shared" si="90"/>
        <v/>
      </c>
      <c r="Y2227" s="36" t="str">
        <f t="shared" si="91"/>
        <v/>
      </c>
    </row>
    <row r="2228" spans="13:25">
      <c r="M2228" s="24" t="str">
        <f t="array" ref="M2228">LEFT(L2228,MIN(FIND({"A","B","C"},MID(L2228,2,LEN(L2228))&amp;"ABC")))</f>
        <v/>
      </c>
      <c r="N2228" s="24" t="str">
        <f t="array" ref="N2228">SUBSTITUTE(L2228,M2228,"")</f>
        <v/>
      </c>
      <c r="X2228" s="258" t="str">
        <f t="shared" si="90"/>
        <v/>
      </c>
      <c r="Y2228" s="36" t="str">
        <f t="shared" si="91"/>
        <v/>
      </c>
    </row>
    <row r="2229" spans="13:25">
      <c r="M2229" s="24" t="str">
        <f t="array" ref="M2229">LEFT(L2229,MIN(FIND({"A","B","C"},MID(L2229,2,LEN(L2229))&amp;"ABC")))</f>
        <v/>
      </c>
      <c r="N2229" s="24" t="str">
        <f t="array" ref="N2229">SUBSTITUTE(L2229,M2229,"")</f>
        <v/>
      </c>
      <c r="X2229" s="258" t="str">
        <f t="shared" si="90"/>
        <v/>
      </c>
      <c r="Y2229" s="36" t="str">
        <f t="shared" si="91"/>
        <v/>
      </c>
    </row>
    <row r="2230" spans="13:25">
      <c r="M2230" s="24" t="str">
        <f t="array" ref="M2230">LEFT(L2230,MIN(FIND({"A","B","C"},MID(L2230,2,LEN(L2230))&amp;"ABC")))</f>
        <v/>
      </c>
      <c r="N2230" s="24" t="str">
        <f t="array" ref="N2230">SUBSTITUTE(L2230,M2230,"")</f>
        <v/>
      </c>
      <c r="X2230" s="258" t="str">
        <f t="shared" si="90"/>
        <v/>
      </c>
      <c r="Y2230" s="36" t="str">
        <f t="shared" si="91"/>
        <v/>
      </c>
    </row>
    <row r="2231" spans="13:25">
      <c r="M2231" s="24" t="str">
        <f t="array" ref="M2231">LEFT(L2231,MIN(FIND({"A","B","C"},MID(L2231,2,LEN(L2231))&amp;"ABC")))</f>
        <v/>
      </c>
      <c r="N2231" s="24" t="str">
        <f t="array" ref="N2231">SUBSTITUTE(L2231,M2231,"")</f>
        <v/>
      </c>
      <c r="X2231" s="258" t="str">
        <f t="shared" si="90"/>
        <v/>
      </c>
      <c r="Y2231" s="36" t="str">
        <f t="shared" si="91"/>
        <v/>
      </c>
    </row>
    <row r="2232" spans="13:25">
      <c r="M2232" s="24" t="str">
        <f t="array" ref="M2232">LEFT(L2232,MIN(FIND({"A","B","C"},MID(L2232,2,LEN(L2232))&amp;"ABC")))</f>
        <v/>
      </c>
      <c r="N2232" s="24" t="str">
        <f t="array" ref="N2232">SUBSTITUTE(L2232,M2232,"")</f>
        <v/>
      </c>
      <c r="X2232" s="258" t="str">
        <f t="shared" si="90"/>
        <v/>
      </c>
      <c r="Y2232" s="36" t="str">
        <f t="shared" si="91"/>
        <v/>
      </c>
    </row>
    <row r="2233" spans="13:25">
      <c r="M2233" s="24" t="str">
        <f t="array" ref="M2233">LEFT(L2233,MIN(FIND({"A","B","C"},MID(L2233,2,LEN(L2233))&amp;"ABC")))</f>
        <v/>
      </c>
      <c r="N2233" s="24" t="str">
        <f t="array" ref="N2233">SUBSTITUTE(L2233,M2233,"")</f>
        <v/>
      </c>
      <c r="X2233" s="258" t="str">
        <f t="shared" si="90"/>
        <v/>
      </c>
      <c r="Y2233" s="36" t="str">
        <f t="shared" si="91"/>
        <v/>
      </c>
    </row>
    <row r="2234" spans="13:25">
      <c r="M2234" s="24" t="str">
        <f t="array" ref="M2234">LEFT(L2234,MIN(FIND({"A","B","C"},MID(L2234,2,LEN(L2234))&amp;"ABC")))</f>
        <v/>
      </c>
      <c r="N2234" s="24" t="str">
        <f t="array" ref="N2234">SUBSTITUTE(L2234,M2234,"")</f>
        <v/>
      </c>
      <c r="X2234" s="258" t="str">
        <f t="shared" si="90"/>
        <v/>
      </c>
      <c r="Y2234" s="36" t="str">
        <f t="shared" si="91"/>
        <v/>
      </c>
    </row>
    <row r="2235" spans="13:25">
      <c r="M2235" s="24" t="str">
        <f t="array" ref="M2235">LEFT(L2235,MIN(FIND({"A","B","C"},MID(L2235,2,LEN(L2235))&amp;"ABC")))</f>
        <v/>
      </c>
      <c r="N2235" s="24" t="str">
        <f t="array" ref="N2235">SUBSTITUTE(L2235,M2235,"")</f>
        <v/>
      </c>
      <c r="X2235" s="258" t="str">
        <f t="shared" si="90"/>
        <v/>
      </c>
      <c r="Y2235" s="36" t="str">
        <f t="shared" si="91"/>
        <v/>
      </c>
    </row>
    <row r="2236" spans="13:25">
      <c r="M2236" s="24" t="str">
        <f t="array" ref="M2236">LEFT(L2236,MIN(FIND({"A","B","C"},MID(L2236,2,LEN(L2236))&amp;"ABC")))</f>
        <v/>
      </c>
      <c r="N2236" s="24" t="str">
        <f t="array" ref="N2236">SUBSTITUTE(L2236,M2236,"")</f>
        <v/>
      </c>
      <c r="X2236" s="258" t="str">
        <f t="shared" si="90"/>
        <v/>
      </c>
      <c r="Y2236" s="36" t="str">
        <f t="shared" si="91"/>
        <v/>
      </c>
    </row>
    <row r="2237" spans="13:25">
      <c r="M2237" s="24" t="str">
        <f t="array" ref="M2237">LEFT(L2237,MIN(FIND({"A","B","C"},MID(L2237,2,LEN(L2237))&amp;"ABC")))</f>
        <v/>
      </c>
      <c r="N2237" s="24" t="str">
        <f t="array" ref="N2237">SUBSTITUTE(L2237,M2237,"")</f>
        <v/>
      </c>
      <c r="X2237" s="258" t="str">
        <f t="shared" si="90"/>
        <v/>
      </c>
      <c r="Y2237" s="36" t="str">
        <f t="shared" si="91"/>
        <v/>
      </c>
    </row>
    <row r="2238" spans="13:25">
      <c r="M2238" s="24" t="str">
        <f t="array" ref="M2238">LEFT(L2238,MIN(FIND({"A","B","C"},MID(L2238,2,LEN(L2238))&amp;"ABC")))</f>
        <v/>
      </c>
      <c r="N2238" s="24" t="str">
        <f t="array" ref="N2238">SUBSTITUTE(L2238,M2238,"")</f>
        <v/>
      </c>
      <c r="X2238" s="258" t="str">
        <f t="shared" si="90"/>
        <v/>
      </c>
      <c r="Y2238" s="36" t="str">
        <f t="shared" si="91"/>
        <v/>
      </c>
    </row>
    <row r="2239" spans="13:25">
      <c r="M2239" s="24" t="str">
        <f t="array" ref="M2239">LEFT(L2239,MIN(FIND({"A","B","C"},MID(L2239,2,LEN(L2239))&amp;"ABC")))</f>
        <v/>
      </c>
      <c r="N2239" s="24" t="str">
        <f t="array" ref="N2239">SUBSTITUTE(L2239,M2239,"")</f>
        <v/>
      </c>
      <c r="X2239" s="258" t="str">
        <f t="shared" si="90"/>
        <v/>
      </c>
      <c r="Y2239" s="36" t="str">
        <f t="shared" si="91"/>
        <v/>
      </c>
    </row>
    <row r="2240" spans="13:25">
      <c r="M2240" s="24" t="str">
        <f t="array" ref="M2240">LEFT(L2240,MIN(FIND({"A","B","C"},MID(L2240,2,LEN(L2240))&amp;"ABC")))</f>
        <v/>
      </c>
      <c r="N2240" s="24" t="str">
        <f t="array" ref="N2240">SUBSTITUTE(L2240,M2240,"")</f>
        <v/>
      </c>
      <c r="X2240" s="258" t="str">
        <f t="shared" si="90"/>
        <v/>
      </c>
      <c r="Y2240" s="36" t="str">
        <f t="shared" si="91"/>
        <v/>
      </c>
    </row>
    <row r="2241" spans="13:25">
      <c r="M2241" s="24" t="str">
        <f t="array" ref="M2241">LEFT(L2241,MIN(FIND({"A","B","C"},MID(L2241,2,LEN(L2241))&amp;"ABC")))</f>
        <v/>
      </c>
      <c r="N2241" s="24" t="str">
        <f t="array" ref="N2241">SUBSTITUTE(L2241,M2241,"")</f>
        <v/>
      </c>
      <c r="X2241" s="258" t="str">
        <f t="shared" si="90"/>
        <v/>
      </c>
      <c r="Y2241" s="36" t="str">
        <f t="shared" si="91"/>
        <v/>
      </c>
    </row>
    <row r="2242" spans="13:25">
      <c r="M2242" s="24" t="str">
        <f t="array" ref="M2242">LEFT(L2242,MIN(FIND({"A","B","C"},MID(L2242,2,LEN(L2242))&amp;"ABC")))</f>
        <v/>
      </c>
      <c r="N2242" s="24" t="str">
        <f t="array" ref="N2242">SUBSTITUTE(L2242,M2242,"")</f>
        <v/>
      </c>
      <c r="X2242" s="258" t="str">
        <f t="shared" si="90"/>
        <v/>
      </c>
      <c r="Y2242" s="36" t="str">
        <f t="shared" si="91"/>
        <v/>
      </c>
    </row>
    <row r="2243" spans="13:25">
      <c r="M2243" s="24" t="str">
        <f t="array" ref="M2243">LEFT(L2243,MIN(FIND({"A","B","C"},MID(L2243,2,LEN(L2243))&amp;"ABC")))</f>
        <v/>
      </c>
      <c r="N2243" s="24" t="str">
        <f t="array" ref="N2243">SUBSTITUTE(L2243,M2243,"")</f>
        <v/>
      </c>
      <c r="X2243" s="258" t="str">
        <f t="shared" si="90"/>
        <v/>
      </c>
      <c r="Y2243" s="36" t="str">
        <f t="shared" si="91"/>
        <v/>
      </c>
    </row>
    <row r="2244" spans="13:25">
      <c r="M2244" s="24" t="str">
        <f t="array" ref="M2244">LEFT(L2244,MIN(FIND({"A","B","C"},MID(L2244,2,LEN(L2244))&amp;"ABC")))</f>
        <v/>
      </c>
      <c r="N2244" s="24" t="str">
        <f t="array" ref="N2244">SUBSTITUTE(L2244,M2244,"")</f>
        <v/>
      </c>
      <c r="X2244" s="258" t="str">
        <f t="shared" si="90"/>
        <v/>
      </c>
      <c r="Y2244" s="36" t="str">
        <f t="shared" si="91"/>
        <v/>
      </c>
    </row>
    <row r="2245" spans="13:25">
      <c r="M2245" s="24" t="str">
        <f t="array" ref="M2245">LEFT(L2245,MIN(FIND({"A","B","C"},MID(L2245,2,LEN(L2245))&amp;"ABC")))</f>
        <v/>
      </c>
      <c r="N2245" s="24" t="str">
        <f t="array" ref="N2245">SUBSTITUTE(L2245,M2245,"")</f>
        <v/>
      </c>
      <c r="X2245" s="258" t="str">
        <f t="shared" si="90"/>
        <v/>
      </c>
      <c r="Y2245" s="36" t="str">
        <f t="shared" si="91"/>
        <v/>
      </c>
    </row>
    <row r="2246" spans="13:25">
      <c r="M2246" s="24" t="str">
        <f t="array" ref="M2246">LEFT(L2246,MIN(FIND({"A","B","C"},MID(L2246,2,LEN(L2246))&amp;"ABC")))</f>
        <v/>
      </c>
      <c r="N2246" s="24" t="str">
        <f t="array" ref="N2246">SUBSTITUTE(L2246,M2246,"")</f>
        <v/>
      </c>
      <c r="X2246" s="258" t="str">
        <f t="shared" si="90"/>
        <v/>
      </c>
      <c r="Y2246" s="36" t="str">
        <f t="shared" si="91"/>
        <v/>
      </c>
    </row>
    <row r="2247" spans="13:25">
      <c r="M2247" s="24" t="str">
        <f t="array" ref="M2247">LEFT(L2247,MIN(FIND({"A","B","C"},MID(L2247,2,LEN(L2247))&amp;"ABC")))</f>
        <v/>
      </c>
      <c r="N2247" s="24" t="str">
        <f t="array" ref="N2247">SUBSTITUTE(L2247,M2247,"")</f>
        <v/>
      </c>
      <c r="X2247" s="258" t="str">
        <f t="shared" si="90"/>
        <v/>
      </c>
      <c r="Y2247" s="36" t="str">
        <f t="shared" si="91"/>
        <v/>
      </c>
    </row>
    <row r="2248" spans="13:25">
      <c r="M2248" s="24" t="str">
        <f t="array" ref="M2248">LEFT(L2248,MIN(FIND({"A","B","C"},MID(L2248,2,LEN(L2248))&amp;"ABC")))</f>
        <v/>
      </c>
      <c r="N2248" s="24" t="str">
        <f t="array" ref="N2248">SUBSTITUTE(L2248,M2248,"")</f>
        <v/>
      </c>
      <c r="X2248" s="258" t="str">
        <f t="shared" si="90"/>
        <v/>
      </c>
      <c r="Y2248" s="36" t="str">
        <f t="shared" si="91"/>
        <v/>
      </c>
    </row>
    <row r="2249" spans="13:25">
      <c r="M2249" s="24" t="str">
        <f t="array" ref="M2249">LEFT(L2249,MIN(FIND({"A","B","C"},MID(L2249,2,LEN(L2249))&amp;"ABC")))</f>
        <v/>
      </c>
      <c r="N2249" s="24" t="str">
        <f t="array" ref="N2249">SUBSTITUTE(L2249,M2249,"")</f>
        <v/>
      </c>
      <c r="X2249" s="258" t="str">
        <f t="shared" si="90"/>
        <v/>
      </c>
      <c r="Y2249" s="36" t="str">
        <f t="shared" si="91"/>
        <v/>
      </c>
    </row>
    <row r="2250" spans="13:25">
      <c r="M2250" s="24" t="str">
        <f t="array" ref="M2250">LEFT(L2250,MIN(FIND({"A","B","C"},MID(L2250,2,LEN(L2250))&amp;"ABC")))</f>
        <v/>
      </c>
      <c r="N2250" s="24" t="str">
        <f t="array" ref="N2250">SUBSTITUTE(L2250,M2250,"")</f>
        <v/>
      </c>
      <c r="X2250" s="258" t="str">
        <f t="shared" si="90"/>
        <v/>
      </c>
      <c r="Y2250" s="36" t="str">
        <f t="shared" si="91"/>
        <v/>
      </c>
    </row>
    <row r="2251" spans="13:25">
      <c r="M2251" s="24" t="str">
        <f t="array" ref="M2251">LEFT(L2251,MIN(FIND({"A","B","C"},MID(L2251,2,LEN(L2251))&amp;"ABC")))</f>
        <v/>
      </c>
      <c r="N2251" s="24" t="str">
        <f t="array" ref="N2251">SUBSTITUTE(L2251,M2251,"")</f>
        <v/>
      </c>
      <c r="X2251" s="258" t="str">
        <f t="shared" si="90"/>
        <v/>
      </c>
      <c r="Y2251" s="36" t="str">
        <f t="shared" si="91"/>
        <v/>
      </c>
    </row>
    <row r="2252" spans="13:25">
      <c r="M2252" s="24" t="str">
        <f t="array" ref="M2252">LEFT(L2252,MIN(FIND({"A","B","C"},MID(L2252,2,LEN(L2252))&amp;"ABC")))</f>
        <v/>
      </c>
      <c r="N2252" s="24" t="str">
        <f t="array" ref="N2252">SUBSTITUTE(L2252,M2252,"")</f>
        <v/>
      </c>
      <c r="X2252" s="258" t="str">
        <f t="shared" si="90"/>
        <v/>
      </c>
      <c r="Y2252" s="36" t="str">
        <f t="shared" si="91"/>
        <v/>
      </c>
    </row>
    <row r="2253" spans="13:25">
      <c r="M2253" s="24" t="str">
        <f t="array" ref="M2253">LEFT(L2253,MIN(FIND({"A","B","C"},MID(L2253,2,LEN(L2253))&amp;"ABC")))</f>
        <v/>
      </c>
      <c r="N2253" s="24" t="str">
        <f t="array" ref="N2253">SUBSTITUTE(L2253,M2253,"")</f>
        <v/>
      </c>
      <c r="X2253" s="258" t="str">
        <f t="shared" si="90"/>
        <v/>
      </c>
      <c r="Y2253" s="36" t="str">
        <f t="shared" si="91"/>
        <v/>
      </c>
    </row>
    <row r="2254" spans="13:25">
      <c r="M2254" s="24" t="str">
        <f t="array" ref="M2254">LEFT(L2254,MIN(FIND({"A","B","C"},MID(L2254,2,LEN(L2254))&amp;"ABC")))</f>
        <v/>
      </c>
      <c r="N2254" s="24" t="str">
        <f t="array" ref="N2254">SUBSTITUTE(L2254,M2254,"")</f>
        <v/>
      </c>
      <c r="X2254" s="258" t="str">
        <f t="shared" si="90"/>
        <v/>
      </c>
      <c r="Y2254" s="36" t="str">
        <f t="shared" si="91"/>
        <v/>
      </c>
    </row>
    <row r="2255" spans="13:25">
      <c r="M2255" s="24" t="str">
        <f t="array" ref="M2255">LEFT(L2255,MIN(FIND({"A","B","C"},MID(L2255,2,LEN(L2255))&amp;"ABC")))</f>
        <v/>
      </c>
      <c r="N2255" s="24" t="str">
        <f t="array" ref="N2255">SUBSTITUTE(L2255,M2255,"")</f>
        <v/>
      </c>
      <c r="X2255" s="258" t="str">
        <f t="shared" si="90"/>
        <v/>
      </c>
      <c r="Y2255" s="36" t="str">
        <f t="shared" si="91"/>
        <v/>
      </c>
    </row>
    <row r="2256" spans="13:25">
      <c r="M2256" s="24" t="str">
        <f t="array" ref="M2256">LEFT(L2256,MIN(FIND({"A","B","C"},MID(L2256,2,LEN(L2256))&amp;"ABC")))</f>
        <v/>
      </c>
      <c r="N2256" s="24" t="str">
        <f t="array" ref="N2256">SUBSTITUTE(L2256,M2256,"")</f>
        <v/>
      </c>
      <c r="X2256" s="258" t="str">
        <f t="shared" si="90"/>
        <v/>
      </c>
      <c r="Y2256" s="36" t="str">
        <f t="shared" si="91"/>
        <v/>
      </c>
    </row>
    <row r="2257" spans="13:25">
      <c r="M2257" s="24" t="str">
        <f t="array" ref="M2257">LEFT(L2257,MIN(FIND({"A","B","C"},MID(L2257,2,LEN(L2257))&amp;"ABC")))</f>
        <v/>
      </c>
      <c r="N2257" s="24" t="str">
        <f t="array" ref="N2257">SUBSTITUTE(L2257,M2257,"")</f>
        <v/>
      </c>
      <c r="X2257" s="258" t="str">
        <f t="shared" si="90"/>
        <v/>
      </c>
      <c r="Y2257" s="36" t="str">
        <f t="shared" si="91"/>
        <v/>
      </c>
    </row>
    <row r="2258" spans="13:25">
      <c r="M2258" s="24" t="str">
        <f t="array" ref="M2258">LEFT(L2258,MIN(FIND({"A","B","C"},MID(L2258,2,LEN(L2258))&amp;"ABC")))</f>
        <v/>
      </c>
      <c r="N2258" s="24" t="str">
        <f t="array" ref="N2258">SUBSTITUTE(L2258,M2258,"")</f>
        <v/>
      </c>
      <c r="X2258" s="258" t="str">
        <f t="shared" si="90"/>
        <v/>
      </c>
      <c r="Y2258" s="36" t="str">
        <f t="shared" si="91"/>
        <v/>
      </c>
    </row>
    <row r="2259" spans="13:25">
      <c r="M2259" s="24" t="str">
        <f t="array" ref="M2259">LEFT(L2259,MIN(FIND({"A","B","C"},MID(L2259,2,LEN(L2259))&amp;"ABC")))</f>
        <v/>
      </c>
      <c r="N2259" s="24" t="str">
        <f t="array" ref="N2259">SUBSTITUTE(L2259,M2259,"")</f>
        <v/>
      </c>
      <c r="X2259" s="258" t="str">
        <f t="shared" si="90"/>
        <v/>
      </c>
      <c r="Y2259" s="36" t="str">
        <f t="shared" si="91"/>
        <v/>
      </c>
    </row>
    <row r="2260" spans="13:25">
      <c r="M2260" s="24" t="str">
        <f t="array" ref="M2260">LEFT(L2260,MIN(FIND({"A","B","C"},MID(L2260,2,LEN(L2260))&amp;"ABC")))</f>
        <v/>
      </c>
      <c r="N2260" s="24" t="str">
        <f t="array" ref="N2260">SUBSTITUTE(L2260,M2260,"")</f>
        <v/>
      </c>
      <c r="X2260" s="258" t="str">
        <f t="shared" si="90"/>
        <v/>
      </c>
      <c r="Y2260" s="36" t="str">
        <f t="shared" si="91"/>
        <v/>
      </c>
    </row>
    <row r="2261" spans="13:25">
      <c r="M2261" s="24" t="str">
        <f t="array" ref="M2261">LEFT(L2261,MIN(FIND({"A","B","C"},MID(L2261,2,LEN(L2261))&amp;"ABC")))</f>
        <v/>
      </c>
      <c r="N2261" s="24" t="str">
        <f t="array" ref="N2261">SUBSTITUTE(L2261,M2261,"")</f>
        <v/>
      </c>
      <c r="X2261" s="258" t="str">
        <f t="shared" si="90"/>
        <v/>
      </c>
      <c r="Y2261" s="36" t="str">
        <f t="shared" si="91"/>
        <v/>
      </c>
    </row>
    <row r="2262" spans="13:25">
      <c r="M2262" s="24" t="str">
        <f t="array" ref="M2262">LEFT(L2262,MIN(FIND({"A","B","C"},MID(L2262,2,LEN(L2262))&amp;"ABC")))</f>
        <v/>
      </c>
      <c r="N2262" s="24" t="str">
        <f t="array" ref="N2262">SUBSTITUTE(L2262,M2262,"")</f>
        <v/>
      </c>
      <c r="X2262" s="258" t="str">
        <f t="shared" si="90"/>
        <v/>
      </c>
      <c r="Y2262" s="36" t="str">
        <f t="shared" si="91"/>
        <v/>
      </c>
    </row>
    <row r="2263" spans="13:25">
      <c r="M2263" s="24" t="str">
        <f t="array" ref="M2263">LEFT(L2263,MIN(FIND({"A","B","C"},MID(L2263,2,LEN(L2263))&amp;"ABC")))</f>
        <v/>
      </c>
      <c r="N2263" s="24" t="str">
        <f t="array" ref="N2263">SUBSTITUTE(L2263,M2263,"")</f>
        <v/>
      </c>
      <c r="X2263" s="258" t="str">
        <f t="shared" si="90"/>
        <v/>
      </c>
      <c r="Y2263" s="36" t="str">
        <f t="shared" si="91"/>
        <v/>
      </c>
    </row>
    <row r="2264" spans="13:25">
      <c r="M2264" s="24" t="str">
        <f t="array" ref="M2264">LEFT(L2264,MIN(FIND({"A","B","C"},MID(L2264,2,LEN(L2264))&amp;"ABC")))</f>
        <v/>
      </c>
      <c r="N2264" s="24" t="str">
        <f t="array" ref="N2264">SUBSTITUTE(L2264,M2264,"")</f>
        <v/>
      </c>
      <c r="X2264" s="258" t="str">
        <f t="shared" si="90"/>
        <v/>
      </c>
      <c r="Y2264" s="36" t="str">
        <f t="shared" si="91"/>
        <v/>
      </c>
    </row>
    <row r="2265" spans="13:25">
      <c r="M2265" s="24" t="str">
        <f t="array" ref="M2265">LEFT(L2265,MIN(FIND({"A","B","C"},MID(L2265,2,LEN(L2265))&amp;"ABC")))</f>
        <v/>
      </c>
      <c r="N2265" s="24" t="str">
        <f t="array" ref="N2265">SUBSTITUTE(L2265,M2265,"")</f>
        <v/>
      </c>
      <c r="X2265" s="258" t="str">
        <f t="shared" si="90"/>
        <v/>
      </c>
      <c r="Y2265" s="36" t="str">
        <f t="shared" si="91"/>
        <v/>
      </c>
    </row>
    <row r="2266" spans="13:25">
      <c r="M2266" s="24" t="str">
        <f t="array" ref="M2266">LEFT(L2266,MIN(FIND({"A","B","C"},MID(L2266,2,LEN(L2266))&amp;"ABC")))</f>
        <v/>
      </c>
      <c r="N2266" s="24" t="str">
        <f t="array" ref="N2266">SUBSTITUTE(L2266,M2266,"")</f>
        <v/>
      </c>
      <c r="X2266" s="258" t="str">
        <f t="shared" si="90"/>
        <v/>
      </c>
      <c r="Y2266" s="36" t="str">
        <f t="shared" si="91"/>
        <v/>
      </c>
    </row>
    <row r="2267" spans="13:25">
      <c r="M2267" s="24" t="str">
        <f t="array" ref="M2267">LEFT(L2267,MIN(FIND({"A","B","C"},MID(L2267,2,LEN(L2267))&amp;"ABC")))</f>
        <v/>
      </c>
      <c r="N2267" s="24" t="str">
        <f t="array" ref="N2267">SUBSTITUTE(L2267,M2267,"")</f>
        <v/>
      </c>
      <c r="X2267" s="258" t="str">
        <f t="shared" si="90"/>
        <v/>
      </c>
      <c r="Y2267" s="36" t="str">
        <f t="shared" si="91"/>
        <v/>
      </c>
    </row>
    <row r="2268" spans="13:25">
      <c r="M2268" s="24" t="str">
        <f t="array" ref="M2268">LEFT(L2268,MIN(FIND({"A","B","C"},MID(L2268,2,LEN(L2268))&amp;"ABC")))</f>
        <v/>
      </c>
      <c r="N2268" s="24" t="str">
        <f t="array" ref="N2268">SUBSTITUTE(L2268,M2268,"")</f>
        <v/>
      </c>
      <c r="X2268" s="258" t="str">
        <f t="shared" ref="X2268:X2331" si="92">IF(B2268="","",IF(S2268&lt;&gt;"","",IF(AND(Z2268&lt;&gt;"",AA2268&lt;&gt;""),SUM(Z2268:AA2268),IF(AB2268&lt;&gt;"",(I2268/((1/((G2268+2)/100*K2268/1000))*0.9144)/IF(H2268="黑丝",22,20)-AB2268)*(IF(H2268="黑丝",22,20)),I2268/((1/((G2268+2)/100*K2268/1000))*0.9144)))))</f>
        <v/>
      </c>
      <c r="Y2268" s="36" t="str">
        <f t="shared" si="91"/>
        <v/>
      </c>
    </row>
    <row r="2269" spans="13:25">
      <c r="M2269" s="24" t="str">
        <f t="array" ref="M2269">LEFT(L2269,MIN(FIND({"A","B","C"},MID(L2269,2,LEN(L2269))&amp;"ABC")))</f>
        <v/>
      </c>
      <c r="N2269" s="24" t="str">
        <f t="array" ref="N2269">SUBSTITUTE(L2269,M2269,"")</f>
        <v/>
      </c>
      <c r="X2269" s="258" t="str">
        <f t="shared" si="92"/>
        <v/>
      </c>
      <c r="Y2269" s="36" t="str">
        <f t="shared" si="91"/>
        <v/>
      </c>
    </row>
    <row r="2270" spans="13:25">
      <c r="M2270" s="24" t="str">
        <f t="array" ref="M2270">LEFT(L2270,MIN(FIND({"A","B","C"},MID(L2270,2,LEN(L2270))&amp;"ABC")))</f>
        <v/>
      </c>
      <c r="N2270" s="24" t="str">
        <f t="array" ref="N2270">SUBSTITUTE(L2270,M2270,"")</f>
        <v/>
      </c>
      <c r="X2270" s="258" t="str">
        <f t="shared" si="92"/>
        <v/>
      </c>
      <c r="Y2270" s="36" t="str">
        <f t="shared" si="91"/>
        <v/>
      </c>
    </row>
    <row r="2271" spans="13:25">
      <c r="M2271" s="24" t="str">
        <f t="array" ref="M2271">LEFT(L2271,MIN(FIND({"A","B","C"},MID(L2271,2,LEN(L2271))&amp;"ABC")))</f>
        <v/>
      </c>
      <c r="N2271" s="24" t="str">
        <f t="array" ref="N2271">SUBSTITUTE(L2271,M2271,"")</f>
        <v/>
      </c>
      <c r="X2271" s="258" t="str">
        <f t="shared" si="92"/>
        <v/>
      </c>
      <c r="Y2271" s="36" t="str">
        <f t="shared" si="91"/>
        <v/>
      </c>
    </row>
    <row r="2272" spans="13:25">
      <c r="M2272" s="24" t="str">
        <f t="array" ref="M2272">LEFT(L2272,MIN(FIND({"A","B","C"},MID(L2272,2,LEN(L2272))&amp;"ABC")))</f>
        <v/>
      </c>
      <c r="N2272" s="24" t="str">
        <f t="array" ref="N2272">SUBSTITUTE(L2272,M2272,"")</f>
        <v/>
      </c>
      <c r="X2272" s="258" t="str">
        <f t="shared" si="92"/>
        <v/>
      </c>
      <c r="Y2272" s="36" t="str">
        <f t="shared" si="91"/>
        <v/>
      </c>
    </row>
    <row r="2273" spans="13:25">
      <c r="M2273" s="24" t="str">
        <f t="array" ref="M2273">LEFT(L2273,MIN(FIND({"A","B","C"},MID(L2273,2,LEN(L2273))&amp;"ABC")))</f>
        <v/>
      </c>
      <c r="N2273" s="24" t="str">
        <f t="array" ref="N2273">SUBSTITUTE(L2273,M2273,"")</f>
        <v/>
      </c>
      <c r="X2273" s="258" t="str">
        <f t="shared" si="92"/>
        <v/>
      </c>
      <c r="Y2273" s="36" t="str">
        <f t="shared" si="91"/>
        <v/>
      </c>
    </row>
    <row r="2274" spans="13:25">
      <c r="M2274" s="24" t="str">
        <f t="array" ref="M2274">LEFT(L2274,MIN(FIND({"A","B","C"},MID(L2274,2,LEN(L2274))&amp;"ABC")))</f>
        <v/>
      </c>
      <c r="N2274" s="24" t="str">
        <f t="array" ref="N2274">SUBSTITUTE(L2274,M2274,"")</f>
        <v/>
      </c>
      <c r="X2274" s="258" t="str">
        <f t="shared" si="92"/>
        <v/>
      </c>
      <c r="Y2274" s="36" t="str">
        <f t="shared" si="91"/>
        <v/>
      </c>
    </row>
    <row r="2275" spans="13:25">
      <c r="M2275" s="24" t="str">
        <f t="array" ref="M2275">LEFT(L2275,MIN(FIND({"A","B","C"},MID(L2275,2,LEN(L2275))&amp;"ABC")))</f>
        <v/>
      </c>
      <c r="N2275" s="24" t="str">
        <f t="array" ref="N2275">SUBSTITUTE(L2275,M2275,"")</f>
        <v/>
      </c>
      <c r="X2275" s="258" t="str">
        <f t="shared" si="92"/>
        <v/>
      </c>
      <c r="Y2275" s="36" t="str">
        <f t="shared" si="91"/>
        <v/>
      </c>
    </row>
    <row r="2276" spans="13:25">
      <c r="M2276" s="24" t="str">
        <f t="array" ref="M2276">LEFT(L2276,MIN(FIND({"A","B","C"},MID(L2276,2,LEN(L2276))&amp;"ABC")))</f>
        <v/>
      </c>
      <c r="N2276" s="24" t="str">
        <f t="array" ref="N2276">SUBSTITUTE(L2276,M2276,"")</f>
        <v/>
      </c>
      <c r="X2276" s="258" t="str">
        <f t="shared" si="92"/>
        <v/>
      </c>
      <c r="Y2276" s="36" t="str">
        <f t="shared" si="91"/>
        <v/>
      </c>
    </row>
    <row r="2277" spans="13:25">
      <c r="M2277" s="24" t="str">
        <f t="array" ref="M2277">LEFT(L2277,MIN(FIND({"A","B","C"},MID(L2277,2,LEN(L2277))&amp;"ABC")))</f>
        <v/>
      </c>
      <c r="N2277" s="24" t="str">
        <f t="array" ref="N2277">SUBSTITUTE(L2277,M2277,"")</f>
        <v/>
      </c>
      <c r="X2277" s="258" t="str">
        <f t="shared" si="92"/>
        <v/>
      </c>
      <c r="Y2277" s="36" t="str">
        <f t="shared" si="91"/>
        <v/>
      </c>
    </row>
    <row r="2278" spans="13:25">
      <c r="M2278" s="24" t="str">
        <f t="array" ref="M2278">LEFT(L2278,MIN(FIND({"A","B","C"},MID(L2278,2,LEN(L2278))&amp;"ABC")))</f>
        <v/>
      </c>
      <c r="N2278" s="24" t="str">
        <f t="array" ref="N2278">SUBSTITUTE(L2278,M2278,"")</f>
        <v/>
      </c>
      <c r="X2278" s="258" t="str">
        <f t="shared" si="92"/>
        <v/>
      </c>
      <c r="Y2278" s="36" t="str">
        <f t="shared" si="91"/>
        <v/>
      </c>
    </row>
    <row r="2279" spans="13:25">
      <c r="M2279" s="24" t="str">
        <f t="array" ref="M2279">LEFT(L2279,MIN(FIND({"A","B","C"},MID(L2279,2,LEN(L2279))&amp;"ABC")))</f>
        <v/>
      </c>
      <c r="N2279" s="24" t="str">
        <f t="array" ref="N2279">SUBSTITUTE(L2279,M2279,"")</f>
        <v/>
      </c>
      <c r="X2279" s="258" t="str">
        <f t="shared" si="92"/>
        <v/>
      </c>
      <c r="Y2279" s="36" t="str">
        <f t="shared" si="91"/>
        <v/>
      </c>
    </row>
    <row r="2280" spans="13:25">
      <c r="M2280" s="24" t="str">
        <f t="array" ref="M2280">LEFT(L2280,MIN(FIND({"A","B","C"},MID(L2280,2,LEN(L2280))&amp;"ABC")))</f>
        <v/>
      </c>
      <c r="N2280" s="24" t="str">
        <f t="array" ref="N2280">SUBSTITUTE(L2280,M2280,"")</f>
        <v/>
      </c>
      <c r="X2280" s="258" t="str">
        <f t="shared" si="92"/>
        <v/>
      </c>
      <c r="Y2280" s="36" t="str">
        <f t="shared" si="91"/>
        <v/>
      </c>
    </row>
    <row r="2281" spans="13:25">
      <c r="M2281" s="24" t="str">
        <f t="array" ref="M2281">LEFT(L2281,MIN(FIND({"A","B","C"},MID(L2281,2,LEN(L2281))&amp;"ABC")))</f>
        <v/>
      </c>
      <c r="N2281" s="24" t="str">
        <f t="array" ref="N2281">SUBSTITUTE(L2281,M2281,"")</f>
        <v/>
      </c>
      <c r="X2281" s="258" t="str">
        <f t="shared" si="92"/>
        <v/>
      </c>
      <c r="Y2281" s="36" t="str">
        <f t="shared" ref="Y2281:Y2344" si="93">IF(OR(B2281="",D2281&lt;&gt;""),"",IF(S2281&lt;&gt;"","",I2281/((1/((G2281+2)/100*K2281/1000))*0.9144)/IF(H2281="黑丝",22,20)-AB2281))</f>
        <v/>
      </c>
    </row>
    <row r="2282" spans="13:25">
      <c r="M2282" s="24" t="str">
        <f t="array" ref="M2282">LEFT(L2282,MIN(FIND({"A","B","C"},MID(L2282,2,LEN(L2282))&amp;"ABC")))</f>
        <v/>
      </c>
      <c r="N2282" s="24" t="str">
        <f t="array" ref="N2282">SUBSTITUTE(L2282,M2282,"")</f>
        <v/>
      </c>
      <c r="X2282" s="258" t="str">
        <f t="shared" si="92"/>
        <v/>
      </c>
      <c r="Y2282" s="36" t="str">
        <f t="shared" si="93"/>
        <v/>
      </c>
    </row>
    <row r="2283" spans="13:25">
      <c r="M2283" s="24" t="str">
        <f t="array" ref="M2283">LEFT(L2283,MIN(FIND({"A","B","C"},MID(L2283,2,LEN(L2283))&amp;"ABC")))</f>
        <v/>
      </c>
      <c r="N2283" s="24" t="str">
        <f t="array" ref="N2283">SUBSTITUTE(L2283,M2283,"")</f>
        <v/>
      </c>
      <c r="X2283" s="258" t="str">
        <f t="shared" si="92"/>
        <v/>
      </c>
      <c r="Y2283" s="36" t="str">
        <f t="shared" si="93"/>
        <v/>
      </c>
    </row>
    <row r="2284" spans="13:25">
      <c r="M2284" s="24" t="str">
        <f t="array" ref="M2284">LEFT(L2284,MIN(FIND({"A","B","C"},MID(L2284,2,LEN(L2284))&amp;"ABC")))</f>
        <v/>
      </c>
      <c r="N2284" s="24" t="str">
        <f t="array" ref="N2284">SUBSTITUTE(L2284,M2284,"")</f>
        <v/>
      </c>
      <c r="X2284" s="258" t="str">
        <f t="shared" si="92"/>
        <v/>
      </c>
      <c r="Y2284" s="36" t="str">
        <f t="shared" si="93"/>
        <v/>
      </c>
    </row>
    <row r="2285" spans="13:25">
      <c r="M2285" s="24" t="str">
        <f t="array" ref="M2285">LEFT(L2285,MIN(FIND({"A","B","C"},MID(L2285,2,LEN(L2285))&amp;"ABC")))</f>
        <v/>
      </c>
      <c r="N2285" s="24" t="str">
        <f t="array" ref="N2285">SUBSTITUTE(L2285,M2285,"")</f>
        <v/>
      </c>
      <c r="X2285" s="258" t="str">
        <f t="shared" si="92"/>
        <v/>
      </c>
      <c r="Y2285" s="36" t="str">
        <f t="shared" si="93"/>
        <v/>
      </c>
    </row>
    <row r="2286" spans="13:25">
      <c r="M2286" s="24" t="str">
        <f t="array" ref="M2286">LEFT(L2286,MIN(FIND({"A","B","C"},MID(L2286,2,LEN(L2286))&amp;"ABC")))</f>
        <v/>
      </c>
      <c r="N2286" s="24" t="str">
        <f t="array" ref="N2286">SUBSTITUTE(L2286,M2286,"")</f>
        <v/>
      </c>
      <c r="X2286" s="258" t="str">
        <f t="shared" si="92"/>
        <v/>
      </c>
      <c r="Y2286" s="36" t="str">
        <f t="shared" si="93"/>
        <v/>
      </c>
    </row>
    <row r="2287" spans="13:25">
      <c r="M2287" s="24" t="str">
        <f t="array" ref="M2287">LEFT(L2287,MIN(FIND({"A","B","C"},MID(L2287,2,LEN(L2287))&amp;"ABC")))</f>
        <v/>
      </c>
      <c r="N2287" s="24" t="str">
        <f t="array" ref="N2287">SUBSTITUTE(L2287,M2287,"")</f>
        <v/>
      </c>
      <c r="X2287" s="258" t="str">
        <f t="shared" si="92"/>
        <v/>
      </c>
      <c r="Y2287" s="36" t="str">
        <f t="shared" si="93"/>
        <v/>
      </c>
    </row>
    <row r="2288" spans="13:25">
      <c r="M2288" s="24" t="str">
        <f t="array" ref="M2288">LEFT(L2288,MIN(FIND({"A","B","C"},MID(L2288,2,LEN(L2288))&amp;"ABC")))</f>
        <v/>
      </c>
      <c r="N2288" s="24" t="str">
        <f t="array" ref="N2288">SUBSTITUTE(L2288,M2288,"")</f>
        <v/>
      </c>
      <c r="X2288" s="258" t="str">
        <f t="shared" si="92"/>
        <v/>
      </c>
      <c r="Y2288" s="36" t="str">
        <f t="shared" si="93"/>
        <v/>
      </c>
    </row>
    <row r="2289" spans="13:25">
      <c r="M2289" s="24" t="str">
        <f t="array" ref="M2289">LEFT(L2289,MIN(FIND({"A","B","C"},MID(L2289,2,LEN(L2289))&amp;"ABC")))</f>
        <v/>
      </c>
      <c r="N2289" s="24" t="str">
        <f t="array" ref="N2289">SUBSTITUTE(L2289,M2289,"")</f>
        <v/>
      </c>
      <c r="X2289" s="258" t="str">
        <f t="shared" si="92"/>
        <v/>
      </c>
      <c r="Y2289" s="36" t="str">
        <f t="shared" si="93"/>
        <v/>
      </c>
    </row>
    <row r="2290" spans="13:25">
      <c r="M2290" s="24" t="str">
        <f t="array" ref="M2290">LEFT(L2290,MIN(FIND({"A","B","C"},MID(L2290,2,LEN(L2290))&amp;"ABC")))</f>
        <v/>
      </c>
      <c r="N2290" s="24" t="str">
        <f t="array" ref="N2290">SUBSTITUTE(L2290,M2290,"")</f>
        <v/>
      </c>
      <c r="X2290" s="258" t="str">
        <f t="shared" si="92"/>
        <v/>
      </c>
      <c r="Y2290" s="36" t="str">
        <f t="shared" si="93"/>
        <v/>
      </c>
    </row>
    <row r="2291" spans="13:25">
      <c r="M2291" s="24" t="str">
        <f t="array" ref="M2291">LEFT(L2291,MIN(FIND({"A","B","C"},MID(L2291,2,LEN(L2291))&amp;"ABC")))</f>
        <v/>
      </c>
      <c r="N2291" s="24" t="str">
        <f t="array" ref="N2291">SUBSTITUTE(L2291,M2291,"")</f>
        <v/>
      </c>
      <c r="X2291" s="258" t="str">
        <f t="shared" si="92"/>
        <v/>
      </c>
      <c r="Y2291" s="36" t="str">
        <f t="shared" si="93"/>
        <v/>
      </c>
    </row>
    <row r="2292" spans="13:25">
      <c r="M2292" s="24" t="str">
        <f t="array" ref="M2292">LEFT(L2292,MIN(FIND({"A","B","C"},MID(L2292,2,LEN(L2292))&amp;"ABC")))</f>
        <v/>
      </c>
      <c r="N2292" s="24" t="str">
        <f t="array" ref="N2292">SUBSTITUTE(L2292,M2292,"")</f>
        <v/>
      </c>
      <c r="X2292" s="258" t="str">
        <f t="shared" si="92"/>
        <v/>
      </c>
      <c r="Y2292" s="36" t="str">
        <f t="shared" si="93"/>
        <v/>
      </c>
    </row>
    <row r="2293" spans="13:25">
      <c r="M2293" s="24" t="str">
        <f t="array" ref="M2293">LEFT(L2293,MIN(FIND({"A","B","C"},MID(L2293,2,LEN(L2293))&amp;"ABC")))</f>
        <v/>
      </c>
      <c r="N2293" s="24" t="str">
        <f t="array" ref="N2293">SUBSTITUTE(L2293,M2293,"")</f>
        <v/>
      </c>
      <c r="X2293" s="258" t="str">
        <f t="shared" si="92"/>
        <v/>
      </c>
      <c r="Y2293" s="36" t="str">
        <f t="shared" si="93"/>
        <v/>
      </c>
    </row>
    <row r="2294" spans="13:25">
      <c r="M2294" s="24" t="str">
        <f t="array" ref="M2294">LEFT(L2294,MIN(FIND({"A","B","C"},MID(L2294,2,LEN(L2294))&amp;"ABC")))</f>
        <v/>
      </c>
      <c r="N2294" s="24" t="str">
        <f t="array" ref="N2294">SUBSTITUTE(L2294,M2294,"")</f>
        <v/>
      </c>
      <c r="X2294" s="258" t="str">
        <f t="shared" si="92"/>
        <v/>
      </c>
      <c r="Y2294" s="36" t="str">
        <f t="shared" si="93"/>
        <v/>
      </c>
    </row>
    <row r="2295" spans="13:25">
      <c r="M2295" s="24" t="str">
        <f t="array" ref="M2295">LEFT(L2295,MIN(FIND({"A","B","C"},MID(L2295,2,LEN(L2295))&amp;"ABC")))</f>
        <v/>
      </c>
      <c r="N2295" s="24" t="str">
        <f t="array" ref="N2295">SUBSTITUTE(L2295,M2295,"")</f>
        <v/>
      </c>
      <c r="X2295" s="258" t="str">
        <f t="shared" si="92"/>
        <v/>
      </c>
      <c r="Y2295" s="36" t="str">
        <f t="shared" si="93"/>
        <v/>
      </c>
    </row>
    <row r="2296" spans="13:25">
      <c r="M2296" s="24" t="str">
        <f t="array" ref="M2296">LEFT(L2296,MIN(FIND({"A","B","C"},MID(L2296,2,LEN(L2296))&amp;"ABC")))</f>
        <v/>
      </c>
      <c r="N2296" s="24" t="str">
        <f t="array" ref="N2296">SUBSTITUTE(L2296,M2296,"")</f>
        <v/>
      </c>
      <c r="X2296" s="258" t="str">
        <f t="shared" si="92"/>
        <v/>
      </c>
      <c r="Y2296" s="36" t="str">
        <f t="shared" si="93"/>
        <v/>
      </c>
    </row>
    <row r="2297" spans="13:25">
      <c r="M2297" s="24" t="str">
        <f t="array" ref="M2297">LEFT(L2297,MIN(FIND({"A","B","C"},MID(L2297,2,LEN(L2297))&amp;"ABC")))</f>
        <v/>
      </c>
      <c r="N2297" s="24" t="str">
        <f t="array" ref="N2297">SUBSTITUTE(L2297,M2297,"")</f>
        <v/>
      </c>
      <c r="X2297" s="258" t="str">
        <f t="shared" si="92"/>
        <v/>
      </c>
      <c r="Y2297" s="36" t="str">
        <f t="shared" si="93"/>
        <v/>
      </c>
    </row>
    <row r="2298" spans="13:25">
      <c r="M2298" s="24" t="str">
        <f t="array" ref="M2298">LEFT(L2298,MIN(FIND({"A","B","C"},MID(L2298,2,LEN(L2298))&amp;"ABC")))</f>
        <v/>
      </c>
      <c r="N2298" s="24" t="str">
        <f t="array" ref="N2298">SUBSTITUTE(L2298,M2298,"")</f>
        <v/>
      </c>
      <c r="X2298" s="258" t="str">
        <f t="shared" si="92"/>
        <v/>
      </c>
      <c r="Y2298" s="36" t="str">
        <f t="shared" si="93"/>
        <v/>
      </c>
    </row>
    <row r="2299" spans="13:25">
      <c r="M2299" s="24" t="str">
        <f t="array" ref="M2299">LEFT(L2299,MIN(FIND({"A","B","C"},MID(L2299,2,LEN(L2299))&amp;"ABC")))</f>
        <v/>
      </c>
      <c r="N2299" s="24" t="str">
        <f t="array" ref="N2299">SUBSTITUTE(L2299,M2299,"")</f>
        <v/>
      </c>
      <c r="X2299" s="258" t="str">
        <f t="shared" si="92"/>
        <v/>
      </c>
      <c r="Y2299" s="36" t="str">
        <f t="shared" si="93"/>
        <v/>
      </c>
    </row>
    <row r="2300" spans="13:25">
      <c r="M2300" s="24" t="str">
        <f t="array" ref="M2300">LEFT(L2300,MIN(FIND({"A","B","C"},MID(L2300,2,LEN(L2300))&amp;"ABC")))</f>
        <v/>
      </c>
      <c r="N2300" s="24" t="str">
        <f t="array" ref="N2300">SUBSTITUTE(L2300,M2300,"")</f>
        <v/>
      </c>
      <c r="X2300" s="258" t="str">
        <f t="shared" si="92"/>
        <v/>
      </c>
      <c r="Y2300" s="36" t="str">
        <f t="shared" si="93"/>
        <v/>
      </c>
    </row>
    <row r="2301" spans="13:25">
      <c r="M2301" s="24" t="str">
        <f t="array" ref="M2301">LEFT(L2301,MIN(FIND({"A","B","C"},MID(L2301,2,LEN(L2301))&amp;"ABC")))</f>
        <v/>
      </c>
      <c r="N2301" s="24" t="str">
        <f t="array" ref="N2301">SUBSTITUTE(L2301,M2301,"")</f>
        <v/>
      </c>
      <c r="X2301" s="258" t="str">
        <f t="shared" si="92"/>
        <v/>
      </c>
      <c r="Y2301" s="36" t="str">
        <f t="shared" si="93"/>
        <v/>
      </c>
    </row>
    <row r="2302" spans="13:25">
      <c r="M2302" s="24" t="str">
        <f t="array" ref="M2302">LEFT(L2302,MIN(FIND({"A","B","C"},MID(L2302,2,LEN(L2302))&amp;"ABC")))</f>
        <v/>
      </c>
      <c r="N2302" s="24" t="str">
        <f t="array" ref="N2302">SUBSTITUTE(L2302,M2302,"")</f>
        <v/>
      </c>
      <c r="X2302" s="258" t="str">
        <f t="shared" si="92"/>
        <v/>
      </c>
      <c r="Y2302" s="36" t="str">
        <f t="shared" si="93"/>
        <v/>
      </c>
    </row>
    <row r="2303" spans="13:25">
      <c r="M2303" s="24" t="str">
        <f t="array" ref="M2303">LEFT(L2303,MIN(FIND({"A","B","C"},MID(L2303,2,LEN(L2303))&amp;"ABC")))</f>
        <v/>
      </c>
      <c r="N2303" s="24" t="str">
        <f t="array" ref="N2303">SUBSTITUTE(L2303,M2303,"")</f>
        <v/>
      </c>
      <c r="X2303" s="258" t="str">
        <f t="shared" si="92"/>
        <v/>
      </c>
      <c r="Y2303" s="36" t="str">
        <f t="shared" si="93"/>
        <v/>
      </c>
    </row>
    <row r="2304" spans="13:25">
      <c r="M2304" s="24" t="str">
        <f t="array" ref="M2304">LEFT(L2304,MIN(FIND({"A","B","C"},MID(L2304,2,LEN(L2304))&amp;"ABC")))</f>
        <v/>
      </c>
      <c r="N2304" s="24" t="str">
        <f t="array" ref="N2304">SUBSTITUTE(L2304,M2304,"")</f>
        <v/>
      </c>
      <c r="X2304" s="258" t="str">
        <f t="shared" si="92"/>
        <v/>
      </c>
      <c r="Y2304" s="36" t="str">
        <f t="shared" si="93"/>
        <v/>
      </c>
    </row>
    <row r="2305" spans="13:25">
      <c r="M2305" s="24" t="str">
        <f t="array" ref="M2305">LEFT(L2305,MIN(FIND({"A","B","C"},MID(L2305,2,LEN(L2305))&amp;"ABC")))</f>
        <v/>
      </c>
      <c r="N2305" s="24" t="str">
        <f t="array" ref="N2305">SUBSTITUTE(L2305,M2305,"")</f>
        <v/>
      </c>
      <c r="X2305" s="258" t="str">
        <f t="shared" si="92"/>
        <v/>
      </c>
      <c r="Y2305" s="36" t="str">
        <f t="shared" si="93"/>
        <v/>
      </c>
    </row>
    <row r="2306" spans="13:25">
      <c r="M2306" s="24" t="str">
        <f t="array" ref="M2306">LEFT(L2306,MIN(FIND({"A","B","C"},MID(L2306,2,LEN(L2306))&amp;"ABC")))</f>
        <v/>
      </c>
      <c r="N2306" s="24" t="str">
        <f t="array" ref="N2306">SUBSTITUTE(L2306,M2306,"")</f>
        <v/>
      </c>
      <c r="X2306" s="258" t="str">
        <f t="shared" si="92"/>
        <v/>
      </c>
      <c r="Y2306" s="36" t="str">
        <f t="shared" si="93"/>
        <v/>
      </c>
    </row>
    <row r="2307" spans="13:25">
      <c r="M2307" s="24" t="str">
        <f t="array" ref="M2307">LEFT(L2307,MIN(FIND({"A","B","C"},MID(L2307,2,LEN(L2307))&amp;"ABC")))</f>
        <v/>
      </c>
      <c r="N2307" s="24" t="str">
        <f t="array" ref="N2307">SUBSTITUTE(L2307,M2307,"")</f>
        <v/>
      </c>
      <c r="X2307" s="258" t="str">
        <f t="shared" si="92"/>
        <v/>
      </c>
      <c r="Y2307" s="36" t="str">
        <f t="shared" si="93"/>
        <v/>
      </c>
    </row>
    <row r="2308" spans="13:25">
      <c r="M2308" s="24" t="str">
        <f t="array" ref="M2308">LEFT(L2308,MIN(FIND({"A","B","C"},MID(L2308,2,LEN(L2308))&amp;"ABC")))</f>
        <v/>
      </c>
      <c r="N2308" s="24" t="str">
        <f t="array" ref="N2308">SUBSTITUTE(L2308,M2308,"")</f>
        <v/>
      </c>
      <c r="X2308" s="258" t="str">
        <f t="shared" si="92"/>
        <v/>
      </c>
      <c r="Y2308" s="36" t="str">
        <f t="shared" si="93"/>
        <v/>
      </c>
    </row>
    <row r="2309" spans="13:25">
      <c r="M2309" s="24" t="str">
        <f t="array" ref="M2309">LEFT(L2309,MIN(FIND({"A","B","C"},MID(L2309,2,LEN(L2309))&amp;"ABC")))</f>
        <v/>
      </c>
      <c r="N2309" s="24" t="str">
        <f t="array" ref="N2309">SUBSTITUTE(L2309,M2309,"")</f>
        <v/>
      </c>
      <c r="X2309" s="258" t="str">
        <f t="shared" si="92"/>
        <v/>
      </c>
      <c r="Y2309" s="36" t="str">
        <f t="shared" si="93"/>
        <v/>
      </c>
    </row>
    <row r="2310" spans="13:25">
      <c r="M2310" s="24" t="str">
        <f t="array" ref="M2310">LEFT(L2310,MIN(FIND({"A","B","C"},MID(L2310,2,LEN(L2310))&amp;"ABC")))</f>
        <v/>
      </c>
      <c r="N2310" s="24" t="str">
        <f t="array" ref="N2310">SUBSTITUTE(L2310,M2310,"")</f>
        <v/>
      </c>
      <c r="X2310" s="258" t="str">
        <f t="shared" si="92"/>
        <v/>
      </c>
      <c r="Y2310" s="36" t="str">
        <f t="shared" si="93"/>
        <v/>
      </c>
    </row>
    <row r="2311" spans="13:25">
      <c r="M2311" s="24" t="str">
        <f t="array" ref="M2311">LEFT(L2311,MIN(FIND({"A","B","C"},MID(L2311,2,LEN(L2311))&amp;"ABC")))</f>
        <v/>
      </c>
      <c r="N2311" s="24" t="str">
        <f t="array" ref="N2311">SUBSTITUTE(L2311,M2311,"")</f>
        <v/>
      </c>
      <c r="X2311" s="258" t="str">
        <f t="shared" si="92"/>
        <v/>
      </c>
      <c r="Y2311" s="36" t="str">
        <f t="shared" si="93"/>
        <v/>
      </c>
    </row>
    <row r="2312" spans="13:25">
      <c r="M2312" s="24" t="str">
        <f t="array" ref="M2312">LEFT(L2312,MIN(FIND({"A","B","C"},MID(L2312,2,LEN(L2312))&amp;"ABC")))</f>
        <v/>
      </c>
      <c r="N2312" s="24" t="str">
        <f t="array" ref="N2312">SUBSTITUTE(L2312,M2312,"")</f>
        <v/>
      </c>
      <c r="X2312" s="258" t="str">
        <f t="shared" si="92"/>
        <v/>
      </c>
      <c r="Y2312" s="36" t="str">
        <f t="shared" si="93"/>
        <v/>
      </c>
    </row>
    <row r="2313" spans="13:25">
      <c r="M2313" s="24" t="str">
        <f t="array" ref="M2313">LEFT(L2313,MIN(FIND({"A","B","C"},MID(L2313,2,LEN(L2313))&amp;"ABC")))</f>
        <v/>
      </c>
      <c r="N2313" s="24" t="str">
        <f t="array" ref="N2313">SUBSTITUTE(L2313,M2313,"")</f>
        <v/>
      </c>
      <c r="X2313" s="258" t="str">
        <f t="shared" si="92"/>
        <v/>
      </c>
      <c r="Y2313" s="36" t="str">
        <f t="shared" si="93"/>
        <v/>
      </c>
    </row>
    <row r="2314" spans="13:25">
      <c r="M2314" s="24" t="str">
        <f t="array" ref="M2314">LEFT(L2314,MIN(FIND({"A","B","C"},MID(L2314,2,LEN(L2314))&amp;"ABC")))</f>
        <v/>
      </c>
      <c r="N2314" s="24" t="str">
        <f t="array" ref="N2314">SUBSTITUTE(L2314,M2314,"")</f>
        <v/>
      </c>
      <c r="X2314" s="258" t="str">
        <f t="shared" si="92"/>
        <v/>
      </c>
      <c r="Y2314" s="36" t="str">
        <f t="shared" si="93"/>
        <v/>
      </c>
    </row>
    <row r="2315" spans="13:25">
      <c r="M2315" s="24" t="str">
        <f t="array" ref="M2315">LEFT(L2315,MIN(FIND({"A","B","C"},MID(L2315,2,LEN(L2315))&amp;"ABC")))</f>
        <v/>
      </c>
      <c r="N2315" s="24" t="str">
        <f t="array" ref="N2315">SUBSTITUTE(L2315,M2315,"")</f>
        <v/>
      </c>
      <c r="X2315" s="258" t="str">
        <f t="shared" si="92"/>
        <v/>
      </c>
      <c r="Y2315" s="36" t="str">
        <f t="shared" si="93"/>
        <v/>
      </c>
    </row>
    <row r="2316" spans="13:25">
      <c r="M2316" s="24" t="str">
        <f t="array" ref="M2316">LEFT(L2316,MIN(FIND({"A","B","C"},MID(L2316,2,LEN(L2316))&amp;"ABC")))</f>
        <v/>
      </c>
      <c r="N2316" s="24" t="str">
        <f t="array" ref="N2316">SUBSTITUTE(L2316,M2316,"")</f>
        <v/>
      </c>
      <c r="X2316" s="258" t="str">
        <f t="shared" si="92"/>
        <v/>
      </c>
      <c r="Y2316" s="36" t="str">
        <f t="shared" si="93"/>
        <v/>
      </c>
    </row>
    <row r="2317" spans="13:25">
      <c r="M2317" s="24" t="str">
        <f t="array" ref="M2317">LEFT(L2317,MIN(FIND({"A","B","C"},MID(L2317,2,LEN(L2317))&amp;"ABC")))</f>
        <v/>
      </c>
      <c r="N2317" s="24" t="str">
        <f t="array" ref="N2317">SUBSTITUTE(L2317,M2317,"")</f>
        <v/>
      </c>
      <c r="X2317" s="258" t="str">
        <f t="shared" si="92"/>
        <v/>
      </c>
      <c r="Y2317" s="36" t="str">
        <f t="shared" si="93"/>
        <v/>
      </c>
    </row>
    <row r="2318" spans="13:25">
      <c r="M2318" s="24" t="str">
        <f t="array" ref="M2318">LEFT(L2318,MIN(FIND({"A","B","C"},MID(L2318,2,LEN(L2318))&amp;"ABC")))</f>
        <v/>
      </c>
      <c r="N2318" s="24" t="str">
        <f t="array" ref="N2318">SUBSTITUTE(L2318,M2318,"")</f>
        <v/>
      </c>
      <c r="X2318" s="258" t="str">
        <f t="shared" si="92"/>
        <v/>
      </c>
      <c r="Y2318" s="36" t="str">
        <f t="shared" si="93"/>
        <v/>
      </c>
    </row>
    <row r="2319" spans="13:25">
      <c r="M2319" s="24" t="str">
        <f t="array" ref="M2319">LEFT(L2319,MIN(FIND({"A","B","C"},MID(L2319,2,LEN(L2319))&amp;"ABC")))</f>
        <v/>
      </c>
      <c r="N2319" s="24" t="str">
        <f t="array" ref="N2319">SUBSTITUTE(L2319,M2319,"")</f>
        <v/>
      </c>
      <c r="X2319" s="258" t="str">
        <f t="shared" si="92"/>
        <v/>
      </c>
      <c r="Y2319" s="36" t="str">
        <f t="shared" si="93"/>
        <v/>
      </c>
    </row>
    <row r="2320" spans="13:25">
      <c r="M2320" s="24" t="str">
        <f t="array" ref="M2320">LEFT(L2320,MIN(FIND({"A","B","C"},MID(L2320,2,LEN(L2320))&amp;"ABC")))</f>
        <v/>
      </c>
      <c r="N2320" s="24" t="str">
        <f t="array" ref="N2320">SUBSTITUTE(L2320,M2320,"")</f>
        <v/>
      </c>
      <c r="X2320" s="258" t="str">
        <f t="shared" si="92"/>
        <v/>
      </c>
      <c r="Y2320" s="36" t="str">
        <f t="shared" si="93"/>
        <v/>
      </c>
    </row>
    <row r="2321" spans="13:25">
      <c r="M2321" s="24" t="str">
        <f t="array" ref="M2321">LEFT(L2321,MIN(FIND({"A","B","C"},MID(L2321,2,LEN(L2321))&amp;"ABC")))</f>
        <v/>
      </c>
      <c r="N2321" s="24" t="str">
        <f t="array" ref="N2321">SUBSTITUTE(L2321,M2321,"")</f>
        <v/>
      </c>
      <c r="X2321" s="258" t="str">
        <f t="shared" si="92"/>
        <v/>
      </c>
      <c r="Y2321" s="36" t="str">
        <f t="shared" si="93"/>
        <v/>
      </c>
    </row>
    <row r="2322" spans="13:25">
      <c r="M2322" s="24" t="str">
        <f t="array" ref="M2322">LEFT(L2322,MIN(FIND({"A","B","C"},MID(L2322,2,LEN(L2322))&amp;"ABC")))</f>
        <v/>
      </c>
      <c r="N2322" s="24" t="str">
        <f t="array" ref="N2322">SUBSTITUTE(L2322,M2322,"")</f>
        <v/>
      </c>
      <c r="X2322" s="258" t="str">
        <f t="shared" si="92"/>
        <v/>
      </c>
      <c r="Y2322" s="36" t="str">
        <f t="shared" si="93"/>
        <v/>
      </c>
    </row>
    <row r="2323" spans="13:25">
      <c r="M2323" s="24" t="str">
        <f t="array" ref="M2323">LEFT(L2323,MIN(FIND({"A","B","C"},MID(L2323,2,LEN(L2323))&amp;"ABC")))</f>
        <v/>
      </c>
      <c r="N2323" s="24" t="str">
        <f t="array" ref="N2323">SUBSTITUTE(L2323,M2323,"")</f>
        <v/>
      </c>
      <c r="X2323" s="258" t="str">
        <f t="shared" si="92"/>
        <v/>
      </c>
      <c r="Y2323" s="36" t="str">
        <f t="shared" si="93"/>
        <v/>
      </c>
    </row>
    <row r="2324" spans="13:25">
      <c r="M2324" s="24" t="str">
        <f t="array" ref="M2324">LEFT(L2324,MIN(FIND({"A","B","C"},MID(L2324,2,LEN(L2324))&amp;"ABC")))</f>
        <v/>
      </c>
      <c r="N2324" s="24" t="str">
        <f t="array" ref="N2324">SUBSTITUTE(L2324,M2324,"")</f>
        <v/>
      </c>
      <c r="X2324" s="258" t="str">
        <f t="shared" si="92"/>
        <v/>
      </c>
      <c r="Y2324" s="36" t="str">
        <f t="shared" si="93"/>
        <v/>
      </c>
    </row>
    <row r="2325" spans="13:25">
      <c r="M2325" s="24" t="str">
        <f t="array" ref="M2325">LEFT(L2325,MIN(FIND({"A","B","C"},MID(L2325,2,LEN(L2325))&amp;"ABC")))</f>
        <v/>
      </c>
      <c r="N2325" s="24" t="str">
        <f t="array" ref="N2325">SUBSTITUTE(L2325,M2325,"")</f>
        <v/>
      </c>
      <c r="X2325" s="258" t="str">
        <f t="shared" si="92"/>
        <v/>
      </c>
      <c r="Y2325" s="36" t="str">
        <f t="shared" si="93"/>
        <v/>
      </c>
    </row>
    <row r="2326" spans="13:25">
      <c r="M2326" s="24" t="str">
        <f t="array" ref="M2326">LEFT(L2326,MIN(FIND({"A","B","C"},MID(L2326,2,LEN(L2326))&amp;"ABC")))</f>
        <v/>
      </c>
      <c r="N2326" s="24" t="str">
        <f t="array" ref="N2326">SUBSTITUTE(L2326,M2326,"")</f>
        <v/>
      </c>
      <c r="X2326" s="258" t="str">
        <f t="shared" si="92"/>
        <v/>
      </c>
      <c r="Y2326" s="36" t="str">
        <f t="shared" si="93"/>
        <v/>
      </c>
    </row>
    <row r="2327" spans="13:25">
      <c r="M2327" s="24" t="str">
        <f t="array" ref="M2327">LEFT(L2327,MIN(FIND({"A","B","C"},MID(L2327,2,LEN(L2327))&amp;"ABC")))</f>
        <v/>
      </c>
      <c r="N2327" s="24" t="str">
        <f t="array" ref="N2327">SUBSTITUTE(L2327,M2327,"")</f>
        <v/>
      </c>
      <c r="X2327" s="258" t="str">
        <f t="shared" si="92"/>
        <v/>
      </c>
      <c r="Y2327" s="36" t="str">
        <f t="shared" si="93"/>
        <v/>
      </c>
    </row>
    <row r="2328" spans="13:25">
      <c r="M2328" s="24" t="str">
        <f t="array" ref="M2328">LEFT(L2328,MIN(FIND({"A","B","C"},MID(L2328,2,LEN(L2328))&amp;"ABC")))</f>
        <v/>
      </c>
      <c r="N2328" s="24" t="str">
        <f t="array" ref="N2328">SUBSTITUTE(L2328,M2328,"")</f>
        <v/>
      </c>
      <c r="X2328" s="258" t="str">
        <f t="shared" si="92"/>
        <v/>
      </c>
      <c r="Y2328" s="36" t="str">
        <f t="shared" si="93"/>
        <v/>
      </c>
    </row>
    <row r="2329" spans="13:25">
      <c r="M2329" s="24" t="str">
        <f t="array" ref="M2329">LEFT(L2329,MIN(FIND({"A","B","C"},MID(L2329,2,LEN(L2329))&amp;"ABC")))</f>
        <v/>
      </c>
      <c r="N2329" s="24" t="str">
        <f t="array" ref="N2329">SUBSTITUTE(L2329,M2329,"")</f>
        <v/>
      </c>
      <c r="X2329" s="258" t="str">
        <f t="shared" si="92"/>
        <v/>
      </c>
      <c r="Y2329" s="36" t="str">
        <f t="shared" si="93"/>
        <v/>
      </c>
    </row>
    <row r="2330" spans="13:25">
      <c r="M2330" s="24" t="str">
        <f t="array" ref="M2330">LEFT(L2330,MIN(FIND({"A","B","C"},MID(L2330,2,LEN(L2330))&amp;"ABC")))</f>
        <v/>
      </c>
      <c r="N2330" s="24" t="str">
        <f t="array" ref="N2330">SUBSTITUTE(L2330,M2330,"")</f>
        <v/>
      </c>
      <c r="X2330" s="258" t="str">
        <f t="shared" si="92"/>
        <v/>
      </c>
      <c r="Y2330" s="36" t="str">
        <f t="shared" si="93"/>
        <v/>
      </c>
    </row>
    <row r="2331" spans="13:25">
      <c r="M2331" s="24" t="str">
        <f t="array" ref="M2331">LEFT(L2331,MIN(FIND({"A","B","C"},MID(L2331,2,LEN(L2331))&amp;"ABC")))</f>
        <v/>
      </c>
      <c r="N2331" s="24" t="str">
        <f t="array" ref="N2331">SUBSTITUTE(L2331,M2331,"")</f>
        <v/>
      </c>
      <c r="X2331" s="258" t="str">
        <f t="shared" si="92"/>
        <v/>
      </c>
      <c r="Y2331" s="36" t="str">
        <f t="shared" si="93"/>
        <v/>
      </c>
    </row>
    <row r="2332" spans="13:25">
      <c r="M2332" s="24" t="str">
        <f t="array" ref="M2332">LEFT(L2332,MIN(FIND({"A","B","C"},MID(L2332,2,LEN(L2332))&amp;"ABC")))</f>
        <v/>
      </c>
      <c r="N2332" s="24" t="str">
        <f t="array" ref="N2332">SUBSTITUTE(L2332,M2332,"")</f>
        <v/>
      </c>
      <c r="X2332" s="258" t="str">
        <f t="shared" ref="X2332:X2395" si="94">IF(B2332="","",IF(S2332&lt;&gt;"","",IF(AND(Z2332&lt;&gt;"",AA2332&lt;&gt;""),SUM(Z2332:AA2332),IF(AB2332&lt;&gt;"",(I2332/((1/((G2332+2)/100*K2332/1000))*0.9144)/IF(H2332="黑丝",22,20)-AB2332)*(IF(H2332="黑丝",22,20)),I2332/((1/((G2332+2)/100*K2332/1000))*0.9144)))))</f>
        <v/>
      </c>
      <c r="Y2332" s="36" t="str">
        <f t="shared" si="93"/>
        <v/>
      </c>
    </row>
    <row r="2333" spans="13:25">
      <c r="M2333" s="24" t="str">
        <f t="array" ref="M2333">LEFT(L2333,MIN(FIND({"A","B","C"},MID(L2333,2,LEN(L2333))&amp;"ABC")))</f>
        <v/>
      </c>
      <c r="N2333" s="24" t="str">
        <f t="array" ref="N2333">SUBSTITUTE(L2333,M2333,"")</f>
        <v/>
      </c>
      <c r="X2333" s="258" t="str">
        <f t="shared" si="94"/>
        <v/>
      </c>
      <c r="Y2333" s="36" t="str">
        <f t="shared" si="93"/>
        <v/>
      </c>
    </row>
    <row r="2334" spans="13:25">
      <c r="M2334" s="24" t="str">
        <f t="array" ref="M2334">LEFT(L2334,MIN(FIND({"A","B","C"},MID(L2334,2,LEN(L2334))&amp;"ABC")))</f>
        <v/>
      </c>
      <c r="N2334" s="24" t="str">
        <f t="array" ref="N2334">SUBSTITUTE(L2334,M2334,"")</f>
        <v/>
      </c>
      <c r="X2334" s="258" t="str">
        <f t="shared" si="94"/>
        <v/>
      </c>
      <c r="Y2334" s="36" t="str">
        <f t="shared" si="93"/>
        <v/>
      </c>
    </row>
    <row r="2335" spans="13:25">
      <c r="M2335" s="24" t="str">
        <f t="array" ref="M2335">LEFT(L2335,MIN(FIND({"A","B","C"},MID(L2335,2,LEN(L2335))&amp;"ABC")))</f>
        <v/>
      </c>
      <c r="N2335" s="24" t="str">
        <f t="array" ref="N2335">SUBSTITUTE(L2335,M2335,"")</f>
        <v/>
      </c>
      <c r="X2335" s="258" t="str">
        <f t="shared" si="94"/>
        <v/>
      </c>
      <c r="Y2335" s="36" t="str">
        <f t="shared" si="93"/>
        <v/>
      </c>
    </row>
    <row r="2336" spans="13:25">
      <c r="M2336" s="24" t="str">
        <f t="array" ref="M2336">LEFT(L2336,MIN(FIND({"A","B","C"},MID(L2336,2,LEN(L2336))&amp;"ABC")))</f>
        <v/>
      </c>
      <c r="N2336" s="24" t="str">
        <f t="array" ref="N2336">SUBSTITUTE(L2336,M2336,"")</f>
        <v/>
      </c>
      <c r="X2336" s="258" t="str">
        <f t="shared" si="94"/>
        <v/>
      </c>
      <c r="Y2336" s="36" t="str">
        <f t="shared" si="93"/>
        <v/>
      </c>
    </row>
    <row r="2337" spans="13:25">
      <c r="M2337" s="24" t="str">
        <f t="array" ref="M2337">LEFT(L2337,MIN(FIND({"A","B","C"},MID(L2337,2,LEN(L2337))&amp;"ABC")))</f>
        <v/>
      </c>
      <c r="N2337" s="24" t="str">
        <f t="array" ref="N2337">SUBSTITUTE(L2337,M2337,"")</f>
        <v/>
      </c>
      <c r="X2337" s="258" t="str">
        <f t="shared" si="94"/>
        <v/>
      </c>
      <c r="Y2337" s="36" t="str">
        <f t="shared" si="93"/>
        <v/>
      </c>
    </row>
    <row r="2338" spans="13:25">
      <c r="M2338" s="24" t="str">
        <f t="array" ref="M2338">LEFT(L2338,MIN(FIND({"A","B","C"},MID(L2338,2,LEN(L2338))&amp;"ABC")))</f>
        <v/>
      </c>
      <c r="N2338" s="24" t="str">
        <f t="array" ref="N2338">SUBSTITUTE(L2338,M2338,"")</f>
        <v/>
      </c>
      <c r="X2338" s="258" t="str">
        <f t="shared" si="94"/>
        <v/>
      </c>
      <c r="Y2338" s="36" t="str">
        <f t="shared" si="93"/>
        <v/>
      </c>
    </row>
    <row r="2339" spans="13:25">
      <c r="M2339" s="24" t="str">
        <f t="array" ref="M2339">LEFT(L2339,MIN(FIND({"A","B","C"},MID(L2339,2,LEN(L2339))&amp;"ABC")))</f>
        <v/>
      </c>
      <c r="N2339" s="24" t="str">
        <f t="array" ref="N2339">SUBSTITUTE(L2339,M2339,"")</f>
        <v/>
      </c>
      <c r="X2339" s="258" t="str">
        <f t="shared" si="94"/>
        <v/>
      </c>
      <c r="Y2339" s="36" t="str">
        <f t="shared" si="93"/>
        <v/>
      </c>
    </row>
    <row r="2340" spans="13:25">
      <c r="M2340" s="24" t="str">
        <f t="array" ref="M2340">LEFT(L2340,MIN(FIND({"A","B","C"},MID(L2340,2,LEN(L2340))&amp;"ABC")))</f>
        <v/>
      </c>
      <c r="N2340" s="24" t="str">
        <f t="array" ref="N2340">SUBSTITUTE(L2340,M2340,"")</f>
        <v/>
      </c>
      <c r="X2340" s="258" t="str">
        <f t="shared" si="94"/>
        <v/>
      </c>
      <c r="Y2340" s="36" t="str">
        <f t="shared" si="93"/>
        <v/>
      </c>
    </row>
    <row r="2341" spans="13:25">
      <c r="M2341" s="24" t="str">
        <f t="array" ref="M2341">LEFT(L2341,MIN(FIND({"A","B","C"},MID(L2341,2,LEN(L2341))&amp;"ABC")))</f>
        <v/>
      </c>
      <c r="N2341" s="24" t="str">
        <f t="array" ref="N2341">SUBSTITUTE(L2341,M2341,"")</f>
        <v/>
      </c>
      <c r="X2341" s="258" t="str">
        <f t="shared" si="94"/>
        <v/>
      </c>
      <c r="Y2341" s="36" t="str">
        <f t="shared" si="93"/>
        <v/>
      </c>
    </row>
    <row r="2342" spans="13:25">
      <c r="M2342" s="24" t="str">
        <f t="array" ref="M2342">LEFT(L2342,MIN(FIND({"A","B","C"},MID(L2342,2,LEN(L2342))&amp;"ABC")))</f>
        <v/>
      </c>
      <c r="N2342" s="24" t="str">
        <f t="array" ref="N2342">SUBSTITUTE(L2342,M2342,"")</f>
        <v/>
      </c>
      <c r="X2342" s="258" t="str">
        <f t="shared" si="94"/>
        <v/>
      </c>
      <c r="Y2342" s="36" t="str">
        <f t="shared" si="93"/>
        <v/>
      </c>
    </row>
    <row r="2343" spans="13:25">
      <c r="M2343" s="24" t="str">
        <f t="array" ref="M2343">LEFT(L2343,MIN(FIND({"A","B","C"},MID(L2343,2,LEN(L2343))&amp;"ABC")))</f>
        <v/>
      </c>
      <c r="N2343" s="24" t="str">
        <f t="array" ref="N2343">SUBSTITUTE(L2343,M2343,"")</f>
        <v/>
      </c>
      <c r="X2343" s="258" t="str">
        <f t="shared" si="94"/>
        <v/>
      </c>
      <c r="Y2343" s="36" t="str">
        <f t="shared" si="93"/>
        <v/>
      </c>
    </row>
    <row r="2344" spans="13:25">
      <c r="M2344" s="24" t="str">
        <f t="array" ref="M2344">LEFT(L2344,MIN(FIND({"A","B","C"},MID(L2344,2,LEN(L2344))&amp;"ABC")))</f>
        <v/>
      </c>
      <c r="N2344" s="24" t="str">
        <f t="array" ref="N2344">SUBSTITUTE(L2344,M2344,"")</f>
        <v/>
      </c>
      <c r="X2344" s="258" t="str">
        <f t="shared" si="94"/>
        <v/>
      </c>
      <c r="Y2344" s="36" t="str">
        <f t="shared" si="93"/>
        <v/>
      </c>
    </row>
    <row r="2345" spans="13:25">
      <c r="M2345" s="24" t="str">
        <f t="array" ref="M2345">LEFT(L2345,MIN(FIND({"A","B","C"},MID(L2345,2,LEN(L2345))&amp;"ABC")))</f>
        <v/>
      </c>
      <c r="N2345" s="24" t="str">
        <f t="array" ref="N2345">SUBSTITUTE(L2345,M2345,"")</f>
        <v/>
      </c>
      <c r="X2345" s="258" t="str">
        <f t="shared" si="94"/>
        <v/>
      </c>
      <c r="Y2345" s="36" t="str">
        <f t="shared" ref="Y2345:Y2408" si="95">IF(OR(B2345="",D2345&lt;&gt;""),"",IF(S2345&lt;&gt;"","",I2345/((1/((G2345+2)/100*K2345/1000))*0.9144)/IF(H2345="黑丝",22,20)-AB2345))</f>
        <v/>
      </c>
    </row>
    <row r="2346" spans="13:25">
      <c r="M2346" s="24" t="str">
        <f t="array" ref="M2346">LEFT(L2346,MIN(FIND({"A","B","C"},MID(L2346,2,LEN(L2346))&amp;"ABC")))</f>
        <v/>
      </c>
      <c r="N2346" s="24" t="str">
        <f t="array" ref="N2346">SUBSTITUTE(L2346,M2346,"")</f>
        <v/>
      </c>
      <c r="X2346" s="258" t="str">
        <f t="shared" si="94"/>
        <v/>
      </c>
      <c r="Y2346" s="36" t="str">
        <f t="shared" si="95"/>
        <v/>
      </c>
    </row>
    <row r="2347" spans="13:25">
      <c r="M2347" s="24" t="str">
        <f t="array" ref="M2347">LEFT(L2347,MIN(FIND({"A","B","C"},MID(L2347,2,LEN(L2347))&amp;"ABC")))</f>
        <v/>
      </c>
      <c r="N2347" s="24" t="str">
        <f t="array" ref="N2347">SUBSTITUTE(L2347,M2347,"")</f>
        <v/>
      </c>
      <c r="X2347" s="258" t="str">
        <f t="shared" si="94"/>
        <v/>
      </c>
      <c r="Y2347" s="36" t="str">
        <f t="shared" si="95"/>
        <v/>
      </c>
    </row>
    <row r="2348" spans="13:25">
      <c r="M2348" s="24" t="str">
        <f t="array" ref="M2348">LEFT(L2348,MIN(FIND({"A","B","C"},MID(L2348,2,LEN(L2348))&amp;"ABC")))</f>
        <v/>
      </c>
      <c r="N2348" s="24" t="str">
        <f t="array" ref="N2348">SUBSTITUTE(L2348,M2348,"")</f>
        <v/>
      </c>
      <c r="X2348" s="258" t="str">
        <f t="shared" si="94"/>
        <v/>
      </c>
      <c r="Y2348" s="36" t="str">
        <f t="shared" si="95"/>
        <v/>
      </c>
    </row>
    <row r="2349" spans="13:25">
      <c r="M2349" s="24" t="str">
        <f t="array" ref="M2349">LEFT(L2349,MIN(FIND({"A","B","C"},MID(L2349,2,LEN(L2349))&amp;"ABC")))</f>
        <v/>
      </c>
      <c r="N2349" s="24" t="str">
        <f t="array" ref="N2349">SUBSTITUTE(L2349,M2349,"")</f>
        <v/>
      </c>
      <c r="X2349" s="258" t="str">
        <f t="shared" si="94"/>
        <v/>
      </c>
      <c r="Y2349" s="36" t="str">
        <f t="shared" si="95"/>
        <v/>
      </c>
    </row>
    <row r="2350" spans="13:25">
      <c r="M2350" s="24" t="str">
        <f t="array" ref="M2350">LEFT(L2350,MIN(FIND({"A","B","C"},MID(L2350,2,LEN(L2350))&amp;"ABC")))</f>
        <v/>
      </c>
      <c r="N2350" s="24" t="str">
        <f t="array" ref="N2350">SUBSTITUTE(L2350,M2350,"")</f>
        <v/>
      </c>
      <c r="X2350" s="258" t="str">
        <f t="shared" si="94"/>
        <v/>
      </c>
      <c r="Y2350" s="36" t="str">
        <f t="shared" si="95"/>
        <v/>
      </c>
    </row>
    <row r="2351" spans="13:25">
      <c r="M2351" s="24" t="str">
        <f t="array" ref="M2351">LEFT(L2351,MIN(FIND({"A","B","C"},MID(L2351,2,LEN(L2351))&amp;"ABC")))</f>
        <v/>
      </c>
      <c r="N2351" s="24" t="str">
        <f t="array" ref="N2351">SUBSTITUTE(L2351,M2351,"")</f>
        <v/>
      </c>
      <c r="X2351" s="258" t="str">
        <f t="shared" si="94"/>
        <v/>
      </c>
      <c r="Y2351" s="36" t="str">
        <f t="shared" si="95"/>
        <v/>
      </c>
    </row>
    <row r="2352" spans="13:25">
      <c r="M2352" s="24" t="str">
        <f t="array" ref="M2352">LEFT(L2352,MIN(FIND({"A","B","C"},MID(L2352,2,LEN(L2352))&amp;"ABC")))</f>
        <v/>
      </c>
      <c r="N2352" s="24" t="str">
        <f t="array" ref="N2352">SUBSTITUTE(L2352,M2352,"")</f>
        <v/>
      </c>
      <c r="X2352" s="258" t="str">
        <f t="shared" si="94"/>
        <v/>
      </c>
      <c r="Y2352" s="36" t="str">
        <f t="shared" si="95"/>
        <v/>
      </c>
    </row>
    <row r="2353" spans="13:25">
      <c r="M2353" s="24" t="str">
        <f t="array" ref="M2353">LEFT(L2353,MIN(FIND({"A","B","C"},MID(L2353,2,LEN(L2353))&amp;"ABC")))</f>
        <v/>
      </c>
      <c r="N2353" s="24" t="str">
        <f t="array" ref="N2353">SUBSTITUTE(L2353,M2353,"")</f>
        <v/>
      </c>
      <c r="X2353" s="258" t="str">
        <f t="shared" si="94"/>
        <v/>
      </c>
      <c r="Y2353" s="36" t="str">
        <f t="shared" si="95"/>
        <v/>
      </c>
    </row>
    <row r="2354" spans="13:25">
      <c r="M2354" s="24" t="str">
        <f t="array" ref="M2354">LEFT(L2354,MIN(FIND({"A","B","C"},MID(L2354,2,LEN(L2354))&amp;"ABC")))</f>
        <v/>
      </c>
      <c r="N2354" s="24" t="str">
        <f t="array" ref="N2354">SUBSTITUTE(L2354,M2354,"")</f>
        <v/>
      </c>
      <c r="X2354" s="258" t="str">
        <f t="shared" si="94"/>
        <v/>
      </c>
      <c r="Y2354" s="36" t="str">
        <f t="shared" si="95"/>
        <v/>
      </c>
    </row>
    <row r="2355" spans="13:25">
      <c r="M2355" s="24" t="str">
        <f t="array" ref="M2355">LEFT(L2355,MIN(FIND({"A","B","C"},MID(L2355,2,LEN(L2355))&amp;"ABC")))</f>
        <v/>
      </c>
      <c r="N2355" s="24" t="str">
        <f t="array" ref="N2355">SUBSTITUTE(L2355,M2355,"")</f>
        <v/>
      </c>
      <c r="X2355" s="258" t="str">
        <f t="shared" si="94"/>
        <v/>
      </c>
      <c r="Y2355" s="36" t="str">
        <f t="shared" si="95"/>
        <v/>
      </c>
    </row>
    <row r="2356" spans="13:25">
      <c r="M2356" s="24" t="str">
        <f t="array" ref="M2356">LEFT(L2356,MIN(FIND({"A","B","C"},MID(L2356,2,LEN(L2356))&amp;"ABC")))</f>
        <v/>
      </c>
      <c r="N2356" s="24" t="str">
        <f t="array" ref="N2356">SUBSTITUTE(L2356,M2356,"")</f>
        <v/>
      </c>
      <c r="X2356" s="258" t="str">
        <f t="shared" si="94"/>
        <v/>
      </c>
      <c r="Y2356" s="36" t="str">
        <f t="shared" si="95"/>
        <v/>
      </c>
    </row>
    <row r="2357" spans="13:25">
      <c r="M2357" s="24" t="str">
        <f t="array" ref="M2357">LEFT(L2357,MIN(FIND({"A","B","C"},MID(L2357,2,LEN(L2357))&amp;"ABC")))</f>
        <v/>
      </c>
      <c r="N2357" s="24" t="str">
        <f t="array" ref="N2357">SUBSTITUTE(L2357,M2357,"")</f>
        <v/>
      </c>
      <c r="X2357" s="258" t="str">
        <f t="shared" si="94"/>
        <v/>
      </c>
      <c r="Y2357" s="36" t="str">
        <f t="shared" si="95"/>
        <v/>
      </c>
    </row>
    <row r="2358" spans="13:25">
      <c r="M2358" s="24" t="str">
        <f t="array" ref="M2358">LEFT(L2358,MIN(FIND({"A","B","C"},MID(L2358,2,LEN(L2358))&amp;"ABC")))</f>
        <v/>
      </c>
      <c r="N2358" s="24" t="str">
        <f t="array" ref="N2358">SUBSTITUTE(L2358,M2358,"")</f>
        <v/>
      </c>
      <c r="X2358" s="258" t="str">
        <f t="shared" si="94"/>
        <v/>
      </c>
      <c r="Y2358" s="36" t="str">
        <f t="shared" si="95"/>
        <v/>
      </c>
    </row>
    <row r="2359" spans="13:25">
      <c r="M2359" s="24" t="str">
        <f t="array" ref="M2359">LEFT(L2359,MIN(FIND({"A","B","C"},MID(L2359,2,LEN(L2359))&amp;"ABC")))</f>
        <v/>
      </c>
      <c r="N2359" s="24" t="str">
        <f t="array" ref="N2359">SUBSTITUTE(L2359,M2359,"")</f>
        <v/>
      </c>
      <c r="X2359" s="258" t="str">
        <f t="shared" si="94"/>
        <v/>
      </c>
      <c r="Y2359" s="36" t="str">
        <f t="shared" si="95"/>
        <v/>
      </c>
    </row>
    <row r="2360" spans="13:25">
      <c r="M2360" s="24" t="str">
        <f t="array" ref="M2360">LEFT(L2360,MIN(FIND({"A","B","C"},MID(L2360,2,LEN(L2360))&amp;"ABC")))</f>
        <v/>
      </c>
      <c r="N2360" s="24" t="str">
        <f t="array" ref="N2360">SUBSTITUTE(L2360,M2360,"")</f>
        <v/>
      </c>
      <c r="X2360" s="258" t="str">
        <f t="shared" si="94"/>
        <v/>
      </c>
      <c r="Y2360" s="36" t="str">
        <f t="shared" si="95"/>
        <v/>
      </c>
    </row>
    <row r="2361" spans="13:25">
      <c r="M2361" s="24" t="str">
        <f t="array" ref="M2361">LEFT(L2361,MIN(FIND({"A","B","C"},MID(L2361,2,LEN(L2361))&amp;"ABC")))</f>
        <v/>
      </c>
      <c r="N2361" s="24" t="str">
        <f t="array" ref="N2361">SUBSTITUTE(L2361,M2361,"")</f>
        <v/>
      </c>
      <c r="X2361" s="258" t="str">
        <f t="shared" si="94"/>
        <v/>
      </c>
      <c r="Y2361" s="36" t="str">
        <f t="shared" si="95"/>
        <v/>
      </c>
    </row>
    <row r="2362" spans="13:25">
      <c r="M2362" s="24" t="str">
        <f t="array" ref="M2362">LEFT(L2362,MIN(FIND({"A","B","C"},MID(L2362,2,LEN(L2362))&amp;"ABC")))</f>
        <v/>
      </c>
      <c r="N2362" s="24" t="str">
        <f t="array" ref="N2362">SUBSTITUTE(L2362,M2362,"")</f>
        <v/>
      </c>
      <c r="X2362" s="258" t="str">
        <f t="shared" si="94"/>
        <v/>
      </c>
      <c r="Y2362" s="36" t="str">
        <f t="shared" si="95"/>
        <v/>
      </c>
    </row>
    <row r="2363" spans="13:25">
      <c r="M2363" s="24" t="str">
        <f t="array" ref="M2363">LEFT(L2363,MIN(FIND({"A","B","C"},MID(L2363,2,LEN(L2363))&amp;"ABC")))</f>
        <v/>
      </c>
      <c r="N2363" s="24" t="str">
        <f t="array" ref="N2363">SUBSTITUTE(L2363,M2363,"")</f>
        <v/>
      </c>
      <c r="X2363" s="258" t="str">
        <f t="shared" si="94"/>
        <v/>
      </c>
      <c r="Y2363" s="36" t="str">
        <f t="shared" si="95"/>
        <v/>
      </c>
    </row>
    <row r="2364" spans="13:25">
      <c r="M2364" s="24" t="str">
        <f t="array" ref="M2364">LEFT(L2364,MIN(FIND({"A","B","C"},MID(L2364,2,LEN(L2364))&amp;"ABC")))</f>
        <v/>
      </c>
      <c r="N2364" s="24" t="str">
        <f t="array" ref="N2364">SUBSTITUTE(L2364,M2364,"")</f>
        <v/>
      </c>
      <c r="X2364" s="258" t="str">
        <f t="shared" si="94"/>
        <v/>
      </c>
      <c r="Y2364" s="36" t="str">
        <f t="shared" si="95"/>
        <v/>
      </c>
    </row>
    <row r="2365" spans="13:25">
      <c r="M2365" s="24" t="str">
        <f t="array" ref="M2365">LEFT(L2365,MIN(FIND({"A","B","C"},MID(L2365,2,LEN(L2365))&amp;"ABC")))</f>
        <v/>
      </c>
      <c r="N2365" s="24" t="str">
        <f t="array" ref="N2365">SUBSTITUTE(L2365,M2365,"")</f>
        <v/>
      </c>
      <c r="X2365" s="258" t="str">
        <f t="shared" si="94"/>
        <v/>
      </c>
      <c r="Y2365" s="36" t="str">
        <f t="shared" si="95"/>
        <v/>
      </c>
    </row>
    <row r="2366" spans="13:25">
      <c r="M2366" s="24" t="str">
        <f t="array" ref="M2366">LEFT(L2366,MIN(FIND({"A","B","C"},MID(L2366,2,LEN(L2366))&amp;"ABC")))</f>
        <v/>
      </c>
      <c r="N2366" s="24" t="str">
        <f t="array" ref="N2366">SUBSTITUTE(L2366,M2366,"")</f>
        <v/>
      </c>
      <c r="X2366" s="258" t="str">
        <f t="shared" si="94"/>
        <v/>
      </c>
      <c r="Y2366" s="36" t="str">
        <f t="shared" si="95"/>
        <v/>
      </c>
    </row>
    <row r="2367" spans="13:25">
      <c r="M2367" s="24" t="str">
        <f t="array" ref="M2367">LEFT(L2367,MIN(FIND({"A","B","C"},MID(L2367,2,LEN(L2367))&amp;"ABC")))</f>
        <v/>
      </c>
      <c r="N2367" s="24" t="str">
        <f t="array" ref="N2367">SUBSTITUTE(L2367,M2367,"")</f>
        <v/>
      </c>
      <c r="X2367" s="258" t="str">
        <f t="shared" si="94"/>
        <v/>
      </c>
      <c r="Y2367" s="36" t="str">
        <f t="shared" si="95"/>
        <v/>
      </c>
    </row>
    <row r="2368" spans="13:25">
      <c r="M2368" s="24" t="str">
        <f t="array" ref="M2368">LEFT(L2368,MIN(FIND({"A","B","C"},MID(L2368,2,LEN(L2368))&amp;"ABC")))</f>
        <v/>
      </c>
      <c r="N2368" s="24" t="str">
        <f t="array" ref="N2368">SUBSTITUTE(L2368,M2368,"")</f>
        <v/>
      </c>
      <c r="X2368" s="258" t="str">
        <f t="shared" si="94"/>
        <v/>
      </c>
      <c r="Y2368" s="36" t="str">
        <f t="shared" si="95"/>
        <v/>
      </c>
    </row>
    <row r="2369" spans="13:25">
      <c r="M2369" s="24" t="str">
        <f t="array" ref="M2369">LEFT(L2369,MIN(FIND({"A","B","C"},MID(L2369,2,LEN(L2369))&amp;"ABC")))</f>
        <v/>
      </c>
      <c r="N2369" s="24" t="str">
        <f t="array" ref="N2369">SUBSTITUTE(L2369,M2369,"")</f>
        <v/>
      </c>
      <c r="X2369" s="258" t="str">
        <f t="shared" si="94"/>
        <v/>
      </c>
      <c r="Y2369" s="36" t="str">
        <f t="shared" si="95"/>
        <v/>
      </c>
    </row>
    <row r="2370" spans="13:25">
      <c r="M2370" s="24" t="str">
        <f t="array" ref="M2370">LEFT(L2370,MIN(FIND({"A","B","C"},MID(L2370,2,LEN(L2370))&amp;"ABC")))</f>
        <v/>
      </c>
      <c r="N2370" s="24" t="str">
        <f t="array" ref="N2370">SUBSTITUTE(L2370,M2370,"")</f>
        <v/>
      </c>
      <c r="X2370" s="258" t="str">
        <f t="shared" si="94"/>
        <v/>
      </c>
      <c r="Y2370" s="36" t="str">
        <f t="shared" si="95"/>
        <v/>
      </c>
    </row>
    <row r="2371" spans="13:25">
      <c r="M2371" s="24" t="str">
        <f t="array" ref="M2371">LEFT(L2371,MIN(FIND({"A","B","C"},MID(L2371,2,LEN(L2371))&amp;"ABC")))</f>
        <v/>
      </c>
      <c r="N2371" s="24" t="str">
        <f t="array" ref="N2371">SUBSTITUTE(L2371,M2371,"")</f>
        <v/>
      </c>
      <c r="X2371" s="258" t="str">
        <f t="shared" si="94"/>
        <v/>
      </c>
      <c r="Y2371" s="36" t="str">
        <f t="shared" si="95"/>
        <v/>
      </c>
    </row>
    <row r="2372" spans="13:25">
      <c r="M2372" s="24" t="str">
        <f t="array" ref="M2372">LEFT(L2372,MIN(FIND({"A","B","C"},MID(L2372,2,LEN(L2372))&amp;"ABC")))</f>
        <v/>
      </c>
      <c r="N2372" s="24" t="str">
        <f t="array" ref="N2372">SUBSTITUTE(L2372,M2372,"")</f>
        <v/>
      </c>
      <c r="X2372" s="258" t="str">
        <f t="shared" si="94"/>
        <v/>
      </c>
      <c r="Y2372" s="36" t="str">
        <f t="shared" si="95"/>
        <v/>
      </c>
    </row>
    <row r="2373" spans="13:25">
      <c r="M2373" s="24" t="str">
        <f t="array" ref="M2373">LEFT(L2373,MIN(FIND({"A","B","C"},MID(L2373,2,LEN(L2373))&amp;"ABC")))</f>
        <v/>
      </c>
      <c r="N2373" s="24" t="str">
        <f t="array" ref="N2373">SUBSTITUTE(L2373,M2373,"")</f>
        <v/>
      </c>
      <c r="X2373" s="258" t="str">
        <f t="shared" si="94"/>
        <v/>
      </c>
      <c r="Y2373" s="36" t="str">
        <f t="shared" si="95"/>
        <v/>
      </c>
    </row>
    <row r="2374" spans="13:25">
      <c r="M2374" s="24" t="str">
        <f t="array" ref="M2374">LEFT(L2374,MIN(FIND({"A","B","C"},MID(L2374,2,LEN(L2374))&amp;"ABC")))</f>
        <v/>
      </c>
      <c r="N2374" s="24" t="str">
        <f t="array" ref="N2374">SUBSTITUTE(L2374,M2374,"")</f>
        <v/>
      </c>
      <c r="X2374" s="258" t="str">
        <f t="shared" si="94"/>
        <v/>
      </c>
      <c r="Y2374" s="36" t="str">
        <f t="shared" si="95"/>
        <v/>
      </c>
    </row>
    <row r="2375" spans="13:25">
      <c r="M2375" s="24" t="str">
        <f t="array" ref="M2375">LEFT(L2375,MIN(FIND({"A","B","C"},MID(L2375,2,LEN(L2375))&amp;"ABC")))</f>
        <v/>
      </c>
      <c r="N2375" s="24" t="str">
        <f t="array" ref="N2375">SUBSTITUTE(L2375,M2375,"")</f>
        <v/>
      </c>
      <c r="X2375" s="258" t="str">
        <f t="shared" si="94"/>
        <v/>
      </c>
      <c r="Y2375" s="36" t="str">
        <f t="shared" si="95"/>
        <v/>
      </c>
    </row>
    <row r="2376" spans="13:25">
      <c r="M2376" s="24" t="str">
        <f t="array" ref="M2376">LEFT(L2376,MIN(FIND({"A","B","C"},MID(L2376,2,LEN(L2376))&amp;"ABC")))</f>
        <v/>
      </c>
      <c r="N2376" s="24" t="str">
        <f t="array" ref="N2376">SUBSTITUTE(L2376,M2376,"")</f>
        <v/>
      </c>
      <c r="X2376" s="258" t="str">
        <f t="shared" si="94"/>
        <v/>
      </c>
      <c r="Y2376" s="36" t="str">
        <f t="shared" si="95"/>
        <v/>
      </c>
    </row>
    <row r="2377" spans="13:25">
      <c r="M2377" s="24" t="str">
        <f t="array" ref="M2377">LEFT(L2377,MIN(FIND({"A","B","C"},MID(L2377,2,LEN(L2377))&amp;"ABC")))</f>
        <v/>
      </c>
      <c r="N2377" s="24" t="str">
        <f t="array" ref="N2377">SUBSTITUTE(L2377,M2377,"")</f>
        <v/>
      </c>
      <c r="X2377" s="258" t="str">
        <f t="shared" si="94"/>
        <v/>
      </c>
      <c r="Y2377" s="36" t="str">
        <f t="shared" si="95"/>
        <v/>
      </c>
    </row>
    <row r="2378" spans="13:25">
      <c r="M2378" s="24" t="str">
        <f t="array" ref="M2378">LEFT(L2378,MIN(FIND({"A","B","C"},MID(L2378,2,LEN(L2378))&amp;"ABC")))</f>
        <v/>
      </c>
      <c r="N2378" s="24" t="str">
        <f t="array" ref="N2378">SUBSTITUTE(L2378,M2378,"")</f>
        <v/>
      </c>
      <c r="X2378" s="258" t="str">
        <f t="shared" si="94"/>
        <v/>
      </c>
      <c r="Y2378" s="36" t="str">
        <f t="shared" si="95"/>
        <v/>
      </c>
    </row>
    <row r="2379" spans="13:25">
      <c r="M2379" s="24" t="str">
        <f t="array" ref="M2379">LEFT(L2379,MIN(FIND({"A","B","C"},MID(L2379,2,LEN(L2379))&amp;"ABC")))</f>
        <v/>
      </c>
      <c r="N2379" s="24" t="str">
        <f t="array" ref="N2379">SUBSTITUTE(L2379,M2379,"")</f>
        <v/>
      </c>
      <c r="X2379" s="258" t="str">
        <f t="shared" si="94"/>
        <v/>
      </c>
      <c r="Y2379" s="36" t="str">
        <f t="shared" si="95"/>
        <v/>
      </c>
    </row>
    <row r="2380" spans="13:25">
      <c r="M2380" s="24" t="str">
        <f t="array" ref="M2380">LEFT(L2380,MIN(FIND({"A","B","C"},MID(L2380,2,LEN(L2380))&amp;"ABC")))</f>
        <v/>
      </c>
      <c r="N2380" s="24" t="str">
        <f t="array" ref="N2380">SUBSTITUTE(L2380,M2380,"")</f>
        <v/>
      </c>
      <c r="X2380" s="258" t="str">
        <f t="shared" si="94"/>
        <v/>
      </c>
      <c r="Y2380" s="36" t="str">
        <f t="shared" si="95"/>
        <v/>
      </c>
    </row>
    <row r="2381" spans="13:25">
      <c r="M2381" s="24" t="str">
        <f t="array" ref="M2381">LEFT(L2381,MIN(FIND({"A","B","C"},MID(L2381,2,LEN(L2381))&amp;"ABC")))</f>
        <v/>
      </c>
      <c r="N2381" s="24" t="str">
        <f t="array" ref="N2381">SUBSTITUTE(L2381,M2381,"")</f>
        <v/>
      </c>
      <c r="X2381" s="258" t="str">
        <f t="shared" si="94"/>
        <v/>
      </c>
      <c r="Y2381" s="36" t="str">
        <f t="shared" si="95"/>
        <v/>
      </c>
    </row>
    <row r="2382" spans="13:25">
      <c r="M2382" s="24" t="str">
        <f t="array" ref="M2382">LEFT(L2382,MIN(FIND({"A","B","C"},MID(L2382,2,LEN(L2382))&amp;"ABC")))</f>
        <v/>
      </c>
      <c r="N2382" s="24" t="str">
        <f t="array" ref="N2382">SUBSTITUTE(L2382,M2382,"")</f>
        <v/>
      </c>
      <c r="X2382" s="258" t="str">
        <f t="shared" si="94"/>
        <v/>
      </c>
      <c r="Y2382" s="36" t="str">
        <f t="shared" si="95"/>
        <v/>
      </c>
    </row>
    <row r="2383" spans="13:25">
      <c r="M2383" s="24" t="str">
        <f t="array" ref="M2383">LEFT(L2383,MIN(FIND({"A","B","C"},MID(L2383,2,LEN(L2383))&amp;"ABC")))</f>
        <v/>
      </c>
      <c r="N2383" s="24" t="str">
        <f t="array" ref="N2383">SUBSTITUTE(L2383,M2383,"")</f>
        <v/>
      </c>
      <c r="X2383" s="258" t="str">
        <f t="shared" si="94"/>
        <v/>
      </c>
      <c r="Y2383" s="36" t="str">
        <f t="shared" si="95"/>
        <v/>
      </c>
    </row>
    <row r="2384" spans="13:25">
      <c r="M2384" s="24" t="str">
        <f t="array" ref="M2384">LEFT(L2384,MIN(FIND({"A","B","C"},MID(L2384,2,LEN(L2384))&amp;"ABC")))</f>
        <v/>
      </c>
      <c r="N2384" s="24" t="str">
        <f t="array" ref="N2384">SUBSTITUTE(L2384,M2384,"")</f>
        <v/>
      </c>
      <c r="X2384" s="258" t="str">
        <f t="shared" si="94"/>
        <v/>
      </c>
      <c r="Y2384" s="36" t="str">
        <f t="shared" si="95"/>
        <v/>
      </c>
    </row>
    <row r="2385" spans="13:25">
      <c r="M2385" s="24" t="str">
        <f t="array" ref="M2385">LEFT(L2385,MIN(FIND({"A","B","C"},MID(L2385,2,LEN(L2385))&amp;"ABC")))</f>
        <v/>
      </c>
      <c r="N2385" s="24" t="str">
        <f t="array" ref="N2385">SUBSTITUTE(L2385,M2385,"")</f>
        <v/>
      </c>
      <c r="X2385" s="258" t="str">
        <f t="shared" si="94"/>
        <v/>
      </c>
      <c r="Y2385" s="36" t="str">
        <f t="shared" si="95"/>
        <v/>
      </c>
    </row>
    <row r="2386" spans="13:25">
      <c r="M2386" s="24" t="str">
        <f t="array" ref="M2386">LEFT(L2386,MIN(FIND({"A","B","C"},MID(L2386,2,LEN(L2386))&amp;"ABC")))</f>
        <v/>
      </c>
      <c r="N2386" s="24" t="str">
        <f t="array" ref="N2386">SUBSTITUTE(L2386,M2386,"")</f>
        <v/>
      </c>
      <c r="X2386" s="258" t="str">
        <f t="shared" si="94"/>
        <v/>
      </c>
      <c r="Y2386" s="36" t="str">
        <f t="shared" si="95"/>
        <v/>
      </c>
    </row>
    <row r="2387" spans="13:25">
      <c r="M2387" s="24" t="str">
        <f t="array" ref="M2387">LEFT(L2387,MIN(FIND({"A","B","C"},MID(L2387,2,LEN(L2387))&amp;"ABC")))</f>
        <v/>
      </c>
      <c r="N2387" s="24" t="str">
        <f t="array" ref="N2387">SUBSTITUTE(L2387,M2387,"")</f>
        <v/>
      </c>
      <c r="X2387" s="258" t="str">
        <f t="shared" si="94"/>
        <v/>
      </c>
      <c r="Y2387" s="36" t="str">
        <f t="shared" si="95"/>
        <v/>
      </c>
    </row>
    <row r="2388" spans="13:25">
      <c r="M2388" s="24" t="str">
        <f t="array" ref="M2388">LEFT(L2388,MIN(FIND({"A","B","C"},MID(L2388,2,LEN(L2388))&amp;"ABC")))</f>
        <v/>
      </c>
      <c r="N2388" s="24" t="str">
        <f t="array" ref="N2388">SUBSTITUTE(L2388,M2388,"")</f>
        <v/>
      </c>
      <c r="X2388" s="258" t="str">
        <f t="shared" si="94"/>
        <v/>
      </c>
      <c r="Y2388" s="36" t="str">
        <f t="shared" si="95"/>
        <v/>
      </c>
    </row>
    <row r="2389" spans="13:25">
      <c r="M2389" s="24" t="str">
        <f t="array" ref="M2389">LEFT(L2389,MIN(FIND({"A","B","C"},MID(L2389,2,LEN(L2389))&amp;"ABC")))</f>
        <v/>
      </c>
      <c r="N2389" s="24" t="str">
        <f t="array" ref="N2389">SUBSTITUTE(L2389,M2389,"")</f>
        <v/>
      </c>
      <c r="X2389" s="258" t="str">
        <f t="shared" si="94"/>
        <v/>
      </c>
      <c r="Y2389" s="36" t="str">
        <f t="shared" si="95"/>
        <v/>
      </c>
    </row>
    <row r="2390" spans="13:25">
      <c r="M2390" s="24" t="str">
        <f t="array" ref="M2390">LEFT(L2390,MIN(FIND({"A","B","C"},MID(L2390,2,LEN(L2390))&amp;"ABC")))</f>
        <v/>
      </c>
      <c r="N2390" s="24" t="str">
        <f t="array" ref="N2390">SUBSTITUTE(L2390,M2390,"")</f>
        <v/>
      </c>
      <c r="X2390" s="258" t="str">
        <f t="shared" si="94"/>
        <v/>
      </c>
      <c r="Y2390" s="36" t="str">
        <f t="shared" si="95"/>
        <v/>
      </c>
    </row>
    <row r="2391" spans="13:25">
      <c r="M2391" s="24" t="str">
        <f t="array" ref="M2391">LEFT(L2391,MIN(FIND({"A","B","C"},MID(L2391,2,LEN(L2391))&amp;"ABC")))</f>
        <v/>
      </c>
      <c r="N2391" s="24" t="str">
        <f t="array" ref="N2391">SUBSTITUTE(L2391,M2391,"")</f>
        <v/>
      </c>
      <c r="X2391" s="258" t="str">
        <f t="shared" si="94"/>
        <v/>
      </c>
      <c r="Y2391" s="36" t="str">
        <f t="shared" si="95"/>
        <v/>
      </c>
    </row>
    <row r="2392" spans="13:25">
      <c r="M2392" s="24" t="str">
        <f t="array" ref="M2392">LEFT(L2392,MIN(FIND({"A","B","C"},MID(L2392,2,LEN(L2392))&amp;"ABC")))</f>
        <v/>
      </c>
      <c r="N2392" s="24" t="str">
        <f t="array" ref="N2392">SUBSTITUTE(L2392,M2392,"")</f>
        <v/>
      </c>
      <c r="X2392" s="258" t="str">
        <f t="shared" si="94"/>
        <v/>
      </c>
      <c r="Y2392" s="36" t="str">
        <f t="shared" si="95"/>
        <v/>
      </c>
    </row>
    <row r="2393" spans="13:25">
      <c r="M2393" s="24" t="str">
        <f t="array" ref="M2393">LEFT(L2393,MIN(FIND({"A","B","C"},MID(L2393,2,LEN(L2393))&amp;"ABC")))</f>
        <v/>
      </c>
      <c r="N2393" s="24" t="str">
        <f t="array" ref="N2393">SUBSTITUTE(L2393,M2393,"")</f>
        <v/>
      </c>
      <c r="X2393" s="258" t="str">
        <f t="shared" si="94"/>
        <v/>
      </c>
      <c r="Y2393" s="36" t="str">
        <f t="shared" si="95"/>
        <v/>
      </c>
    </row>
    <row r="2394" spans="13:25">
      <c r="M2394" s="24" t="str">
        <f t="array" ref="M2394">LEFT(L2394,MIN(FIND({"A","B","C"},MID(L2394,2,LEN(L2394))&amp;"ABC")))</f>
        <v/>
      </c>
      <c r="N2394" s="24" t="str">
        <f t="array" ref="N2394">SUBSTITUTE(L2394,M2394,"")</f>
        <v/>
      </c>
      <c r="X2394" s="258" t="str">
        <f t="shared" si="94"/>
        <v/>
      </c>
      <c r="Y2394" s="36" t="str">
        <f t="shared" si="95"/>
        <v/>
      </c>
    </row>
    <row r="2395" spans="13:25">
      <c r="M2395" s="24" t="str">
        <f t="array" ref="M2395">LEFT(L2395,MIN(FIND({"A","B","C"},MID(L2395,2,LEN(L2395))&amp;"ABC")))</f>
        <v/>
      </c>
      <c r="N2395" s="24" t="str">
        <f t="array" ref="N2395">SUBSTITUTE(L2395,M2395,"")</f>
        <v/>
      </c>
      <c r="X2395" s="258" t="str">
        <f t="shared" si="94"/>
        <v/>
      </c>
      <c r="Y2395" s="36" t="str">
        <f t="shared" si="95"/>
        <v/>
      </c>
    </row>
    <row r="2396" spans="13:25">
      <c r="M2396" s="24" t="str">
        <f t="array" ref="M2396">LEFT(L2396,MIN(FIND({"A","B","C"},MID(L2396,2,LEN(L2396))&amp;"ABC")))</f>
        <v/>
      </c>
      <c r="N2396" s="24" t="str">
        <f t="array" ref="N2396">SUBSTITUTE(L2396,M2396,"")</f>
        <v/>
      </c>
      <c r="X2396" s="258" t="str">
        <f t="shared" ref="X2396:X2459" si="96">IF(B2396="","",IF(S2396&lt;&gt;"","",IF(AND(Z2396&lt;&gt;"",AA2396&lt;&gt;""),SUM(Z2396:AA2396),IF(AB2396&lt;&gt;"",(I2396/((1/((G2396+2)/100*K2396/1000))*0.9144)/IF(H2396="黑丝",22,20)-AB2396)*(IF(H2396="黑丝",22,20)),I2396/((1/((G2396+2)/100*K2396/1000))*0.9144)))))</f>
        <v/>
      </c>
      <c r="Y2396" s="36" t="str">
        <f t="shared" si="95"/>
        <v/>
      </c>
    </row>
    <row r="2397" spans="13:25">
      <c r="M2397" s="24" t="str">
        <f t="array" ref="M2397">LEFT(L2397,MIN(FIND({"A","B","C"},MID(L2397,2,LEN(L2397))&amp;"ABC")))</f>
        <v/>
      </c>
      <c r="N2397" s="24" t="str">
        <f t="array" ref="N2397">SUBSTITUTE(L2397,M2397,"")</f>
        <v/>
      </c>
      <c r="X2397" s="258" t="str">
        <f t="shared" si="96"/>
        <v/>
      </c>
      <c r="Y2397" s="36" t="str">
        <f t="shared" si="95"/>
        <v/>
      </c>
    </row>
    <row r="2398" spans="13:25">
      <c r="M2398" s="24" t="str">
        <f t="array" ref="M2398">LEFT(L2398,MIN(FIND({"A","B","C"},MID(L2398,2,LEN(L2398))&amp;"ABC")))</f>
        <v/>
      </c>
      <c r="N2398" s="24" t="str">
        <f t="array" ref="N2398">SUBSTITUTE(L2398,M2398,"")</f>
        <v/>
      </c>
      <c r="X2398" s="258" t="str">
        <f t="shared" si="96"/>
        <v/>
      </c>
      <c r="Y2398" s="36" t="str">
        <f t="shared" si="95"/>
        <v/>
      </c>
    </row>
    <row r="2399" spans="13:25">
      <c r="M2399" s="24" t="str">
        <f t="array" ref="M2399">LEFT(L2399,MIN(FIND({"A","B","C"},MID(L2399,2,LEN(L2399))&amp;"ABC")))</f>
        <v/>
      </c>
      <c r="N2399" s="24" t="str">
        <f t="array" ref="N2399">SUBSTITUTE(L2399,M2399,"")</f>
        <v/>
      </c>
      <c r="X2399" s="258" t="str">
        <f t="shared" si="96"/>
        <v/>
      </c>
      <c r="Y2399" s="36" t="str">
        <f t="shared" si="95"/>
        <v/>
      </c>
    </row>
    <row r="2400" spans="13:25">
      <c r="M2400" s="24" t="str">
        <f t="array" ref="M2400">LEFT(L2400,MIN(FIND({"A","B","C"},MID(L2400,2,LEN(L2400))&amp;"ABC")))</f>
        <v/>
      </c>
      <c r="N2400" s="24" t="str">
        <f t="array" ref="N2400">SUBSTITUTE(L2400,M2400,"")</f>
        <v/>
      </c>
      <c r="X2400" s="258" t="str">
        <f t="shared" si="96"/>
        <v/>
      </c>
      <c r="Y2400" s="36" t="str">
        <f t="shared" si="95"/>
        <v/>
      </c>
    </row>
    <row r="2401" spans="13:25">
      <c r="M2401" s="24" t="str">
        <f t="array" ref="M2401">LEFT(L2401,MIN(FIND({"A","B","C"},MID(L2401,2,LEN(L2401))&amp;"ABC")))</f>
        <v/>
      </c>
      <c r="N2401" s="24" t="str">
        <f t="array" ref="N2401">SUBSTITUTE(L2401,M2401,"")</f>
        <v/>
      </c>
      <c r="X2401" s="258" t="str">
        <f t="shared" si="96"/>
        <v/>
      </c>
      <c r="Y2401" s="36" t="str">
        <f t="shared" si="95"/>
        <v/>
      </c>
    </row>
    <row r="2402" spans="13:25">
      <c r="M2402" s="24" t="str">
        <f t="array" ref="M2402">LEFT(L2402,MIN(FIND({"A","B","C"},MID(L2402,2,LEN(L2402))&amp;"ABC")))</f>
        <v/>
      </c>
      <c r="N2402" s="24" t="str">
        <f t="array" ref="N2402">SUBSTITUTE(L2402,M2402,"")</f>
        <v/>
      </c>
      <c r="X2402" s="258" t="str">
        <f t="shared" si="96"/>
        <v/>
      </c>
      <c r="Y2402" s="36" t="str">
        <f t="shared" si="95"/>
        <v/>
      </c>
    </row>
    <row r="2403" spans="13:25">
      <c r="M2403" s="24" t="str">
        <f t="array" ref="M2403">LEFT(L2403,MIN(FIND({"A","B","C"},MID(L2403,2,LEN(L2403))&amp;"ABC")))</f>
        <v/>
      </c>
      <c r="N2403" s="24" t="str">
        <f t="array" ref="N2403">SUBSTITUTE(L2403,M2403,"")</f>
        <v/>
      </c>
      <c r="X2403" s="258" t="str">
        <f t="shared" si="96"/>
        <v/>
      </c>
      <c r="Y2403" s="36" t="str">
        <f t="shared" si="95"/>
        <v/>
      </c>
    </row>
    <row r="2404" spans="13:25">
      <c r="M2404" s="24" t="str">
        <f t="array" ref="M2404">LEFT(L2404,MIN(FIND({"A","B","C"},MID(L2404,2,LEN(L2404))&amp;"ABC")))</f>
        <v/>
      </c>
      <c r="N2404" s="24" t="str">
        <f t="array" ref="N2404">SUBSTITUTE(L2404,M2404,"")</f>
        <v/>
      </c>
      <c r="X2404" s="258" t="str">
        <f t="shared" si="96"/>
        <v/>
      </c>
      <c r="Y2404" s="36" t="str">
        <f t="shared" si="95"/>
        <v/>
      </c>
    </row>
    <row r="2405" spans="13:25">
      <c r="M2405" s="24" t="str">
        <f t="array" ref="M2405">LEFT(L2405,MIN(FIND({"A","B","C"},MID(L2405,2,LEN(L2405))&amp;"ABC")))</f>
        <v/>
      </c>
      <c r="N2405" s="24" t="str">
        <f t="array" ref="N2405">SUBSTITUTE(L2405,M2405,"")</f>
        <v/>
      </c>
      <c r="X2405" s="258" t="str">
        <f t="shared" si="96"/>
        <v/>
      </c>
      <c r="Y2405" s="36" t="str">
        <f t="shared" si="95"/>
        <v/>
      </c>
    </row>
    <row r="2406" spans="13:25">
      <c r="M2406" s="24" t="str">
        <f t="array" ref="M2406">LEFT(L2406,MIN(FIND({"A","B","C"},MID(L2406,2,LEN(L2406))&amp;"ABC")))</f>
        <v/>
      </c>
      <c r="N2406" s="24" t="str">
        <f t="array" ref="N2406">SUBSTITUTE(L2406,M2406,"")</f>
        <v/>
      </c>
      <c r="X2406" s="258" t="str">
        <f t="shared" si="96"/>
        <v/>
      </c>
      <c r="Y2406" s="36" t="str">
        <f t="shared" si="95"/>
        <v/>
      </c>
    </row>
    <row r="2407" spans="13:25">
      <c r="M2407" s="24" t="str">
        <f t="array" ref="M2407">LEFT(L2407,MIN(FIND({"A","B","C"},MID(L2407,2,LEN(L2407))&amp;"ABC")))</f>
        <v/>
      </c>
      <c r="N2407" s="24" t="str">
        <f t="array" ref="N2407">SUBSTITUTE(L2407,M2407,"")</f>
        <v/>
      </c>
      <c r="X2407" s="258" t="str">
        <f t="shared" si="96"/>
        <v/>
      </c>
      <c r="Y2407" s="36" t="str">
        <f t="shared" si="95"/>
        <v/>
      </c>
    </row>
    <row r="2408" spans="13:25">
      <c r="M2408" s="24" t="str">
        <f t="array" ref="M2408">LEFT(L2408,MIN(FIND({"A","B","C"},MID(L2408,2,LEN(L2408))&amp;"ABC")))</f>
        <v/>
      </c>
      <c r="N2408" s="24" t="str">
        <f t="array" ref="N2408">SUBSTITUTE(L2408,M2408,"")</f>
        <v/>
      </c>
      <c r="X2408" s="258" t="str">
        <f t="shared" si="96"/>
        <v/>
      </c>
      <c r="Y2408" s="36" t="str">
        <f t="shared" si="95"/>
        <v/>
      </c>
    </row>
    <row r="2409" spans="13:25">
      <c r="M2409" s="24" t="str">
        <f t="array" ref="M2409">LEFT(L2409,MIN(FIND({"A","B","C"},MID(L2409,2,LEN(L2409))&amp;"ABC")))</f>
        <v/>
      </c>
      <c r="N2409" s="24" t="str">
        <f t="array" ref="N2409">SUBSTITUTE(L2409,M2409,"")</f>
        <v/>
      </c>
      <c r="X2409" s="258" t="str">
        <f t="shared" si="96"/>
        <v/>
      </c>
      <c r="Y2409" s="36" t="str">
        <f t="shared" ref="Y2409:Y2472" si="97">IF(OR(B2409="",D2409&lt;&gt;""),"",IF(S2409&lt;&gt;"","",I2409/((1/((G2409+2)/100*K2409/1000))*0.9144)/IF(H2409="黑丝",22,20)-AB2409))</f>
        <v/>
      </c>
    </row>
    <row r="2410" spans="13:25">
      <c r="M2410" s="24" t="str">
        <f t="array" ref="M2410">LEFT(L2410,MIN(FIND({"A","B","C"},MID(L2410,2,LEN(L2410))&amp;"ABC")))</f>
        <v/>
      </c>
      <c r="N2410" s="24" t="str">
        <f t="array" ref="N2410">SUBSTITUTE(L2410,M2410,"")</f>
        <v/>
      </c>
      <c r="X2410" s="258" t="str">
        <f t="shared" si="96"/>
        <v/>
      </c>
      <c r="Y2410" s="36" t="str">
        <f t="shared" si="97"/>
        <v/>
      </c>
    </row>
    <row r="2411" spans="13:25">
      <c r="M2411" s="24" t="str">
        <f t="array" ref="M2411">LEFT(L2411,MIN(FIND({"A","B","C"},MID(L2411,2,LEN(L2411))&amp;"ABC")))</f>
        <v/>
      </c>
      <c r="N2411" s="24" t="str">
        <f t="array" ref="N2411">SUBSTITUTE(L2411,M2411,"")</f>
        <v/>
      </c>
      <c r="X2411" s="258" t="str">
        <f t="shared" si="96"/>
        <v/>
      </c>
      <c r="Y2411" s="36" t="str">
        <f t="shared" si="97"/>
        <v/>
      </c>
    </row>
    <row r="2412" spans="13:25">
      <c r="M2412" s="24" t="str">
        <f t="array" ref="M2412">LEFT(L2412,MIN(FIND({"A","B","C"},MID(L2412,2,LEN(L2412))&amp;"ABC")))</f>
        <v/>
      </c>
      <c r="N2412" s="24" t="str">
        <f t="array" ref="N2412">SUBSTITUTE(L2412,M2412,"")</f>
        <v/>
      </c>
      <c r="X2412" s="258" t="str">
        <f t="shared" si="96"/>
        <v/>
      </c>
      <c r="Y2412" s="36" t="str">
        <f t="shared" si="97"/>
        <v/>
      </c>
    </row>
    <row r="2413" spans="13:25">
      <c r="M2413" s="24" t="str">
        <f t="array" ref="M2413">LEFT(L2413,MIN(FIND({"A","B","C"},MID(L2413,2,LEN(L2413))&amp;"ABC")))</f>
        <v/>
      </c>
      <c r="N2413" s="24" t="str">
        <f t="array" ref="N2413">SUBSTITUTE(L2413,M2413,"")</f>
        <v/>
      </c>
      <c r="X2413" s="258" t="str">
        <f t="shared" si="96"/>
        <v/>
      </c>
      <c r="Y2413" s="36" t="str">
        <f t="shared" si="97"/>
        <v/>
      </c>
    </row>
    <row r="2414" spans="13:25">
      <c r="M2414" s="24" t="str">
        <f t="array" ref="M2414">LEFT(L2414,MIN(FIND({"A","B","C"},MID(L2414,2,LEN(L2414))&amp;"ABC")))</f>
        <v/>
      </c>
      <c r="N2414" s="24" t="str">
        <f t="array" ref="N2414">SUBSTITUTE(L2414,M2414,"")</f>
        <v/>
      </c>
      <c r="X2414" s="258" t="str">
        <f t="shared" si="96"/>
        <v/>
      </c>
      <c r="Y2414" s="36" t="str">
        <f t="shared" si="97"/>
        <v/>
      </c>
    </row>
    <row r="2415" spans="13:25">
      <c r="M2415" s="24" t="str">
        <f t="array" ref="M2415">LEFT(L2415,MIN(FIND({"A","B","C"},MID(L2415,2,LEN(L2415))&amp;"ABC")))</f>
        <v/>
      </c>
      <c r="N2415" s="24" t="str">
        <f t="array" ref="N2415">SUBSTITUTE(L2415,M2415,"")</f>
        <v/>
      </c>
      <c r="X2415" s="258" t="str">
        <f t="shared" si="96"/>
        <v/>
      </c>
      <c r="Y2415" s="36" t="str">
        <f t="shared" si="97"/>
        <v/>
      </c>
    </row>
    <row r="2416" spans="13:25">
      <c r="M2416" s="24" t="str">
        <f t="array" ref="M2416">LEFT(L2416,MIN(FIND({"A","B","C"},MID(L2416,2,LEN(L2416))&amp;"ABC")))</f>
        <v/>
      </c>
      <c r="N2416" s="24" t="str">
        <f t="array" ref="N2416">SUBSTITUTE(L2416,M2416,"")</f>
        <v/>
      </c>
      <c r="X2416" s="258" t="str">
        <f t="shared" si="96"/>
        <v/>
      </c>
      <c r="Y2416" s="36" t="str">
        <f t="shared" si="97"/>
        <v/>
      </c>
    </row>
    <row r="2417" spans="13:25">
      <c r="M2417" s="24" t="str">
        <f t="array" ref="M2417">LEFT(L2417,MIN(FIND({"A","B","C"},MID(L2417,2,LEN(L2417))&amp;"ABC")))</f>
        <v/>
      </c>
      <c r="N2417" s="24" t="str">
        <f t="array" ref="N2417">SUBSTITUTE(L2417,M2417,"")</f>
        <v/>
      </c>
      <c r="X2417" s="258" t="str">
        <f t="shared" si="96"/>
        <v/>
      </c>
      <c r="Y2417" s="36" t="str">
        <f t="shared" si="97"/>
        <v/>
      </c>
    </row>
    <row r="2418" spans="13:25">
      <c r="M2418" s="24" t="str">
        <f t="array" ref="M2418">LEFT(L2418,MIN(FIND({"A","B","C"},MID(L2418,2,LEN(L2418))&amp;"ABC")))</f>
        <v/>
      </c>
      <c r="N2418" s="24" t="str">
        <f t="array" ref="N2418">SUBSTITUTE(L2418,M2418,"")</f>
        <v/>
      </c>
      <c r="X2418" s="258" t="str">
        <f t="shared" si="96"/>
        <v/>
      </c>
      <c r="Y2418" s="36" t="str">
        <f t="shared" si="97"/>
        <v/>
      </c>
    </row>
    <row r="2419" spans="13:25">
      <c r="M2419" s="24" t="str">
        <f t="array" ref="M2419">LEFT(L2419,MIN(FIND({"A","B","C"},MID(L2419,2,LEN(L2419))&amp;"ABC")))</f>
        <v/>
      </c>
      <c r="N2419" s="24" t="str">
        <f t="array" ref="N2419">SUBSTITUTE(L2419,M2419,"")</f>
        <v/>
      </c>
      <c r="X2419" s="258" t="str">
        <f t="shared" si="96"/>
        <v/>
      </c>
      <c r="Y2419" s="36" t="str">
        <f t="shared" si="97"/>
        <v/>
      </c>
    </row>
    <row r="2420" spans="13:25">
      <c r="M2420" s="24" t="str">
        <f t="array" ref="M2420">LEFT(L2420,MIN(FIND({"A","B","C"},MID(L2420,2,LEN(L2420))&amp;"ABC")))</f>
        <v/>
      </c>
      <c r="N2420" s="24" t="str">
        <f t="array" ref="N2420">SUBSTITUTE(L2420,M2420,"")</f>
        <v/>
      </c>
      <c r="X2420" s="258" t="str">
        <f t="shared" si="96"/>
        <v/>
      </c>
      <c r="Y2420" s="36" t="str">
        <f t="shared" si="97"/>
        <v/>
      </c>
    </row>
    <row r="2421" spans="13:25">
      <c r="M2421" s="24" t="str">
        <f t="array" ref="M2421">LEFT(L2421,MIN(FIND({"A","B","C"},MID(L2421,2,LEN(L2421))&amp;"ABC")))</f>
        <v/>
      </c>
      <c r="N2421" s="24" t="str">
        <f t="array" ref="N2421">SUBSTITUTE(L2421,M2421,"")</f>
        <v/>
      </c>
      <c r="X2421" s="258" t="str">
        <f t="shared" si="96"/>
        <v/>
      </c>
      <c r="Y2421" s="36" t="str">
        <f t="shared" si="97"/>
        <v/>
      </c>
    </row>
    <row r="2422" spans="13:25">
      <c r="M2422" s="24" t="str">
        <f t="array" ref="M2422">LEFT(L2422,MIN(FIND({"A","B","C"},MID(L2422,2,LEN(L2422))&amp;"ABC")))</f>
        <v/>
      </c>
      <c r="N2422" s="24" t="str">
        <f t="array" ref="N2422">SUBSTITUTE(L2422,M2422,"")</f>
        <v/>
      </c>
      <c r="X2422" s="258" t="str">
        <f t="shared" si="96"/>
        <v/>
      </c>
      <c r="Y2422" s="36" t="str">
        <f t="shared" si="97"/>
        <v/>
      </c>
    </row>
    <row r="2423" spans="13:25">
      <c r="M2423" s="24" t="str">
        <f t="array" ref="M2423">LEFT(L2423,MIN(FIND({"A","B","C"},MID(L2423,2,LEN(L2423))&amp;"ABC")))</f>
        <v/>
      </c>
      <c r="N2423" s="24" t="str">
        <f t="array" ref="N2423">SUBSTITUTE(L2423,M2423,"")</f>
        <v/>
      </c>
      <c r="X2423" s="258" t="str">
        <f t="shared" si="96"/>
        <v/>
      </c>
      <c r="Y2423" s="36" t="str">
        <f t="shared" si="97"/>
        <v/>
      </c>
    </row>
    <row r="2424" spans="13:25">
      <c r="M2424" s="24" t="str">
        <f t="array" ref="M2424">LEFT(L2424,MIN(FIND({"A","B","C"},MID(L2424,2,LEN(L2424))&amp;"ABC")))</f>
        <v/>
      </c>
      <c r="N2424" s="24" t="str">
        <f t="array" ref="N2424">SUBSTITUTE(L2424,M2424,"")</f>
        <v/>
      </c>
      <c r="X2424" s="258" t="str">
        <f t="shared" si="96"/>
        <v/>
      </c>
      <c r="Y2424" s="36" t="str">
        <f t="shared" si="97"/>
        <v/>
      </c>
    </row>
    <row r="2425" spans="13:25">
      <c r="M2425" s="24" t="str">
        <f t="array" ref="M2425">LEFT(L2425,MIN(FIND({"A","B","C"},MID(L2425,2,LEN(L2425))&amp;"ABC")))</f>
        <v/>
      </c>
      <c r="N2425" s="24" t="str">
        <f t="array" ref="N2425">SUBSTITUTE(L2425,M2425,"")</f>
        <v/>
      </c>
      <c r="X2425" s="258" t="str">
        <f t="shared" si="96"/>
        <v/>
      </c>
      <c r="Y2425" s="36" t="str">
        <f t="shared" si="97"/>
        <v/>
      </c>
    </row>
    <row r="2426" spans="13:25">
      <c r="M2426" s="24" t="str">
        <f t="array" ref="M2426">LEFT(L2426,MIN(FIND({"A","B","C"},MID(L2426,2,LEN(L2426))&amp;"ABC")))</f>
        <v/>
      </c>
      <c r="N2426" s="24" t="str">
        <f t="array" ref="N2426">SUBSTITUTE(L2426,M2426,"")</f>
        <v/>
      </c>
      <c r="X2426" s="258" t="str">
        <f t="shared" si="96"/>
        <v/>
      </c>
      <c r="Y2426" s="36" t="str">
        <f t="shared" si="97"/>
        <v/>
      </c>
    </row>
    <row r="2427" spans="13:25">
      <c r="M2427" s="24" t="str">
        <f t="array" ref="M2427">LEFT(L2427,MIN(FIND({"A","B","C"},MID(L2427,2,LEN(L2427))&amp;"ABC")))</f>
        <v/>
      </c>
      <c r="N2427" s="24" t="str">
        <f t="array" ref="N2427">SUBSTITUTE(L2427,M2427,"")</f>
        <v/>
      </c>
      <c r="X2427" s="258" t="str">
        <f t="shared" si="96"/>
        <v/>
      </c>
      <c r="Y2427" s="36" t="str">
        <f t="shared" si="97"/>
        <v/>
      </c>
    </row>
    <row r="2428" spans="13:25">
      <c r="M2428" s="24" t="str">
        <f t="array" ref="M2428">LEFT(L2428,MIN(FIND({"A","B","C"},MID(L2428,2,LEN(L2428))&amp;"ABC")))</f>
        <v/>
      </c>
      <c r="N2428" s="24" t="str">
        <f t="array" ref="N2428">SUBSTITUTE(L2428,M2428,"")</f>
        <v/>
      </c>
      <c r="X2428" s="258" t="str">
        <f t="shared" si="96"/>
        <v/>
      </c>
      <c r="Y2428" s="36" t="str">
        <f t="shared" si="97"/>
        <v/>
      </c>
    </row>
    <row r="2429" spans="13:25">
      <c r="M2429" s="24" t="str">
        <f t="array" ref="M2429">LEFT(L2429,MIN(FIND({"A","B","C"},MID(L2429,2,LEN(L2429))&amp;"ABC")))</f>
        <v/>
      </c>
      <c r="N2429" s="24" t="str">
        <f t="array" ref="N2429">SUBSTITUTE(L2429,M2429,"")</f>
        <v/>
      </c>
      <c r="X2429" s="258" t="str">
        <f t="shared" si="96"/>
        <v/>
      </c>
      <c r="Y2429" s="36" t="str">
        <f t="shared" si="97"/>
        <v/>
      </c>
    </row>
    <row r="2430" spans="13:25">
      <c r="M2430" s="24" t="str">
        <f t="array" ref="M2430">LEFT(L2430,MIN(FIND({"A","B","C"},MID(L2430,2,LEN(L2430))&amp;"ABC")))</f>
        <v/>
      </c>
      <c r="N2430" s="24" t="str">
        <f t="array" ref="N2430">SUBSTITUTE(L2430,M2430,"")</f>
        <v/>
      </c>
      <c r="X2430" s="258" t="str">
        <f t="shared" si="96"/>
        <v/>
      </c>
      <c r="Y2430" s="36" t="str">
        <f t="shared" si="97"/>
        <v/>
      </c>
    </row>
    <row r="2431" spans="13:25">
      <c r="M2431" s="24" t="str">
        <f t="array" ref="M2431">LEFT(L2431,MIN(FIND({"A","B","C"},MID(L2431,2,LEN(L2431))&amp;"ABC")))</f>
        <v/>
      </c>
      <c r="N2431" s="24" t="str">
        <f t="array" ref="N2431">SUBSTITUTE(L2431,M2431,"")</f>
        <v/>
      </c>
      <c r="X2431" s="258" t="str">
        <f t="shared" si="96"/>
        <v/>
      </c>
      <c r="Y2431" s="36" t="str">
        <f t="shared" si="97"/>
        <v/>
      </c>
    </row>
    <row r="2432" spans="13:25">
      <c r="M2432" s="24" t="str">
        <f t="array" ref="M2432">LEFT(L2432,MIN(FIND({"A","B","C"},MID(L2432,2,LEN(L2432))&amp;"ABC")))</f>
        <v/>
      </c>
      <c r="N2432" s="24" t="str">
        <f t="array" ref="N2432">SUBSTITUTE(L2432,M2432,"")</f>
        <v/>
      </c>
      <c r="X2432" s="258" t="str">
        <f t="shared" si="96"/>
        <v/>
      </c>
      <c r="Y2432" s="36" t="str">
        <f t="shared" si="97"/>
        <v/>
      </c>
    </row>
    <row r="2433" spans="13:25">
      <c r="M2433" s="24" t="str">
        <f t="array" ref="M2433">LEFT(L2433,MIN(FIND({"A","B","C"},MID(L2433,2,LEN(L2433))&amp;"ABC")))</f>
        <v/>
      </c>
      <c r="N2433" s="24" t="str">
        <f t="array" ref="N2433">SUBSTITUTE(L2433,M2433,"")</f>
        <v/>
      </c>
      <c r="X2433" s="258" t="str">
        <f t="shared" si="96"/>
        <v/>
      </c>
      <c r="Y2433" s="36" t="str">
        <f t="shared" si="97"/>
        <v/>
      </c>
    </row>
    <row r="2434" spans="13:25">
      <c r="M2434" s="24" t="str">
        <f t="array" ref="M2434">LEFT(L2434,MIN(FIND({"A","B","C"},MID(L2434,2,LEN(L2434))&amp;"ABC")))</f>
        <v/>
      </c>
      <c r="N2434" s="24" t="str">
        <f t="array" ref="N2434">SUBSTITUTE(L2434,M2434,"")</f>
        <v/>
      </c>
      <c r="X2434" s="258" t="str">
        <f t="shared" si="96"/>
        <v/>
      </c>
      <c r="Y2434" s="36" t="str">
        <f t="shared" si="97"/>
        <v/>
      </c>
    </row>
    <row r="2435" spans="13:25">
      <c r="M2435" s="24" t="str">
        <f t="array" ref="M2435">LEFT(L2435,MIN(FIND({"A","B","C"},MID(L2435,2,LEN(L2435))&amp;"ABC")))</f>
        <v/>
      </c>
      <c r="N2435" s="24" t="str">
        <f t="array" ref="N2435">SUBSTITUTE(L2435,M2435,"")</f>
        <v/>
      </c>
      <c r="X2435" s="258" t="str">
        <f t="shared" si="96"/>
        <v/>
      </c>
      <c r="Y2435" s="36" t="str">
        <f t="shared" si="97"/>
        <v/>
      </c>
    </row>
    <row r="2436" spans="13:25">
      <c r="M2436" s="24" t="str">
        <f t="array" ref="M2436">LEFT(L2436,MIN(FIND({"A","B","C"},MID(L2436,2,LEN(L2436))&amp;"ABC")))</f>
        <v/>
      </c>
      <c r="N2436" s="24" t="str">
        <f t="array" ref="N2436">SUBSTITUTE(L2436,M2436,"")</f>
        <v/>
      </c>
      <c r="X2436" s="258" t="str">
        <f t="shared" si="96"/>
        <v/>
      </c>
      <c r="Y2436" s="36" t="str">
        <f t="shared" si="97"/>
        <v/>
      </c>
    </row>
    <row r="2437" spans="13:25">
      <c r="M2437" s="24" t="str">
        <f t="array" ref="M2437">LEFT(L2437,MIN(FIND({"A","B","C"},MID(L2437,2,LEN(L2437))&amp;"ABC")))</f>
        <v/>
      </c>
      <c r="N2437" s="24" t="str">
        <f t="array" ref="N2437">SUBSTITUTE(L2437,M2437,"")</f>
        <v/>
      </c>
      <c r="X2437" s="258" t="str">
        <f t="shared" si="96"/>
        <v/>
      </c>
      <c r="Y2437" s="36" t="str">
        <f t="shared" si="97"/>
        <v/>
      </c>
    </row>
    <row r="2438" spans="13:25">
      <c r="M2438" s="24" t="str">
        <f t="array" ref="M2438">LEFT(L2438,MIN(FIND({"A","B","C"},MID(L2438,2,LEN(L2438))&amp;"ABC")))</f>
        <v/>
      </c>
      <c r="N2438" s="24" t="str">
        <f t="array" ref="N2438">SUBSTITUTE(L2438,M2438,"")</f>
        <v/>
      </c>
      <c r="X2438" s="258" t="str">
        <f t="shared" si="96"/>
        <v/>
      </c>
      <c r="Y2438" s="36" t="str">
        <f t="shared" si="97"/>
        <v/>
      </c>
    </row>
    <row r="2439" spans="13:25">
      <c r="M2439" s="24" t="str">
        <f t="array" ref="M2439">LEFT(L2439,MIN(FIND({"A","B","C"},MID(L2439,2,LEN(L2439))&amp;"ABC")))</f>
        <v/>
      </c>
      <c r="N2439" s="24" t="str">
        <f t="array" ref="N2439">SUBSTITUTE(L2439,M2439,"")</f>
        <v/>
      </c>
      <c r="X2439" s="258" t="str">
        <f t="shared" si="96"/>
        <v/>
      </c>
      <c r="Y2439" s="36" t="str">
        <f t="shared" si="97"/>
        <v/>
      </c>
    </row>
    <row r="2440" spans="13:25">
      <c r="M2440" s="24" t="str">
        <f t="array" ref="M2440">LEFT(L2440,MIN(FIND({"A","B","C"},MID(L2440,2,LEN(L2440))&amp;"ABC")))</f>
        <v/>
      </c>
      <c r="N2440" s="24" t="str">
        <f t="array" ref="N2440">SUBSTITUTE(L2440,M2440,"")</f>
        <v/>
      </c>
      <c r="X2440" s="258" t="str">
        <f t="shared" si="96"/>
        <v/>
      </c>
      <c r="Y2440" s="36" t="str">
        <f t="shared" si="97"/>
        <v/>
      </c>
    </row>
    <row r="2441" spans="13:25">
      <c r="M2441" s="24" t="str">
        <f t="array" ref="M2441">LEFT(L2441,MIN(FIND({"A","B","C"},MID(L2441,2,LEN(L2441))&amp;"ABC")))</f>
        <v/>
      </c>
      <c r="N2441" s="24" t="str">
        <f t="array" ref="N2441">SUBSTITUTE(L2441,M2441,"")</f>
        <v/>
      </c>
      <c r="X2441" s="258" t="str">
        <f t="shared" si="96"/>
        <v/>
      </c>
      <c r="Y2441" s="36" t="str">
        <f t="shared" si="97"/>
        <v/>
      </c>
    </row>
    <row r="2442" spans="13:25">
      <c r="M2442" s="24" t="str">
        <f t="array" ref="M2442">LEFT(L2442,MIN(FIND({"A","B","C"},MID(L2442,2,LEN(L2442))&amp;"ABC")))</f>
        <v/>
      </c>
      <c r="N2442" s="24" t="str">
        <f t="array" ref="N2442">SUBSTITUTE(L2442,M2442,"")</f>
        <v/>
      </c>
      <c r="X2442" s="258" t="str">
        <f t="shared" si="96"/>
        <v/>
      </c>
      <c r="Y2442" s="36" t="str">
        <f t="shared" si="97"/>
        <v/>
      </c>
    </row>
    <row r="2443" spans="13:25">
      <c r="M2443" s="24" t="str">
        <f t="array" ref="M2443">LEFT(L2443,MIN(FIND({"A","B","C"},MID(L2443,2,LEN(L2443))&amp;"ABC")))</f>
        <v/>
      </c>
      <c r="N2443" s="24" t="str">
        <f t="array" ref="N2443">SUBSTITUTE(L2443,M2443,"")</f>
        <v/>
      </c>
      <c r="X2443" s="258" t="str">
        <f t="shared" si="96"/>
        <v/>
      </c>
      <c r="Y2443" s="36" t="str">
        <f t="shared" si="97"/>
        <v/>
      </c>
    </row>
    <row r="2444" spans="13:25">
      <c r="M2444" s="24" t="str">
        <f t="array" ref="M2444">LEFT(L2444,MIN(FIND({"A","B","C"},MID(L2444,2,LEN(L2444))&amp;"ABC")))</f>
        <v/>
      </c>
      <c r="N2444" s="24" t="str">
        <f t="array" ref="N2444">SUBSTITUTE(L2444,M2444,"")</f>
        <v/>
      </c>
      <c r="X2444" s="258" t="str">
        <f t="shared" si="96"/>
        <v/>
      </c>
      <c r="Y2444" s="36" t="str">
        <f t="shared" si="97"/>
        <v/>
      </c>
    </row>
    <row r="2445" spans="13:25">
      <c r="M2445" s="24" t="str">
        <f t="array" ref="M2445">LEFT(L2445,MIN(FIND({"A","B","C"},MID(L2445,2,LEN(L2445))&amp;"ABC")))</f>
        <v/>
      </c>
      <c r="N2445" s="24" t="str">
        <f t="array" ref="N2445">SUBSTITUTE(L2445,M2445,"")</f>
        <v/>
      </c>
      <c r="X2445" s="258" t="str">
        <f t="shared" si="96"/>
        <v/>
      </c>
      <c r="Y2445" s="36" t="str">
        <f t="shared" si="97"/>
        <v/>
      </c>
    </row>
    <row r="2446" spans="13:25">
      <c r="M2446" s="24" t="str">
        <f t="array" ref="M2446">LEFT(L2446,MIN(FIND({"A","B","C"},MID(L2446,2,LEN(L2446))&amp;"ABC")))</f>
        <v/>
      </c>
      <c r="N2446" s="24" t="str">
        <f t="array" ref="N2446">SUBSTITUTE(L2446,M2446,"")</f>
        <v/>
      </c>
      <c r="X2446" s="258" t="str">
        <f t="shared" si="96"/>
        <v/>
      </c>
      <c r="Y2446" s="36" t="str">
        <f t="shared" si="97"/>
        <v/>
      </c>
    </row>
    <row r="2447" spans="13:25">
      <c r="M2447" s="24" t="str">
        <f t="array" ref="M2447">LEFT(L2447,MIN(FIND({"A","B","C"},MID(L2447,2,LEN(L2447))&amp;"ABC")))</f>
        <v/>
      </c>
      <c r="N2447" s="24" t="str">
        <f t="array" ref="N2447">SUBSTITUTE(L2447,M2447,"")</f>
        <v/>
      </c>
      <c r="X2447" s="258" t="str">
        <f t="shared" si="96"/>
        <v/>
      </c>
      <c r="Y2447" s="36" t="str">
        <f t="shared" si="97"/>
        <v/>
      </c>
    </row>
    <row r="2448" spans="13:25">
      <c r="M2448" s="24" t="str">
        <f t="array" ref="M2448">LEFT(L2448,MIN(FIND({"A","B","C"},MID(L2448,2,LEN(L2448))&amp;"ABC")))</f>
        <v/>
      </c>
      <c r="N2448" s="24" t="str">
        <f t="array" ref="N2448">SUBSTITUTE(L2448,M2448,"")</f>
        <v/>
      </c>
      <c r="X2448" s="258" t="str">
        <f t="shared" si="96"/>
        <v/>
      </c>
      <c r="Y2448" s="36" t="str">
        <f t="shared" si="97"/>
        <v/>
      </c>
    </row>
    <row r="2449" spans="13:25">
      <c r="M2449" s="24" t="str">
        <f t="array" ref="M2449">LEFT(L2449,MIN(FIND({"A","B","C"},MID(L2449,2,LEN(L2449))&amp;"ABC")))</f>
        <v/>
      </c>
      <c r="N2449" s="24" t="str">
        <f t="array" ref="N2449">SUBSTITUTE(L2449,M2449,"")</f>
        <v/>
      </c>
      <c r="X2449" s="258" t="str">
        <f t="shared" si="96"/>
        <v/>
      </c>
      <c r="Y2449" s="36" t="str">
        <f t="shared" si="97"/>
        <v/>
      </c>
    </row>
    <row r="2450" spans="13:25">
      <c r="M2450" s="24" t="str">
        <f t="array" ref="M2450">LEFT(L2450,MIN(FIND({"A","B","C"},MID(L2450,2,LEN(L2450))&amp;"ABC")))</f>
        <v/>
      </c>
      <c r="N2450" s="24" t="str">
        <f t="array" ref="N2450">SUBSTITUTE(L2450,M2450,"")</f>
        <v/>
      </c>
      <c r="X2450" s="258" t="str">
        <f t="shared" si="96"/>
        <v/>
      </c>
      <c r="Y2450" s="36" t="str">
        <f t="shared" si="97"/>
        <v/>
      </c>
    </row>
    <row r="2451" spans="13:25">
      <c r="M2451" s="24" t="str">
        <f t="array" ref="M2451">LEFT(L2451,MIN(FIND({"A","B","C"},MID(L2451,2,LEN(L2451))&amp;"ABC")))</f>
        <v/>
      </c>
      <c r="N2451" s="24" t="str">
        <f t="array" ref="N2451">SUBSTITUTE(L2451,M2451,"")</f>
        <v/>
      </c>
      <c r="X2451" s="258" t="str">
        <f t="shared" si="96"/>
        <v/>
      </c>
      <c r="Y2451" s="36" t="str">
        <f t="shared" si="97"/>
        <v/>
      </c>
    </row>
    <row r="2452" spans="13:25">
      <c r="M2452" s="24" t="str">
        <f t="array" ref="M2452">LEFT(L2452,MIN(FIND({"A","B","C"},MID(L2452,2,LEN(L2452))&amp;"ABC")))</f>
        <v/>
      </c>
      <c r="N2452" s="24" t="str">
        <f t="array" ref="N2452">SUBSTITUTE(L2452,M2452,"")</f>
        <v/>
      </c>
      <c r="X2452" s="258" t="str">
        <f t="shared" si="96"/>
        <v/>
      </c>
      <c r="Y2452" s="36" t="str">
        <f t="shared" si="97"/>
        <v/>
      </c>
    </row>
    <row r="2453" spans="13:25">
      <c r="M2453" s="24" t="str">
        <f t="array" ref="M2453">LEFT(L2453,MIN(FIND({"A","B","C"},MID(L2453,2,LEN(L2453))&amp;"ABC")))</f>
        <v/>
      </c>
      <c r="N2453" s="24" t="str">
        <f t="array" ref="N2453">SUBSTITUTE(L2453,M2453,"")</f>
        <v/>
      </c>
      <c r="X2453" s="258" t="str">
        <f t="shared" si="96"/>
        <v/>
      </c>
      <c r="Y2453" s="36" t="str">
        <f t="shared" si="97"/>
        <v/>
      </c>
    </row>
    <row r="2454" spans="13:25">
      <c r="M2454" s="24" t="str">
        <f t="array" ref="M2454">LEFT(L2454,MIN(FIND({"A","B","C"},MID(L2454,2,LEN(L2454))&amp;"ABC")))</f>
        <v/>
      </c>
      <c r="N2454" s="24" t="str">
        <f t="array" ref="N2454">SUBSTITUTE(L2454,M2454,"")</f>
        <v/>
      </c>
      <c r="X2454" s="258" t="str">
        <f t="shared" si="96"/>
        <v/>
      </c>
      <c r="Y2454" s="36" t="str">
        <f t="shared" si="97"/>
        <v/>
      </c>
    </row>
    <row r="2455" spans="13:25">
      <c r="M2455" s="24" t="str">
        <f t="array" ref="M2455">LEFT(L2455,MIN(FIND({"A","B","C"},MID(L2455,2,LEN(L2455))&amp;"ABC")))</f>
        <v/>
      </c>
      <c r="N2455" s="24" t="str">
        <f t="array" ref="N2455">SUBSTITUTE(L2455,M2455,"")</f>
        <v/>
      </c>
      <c r="X2455" s="258" t="str">
        <f t="shared" si="96"/>
        <v/>
      </c>
      <c r="Y2455" s="36" t="str">
        <f t="shared" si="97"/>
        <v/>
      </c>
    </row>
    <row r="2456" spans="13:25">
      <c r="M2456" s="24" t="str">
        <f t="array" ref="M2456">LEFT(L2456,MIN(FIND({"A","B","C"},MID(L2456,2,LEN(L2456))&amp;"ABC")))</f>
        <v/>
      </c>
      <c r="N2456" s="24" t="str">
        <f t="array" ref="N2456">SUBSTITUTE(L2456,M2456,"")</f>
        <v/>
      </c>
      <c r="X2456" s="258" t="str">
        <f t="shared" si="96"/>
        <v/>
      </c>
      <c r="Y2456" s="36" t="str">
        <f t="shared" si="97"/>
        <v/>
      </c>
    </row>
    <row r="2457" spans="13:25">
      <c r="M2457" s="24" t="str">
        <f t="array" ref="M2457">LEFT(L2457,MIN(FIND({"A","B","C"},MID(L2457,2,LEN(L2457))&amp;"ABC")))</f>
        <v/>
      </c>
      <c r="N2457" s="24" t="str">
        <f t="array" ref="N2457">SUBSTITUTE(L2457,M2457,"")</f>
        <v/>
      </c>
      <c r="X2457" s="258" t="str">
        <f t="shared" si="96"/>
        <v/>
      </c>
      <c r="Y2457" s="36" t="str">
        <f t="shared" si="97"/>
        <v/>
      </c>
    </row>
    <row r="2458" spans="13:25">
      <c r="M2458" s="24" t="str">
        <f t="array" ref="M2458">LEFT(L2458,MIN(FIND({"A","B","C"},MID(L2458,2,LEN(L2458))&amp;"ABC")))</f>
        <v/>
      </c>
      <c r="N2458" s="24" t="str">
        <f t="array" ref="N2458">SUBSTITUTE(L2458,M2458,"")</f>
        <v/>
      </c>
      <c r="X2458" s="258" t="str">
        <f t="shared" si="96"/>
        <v/>
      </c>
      <c r="Y2458" s="36" t="str">
        <f t="shared" si="97"/>
        <v/>
      </c>
    </row>
    <row r="2459" spans="13:25">
      <c r="M2459" s="24" t="str">
        <f t="array" ref="M2459">LEFT(L2459,MIN(FIND({"A","B","C"},MID(L2459,2,LEN(L2459))&amp;"ABC")))</f>
        <v/>
      </c>
      <c r="N2459" s="24" t="str">
        <f t="array" ref="N2459">SUBSTITUTE(L2459,M2459,"")</f>
        <v/>
      </c>
      <c r="X2459" s="258" t="str">
        <f t="shared" si="96"/>
        <v/>
      </c>
      <c r="Y2459" s="36" t="str">
        <f t="shared" si="97"/>
        <v/>
      </c>
    </row>
    <row r="2460" spans="13:25">
      <c r="M2460" s="24" t="str">
        <f t="array" ref="M2460">LEFT(L2460,MIN(FIND({"A","B","C"},MID(L2460,2,LEN(L2460))&amp;"ABC")))</f>
        <v/>
      </c>
      <c r="N2460" s="24" t="str">
        <f t="array" ref="N2460">SUBSTITUTE(L2460,M2460,"")</f>
        <v/>
      </c>
      <c r="X2460" s="258" t="str">
        <f t="shared" ref="X2460:X2523" si="98">IF(B2460="","",IF(S2460&lt;&gt;"","",IF(AND(Z2460&lt;&gt;"",AA2460&lt;&gt;""),SUM(Z2460:AA2460),IF(AB2460&lt;&gt;"",(I2460/((1/((G2460+2)/100*K2460/1000))*0.9144)/IF(H2460="黑丝",22,20)-AB2460)*(IF(H2460="黑丝",22,20)),I2460/((1/((G2460+2)/100*K2460/1000))*0.9144)))))</f>
        <v/>
      </c>
      <c r="Y2460" s="36" t="str">
        <f t="shared" si="97"/>
        <v/>
      </c>
    </row>
    <row r="2461" spans="13:25">
      <c r="M2461" s="24" t="str">
        <f t="array" ref="M2461">LEFT(L2461,MIN(FIND({"A","B","C"},MID(L2461,2,LEN(L2461))&amp;"ABC")))</f>
        <v/>
      </c>
      <c r="N2461" s="24" t="str">
        <f t="array" ref="N2461">SUBSTITUTE(L2461,M2461,"")</f>
        <v/>
      </c>
      <c r="X2461" s="258" t="str">
        <f t="shared" si="98"/>
        <v/>
      </c>
      <c r="Y2461" s="36" t="str">
        <f t="shared" si="97"/>
        <v/>
      </c>
    </row>
    <row r="2462" spans="13:25">
      <c r="M2462" s="24" t="str">
        <f t="array" ref="M2462">LEFT(L2462,MIN(FIND({"A","B","C"},MID(L2462,2,LEN(L2462))&amp;"ABC")))</f>
        <v/>
      </c>
      <c r="N2462" s="24" t="str">
        <f t="array" ref="N2462">SUBSTITUTE(L2462,M2462,"")</f>
        <v/>
      </c>
      <c r="X2462" s="258" t="str">
        <f t="shared" si="98"/>
        <v/>
      </c>
      <c r="Y2462" s="36" t="str">
        <f t="shared" si="97"/>
        <v/>
      </c>
    </row>
    <row r="2463" spans="13:25">
      <c r="M2463" s="24" t="str">
        <f t="array" ref="M2463">LEFT(L2463,MIN(FIND({"A","B","C"},MID(L2463,2,LEN(L2463))&amp;"ABC")))</f>
        <v/>
      </c>
      <c r="N2463" s="24" t="str">
        <f t="array" ref="N2463">SUBSTITUTE(L2463,M2463,"")</f>
        <v/>
      </c>
      <c r="X2463" s="258" t="str">
        <f t="shared" si="98"/>
        <v/>
      </c>
      <c r="Y2463" s="36" t="str">
        <f t="shared" si="97"/>
        <v/>
      </c>
    </row>
    <row r="2464" spans="13:25">
      <c r="M2464" s="24" t="str">
        <f t="array" ref="M2464">LEFT(L2464,MIN(FIND({"A","B","C"},MID(L2464,2,LEN(L2464))&amp;"ABC")))</f>
        <v/>
      </c>
      <c r="N2464" s="24" t="str">
        <f t="array" ref="N2464">SUBSTITUTE(L2464,M2464,"")</f>
        <v/>
      </c>
      <c r="X2464" s="258" t="str">
        <f t="shared" si="98"/>
        <v/>
      </c>
      <c r="Y2464" s="36" t="str">
        <f t="shared" si="97"/>
        <v/>
      </c>
    </row>
    <row r="2465" spans="13:25">
      <c r="M2465" s="24" t="str">
        <f t="array" ref="M2465">LEFT(L2465,MIN(FIND({"A","B","C"},MID(L2465,2,LEN(L2465))&amp;"ABC")))</f>
        <v/>
      </c>
      <c r="N2465" s="24" t="str">
        <f t="array" ref="N2465">SUBSTITUTE(L2465,M2465,"")</f>
        <v/>
      </c>
      <c r="X2465" s="258" t="str">
        <f t="shared" si="98"/>
        <v/>
      </c>
      <c r="Y2465" s="36" t="str">
        <f t="shared" si="97"/>
        <v/>
      </c>
    </row>
    <row r="2466" spans="13:25">
      <c r="M2466" s="24" t="str">
        <f t="array" ref="M2466">LEFT(L2466,MIN(FIND({"A","B","C"},MID(L2466,2,LEN(L2466))&amp;"ABC")))</f>
        <v/>
      </c>
      <c r="N2466" s="24" t="str">
        <f t="array" ref="N2466">SUBSTITUTE(L2466,M2466,"")</f>
        <v/>
      </c>
      <c r="X2466" s="258" t="str">
        <f t="shared" si="98"/>
        <v/>
      </c>
      <c r="Y2466" s="36" t="str">
        <f t="shared" si="97"/>
        <v/>
      </c>
    </row>
    <row r="2467" spans="13:25">
      <c r="M2467" s="24" t="str">
        <f t="array" ref="M2467">LEFT(L2467,MIN(FIND({"A","B","C"},MID(L2467,2,LEN(L2467))&amp;"ABC")))</f>
        <v/>
      </c>
      <c r="N2467" s="24" t="str">
        <f t="array" ref="N2467">SUBSTITUTE(L2467,M2467,"")</f>
        <v/>
      </c>
      <c r="X2467" s="258" t="str">
        <f t="shared" si="98"/>
        <v/>
      </c>
      <c r="Y2467" s="36" t="str">
        <f t="shared" si="97"/>
        <v/>
      </c>
    </row>
    <row r="2468" spans="13:25">
      <c r="M2468" s="24" t="str">
        <f t="array" ref="M2468">LEFT(L2468,MIN(FIND({"A","B","C"},MID(L2468,2,LEN(L2468))&amp;"ABC")))</f>
        <v/>
      </c>
      <c r="N2468" s="24" t="str">
        <f t="array" ref="N2468">SUBSTITUTE(L2468,M2468,"")</f>
        <v/>
      </c>
      <c r="X2468" s="258" t="str">
        <f t="shared" si="98"/>
        <v/>
      </c>
      <c r="Y2468" s="36" t="str">
        <f t="shared" si="97"/>
        <v/>
      </c>
    </row>
    <row r="2469" spans="13:25">
      <c r="M2469" s="24" t="str">
        <f t="array" ref="M2469">LEFT(L2469,MIN(FIND({"A","B","C"},MID(L2469,2,LEN(L2469))&amp;"ABC")))</f>
        <v/>
      </c>
      <c r="N2469" s="24" t="str">
        <f t="array" ref="N2469">SUBSTITUTE(L2469,M2469,"")</f>
        <v/>
      </c>
      <c r="X2469" s="258" t="str">
        <f t="shared" si="98"/>
        <v/>
      </c>
      <c r="Y2469" s="36" t="str">
        <f t="shared" si="97"/>
        <v/>
      </c>
    </row>
    <row r="2470" spans="13:25">
      <c r="M2470" s="24" t="str">
        <f t="array" ref="M2470">LEFT(L2470,MIN(FIND({"A","B","C"},MID(L2470,2,LEN(L2470))&amp;"ABC")))</f>
        <v/>
      </c>
      <c r="N2470" s="24" t="str">
        <f t="array" ref="N2470">SUBSTITUTE(L2470,M2470,"")</f>
        <v/>
      </c>
      <c r="X2470" s="258" t="str">
        <f t="shared" si="98"/>
        <v/>
      </c>
      <c r="Y2470" s="36" t="str">
        <f t="shared" si="97"/>
        <v/>
      </c>
    </row>
    <row r="2471" spans="13:25">
      <c r="M2471" s="24" t="str">
        <f t="array" ref="M2471">LEFT(L2471,MIN(FIND({"A","B","C"},MID(L2471,2,LEN(L2471))&amp;"ABC")))</f>
        <v/>
      </c>
      <c r="N2471" s="24" t="str">
        <f t="array" ref="N2471">SUBSTITUTE(L2471,M2471,"")</f>
        <v/>
      </c>
      <c r="X2471" s="258" t="str">
        <f t="shared" si="98"/>
        <v/>
      </c>
      <c r="Y2471" s="36" t="str">
        <f t="shared" si="97"/>
        <v/>
      </c>
    </row>
    <row r="2472" spans="13:25">
      <c r="M2472" s="24" t="str">
        <f t="array" ref="M2472">LEFT(L2472,MIN(FIND({"A","B","C"},MID(L2472,2,LEN(L2472))&amp;"ABC")))</f>
        <v/>
      </c>
      <c r="N2472" s="24" t="str">
        <f t="array" ref="N2472">SUBSTITUTE(L2472,M2472,"")</f>
        <v/>
      </c>
      <c r="X2472" s="258" t="str">
        <f t="shared" si="98"/>
        <v/>
      </c>
      <c r="Y2472" s="36" t="str">
        <f t="shared" si="97"/>
        <v/>
      </c>
    </row>
    <row r="2473" spans="13:25">
      <c r="M2473" s="24" t="str">
        <f t="array" ref="M2473">LEFT(L2473,MIN(FIND({"A","B","C"},MID(L2473,2,LEN(L2473))&amp;"ABC")))</f>
        <v/>
      </c>
      <c r="N2473" s="24" t="str">
        <f t="array" ref="N2473">SUBSTITUTE(L2473,M2473,"")</f>
        <v/>
      </c>
      <c r="X2473" s="258" t="str">
        <f t="shared" si="98"/>
        <v/>
      </c>
      <c r="Y2473" s="36" t="str">
        <f t="shared" ref="Y2473:Y2536" si="99">IF(OR(B2473="",D2473&lt;&gt;""),"",IF(S2473&lt;&gt;"","",I2473/((1/((G2473+2)/100*K2473/1000))*0.9144)/IF(H2473="黑丝",22,20)-AB2473))</f>
        <v/>
      </c>
    </row>
    <row r="2474" spans="13:25">
      <c r="M2474" s="24" t="str">
        <f t="array" ref="M2474">LEFT(L2474,MIN(FIND({"A","B","C"},MID(L2474,2,LEN(L2474))&amp;"ABC")))</f>
        <v/>
      </c>
      <c r="N2474" s="24" t="str">
        <f t="array" ref="N2474">SUBSTITUTE(L2474,M2474,"")</f>
        <v/>
      </c>
      <c r="X2474" s="258" t="str">
        <f t="shared" si="98"/>
        <v/>
      </c>
      <c r="Y2474" s="36" t="str">
        <f t="shared" si="99"/>
        <v/>
      </c>
    </row>
    <row r="2475" spans="13:25">
      <c r="M2475" s="24" t="str">
        <f t="array" ref="M2475">LEFT(L2475,MIN(FIND({"A","B","C"},MID(L2475,2,LEN(L2475))&amp;"ABC")))</f>
        <v/>
      </c>
      <c r="N2475" s="24" t="str">
        <f t="array" ref="N2475">SUBSTITUTE(L2475,M2475,"")</f>
        <v/>
      </c>
      <c r="X2475" s="258" t="str">
        <f t="shared" si="98"/>
        <v/>
      </c>
      <c r="Y2475" s="36" t="str">
        <f t="shared" si="99"/>
        <v/>
      </c>
    </row>
    <row r="2476" spans="13:25">
      <c r="M2476" s="24" t="str">
        <f t="array" ref="M2476">LEFT(L2476,MIN(FIND({"A","B","C"},MID(L2476,2,LEN(L2476))&amp;"ABC")))</f>
        <v/>
      </c>
      <c r="N2476" s="24" t="str">
        <f t="array" ref="N2476">SUBSTITUTE(L2476,M2476,"")</f>
        <v/>
      </c>
      <c r="X2476" s="258" t="str">
        <f t="shared" si="98"/>
        <v/>
      </c>
      <c r="Y2476" s="36" t="str">
        <f t="shared" si="99"/>
        <v/>
      </c>
    </row>
    <row r="2477" spans="13:25">
      <c r="M2477" s="24" t="str">
        <f t="array" ref="M2477">LEFT(L2477,MIN(FIND({"A","B","C"},MID(L2477,2,LEN(L2477))&amp;"ABC")))</f>
        <v/>
      </c>
      <c r="N2477" s="24" t="str">
        <f t="array" ref="N2477">SUBSTITUTE(L2477,M2477,"")</f>
        <v/>
      </c>
      <c r="X2477" s="258" t="str">
        <f t="shared" si="98"/>
        <v/>
      </c>
      <c r="Y2477" s="36" t="str">
        <f t="shared" si="99"/>
        <v/>
      </c>
    </row>
    <row r="2478" spans="13:25">
      <c r="M2478" s="24" t="str">
        <f t="array" ref="M2478">LEFT(L2478,MIN(FIND({"A","B","C"},MID(L2478,2,LEN(L2478))&amp;"ABC")))</f>
        <v/>
      </c>
      <c r="N2478" s="24" t="str">
        <f t="array" ref="N2478">SUBSTITUTE(L2478,M2478,"")</f>
        <v/>
      </c>
      <c r="X2478" s="258" t="str">
        <f t="shared" si="98"/>
        <v/>
      </c>
      <c r="Y2478" s="36" t="str">
        <f t="shared" si="99"/>
        <v/>
      </c>
    </row>
    <row r="2479" spans="13:25">
      <c r="M2479" s="24" t="str">
        <f t="array" ref="M2479">LEFT(L2479,MIN(FIND({"A","B","C"},MID(L2479,2,LEN(L2479))&amp;"ABC")))</f>
        <v/>
      </c>
      <c r="N2479" s="24" t="str">
        <f t="array" ref="N2479">SUBSTITUTE(L2479,M2479,"")</f>
        <v/>
      </c>
      <c r="X2479" s="258" t="str">
        <f t="shared" si="98"/>
        <v/>
      </c>
      <c r="Y2479" s="36" t="str">
        <f t="shared" si="99"/>
        <v/>
      </c>
    </row>
    <row r="2480" spans="13:25">
      <c r="M2480" s="24" t="str">
        <f t="array" ref="M2480">LEFT(L2480,MIN(FIND({"A","B","C"},MID(L2480,2,LEN(L2480))&amp;"ABC")))</f>
        <v/>
      </c>
      <c r="N2480" s="24" t="str">
        <f t="array" ref="N2480">SUBSTITUTE(L2480,M2480,"")</f>
        <v/>
      </c>
      <c r="X2480" s="258" t="str">
        <f t="shared" si="98"/>
        <v/>
      </c>
      <c r="Y2480" s="36" t="str">
        <f t="shared" si="99"/>
        <v/>
      </c>
    </row>
    <row r="2481" spans="13:25">
      <c r="M2481" s="24" t="str">
        <f t="array" ref="M2481">LEFT(L2481,MIN(FIND({"A","B","C"},MID(L2481,2,LEN(L2481))&amp;"ABC")))</f>
        <v/>
      </c>
      <c r="N2481" s="24" t="str">
        <f t="array" ref="N2481">SUBSTITUTE(L2481,M2481,"")</f>
        <v/>
      </c>
      <c r="X2481" s="258" t="str">
        <f t="shared" si="98"/>
        <v/>
      </c>
      <c r="Y2481" s="36" t="str">
        <f t="shared" si="99"/>
        <v/>
      </c>
    </row>
    <row r="2482" spans="13:25">
      <c r="M2482" s="24" t="str">
        <f t="array" ref="M2482">LEFT(L2482,MIN(FIND({"A","B","C"},MID(L2482,2,LEN(L2482))&amp;"ABC")))</f>
        <v/>
      </c>
      <c r="N2482" s="24" t="str">
        <f t="array" ref="N2482">SUBSTITUTE(L2482,M2482,"")</f>
        <v/>
      </c>
      <c r="X2482" s="258" t="str">
        <f t="shared" si="98"/>
        <v/>
      </c>
      <c r="Y2482" s="36" t="str">
        <f t="shared" si="99"/>
        <v/>
      </c>
    </row>
    <row r="2483" spans="13:25">
      <c r="M2483" s="24" t="str">
        <f t="array" ref="M2483">LEFT(L2483,MIN(FIND({"A","B","C"},MID(L2483,2,LEN(L2483))&amp;"ABC")))</f>
        <v/>
      </c>
      <c r="N2483" s="24" t="str">
        <f t="array" ref="N2483">SUBSTITUTE(L2483,M2483,"")</f>
        <v/>
      </c>
      <c r="X2483" s="258" t="str">
        <f t="shared" si="98"/>
        <v/>
      </c>
      <c r="Y2483" s="36" t="str">
        <f t="shared" si="99"/>
        <v/>
      </c>
    </row>
    <row r="2484" spans="13:25">
      <c r="M2484" s="24" t="str">
        <f t="array" ref="M2484">LEFT(L2484,MIN(FIND({"A","B","C"},MID(L2484,2,LEN(L2484))&amp;"ABC")))</f>
        <v/>
      </c>
      <c r="N2484" s="24" t="str">
        <f t="array" ref="N2484">SUBSTITUTE(L2484,M2484,"")</f>
        <v/>
      </c>
      <c r="X2484" s="258" t="str">
        <f t="shared" si="98"/>
        <v/>
      </c>
      <c r="Y2484" s="36" t="str">
        <f t="shared" si="99"/>
        <v/>
      </c>
    </row>
    <row r="2485" spans="13:25">
      <c r="M2485" s="24" t="str">
        <f t="array" ref="M2485">LEFT(L2485,MIN(FIND({"A","B","C"},MID(L2485,2,LEN(L2485))&amp;"ABC")))</f>
        <v/>
      </c>
      <c r="N2485" s="24" t="str">
        <f t="array" ref="N2485">SUBSTITUTE(L2485,M2485,"")</f>
        <v/>
      </c>
      <c r="X2485" s="258" t="str">
        <f t="shared" si="98"/>
        <v/>
      </c>
      <c r="Y2485" s="36" t="str">
        <f t="shared" si="99"/>
        <v/>
      </c>
    </row>
    <row r="2486" spans="13:25">
      <c r="M2486" s="24" t="str">
        <f t="array" ref="M2486">LEFT(L2486,MIN(FIND({"A","B","C"},MID(L2486,2,LEN(L2486))&amp;"ABC")))</f>
        <v/>
      </c>
      <c r="N2486" s="24" t="str">
        <f t="array" ref="N2486">SUBSTITUTE(L2486,M2486,"")</f>
        <v/>
      </c>
      <c r="X2486" s="258" t="str">
        <f t="shared" si="98"/>
        <v/>
      </c>
      <c r="Y2486" s="36" t="str">
        <f t="shared" si="99"/>
        <v/>
      </c>
    </row>
    <row r="2487" spans="13:25">
      <c r="M2487" s="24" t="str">
        <f t="array" ref="M2487">LEFT(L2487,MIN(FIND({"A","B","C"},MID(L2487,2,LEN(L2487))&amp;"ABC")))</f>
        <v/>
      </c>
      <c r="N2487" s="24" t="str">
        <f t="array" ref="N2487">SUBSTITUTE(L2487,M2487,"")</f>
        <v/>
      </c>
      <c r="X2487" s="258" t="str">
        <f t="shared" si="98"/>
        <v/>
      </c>
      <c r="Y2487" s="36" t="str">
        <f t="shared" si="99"/>
        <v/>
      </c>
    </row>
    <row r="2488" spans="13:25">
      <c r="M2488" s="24" t="str">
        <f t="array" ref="M2488">LEFT(L2488,MIN(FIND({"A","B","C"},MID(L2488,2,LEN(L2488))&amp;"ABC")))</f>
        <v/>
      </c>
      <c r="N2488" s="24" t="str">
        <f t="array" ref="N2488">SUBSTITUTE(L2488,M2488,"")</f>
        <v/>
      </c>
      <c r="X2488" s="258" t="str">
        <f t="shared" si="98"/>
        <v/>
      </c>
      <c r="Y2488" s="36" t="str">
        <f t="shared" si="99"/>
        <v/>
      </c>
    </row>
    <row r="2489" spans="13:25">
      <c r="M2489" s="24" t="str">
        <f t="array" ref="M2489">LEFT(L2489,MIN(FIND({"A","B","C"},MID(L2489,2,LEN(L2489))&amp;"ABC")))</f>
        <v/>
      </c>
      <c r="N2489" s="24" t="str">
        <f t="array" ref="N2489">SUBSTITUTE(L2489,M2489,"")</f>
        <v/>
      </c>
      <c r="X2489" s="258" t="str">
        <f t="shared" si="98"/>
        <v/>
      </c>
      <c r="Y2489" s="36" t="str">
        <f t="shared" si="99"/>
        <v/>
      </c>
    </row>
    <row r="2490" spans="13:25">
      <c r="M2490" s="24" t="str">
        <f t="array" ref="M2490">LEFT(L2490,MIN(FIND({"A","B","C"},MID(L2490,2,LEN(L2490))&amp;"ABC")))</f>
        <v/>
      </c>
      <c r="N2490" s="24" t="str">
        <f t="array" ref="N2490">SUBSTITUTE(L2490,M2490,"")</f>
        <v/>
      </c>
      <c r="X2490" s="258" t="str">
        <f t="shared" si="98"/>
        <v/>
      </c>
      <c r="Y2490" s="36" t="str">
        <f t="shared" si="99"/>
        <v/>
      </c>
    </row>
    <row r="2491" spans="13:25">
      <c r="M2491" s="24" t="str">
        <f t="array" ref="M2491">LEFT(L2491,MIN(FIND({"A","B","C"},MID(L2491,2,LEN(L2491))&amp;"ABC")))</f>
        <v/>
      </c>
      <c r="N2491" s="24" t="str">
        <f t="array" ref="N2491">SUBSTITUTE(L2491,M2491,"")</f>
        <v/>
      </c>
      <c r="X2491" s="258" t="str">
        <f t="shared" si="98"/>
        <v/>
      </c>
      <c r="Y2491" s="36" t="str">
        <f t="shared" si="99"/>
        <v/>
      </c>
    </row>
    <row r="2492" spans="13:25">
      <c r="M2492" s="24" t="str">
        <f t="array" ref="M2492">LEFT(L2492,MIN(FIND({"A","B","C"},MID(L2492,2,LEN(L2492))&amp;"ABC")))</f>
        <v/>
      </c>
      <c r="N2492" s="24" t="str">
        <f t="array" ref="N2492">SUBSTITUTE(L2492,M2492,"")</f>
        <v/>
      </c>
      <c r="X2492" s="258" t="str">
        <f t="shared" si="98"/>
        <v/>
      </c>
      <c r="Y2492" s="36" t="str">
        <f t="shared" si="99"/>
        <v/>
      </c>
    </row>
    <row r="2493" spans="13:25">
      <c r="M2493" s="24" t="str">
        <f t="array" ref="M2493">LEFT(L2493,MIN(FIND({"A","B","C"},MID(L2493,2,LEN(L2493))&amp;"ABC")))</f>
        <v/>
      </c>
      <c r="N2493" s="24" t="str">
        <f t="array" ref="N2493">SUBSTITUTE(L2493,M2493,"")</f>
        <v/>
      </c>
      <c r="X2493" s="258" t="str">
        <f t="shared" si="98"/>
        <v/>
      </c>
      <c r="Y2493" s="36" t="str">
        <f t="shared" si="99"/>
        <v/>
      </c>
    </row>
    <row r="2494" spans="13:25">
      <c r="M2494" s="24" t="str">
        <f t="array" ref="M2494">LEFT(L2494,MIN(FIND({"A","B","C"},MID(L2494,2,LEN(L2494))&amp;"ABC")))</f>
        <v/>
      </c>
      <c r="N2494" s="24" t="str">
        <f t="array" ref="N2494">SUBSTITUTE(L2494,M2494,"")</f>
        <v/>
      </c>
      <c r="X2494" s="258" t="str">
        <f t="shared" si="98"/>
        <v/>
      </c>
      <c r="Y2494" s="36" t="str">
        <f t="shared" si="99"/>
        <v/>
      </c>
    </row>
    <row r="2495" spans="13:25">
      <c r="M2495" s="24" t="str">
        <f t="array" ref="M2495">LEFT(L2495,MIN(FIND({"A","B","C"},MID(L2495,2,LEN(L2495))&amp;"ABC")))</f>
        <v/>
      </c>
      <c r="N2495" s="24" t="str">
        <f t="array" ref="N2495">SUBSTITUTE(L2495,M2495,"")</f>
        <v/>
      </c>
      <c r="X2495" s="258" t="str">
        <f t="shared" si="98"/>
        <v/>
      </c>
      <c r="Y2495" s="36" t="str">
        <f t="shared" si="99"/>
        <v/>
      </c>
    </row>
    <row r="2496" spans="13:25">
      <c r="M2496" s="24" t="str">
        <f t="array" ref="M2496">LEFT(L2496,MIN(FIND({"A","B","C"},MID(L2496,2,LEN(L2496))&amp;"ABC")))</f>
        <v/>
      </c>
      <c r="N2496" s="24" t="str">
        <f t="array" ref="N2496">SUBSTITUTE(L2496,M2496,"")</f>
        <v/>
      </c>
      <c r="X2496" s="258" t="str">
        <f t="shared" si="98"/>
        <v/>
      </c>
      <c r="Y2496" s="36" t="str">
        <f t="shared" si="99"/>
        <v/>
      </c>
    </row>
    <row r="2497" spans="13:25">
      <c r="M2497" s="24" t="str">
        <f t="array" ref="M2497">LEFT(L2497,MIN(FIND({"A","B","C"},MID(L2497,2,LEN(L2497))&amp;"ABC")))</f>
        <v/>
      </c>
      <c r="N2497" s="24" t="str">
        <f t="array" ref="N2497">SUBSTITUTE(L2497,M2497,"")</f>
        <v/>
      </c>
      <c r="X2497" s="258" t="str">
        <f t="shared" si="98"/>
        <v/>
      </c>
      <c r="Y2497" s="36" t="str">
        <f t="shared" si="99"/>
        <v/>
      </c>
    </row>
    <row r="2498" spans="13:25">
      <c r="M2498" s="24" t="str">
        <f t="array" ref="M2498">LEFT(L2498,MIN(FIND({"A","B","C"},MID(L2498,2,LEN(L2498))&amp;"ABC")))</f>
        <v/>
      </c>
      <c r="N2498" s="24" t="str">
        <f t="array" ref="N2498">SUBSTITUTE(L2498,M2498,"")</f>
        <v/>
      </c>
      <c r="X2498" s="258" t="str">
        <f t="shared" si="98"/>
        <v/>
      </c>
      <c r="Y2498" s="36" t="str">
        <f t="shared" si="99"/>
        <v/>
      </c>
    </row>
    <row r="2499" spans="13:25">
      <c r="M2499" s="24" t="str">
        <f t="array" ref="M2499">LEFT(L2499,MIN(FIND({"A","B","C"},MID(L2499,2,LEN(L2499))&amp;"ABC")))</f>
        <v/>
      </c>
      <c r="N2499" s="24" t="str">
        <f t="array" ref="N2499">SUBSTITUTE(L2499,M2499,"")</f>
        <v/>
      </c>
      <c r="X2499" s="258" t="str">
        <f t="shared" si="98"/>
        <v/>
      </c>
      <c r="Y2499" s="36" t="str">
        <f t="shared" si="99"/>
        <v/>
      </c>
    </row>
    <row r="2500" spans="13:25">
      <c r="M2500" s="24" t="str">
        <f t="array" ref="M2500">LEFT(L2500,MIN(FIND({"A","B","C"},MID(L2500,2,LEN(L2500))&amp;"ABC")))</f>
        <v/>
      </c>
      <c r="N2500" s="24" t="str">
        <f t="array" ref="N2500">SUBSTITUTE(L2500,M2500,"")</f>
        <v/>
      </c>
      <c r="X2500" s="258" t="str">
        <f t="shared" si="98"/>
        <v/>
      </c>
      <c r="Y2500" s="36" t="str">
        <f t="shared" si="99"/>
        <v/>
      </c>
    </row>
    <row r="2501" spans="13:25">
      <c r="M2501" s="24" t="str">
        <f t="array" ref="M2501">LEFT(L2501,MIN(FIND({"A","B","C"},MID(L2501,2,LEN(L2501))&amp;"ABC")))</f>
        <v/>
      </c>
      <c r="N2501" s="24" t="str">
        <f t="array" ref="N2501">SUBSTITUTE(L2501,M2501,"")</f>
        <v/>
      </c>
      <c r="X2501" s="258" t="str">
        <f t="shared" si="98"/>
        <v/>
      </c>
      <c r="Y2501" s="36" t="str">
        <f t="shared" si="99"/>
        <v/>
      </c>
    </row>
    <row r="2502" spans="13:25">
      <c r="M2502" s="24" t="str">
        <f t="array" ref="M2502">LEFT(L2502,MIN(FIND({"A","B","C"},MID(L2502,2,LEN(L2502))&amp;"ABC")))</f>
        <v/>
      </c>
      <c r="N2502" s="24" t="str">
        <f t="array" ref="N2502">SUBSTITUTE(L2502,M2502,"")</f>
        <v/>
      </c>
      <c r="X2502" s="258" t="str">
        <f t="shared" si="98"/>
        <v/>
      </c>
      <c r="Y2502" s="36" t="str">
        <f t="shared" si="99"/>
        <v/>
      </c>
    </row>
    <row r="2503" spans="13:25">
      <c r="M2503" s="24" t="str">
        <f t="array" ref="M2503">LEFT(L2503,MIN(FIND({"A","B","C"},MID(L2503,2,LEN(L2503))&amp;"ABC")))</f>
        <v/>
      </c>
      <c r="N2503" s="24" t="str">
        <f t="array" ref="N2503">SUBSTITUTE(L2503,M2503,"")</f>
        <v/>
      </c>
      <c r="X2503" s="258" t="str">
        <f t="shared" si="98"/>
        <v/>
      </c>
      <c r="Y2503" s="36" t="str">
        <f t="shared" si="99"/>
        <v/>
      </c>
    </row>
    <row r="2504" spans="13:25">
      <c r="M2504" s="24" t="str">
        <f t="array" ref="M2504">LEFT(L2504,MIN(FIND({"A","B","C"},MID(L2504,2,LEN(L2504))&amp;"ABC")))</f>
        <v/>
      </c>
      <c r="N2504" s="24" t="str">
        <f t="array" ref="N2504">SUBSTITUTE(L2504,M2504,"")</f>
        <v/>
      </c>
      <c r="X2504" s="258" t="str">
        <f t="shared" si="98"/>
        <v/>
      </c>
      <c r="Y2504" s="36" t="str">
        <f t="shared" si="99"/>
        <v/>
      </c>
    </row>
    <row r="2505" spans="13:25">
      <c r="M2505" s="24" t="str">
        <f t="array" ref="M2505">LEFT(L2505,MIN(FIND({"A","B","C"},MID(L2505,2,LEN(L2505))&amp;"ABC")))</f>
        <v/>
      </c>
      <c r="N2505" s="24" t="str">
        <f t="array" ref="N2505">SUBSTITUTE(L2505,M2505,"")</f>
        <v/>
      </c>
      <c r="X2505" s="258" t="str">
        <f t="shared" si="98"/>
        <v/>
      </c>
      <c r="Y2505" s="36" t="str">
        <f t="shared" si="99"/>
        <v/>
      </c>
    </row>
    <row r="2506" spans="13:25">
      <c r="M2506" s="24" t="str">
        <f t="array" ref="M2506">LEFT(L2506,MIN(FIND({"A","B","C"},MID(L2506,2,LEN(L2506))&amp;"ABC")))</f>
        <v/>
      </c>
      <c r="N2506" s="24" t="str">
        <f t="array" ref="N2506">SUBSTITUTE(L2506,M2506,"")</f>
        <v/>
      </c>
      <c r="X2506" s="258" t="str">
        <f t="shared" si="98"/>
        <v/>
      </c>
      <c r="Y2506" s="36" t="str">
        <f t="shared" si="99"/>
        <v/>
      </c>
    </row>
    <row r="2507" spans="13:25">
      <c r="M2507" s="24" t="str">
        <f t="array" ref="M2507">LEFT(L2507,MIN(FIND({"A","B","C"},MID(L2507,2,LEN(L2507))&amp;"ABC")))</f>
        <v/>
      </c>
      <c r="N2507" s="24" t="str">
        <f t="array" ref="N2507">SUBSTITUTE(L2507,M2507,"")</f>
        <v/>
      </c>
      <c r="X2507" s="258" t="str">
        <f t="shared" si="98"/>
        <v/>
      </c>
      <c r="Y2507" s="36" t="str">
        <f t="shared" si="99"/>
        <v/>
      </c>
    </row>
    <row r="2508" spans="13:25">
      <c r="M2508" s="24" t="str">
        <f t="array" ref="M2508">LEFT(L2508,MIN(FIND({"A","B","C"},MID(L2508,2,LEN(L2508))&amp;"ABC")))</f>
        <v/>
      </c>
      <c r="N2508" s="24" t="str">
        <f t="array" ref="N2508">SUBSTITUTE(L2508,M2508,"")</f>
        <v/>
      </c>
      <c r="X2508" s="258" t="str">
        <f t="shared" si="98"/>
        <v/>
      </c>
      <c r="Y2508" s="36" t="str">
        <f t="shared" si="99"/>
        <v/>
      </c>
    </row>
    <row r="2509" spans="13:25">
      <c r="M2509" s="24" t="str">
        <f t="array" ref="M2509">LEFT(L2509,MIN(FIND({"A","B","C"},MID(L2509,2,LEN(L2509))&amp;"ABC")))</f>
        <v/>
      </c>
      <c r="N2509" s="24" t="str">
        <f t="array" ref="N2509">SUBSTITUTE(L2509,M2509,"")</f>
        <v/>
      </c>
      <c r="X2509" s="258" t="str">
        <f t="shared" si="98"/>
        <v/>
      </c>
      <c r="Y2509" s="36" t="str">
        <f t="shared" si="99"/>
        <v/>
      </c>
    </row>
    <row r="2510" spans="13:25">
      <c r="M2510" s="24" t="str">
        <f t="array" ref="M2510">LEFT(L2510,MIN(FIND({"A","B","C"},MID(L2510,2,LEN(L2510))&amp;"ABC")))</f>
        <v/>
      </c>
      <c r="N2510" s="24" t="str">
        <f t="array" ref="N2510">SUBSTITUTE(L2510,M2510,"")</f>
        <v/>
      </c>
      <c r="X2510" s="258" t="str">
        <f t="shared" si="98"/>
        <v/>
      </c>
      <c r="Y2510" s="36" t="str">
        <f t="shared" si="99"/>
        <v/>
      </c>
    </row>
    <row r="2511" spans="13:25">
      <c r="M2511" s="24" t="str">
        <f t="array" ref="M2511">LEFT(L2511,MIN(FIND({"A","B","C"},MID(L2511,2,LEN(L2511))&amp;"ABC")))</f>
        <v/>
      </c>
      <c r="N2511" s="24" t="str">
        <f t="array" ref="N2511">SUBSTITUTE(L2511,M2511,"")</f>
        <v/>
      </c>
      <c r="X2511" s="258" t="str">
        <f t="shared" si="98"/>
        <v/>
      </c>
      <c r="Y2511" s="36" t="str">
        <f t="shared" si="99"/>
        <v/>
      </c>
    </row>
    <row r="2512" spans="13:25">
      <c r="M2512" s="24" t="str">
        <f t="array" ref="M2512">LEFT(L2512,MIN(FIND({"A","B","C"},MID(L2512,2,LEN(L2512))&amp;"ABC")))</f>
        <v/>
      </c>
      <c r="N2512" s="24" t="str">
        <f t="array" ref="N2512">SUBSTITUTE(L2512,M2512,"")</f>
        <v/>
      </c>
      <c r="X2512" s="258" t="str">
        <f t="shared" si="98"/>
        <v/>
      </c>
      <c r="Y2512" s="36" t="str">
        <f t="shared" si="99"/>
        <v/>
      </c>
    </row>
    <row r="2513" spans="13:25">
      <c r="M2513" s="24" t="str">
        <f t="array" ref="M2513">LEFT(L2513,MIN(FIND({"A","B","C"},MID(L2513,2,LEN(L2513))&amp;"ABC")))</f>
        <v/>
      </c>
      <c r="N2513" s="24" t="str">
        <f t="array" ref="N2513">SUBSTITUTE(L2513,M2513,"")</f>
        <v/>
      </c>
      <c r="X2513" s="258" t="str">
        <f t="shared" si="98"/>
        <v/>
      </c>
      <c r="Y2513" s="36" t="str">
        <f t="shared" si="99"/>
        <v/>
      </c>
    </row>
    <row r="2514" spans="13:25">
      <c r="M2514" s="24" t="str">
        <f t="array" ref="M2514">LEFT(L2514,MIN(FIND({"A","B","C"},MID(L2514,2,LEN(L2514))&amp;"ABC")))</f>
        <v/>
      </c>
      <c r="N2514" s="24" t="str">
        <f t="array" ref="N2514">SUBSTITUTE(L2514,M2514,"")</f>
        <v/>
      </c>
      <c r="X2514" s="258" t="str">
        <f t="shared" si="98"/>
        <v/>
      </c>
      <c r="Y2514" s="36" t="str">
        <f t="shared" si="99"/>
        <v/>
      </c>
    </row>
    <row r="2515" spans="13:25">
      <c r="M2515" s="24" t="str">
        <f t="array" ref="M2515">LEFT(L2515,MIN(FIND({"A","B","C"},MID(L2515,2,LEN(L2515))&amp;"ABC")))</f>
        <v/>
      </c>
      <c r="N2515" s="24" t="str">
        <f t="array" ref="N2515">SUBSTITUTE(L2515,M2515,"")</f>
        <v/>
      </c>
      <c r="X2515" s="258" t="str">
        <f t="shared" si="98"/>
        <v/>
      </c>
      <c r="Y2515" s="36" t="str">
        <f t="shared" si="99"/>
        <v/>
      </c>
    </row>
    <row r="2516" spans="13:25">
      <c r="M2516" s="24" t="str">
        <f t="array" ref="M2516">LEFT(L2516,MIN(FIND({"A","B","C"},MID(L2516,2,LEN(L2516))&amp;"ABC")))</f>
        <v/>
      </c>
      <c r="N2516" s="24" t="str">
        <f t="array" ref="N2516">SUBSTITUTE(L2516,M2516,"")</f>
        <v/>
      </c>
      <c r="X2516" s="258" t="str">
        <f t="shared" si="98"/>
        <v/>
      </c>
      <c r="Y2516" s="36" t="str">
        <f t="shared" si="99"/>
        <v/>
      </c>
    </row>
    <row r="2517" spans="13:25">
      <c r="M2517" s="24" t="str">
        <f t="array" ref="M2517">LEFT(L2517,MIN(FIND({"A","B","C"},MID(L2517,2,LEN(L2517))&amp;"ABC")))</f>
        <v/>
      </c>
      <c r="N2517" s="24" t="str">
        <f t="array" ref="N2517">SUBSTITUTE(L2517,M2517,"")</f>
        <v/>
      </c>
      <c r="X2517" s="258" t="str">
        <f t="shared" si="98"/>
        <v/>
      </c>
      <c r="Y2517" s="36" t="str">
        <f t="shared" si="99"/>
        <v/>
      </c>
    </row>
    <row r="2518" spans="13:25">
      <c r="M2518" s="24" t="str">
        <f t="array" ref="M2518">LEFT(L2518,MIN(FIND({"A","B","C"},MID(L2518,2,LEN(L2518))&amp;"ABC")))</f>
        <v/>
      </c>
      <c r="N2518" s="24" t="str">
        <f t="array" ref="N2518">SUBSTITUTE(L2518,M2518,"")</f>
        <v/>
      </c>
      <c r="X2518" s="258" t="str">
        <f t="shared" si="98"/>
        <v/>
      </c>
      <c r="Y2518" s="36" t="str">
        <f t="shared" si="99"/>
        <v/>
      </c>
    </row>
    <row r="2519" spans="13:25">
      <c r="M2519" s="24" t="str">
        <f t="array" ref="M2519">LEFT(L2519,MIN(FIND({"A","B","C"},MID(L2519,2,LEN(L2519))&amp;"ABC")))</f>
        <v/>
      </c>
      <c r="N2519" s="24" t="str">
        <f t="array" ref="N2519">SUBSTITUTE(L2519,M2519,"")</f>
        <v/>
      </c>
      <c r="X2519" s="258" t="str">
        <f t="shared" si="98"/>
        <v/>
      </c>
      <c r="Y2519" s="36" t="str">
        <f t="shared" si="99"/>
        <v/>
      </c>
    </row>
    <row r="2520" spans="13:25">
      <c r="M2520" s="24" t="str">
        <f t="array" ref="M2520">LEFT(L2520,MIN(FIND({"A","B","C"},MID(L2520,2,LEN(L2520))&amp;"ABC")))</f>
        <v/>
      </c>
      <c r="N2520" s="24" t="str">
        <f t="array" ref="N2520">SUBSTITUTE(L2520,M2520,"")</f>
        <v/>
      </c>
      <c r="X2520" s="258" t="str">
        <f t="shared" si="98"/>
        <v/>
      </c>
      <c r="Y2520" s="36" t="str">
        <f t="shared" si="99"/>
        <v/>
      </c>
    </row>
    <row r="2521" spans="13:25">
      <c r="M2521" s="24" t="str">
        <f t="array" ref="M2521">LEFT(L2521,MIN(FIND({"A","B","C"},MID(L2521,2,LEN(L2521))&amp;"ABC")))</f>
        <v/>
      </c>
      <c r="N2521" s="24" t="str">
        <f t="array" ref="N2521">SUBSTITUTE(L2521,M2521,"")</f>
        <v/>
      </c>
      <c r="X2521" s="258" t="str">
        <f t="shared" si="98"/>
        <v/>
      </c>
      <c r="Y2521" s="36" t="str">
        <f t="shared" si="99"/>
        <v/>
      </c>
    </row>
    <row r="2522" spans="13:25">
      <c r="M2522" s="24" t="str">
        <f t="array" ref="M2522">LEFT(L2522,MIN(FIND({"A","B","C"},MID(L2522,2,LEN(L2522))&amp;"ABC")))</f>
        <v/>
      </c>
      <c r="N2522" s="24" t="str">
        <f t="array" ref="N2522">SUBSTITUTE(L2522,M2522,"")</f>
        <v/>
      </c>
      <c r="X2522" s="258" t="str">
        <f t="shared" si="98"/>
        <v/>
      </c>
      <c r="Y2522" s="36" t="str">
        <f t="shared" si="99"/>
        <v/>
      </c>
    </row>
    <row r="2523" spans="13:25">
      <c r="M2523" s="24" t="str">
        <f t="array" ref="M2523">LEFT(L2523,MIN(FIND({"A","B","C"},MID(L2523,2,LEN(L2523))&amp;"ABC")))</f>
        <v/>
      </c>
      <c r="N2523" s="24" t="str">
        <f t="array" ref="N2523">SUBSTITUTE(L2523,M2523,"")</f>
        <v/>
      </c>
      <c r="X2523" s="258" t="str">
        <f t="shared" si="98"/>
        <v/>
      </c>
      <c r="Y2523" s="36" t="str">
        <f t="shared" si="99"/>
        <v/>
      </c>
    </row>
    <row r="2524" spans="13:25">
      <c r="M2524" s="24" t="str">
        <f t="array" ref="M2524">LEFT(L2524,MIN(FIND({"A","B","C"},MID(L2524,2,LEN(L2524))&amp;"ABC")))</f>
        <v/>
      </c>
      <c r="N2524" s="24" t="str">
        <f t="array" ref="N2524">SUBSTITUTE(L2524,M2524,"")</f>
        <v/>
      </c>
      <c r="X2524" s="258" t="str">
        <f t="shared" ref="X2524:X2587" si="100">IF(B2524="","",IF(S2524&lt;&gt;"","",IF(AND(Z2524&lt;&gt;"",AA2524&lt;&gt;""),SUM(Z2524:AA2524),IF(AB2524&lt;&gt;"",(I2524/((1/((G2524+2)/100*K2524/1000))*0.9144)/IF(H2524="黑丝",22,20)-AB2524)*(IF(H2524="黑丝",22,20)),I2524/((1/((G2524+2)/100*K2524/1000))*0.9144)))))</f>
        <v/>
      </c>
      <c r="Y2524" s="36" t="str">
        <f t="shared" si="99"/>
        <v/>
      </c>
    </row>
    <row r="2525" spans="13:25">
      <c r="M2525" s="24" t="str">
        <f t="array" ref="M2525">LEFT(L2525,MIN(FIND({"A","B","C"},MID(L2525,2,LEN(L2525))&amp;"ABC")))</f>
        <v/>
      </c>
      <c r="N2525" s="24" t="str">
        <f t="array" ref="N2525">SUBSTITUTE(L2525,M2525,"")</f>
        <v/>
      </c>
      <c r="X2525" s="258" t="str">
        <f t="shared" si="100"/>
        <v/>
      </c>
      <c r="Y2525" s="36" t="str">
        <f t="shared" si="99"/>
        <v/>
      </c>
    </row>
    <row r="2526" spans="13:25">
      <c r="M2526" s="24" t="str">
        <f t="array" ref="M2526">LEFT(L2526,MIN(FIND({"A","B","C"},MID(L2526,2,LEN(L2526))&amp;"ABC")))</f>
        <v/>
      </c>
      <c r="N2526" s="24" t="str">
        <f t="array" ref="N2526">SUBSTITUTE(L2526,M2526,"")</f>
        <v/>
      </c>
      <c r="X2526" s="258" t="str">
        <f t="shared" si="100"/>
        <v/>
      </c>
      <c r="Y2526" s="36" t="str">
        <f t="shared" si="99"/>
        <v/>
      </c>
    </row>
    <row r="2527" spans="13:25">
      <c r="M2527" s="24" t="str">
        <f t="array" ref="M2527">LEFT(L2527,MIN(FIND({"A","B","C"},MID(L2527,2,LEN(L2527))&amp;"ABC")))</f>
        <v/>
      </c>
      <c r="N2527" s="24" t="str">
        <f t="array" ref="N2527">SUBSTITUTE(L2527,M2527,"")</f>
        <v/>
      </c>
      <c r="X2527" s="258" t="str">
        <f t="shared" si="100"/>
        <v/>
      </c>
      <c r="Y2527" s="36" t="str">
        <f t="shared" si="99"/>
        <v/>
      </c>
    </row>
    <row r="2528" spans="13:25">
      <c r="M2528" s="24" t="str">
        <f t="array" ref="M2528">LEFT(L2528,MIN(FIND({"A","B","C"},MID(L2528,2,LEN(L2528))&amp;"ABC")))</f>
        <v/>
      </c>
      <c r="N2528" s="24" t="str">
        <f t="array" ref="N2528">SUBSTITUTE(L2528,M2528,"")</f>
        <v/>
      </c>
      <c r="X2528" s="258" t="str">
        <f t="shared" si="100"/>
        <v/>
      </c>
      <c r="Y2528" s="36" t="str">
        <f t="shared" si="99"/>
        <v/>
      </c>
    </row>
    <row r="2529" spans="13:25">
      <c r="M2529" s="24" t="str">
        <f t="array" ref="M2529">LEFT(L2529,MIN(FIND({"A","B","C"},MID(L2529,2,LEN(L2529))&amp;"ABC")))</f>
        <v/>
      </c>
      <c r="N2529" s="24" t="str">
        <f t="array" ref="N2529">SUBSTITUTE(L2529,M2529,"")</f>
        <v/>
      </c>
      <c r="X2529" s="258" t="str">
        <f t="shared" si="100"/>
        <v/>
      </c>
      <c r="Y2529" s="36" t="str">
        <f t="shared" si="99"/>
        <v/>
      </c>
    </row>
    <row r="2530" spans="13:25">
      <c r="M2530" s="24" t="str">
        <f t="array" ref="M2530">LEFT(L2530,MIN(FIND({"A","B","C"},MID(L2530,2,LEN(L2530))&amp;"ABC")))</f>
        <v/>
      </c>
      <c r="N2530" s="24" t="str">
        <f t="array" ref="N2530">SUBSTITUTE(L2530,M2530,"")</f>
        <v/>
      </c>
      <c r="X2530" s="258" t="str">
        <f t="shared" si="100"/>
        <v/>
      </c>
      <c r="Y2530" s="36" t="str">
        <f t="shared" si="99"/>
        <v/>
      </c>
    </row>
    <row r="2531" spans="13:25">
      <c r="M2531" s="24" t="str">
        <f t="array" ref="M2531">LEFT(L2531,MIN(FIND({"A","B","C"},MID(L2531,2,LEN(L2531))&amp;"ABC")))</f>
        <v/>
      </c>
      <c r="N2531" s="24" t="str">
        <f t="array" ref="N2531">SUBSTITUTE(L2531,M2531,"")</f>
        <v/>
      </c>
      <c r="X2531" s="258" t="str">
        <f t="shared" si="100"/>
        <v/>
      </c>
      <c r="Y2531" s="36" t="str">
        <f t="shared" si="99"/>
        <v/>
      </c>
    </row>
    <row r="2532" spans="13:25">
      <c r="M2532" s="24" t="str">
        <f t="array" ref="M2532">LEFT(L2532,MIN(FIND({"A","B","C"},MID(L2532,2,LEN(L2532))&amp;"ABC")))</f>
        <v/>
      </c>
      <c r="N2532" s="24" t="str">
        <f t="array" ref="N2532">SUBSTITUTE(L2532,M2532,"")</f>
        <v/>
      </c>
      <c r="X2532" s="258" t="str">
        <f t="shared" si="100"/>
        <v/>
      </c>
      <c r="Y2532" s="36" t="str">
        <f t="shared" si="99"/>
        <v/>
      </c>
    </row>
    <row r="2533" spans="13:25">
      <c r="M2533" s="24" t="str">
        <f t="array" ref="M2533">LEFT(L2533,MIN(FIND({"A","B","C"},MID(L2533,2,LEN(L2533))&amp;"ABC")))</f>
        <v/>
      </c>
      <c r="N2533" s="24" t="str">
        <f t="array" ref="N2533">SUBSTITUTE(L2533,M2533,"")</f>
        <v/>
      </c>
      <c r="X2533" s="258" t="str">
        <f t="shared" si="100"/>
        <v/>
      </c>
      <c r="Y2533" s="36" t="str">
        <f t="shared" si="99"/>
        <v/>
      </c>
    </row>
    <row r="2534" spans="13:25">
      <c r="M2534" s="24" t="str">
        <f t="array" ref="M2534">LEFT(L2534,MIN(FIND({"A","B","C"},MID(L2534,2,LEN(L2534))&amp;"ABC")))</f>
        <v/>
      </c>
      <c r="N2534" s="24" t="str">
        <f t="array" ref="N2534">SUBSTITUTE(L2534,M2534,"")</f>
        <v/>
      </c>
      <c r="X2534" s="258" t="str">
        <f t="shared" si="100"/>
        <v/>
      </c>
      <c r="Y2534" s="36" t="str">
        <f t="shared" si="99"/>
        <v/>
      </c>
    </row>
    <row r="2535" spans="13:25">
      <c r="M2535" s="24" t="str">
        <f t="array" ref="M2535">LEFT(L2535,MIN(FIND({"A","B","C"},MID(L2535,2,LEN(L2535))&amp;"ABC")))</f>
        <v/>
      </c>
      <c r="N2535" s="24" t="str">
        <f t="array" ref="N2535">SUBSTITUTE(L2535,M2535,"")</f>
        <v/>
      </c>
      <c r="X2535" s="258" t="str">
        <f t="shared" si="100"/>
        <v/>
      </c>
      <c r="Y2535" s="36" t="str">
        <f t="shared" si="99"/>
        <v/>
      </c>
    </row>
    <row r="2536" spans="13:25">
      <c r="M2536" s="24" t="str">
        <f t="array" ref="M2536">LEFT(L2536,MIN(FIND({"A","B","C"},MID(L2536,2,LEN(L2536))&amp;"ABC")))</f>
        <v/>
      </c>
      <c r="N2536" s="24" t="str">
        <f t="array" ref="N2536">SUBSTITUTE(L2536,M2536,"")</f>
        <v/>
      </c>
      <c r="X2536" s="258" t="str">
        <f t="shared" si="100"/>
        <v/>
      </c>
      <c r="Y2536" s="36" t="str">
        <f t="shared" si="99"/>
        <v/>
      </c>
    </row>
    <row r="2537" spans="13:25">
      <c r="M2537" s="24" t="str">
        <f t="array" ref="M2537">LEFT(L2537,MIN(FIND({"A","B","C"},MID(L2537,2,LEN(L2537))&amp;"ABC")))</f>
        <v/>
      </c>
      <c r="N2537" s="24" t="str">
        <f t="array" ref="N2537">SUBSTITUTE(L2537,M2537,"")</f>
        <v/>
      </c>
      <c r="X2537" s="258" t="str">
        <f t="shared" si="100"/>
        <v/>
      </c>
      <c r="Y2537" s="36" t="str">
        <f t="shared" ref="Y2537:Y2596" si="101">IF(OR(B2537="",D2537&lt;&gt;""),"",IF(S2537&lt;&gt;"","",I2537/((1/((G2537+2)/100*K2537/1000))*0.9144)/IF(H2537="黑丝",22,20)-AB2537))</f>
        <v/>
      </c>
    </row>
    <row r="2538" spans="13:25">
      <c r="M2538" s="24" t="str">
        <f t="array" ref="M2538">LEFT(L2538,MIN(FIND({"A","B","C"},MID(L2538,2,LEN(L2538))&amp;"ABC")))</f>
        <v/>
      </c>
      <c r="N2538" s="24" t="str">
        <f t="array" ref="N2538">SUBSTITUTE(L2538,M2538,"")</f>
        <v/>
      </c>
      <c r="X2538" s="258" t="str">
        <f t="shared" si="100"/>
        <v/>
      </c>
      <c r="Y2538" s="36" t="str">
        <f t="shared" si="101"/>
        <v/>
      </c>
    </row>
    <row r="2539" spans="13:25">
      <c r="M2539" s="24" t="str">
        <f t="array" ref="M2539">LEFT(L2539,MIN(FIND({"A","B","C"},MID(L2539,2,LEN(L2539))&amp;"ABC")))</f>
        <v/>
      </c>
      <c r="N2539" s="24" t="str">
        <f t="array" ref="N2539">SUBSTITUTE(L2539,M2539,"")</f>
        <v/>
      </c>
      <c r="X2539" s="258" t="str">
        <f t="shared" si="100"/>
        <v/>
      </c>
      <c r="Y2539" s="36" t="str">
        <f t="shared" si="101"/>
        <v/>
      </c>
    </row>
    <row r="2540" spans="13:25">
      <c r="M2540" s="24" t="str">
        <f t="array" ref="M2540">LEFT(L2540,MIN(FIND({"A","B","C"},MID(L2540,2,LEN(L2540))&amp;"ABC")))</f>
        <v/>
      </c>
      <c r="N2540" s="24" t="str">
        <f t="array" ref="N2540">SUBSTITUTE(L2540,M2540,"")</f>
        <v/>
      </c>
      <c r="X2540" s="258" t="str">
        <f t="shared" si="100"/>
        <v/>
      </c>
      <c r="Y2540" s="36" t="str">
        <f t="shared" si="101"/>
        <v/>
      </c>
    </row>
    <row r="2541" spans="13:25">
      <c r="M2541" s="24" t="str">
        <f t="array" ref="M2541">LEFT(L2541,MIN(FIND({"A","B","C"},MID(L2541,2,LEN(L2541))&amp;"ABC")))</f>
        <v/>
      </c>
      <c r="N2541" s="24" t="str">
        <f t="array" ref="N2541">SUBSTITUTE(L2541,M2541,"")</f>
        <v/>
      </c>
      <c r="X2541" s="258" t="str">
        <f t="shared" si="100"/>
        <v/>
      </c>
      <c r="Y2541" s="36" t="str">
        <f t="shared" si="101"/>
        <v/>
      </c>
    </row>
    <row r="2542" spans="13:25">
      <c r="M2542" s="24" t="str">
        <f t="array" ref="M2542">LEFT(L2542,MIN(FIND({"A","B","C"},MID(L2542,2,LEN(L2542))&amp;"ABC")))</f>
        <v/>
      </c>
      <c r="N2542" s="24" t="str">
        <f t="array" ref="N2542">SUBSTITUTE(L2542,M2542,"")</f>
        <v/>
      </c>
      <c r="X2542" s="258" t="str">
        <f t="shared" si="100"/>
        <v/>
      </c>
      <c r="Y2542" s="36" t="str">
        <f t="shared" si="101"/>
        <v/>
      </c>
    </row>
    <row r="2543" spans="13:25">
      <c r="M2543" s="24" t="str">
        <f t="array" ref="M2543">LEFT(L2543,MIN(FIND({"A","B","C"},MID(L2543,2,LEN(L2543))&amp;"ABC")))</f>
        <v/>
      </c>
      <c r="N2543" s="24" t="str">
        <f t="array" ref="N2543">SUBSTITUTE(L2543,M2543,"")</f>
        <v/>
      </c>
      <c r="X2543" s="258" t="str">
        <f t="shared" si="100"/>
        <v/>
      </c>
      <c r="Y2543" s="36" t="str">
        <f t="shared" si="101"/>
        <v/>
      </c>
    </row>
    <row r="2544" spans="13:25">
      <c r="M2544" s="24" t="str">
        <f t="array" ref="M2544">LEFT(L2544,MIN(FIND({"A","B","C"},MID(L2544,2,LEN(L2544))&amp;"ABC")))</f>
        <v/>
      </c>
      <c r="N2544" s="24" t="str">
        <f t="array" ref="N2544">SUBSTITUTE(L2544,M2544,"")</f>
        <v/>
      </c>
      <c r="X2544" s="258" t="str">
        <f t="shared" si="100"/>
        <v/>
      </c>
      <c r="Y2544" s="36" t="str">
        <f t="shared" si="101"/>
        <v/>
      </c>
    </row>
    <row r="2545" spans="13:25">
      <c r="M2545" s="24" t="str">
        <f t="array" ref="M2545">LEFT(L2545,MIN(FIND({"A","B","C"},MID(L2545,2,LEN(L2545))&amp;"ABC")))</f>
        <v/>
      </c>
      <c r="N2545" s="24" t="str">
        <f t="array" ref="N2545">SUBSTITUTE(L2545,M2545,"")</f>
        <v/>
      </c>
      <c r="X2545" s="258" t="str">
        <f t="shared" si="100"/>
        <v/>
      </c>
      <c r="Y2545" s="36" t="str">
        <f t="shared" si="101"/>
        <v/>
      </c>
    </row>
    <row r="2546" spans="13:25">
      <c r="M2546" s="24" t="str">
        <f t="array" ref="M2546">LEFT(L2546,MIN(FIND({"A","B","C"},MID(L2546,2,LEN(L2546))&amp;"ABC")))</f>
        <v/>
      </c>
      <c r="N2546" s="24" t="str">
        <f t="array" ref="N2546">SUBSTITUTE(L2546,M2546,"")</f>
        <v/>
      </c>
      <c r="X2546" s="258" t="str">
        <f t="shared" si="100"/>
        <v/>
      </c>
      <c r="Y2546" s="36" t="str">
        <f t="shared" si="101"/>
        <v/>
      </c>
    </row>
    <row r="2547" spans="13:25">
      <c r="M2547" s="24" t="str">
        <f t="array" ref="M2547">LEFT(L2547,MIN(FIND({"A","B","C"},MID(L2547,2,LEN(L2547))&amp;"ABC")))</f>
        <v/>
      </c>
      <c r="N2547" s="24" t="str">
        <f t="array" ref="N2547">SUBSTITUTE(L2547,M2547,"")</f>
        <v/>
      </c>
      <c r="X2547" s="258" t="str">
        <f t="shared" si="100"/>
        <v/>
      </c>
      <c r="Y2547" s="36" t="str">
        <f t="shared" si="101"/>
        <v/>
      </c>
    </row>
    <row r="2548" spans="13:25">
      <c r="M2548" s="24" t="str">
        <f t="array" ref="M2548">LEFT(L2548,MIN(FIND({"A","B","C"},MID(L2548,2,LEN(L2548))&amp;"ABC")))</f>
        <v/>
      </c>
      <c r="N2548" s="24" t="str">
        <f t="array" ref="N2548">SUBSTITUTE(L2548,M2548,"")</f>
        <v/>
      </c>
      <c r="X2548" s="258" t="str">
        <f t="shared" si="100"/>
        <v/>
      </c>
      <c r="Y2548" s="36" t="str">
        <f t="shared" si="101"/>
        <v/>
      </c>
    </row>
    <row r="2549" spans="13:25">
      <c r="M2549" s="24" t="str">
        <f t="array" ref="M2549">LEFT(L2549,MIN(FIND({"A","B","C"},MID(L2549,2,LEN(L2549))&amp;"ABC")))</f>
        <v/>
      </c>
      <c r="N2549" s="24" t="str">
        <f t="array" ref="N2549">SUBSTITUTE(L2549,M2549,"")</f>
        <v/>
      </c>
      <c r="X2549" s="258" t="str">
        <f t="shared" si="100"/>
        <v/>
      </c>
      <c r="Y2549" s="36" t="str">
        <f t="shared" si="101"/>
        <v/>
      </c>
    </row>
    <row r="2550" spans="13:25">
      <c r="M2550" s="24" t="str">
        <f t="array" ref="M2550">LEFT(L2550,MIN(FIND({"A","B","C"},MID(L2550,2,LEN(L2550))&amp;"ABC")))</f>
        <v/>
      </c>
      <c r="N2550" s="24" t="str">
        <f t="array" ref="N2550">SUBSTITUTE(L2550,M2550,"")</f>
        <v/>
      </c>
      <c r="X2550" s="258" t="str">
        <f t="shared" si="100"/>
        <v/>
      </c>
      <c r="Y2550" s="36" t="str">
        <f t="shared" si="101"/>
        <v/>
      </c>
    </row>
    <row r="2551" spans="13:25">
      <c r="M2551" s="24" t="str">
        <f t="array" ref="M2551">LEFT(L2551,MIN(FIND({"A","B","C"},MID(L2551,2,LEN(L2551))&amp;"ABC")))</f>
        <v/>
      </c>
      <c r="N2551" s="24" t="str">
        <f t="array" ref="N2551">SUBSTITUTE(L2551,M2551,"")</f>
        <v/>
      </c>
      <c r="X2551" s="258" t="str">
        <f t="shared" si="100"/>
        <v/>
      </c>
      <c r="Y2551" s="36" t="str">
        <f t="shared" si="101"/>
        <v/>
      </c>
    </row>
    <row r="2552" spans="13:25">
      <c r="M2552" s="24" t="str">
        <f t="array" ref="M2552">LEFT(L2552,MIN(FIND({"A","B","C"},MID(L2552,2,LEN(L2552))&amp;"ABC")))</f>
        <v/>
      </c>
      <c r="N2552" s="24" t="str">
        <f t="array" ref="N2552">SUBSTITUTE(L2552,M2552,"")</f>
        <v/>
      </c>
      <c r="X2552" s="258" t="str">
        <f t="shared" si="100"/>
        <v/>
      </c>
      <c r="Y2552" s="36" t="str">
        <f t="shared" si="101"/>
        <v/>
      </c>
    </row>
    <row r="2553" spans="13:25">
      <c r="M2553" s="24" t="str">
        <f t="array" ref="M2553">LEFT(L2553,MIN(FIND({"A","B","C"},MID(L2553,2,LEN(L2553))&amp;"ABC")))</f>
        <v/>
      </c>
      <c r="N2553" s="24" t="str">
        <f t="array" ref="N2553">SUBSTITUTE(L2553,M2553,"")</f>
        <v/>
      </c>
      <c r="X2553" s="258" t="str">
        <f t="shared" si="100"/>
        <v/>
      </c>
      <c r="Y2553" s="36" t="str">
        <f t="shared" si="101"/>
        <v/>
      </c>
    </row>
    <row r="2554" spans="13:25">
      <c r="M2554" s="24" t="str">
        <f t="array" ref="M2554">LEFT(L2554,MIN(FIND({"A","B","C"},MID(L2554,2,LEN(L2554))&amp;"ABC")))</f>
        <v/>
      </c>
      <c r="N2554" s="24" t="str">
        <f t="array" ref="N2554">SUBSTITUTE(L2554,M2554,"")</f>
        <v/>
      </c>
      <c r="X2554" s="258" t="str">
        <f t="shared" si="100"/>
        <v/>
      </c>
      <c r="Y2554" s="36" t="str">
        <f t="shared" si="101"/>
        <v/>
      </c>
    </row>
    <row r="2555" spans="13:25">
      <c r="M2555" s="24" t="str">
        <f t="array" ref="M2555">LEFT(L2555,MIN(FIND({"A","B","C"},MID(L2555,2,LEN(L2555))&amp;"ABC")))</f>
        <v/>
      </c>
      <c r="N2555" s="24" t="str">
        <f t="array" ref="N2555">SUBSTITUTE(L2555,M2555,"")</f>
        <v/>
      </c>
      <c r="X2555" s="258" t="str">
        <f t="shared" si="100"/>
        <v/>
      </c>
      <c r="Y2555" s="36" t="str">
        <f t="shared" si="101"/>
        <v/>
      </c>
    </row>
    <row r="2556" spans="13:25">
      <c r="M2556" s="24" t="str">
        <f t="array" ref="M2556">LEFT(L2556,MIN(FIND({"A","B","C"},MID(L2556,2,LEN(L2556))&amp;"ABC")))</f>
        <v/>
      </c>
      <c r="N2556" s="24" t="str">
        <f t="array" ref="N2556">SUBSTITUTE(L2556,M2556,"")</f>
        <v/>
      </c>
      <c r="X2556" s="258" t="str">
        <f t="shared" si="100"/>
        <v/>
      </c>
      <c r="Y2556" s="36" t="str">
        <f t="shared" si="101"/>
        <v/>
      </c>
    </row>
    <row r="2557" spans="13:25">
      <c r="M2557" s="24" t="str">
        <f t="array" ref="M2557">LEFT(L2557,MIN(FIND({"A","B","C"},MID(L2557,2,LEN(L2557))&amp;"ABC")))</f>
        <v/>
      </c>
      <c r="N2557" s="24" t="str">
        <f t="array" ref="N2557">SUBSTITUTE(L2557,M2557,"")</f>
        <v/>
      </c>
      <c r="X2557" s="258" t="str">
        <f t="shared" si="100"/>
        <v/>
      </c>
      <c r="Y2557" s="36" t="str">
        <f t="shared" si="101"/>
        <v/>
      </c>
    </row>
    <row r="2558" spans="13:25">
      <c r="M2558" s="24" t="str">
        <f t="array" ref="M2558">LEFT(L2558,MIN(FIND({"A","B","C"},MID(L2558,2,LEN(L2558))&amp;"ABC")))</f>
        <v/>
      </c>
      <c r="N2558" s="24" t="str">
        <f t="array" ref="N2558">SUBSTITUTE(L2558,M2558,"")</f>
        <v/>
      </c>
      <c r="X2558" s="258" t="str">
        <f t="shared" si="100"/>
        <v/>
      </c>
      <c r="Y2558" s="36" t="str">
        <f t="shared" si="101"/>
        <v/>
      </c>
    </row>
    <row r="2559" spans="13:25">
      <c r="M2559" s="24" t="str">
        <f t="array" ref="M2559">LEFT(L2559,MIN(FIND({"A","B","C"},MID(L2559,2,LEN(L2559))&amp;"ABC")))</f>
        <v/>
      </c>
      <c r="N2559" s="24" t="str">
        <f t="array" ref="N2559">SUBSTITUTE(L2559,M2559,"")</f>
        <v/>
      </c>
      <c r="X2559" s="258" t="str">
        <f t="shared" si="100"/>
        <v/>
      </c>
      <c r="Y2559" s="36" t="str">
        <f t="shared" si="101"/>
        <v/>
      </c>
    </row>
    <row r="2560" spans="13:25">
      <c r="M2560" s="24" t="str">
        <f t="array" ref="M2560">LEFT(L2560,MIN(FIND({"A","B","C"},MID(L2560,2,LEN(L2560))&amp;"ABC")))</f>
        <v/>
      </c>
      <c r="N2560" s="24" t="str">
        <f t="array" ref="N2560">SUBSTITUTE(L2560,M2560,"")</f>
        <v/>
      </c>
      <c r="X2560" s="258" t="str">
        <f t="shared" si="100"/>
        <v/>
      </c>
      <c r="Y2560" s="36" t="str">
        <f t="shared" si="101"/>
        <v/>
      </c>
    </row>
    <row r="2561" spans="13:25">
      <c r="M2561" s="24" t="str">
        <f t="array" ref="M2561">LEFT(L2561,MIN(FIND({"A","B","C"},MID(L2561,2,LEN(L2561))&amp;"ABC")))</f>
        <v/>
      </c>
      <c r="N2561" s="24" t="str">
        <f t="array" ref="N2561">SUBSTITUTE(L2561,M2561,"")</f>
        <v/>
      </c>
      <c r="X2561" s="258" t="str">
        <f t="shared" si="100"/>
        <v/>
      </c>
      <c r="Y2561" s="36" t="str">
        <f t="shared" si="101"/>
        <v/>
      </c>
    </row>
    <row r="2562" spans="13:25">
      <c r="M2562" s="24" t="str">
        <f t="array" ref="M2562">LEFT(L2562,MIN(FIND({"A","B","C"},MID(L2562,2,LEN(L2562))&amp;"ABC")))</f>
        <v/>
      </c>
      <c r="N2562" s="24" t="str">
        <f t="array" ref="N2562">SUBSTITUTE(L2562,M2562,"")</f>
        <v/>
      </c>
      <c r="X2562" s="258" t="str">
        <f t="shared" si="100"/>
        <v/>
      </c>
      <c r="Y2562" s="36" t="str">
        <f t="shared" si="101"/>
        <v/>
      </c>
    </row>
    <row r="2563" spans="13:25">
      <c r="M2563" s="24" t="str">
        <f t="array" ref="M2563">LEFT(L2563,MIN(FIND({"A","B","C"},MID(L2563,2,LEN(L2563))&amp;"ABC")))</f>
        <v/>
      </c>
      <c r="N2563" s="24" t="str">
        <f t="array" ref="N2563">SUBSTITUTE(L2563,M2563,"")</f>
        <v/>
      </c>
      <c r="X2563" s="258" t="str">
        <f t="shared" si="100"/>
        <v/>
      </c>
      <c r="Y2563" s="36" t="str">
        <f t="shared" si="101"/>
        <v/>
      </c>
    </row>
    <row r="2564" spans="13:25">
      <c r="M2564" s="24" t="str">
        <f t="array" ref="M2564">LEFT(L2564,MIN(FIND({"A","B","C"},MID(L2564,2,LEN(L2564))&amp;"ABC")))</f>
        <v/>
      </c>
      <c r="N2564" s="24" t="str">
        <f t="array" ref="N2564">SUBSTITUTE(L2564,M2564,"")</f>
        <v/>
      </c>
      <c r="X2564" s="258" t="str">
        <f t="shared" si="100"/>
        <v/>
      </c>
      <c r="Y2564" s="36" t="str">
        <f t="shared" si="101"/>
        <v/>
      </c>
    </row>
    <row r="2565" spans="13:25">
      <c r="M2565" s="24" t="str">
        <f t="array" ref="M2565">LEFT(L2565,MIN(FIND({"A","B","C"},MID(L2565,2,LEN(L2565))&amp;"ABC")))</f>
        <v/>
      </c>
      <c r="N2565" s="24" t="str">
        <f t="array" ref="N2565">SUBSTITUTE(L2565,M2565,"")</f>
        <v/>
      </c>
      <c r="X2565" s="258" t="str">
        <f t="shared" si="100"/>
        <v/>
      </c>
      <c r="Y2565" s="36" t="str">
        <f t="shared" si="101"/>
        <v/>
      </c>
    </row>
    <row r="2566" spans="13:25">
      <c r="M2566" s="24" t="str">
        <f t="array" ref="M2566">LEFT(L2566,MIN(FIND({"A","B","C"},MID(L2566,2,LEN(L2566))&amp;"ABC")))</f>
        <v/>
      </c>
      <c r="N2566" s="24" t="str">
        <f t="array" ref="N2566">SUBSTITUTE(L2566,M2566,"")</f>
        <v/>
      </c>
      <c r="X2566" s="258" t="str">
        <f t="shared" si="100"/>
        <v/>
      </c>
      <c r="Y2566" s="36" t="str">
        <f t="shared" si="101"/>
        <v/>
      </c>
    </row>
    <row r="2567" spans="13:25">
      <c r="M2567" s="24" t="str">
        <f t="array" ref="M2567">LEFT(L2567,MIN(FIND({"A","B","C"},MID(L2567,2,LEN(L2567))&amp;"ABC")))</f>
        <v/>
      </c>
      <c r="N2567" s="24" t="str">
        <f t="array" ref="N2567">SUBSTITUTE(L2567,M2567,"")</f>
        <v/>
      </c>
      <c r="X2567" s="258" t="str">
        <f t="shared" si="100"/>
        <v/>
      </c>
      <c r="Y2567" s="36" t="str">
        <f t="shared" si="101"/>
        <v/>
      </c>
    </row>
    <row r="2568" spans="13:25">
      <c r="M2568" s="24" t="str">
        <f t="array" ref="M2568">LEFT(L2568,MIN(FIND({"A","B","C"},MID(L2568,2,LEN(L2568))&amp;"ABC")))</f>
        <v/>
      </c>
      <c r="N2568" s="24" t="str">
        <f t="array" ref="N2568">SUBSTITUTE(L2568,M2568,"")</f>
        <v/>
      </c>
      <c r="X2568" s="258" t="str">
        <f t="shared" si="100"/>
        <v/>
      </c>
      <c r="Y2568" s="36" t="str">
        <f t="shared" si="101"/>
        <v/>
      </c>
    </row>
    <row r="2569" spans="13:25">
      <c r="M2569" s="24" t="str">
        <f t="array" ref="M2569">LEFT(L2569,MIN(FIND({"A","B","C"},MID(L2569,2,LEN(L2569))&amp;"ABC")))</f>
        <v/>
      </c>
      <c r="N2569" s="24" t="str">
        <f t="array" ref="N2569">SUBSTITUTE(L2569,M2569,"")</f>
        <v/>
      </c>
      <c r="X2569" s="258" t="str">
        <f t="shared" si="100"/>
        <v/>
      </c>
      <c r="Y2569" s="36" t="str">
        <f t="shared" si="101"/>
        <v/>
      </c>
    </row>
    <row r="2570" spans="13:25">
      <c r="M2570" s="24" t="str">
        <f t="array" ref="M2570">LEFT(L2570,MIN(FIND({"A","B","C"},MID(L2570,2,LEN(L2570))&amp;"ABC")))</f>
        <v/>
      </c>
      <c r="N2570" s="24" t="str">
        <f t="array" ref="N2570">SUBSTITUTE(L2570,M2570,"")</f>
        <v/>
      </c>
      <c r="X2570" s="258" t="str">
        <f t="shared" si="100"/>
        <v/>
      </c>
      <c r="Y2570" s="36" t="str">
        <f t="shared" si="101"/>
        <v/>
      </c>
    </row>
    <row r="2571" spans="13:25">
      <c r="M2571" s="24" t="str">
        <f t="array" ref="M2571">LEFT(L2571,MIN(FIND({"A","B","C"},MID(L2571,2,LEN(L2571))&amp;"ABC")))</f>
        <v/>
      </c>
      <c r="N2571" s="24" t="str">
        <f t="array" ref="N2571">SUBSTITUTE(L2571,M2571,"")</f>
        <v/>
      </c>
      <c r="X2571" s="258" t="str">
        <f t="shared" si="100"/>
        <v/>
      </c>
      <c r="Y2571" s="36" t="str">
        <f t="shared" si="101"/>
        <v/>
      </c>
    </row>
    <row r="2572" spans="13:25">
      <c r="M2572" s="24" t="str">
        <f t="array" ref="M2572">LEFT(L2572,MIN(FIND({"A","B","C"},MID(L2572,2,LEN(L2572))&amp;"ABC")))</f>
        <v/>
      </c>
      <c r="N2572" s="24" t="str">
        <f t="array" ref="N2572">SUBSTITUTE(L2572,M2572,"")</f>
        <v/>
      </c>
      <c r="X2572" s="258" t="str">
        <f t="shared" si="100"/>
        <v/>
      </c>
      <c r="Y2572" s="36" t="str">
        <f t="shared" si="101"/>
        <v/>
      </c>
    </row>
    <row r="2573" spans="13:25">
      <c r="M2573" s="24" t="str">
        <f t="array" ref="M2573">LEFT(L2573,MIN(FIND({"A","B","C"},MID(L2573,2,LEN(L2573))&amp;"ABC")))</f>
        <v/>
      </c>
      <c r="N2573" s="24" t="str">
        <f t="array" ref="N2573">SUBSTITUTE(L2573,M2573,"")</f>
        <v/>
      </c>
      <c r="X2573" s="258" t="str">
        <f t="shared" si="100"/>
        <v/>
      </c>
      <c r="Y2573" s="36" t="str">
        <f t="shared" si="101"/>
        <v/>
      </c>
    </row>
    <row r="2574" spans="13:25">
      <c r="M2574" s="24" t="str">
        <f t="array" ref="M2574">LEFT(L2574,MIN(FIND({"A","B","C"},MID(L2574,2,LEN(L2574))&amp;"ABC")))</f>
        <v/>
      </c>
      <c r="N2574" s="24" t="str">
        <f t="array" ref="N2574">SUBSTITUTE(L2574,M2574,"")</f>
        <v/>
      </c>
      <c r="X2574" s="258" t="str">
        <f t="shared" si="100"/>
        <v/>
      </c>
      <c r="Y2574" s="36" t="str">
        <f t="shared" si="101"/>
        <v/>
      </c>
    </row>
    <row r="2575" spans="13:25">
      <c r="M2575" s="24" t="str">
        <f t="array" ref="M2575">LEFT(L2575,MIN(FIND({"A","B","C"},MID(L2575,2,LEN(L2575))&amp;"ABC")))</f>
        <v/>
      </c>
      <c r="N2575" s="24" t="str">
        <f t="array" ref="N2575">SUBSTITUTE(L2575,M2575,"")</f>
        <v/>
      </c>
      <c r="X2575" s="258" t="str">
        <f t="shared" si="100"/>
        <v/>
      </c>
      <c r="Y2575" s="36" t="str">
        <f t="shared" si="101"/>
        <v/>
      </c>
    </row>
    <row r="2576" spans="13:25">
      <c r="M2576" s="24" t="str">
        <f t="array" ref="M2576">LEFT(L2576,MIN(FIND({"A","B","C"},MID(L2576,2,LEN(L2576))&amp;"ABC")))</f>
        <v/>
      </c>
      <c r="N2576" s="24" t="str">
        <f t="array" ref="N2576">SUBSTITUTE(L2576,M2576,"")</f>
        <v/>
      </c>
      <c r="X2576" s="258" t="str">
        <f t="shared" si="100"/>
        <v/>
      </c>
      <c r="Y2576" s="36" t="str">
        <f t="shared" si="101"/>
        <v/>
      </c>
    </row>
    <row r="2577" spans="13:25">
      <c r="M2577" s="24" t="str">
        <f t="array" ref="M2577">LEFT(L2577,MIN(FIND({"A","B","C"},MID(L2577,2,LEN(L2577))&amp;"ABC")))</f>
        <v/>
      </c>
      <c r="N2577" s="24" t="str">
        <f t="array" ref="N2577">SUBSTITUTE(L2577,M2577,"")</f>
        <v/>
      </c>
      <c r="X2577" s="258" t="str">
        <f t="shared" si="100"/>
        <v/>
      </c>
      <c r="Y2577" s="36" t="str">
        <f t="shared" si="101"/>
        <v/>
      </c>
    </row>
    <row r="2578" spans="13:25">
      <c r="M2578" s="24" t="str">
        <f t="array" ref="M2578">LEFT(L2578,MIN(FIND({"A","B","C"},MID(L2578,2,LEN(L2578))&amp;"ABC")))</f>
        <v/>
      </c>
      <c r="N2578" s="24" t="str">
        <f t="array" ref="N2578">SUBSTITUTE(L2578,M2578,"")</f>
        <v/>
      </c>
      <c r="X2578" s="258" t="str">
        <f t="shared" si="100"/>
        <v/>
      </c>
      <c r="Y2578" s="36" t="str">
        <f t="shared" si="101"/>
        <v/>
      </c>
    </row>
    <row r="2579" spans="13:25">
      <c r="M2579" s="24" t="str">
        <f t="array" ref="M2579">LEFT(L2579,MIN(FIND({"A","B","C"},MID(L2579,2,LEN(L2579))&amp;"ABC")))</f>
        <v/>
      </c>
      <c r="N2579" s="24" t="str">
        <f t="array" ref="N2579">SUBSTITUTE(L2579,M2579,"")</f>
        <v/>
      </c>
      <c r="X2579" s="258" t="str">
        <f t="shared" si="100"/>
        <v/>
      </c>
      <c r="Y2579" s="36" t="str">
        <f t="shared" si="101"/>
        <v/>
      </c>
    </row>
    <row r="2580" spans="13:25">
      <c r="M2580" s="24" t="str">
        <f t="array" ref="M2580">LEFT(L2580,MIN(FIND({"A","B","C"},MID(L2580,2,LEN(L2580))&amp;"ABC")))</f>
        <v/>
      </c>
      <c r="N2580" s="24" t="str">
        <f t="array" ref="N2580">SUBSTITUTE(L2580,M2580,"")</f>
        <v/>
      </c>
      <c r="X2580" s="258" t="str">
        <f t="shared" si="100"/>
        <v/>
      </c>
      <c r="Y2580" s="36" t="str">
        <f t="shared" si="101"/>
        <v/>
      </c>
    </row>
    <row r="2581" spans="13:25">
      <c r="M2581" s="24" t="str">
        <f t="array" ref="M2581">LEFT(L2581,MIN(FIND({"A","B","C"},MID(L2581,2,LEN(L2581))&amp;"ABC")))</f>
        <v/>
      </c>
      <c r="N2581" s="24" t="str">
        <f t="array" ref="N2581">SUBSTITUTE(L2581,M2581,"")</f>
        <v/>
      </c>
      <c r="X2581" s="258" t="str">
        <f t="shared" si="100"/>
        <v/>
      </c>
      <c r="Y2581" s="36" t="str">
        <f t="shared" si="101"/>
        <v/>
      </c>
    </row>
    <row r="2582" spans="13:25">
      <c r="M2582" s="24" t="str">
        <f t="array" ref="M2582">LEFT(L2582,MIN(FIND({"A","B","C"},MID(L2582,2,LEN(L2582))&amp;"ABC")))</f>
        <v/>
      </c>
      <c r="N2582" s="24" t="str">
        <f t="array" ref="N2582">SUBSTITUTE(L2582,M2582,"")</f>
        <v/>
      </c>
      <c r="X2582" s="258" t="str">
        <f t="shared" si="100"/>
        <v/>
      </c>
      <c r="Y2582" s="36" t="str">
        <f t="shared" si="101"/>
        <v/>
      </c>
    </row>
    <row r="2583" spans="13:25">
      <c r="M2583" s="24" t="str">
        <f t="array" ref="M2583">LEFT(L2583,MIN(FIND({"A","B","C"},MID(L2583,2,LEN(L2583))&amp;"ABC")))</f>
        <v/>
      </c>
      <c r="N2583" s="24" t="str">
        <f t="array" ref="N2583">SUBSTITUTE(L2583,M2583,"")</f>
        <v/>
      </c>
      <c r="X2583" s="258" t="str">
        <f t="shared" si="100"/>
        <v/>
      </c>
      <c r="Y2583" s="36" t="str">
        <f t="shared" si="101"/>
        <v/>
      </c>
    </row>
    <row r="2584" spans="13:25">
      <c r="M2584" s="24" t="str">
        <f t="array" ref="M2584">LEFT(L2584,MIN(FIND({"A","B","C"},MID(L2584,2,LEN(L2584))&amp;"ABC")))</f>
        <v/>
      </c>
      <c r="N2584" s="24" t="str">
        <f t="array" ref="N2584">SUBSTITUTE(L2584,M2584,"")</f>
        <v/>
      </c>
      <c r="X2584" s="258" t="str">
        <f t="shared" si="100"/>
        <v/>
      </c>
      <c r="Y2584" s="36" t="str">
        <f t="shared" si="101"/>
        <v/>
      </c>
    </row>
    <row r="2585" spans="13:25">
      <c r="M2585" s="24" t="str">
        <f t="array" ref="M2585">LEFT(L2585,MIN(FIND({"A","B","C"},MID(L2585,2,LEN(L2585))&amp;"ABC")))</f>
        <v/>
      </c>
      <c r="N2585" s="24" t="str">
        <f t="array" ref="N2585">SUBSTITUTE(L2585,M2585,"")</f>
        <v/>
      </c>
      <c r="X2585" s="258" t="str">
        <f t="shared" si="100"/>
        <v/>
      </c>
      <c r="Y2585" s="36" t="str">
        <f t="shared" si="101"/>
        <v/>
      </c>
    </row>
    <row r="2586" spans="13:25">
      <c r="M2586" s="24" t="str">
        <f t="array" ref="M2586">LEFT(L2586,MIN(FIND({"A","B","C"},MID(L2586,2,LEN(L2586))&amp;"ABC")))</f>
        <v/>
      </c>
      <c r="N2586" s="24" t="str">
        <f t="array" ref="N2586">SUBSTITUTE(L2586,M2586,"")</f>
        <v/>
      </c>
      <c r="X2586" s="258" t="str">
        <f t="shared" si="100"/>
        <v/>
      </c>
      <c r="Y2586" s="36" t="str">
        <f t="shared" si="101"/>
        <v/>
      </c>
    </row>
    <row r="2587" spans="13:25">
      <c r="M2587" s="24" t="str">
        <f t="array" ref="M2587">LEFT(L2587,MIN(FIND({"A","B","C"},MID(L2587,2,LEN(L2587))&amp;"ABC")))</f>
        <v/>
      </c>
      <c r="N2587" s="24" t="str">
        <f t="array" ref="N2587">SUBSTITUTE(L2587,M2587,"")</f>
        <v/>
      </c>
      <c r="X2587" s="258" t="str">
        <f t="shared" si="100"/>
        <v/>
      </c>
      <c r="Y2587" s="36" t="str">
        <f t="shared" si="101"/>
        <v/>
      </c>
    </row>
    <row r="2588" spans="13:25">
      <c r="M2588" s="24" t="str">
        <f t="array" ref="M2588">LEFT(L2588,MIN(FIND({"A","B","C"},MID(L2588,2,LEN(L2588))&amp;"ABC")))</f>
        <v/>
      </c>
      <c r="N2588" s="24" t="str">
        <f t="array" ref="N2588">SUBSTITUTE(L2588,M2588,"")</f>
        <v/>
      </c>
      <c r="X2588" s="258" t="str">
        <f t="shared" ref="X2588:X2596" si="102">IF(B2588="","",IF(S2588&lt;&gt;"","",IF(AND(Z2588&lt;&gt;"",AA2588&lt;&gt;""),SUM(Z2588:AA2588),IF(AB2588&lt;&gt;"",(I2588/((1/((G2588+2)/100*K2588/1000))*0.9144)/IF(H2588="黑丝",22,20)-AB2588)*(IF(H2588="黑丝",22,20)),I2588/((1/((G2588+2)/100*K2588/1000))*0.9144)))))</f>
        <v/>
      </c>
      <c r="Y2588" s="36" t="str">
        <f t="shared" si="101"/>
        <v/>
      </c>
    </row>
    <row r="2589" spans="13:25">
      <c r="M2589" s="24" t="str">
        <f t="array" ref="M2589">LEFT(L2589,MIN(FIND({"A","B","C"},MID(L2589,2,LEN(L2589))&amp;"ABC")))</f>
        <v/>
      </c>
      <c r="N2589" s="24" t="str">
        <f t="array" ref="N2589">SUBSTITUTE(L2589,M2589,"")</f>
        <v/>
      </c>
      <c r="X2589" s="258" t="str">
        <f t="shared" si="102"/>
        <v/>
      </c>
      <c r="Y2589" s="36" t="str">
        <f t="shared" si="101"/>
        <v/>
      </c>
    </row>
    <row r="2590" spans="13:25">
      <c r="M2590" s="24" t="str">
        <f t="array" ref="M2590">LEFT(L2590,MIN(FIND({"A","B","C"},MID(L2590,2,LEN(L2590))&amp;"ABC")))</f>
        <v/>
      </c>
      <c r="N2590" s="24" t="str">
        <f t="array" ref="N2590">SUBSTITUTE(L2590,M2590,"")</f>
        <v/>
      </c>
      <c r="X2590" s="258" t="str">
        <f t="shared" si="102"/>
        <v/>
      </c>
      <c r="Y2590" s="36" t="str">
        <f t="shared" si="101"/>
        <v/>
      </c>
    </row>
    <row r="2591" spans="13:25">
      <c r="M2591" s="24" t="str">
        <f t="array" ref="M2591">LEFT(L2591,MIN(FIND({"A","B","C"},MID(L2591,2,LEN(L2591))&amp;"ABC")))</f>
        <v/>
      </c>
      <c r="N2591" s="24" t="str">
        <f t="array" ref="N2591">SUBSTITUTE(L2591,M2591,"")</f>
        <v/>
      </c>
      <c r="X2591" s="258" t="str">
        <f t="shared" si="102"/>
        <v/>
      </c>
      <c r="Y2591" s="36" t="str">
        <f t="shared" si="101"/>
        <v/>
      </c>
    </row>
    <row r="2592" spans="13:25">
      <c r="M2592" s="24" t="str">
        <f t="array" ref="M2592">LEFT(L2592,MIN(FIND({"A","B","C"},MID(L2592,2,LEN(L2592))&amp;"ABC")))</f>
        <v/>
      </c>
      <c r="N2592" s="24" t="str">
        <f t="array" ref="N2592">SUBSTITUTE(L2592,M2592,"")</f>
        <v/>
      </c>
      <c r="X2592" s="258" t="str">
        <f t="shared" si="102"/>
        <v/>
      </c>
      <c r="Y2592" s="36" t="str">
        <f t="shared" si="101"/>
        <v/>
      </c>
    </row>
    <row r="2593" spans="24:25">
      <c r="X2593" s="258" t="str">
        <f t="shared" si="102"/>
        <v/>
      </c>
      <c r="Y2593" s="36" t="str">
        <f t="shared" si="101"/>
        <v/>
      </c>
    </row>
    <row r="2594" spans="24:25">
      <c r="X2594" s="258" t="str">
        <f t="shared" si="102"/>
        <v/>
      </c>
      <c r="Y2594" s="36" t="str">
        <f t="shared" si="101"/>
        <v/>
      </c>
    </row>
    <row r="2595" spans="24:25">
      <c r="X2595" s="258" t="str">
        <f t="shared" si="102"/>
        <v/>
      </c>
      <c r="Y2595" s="36" t="str">
        <f t="shared" si="101"/>
        <v/>
      </c>
    </row>
    <row r="2596" spans="24:25">
      <c r="X2596" s="258" t="str">
        <f t="shared" si="102"/>
        <v/>
      </c>
      <c r="Y2596" s="36" t="str">
        <f t="shared" si="101"/>
        <v/>
      </c>
    </row>
  </sheetData>
  <phoneticPr fontId="1" type="noConversion"/>
  <conditionalFormatting sqref="A1:A1048576">
    <cfRule type="expression" dxfId="2" priority="1" stopIfTrue="1">
      <formula>$S1=""</formula>
    </cfRule>
  </conditionalFormatting>
  <pageMargins left="0.7" right="0.7" top="0.75" bottom="0.75" header="0.3" footer="0.3"/>
  <pageSetup paperSize="9" orientation="portrait" horizontalDpi="0" verticalDpi="0" r:id="rId1"/>
  <ignoredErrors>
    <ignoredError sqref="AB2" numberStoredAsText="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8"/>
  <dimension ref="A1:AD90"/>
  <sheetViews>
    <sheetView zoomScale="85" zoomScaleNormal="85" workbookViewId="0">
      <pane xSplit="2" ySplit="1" topLeftCell="C11" activePane="bottomRight" state="frozen"/>
      <selection pane="topRight" activeCell="C1" sqref="C1"/>
      <selection pane="bottomLeft" activeCell="A2" sqref="A2"/>
      <selection pane="bottomRight" activeCell="E49" sqref="E49:E51"/>
    </sheetView>
  </sheetViews>
  <sheetFormatPr defaultRowHeight="13.5"/>
  <cols>
    <col min="1" max="1" width="9.75" style="206" customWidth="1"/>
    <col min="2" max="2" width="5.375" style="206" customWidth="1"/>
    <col min="3" max="3" width="4.5" style="206" customWidth="1"/>
    <col min="4" max="4" width="5.5" style="206" customWidth="1"/>
    <col min="5" max="5" width="6.125" style="206" customWidth="1"/>
    <col min="6" max="6" width="13.25" style="2" customWidth="1"/>
    <col min="7" max="7" width="5.25" style="206" customWidth="1"/>
    <col min="8" max="8" width="6" style="206" customWidth="1"/>
    <col min="9" max="9" width="5.625" style="206" customWidth="1"/>
    <col min="10" max="10" width="8.25" style="2" customWidth="1"/>
    <col min="11" max="11" width="6" style="206" customWidth="1"/>
    <col min="12" max="12" width="8.75" style="2" customWidth="1"/>
    <col min="13" max="13" width="8.5" style="206" bestFit="1" customWidth="1"/>
    <col min="14" max="14" width="5.75" style="206" customWidth="1"/>
    <col min="15" max="15" width="4.75" style="206" customWidth="1"/>
    <col min="16" max="16" width="9.125" style="2" customWidth="1"/>
    <col min="17" max="17" width="9" style="2" customWidth="1"/>
    <col min="18" max="18" width="9.875" style="2" customWidth="1"/>
    <col min="19" max="19" width="7.375" style="206" customWidth="1"/>
    <col min="20" max="20" width="10.75" style="206" bestFit="1" customWidth="1"/>
    <col min="21" max="21" width="11.625" style="206" bestFit="1" customWidth="1"/>
    <col min="22" max="22" width="6.25" style="206" customWidth="1"/>
    <col min="23" max="23" width="5.75" style="30" bestFit="1" customWidth="1"/>
    <col min="24" max="24" width="14.5" style="256" customWidth="1"/>
    <col min="25" max="25" width="10.125" style="206" customWidth="1"/>
    <col min="26" max="26" width="8.125" style="206" customWidth="1"/>
    <col min="27" max="27" width="8.625" style="217" bestFit="1" customWidth="1"/>
    <col min="28" max="28" width="10.375" style="206" bestFit="1" customWidth="1"/>
    <col min="29" max="29" width="9.875" style="30" bestFit="1" customWidth="1"/>
    <col min="30" max="30" width="10.125" style="206" bestFit="1" customWidth="1"/>
    <col min="31" max="16384" width="9" style="206"/>
  </cols>
  <sheetData>
    <row r="1" spans="1:30" ht="40.5">
      <c r="A1" s="184" t="s">
        <v>757</v>
      </c>
      <c r="B1" s="184" t="s">
        <v>1496</v>
      </c>
      <c r="C1" s="184" t="s">
        <v>1660</v>
      </c>
      <c r="D1" s="184" t="s">
        <v>1604</v>
      </c>
      <c r="E1" s="207" t="s">
        <v>3199</v>
      </c>
      <c r="F1" s="204" t="s">
        <v>1497</v>
      </c>
      <c r="G1" s="184" t="s">
        <v>759</v>
      </c>
      <c r="H1" s="185" t="s">
        <v>1537</v>
      </c>
      <c r="I1" s="185" t="s">
        <v>1538</v>
      </c>
      <c r="J1" s="204" t="s">
        <v>963</v>
      </c>
      <c r="K1" s="184" t="s">
        <v>3000</v>
      </c>
      <c r="L1" s="204" t="s">
        <v>1536</v>
      </c>
      <c r="M1" s="184" t="s">
        <v>241</v>
      </c>
      <c r="N1" s="184" t="s">
        <v>240</v>
      </c>
      <c r="O1" s="185" t="s">
        <v>1079</v>
      </c>
      <c r="P1" s="218" t="s">
        <v>258</v>
      </c>
      <c r="Q1" s="218" t="s">
        <v>1618</v>
      </c>
      <c r="R1" s="218" t="s">
        <v>2264</v>
      </c>
      <c r="S1" s="185" t="s">
        <v>1544</v>
      </c>
      <c r="T1" s="186" t="s">
        <v>1539</v>
      </c>
      <c r="U1" s="187" t="s">
        <v>2882</v>
      </c>
      <c r="V1" s="185" t="s">
        <v>1555</v>
      </c>
      <c r="W1" s="234" t="s">
        <v>1554</v>
      </c>
      <c r="X1" s="251" t="s">
        <v>2228</v>
      </c>
      <c r="Y1" s="185" t="s">
        <v>1541</v>
      </c>
      <c r="Z1" s="185" t="s">
        <v>1542</v>
      </c>
      <c r="AA1" s="215" t="s">
        <v>1543</v>
      </c>
      <c r="AB1" s="185" t="s">
        <v>1540</v>
      </c>
      <c r="AC1" s="234" t="s">
        <v>1580</v>
      </c>
      <c r="AD1" s="206" t="s">
        <v>2224</v>
      </c>
    </row>
    <row r="2" spans="1:30" ht="18" customHeight="1">
      <c r="A2" s="202" t="s">
        <v>80</v>
      </c>
      <c r="B2" s="321" t="s">
        <v>1493</v>
      </c>
      <c r="C2" s="220">
        <v>50</v>
      </c>
      <c r="D2" s="202">
        <f>SUMIF(yuanjicode,圆机计划单汇总!A2,yuanjinumber)</f>
        <v>0</v>
      </c>
      <c r="E2" s="208"/>
      <c r="F2" s="205" t="str">
        <f>VLOOKUP(A2,小圆机汇总表!A:AP,2,FALSE)</f>
        <v>C5034w</v>
      </c>
      <c r="G2" s="202">
        <f>VLOOKUP(A2,小圆机汇总表!A:AP,7,FALSE)</f>
        <v>34</v>
      </c>
      <c r="H2" s="202"/>
      <c r="I2" s="202"/>
      <c r="J2" s="205" t="s">
        <v>177</v>
      </c>
      <c r="K2" s="194" t="s">
        <v>2</v>
      </c>
      <c r="L2" s="248"/>
      <c r="M2" s="202" t="str">
        <f t="array" ref="M2">SUBSTITUTE(L2,N2,"")</f>
        <v/>
      </c>
      <c r="N2" s="202" t="str">
        <f t="array" ref="N2">LEFT(L2,MIN(FIND({"A","B","C"},MID(L2,2,LEN(L2))&amp;"ABC")))</f>
        <v/>
      </c>
      <c r="O2" s="202" t="str">
        <f t="array" ref="O2">IF(L2="","",INDEX(plan!$A:$F,MATCH(A2&amp;L2,plan!$A$2:$A$19999&amp;plan!$L$2:$L$19999,0)+1,MATCH(plan!$F$1,plan!$A$1:$F$1,0)))</f>
        <v/>
      </c>
      <c r="P2" s="219" t="str">
        <f t="array" ref="P2">IF(L2="","",INDEX(plan!$A:$O,MATCH(A2&amp;L2,plan!$A$2:$A$19999&amp;plan!$L$2:$L$19999,0)+1,MATCH(plan!$O$1,plan!$A$1:$O$1,0)))</f>
        <v/>
      </c>
      <c r="Q2" s="219" t="str">
        <f t="array" ref="Q2">IF(L2="","",IF(INDEX(plan!$A:$Q,MATCH(A2&amp;L2,plan!$A$2:$A$1984&amp;plan!$L$2:$L$1984,0)+1,MATCH(plan!$Q$1,plan!$A$1:$Q$1,0))&gt;0,INDEX(plan!$A:$Q,MATCH(A2&amp;L2,plan!$A$2:$A$1984&amp;plan!$L$2:$L$1984,0)+1,MATCH(plan!$Q$1,plan!$A$1:$Q$1,0)),""))</f>
        <v/>
      </c>
      <c r="R2" s="219" t="str">
        <f t="array" ref="R2">IF(L2="","",IF(INDEX(plan!$A:$S,MATCH(A2&amp;L2,plan!$A$2:$A$1984&amp;plan!$L$2:$L$1984,0)+1,MATCH(plan!$S$1,plan!$A$1:$S$1,0))&gt;0,INDEX(plan!$A:$S,MATCH(A2&amp;L2,plan!$A$2:$A$1984&amp;plan!$L$2:$L$1984,0)+1,MATCH(plan!$S$1,plan!$A$1:$S$1,0)),""))</f>
        <v/>
      </c>
      <c r="S2" s="202" t="str">
        <f>IF(L2="","",SUMIFS(plan!$I:$I,plan!$A:$A,圆机计划单汇总!A2,plan!$L:$L,圆机计划单汇总!L2))</f>
        <v/>
      </c>
      <c r="T2" s="213" t="str">
        <f>IF(L2="","",SUMIFS(plan!$X:$X,plan!$A:$A,圆机计划单汇总!A2,plan!$L:$L,圆机计划单汇总!L2))</f>
        <v/>
      </c>
      <c r="U2" s="183" t="str">
        <f>IF(L2="","",SUMIFS(plan!$Y:$Y,plan!$A:$A,圆机计划单汇总!A2,plan!$L:$L,圆机计划单汇总!L2))</f>
        <v/>
      </c>
      <c r="V2" s="202" t="str">
        <f>IF(S2="","",SUMIFS(plan!$AB:$AB,plan!$A:$A,圆机计划单汇总!A2,plan!$L:$L,圆机计划单汇总!L2))</f>
        <v/>
      </c>
      <c r="W2" s="208"/>
      <c r="X2" s="252" t="str">
        <f>IF(L2="","",IF($X$1="坯布需求合计(Kg)",SUMIF(A:A,A2,T:T),SUMIF(A:A,A2,U:U)))</f>
        <v/>
      </c>
      <c r="Y2" s="214" t="str">
        <f>IF(S2="","",X2-AB2)</f>
        <v/>
      </c>
      <c r="Z2" s="194" t="str">
        <f>IF(S2="","",IF(K2&lt;&gt;"黑",D2*E2*20,D2*E2*22))</f>
        <v/>
      </c>
      <c r="AA2" s="216" t="str">
        <f>IF(L2="","",Y2/Z2)</f>
        <v/>
      </c>
      <c r="AB2" s="202">
        <f>SUMIF(四面弹库存!B:B,圆机计划单汇总!A2,四面弹库存!E:E)</f>
        <v>5743.3</v>
      </c>
      <c r="AC2" s="249">
        <f>SUMIF(四面弹库存!B:B,圆机计划单汇总!A2,四面弹库存!F:F)</f>
        <v>299</v>
      </c>
    </row>
    <row r="3" spans="1:30" ht="18" customHeight="1">
      <c r="A3" s="202" t="s">
        <v>1500</v>
      </c>
      <c r="B3" s="321"/>
      <c r="C3" s="220">
        <v>50</v>
      </c>
      <c r="D3" s="202">
        <f>SUMIF(yuanjicode,圆机计划单汇总!A3,yuanjinumber)</f>
        <v>0</v>
      </c>
      <c r="E3" s="208"/>
      <c r="F3" s="205" t="s">
        <v>80</v>
      </c>
      <c r="G3" s="202">
        <v>34</v>
      </c>
      <c r="H3" s="202"/>
      <c r="I3" s="202"/>
      <c r="J3" s="205" t="s">
        <v>177</v>
      </c>
      <c r="K3" s="194" t="s">
        <v>1</v>
      </c>
      <c r="L3" s="368"/>
      <c r="M3" s="202" t="str">
        <f t="array" ref="M3">SUBSTITUTE(L3,N3,"")</f>
        <v/>
      </c>
      <c r="N3" s="247" t="str">
        <f t="array" ref="N3">LEFT(L3,MIN(FIND({"A","B","C"},MID(L3,2,LEN(L3))&amp;"ABC")))</f>
        <v/>
      </c>
      <c r="O3" s="247" t="str">
        <f t="array" ref="O3">IF(L3="","",INDEX(plan!$A:$F,MATCH(A3&amp;L3,plan!$A$2:$A$19999&amp;plan!$L$2:$L$19999,0)+1,MATCH(plan!$F$1,plan!$A$1:$F$1,0)))</f>
        <v/>
      </c>
      <c r="P3" s="219" t="str">
        <f t="array" ref="P3">IF(L3="","",INDEX(plan!$A:$O,MATCH(A3&amp;L3,plan!$A$2:$A$19999&amp;plan!$L$2:$L$19999,0)+1,MATCH(plan!$O$1,plan!$A$1:$O$1,0)))</f>
        <v/>
      </c>
      <c r="Q3" s="219" t="str">
        <f t="array" ref="Q3">IF(L3="","",IF(INDEX(plan!$A:$Q,MATCH(A3&amp;L3,plan!$A$2:$A$1984&amp;plan!$L$2:$L$1984,0)+1,MATCH(plan!$Q$1,plan!$A$1:$Q$1,0))&gt;0,INDEX(plan!$A:$Q,MATCH(A3&amp;L3,plan!$A$2:$A$1984&amp;plan!$L$2:$L$1984,0)+1,MATCH(plan!$Q$1,plan!$A$1:$Q$1,0)),""))</f>
        <v/>
      </c>
      <c r="R3" s="219" t="str">
        <f t="array" ref="R3">IF(L3="","",IF(INDEX(plan!$A:$S,MATCH(A3&amp;L3,plan!$A$2:$A$1984&amp;plan!$L$2:$L$1984,0)+1,MATCH(plan!$S$1,plan!$A$1:$S$1,0))&gt;0,INDEX(plan!$A:$S,MATCH(A3&amp;L3,plan!$A$2:$A$1984&amp;plan!$L$2:$L$1984,0)+1,MATCH(plan!$S$1,plan!$A$1:$S$1,0)),""))</f>
        <v/>
      </c>
      <c r="S3" s="202" t="str">
        <f>IF(L3="","",SUMIFS(plan!$I:$I,plan!$A:$A,圆机计划单汇总!A3,plan!$L:$L,圆机计划单汇总!L3))</f>
        <v/>
      </c>
      <c r="T3" s="213" t="str">
        <f>IF(L3="","",SUMIFS(plan!$X:$X,plan!$A:$A,圆机计划单汇总!A3,plan!$L:$L,圆机计划单汇总!L3))</f>
        <v/>
      </c>
      <c r="U3" s="183" t="str">
        <f>IF(L3="","",SUMIFS(plan!$Y:$Y,plan!$A:$A,圆机计划单汇总!A3,plan!$L:$L,圆机计划单汇总!L3))</f>
        <v/>
      </c>
      <c r="V3" s="247" t="str">
        <f>IF(S3="","",SUMIFS(plan!$AB:$AB,plan!$A:$A,圆机计划单汇总!A3,plan!$L:$L,圆机计划单汇总!L3))</f>
        <v/>
      </c>
      <c r="W3" s="208"/>
      <c r="X3" s="252" t="str">
        <f>IF(L3="","",IF($X$1="坯布需求合计(Kg)",SUMIF(A:A,A3,T:T),SUMIF(A:A,A3,U:U)))</f>
        <v/>
      </c>
      <c r="Y3" s="214" t="str">
        <f>IF(S3="","",X3-AB3)</f>
        <v/>
      </c>
      <c r="Z3" s="246" t="str">
        <f t="shared" ref="Z3:Z66" si="0">IF(S3="","",IF(K3&lt;&gt;"黑",D3*E3*20,D3*E3*22))</f>
        <v/>
      </c>
      <c r="AA3" s="216" t="str">
        <f t="shared" ref="AA3:AA4" si="1">IF(L3="","",Y3/Z3)</f>
        <v/>
      </c>
      <c r="AB3" s="202">
        <f>SUMIF(四面弹库存!B:B,圆机计划单汇总!A3,四面弹库存!E:E)</f>
        <v>41.4</v>
      </c>
      <c r="AC3" s="249">
        <f>SUMIF(四面弹库存!B:B,圆机计划单汇总!A3,四面弹库存!F:F)</f>
        <v>2</v>
      </c>
    </row>
    <row r="4" spans="1:30" ht="18" customHeight="1">
      <c r="A4" s="194" t="s">
        <v>2249</v>
      </c>
      <c r="B4" s="321"/>
      <c r="C4" s="295">
        <v>50</v>
      </c>
      <c r="D4" s="301">
        <f>SUMIF(yuanjicode,圆机计划单汇总!A4,yuanjinumber)</f>
        <v>6</v>
      </c>
      <c r="E4" s="305">
        <v>4</v>
      </c>
      <c r="F4" s="303" t="s">
        <v>2249</v>
      </c>
      <c r="G4" s="303">
        <v>40</v>
      </c>
      <c r="H4" s="202">
        <v>33</v>
      </c>
      <c r="I4" s="202">
        <v>156</v>
      </c>
      <c r="J4" s="205" t="s">
        <v>177</v>
      </c>
      <c r="K4" s="194" t="s">
        <v>2</v>
      </c>
      <c r="L4" s="248" t="s">
        <v>2454</v>
      </c>
      <c r="M4" s="202" t="str">
        <f t="array" ref="M4">SUBSTITUTE(L4,N4,"")</f>
        <v>C406</v>
      </c>
      <c r="N4" s="247" t="str">
        <f t="array" ref="N4">LEFT(L4,MIN(FIND({"A","B","C"},MID(L4,2,LEN(L4))&amp;"ABC")))</f>
        <v>A70</v>
      </c>
      <c r="O4" s="247" t="str">
        <f t="array" ref="O4">IF(L4="","",INDEX(plan!$A:$F,MATCH(A4&amp;L4,plan!$A$2:$A$19999&amp;plan!$L$2:$L$19999,0)+1,MATCH(plan!$F$1,plan!$A$1:$F$1,0)))</f>
        <v>A</v>
      </c>
      <c r="P4" s="219">
        <f t="array" ref="P4">IF(L4="","",INDEX(plan!$A:$O,MATCH(A4&amp;L4,plan!$A$2:$A$19999&amp;plan!$L$2:$L$19999,0)+1,MATCH(plan!$O$1,plan!$A$1:$O$1,0)))</f>
        <v>43766</v>
      </c>
      <c r="Q4" s="219">
        <f t="array" ref="Q4">IF(L4="","",IF(INDEX(plan!$A:$Q,MATCH(A4&amp;L4,plan!$A$2:$A$1984&amp;plan!$L$2:$L$1984,0)+1,MATCH(plan!$Q$1,plan!$A$1:$Q$1,0))&gt;0,INDEX(plan!$A:$Q,MATCH(A4&amp;L4,plan!$A$2:$A$1984&amp;plan!$L$2:$L$1984,0)+1,MATCH(plan!$Q$1,plan!$A$1:$Q$1,0)),""))</f>
        <v>43762</v>
      </c>
      <c r="R4" s="219" t="str">
        <f t="array" ref="R4">IF(L4="","",IF(INDEX(plan!$A:$S,MATCH(A4&amp;L4,plan!$A$2:$A$1984&amp;plan!$L$2:$L$1984,0)+1,MATCH(plan!$S$1,plan!$A$1:$S$1,0))&gt;0,INDEX(plan!$A:$S,MATCH(A4&amp;L4,plan!$A$2:$A$1984&amp;plan!$L$2:$L$1984,0)+1,MATCH(plan!$S$1,plan!$A$1:$S$1,0)),""))</f>
        <v/>
      </c>
      <c r="S4" s="202">
        <f>IF(L4="","",SUMIFS(plan!$I:$I,plan!$A:$A,圆机计划单汇总!A4,plan!$L:$L,圆机计划单汇总!L4))</f>
        <v>50000</v>
      </c>
      <c r="T4" s="213">
        <f>IF(L4="","",SUMIFS(plan!$X:$X,plan!$A:$A,圆机计划单汇总!A4,plan!$L:$L,圆机计划单汇总!L4))</f>
        <v>1131.049868766404</v>
      </c>
      <c r="U4" s="183">
        <f>IF(L4="","",SUMIFS(plan!$Y:$Y,plan!$A:$A,圆机计划单汇总!A4,plan!$L:$L,圆机计划单汇总!L4))</f>
        <v>56.552493438320198</v>
      </c>
      <c r="V4" s="247">
        <f>IF(S4="","",SUMIFS(plan!$AB:$AB,plan!$A:$A,圆机计划单汇总!A4,plan!$L:$L,圆机计划单汇总!L4))</f>
        <v>86</v>
      </c>
      <c r="W4" s="208"/>
      <c r="X4" s="307">
        <f>IF(L4="","",IF($X$1="坯布需求合计(Kg)",SUMIF(A:A,A4,T:T),SUMIF(A:A,A4,U:U)))</f>
        <v>1701.2598425196848</v>
      </c>
      <c r="Y4" s="317">
        <f>IF(S4="","",X4-AB4)</f>
        <v>-2085.8401574803152</v>
      </c>
      <c r="Z4" s="246">
        <f t="shared" si="0"/>
        <v>480</v>
      </c>
      <c r="AA4" s="315">
        <f t="shared" si="1"/>
        <v>-4.3455003280839897</v>
      </c>
      <c r="AB4" s="315">
        <f>SUMIF(四面弹库存!B:B,圆机计划单汇总!A4,四面弹库存!E:E)</f>
        <v>3787.1</v>
      </c>
      <c r="AC4" s="315">
        <f>SUMIF(四面弹库存!B:B,圆机计划单汇总!A4,四面弹库存!F:F)</f>
        <v>194</v>
      </c>
    </row>
    <row r="5" spans="1:30" s="250" customFormat="1" ht="18" customHeight="1">
      <c r="A5" s="246" t="s">
        <v>2247</v>
      </c>
      <c r="B5" s="246"/>
      <c r="C5" s="297"/>
      <c r="D5" s="302"/>
      <c r="E5" s="306"/>
      <c r="F5" s="304"/>
      <c r="G5" s="304"/>
      <c r="H5" s="247">
        <v>33</v>
      </c>
      <c r="I5" s="247">
        <v>156</v>
      </c>
      <c r="J5" s="248" t="s">
        <v>177</v>
      </c>
      <c r="K5" s="246" t="s">
        <v>2</v>
      </c>
      <c r="L5" s="248" t="s">
        <v>2991</v>
      </c>
      <c r="M5" s="247" t="str">
        <f t="array" ref="M5">SUBSTITUTE(L5,N5,"")</f>
        <v>C420</v>
      </c>
      <c r="N5" s="247" t="str">
        <f t="array" ref="N5">LEFT(L5,MIN(FIND({"A","B","C"},MID(L5,2,LEN(L5))&amp;"ABC")))</f>
        <v>XSD</v>
      </c>
      <c r="O5" s="247" t="str">
        <f t="array" ref="O5">IF(L5="","",INDEX(plan!$A:$F,MATCH(A5&amp;L5,plan!$A$2:$A$19999&amp;plan!$L$2:$L$19999,0)+1,MATCH(plan!$F$1,plan!$A$1:$F$1,0)))</f>
        <v>A</v>
      </c>
      <c r="P5" s="219">
        <f t="array" ref="P5">IF(L5="","",INDEX(plan!$A:$O,MATCH(A5&amp;L5,plan!$A$2:$A$19999&amp;plan!$L$2:$L$19999,0)+1,MATCH(plan!$O$1,plan!$A$1:$O$1,0)))</f>
        <v>43774</v>
      </c>
      <c r="Q5" s="219" t="str">
        <f t="array" ref="Q5">IF(L5="","",IF(INDEX(plan!$A:$Q,MATCH(A5&amp;L5,plan!$A$2:$A$1984&amp;plan!$L$2:$L$1984,0)+1,MATCH(plan!$Q$1,plan!$A$1:$Q$1,0))&gt;0,INDEX(plan!$A:$Q,MATCH(A5&amp;L5,plan!$A$2:$A$1984&amp;plan!$L$2:$L$1984,0)+1,MATCH(plan!$Q$1,plan!$A$1:$Q$1,0)),""))</f>
        <v/>
      </c>
      <c r="R5" s="219" t="str">
        <f t="array" ref="R5">IF(L5="","",IF(INDEX(plan!$A:$S,MATCH(A5&amp;L5,plan!$A$2:$A$1984&amp;plan!$L$2:$L$1984,0)+1,MATCH(plan!$S$1,plan!$A$1:$S$1,0))&gt;0,INDEX(plan!$A:$S,MATCH(A5&amp;L5,plan!$A$2:$A$1984&amp;plan!$L$2:$L$1984,0)+1,MATCH(plan!$S$1,plan!$A$1:$S$1,0)),""))</f>
        <v/>
      </c>
      <c r="S5" s="247">
        <f>IF(L5="","",SUMIFS(plan!$I:$I,plan!$A:$A,圆机计划单汇总!A5,plan!$L:$L,圆机计划单汇总!L5))</f>
        <v>10000</v>
      </c>
      <c r="T5" s="213">
        <f>IF(L5="","",SUMIFS(plan!$X:$X,plan!$A:$A,圆机计划单汇总!A5,plan!$L:$L,圆机计划单汇总!L5))</f>
        <v>570.20997375328079</v>
      </c>
      <c r="U5" s="183">
        <f>IF(L5="","",SUMIFS(plan!$Y:$Y,plan!$A:$A,圆机计划单汇总!A5,plan!$L:$L,圆机计划单汇总!L5))</f>
        <v>28.51049868766404</v>
      </c>
      <c r="V5" s="247">
        <f>IF(S5="","",SUMIFS(plan!$AB:$AB,plan!$A:$A,圆机计划单汇总!A5,plan!$L:$L,圆机计划单汇总!L5))</f>
        <v>0</v>
      </c>
      <c r="W5" s="249"/>
      <c r="X5" s="309"/>
      <c r="Y5" s="319"/>
      <c r="Z5" s="246">
        <f t="shared" si="0"/>
        <v>0</v>
      </c>
      <c r="AA5" s="316"/>
      <c r="AB5" s="316"/>
      <c r="AC5" s="316"/>
    </row>
    <row r="6" spans="1:30" s="250" customFormat="1" ht="18" hidden="1" customHeight="1">
      <c r="A6" s="246" t="s">
        <v>2247</v>
      </c>
      <c r="B6" s="246"/>
      <c r="C6" s="236"/>
      <c r="D6" s="235"/>
      <c r="E6" s="249"/>
      <c r="F6" s="248"/>
      <c r="G6" s="247"/>
      <c r="H6" s="247">
        <v>33</v>
      </c>
      <c r="I6" s="247">
        <v>156</v>
      </c>
      <c r="J6" s="248" t="s">
        <v>177</v>
      </c>
      <c r="K6" s="246" t="s">
        <v>2</v>
      </c>
      <c r="L6" s="248"/>
      <c r="M6" s="247" t="str">
        <f t="array" ref="M6">SUBSTITUTE(L6,N6,"")</f>
        <v/>
      </c>
      <c r="N6" s="247" t="str">
        <f t="array" ref="N6">LEFT(L6,MIN(FIND({"A","B","C"},MID(L6,2,LEN(L6))&amp;"ABC")))</f>
        <v/>
      </c>
      <c r="O6" s="247" t="str">
        <f t="array" ref="O6">IF(L6="","",INDEX(plan!$A:$F,MATCH(A6&amp;L6,plan!$A$2:$A$19999&amp;plan!$L$2:$L$19999,0)+1,MATCH(plan!$F$1,plan!$A$1:$F$1,0)))</f>
        <v/>
      </c>
      <c r="P6" s="219" t="str">
        <f t="array" ref="P6">IF(L6="","",INDEX(plan!$A:$O,MATCH(A6&amp;L6,plan!$A$2:$A$19999&amp;plan!$L$2:$L$19999,0)+1,MATCH(plan!$O$1,plan!$A$1:$O$1,0)))</f>
        <v/>
      </c>
      <c r="Q6" s="219" t="str">
        <f t="array" ref="Q6">IF(L6="","",IF(INDEX(plan!$A:$Q,MATCH(A6&amp;L6,plan!$A$2:$A$1984&amp;plan!$L$2:$L$1984,0)+1,MATCH(plan!$Q$1,plan!$A$1:$Q$1,0))&gt;0,INDEX(plan!$A:$Q,MATCH(A6&amp;L6,plan!$A$2:$A$1984&amp;plan!$L$2:$L$1984,0)+1,MATCH(plan!$Q$1,plan!$A$1:$Q$1,0)),""))</f>
        <v/>
      </c>
      <c r="R6" s="219" t="str">
        <f t="array" ref="R6">IF(L6="","",IF(INDEX(plan!$A:$S,MATCH(A6&amp;L6,plan!$A$2:$A$1984&amp;plan!$L$2:$L$1984,0)+1,MATCH(plan!$S$1,plan!$A$1:$S$1,0))&gt;0,INDEX(plan!$A:$S,MATCH(A6&amp;L6,plan!$A$2:$A$1984&amp;plan!$L$2:$L$1984,0)+1,MATCH(plan!$S$1,plan!$A$1:$S$1,0)),""))</f>
        <v/>
      </c>
      <c r="S6" s="247" t="str">
        <f>IF(L6="","",SUMIFS(plan!$I:$I,plan!$A:$A,圆机计划单汇总!A6,plan!$L:$L,圆机计划单汇总!L6))</f>
        <v/>
      </c>
      <c r="T6" s="213" t="str">
        <f>IF(L6="","",SUMIFS(plan!$X:$X,plan!$A:$A,圆机计划单汇总!A6,plan!$L:$L,圆机计划单汇总!L6))</f>
        <v/>
      </c>
      <c r="U6" s="183" t="str">
        <f>IF(L6="","",SUMIFS(plan!$Y:$Y,plan!$A:$A,圆机计划单汇总!A6,plan!$L:$L,圆机计划单汇总!L6))</f>
        <v/>
      </c>
      <c r="V6" s="247" t="str">
        <f>IF(S6="","",SUMIFS(plan!$AB:$AB,plan!$A:$A,圆机计划单汇总!A6,plan!$L:$L,圆机计划单汇总!L6))</f>
        <v/>
      </c>
      <c r="W6" s="249"/>
      <c r="X6" s="253"/>
      <c r="Y6" s="244"/>
      <c r="Z6" s="246" t="str">
        <f t="shared" si="0"/>
        <v/>
      </c>
      <c r="AA6" s="243"/>
      <c r="AB6" s="235"/>
      <c r="AC6" s="239"/>
    </row>
    <row r="7" spans="1:30" ht="18" customHeight="1">
      <c r="A7" s="195" t="s">
        <v>1605</v>
      </c>
      <c r="B7" s="321" t="s">
        <v>1503</v>
      </c>
      <c r="C7" s="295">
        <v>75</v>
      </c>
      <c r="D7" s="301">
        <f>SUMIF(yuanjicode,圆机计划单汇总!A7,yuanjinumber)</f>
        <v>4</v>
      </c>
      <c r="E7" s="322">
        <v>5</v>
      </c>
      <c r="F7" s="324" t="s">
        <v>1610</v>
      </c>
      <c r="G7" s="323">
        <v>42</v>
      </c>
      <c r="H7" s="323">
        <v>38</v>
      </c>
      <c r="I7" s="323">
        <v>162</v>
      </c>
      <c r="J7" s="209" t="s">
        <v>168</v>
      </c>
      <c r="K7" s="195" t="s">
        <v>2</v>
      </c>
      <c r="L7" s="248" t="s">
        <v>2848</v>
      </c>
      <c r="M7" s="202" t="str">
        <f t="array" ref="M7">SUBSTITUTE(L7,N7,"")</f>
        <v>B431</v>
      </c>
      <c r="N7" s="247" t="str">
        <f t="array" ref="N7">LEFT(L7,MIN(FIND({"A","B","C"},MID(L7,2,LEN(L7))&amp;"ABC")))</f>
        <v>A35</v>
      </c>
      <c r="O7" s="247" t="str">
        <f t="array" ref="O7">IF(L7="","",INDEX(plan!$A:$F,MATCH(A7&amp;L7,plan!$A$2:$A$19999&amp;plan!$L$2:$L$19999,0)+1,MATCH(plan!$F$1,plan!$A$1:$F$1,0)))</f>
        <v>AAA</v>
      </c>
      <c r="P7" s="219">
        <f t="array" ref="P7">IF(L7="","",INDEX(plan!$A:$O,MATCH(A7&amp;L7,plan!$A$2:$A$19999&amp;plan!$L$2:$L$19999,0)+1,MATCH(plan!$O$1,plan!$A$1:$O$1,0)))</f>
        <v>43768</v>
      </c>
      <c r="Q7" s="219" t="str">
        <f t="array" ref="Q7">IF(L7="","",IF(INDEX(plan!$A:$Q,MATCH(A7&amp;L7,plan!$A$2:$A$1984&amp;plan!$L$2:$L$1984,0)+1,MATCH(plan!$Q$1,plan!$A$1:$Q$1,0))&gt;0,INDEX(plan!$A:$Q,MATCH(A7&amp;L7,plan!$A$2:$A$1984&amp;plan!$L$2:$L$1984,0)+1,MATCH(plan!$Q$1,plan!$A$1:$Q$1,0)),""))</f>
        <v/>
      </c>
      <c r="R7" s="219" t="str">
        <f t="array" ref="R7">IF(L7="","",IF(INDEX(plan!$A:$S,MATCH(A7&amp;L7,plan!$A$2:$A$1984&amp;plan!$L$2:$L$1984,0)+1,MATCH(plan!$S$1,plan!$A$1:$S$1,0))&gt;0,INDEX(plan!$A:$S,MATCH(A7&amp;L7,plan!$A$2:$A$1984&amp;plan!$L$2:$L$1984,0)+1,MATCH(plan!$S$1,plan!$A$1:$S$1,0)),""))</f>
        <v/>
      </c>
      <c r="S7" s="202">
        <f>IF(L7="","",SUMIFS(plan!$I:$I,plan!$A:$A,圆机计划单汇总!$A$7,plan!$L:$L,圆机计划单汇总!L7))</f>
        <v>25000</v>
      </c>
      <c r="T7" s="213">
        <f>IF(L7="","",SUMIFS(plan!$X:$X,plan!$A:$A,圆机计划单汇总!$A$7,plan!$L:$L,圆机计划单汇总!L7))</f>
        <v>1657.0975503062116</v>
      </c>
      <c r="U7" s="183">
        <f>IF(L7="","",SUMIFS(plan!$Y:$Y,plan!$A:$A,圆机计划单汇总!$A$7,plan!$L:$L,圆机计划单汇总!L7))</f>
        <v>82.854877515310577</v>
      </c>
      <c r="V7" s="247">
        <f>IF(S7="","",SUMIFS(plan!$AB:$AB,plan!$A:$A,圆机计划单汇总!A7,plan!$L:$L,圆机计划单汇总!L7))</f>
        <v>0</v>
      </c>
      <c r="W7" s="208"/>
      <c r="X7" s="307">
        <f>IF(L7="","",IF($X$1="坯布需求合计(Kg)",SUMIF(A:A,A7,T:T),SUMIF(A:A,A7,U:U)))</f>
        <v>1657.0975503062116</v>
      </c>
      <c r="Y7" s="317">
        <f>IF(L7="","",X7-AB7)</f>
        <v>310.89755030621154</v>
      </c>
      <c r="Z7" s="246">
        <f t="shared" si="0"/>
        <v>400</v>
      </c>
      <c r="AA7" s="313">
        <f>IF(L7="","",Y7/Z7)</f>
        <v>0.77724387576552889</v>
      </c>
      <c r="AB7" s="313">
        <f>SUMIF(四面弹库存!B:B,圆机计划单汇总!A7,四面弹库存!E:E)</f>
        <v>1346.2</v>
      </c>
      <c r="AC7" s="305">
        <f>SUMIF(四面弹库存!B:B,圆机计划单汇总!A7,四面弹库存!F:F)</f>
        <v>67</v>
      </c>
    </row>
    <row r="8" spans="1:30" ht="18" customHeight="1">
      <c r="A8" s="195" t="s">
        <v>1605</v>
      </c>
      <c r="B8" s="321"/>
      <c r="C8" s="296"/>
      <c r="D8" s="311"/>
      <c r="E8" s="322"/>
      <c r="F8" s="324"/>
      <c r="G8" s="323"/>
      <c r="H8" s="323"/>
      <c r="I8" s="323"/>
      <c r="J8" s="209" t="s">
        <v>168</v>
      </c>
      <c r="K8" s="195" t="s">
        <v>2</v>
      </c>
      <c r="L8" s="248"/>
      <c r="M8" s="202" t="str">
        <f t="array" ref="M8">SUBSTITUTE(L8,N8,"")</f>
        <v/>
      </c>
      <c r="N8" s="247" t="str">
        <f t="array" ref="N8">LEFT(L8,MIN(FIND({"A","B","C"},MID(L8,2,LEN(L8))&amp;"ABC")))</f>
        <v/>
      </c>
      <c r="O8" s="247" t="str">
        <f t="array" ref="O8">IF(L8="","",INDEX(plan!$A:$F,MATCH(A8&amp;L8,plan!$A$2:$A$19999&amp;plan!$L$2:$L$19999,0)+1,MATCH(plan!$F$1,plan!$A$1:$F$1,0)))</f>
        <v/>
      </c>
      <c r="P8" s="219" t="str">
        <f t="array" ref="P8">IF(L8="","",INDEX(plan!$A:$O,MATCH(A8&amp;L8,plan!$A$2:$A$19999&amp;plan!$L$2:$L$19999,0)+1,MATCH(plan!$O$1,plan!$A$1:$O$1,0)))</f>
        <v/>
      </c>
      <c r="Q8" s="219" t="str">
        <f t="array" ref="Q8">IF(L8="","",IF(INDEX(plan!$A:$Q,MATCH(A8&amp;L8,plan!$A$2:$A$1984&amp;plan!$L$2:$L$1984,0)+1,MATCH(plan!$Q$1,plan!$A$1:$Q$1,0))&gt;0,INDEX(plan!$A:$Q,MATCH(A8&amp;L8,plan!$A$2:$A$1984&amp;plan!$L$2:$L$1984,0)+1,MATCH(plan!$Q$1,plan!$A$1:$Q$1,0)),""))</f>
        <v/>
      </c>
      <c r="R8" s="219" t="str">
        <f t="array" ref="R8">IF(L8="","",IF(INDEX(plan!$A:$S,MATCH(A8&amp;L8,plan!$A$2:$A$1984&amp;plan!$L$2:$L$1984,0)+1,MATCH(plan!$S$1,plan!$A$1:$S$1,0))&gt;0,INDEX(plan!$A:$S,MATCH(A8&amp;L8,plan!$A$2:$A$1984&amp;plan!$L$2:$L$1984,0)+1,MATCH(plan!$S$1,plan!$A$1:$S$1,0)),""))</f>
        <v/>
      </c>
      <c r="S8" s="202" t="str">
        <f>IF(L8="","",SUMIFS(plan!$I:$I,plan!$A:$A,圆机计划单汇总!$A$7,plan!$L:$L,圆机计划单汇总!L8))</f>
        <v/>
      </c>
      <c r="T8" s="213" t="str">
        <f>IF(L8="","",SUMIFS(plan!$X:$X,plan!$A:$A,圆机计划单汇总!$A$7,plan!$L:$L,圆机计划单汇总!L8))</f>
        <v/>
      </c>
      <c r="U8" s="183" t="str">
        <f>IF(L8="","",SUMIFS(plan!$Y:$Y,plan!$A:$A,圆机计划单汇总!$A$7,plan!$L:$L,圆机计划单汇总!L8))</f>
        <v/>
      </c>
      <c r="V8" s="247" t="str">
        <f>IF(S8="","",SUMIFS(plan!$AB:$AB,plan!$A:$A,圆机计划单汇总!A8,plan!$L:$L,圆机计划单汇总!L8))</f>
        <v/>
      </c>
      <c r="W8" s="208"/>
      <c r="X8" s="308"/>
      <c r="Y8" s="318"/>
      <c r="Z8" s="246" t="str">
        <f t="shared" si="0"/>
        <v/>
      </c>
      <c r="AA8" s="320"/>
      <c r="AB8" s="311"/>
      <c r="AC8" s="312"/>
    </row>
    <row r="9" spans="1:30" ht="18" customHeight="1">
      <c r="A9" s="195" t="s">
        <v>1605</v>
      </c>
      <c r="B9" s="321"/>
      <c r="C9" s="296"/>
      <c r="D9" s="311"/>
      <c r="E9" s="322"/>
      <c r="F9" s="324"/>
      <c r="G9" s="323"/>
      <c r="H9" s="323"/>
      <c r="I9" s="323"/>
      <c r="J9" s="209" t="s">
        <v>168</v>
      </c>
      <c r="K9" s="195" t="s">
        <v>2</v>
      </c>
      <c r="L9" s="248"/>
      <c r="M9" s="202" t="str">
        <f t="array" ref="M9">SUBSTITUTE(L9,N9,"")</f>
        <v/>
      </c>
      <c r="N9" s="247" t="str">
        <f t="array" ref="N9">LEFT(L9,MIN(FIND({"A","B","C"},MID(L9,2,LEN(L9))&amp;"ABC")))</f>
        <v/>
      </c>
      <c r="O9" s="247" t="str">
        <f t="array" ref="O9">IF(L9="","",INDEX(plan!$A:$F,MATCH(A9&amp;L9,plan!$A$2:$A$19999&amp;plan!$L$2:$L$19999,0)+1,MATCH(plan!$F$1,plan!$A$1:$F$1,0)))</f>
        <v/>
      </c>
      <c r="P9" s="219" t="str">
        <f t="array" ref="P9">IF(L9="","",INDEX(plan!$A:$O,MATCH(A9&amp;L9,plan!$A$2:$A$19999&amp;plan!$L$2:$L$19999,0)+1,MATCH(plan!$O$1,plan!$A$1:$O$1,0)))</f>
        <v/>
      </c>
      <c r="Q9" s="219" t="str">
        <f t="array" ref="Q9">IF(L9="","",IF(INDEX(plan!$A:$Q,MATCH(A9&amp;L9,plan!$A$2:$A$1984&amp;plan!$L$2:$L$1984,0)+1,MATCH(plan!$Q$1,plan!$A$1:$Q$1,0))&gt;0,INDEX(plan!$A:$Q,MATCH(A9&amp;L9,plan!$A$2:$A$1984&amp;plan!$L$2:$L$1984,0)+1,MATCH(plan!$Q$1,plan!$A$1:$Q$1,0)),""))</f>
        <v/>
      </c>
      <c r="R9" s="219" t="str">
        <f t="array" ref="R9">IF(L9="","",IF(INDEX(plan!$A:$S,MATCH(A9&amp;L9,plan!$A$2:$A$1984&amp;plan!$L$2:$L$1984,0)+1,MATCH(plan!$S$1,plan!$A$1:$S$1,0))&gt;0,INDEX(plan!$A:$S,MATCH(A9&amp;L9,plan!$A$2:$A$1984&amp;plan!$L$2:$L$1984,0)+1,MATCH(plan!$S$1,plan!$A$1:$S$1,0)),""))</f>
        <v/>
      </c>
      <c r="S9" s="202" t="str">
        <f>IF(L9="","",SUMIFS(plan!$I:$I,plan!$A:$A,圆机计划单汇总!$A$7,plan!$L:$L,圆机计划单汇总!L9))</f>
        <v/>
      </c>
      <c r="T9" s="213" t="str">
        <f>IF(L9="","",SUMIFS(plan!$X:$X,plan!$A:$A,圆机计划单汇总!$A$7,plan!$L:$L,圆机计划单汇总!L9))</f>
        <v/>
      </c>
      <c r="U9" s="183" t="str">
        <f>IF(L9="","",SUMIFS(plan!$Y:$Y,plan!$A:$A,圆机计划单汇总!$A$7,plan!$L:$L,圆机计划单汇总!L9))</f>
        <v/>
      </c>
      <c r="V9" s="247" t="str">
        <f>IF(S9="","",SUMIFS(plan!$AB:$AB,plan!$A:$A,圆机计划单汇总!A9,plan!$L:$L,圆机计划单汇总!L9))</f>
        <v/>
      </c>
      <c r="W9" s="208"/>
      <c r="X9" s="308"/>
      <c r="Y9" s="318"/>
      <c r="Z9" s="246" t="str">
        <f t="shared" si="0"/>
        <v/>
      </c>
      <c r="AA9" s="320"/>
      <c r="AB9" s="311"/>
      <c r="AC9" s="312"/>
    </row>
    <row r="10" spans="1:30" ht="18" customHeight="1">
      <c r="A10" s="195" t="s">
        <v>1605</v>
      </c>
      <c r="B10" s="321"/>
      <c r="C10" s="297"/>
      <c r="D10" s="302"/>
      <c r="E10" s="322"/>
      <c r="F10" s="324"/>
      <c r="G10" s="323"/>
      <c r="H10" s="323"/>
      <c r="I10" s="323"/>
      <c r="J10" s="209" t="s">
        <v>168</v>
      </c>
      <c r="K10" s="195" t="s">
        <v>2</v>
      </c>
      <c r="L10" s="248"/>
      <c r="M10" s="202"/>
      <c r="N10" s="247" t="str">
        <f t="array" ref="N10">LEFT(L10,MIN(FIND({"A","B","C"},MID(L10,2,LEN(L10))&amp;"ABC")))</f>
        <v/>
      </c>
      <c r="O10" s="247" t="str">
        <f t="array" ref="O10">IF(L10="","",INDEX(plan!$A:$F,MATCH(A10&amp;L10,plan!$A$2:$A$19999&amp;plan!$L$2:$L$19999,0)+1,MATCH(plan!$F$1,plan!$A$1:$F$1,0)))</f>
        <v/>
      </c>
      <c r="P10" s="219" t="str">
        <f t="array" ref="P10">IF(L10="","",INDEX(plan!$A:$O,MATCH(A10&amp;L10,plan!$A$2:$A$19999&amp;plan!$L$2:$L$19999,0)+1,MATCH(plan!$O$1,plan!$A$1:$O$1,0)))</f>
        <v/>
      </c>
      <c r="Q10" s="219" t="str">
        <f t="array" ref="Q10">IF(L10="","",IF(INDEX(plan!$A:$Q,MATCH(A10&amp;L10,plan!$A$2:$A$1984&amp;plan!$L$2:$L$1984,0)+1,MATCH(plan!$Q$1,plan!$A$1:$Q$1,0))&gt;0,INDEX(plan!$A:$Q,MATCH(A10&amp;L10,plan!$A$2:$A$1984&amp;plan!$L$2:$L$1984,0)+1,MATCH(plan!$Q$1,plan!$A$1:$Q$1,0)),""))</f>
        <v/>
      </c>
      <c r="R10" s="219" t="str">
        <f t="array" ref="R10">IF(L10="","",IF(INDEX(plan!$A:$S,MATCH(A10&amp;L10,plan!$A$2:$A$1984&amp;plan!$L$2:$L$1984,0)+1,MATCH(plan!$S$1,plan!$A$1:$S$1,0))&gt;0,INDEX(plan!$A:$S,MATCH(A10&amp;L10,plan!$A$2:$A$1984&amp;plan!$L$2:$L$1984,0)+1,MATCH(plan!$S$1,plan!$A$1:$S$1,0)),""))</f>
        <v/>
      </c>
      <c r="S10" s="202" t="str">
        <f>IF(L10="","",SUMIFS(plan!$I:$I,plan!$A:$A,圆机计划单汇总!$A$7,plan!$L:$L,圆机计划单汇总!L10))</f>
        <v/>
      </c>
      <c r="T10" s="213" t="str">
        <f>IF(L10="","",SUMIFS(plan!$X:$X,plan!$A:$A,圆机计划单汇总!$A$7,plan!$L:$L,圆机计划单汇总!L10))</f>
        <v/>
      </c>
      <c r="U10" s="183" t="str">
        <f>IF(L10="","",SUMIFS(plan!$Y:$Y,plan!$A:$A,圆机计划单汇总!$A$7,plan!$L:$L,圆机计划单汇总!L10))</f>
        <v/>
      </c>
      <c r="V10" s="247" t="str">
        <f>IF(S10="","",SUMIFS(plan!$AB:$AB,plan!$A:$A,圆机计划单汇总!A10,plan!$L:$L,圆机计划单汇总!L10))</f>
        <v/>
      </c>
      <c r="W10" s="208"/>
      <c r="X10" s="309"/>
      <c r="Y10" s="319"/>
      <c r="Z10" s="246" t="str">
        <f t="shared" si="0"/>
        <v/>
      </c>
      <c r="AA10" s="314"/>
      <c r="AB10" s="302"/>
      <c r="AC10" s="306"/>
    </row>
    <row r="11" spans="1:30" ht="18" customHeight="1">
      <c r="A11" s="194" t="s">
        <v>2293</v>
      </c>
      <c r="B11" s="321" t="s">
        <v>1501</v>
      </c>
      <c r="C11" s="220">
        <v>50</v>
      </c>
      <c r="D11" s="202">
        <f>SUMIF(yuanjicode,圆机计划单汇总!A11,yuanjinumber)</f>
        <v>2</v>
      </c>
      <c r="E11" s="208"/>
      <c r="F11" s="205" t="s">
        <v>1613</v>
      </c>
      <c r="G11" s="202">
        <v>34</v>
      </c>
      <c r="H11" s="202"/>
      <c r="I11" s="202"/>
      <c r="J11" s="205" t="s">
        <v>170</v>
      </c>
      <c r="K11" s="194" t="s">
        <v>1058</v>
      </c>
      <c r="L11" s="368"/>
      <c r="M11" s="202" t="str">
        <f t="array" ref="M11">SUBSTITUTE(L11,N11,"")</f>
        <v/>
      </c>
      <c r="N11" s="247" t="str">
        <f t="array" ref="N11">LEFT(L11,MIN(FIND({"A","B","C"},MID(L11,2,LEN(L11))&amp;"ABC")))</f>
        <v/>
      </c>
      <c r="O11" s="247" t="str">
        <f t="array" ref="O11">IF(L11="","",INDEX(plan!$A:$F,MATCH(A11&amp;L11,plan!$A$2:$A$19999&amp;plan!$L$2:$L$19999,0)+1,MATCH(plan!$F$1,plan!$A$1:$F$1,0)))</f>
        <v/>
      </c>
      <c r="P11" s="219" t="str">
        <f t="array" ref="P11">IF(L11="","",INDEX(plan!$A:$O,MATCH(A11&amp;L11,plan!$A$2:$A$19999&amp;plan!$L$2:$L$19999,0)+1,MATCH(plan!$O$1,plan!$A$1:$O$1,0)))</f>
        <v/>
      </c>
      <c r="Q11" s="219" t="str">
        <f t="array" ref="Q11">IF(L11="","",IF(INDEX(plan!$A:$Q,MATCH(A11&amp;L11,plan!$A$2:$A$1984&amp;plan!$L$2:$L$1984,0)+1,MATCH(plan!$Q$1,plan!$A$1:$Q$1,0))&gt;0,INDEX(plan!$A:$Q,MATCH(A11&amp;L11,plan!$A$2:$A$1984&amp;plan!$L$2:$L$1984,0)+1,MATCH(plan!$Q$1,plan!$A$1:$Q$1,0)),""))</f>
        <v/>
      </c>
      <c r="R11" s="219" t="str">
        <f t="array" ref="R11">IF(L11="","",IF(INDEX(plan!$A:$S,MATCH(A11&amp;L11,plan!$A$2:$A$1984&amp;plan!$L$2:$L$1984,0)+1,MATCH(plan!$S$1,plan!$A$1:$S$1,0))&gt;0,INDEX(plan!$A:$S,MATCH(A11&amp;L11,plan!$A$2:$A$1984&amp;plan!$L$2:$L$1984,0)+1,MATCH(plan!$S$1,plan!$A$1:$S$1,0)),""))</f>
        <v/>
      </c>
      <c r="S11" s="202" t="str">
        <f>IF(L11="","",SUMIFS(plan!$I:$I,plan!$A:$A,圆机计划单汇总!$A$11,plan!$L:$L,圆机计划单汇总!L11))</f>
        <v/>
      </c>
      <c r="T11" s="213" t="str">
        <f>IF(L11="","",SUMIFS(plan!$X:$X,plan!$A:$A,圆机计划单汇总!$A$11,plan!$L:$L,圆机计划单汇总!L11))</f>
        <v/>
      </c>
      <c r="U11" s="183" t="str">
        <f>IF(L11="","",SUMIFS(plan!$Y:$Y,plan!$A:$A,圆机计划单汇总!$A$11,plan!$L:$L,圆机计划单汇总!L11))</f>
        <v/>
      </c>
      <c r="V11" s="247" t="str">
        <f>IF(S11="","",SUMIFS(plan!$AB:$AB,plan!$A:$A,圆机计划单汇总!A11,plan!$L:$L,圆机计划单汇总!L11))</f>
        <v/>
      </c>
      <c r="W11" s="208"/>
      <c r="X11" s="252" t="str">
        <f>IF(L11="","",IF($X$1="坯布需求合计(Kg)",SUMIF(A:A,A11,T:T),SUMIF(A:A,A11,U:U)))</f>
        <v/>
      </c>
      <c r="Y11" s="214" t="str">
        <f>IF(L11="","",X11-AB11)</f>
        <v/>
      </c>
      <c r="Z11" s="246" t="str">
        <f t="shared" si="0"/>
        <v/>
      </c>
      <c r="AA11" s="216"/>
      <c r="AB11" s="202">
        <f>SUMIF(四面弹库存!B:B,圆机计划单汇总!A11,四面弹库存!E:E)</f>
        <v>974</v>
      </c>
      <c r="AC11" s="249">
        <f>SUMIF(四面弹库存!B:B,圆机计划单汇总!A11,四面弹库存!F:F)</f>
        <v>49</v>
      </c>
    </row>
    <row r="12" spans="1:30" ht="18" customHeight="1">
      <c r="A12" s="202" t="s">
        <v>116</v>
      </c>
      <c r="B12" s="321"/>
      <c r="C12" s="220">
        <v>50</v>
      </c>
      <c r="D12" s="202">
        <f>SUMIF(yuanjicode,圆机计划单汇总!A12,yuanjinumber)</f>
        <v>19</v>
      </c>
      <c r="E12" s="208">
        <v>2.8</v>
      </c>
      <c r="F12" s="205" t="s">
        <v>1614</v>
      </c>
      <c r="G12" s="202">
        <v>36</v>
      </c>
      <c r="H12" s="202">
        <v>36</v>
      </c>
      <c r="I12" s="202">
        <v>157.5</v>
      </c>
      <c r="J12" s="205" t="s">
        <v>170</v>
      </c>
      <c r="K12" s="194" t="s">
        <v>1058</v>
      </c>
      <c r="L12" s="248"/>
      <c r="M12" s="202" t="str">
        <f t="array" ref="M12">SUBSTITUTE(L12,N12,"")</f>
        <v/>
      </c>
      <c r="N12" s="247" t="str">
        <f t="array" ref="N12">LEFT(L12,MIN(FIND({"A","B","C"},MID(L12,2,LEN(L12))&amp;"ABC")))</f>
        <v/>
      </c>
      <c r="O12" s="247" t="str">
        <f t="array" ref="O12">IF(L12="","",INDEX(plan!$A:$F,MATCH(A12&amp;L12,plan!$A$2:$A$19999&amp;plan!$L$2:$L$19999,0)+1,MATCH(plan!$F$1,plan!$A$1:$F$1,0)))</f>
        <v/>
      </c>
      <c r="P12" s="219" t="str">
        <f t="array" ref="P12">IF(L12="","",INDEX(plan!$A:$O,MATCH(A12&amp;L12,plan!$A$2:$A$19999&amp;plan!$L$2:$L$19999,0)+1,MATCH(plan!$O$1,plan!$A$1:$O$1,0)))</f>
        <v/>
      </c>
      <c r="Q12" s="219" t="str">
        <f t="array" ref="Q12">IF(L12="","",IF(INDEX(plan!$A:$Q,MATCH(A12&amp;L12,plan!$A$2:$A$1984&amp;plan!$L$2:$L$1984,0)+1,MATCH(plan!$Q$1,plan!$A$1:$Q$1,0))&gt;0,INDEX(plan!$A:$Q,MATCH(A12&amp;L12,plan!$A$2:$A$1984&amp;plan!$L$2:$L$1984,0)+1,MATCH(plan!$Q$1,plan!$A$1:$Q$1,0)),""))</f>
        <v/>
      </c>
      <c r="R12" s="219" t="str">
        <f t="array" ref="R12">IF(L12="","",IF(INDEX(plan!$A:$S,MATCH(A12&amp;L12,plan!$A$2:$A$1984&amp;plan!$L$2:$L$1984,0)+1,MATCH(plan!$S$1,plan!$A$1:$S$1,0))&gt;0,INDEX(plan!$A:$S,MATCH(A12&amp;L12,plan!$A$2:$A$1984&amp;plan!$L$2:$L$1984,0)+1,MATCH(plan!$S$1,plan!$A$1:$S$1,0)),""))</f>
        <v/>
      </c>
      <c r="S12" s="202" t="str">
        <f>IF(L12="","",SUMIFS(plan!$I:$I,plan!$A:$A,圆机计划单汇总!$A$12,plan!$L:$L,圆机计划单汇总!L12))</f>
        <v/>
      </c>
      <c r="T12" s="213" t="str">
        <f>IF(L12="","",SUMIFS(plan!$X:$X,plan!$A:$A,圆机计划单汇总!$A$12,plan!$L:$L,圆机计划单汇总!L12))</f>
        <v/>
      </c>
      <c r="U12" s="183" t="str">
        <f>IF(L12="","",SUMIFS(plan!$Y:$Y,plan!$A:$A,圆机计划单汇总!$A$12,plan!$L:$L,圆机计划单汇总!L12))</f>
        <v/>
      </c>
      <c r="V12" s="247" t="str">
        <f>IF(S12="","",SUMIFS(plan!$AB:$AB,plan!$A:$A,圆机计划单汇总!A12,plan!$L:$L,圆机计划单汇总!L12))</f>
        <v/>
      </c>
      <c r="W12" s="208"/>
      <c r="X12" s="252" t="str">
        <f>IF(L12="","",IF($X$1="坯布需求合计(Kg)",SUMIF(A:A,A12,T:T),SUMIF(A:A,A12,U:U)))</f>
        <v/>
      </c>
      <c r="Y12" s="214" t="str">
        <f>IF(L12="","",X12-AB12)</f>
        <v/>
      </c>
      <c r="Z12" s="246" t="str">
        <f t="shared" si="0"/>
        <v/>
      </c>
      <c r="AA12" s="216" t="str">
        <f>IF(L12="","",Y12/Z12)</f>
        <v/>
      </c>
      <c r="AB12" s="202">
        <f>SUMIF(四面弹库存!B:B,圆机计划单汇总!A12,四面弹库存!E:E)</f>
        <v>1525.6</v>
      </c>
      <c r="AC12" s="249">
        <f>SUMIF(四面弹库存!B:B,圆机计划单汇总!A12,四面弹库存!F:F)</f>
        <v>77</v>
      </c>
    </row>
    <row r="13" spans="1:30" ht="18" customHeight="1">
      <c r="A13" s="202" t="s">
        <v>123</v>
      </c>
      <c r="B13" s="321"/>
      <c r="C13" s="295">
        <v>75</v>
      </c>
      <c r="D13" s="301">
        <f>SUMIF(yuanjicode,圆机计划单汇总!A13,yuanjinumber)</f>
        <v>0</v>
      </c>
      <c r="E13" s="305"/>
      <c r="F13" s="303" t="s">
        <v>2294</v>
      </c>
      <c r="G13" s="301">
        <v>39</v>
      </c>
      <c r="H13" s="301">
        <v>41</v>
      </c>
      <c r="I13" s="301">
        <v>158</v>
      </c>
      <c r="J13" s="205" t="s">
        <v>44</v>
      </c>
      <c r="K13" s="194" t="s">
        <v>2</v>
      </c>
      <c r="L13" s="248"/>
      <c r="M13" s="202" t="str">
        <f t="array" ref="M13">SUBSTITUTE(L13,N13,"")</f>
        <v/>
      </c>
      <c r="N13" s="247" t="str">
        <f t="array" ref="N13">LEFT(L13,MIN(FIND({"A","B","C"},MID(L13,2,LEN(L13))&amp;"ABC")))</f>
        <v/>
      </c>
      <c r="O13" s="247" t="str">
        <f t="array" ref="O13">IF(L13="","",INDEX(plan!$A:$F,MATCH(A13&amp;L13,plan!$A$2:$A$19999&amp;plan!$L$2:$L$19999,0)+1,MATCH(plan!$F$1,plan!$A$1:$F$1,0)))</f>
        <v/>
      </c>
      <c r="P13" s="219" t="str">
        <f t="array" ref="P13">IF(L13="","",INDEX(plan!$A:$O,MATCH(A13&amp;L13,plan!$A$2:$A$19999&amp;plan!$L$2:$L$19999,0)+1,MATCH(plan!$O$1,plan!$A$1:$O$1,0)))</f>
        <v/>
      </c>
      <c r="Q13" s="219" t="str">
        <f t="array" ref="Q13">IF(L13="","",IF(INDEX(plan!$A:$Q,MATCH(A13&amp;L13,plan!$A$2:$A$1984&amp;plan!$L$2:$L$1984,0)+1,MATCH(plan!$Q$1,plan!$A$1:$Q$1,0))&gt;0,INDEX(plan!$A:$Q,MATCH(A13&amp;L13,plan!$A$2:$A$1984&amp;plan!$L$2:$L$1984,0)+1,MATCH(plan!$Q$1,plan!$A$1:$Q$1,0)),""))</f>
        <v/>
      </c>
      <c r="R13" s="219" t="str">
        <f t="array" ref="R13">IF(L13="","",IF(INDEX(plan!$A:$S,MATCH(A13&amp;L13,plan!$A$2:$A$1984&amp;plan!$L$2:$L$1984,0)+1,MATCH(plan!$S$1,plan!$A$1:$S$1,0))&gt;0,INDEX(plan!$A:$S,MATCH(A13&amp;L13,plan!$A$2:$A$1984&amp;plan!$L$2:$L$1984,0)+1,MATCH(plan!$S$1,plan!$A$1:$S$1,0)),""))</f>
        <v/>
      </c>
      <c r="S13" s="202" t="str">
        <f>IF(L13="","",SUMIFS(plan!$I:$I,plan!$A:$A,圆机计划单汇总!$A$13,plan!$L:$L,圆机计划单汇总!L13))</f>
        <v/>
      </c>
      <c r="T13" s="213" t="str">
        <f>IF(L13="","",SUMIFS(plan!$X:$X,plan!$A:$A,圆机计划单汇总!$A13,plan!$L:$L,圆机计划单汇总!L13))</f>
        <v/>
      </c>
      <c r="U13" s="183" t="str">
        <f>IF(L13="","",SUMIFS(plan!$Y:$Y,plan!$A:$A,圆机计划单汇总!$A13,plan!$L:$L,圆机计划单汇总!L13))</f>
        <v/>
      </c>
      <c r="V13" s="247" t="str">
        <f>IF(S13="","",SUMIFS(plan!$AB:$AB,plan!$A:$A,圆机计划单汇总!A13,plan!$L:$L,圆机计划单汇总!L13))</f>
        <v/>
      </c>
      <c r="W13" s="208"/>
      <c r="X13" s="307" t="str">
        <f>IF(L13="","",IF($X$1="坯布需求合计(Kg)",SUMIF(A:A,A13,T:T),SUMIF(A:A,A13,U:U)))</f>
        <v/>
      </c>
      <c r="Y13" s="298" t="str">
        <f>IF(L13="","",X13-AB13)</f>
        <v/>
      </c>
      <c r="Z13" s="246" t="str">
        <f t="shared" si="0"/>
        <v/>
      </c>
      <c r="AA13" s="315" t="str">
        <f>IF(L13="","",Y13/Z13)</f>
        <v/>
      </c>
      <c r="AB13" s="301">
        <f>SUMIF(四面弹库存!B:B,圆机计划单汇总!A13,四面弹库存!E:E)</f>
        <v>4443.6000000000004</v>
      </c>
      <c r="AC13" s="305">
        <f>SUMIF(四面弹库存!B:B,圆机计划单汇总!A13,四面弹库存!F:F)</f>
        <v>217</v>
      </c>
    </row>
    <row r="14" spans="1:30" ht="18" customHeight="1">
      <c r="A14" s="202" t="s">
        <v>123</v>
      </c>
      <c r="B14" s="321"/>
      <c r="C14" s="297"/>
      <c r="D14" s="302"/>
      <c r="E14" s="306"/>
      <c r="F14" s="304"/>
      <c r="G14" s="302"/>
      <c r="H14" s="302"/>
      <c r="I14" s="302"/>
      <c r="J14" s="205" t="s">
        <v>44</v>
      </c>
      <c r="K14" s="194" t="s">
        <v>2</v>
      </c>
      <c r="L14" s="248"/>
      <c r="M14" s="202" t="str">
        <f t="array" ref="M14">SUBSTITUTE(L14,N14,"")</f>
        <v/>
      </c>
      <c r="N14" s="247" t="str">
        <f t="array" ref="N14">LEFT(L14,MIN(FIND({"A","B","C"},MID(L14,2,LEN(L14))&amp;"ABC")))</f>
        <v/>
      </c>
      <c r="O14" s="247" t="str">
        <f t="array" ref="O14">IF(L14="","",INDEX(plan!$A:$F,MATCH(A14&amp;L14,plan!$A$2:$A$19999&amp;plan!$L$2:$L$19999,0)+1,MATCH(plan!$F$1,plan!$A$1:$F$1,0)))</f>
        <v/>
      </c>
      <c r="P14" s="219" t="str">
        <f t="array" ref="P14">IF(L14="","",INDEX(plan!$A:$O,MATCH(A14&amp;L14,plan!$A$2:$A$19999&amp;plan!$L$2:$L$19999,0)+1,MATCH(plan!$O$1,plan!$A$1:$O$1,0)))</f>
        <v/>
      </c>
      <c r="Q14" s="219" t="str">
        <f t="array" ref="Q14">IF(L14="","",IF(INDEX(plan!$A:$Q,MATCH(A14&amp;L14,plan!$A$2:$A$1984&amp;plan!$L$2:$L$1984,0)+1,MATCH(plan!$Q$1,plan!$A$1:$Q$1,0))&gt;0,INDEX(plan!$A:$Q,MATCH(A14&amp;L14,plan!$A$2:$A$1984&amp;plan!$L$2:$L$1984,0)+1,MATCH(plan!$Q$1,plan!$A$1:$Q$1,0)),""))</f>
        <v/>
      </c>
      <c r="R14" s="219" t="str">
        <f t="array" ref="R14">IF(L14="","",IF(INDEX(plan!$A:$S,MATCH(A14&amp;L14,plan!$A$2:$A$1984&amp;plan!$L$2:$L$1984,0)+1,MATCH(plan!$S$1,plan!$A$1:$S$1,0))&gt;0,INDEX(plan!$A:$S,MATCH(A14&amp;L14,plan!$A$2:$A$1984&amp;plan!$L$2:$L$1984,0)+1,MATCH(plan!$S$1,plan!$A$1:$S$1,0)),""))</f>
        <v/>
      </c>
      <c r="S14" s="202" t="str">
        <f>IF(L14="","",SUMIFS(plan!$I:$I,plan!$A:$A,圆机计划单汇总!$A$13,plan!$L:$L,圆机计划单汇总!L14))</f>
        <v/>
      </c>
      <c r="T14" s="213" t="str">
        <f>IF(L14="","",SUMIFS(plan!$X:$X,plan!$A:$A,圆机计划单汇总!$A14,plan!$L:$L,圆机计划单汇总!L14))</f>
        <v/>
      </c>
      <c r="U14" s="183" t="str">
        <f>IF(L14="","",SUMIFS(plan!$Y:$Y,plan!$A:$A,圆机计划单汇总!$A14,plan!$L:$L,圆机计划单汇总!L14))</f>
        <v/>
      </c>
      <c r="V14" s="247" t="str">
        <f>IF(S14="","",SUMIFS(plan!$AB:$AB,plan!$A:$A,圆机计划单汇总!A14,plan!$L:$L,圆机计划单汇总!L14))</f>
        <v/>
      </c>
      <c r="W14" s="208"/>
      <c r="X14" s="309" t="str">
        <f>IF(L14="","",SUMIF(A:A,A14,T:T))</f>
        <v/>
      </c>
      <c r="Y14" s="300"/>
      <c r="Z14" s="246" t="str">
        <f t="shared" si="0"/>
        <v/>
      </c>
      <c r="AA14" s="316" t="e">
        <f t="shared" ref="AA13:AA21" si="2">Y14/Z14</f>
        <v>#VALUE!</v>
      </c>
      <c r="AB14" s="302"/>
      <c r="AC14" s="306">
        <f>SUMIF(四面弹库存!B:B,圆机计划单汇总!A14,四面弹库存!F:F)</f>
        <v>217</v>
      </c>
    </row>
    <row r="15" spans="1:30" ht="18" customHeight="1">
      <c r="A15" s="202" t="s">
        <v>1020</v>
      </c>
      <c r="B15" s="321"/>
      <c r="C15" s="220">
        <v>75</v>
      </c>
      <c r="D15" s="202">
        <f>SUMIF(yuanjicode,圆机计划单汇总!A15,yuanjinumber)</f>
        <v>0</v>
      </c>
      <c r="E15" s="208"/>
      <c r="F15" s="205" t="s">
        <v>1021</v>
      </c>
      <c r="G15" s="202">
        <v>43</v>
      </c>
      <c r="H15" s="202"/>
      <c r="I15" s="202"/>
      <c r="J15" s="205" t="s">
        <v>168</v>
      </c>
      <c r="K15" s="194" t="s">
        <v>2</v>
      </c>
      <c r="L15" s="368"/>
      <c r="M15" s="202" t="str">
        <f t="array" ref="M15">SUBSTITUTE(L15,N15,"")</f>
        <v/>
      </c>
      <c r="N15" s="247" t="str">
        <f t="array" ref="N15">LEFT(L15,MIN(FIND({"A","B","C"},MID(L15,2,LEN(L15))&amp;"ABC")))</f>
        <v/>
      </c>
      <c r="O15" s="247" t="str">
        <f t="array" ref="O15">IF(L15="","",INDEX(plan!$A:$F,MATCH(A15&amp;L15,plan!$A$2:$A$19999&amp;plan!$L$2:$L$19999,0)+1,MATCH(plan!$F$1,plan!$A$1:$F$1,0)))</f>
        <v/>
      </c>
      <c r="P15" s="219" t="str">
        <f t="array" ref="P15">IF(L15="","",INDEX(plan!$A:$O,MATCH(A15&amp;L15,plan!$A$2:$A$19999&amp;plan!$L$2:$L$19999,0)+1,MATCH(plan!$O$1,plan!$A$1:$O$1,0)))</f>
        <v/>
      </c>
      <c r="Q15" s="219" t="str">
        <f t="array" ref="Q15">IF(L15="","",IF(INDEX(plan!$A:$Q,MATCH(A15&amp;L15,plan!$A$2:$A$1984&amp;plan!$L$2:$L$1984,0)+1,MATCH(plan!$Q$1,plan!$A$1:$Q$1,0))&gt;0,INDEX(plan!$A:$Q,MATCH(A15&amp;L15,plan!$A$2:$A$1984&amp;plan!$L$2:$L$1984,0)+1,MATCH(plan!$Q$1,plan!$A$1:$Q$1,0)),""))</f>
        <v/>
      </c>
      <c r="R15" s="219" t="str">
        <f t="array" ref="R15">IF(L15="","",IF(INDEX(plan!$A:$S,MATCH(A15&amp;L15,plan!$A$2:$A$1984&amp;plan!$L$2:$L$1984,0)+1,MATCH(plan!$S$1,plan!$A$1:$S$1,0))&gt;0,INDEX(plan!$A:$S,MATCH(A15&amp;L15,plan!$A$2:$A$1984&amp;plan!$L$2:$L$1984,0)+1,MATCH(plan!$S$1,plan!$A$1:$S$1,0)),""))</f>
        <v/>
      </c>
      <c r="S15" s="202" t="str">
        <f>IF(L15="","",SUMIFS(plan!$I:$I,plan!$A:$A,圆机计划单汇总!$A$15,plan!$L:$L,圆机计划单汇总!L15))</f>
        <v/>
      </c>
      <c r="T15" s="213" t="str">
        <f>IF(L15="","",SUMIFS(plan!$X:$X,plan!$A:$A,圆机计划单汇总!$A15,plan!$L:$L,圆机计划单汇总!L15))</f>
        <v/>
      </c>
      <c r="U15" s="183" t="str">
        <f>IF(L15="","",SUMIFS(plan!$Y:$Y,plan!$A:$A,圆机计划单汇总!$A15,plan!$L:$L,圆机计划单汇总!L15))</f>
        <v/>
      </c>
      <c r="V15" s="247" t="str">
        <f>IF(S15="","",SUMIFS(plan!$AB:$AB,plan!$A:$A,圆机计划单汇总!A15,plan!$L:$L,圆机计划单汇总!L15))</f>
        <v/>
      </c>
      <c r="W15" s="208"/>
      <c r="X15" s="252" t="str">
        <f>IF(L15="","",IF($X$1="坯布需求合计(Kg)",SUMIF(A:A,A15,T:T),SUMIF(A:A,A15,U:U)))</f>
        <v/>
      </c>
      <c r="Y15" s="214" t="str">
        <f>IF(L15="","",X15-AB15)</f>
        <v/>
      </c>
      <c r="Z15" s="246" t="str">
        <f t="shared" si="0"/>
        <v/>
      </c>
      <c r="AA15" s="216" t="str">
        <f>IF(L15="","",Y15/Z15)</f>
        <v/>
      </c>
      <c r="AB15" s="202">
        <f>SUMIF(四面弹库存!B:B,圆机计划单汇总!A15,四面弹库存!E:E)</f>
        <v>0</v>
      </c>
      <c r="AC15" s="249">
        <f>SUMIF(四面弹库存!B:B,圆机计划单汇总!A15,四面弹库存!F:F)</f>
        <v>0</v>
      </c>
    </row>
    <row r="16" spans="1:30" ht="18" customHeight="1">
      <c r="A16" s="202" t="s">
        <v>104</v>
      </c>
      <c r="B16" s="321"/>
      <c r="C16" s="295">
        <v>75</v>
      </c>
      <c r="D16" s="295">
        <f>SUMIF(yuanjicode,圆机计划单汇总!A16,yuanjinumber)</f>
        <v>0</v>
      </c>
      <c r="E16" s="295"/>
      <c r="F16" s="295" t="s">
        <v>104</v>
      </c>
      <c r="G16" s="295">
        <v>49</v>
      </c>
      <c r="H16" s="295">
        <v>50</v>
      </c>
      <c r="I16" s="295">
        <v>158</v>
      </c>
      <c r="J16" s="205" t="s">
        <v>177</v>
      </c>
      <c r="K16" s="194" t="s">
        <v>2</v>
      </c>
      <c r="L16" s="248" t="s">
        <v>2260</v>
      </c>
      <c r="M16" s="202" t="str">
        <f t="array" ref="M16">SUBSTITUTE(L16,N16,"")</f>
        <v>B546</v>
      </c>
      <c r="N16" s="247" t="str">
        <f t="array" ref="N16">LEFT(L16,MIN(FIND({"A","B","C"},MID(L16,2,LEN(L16))&amp;"ABC")))</f>
        <v>A10</v>
      </c>
      <c r="O16" s="247" t="str">
        <f t="array" ref="O16">IF(L16="","",INDEX(plan!$A:$F,MATCH(A16&amp;L16,plan!$A$2:$A$19999&amp;plan!$L$2:$L$19999,0)+1,MATCH(plan!$F$1,plan!$A$1:$F$1,0)))</f>
        <v>AAA</v>
      </c>
      <c r="P16" s="219">
        <f t="array" ref="P16">IF(L16="","",INDEX(plan!$A:$O,MATCH(A16&amp;L16,plan!$A$2:$A$19999&amp;plan!$L$2:$L$19999,0)+1,MATCH(plan!$O$1,plan!$A$1:$O$1,0)))</f>
        <v>43762</v>
      </c>
      <c r="Q16" s="219" t="str">
        <f t="array" ref="Q16">IF(L16="","",IF(INDEX(plan!$A:$Q,MATCH(A16&amp;L16,plan!$A$2:$A$1984&amp;plan!$L$2:$L$1984,0)+1,MATCH(plan!$Q$1,plan!$A$1:$Q$1,0))&gt;0,INDEX(plan!$A:$Q,MATCH(A16&amp;L16,plan!$A$2:$A$1984&amp;plan!$L$2:$L$1984,0)+1,MATCH(plan!$Q$1,plan!$A$1:$Q$1,0)),""))</f>
        <v/>
      </c>
      <c r="R16" s="219" t="str">
        <f t="array" ref="R16">IF(L16="","",IF(INDEX(plan!$A:$S,MATCH(A16&amp;L16,plan!$A$2:$A$1984&amp;plan!$L$2:$L$1984,0)+1,MATCH(plan!$S$1,plan!$A$1:$S$1,0))&gt;0,INDEX(plan!$A:$S,MATCH(A16&amp;L16,plan!$A$2:$A$1984&amp;plan!$L$2:$L$1984,0)+1,MATCH(plan!$S$1,plan!$A$1:$S$1,0)),""))</f>
        <v/>
      </c>
      <c r="S16" s="202">
        <f>IF(L16="","",SUMIFS(plan!$I:$I,plan!$A:$A,圆机计划单汇总!$A16,plan!$L:$L,圆机计划单汇总!L16))</f>
        <v>140000</v>
      </c>
      <c r="T16" s="213">
        <f>IF(L16="","",SUMIFS(plan!$X:$X,plan!$A:$A,圆机计划单汇总!$A16,plan!$L:$L,圆机计划单汇总!L16))</f>
        <v>12493.438320209974</v>
      </c>
      <c r="U16" s="183">
        <f>IF(L16="","",SUMIFS(plan!$Y:$Y,plan!$A:$A,圆机计划单汇总!$A16,plan!$L:$L,圆机计划单汇总!L16))</f>
        <v>624.67191601049876</v>
      </c>
      <c r="V16" s="247">
        <f>IF(S16="","",SUMIFS(plan!$AB:$AB,plan!$A:$A,圆机计划单汇总!A16,plan!$L:$L,圆机计划单汇总!L16))</f>
        <v>0</v>
      </c>
      <c r="W16" s="208"/>
      <c r="X16" s="307">
        <f>IF(L16="","",IF($X$1="坯布需求合计(Kg)",SUMIF(A:A,A16,T:T),SUMIF(A:A,A16,U:U)))</f>
        <v>12493.438320209974</v>
      </c>
      <c r="Y16" s="307">
        <f t="shared" ref="Y16:Y24" si="3">IF(L16="","",X16-AB16)</f>
        <v>12254.638320209975</v>
      </c>
      <c r="Z16" s="246">
        <f t="shared" si="0"/>
        <v>0</v>
      </c>
      <c r="AA16" s="307" t="e">
        <f t="shared" si="2"/>
        <v>#DIV/0!</v>
      </c>
      <c r="AB16" s="307">
        <f>SUMIF(四面弹库存!B:B,圆机计划单汇总!A16,四面弹库存!E:E)</f>
        <v>238.8</v>
      </c>
      <c r="AC16" s="305">
        <f>SUMIF(四面弹库存!B:B,圆机计划单汇总!A16,四面弹库存!F:F)</f>
        <v>12</v>
      </c>
    </row>
    <row r="17" spans="1:29" ht="18" customHeight="1">
      <c r="A17" s="202" t="s">
        <v>104</v>
      </c>
      <c r="B17" s="321"/>
      <c r="C17" s="296"/>
      <c r="D17" s="296"/>
      <c r="E17" s="296"/>
      <c r="F17" s="296"/>
      <c r="G17" s="296"/>
      <c r="H17" s="296"/>
      <c r="I17" s="296"/>
      <c r="J17" s="205" t="s">
        <v>177</v>
      </c>
      <c r="K17" s="194" t="s">
        <v>2</v>
      </c>
      <c r="L17" s="248"/>
      <c r="M17" s="202" t="str">
        <f t="array" ref="M17">SUBSTITUTE(L17,N17,"")</f>
        <v/>
      </c>
      <c r="N17" s="247" t="str">
        <f t="array" ref="N17">LEFT(L17,MIN(FIND({"A","B","C"},MID(L17,2,LEN(L17))&amp;"ABC")))</f>
        <v/>
      </c>
      <c r="O17" s="247" t="str">
        <f t="array" ref="O17">IF(L17="","",INDEX(plan!$A:$F,MATCH(A17&amp;L17,plan!$A$2:$A$19999&amp;plan!$L$2:$L$19999,0)+1,MATCH(plan!$F$1,plan!$A$1:$F$1,0)))</f>
        <v/>
      </c>
      <c r="P17" s="219" t="str">
        <f t="array" ref="P17">IF(L17="","",INDEX(plan!$A:$O,MATCH(A17&amp;L17,plan!$A$2:$A$19999&amp;plan!$L$2:$L$19999,0)+1,MATCH(plan!$O$1,plan!$A$1:$O$1,0)))</f>
        <v/>
      </c>
      <c r="Q17" s="219" t="str">
        <f t="array" ref="Q17">IF(L17="","",IF(INDEX(plan!$A:$Q,MATCH(A17&amp;L17,plan!$A$2:$A$1984&amp;plan!$L$2:$L$1984,0)+1,MATCH(plan!$Q$1,plan!$A$1:$Q$1,0))&gt;0,INDEX(plan!$A:$Q,MATCH(A17&amp;L17,plan!$A$2:$A$1984&amp;plan!$L$2:$L$1984,0)+1,MATCH(plan!$Q$1,plan!$A$1:$Q$1,0)),""))</f>
        <v/>
      </c>
      <c r="R17" s="219" t="str">
        <f t="array" ref="R17">IF(L17="","",IF(INDEX(plan!$A:$S,MATCH(A17&amp;L17,plan!$A$2:$A$1984&amp;plan!$L$2:$L$1984,0)+1,MATCH(plan!$S$1,plan!$A$1:$S$1,0))&gt;0,INDEX(plan!$A:$S,MATCH(A17&amp;L17,plan!$A$2:$A$1984&amp;plan!$L$2:$L$1984,0)+1,MATCH(plan!$S$1,plan!$A$1:$S$1,0)),""))</f>
        <v/>
      </c>
      <c r="S17" s="202" t="str">
        <f>IF(L17="","",SUMIFS(plan!$I:$I,plan!$A:$A,圆机计划单汇总!$A17,plan!$L:$L,圆机计划单汇总!L17))</f>
        <v/>
      </c>
      <c r="T17" s="213" t="str">
        <f>IF(L17="","",SUMIFS(plan!$X:$X,plan!$A:$A,圆机计划单汇总!$A17,plan!$L:$L,圆机计划单汇总!L17))</f>
        <v/>
      </c>
      <c r="U17" s="183" t="str">
        <f>IF(L17="","",SUMIFS(plan!$Y:$Y,plan!$A:$A,圆机计划单汇总!$A17,plan!$L:$L,圆机计划单汇总!L17))</f>
        <v/>
      </c>
      <c r="V17" s="247" t="str">
        <f>IF(S17="","",SUMIFS(plan!$AB:$AB,plan!$A:$A,圆机计划单汇总!A17,plan!$L:$L,圆机计划单汇总!L17))</f>
        <v/>
      </c>
      <c r="W17" s="208"/>
      <c r="X17" s="308"/>
      <c r="Y17" s="308"/>
      <c r="Z17" s="246" t="str">
        <f t="shared" si="0"/>
        <v/>
      </c>
      <c r="AA17" s="308"/>
      <c r="AB17" s="308"/>
      <c r="AC17" s="312"/>
    </row>
    <row r="18" spans="1:29" ht="18" customHeight="1">
      <c r="A18" s="202" t="s">
        <v>104</v>
      </c>
      <c r="B18" s="321"/>
      <c r="C18" s="297"/>
      <c r="D18" s="297"/>
      <c r="E18" s="297"/>
      <c r="F18" s="297"/>
      <c r="G18" s="297"/>
      <c r="H18" s="297"/>
      <c r="I18" s="297"/>
      <c r="J18" s="205" t="s">
        <v>177</v>
      </c>
      <c r="K18" s="194" t="s">
        <v>2</v>
      </c>
      <c r="L18" s="248"/>
      <c r="M18" s="202"/>
      <c r="N18" s="247" t="str">
        <f t="array" ref="N18">LEFT(L18,MIN(FIND({"A","B","C"},MID(L18,2,LEN(L18))&amp;"ABC")))</f>
        <v/>
      </c>
      <c r="O18" s="247" t="str">
        <f t="array" ref="O18">IF(L18="","",INDEX(plan!$A:$F,MATCH(A18&amp;L18,plan!$A$2:$A$19999&amp;plan!$L$2:$L$19999,0)+1,MATCH(plan!$F$1,plan!$A$1:$F$1,0)))</f>
        <v/>
      </c>
      <c r="P18" s="219" t="str">
        <f t="array" ref="P18">IF(L18="","",INDEX(plan!$A:$O,MATCH(A18&amp;L18,plan!$A$2:$A$19999&amp;plan!$L$2:$L$19999,0)+1,MATCH(plan!$O$1,plan!$A$1:$O$1,0)))</f>
        <v/>
      </c>
      <c r="Q18" s="219"/>
      <c r="R18" s="219"/>
      <c r="S18" s="202"/>
      <c r="T18" s="213"/>
      <c r="U18" s="183"/>
      <c r="V18" s="247" t="str">
        <f>IF(S18="","",SUMIFS(plan!$AB:$AB,plan!$A:$A,圆机计划单汇总!A18,plan!$L:$L,圆机计划单汇总!L18))</f>
        <v/>
      </c>
      <c r="W18" s="208"/>
      <c r="X18" s="309"/>
      <c r="Y18" s="309"/>
      <c r="Z18" s="246" t="str">
        <f t="shared" si="0"/>
        <v/>
      </c>
      <c r="AA18" s="309"/>
      <c r="AB18" s="309"/>
      <c r="AC18" s="306"/>
    </row>
    <row r="19" spans="1:29" ht="18" customHeight="1">
      <c r="A19" s="202" t="s">
        <v>83</v>
      </c>
      <c r="B19" s="321"/>
      <c r="C19" s="220">
        <v>75</v>
      </c>
      <c r="D19" s="202">
        <f>SUMIF(yuanjicode,圆机计划单汇总!A19,yuanjinumber)</f>
        <v>5</v>
      </c>
      <c r="E19" s="208">
        <v>5.7</v>
      </c>
      <c r="F19" s="205" t="s">
        <v>83</v>
      </c>
      <c r="G19" s="202">
        <v>45</v>
      </c>
      <c r="H19" s="202">
        <v>45</v>
      </c>
      <c r="I19" s="202">
        <v>170</v>
      </c>
      <c r="J19" s="205" t="s">
        <v>177</v>
      </c>
      <c r="K19" s="194" t="s">
        <v>2</v>
      </c>
      <c r="L19" s="248" t="s">
        <v>2232</v>
      </c>
      <c r="M19" s="202" t="str">
        <f t="array" ref="M19">SUBSTITUTE(L19,N19,"")</f>
        <v>B550</v>
      </c>
      <c r="N19" s="247" t="str">
        <f t="array" ref="N19">LEFT(L19,MIN(FIND({"A","B","C"},MID(L19,2,LEN(L19))&amp;"ABC")))</f>
        <v>A31</v>
      </c>
      <c r="O19" s="247" t="str">
        <f t="array" ref="O19">IF(L19="","",INDEX(plan!$A:$F,MATCH(A19&amp;L19,plan!$A$2:$A$19999&amp;plan!$L$2:$L$19999,0)+1,MATCH(plan!$F$1,plan!$A$1:$F$1,0)))</f>
        <v>AAA</v>
      </c>
      <c r="P19" s="219">
        <f t="array" ref="P19">IF(L19="","",INDEX(plan!$A:$O,MATCH(A19&amp;L19,plan!$A$2:$A$19999&amp;plan!$L$2:$L$19999,0)+1,MATCH(plan!$O$1,plan!$A$1:$O$1,0)))</f>
        <v>43762</v>
      </c>
      <c r="Q19" s="219">
        <f t="array" ref="Q19">IF(L19="","",IF(INDEX(plan!$A:$Q,MATCH(A19&amp;L19,plan!$A$2:$A$1984&amp;plan!$L$2:$L$1984,0)+1,MATCH(plan!$Q$1,plan!$A$1:$Q$1,0))&gt;0,INDEX(plan!$A:$Q,MATCH(A19&amp;L19,plan!$A$2:$A$1984&amp;plan!$L$2:$L$1984,0)+1,MATCH(plan!$Q$1,plan!$A$1:$Q$1,0)),""))</f>
        <v>43768</v>
      </c>
      <c r="R19" s="219" t="str">
        <f t="array" ref="R19">IF(L19="","",IF(INDEX(plan!$A:$S,MATCH(A19&amp;L19,plan!$A$2:$A$1984&amp;plan!$L$2:$L$1984,0)+1,MATCH(plan!$S$1,plan!$A$1:$S$1,0))&gt;0,INDEX(plan!$A:$S,MATCH(A19&amp;L19,plan!$A$2:$A$1984&amp;plan!$L$2:$L$1984,0)+1,MATCH(plan!$S$1,plan!$A$1:$S$1,0)),""))</f>
        <v/>
      </c>
      <c r="S19" s="202">
        <f>IF(L19="","",SUMIFS(plan!$I:$I,plan!$A:$A,圆机计划单汇总!$A19,plan!$L:$L,圆机计划单汇总!L19))</f>
        <v>50000</v>
      </c>
      <c r="T19" s="213">
        <f>IF(L19="","",SUMIFS(plan!$X:$X,plan!$A:$A,圆机计划单汇总!$A19,plan!$L:$L,圆机计划单汇总!L19))</f>
        <v>4232.28346456693</v>
      </c>
      <c r="U19" s="183">
        <f>IF(L19="","",SUMIFS(plan!$Y:$Y,plan!$A:$A,圆机计划单汇总!$A19,plan!$L:$L,圆机计划单汇总!L19))</f>
        <v>211.61417322834649</v>
      </c>
      <c r="V19" s="247">
        <f>IF(S19="","",SUMIFS(plan!$AB:$AB,plan!$A:$A,圆机计划单汇总!A19,plan!$L:$L,圆机计划单汇总!L19))</f>
        <v>0</v>
      </c>
      <c r="W19" s="208"/>
      <c r="X19" s="252">
        <f>IF(L19="","",IF($X$1="坯布需求合计(Kg)",SUMIF(A:A,A19,T:T),SUMIF(A:A,A19,U:U)))</f>
        <v>4232.28346456693</v>
      </c>
      <c r="Y19" s="254">
        <f t="shared" si="3"/>
        <v>642.9834645669298</v>
      </c>
      <c r="Z19" s="246">
        <f t="shared" si="0"/>
        <v>570</v>
      </c>
      <c r="AA19" s="216">
        <f t="shared" si="2"/>
        <v>1.1280411659068943</v>
      </c>
      <c r="AB19" s="202">
        <f>SUMIF(四面弹库存!B:B,圆机计划单汇总!A19,四面弹库存!E:E)</f>
        <v>3589.3</v>
      </c>
      <c r="AC19" s="249">
        <f>SUMIF(四面弹库存!B:B,圆机计划单汇总!A19,四面弹库存!F:F)</f>
        <v>174</v>
      </c>
    </row>
    <row r="20" spans="1:29" ht="18" customHeight="1">
      <c r="A20" s="194" t="s">
        <v>1531</v>
      </c>
      <c r="B20" s="321"/>
      <c r="C20" s="220">
        <v>75</v>
      </c>
      <c r="D20" s="202">
        <f>SUMIF(yuanjicode,圆机计划单汇总!A20,yuanjinumber)</f>
        <v>0</v>
      </c>
      <c r="E20" s="208"/>
      <c r="F20" s="205" t="s">
        <v>1530</v>
      </c>
      <c r="G20" s="202">
        <v>50</v>
      </c>
      <c r="H20" s="202">
        <v>50</v>
      </c>
      <c r="I20" s="202">
        <v>158</v>
      </c>
      <c r="J20" s="205" t="s">
        <v>168</v>
      </c>
      <c r="K20" s="194" t="s">
        <v>1518</v>
      </c>
      <c r="L20" s="248"/>
      <c r="M20" s="202" t="str">
        <f t="array" ref="M20">SUBSTITUTE(L20,N20,"")</f>
        <v/>
      </c>
      <c r="N20" s="247" t="str">
        <f t="array" ref="N20">LEFT(L20,MIN(FIND({"A","B","C"},MID(L20,2,LEN(L20))&amp;"ABC")))</f>
        <v/>
      </c>
      <c r="O20" s="247" t="str">
        <f t="array" ref="O20">IF(L20="","",INDEX(plan!$A:$F,MATCH(A20&amp;L20,plan!$A$2:$A$19999&amp;plan!$L$2:$L$19999,0)+1,MATCH(plan!$F$1,plan!$A$1:$F$1,0)))</f>
        <v/>
      </c>
      <c r="P20" s="219" t="str">
        <f t="array" ref="P20">IF(L20="","",INDEX(plan!$A:$O,MATCH(A20&amp;L20,plan!$A$2:$A$19999&amp;plan!$L$2:$L$19999,0)+1,MATCH(plan!$O$1,plan!$A$1:$O$1,0)))</f>
        <v/>
      </c>
      <c r="Q20" s="219" t="str">
        <f t="array" ref="Q20">IF(L20="","",IF(INDEX(plan!$A:$Q,MATCH(A20&amp;L20,plan!$A$2:$A$1984&amp;plan!$L$2:$L$1984,0)+1,MATCH(plan!$Q$1,plan!$A$1:$Q$1,0))&gt;0,INDEX(plan!$A:$Q,MATCH(A20&amp;L20,plan!$A$2:$A$1984&amp;plan!$L$2:$L$1984,0)+1,MATCH(plan!$Q$1,plan!$A$1:$Q$1,0)),""))</f>
        <v/>
      </c>
      <c r="R20" s="219" t="str">
        <f t="array" ref="R20">IF(L20="","",IF(INDEX(plan!$A:$S,MATCH(A20&amp;L20,plan!$A$2:$A$1984&amp;plan!$L$2:$L$1984,0)+1,MATCH(plan!$S$1,plan!$A$1:$S$1,0))&gt;0,INDEX(plan!$A:$S,MATCH(A20&amp;L20,plan!$A$2:$A$1984&amp;plan!$L$2:$L$1984,0)+1,MATCH(plan!$S$1,plan!$A$1:$S$1,0)),""))</f>
        <v/>
      </c>
      <c r="S20" s="202" t="str">
        <f>IF(L20="","",SUMIFS(plan!$I:$I,plan!$A:$A,圆机计划单汇总!$A20,plan!$L:$L,圆机计划单汇总!L20))</f>
        <v/>
      </c>
      <c r="T20" s="213" t="str">
        <f>IF(L20="","",SUMIFS(plan!$X:$X,plan!$A:$A,圆机计划单汇总!$A20,plan!$L:$L,圆机计划单汇总!L20))</f>
        <v/>
      </c>
      <c r="U20" s="183" t="str">
        <f>IF(L20="","",SUMIFS(plan!$Y:$Y,plan!$A:$A,圆机计划单汇总!$A20,plan!$L:$L,圆机计划单汇总!L20))</f>
        <v/>
      </c>
      <c r="V20" s="247" t="str">
        <f>IF(S20="","",SUMIFS(plan!$AB:$AB,plan!$A:$A,圆机计划单汇总!A20,plan!$L:$L,圆机计划单汇总!L20))</f>
        <v/>
      </c>
      <c r="W20" s="208"/>
      <c r="X20" s="252" t="str">
        <f>IF(L20="","",IF($X$1="坯布需求合计(Kg)",SUMIF(A:A,A20,T:T),SUMIF(A:A,A20,U:U)))</f>
        <v/>
      </c>
      <c r="Y20" s="214" t="str">
        <f t="shared" si="3"/>
        <v/>
      </c>
      <c r="Z20" s="246" t="str">
        <f t="shared" si="0"/>
        <v/>
      </c>
      <c r="AA20" s="216" t="str">
        <f>IF(L20="","",Y20/Z20)</f>
        <v/>
      </c>
      <c r="AB20" s="202">
        <f>SUMIF(四面弹库存!B:B,圆机计划单汇总!A20,四面弹库存!E:E)</f>
        <v>0</v>
      </c>
      <c r="AC20" s="249">
        <f>SUMIF(四面弹库存!B:B,圆机计划单汇总!A20,四面弹库存!F:F)</f>
        <v>0</v>
      </c>
    </row>
    <row r="21" spans="1:29" ht="18" customHeight="1">
      <c r="A21" s="202" t="s">
        <v>1234</v>
      </c>
      <c r="B21" s="321"/>
      <c r="C21" s="220">
        <v>100</v>
      </c>
      <c r="D21" s="202">
        <f>SUMIF(yuanjicode,圆机计划单汇总!A21,yuanjinumber)</f>
        <v>0</v>
      </c>
      <c r="E21" s="208"/>
      <c r="F21" s="205" t="s">
        <v>1236</v>
      </c>
      <c r="G21" s="202">
        <v>63</v>
      </c>
      <c r="H21" s="202">
        <v>65</v>
      </c>
      <c r="I21" s="202">
        <v>157</v>
      </c>
      <c r="J21" s="205" t="s">
        <v>168</v>
      </c>
      <c r="K21" s="194" t="s">
        <v>2</v>
      </c>
      <c r="L21" s="248"/>
      <c r="M21" s="202" t="str">
        <f t="array" ref="M21">SUBSTITUTE(L21,N21,"")</f>
        <v/>
      </c>
      <c r="N21" s="247" t="str">
        <f t="array" ref="N21">LEFT(L21,MIN(FIND({"A","B","C"},MID(L21,2,LEN(L21))&amp;"ABC")))</f>
        <v/>
      </c>
      <c r="O21" s="247" t="str">
        <f t="array" ref="O21">IF(L21="","",INDEX(plan!$A:$F,MATCH(A21&amp;L21,plan!$A$2:$A$19999&amp;plan!$L$2:$L$19999,0)+1,MATCH(plan!$F$1,plan!$A$1:$F$1,0)))</f>
        <v/>
      </c>
      <c r="P21" s="219" t="str">
        <f t="array" ref="P21">IF(L21="","",INDEX(plan!$A:$O,MATCH(A21&amp;L21,plan!$A$2:$A$19999&amp;plan!$L$2:$L$19999,0)+1,MATCH(plan!$O$1,plan!$A$1:$O$1,0)))</f>
        <v/>
      </c>
      <c r="Q21" s="219" t="str">
        <f t="array" ref="Q21">IF(L21="","",IF(INDEX(plan!$A:$Q,MATCH(A21&amp;L21,plan!$A$2:$A$1984&amp;plan!$L$2:$L$1984,0)+1,MATCH(plan!$Q$1,plan!$A$1:$Q$1,0))&gt;0,INDEX(plan!$A:$Q,MATCH(A21&amp;L21,plan!$A$2:$A$1984&amp;plan!$L$2:$L$1984,0)+1,MATCH(plan!$Q$1,plan!$A$1:$Q$1,0)),""))</f>
        <v/>
      </c>
      <c r="R21" s="219" t="str">
        <f t="array" ref="R21">IF(L21="","",IF(INDEX(plan!$A:$S,MATCH(A21&amp;L21,plan!$A$2:$A$1984&amp;plan!$L$2:$L$1984,0)+1,MATCH(plan!$S$1,plan!$A$1:$S$1,0))&gt;0,INDEX(plan!$A:$S,MATCH(A21&amp;L21,plan!$A$2:$A$1984&amp;plan!$L$2:$L$1984,0)+1,MATCH(plan!$S$1,plan!$A$1:$S$1,0)),""))</f>
        <v/>
      </c>
      <c r="S21" s="202" t="str">
        <f>IF(L21="","",SUMIFS(plan!$I:$I,plan!$A:$A,圆机计划单汇总!$A21,plan!$L:$L,圆机计划单汇总!L21))</f>
        <v/>
      </c>
      <c r="T21" s="213" t="str">
        <f>IF(L21="","",SUMIFS(plan!$X:$X,plan!$A:$A,圆机计划单汇总!$A21,plan!$L:$L,圆机计划单汇总!L21))</f>
        <v/>
      </c>
      <c r="U21" s="183" t="str">
        <f>IF(L21="","",SUMIFS(plan!$Y:$Y,plan!$A:$A,圆机计划单汇总!$A21,plan!$L:$L,圆机计划单汇总!L21))</f>
        <v/>
      </c>
      <c r="V21" s="247" t="str">
        <f>IF(S21="","",SUMIFS(plan!$AB:$AB,plan!$A:$A,圆机计划单汇总!A21,plan!$L:$L,圆机计划单汇总!L21))</f>
        <v/>
      </c>
      <c r="W21" s="208"/>
      <c r="X21" s="252" t="str">
        <f>IF(L21="","",IF($X$1="坯布需求合计(Kg)",SUMIF(A:A,A21,T:T),SUMIF(A:A,A21,U:U)))</f>
        <v/>
      </c>
      <c r="Y21" s="214" t="str">
        <f t="shared" si="3"/>
        <v/>
      </c>
      <c r="Z21" s="246" t="str">
        <f t="shared" si="0"/>
        <v/>
      </c>
      <c r="AA21" s="216" t="str">
        <f>IF(L21="","",Y21/Z21)</f>
        <v/>
      </c>
      <c r="AB21" s="202">
        <f>SUMIF(四面弹库存!B:B,圆机计划单汇总!A21,四面弹库存!E:E)</f>
        <v>0</v>
      </c>
      <c r="AC21" s="249">
        <f>SUMIF(四面弹库存!B:B,圆机计划单汇总!A21,四面弹库存!F:F)</f>
        <v>0</v>
      </c>
    </row>
    <row r="22" spans="1:29" ht="18" customHeight="1">
      <c r="A22" s="194" t="s">
        <v>35</v>
      </c>
      <c r="B22" s="321" t="s">
        <v>1494</v>
      </c>
      <c r="C22" s="295">
        <v>50</v>
      </c>
      <c r="D22" s="301">
        <f>SUMIF(yuanjicode,圆机计划单汇总!A22,yuanjinumber)</f>
        <v>0</v>
      </c>
      <c r="E22" s="305"/>
      <c r="F22" s="303" t="s">
        <v>35</v>
      </c>
      <c r="G22" s="301">
        <v>32</v>
      </c>
      <c r="H22" s="301">
        <v>33</v>
      </c>
      <c r="I22" s="301">
        <v>159</v>
      </c>
      <c r="J22" s="205" t="s">
        <v>177</v>
      </c>
      <c r="K22" s="194" t="s">
        <v>2</v>
      </c>
      <c r="L22" s="248" t="s">
        <v>2256</v>
      </c>
      <c r="M22" s="202" t="str">
        <f t="array" ref="M22">SUBSTITUTE(L22,N22,"")</f>
        <v>B549</v>
      </c>
      <c r="N22" s="247" t="str">
        <f t="array" ref="N22">LEFT(L22,MIN(FIND({"A","B","C"},MID(L22,2,LEN(L22))&amp;"ABC")))</f>
        <v>A10</v>
      </c>
      <c r="O22" s="247" t="str">
        <f t="array" ref="O22">IF(L22="","",INDEX(plan!$A:$F,MATCH(A22&amp;L22,plan!$A$2:$A$19999&amp;plan!$L$2:$L$19999,0)+1,MATCH(plan!$F$1,plan!$A$1:$F$1,0)))</f>
        <v>AA</v>
      </c>
      <c r="P22" s="219">
        <f t="array" ref="P22">IF(L22="","",INDEX(plan!$A:$O,MATCH(A22&amp;L22,plan!$A$2:$A$19999&amp;plan!$L$2:$L$19999,0)+1,MATCH(plan!$O$1,plan!$A$1:$O$1,0)))</f>
        <v>43762</v>
      </c>
      <c r="Q22" s="219" t="str">
        <f t="array" ref="Q22">IF(L22="","",IF(INDEX(plan!$A:$Q,MATCH(A22&amp;L22,plan!$A$2:$A$1984&amp;plan!$L$2:$L$1984,0)+1,MATCH(plan!$Q$1,plan!$A$1:$Q$1,0))&gt;0,INDEX(plan!$A:$Q,MATCH(A22&amp;L22,plan!$A$2:$A$1984&amp;plan!$L$2:$L$1984,0)+1,MATCH(plan!$Q$1,plan!$A$1:$Q$1,0)),""))</f>
        <v/>
      </c>
      <c r="R22" s="219" t="str">
        <f t="array" ref="R22">IF(L22="","",IF(INDEX(plan!$A:$S,MATCH(A22&amp;L22,plan!$A$2:$A$1984&amp;plan!$L$2:$L$1984,0)+1,MATCH(plan!$S$1,plan!$A$1:$S$1,0))&gt;0,INDEX(plan!$A:$S,MATCH(A22&amp;L22,plan!$A$2:$A$1984&amp;plan!$L$2:$L$1984,0)+1,MATCH(plan!$S$1,plan!$A$1:$S$1,0)),""))</f>
        <v/>
      </c>
      <c r="S22" s="202">
        <f>IF(L22="","",SUMIFS(plan!$I:$I,plan!$A:$A,圆机计划单汇总!$A22,plan!$L:$L,圆机计划单汇总!L22))</f>
        <v>30000</v>
      </c>
      <c r="T22" s="213">
        <f>IF(L22="","",SUMIFS(plan!$X:$X,plan!$A:$A,圆机计划单汇总!$A22,plan!$L:$L,圆机计划单汇总!L22))</f>
        <v>1732.2834645669293</v>
      </c>
      <c r="U22" s="183">
        <f>IF(L22="","",SUMIFS(plan!$Y:$Y,plan!$A:$A,圆机计划单汇总!$A22,plan!$L:$L,圆机计划单汇总!L22))</f>
        <v>86.614173228346459</v>
      </c>
      <c r="V22" s="247">
        <f>IF(S22="","",SUMIFS(plan!$AB:$AB,plan!$A:$A,圆机计划单汇总!A22,plan!$L:$L,圆机计划单汇总!L22))</f>
        <v>0</v>
      </c>
      <c r="W22" s="208"/>
      <c r="X22" s="307">
        <f>IF(L22="","",IF($X$1="坯布需求合计(Kg)",SUMIF(A:A,A22,T:T),SUMIF(A:A,A22,U:U)))</f>
        <v>3753.2808398950137</v>
      </c>
      <c r="Y22" s="307">
        <f t="shared" si="3"/>
        <v>933.38083989501365</v>
      </c>
      <c r="Z22" s="246">
        <f t="shared" si="0"/>
        <v>0</v>
      </c>
      <c r="AA22" s="307" t="e">
        <f>Y22/Z22</f>
        <v>#DIV/0!</v>
      </c>
      <c r="AB22" s="307">
        <f>SUMIF(四面弹库存!B:B,圆机计划单汇总!A22,四面弹库存!E:E)</f>
        <v>2819.9</v>
      </c>
      <c r="AC22" s="305">
        <f>SUMIF(四面弹库存!B:B,圆机计划单汇总!A22,四面弹库存!F:F)</f>
        <v>143</v>
      </c>
    </row>
    <row r="23" spans="1:29" ht="18" customHeight="1">
      <c r="A23" s="194" t="s">
        <v>35</v>
      </c>
      <c r="B23" s="321"/>
      <c r="C23" s="296"/>
      <c r="D23" s="311"/>
      <c r="E23" s="312"/>
      <c r="F23" s="310"/>
      <c r="G23" s="311"/>
      <c r="H23" s="311"/>
      <c r="I23" s="311"/>
      <c r="J23" s="205" t="s">
        <v>177</v>
      </c>
      <c r="K23" s="194" t="s">
        <v>2</v>
      </c>
      <c r="L23" s="248" t="s">
        <v>3132</v>
      </c>
      <c r="M23" s="202" t="str">
        <f t="array" ref="M23">SUBSTITUTE(L23,N23,"")</f>
        <v>B578</v>
      </c>
      <c r="N23" s="247" t="str">
        <f t="array" ref="N23">LEFT(L23,MIN(FIND({"A","B","C"},MID(L23,2,LEN(L23))&amp;"ABC")))</f>
        <v>A10</v>
      </c>
      <c r="O23" s="247" t="str">
        <f t="array" ref="O23">IF(L23="","",INDEX(plan!$A:$F,MATCH(A23&amp;L23,plan!$A$2:$A$19999&amp;plan!$L$2:$L$19999,0)+1,MATCH(plan!$F$1,plan!$A$1:$F$1,0)))</f>
        <v>AA</v>
      </c>
      <c r="P23" s="219">
        <f t="array" ref="P23">IF(L23="","",INDEX(plan!$A:$O,MATCH(A23&amp;L23,plan!$A$2:$A$19999&amp;plan!$L$2:$L$19999,0)+1,MATCH(plan!$O$1,plan!$A$1:$O$1,0)))</f>
        <v>43775</v>
      </c>
      <c r="Q23" s="219" t="str">
        <f t="array" ref="Q23">IF(L23="","",IF(INDEX(plan!$A:$Q,MATCH(A23&amp;L23,plan!$A$2:$A$1984&amp;plan!$L$2:$L$1984,0)+1,MATCH(plan!$Q$1,plan!$A$1:$Q$1,0))&gt;0,INDEX(plan!$A:$Q,MATCH(A23&amp;L23,plan!$A$2:$A$1984&amp;plan!$L$2:$L$1984,0)+1,MATCH(plan!$Q$1,plan!$A$1:$Q$1,0)),""))</f>
        <v/>
      </c>
      <c r="R23" s="219" t="str">
        <f t="array" ref="R23">IF(L23="","",IF(INDEX(plan!$A:$S,MATCH(A23&amp;L23,plan!$A$2:$A$1984&amp;plan!$L$2:$L$1984,0)+1,MATCH(plan!$S$1,plan!$A$1:$S$1,0))&gt;0,INDEX(plan!$A:$S,MATCH(A23&amp;L23,plan!$A$2:$A$1984&amp;plan!$L$2:$L$1984,0)+1,MATCH(plan!$S$1,plan!$A$1:$S$1,0)),""))</f>
        <v/>
      </c>
      <c r="S23" s="202">
        <f>IF(L23="","",SUMIFS(plan!$I:$I,plan!$A:$A,圆机计划单汇总!$A23,plan!$L:$L,圆机计划单汇总!L23))</f>
        <v>35000</v>
      </c>
      <c r="T23" s="213">
        <f>IF(L23="","",SUMIFS(plan!$X:$X,plan!$A:$A,圆机计划单汇总!$A23,plan!$L:$L,圆机计划单汇总!L23))</f>
        <v>2020.9973753280842</v>
      </c>
      <c r="U23" s="183">
        <f>IF(L23="","",SUMIFS(plan!$Y:$Y,plan!$A:$A,圆机计划单汇总!$A23,plan!$L:$L,圆机计划单汇总!L23))</f>
        <v>101.04986876640422</v>
      </c>
      <c r="V23" s="247">
        <f>IF(S23="","",SUMIFS(plan!$AB:$AB,plan!$A:$A,圆机计划单汇总!A23,plan!$L:$L,圆机计划单汇总!L23))</f>
        <v>0</v>
      </c>
      <c r="W23" s="208"/>
      <c r="X23" s="308"/>
      <c r="Y23" s="308"/>
      <c r="Z23" s="246">
        <f t="shared" si="0"/>
        <v>0</v>
      </c>
      <c r="AA23" s="308"/>
      <c r="AB23" s="308"/>
      <c r="AC23" s="312"/>
    </row>
    <row r="24" spans="1:29" ht="18" customHeight="1">
      <c r="A24" s="194" t="s">
        <v>35</v>
      </c>
      <c r="B24" s="321"/>
      <c r="C24" s="297"/>
      <c r="D24" s="302"/>
      <c r="E24" s="306"/>
      <c r="F24" s="304"/>
      <c r="G24" s="302"/>
      <c r="H24" s="302"/>
      <c r="I24" s="302"/>
      <c r="J24" s="205" t="s">
        <v>177</v>
      </c>
      <c r="K24" s="194" t="s">
        <v>2</v>
      </c>
      <c r="L24" s="248"/>
      <c r="M24" s="202" t="str">
        <f t="array" ref="M24">SUBSTITUTE(L24,N24,"")</f>
        <v/>
      </c>
      <c r="N24" s="247" t="str">
        <f t="array" ref="N24">LEFT(L24,MIN(FIND({"A","B","C"},MID(L24,2,LEN(L24))&amp;"ABC")))</f>
        <v/>
      </c>
      <c r="O24" s="247" t="str">
        <f t="array" ref="O24">IF(L24="","",INDEX(plan!$A:$F,MATCH(A24&amp;L24,plan!$A$2:$A$19999&amp;plan!$L$2:$L$19999,0)+1,MATCH(plan!$F$1,plan!$A$1:$F$1,0)))</f>
        <v/>
      </c>
      <c r="P24" s="219" t="str">
        <f t="array" ref="P24">IF(L24="","",INDEX(plan!$A:$O,MATCH(A24&amp;L24,plan!$A$2:$A$19999&amp;plan!$L$2:$L$19999,0)+1,MATCH(plan!$O$1,plan!$A$1:$O$1,0)))</f>
        <v/>
      </c>
      <c r="Q24" s="219" t="str">
        <f t="array" ref="Q24">IF(L24="","",IF(INDEX(plan!$A:$Q,MATCH(A24&amp;L24,plan!$A$2:$A$1984&amp;plan!$L$2:$L$1984,0)+1,MATCH(plan!$Q$1,plan!$A$1:$Q$1,0))&gt;0,INDEX(plan!$A:$Q,MATCH(A24&amp;L24,plan!$A$2:$A$1984&amp;plan!$L$2:$L$1984,0)+1,MATCH(plan!$Q$1,plan!$A$1:$Q$1,0)),""))</f>
        <v/>
      </c>
      <c r="R24" s="219" t="str">
        <f t="array" ref="R24">IF(L24="","",IF(INDEX(plan!$A:$S,MATCH(A24&amp;L24,plan!$A$2:$A$1984&amp;plan!$L$2:$L$1984,0)+1,MATCH(plan!$S$1,plan!$A$1:$S$1,0))&gt;0,INDEX(plan!$A:$S,MATCH(A24&amp;L24,plan!$A$2:$A$1984&amp;plan!$L$2:$L$1984,0)+1,MATCH(plan!$S$1,plan!$A$1:$S$1,0)),""))</f>
        <v/>
      </c>
      <c r="S24" s="202" t="str">
        <f>IF(L24="","",SUMIFS(plan!$I:$I,plan!$A:$A,圆机计划单汇总!$A24,plan!$L:$L,圆机计划单汇总!L24))</f>
        <v/>
      </c>
      <c r="T24" s="213" t="str">
        <f>IF(L24="","",SUMIFS(plan!$X:$X,plan!$A:$A,圆机计划单汇总!$A24,plan!$L:$L,圆机计划单汇总!L24))</f>
        <v/>
      </c>
      <c r="U24" s="183" t="str">
        <f>IF(L24="","",SUMIFS(plan!$Y:$Y,plan!$A:$A,圆机计划单汇总!$A24,plan!$L:$L,圆机计划单汇总!L24))</f>
        <v/>
      </c>
      <c r="V24" s="247" t="str">
        <f>IF(S24="","",SUMIFS(plan!$AB:$AB,plan!$A:$A,圆机计划单汇总!A24,plan!$L:$L,圆机计划单汇总!L24))</f>
        <v/>
      </c>
      <c r="W24" s="208"/>
      <c r="X24" s="309"/>
      <c r="Y24" s="309" t="str">
        <f t="shared" si="3"/>
        <v/>
      </c>
      <c r="Z24" s="246" t="str">
        <f t="shared" si="0"/>
        <v/>
      </c>
      <c r="AA24" s="309"/>
      <c r="AB24" s="309"/>
      <c r="AC24" s="306"/>
    </row>
    <row r="25" spans="1:29" ht="18" customHeight="1">
      <c r="A25" s="202" t="s">
        <v>45</v>
      </c>
      <c r="B25" s="321"/>
      <c r="C25" s="326">
        <v>50</v>
      </c>
      <c r="D25" s="323">
        <f>SUMIF(yuanjicode,圆机计划单汇总!A25,yuanjinumber)</f>
        <v>1</v>
      </c>
      <c r="E25" s="305">
        <v>4</v>
      </c>
      <c r="F25" s="324" t="s">
        <v>2234</v>
      </c>
      <c r="G25" s="323">
        <v>35</v>
      </c>
      <c r="H25" s="202">
        <v>33</v>
      </c>
      <c r="I25" s="202">
        <v>160</v>
      </c>
      <c r="J25" s="205" t="s">
        <v>177</v>
      </c>
      <c r="K25" s="194" t="s">
        <v>2</v>
      </c>
      <c r="L25" s="248" t="s">
        <v>2845</v>
      </c>
      <c r="M25" s="202" t="str">
        <f t="array" ref="M25">SUBSTITUTE(L25,N25,"")</f>
        <v>B499</v>
      </c>
      <c r="N25" s="247" t="str">
        <f t="array" ref="N25">LEFT(L25,MIN(FIND({"A","B","C"},MID(L25,2,LEN(L25))&amp;"ABC")))</f>
        <v>A10</v>
      </c>
      <c r="O25" s="247" t="str">
        <f t="array" ref="O25">IF(L25="","",INDEX(plan!$A:$F,MATCH(A25&amp;L25,plan!$A$2:$A$19999&amp;plan!$L$2:$L$19999,0)+1,MATCH(plan!$F$1,plan!$A$1:$F$1,0)))</f>
        <v>AA</v>
      </c>
      <c r="P25" s="219">
        <f t="array" ref="P25">IF(L25="","",INDEX(plan!$A:$O,MATCH(A25&amp;L25,plan!$A$2:$A$19999&amp;plan!$L$2:$L$19999,0)+1,MATCH(plan!$O$1,plan!$A$1:$O$1,0)))</f>
        <v>43753</v>
      </c>
      <c r="Q25" s="219" t="str">
        <f t="array" ref="Q25">IF(L25="","",IF(INDEX(plan!$A:$Q,MATCH(A25&amp;L25,plan!$A$2:$A$1984&amp;plan!$L$2:$L$1984,0)+1,MATCH(plan!$Q$1,plan!$A$1:$Q$1,0))&gt;0,INDEX(plan!$A:$Q,MATCH(A25&amp;L25,plan!$A$2:$A$1984&amp;plan!$L$2:$L$1984,0)+1,MATCH(plan!$Q$1,plan!$A$1:$Q$1,0)),""))</f>
        <v/>
      </c>
      <c r="R25" s="219" t="str">
        <f t="array" ref="R25">IF(L25="","",IF(INDEX(plan!$A:$S,MATCH(A25&amp;L25,plan!$A$2:$A$1984&amp;plan!$L$2:$L$1984,0)+1,MATCH(plan!$S$1,plan!$A$1:$S$1,0))&gt;0,INDEX(plan!$A:$S,MATCH(A25&amp;L25,plan!$A$2:$A$1984&amp;plan!$L$2:$L$1984,0)+1,MATCH(plan!$S$1,plan!$A$1:$S$1,0)),""))</f>
        <v/>
      </c>
      <c r="S25" s="202">
        <f>IF(L25="","",SUMIFS(plan!$I:$I,plan!$A:$A,圆机计划单汇总!$A25,plan!$L:$L,圆机计划单汇总!L25))</f>
        <v>30000</v>
      </c>
      <c r="T25" s="213">
        <f>IF(L25="","",SUMIFS(plan!$X:$X,plan!$A:$A,圆机计划单汇总!$A25,plan!$L:$L,圆机计划单汇总!L25))</f>
        <v>1732.2834645669293</v>
      </c>
      <c r="U25" s="183">
        <f>IF(L25="","",SUMIFS(plan!$Y:$Y,plan!$A:$A,圆机计划单汇总!$A25,plan!$L:$L,圆机计划单汇总!L25))</f>
        <v>86.614173228346459</v>
      </c>
      <c r="V25" s="247">
        <f>IF(S25="","",SUMIFS(plan!$AB:$AB,plan!$A:$A,圆机计划单汇总!A25,plan!$L:$L,圆机计划单汇总!L25))</f>
        <v>0</v>
      </c>
      <c r="W25" s="208"/>
      <c r="X25" s="307">
        <f>IF(L25="","",IF($X$1="坯布需求合计(Kg)",SUMIF(A:A,A25,T:T),SUMIF(A:A,A25,U:U)))</f>
        <v>17671.124234470692</v>
      </c>
      <c r="Y25" s="317">
        <f>X25-AB25</f>
        <v>14418.824234470692</v>
      </c>
      <c r="Z25" s="246">
        <f t="shared" si="0"/>
        <v>80</v>
      </c>
      <c r="AA25" s="313">
        <f>Y$25/Z$25</f>
        <v>180.23530293088365</v>
      </c>
      <c r="AB25" s="313">
        <f>SUMIF(四面弹库存!B:B,圆机计划单汇总!A25,四面弹库存!E:E)</f>
        <v>3252.3</v>
      </c>
      <c r="AC25" s="295">
        <f>SUMIF(四面弹库存!B:B,圆机计划单汇总!A25,四面弹库存!F:F)</f>
        <v>172</v>
      </c>
    </row>
    <row r="26" spans="1:29" ht="18" customHeight="1">
      <c r="A26" s="194" t="s">
        <v>1510</v>
      </c>
      <c r="B26" s="321"/>
      <c r="C26" s="326"/>
      <c r="D26" s="323"/>
      <c r="E26" s="312"/>
      <c r="F26" s="324"/>
      <c r="G26" s="323"/>
      <c r="H26" s="202">
        <v>33</v>
      </c>
      <c r="I26" s="202">
        <v>159</v>
      </c>
      <c r="J26" s="205" t="s">
        <v>177</v>
      </c>
      <c r="K26" s="194" t="s">
        <v>2</v>
      </c>
      <c r="L26" s="248" t="s">
        <v>2572</v>
      </c>
      <c r="M26" s="202" t="str">
        <f t="array" ref="M26">SUBSTITUTE(L26,N26,"")</f>
        <v>B563</v>
      </c>
      <c r="N26" s="247" t="str">
        <f t="array" ref="N26">LEFT(L26,MIN(FIND({"A","B","C"},MID(L26,2,LEN(L26))&amp;"ABC")))</f>
        <v>A23</v>
      </c>
      <c r="O26" s="247" t="str">
        <f t="array" ref="O26">IF(L26="","",INDEX(plan!$A:$F,MATCH(A26&amp;L26,plan!$A$2:$A$19999&amp;plan!$L$2:$L$19999,0)+1,MATCH(plan!$F$1,plan!$A$1:$F$1,0)))</f>
        <v>AA</v>
      </c>
      <c r="P26" s="219">
        <f t="array" ref="P26">IF(L26="","",INDEX(plan!$A:$O,MATCH(A26&amp;L26,plan!$A$2:$A$19999&amp;plan!$L$2:$L$19999,0)+1,MATCH(plan!$O$1,plan!$A$1:$O$1,0)))</f>
        <v>43769</v>
      </c>
      <c r="Q26" s="219" t="str">
        <f t="array" ref="Q26">IF(L26="","",IF(INDEX(plan!$A:$Q,MATCH(A26&amp;L26,plan!$A$2:$A$1984&amp;plan!$L$2:$L$1984,0)+1,MATCH(plan!$Q$1,plan!$A$1:$Q$1,0))&gt;0,INDEX(plan!$A:$Q,MATCH(A26&amp;L26,plan!$A$2:$A$1984&amp;plan!$L$2:$L$1984,0)+1,MATCH(plan!$Q$1,plan!$A$1:$Q$1,0)),""))</f>
        <v/>
      </c>
      <c r="R26" s="219" t="str">
        <f t="array" ref="R26">IF(L26="","",IF(INDEX(plan!$A:$S,MATCH(A26&amp;L26,plan!$A$2:$A$1984&amp;plan!$L$2:$L$1984,0)+1,MATCH(plan!$S$1,plan!$A$1:$S$1,0))&gt;0,INDEX(plan!$A:$S,MATCH(A26&amp;L26,plan!$A$2:$A$1984&amp;plan!$L$2:$L$1984,0)+1,MATCH(plan!$S$1,plan!$A$1:$S$1,0)),""))</f>
        <v/>
      </c>
      <c r="S26" s="202">
        <f>IF(L26="","",SUMIFS(plan!$I:$I,plan!$A:$A,圆机计划单汇总!$A26,plan!$L:$L,圆机计划单汇总!L26))</f>
        <v>35000</v>
      </c>
      <c r="T26" s="213">
        <f>IF(L26="","",SUMIFS(plan!$X:$X,plan!$A:$A,圆机计划单汇总!$A26,plan!$L:$L,圆机计划单汇总!L26))</f>
        <v>2204.7244094488187</v>
      </c>
      <c r="U26" s="183">
        <f>IF(L26="","",SUMIFS(plan!$Y:$Y,plan!$A:$A,圆机计划单汇总!$A26,plan!$L:$L,圆机计划单汇总!L26))</f>
        <v>110.23622047244095</v>
      </c>
      <c r="V26" s="247">
        <f>IF(S26="","",SUMIFS(plan!$AB:$AB,plan!$A:$A,圆机计划单汇总!A26,plan!$L:$L,圆机计划单汇总!L26))</f>
        <v>0</v>
      </c>
      <c r="W26" s="208"/>
      <c r="X26" s="308"/>
      <c r="Y26" s="318"/>
      <c r="Z26" s="246">
        <f t="shared" si="0"/>
        <v>0</v>
      </c>
      <c r="AA26" s="320"/>
      <c r="AB26" s="320"/>
      <c r="AC26" s="296">
        <f>SUMIF(四面弹库存!B:B,圆机计划单汇总!A26,四面弹库存!F:F)</f>
        <v>172</v>
      </c>
    </row>
    <row r="27" spans="1:29" ht="18" customHeight="1">
      <c r="A27" s="194" t="s">
        <v>1170</v>
      </c>
      <c r="B27" s="321"/>
      <c r="C27" s="326"/>
      <c r="D27" s="323"/>
      <c r="E27" s="312"/>
      <c r="F27" s="324"/>
      <c r="G27" s="323"/>
      <c r="H27" s="202">
        <v>33</v>
      </c>
      <c r="I27" s="202">
        <v>158</v>
      </c>
      <c r="J27" s="205" t="s">
        <v>177</v>
      </c>
      <c r="K27" s="194" t="s">
        <v>2</v>
      </c>
      <c r="L27" s="248" t="s">
        <v>2596</v>
      </c>
      <c r="M27" s="202" t="str">
        <f t="array" ref="M27">SUBSTITUTE(L27,N27,"")</f>
        <v>B558</v>
      </c>
      <c r="N27" s="247" t="str">
        <f t="array" ref="N27">LEFT(L27,MIN(FIND({"A","B","C"},MID(L27,2,LEN(L27))&amp;"ABC")))</f>
        <v>A21</v>
      </c>
      <c r="O27" s="247" t="str">
        <f t="array" ref="O27">IF(L27="","",INDEX(plan!$A:$F,MATCH(A27&amp;L27,plan!$A$2:$A$19999&amp;plan!$L$2:$L$19999,0)+1,MATCH(plan!$F$1,plan!$A$1:$F$1,0)))</f>
        <v>AA</v>
      </c>
      <c r="P27" s="219">
        <f t="array" ref="P27">IF(L27="","",INDEX(plan!$A:$O,MATCH(A27&amp;L27,plan!$A$2:$A$19999&amp;plan!$L$2:$L$19999,0)+1,MATCH(plan!$O$1,plan!$A$1:$O$1,0)))</f>
        <v>43767</v>
      </c>
      <c r="Q27" s="219" t="str">
        <f t="array" ref="Q27">IF(L27="","",IF(INDEX(plan!$A:$Q,MATCH(A27&amp;L27,plan!$A$2:$A$1984&amp;plan!$L$2:$L$1984,0)+1,MATCH(plan!$Q$1,plan!$A$1:$Q$1,0))&gt;0,INDEX(plan!$A:$Q,MATCH(A27&amp;L27,plan!$A$2:$A$1984&amp;plan!$L$2:$L$1984,0)+1,MATCH(plan!$Q$1,plan!$A$1:$Q$1,0)),""))</f>
        <v/>
      </c>
      <c r="R27" s="219" t="str">
        <f t="array" ref="R27">IF(L27="","",IF(INDEX(plan!$A:$S,MATCH(A27&amp;L27,plan!$A$2:$A$1984&amp;plan!$L$2:$L$1984,0)+1,MATCH(plan!$S$1,plan!$A$1:$S$1,0))&gt;0,INDEX(plan!$A:$S,MATCH(A27&amp;L27,plan!$A$2:$A$1984&amp;plan!$L$2:$L$1984,0)+1,MATCH(plan!$S$1,plan!$A$1:$S$1,0)),""))</f>
        <v/>
      </c>
      <c r="S27" s="202">
        <f>IF(L27="","",SUMIFS(plan!$I:$I,plan!$A:$A,圆机计划单汇总!$A27,plan!$L:$L,圆机计划单汇总!L27))</f>
        <v>116000</v>
      </c>
      <c r="T27" s="213">
        <f>IF(L27="","",SUMIFS(plan!$X:$X,plan!$A:$A,圆机计划单汇总!$A27,plan!$L:$L,圆机计划单汇总!L27))</f>
        <v>6740.0262467191606</v>
      </c>
      <c r="U27" s="183">
        <f>IF(L27="","",SUMIFS(plan!$Y:$Y,plan!$A:$A,圆机计划单汇总!$A27,plan!$L:$L,圆机计划单汇总!L27))</f>
        <v>337.00131233595806</v>
      </c>
      <c r="V27" s="247">
        <f>IF(S27="","",SUMIFS(plan!$AB:$AB,plan!$A:$A,圆机计划单汇总!A27,plan!$L:$L,圆机计划单汇总!L27))</f>
        <v>0</v>
      </c>
      <c r="W27" s="208"/>
      <c r="X27" s="308"/>
      <c r="Y27" s="318"/>
      <c r="Z27" s="246">
        <f t="shared" si="0"/>
        <v>0</v>
      </c>
      <c r="AA27" s="320"/>
      <c r="AB27" s="320"/>
      <c r="AC27" s="296">
        <f>SUMIF(四面弹库存!B:B,圆机计划单汇总!A27,四面弹库存!F:F)</f>
        <v>172</v>
      </c>
    </row>
    <row r="28" spans="1:29" ht="18" customHeight="1">
      <c r="A28" s="194" t="s">
        <v>1170</v>
      </c>
      <c r="B28" s="321"/>
      <c r="C28" s="326"/>
      <c r="D28" s="323"/>
      <c r="E28" s="312"/>
      <c r="F28" s="324"/>
      <c r="G28" s="323"/>
      <c r="H28" s="202">
        <v>33</v>
      </c>
      <c r="I28" s="202">
        <v>158</v>
      </c>
      <c r="J28" s="205" t="s">
        <v>177</v>
      </c>
      <c r="K28" s="194" t="s">
        <v>2</v>
      </c>
      <c r="L28" s="248" t="s">
        <v>2776</v>
      </c>
      <c r="M28" s="202" t="str">
        <f t="array" ref="M28">SUBSTITUTE(L28,N28,"")</f>
        <v>C419</v>
      </c>
      <c r="N28" s="247" t="str">
        <f t="array" ref="N28">LEFT(L28,MIN(FIND({"A","B","C"},MID(L28,2,LEN(L28))&amp;"ABC")))</f>
        <v>A70-2</v>
      </c>
      <c r="O28" s="247" t="str">
        <f t="array" ref="O28">IF(L28="","",INDEX(plan!$A:$F,MATCH(A28&amp;L28,plan!$A$2:$A$19999&amp;plan!$L$2:$L$19999,0)+1,MATCH(plan!$F$1,plan!$A$1:$F$1,0)))</f>
        <v>AA</v>
      </c>
      <c r="P28" s="219">
        <f t="array" ref="P28">IF(L28="","",INDEX(plan!$A:$O,MATCH(A28&amp;L28,plan!$A$2:$A$19999&amp;plan!$L$2:$L$19999,0)+1,MATCH(plan!$O$1,plan!$A$1:$O$1,0)))</f>
        <v>43772</v>
      </c>
      <c r="Q28" s="219" t="str">
        <f t="array" ref="Q28">IF(L28="","",IF(INDEX(plan!$A:$Q,MATCH(A28&amp;L28,plan!$A$2:$A$1984&amp;plan!$L$2:$L$1984,0)+1,MATCH(plan!$Q$1,plan!$A$1:$Q$1,0))&gt;0,INDEX(plan!$A:$Q,MATCH(A28&amp;L28,plan!$A$2:$A$1984&amp;plan!$L$2:$L$1984,0)+1,MATCH(plan!$Q$1,plan!$A$1:$Q$1,0)),""))</f>
        <v/>
      </c>
      <c r="R28" s="219" t="str">
        <f t="array" ref="R28">IF(L28="","",IF(INDEX(plan!$A:$S,MATCH(A28&amp;L28,plan!$A$2:$A$1984&amp;plan!$L$2:$L$1984,0)+1,MATCH(plan!$S$1,plan!$A$1:$S$1,0))&gt;0,INDEX(plan!$A:$S,MATCH(A28&amp;L28,plan!$A$2:$A$1984&amp;plan!$L$2:$L$1984,0)+1,MATCH(plan!$S$1,plan!$A$1:$S$1,0)),""))</f>
        <v/>
      </c>
      <c r="S28" s="202">
        <f>IF(L28="","",SUMIFS(plan!$I:$I,plan!$A:$A,圆机计划单汇总!$A28,plan!$L:$L,圆机计划单汇总!L28))</f>
        <v>7000</v>
      </c>
      <c r="T28" s="213">
        <f>IF(L28="","",SUMIFS(plan!$X:$X,plan!$A:$A,圆机计划单汇总!$A28,plan!$L:$L,圆机计划单汇总!L28))</f>
        <v>447.52843394575677</v>
      </c>
      <c r="U28" s="183">
        <f>IF(L28="","",SUMIFS(plan!$Y:$Y,plan!$A:$A,圆机计划单汇总!$A28,plan!$L:$L,圆机计划单汇总!L28))</f>
        <v>22.376421697287839</v>
      </c>
      <c r="V28" s="247">
        <f>IF(S28="","",SUMIFS(plan!$AB:$AB,plan!$A:$A,圆机计划单汇总!A28,plan!$L:$L,圆机计划单汇总!L28))</f>
        <v>0</v>
      </c>
      <c r="W28" s="208"/>
      <c r="X28" s="308"/>
      <c r="Y28" s="318"/>
      <c r="Z28" s="246">
        <f t="shared" si="0"/>
        <v>0</v>
      </c>
      <c r="AA28" s="320"/>
      <c r="AB28" s="320"/>
      <c r="AC28" s="296">
        <f>SUMIF(四面弹库存!B:B,圆机计划单汇总!A28,四面弹库存!F:F)</f>
        <v>172</v>
      </c>
    </row>
    <row r="29" spans="1:29" ht="18" customHeight="1">
      <c r="A29" s="194" t="s">
        <v>1170</v>
      </c>
      <c r="B29" s="321"/>
      <c r="C29" s="326"/>
      <c r="D29" s="323"/>
      <c r="E29" s="312"/>
      <c r="F29" s="324"/>
      <c r="G29" s="323"/>
      <c r="H29" s="202">
        <v>33</v>
      </c>
      <c r="I29" s="202">
        <v>158</v>
      </c>
      <c r="J29" s="205" t="s">
        <v>177</v>
      </c>
      <c r="K29" s="194" t="s">
        <v>2</v>
      </c>
      <c r="L29" s="248" t="s">
        <v>1528</v>
      </c>
      <c r="M29" s="202" t="str">
        <f t="array" ref="M29">SUBSTITUTE(L29,N29,"")</f>
        <v>B532</v>
      </c>
      <c r="N29" s="247" t="str">
        <f t="array" ref="N29">LEFT(L29,MIN(FIND({"A","B","C"},MID(L29,2,LEN(L29))&amp;"ABC")))</f>
        <v>A10</v>
      </c>
      <c r="O29" s="247" t="str">
        <f t="array" ref="O29">IF(L29="","",INDEX(plan!$A:$F,MATCH(A29&amp;L29,plan!$A$2:$A$19999&amp;plan!$L$2:$L$19999,0)+1,MATCH(plan!$F$1,plan!$A$1:$F$1,0)))</f>
        <v>AA</v>
      </c>
      <c r="P29" s="219">
        <f t="array" ref="P29">IF(L29="","",INDEX(plan!$A:$O,MATCH(A29&amp;L29,plan!$A$2:$A$19999&amp;plan!$L$2:$L$19999,0)+1,MATCH(plan!$O$1,plan!$A$1:$O$1,0)))</f>
        <v>43755</v>
      </c>
      <c r="Q29" s="219" t="str">
        <f t="array" ref="Q29">IF(L29="","",IF(INDEX(plan!$A:$Q,MATCH(A29&amp;L29,plan!$A$2:$A$1984&amp;plan!$L$2:$L$1984,0)+1,MATCH(plan!$Q$1,plan!$A$1:$Q$1,0))&gt;0,INDEX(plan!$A:$Q,MATCH(A29&amp;L29,plan!$A$2:$A$1984&amp;plan!$L$2:$L$1984,0)+1,MATCH(plan!$Q$1,plan!$A$1:$Q$1,0)),""))</f>
        <v/>
      </c>
      <c r="R29" s="219" t="str">
        <f t="array" ref="R29">IF(L29="","",IF(INDEX(plan!$A:$S,MATCH(A29&amp;L29,plan!$A$2:$A$1984&amp;plan!$L$2:$L$1984,0)+1,MATCH(plan!$S$1,plan!$A$1:$S$1,0))&gt;0,INDEX(plan!$A:$S,MATCH(A29&amp;L29,plan!$A$2:$A$1984&amp;plan!$L$2:$L$1984,0)+1,MATCH(plan!$S$1,plan!$A$1:$S$1,0)),""))</f>
        <v/>
      </c>
      <c r="S29" s="202">
        <f>IF(L29="","",SUMIFS(plan!$I:$I,plan!$A:$A,圆机计划单汇总!$A29,plan!$L:$L,圆机计划单汇总!L29))</f>
        <v>40000</v>
      </c>
      <c r="T29" s="213">
        <f>IF(L29="","",SUMIFS(plan!$X:$X,plan!$A:$A,圆机计划单汇总!$A29,plan!$L:$L,圆机计划单汇总!L29))</f>
        <v>1349.7112860892389</v>
      </c>
      <c r="U29" s="183">
        <f>IF(L29="","",SUMIFS(plan!$Y:$Y,plan!$A:$A,圆机计划单汇总!$A29,plan!$L:$L,圆机计划单汇总!L29))</f>
        <v>67.485564304461946</v>
      </c>
      <c r="V29" s="247">
        <f>IF(S29="","",SUMIFS(plan!$AB:$AB,plan!$A:$A,圆机计划单汇总!A29,plan!$L:$L,圆机计划单汇总!L29))</f>
        <v>48</v>
      </c>
      <c r="W29" s="208"/>
      <c r="X29" s="308"/>
      <c r="Y29" s="318"/>
      <c r="Z29" s="246">
        <f t="shared" si="0"/>
        <v>0</v>
      </c>
      <c r="AA29" s="320"/>
      <c r="AB29" s="320"/>
      <c r="AC29" s="296">
        <f>SUMIF(四面弹库存!B:B,圆机计划单汇总!A29,四面弹库存!F:F)</f>
        <v>172</v>
      </c>
    </row>
    <row r="30" spans="1:29" ht="18" customHeight="1">
      <c r="A30" s="194" t="s">
        <v>1170</v>
      </c>
      <c r="B30" s="321"/>
      <c r="C30" s="326"/>
      <c r="D30" s="323"/>
      <c r="E30" s="312"/>
      <c r="F30" s="324"/>
      <c r="G30" s="323"/>
      <c r="H30" s="202">
        <v>33</v>
      </c>
      <c r="I30" s="202">
        <v>158</v>
      </c>
      <c r="J30" s="205" t="s">
        <v>177</v>
      </c>
      <c r="K30" s="194" t="s">
        <v>2</v>
      </c>
      <c r="L30" s="248" t="s">
        <v>1532</v>
      </c>
      <c r="M30" s="202" t="str">
        <f t="array" ref="M30">SUBSTITUTE(L30,N30,"")</f>
        <v>C395</v>
      </c>
      <c r="N30" s="247" t="str">
        <f t="array" ref="N30">LEFT(L30,MIN(FIND({"A","B","C"},MID(L30,2,LEN(L30))&amp;"ABC")))</f>
        <v>A90</v>
      </c>
      <c r="O30" s="247" t="str">
        <f t="array" ref="O30">IF(L30="","",INDEX(plan!$A:$F,MATCH(A30&amp;L30,plan!$A$2:$A$19999&amp;plan!$L$2:$L$19999,0)+1,MATCH(plan!$F$1,plan!$A$1:$F$1,0)))</f>
        <v>AA</v>
      </c>
      <c r="P30" s="219">
        <f t="array" ref="P30">IF(L30="","",INDEX(plan!$A:$O,MATCH(A30&amp;L30,plan!$A$2:$A$19999&amp;plan!$L$2:$L$19999,0)+1,MATCH(plan!$O$1,plan!$A$1:$O$1,0)))</f>
        <v>43755</v>
      </c>
      <c r="Q30" s="219" t="str">
        <f t="array" ref="Q30">IF(L30="","",IF(INDEX(plan!$A:$Q,MATCH(A30&amp;L30,plan!$A$2:$A$1984&amp;plan!$L$2:$L$1984,0)+1,MATCH(plan!$Q$1,plan!$A$1:$Q$1,0))&gt;0,INDEX(plan!$A:$Q,MATCH(A30&amp;L30,plan!$A$2:$A$1984&amp;plan!$L$2:$L$1984,0)+1,MATCH(plan!$Q$1,plan!$A$1:$Q$1,0)),""))</f>
        <v/>
      </c>
      <c r="R30" s="219" t="str">
        <f t="array" ref="R30">IF(L30="","",IF(INDEX(plan!$A:$S,MATCH(A30&amp;L30,plan!$A$2:$A$1984&amp;plan!$L$2:$L$1984,0)+1,MATCH(plan!$S$1,plan!$A$1:$S$1,0))&gt;0,INDEX(plan!$A:$S,MATCH(A30&amp;L30,plan!$A$2:$A$1984&amp;plan!$L$2:$L$1984,0)+1,MATCH(plan!$S$1,plan!$A$1:$S$1,0)),""))</f>
        <v/>
      </c>
      <c r="S30" s="202">
        <f>IF(L30="","",SUMIFS(plan!$I:$I,plan!$A:$A,圆机计划单汇总!$A30,plan!$L:$L,圆机计划单汇总!L30))</f>
        <v>10000</v>
      </c>
      <c r="T30" s="213">
        <f>IF(L30="","",SUMIFS(plan!$X:$X,plan!$A:$A,圆机计划单汇总!$A30,plan!$L:$L,圆机计划单汇总!L30))</f>
        <v>577.42782152230973</v>
      </c>
      <c r="U30" s="183">
        <f>IF(L30="","",SUMIFS(plan!$Y:$Y,plan!$A:$A,圆机计划单汇总!$A30,plan!$L:$L,圆机计划单汇总!L30))</f>
        <v>28.871391076115486</v>
      </c>
      <c r="V30" s="247">
        <f>IF(S30="","",SUMIFS(plan!$AB:$AB,plan!$A:$A,圆机计划单汇总!A30,plan!$L:$L,圆机计划单汇总!L30))</f>
        <v>0</v>
      </c>
      <c r="W30" s="208"/>
      <c r="X30" s="308"/>
      <c r="Y30" s="318"/>
      <c r="Z30" s="246">
        <f t="shared" si="0"/>
        <v>0</v>
      </c>
      <c r="AA30" s="320"/>
      <c r="AB30" s="320"/>
      <c r="AC30" s="296">
        <f>SUMIF(四面弹库存!B:B,圆机计划单汇总!A30,四面弹库存!F:F)</f>
        <v>172</v>
      </c>
    </row>
    <row r="31" spans="1:29" ht="18" customHeight="1">
      <c r="A31" s="194" t="s">
        <v>1170</v>
      </c>
      <c r="B31" s="321"/>
      <c r="C31" s="326"/>
      <c r="D31" s="323"/>
      <c r="E31" s="312"/>
      <c r="F31" s="324"/>
      <c r="G31" s="323"/>
      <c r="H31" s="202">
        <v>36</v>
      </c>
      <c r="I31" s="202">
        <v>158</v>
      </c>
      <c r="J31" s="205" t="s">
        <v>177</v>
      </c>
      <c r="K31" s="194" t="s">
        <v>2</v>
      </c>
      <c r="L31" s="248" t="s">
        <v>2256</v>
      </c>
      <c r="M31" s="202" t="str">
        <f t="array" ref="M31">SUBSTITUTE(L31,N31,"")</f>
        <v>B549</v>
      </c>
      <c r="N31" s="247" t="str">
        <f t="array" ref="N31">LEFT(L31,MIN(FIND({"A","B","C"},MID(L31,2,LEN(L31))&amp;"ABC")))</f>
        <v>A10</v>
      </c>
      <c r="O31" s="247" t="str">
        <f t="array" ref="O31">IF(L31="","",INDEX(plan!$A:$F,MATCH(A31&amp;L31,plan!$A$2:$A$19999&amp;plan!$L$2:$L$19999,0)+1,MATCH(plan!$F$1,plan!$A$1:$F$1,0)))</f>
        <v>AA</v>
      </c>
      <c r="P31" s="219">
        <f t="array" ref="P31">IF(L31="","",INDEX(plan!$A:$O,MATCH(A31&amp;L31,plan!$A$2:$A$19999&amp;plan!$L$2:$L$19999,0)+1,MATCH(plan!$O$1,plan!$A$1:$O$1,0)))</f>
        <v>43762</v>
      </c>
      <c r="Q31" s="219" t="str">
        <f t="array" ref="Q31">IF(L31="","",IF(INDEX(plan!$A:$Q,MATCH(A31&amp;L31,plan!$A$2:$A$1984&amp;plan!$L$2:$L$1984,0)+1,MATCH(plan!$Q$1,plan!$A$1:$Q$1,0))&gt;0,INDEX(plan!$A:$Q,MATCH(A31&amp;L31,plan!$A$2:$A$1984&amp;plan!$L$2:$L$1984,0)+1,MATCH(plan!$Q$1,plan!$A$1:$Q$1,0)),""))</f>
        <v/>
      </c>
      <c r="R31" s="219" t="str">
        <f t="array" ref="R31">IF(L31="","",IF(INDEX(plan!$A:$S,MATCH(A31&amp;L31,plan!$A$2:$A$1984&amp;plan!$L$2:$L$1984,0)+1,MATCH(plan!$S$1,plan!$A$1:$S$1,0))&gt;0,INDEX(plan!$A:$S,MATCH(A31&amp;L31,plan!$A$2:$A$1984&amp;plan!$L$2:$L$1984,0)+1,MATCH(plan!$S$1,plan!$A$1:$S$1,0)),""))</f>
        <v/>
      </c>
      <c r="S31" s="202">
        <f>IF(L31="","",SUMIFS(plan!$I:$I,plan!$A:$A,圆机计划单汇总!$A31,plan!$L:$L,圆机计划单汇总!L31))</f>
        <v>40000</v>
      </c>
      <c r="T31" s="213">
        <f>IF(L31="","",SUMIFS(plan!$X:$X,plan!$A:$A,圆机计划单汇总!$A31,plan!$L:$L,圆机计划单汇总!L31))</f>
        <v>2309.7112860892389</v>
      </c>
      <c r="U31" s="183">
        <f>IF(L31="","",SUMIFS(plan!$Y:$Y,plan!$A:$A,圆机计划单汇总!$A31,plan!$L:$L,圆机计划单汇总!L31))</f>
        <v>115.48556430446195</v>
      </c>
      <c r="V31" s="247">
        <f>IF(S31="","",SUMIFS(plan!$AB:$AB,plan!$A:$A,圆机计划单汇总!A31,plan!$L:$L,圆机计划单汇总!L31))</f>
        <v>0</v>
      </c>
      <c r="W31" s="208"/>
      <c r="X31" s="308"/>
      <c r="Y31" s="318"/>
      <c r="Z31" s="246">
        <f t="shared" si="0"/>
        <v>0</v>
      </c>
      <c r="AA31" s="320"/>
      <c r="AB31" s="320"/>
      <c r="AC31" s="296">
        <f>SUMIF(四面弹库存!B:B,圆机计划单汇总!A31,四面弹库存!F:F)</f>
        <v>172</v>
      </c>
    </row>
    <row r="32" spans="1:29" ht="18" customHeight="1">
      <c r="A32" s="194" t="s">
        <v>1170</v>
      </c>
      <c r="B32" s="321"/>
      <c r="C32" s="326"/>
      <c r="D32" s="323"/>
      <c r="E32" s="312"/>
      <c r="F32" s="324"/>
      <c r="G32" s="323"/>
      <c r="H32" s="202">
        <v>33</v>
      </c>
      <c r="I32" s="202">
        <v>158</v>
      </c>
      <c r="J32" s="205" t="s">
        <v>177</v>
      </c>
      <c r="K32" s="194" t="s">
        <v>2</v>
      </c>
      <c r="L32" s="248" t="s">
        <v>3132</v>
      </c>
      <c r="M32" s="202" t="str">
        <f t="array" ref="M32">SUBSTITUTE(L32,N32,"")</f>
        <v>B578</v>
      </c>
      <c r="N32" s="247" t="str">
        <f t="array" ref="N32">LEFT(L32,MIN(FIND({"A","B","C"},MID(L32,2,LEN(L32))&amp;"ABC")))</f>
        <v>A10</v>
      </c>
      <c r="O32" s="247" t="str">
        <f t="array" ref="O32">IF(L32="","",INDEX(plan!$A:$F,MATCH(A32&amp;L32,plan!$A$2:$A$19999&amp;plan!$L$2:$L$19999,0)+1,MATCH(plan!$F$1,plan!$A$1:$F$1,0)))</f>
        <v>AA</v>
      </c>
      <c r="P32" s="219">
        <f t="array" ref="P32">IF(L32="","",INDEX(plan!$A:$O,MATCH(A32&amp;L32,plan!$A$2:$A$19999&amp;plan!$L$2:$L$19999,0)+1,MATCH(plan!$O$1,plan!$A$1:$O$1,0)))</f>
        <v>43775</v>
      </c>
      <c r="Q32" s="219" t="str">
        <f t="array" ref="Q32">IF(L32="","",IF(INDEX(plan!$A:$Q,MATCH(A32&amp;L32,plan!$A$2:$A$1984&amp;plan!$L$2:$L$1984,0)+1,MATCH(plan!$Q$1,plan!$A$1:$Q$1,0))&gt;0,INDEX(plan!$A:$Q,MATCH(A32&amp;L32,plan!$A$2:$A$1984&amp;plan!$L$2:$L$1984,0)+1,MATCH(plan!$Q$1,plan!$A$1:$Q$1,0)),""))</f>
        <v/>
      </c>
      <c r="R32" s="219" t="str">
        <f t="array" ref="R32">IF(L32="","",IF(INDEX(plan!$A:$S,MATCH(A32&amp;L32,plan!$A$2:$A$1984&amp;plan!$L$2:$L$1984,0)+1,MATCH(plan!$S$1,plan!$A$1:$S$1,0))&gt;0,INDEX(plan!$A:$S,MATCH(A32&amp;L32,plan!$A$2:$A$1984&amp;plan!$L$2:$L$1984,0)+1,MATCH(plan!$S$1,plan!$A$1:$S$1,0)),""))</f>
        <v/>
      </c>
      <c r="S32" s="202">
        <f>IF(L32="","",SUMIFS(plan!$I:$I,plan!$A:$A,圆机计划单汇总!$A32,plan!$L:$L,圆机计划单汇总!L32))</f>
        <v>40000</v>
      </c>
      <c r="T32" s="213">
        <f>IF(L32="","",SUMIFS(plan!$X:$X,plan!$A:$A,圆机计划单汇总!$A32,plan!$L:$L,圆机计划单汇总!L32))</f>
        <v>2309.7112860892389</v>
      </c>
      <c r="U32" s="183">
        <f>IF(L32="","",SUMIFS(plan!$Y:$Y,plan!$A:$A,圆机计划单汇总!$A32,plan!$L:$L,圆机计划单汇总!L32))</f>
        <v>115.48556430446195</v>
      </c>
      <c r="V32" s="247">
        <f>IF(S32="","",SUMIFS(plan!$AB:$AB,plan!$A:$A,圆机计划单汇总!A32,plan!$L:$L,圆机计划单汇总!L32))</f>
        <v>0</v>
      </c>
      <c r="W32" s="208"/>
      <c r="X32" s="308"/>
      <c r="Y32" s="318"/>
      <c r="Z32" s="246">
        <f t="shared" si="0"/>
        <v>0</v>
      </c>
      <c r="AA32" s="320"/>
      <c r="AB32" s="320"/>
      <c r="AC32" s="296">
        <f>SUMIF(四面弹库存!B:B,圆机计划单汇总!A32,四面弹库存!F:F)</f>
        <v>172</v>
      </c>
    </row>
    <row r="33" spans="1:29" ht="18" customHeight="1">
      <c r="A33" s="194" t="s">
        <v>1170</v>
      </c>
      <c r="B33" s="321"/>
      <c r="C33" s="326"/>
      <c r="D33" s="323"/>
      <c r="E33" s="312"/>
      <c r="F33" s="324"/>
      <c r="G33" s="323"/>
      <c r="H33" s="202">
        <v>33</v>
      </c>
      <c r="I33" s="202">
        <v>158</v>
      </c>
      <c r="J33" s="205" t="s">
        <v>177</v>
      </c>
      <c r="K33" s="194" t="s">
        <v>2</v>
      </c>
      <c r="L33" s="248"/>
      <c r="M33" s="202" t="str">
        <f t="array" ref="M33">SUBSTITUTE(L33,N33,"")</f>
        <v/>
      </c>
      <c r="N33" s="247" t="str">
        <f t="array" ref="N33">LEFT(L33,MIN(FIND({"A","B","C"},MID(L33,2,LEN(L33))&amp;"ABC")))</f>
        <v/>
      </c>
      <c r="O33" s="247" t="str">
        <f t="array" ref="O33">IF(L33="","",INDEX(plan!$A:$F,MATCH(A33&amp;L33,plan!$A$2:$A$19999&amp;plan!$L$2:$L$19999,0)+1,MATCH(plan!$F$1,plan!$A$1:$F$1,0)))</f>
        <v/>
      </c>
      <c r="P33" s="219" t="str">
        <f t="array" ref="P33">IF(L33="","",INDEX(plan!$A:$O,MATCH(A33&amp;L33,plan!$A$2:$A$19999&amp;plan!$L$2:$L$19999,0)+1,MATCH(plan!$O$1,plan!$A$1:$O$1,0)))</f>
        <v/>
      </c>
      <c r="Q33" s="219" t="str">
        <f t="array" ref="Q33">IF(L33="","",IF(INDEX(plan!$A:$Q,MATCH(A33&amp;L33,plan!$A$2:$A$1984&amp;plan!$L$2:$L$1984,0)+1,MATCH(plan!$Q$1,plan!$A$1:$Q$1,0))&gt;0,INDEX(plan!$A:$Q,MATCH(A33&amp;L33,plan!$A$2:$A$1984&amp;plan!$L$2:$L$1984,0)+1,MATCH(plan!$Q$1,plan!$A$1:$Q$1,0)),""))</f>
        <v/>
      </c>
      <c r="R33" s="219" t="str">
        <f t="array" ref="R33">IF(L33="","",IF(INDEX(plan!$A:$S,MATCH(A33&amp;L33,plan!$A$2:$A$1984&amp;plan!$L$2:$L$1984,0)+1,MATCH(plan!$S$1,plan!$A$1:$S$1,0))&gt;0,INDEX(plan!$A:$S,MATCH(A33&amp;L33,plan!$A$2:$A$1984&amp;plan!$L$2:$L$1984,0)+1,MATCH(plan!$S$1,plan!$A$1:$S$1,0)),""))</f>
        <v/>
      </c>
      <c r="S33" s="202" t="str">
        <f>IF(L33="","",SUMIFS(plan!$I:$I,plan!$A:$A,圆机计划单汇总!$A33,plan!$L:$L,圆机计划单汇总!L33))</f>
        <v/>
      </c>
      <c r="T33" s="213" t="str">
        <f>IF(L33="","",SUMIFS(plan!$X:$X,plan!$A:$A,圆机计划单汇总!$A33,plan!$L:$L,圆机计划单汇总!L33))</f>
        <v/>
      </c>
      <c r="U33" s="183" t="str">
        <f>IF(L33="","",SUMIFS(plan!$Y:$Y,plan!$A:$A,圆机计划单汇总!$A33,plan!$L:$L,圆机计划单汇总!L33))</f>
        <v/>
      </c>
      <c r="V33" s="247" t="str">
        <f>IF(S33="","",SUMIFS(plan!$AB:$AB,plan!$A:$A,圆机计划单汇总!A33,plan!$L:$L,圆机计划单汇总!L33))</f>
        <v/>
      </c>
      <c r="W33" s="208"/>
      <c r="X33" s="308"/>
      <c r="Y33" s="318"/>
      <c r="Z33" s="246" t="str">
        <f t="shared" si="0"/>
        <v/>
      </c>
      <c r="AA33" s="320"/>
      <c r="AB33" s="320"/>
      <c r="AC33" s="296">
        <f>SUMIF(四面弹库存!B:B,圆机计划单汇总!A33,四面弹库存!F:F)</f>
        <v>172</v>
      </c>
    </row>
    <row r="34" spans="1:29" ht="18" customHeight="1">
      <c r="A34" s="194" t="s">
        <v>1170</v>
      </c>
      <c r="B34" s="321"/>
      <c r="C34" s="326"/>
      <c r="D34" s="323"/>
      <c r="E34" s="312"/>
      <c r="F34" s="324"/>
      <c r="G34" s="323"/>
      <c r="H34" s="202">
        <v>33</v>
      </c>
      <c r="I34" s="202">
        <v>158</v>
      </c>
      <c r="J34" s="205" t="s">
        <v>177</v>
      </c>
      <c r="K34" s="194" t="s">
        <v>2</v>
      </c>
      <c r="L34" s="248"/>
      <c r="M34" s="202" t="str">
        <f t="array" ref="M34">SUBSTITUTE(L34,N34,"")</f>
        <v/>
      </c>
      <c r="N34" s="247" t="str">
        <f t="array" ref="N34">LEFT(L34,MIN(FIND({"A","B","C"},MID(L34,2,LEN(L34))&amp;"ABC")))</f>
        <v/>
      </c>
      <c r="O34" s="247" t="str">
        <f t="array" ref="O34">IF(L34="","",INDEX(plan!$A:$F,MATCH(A34&amp;L34,plan!$A$2:$A$19999&amp;plan!$L$2:$L$19999,0)+1,MATCH(plan!$F$1,plan!$A$1:$F$1,0)))</f>
        <v/>
      </c>
      <c r="P34" s="219" t="str">
        <f t="array" ref="P34">IF(L34="","",INDEX(plan!$A:$O,MATCH(A34&amp;L34,plan!$A$2:$A$19999&amp;plan!$L$2:$L$19999,0)+1,MATCH(plan!$O$1,plan!$A$1:$O$1,0)))</f>
        <v/>
      </c>
      <c r="Q34" s="219" t="str">
        <f t="array" ref="Q34">IF(L34="","",IF(INDEX(plan!$A:$Q,MATCH(A34&amp;L34,plan!$A$2:$A$1984&amp;plan!$L$2:$L$1984,0)+1,MATCH(plan!$Q$1,plan!$A$1:$Q$1,0))&gt;0,INDEX(plan!$A:$Q,MATCH(A34&amp;L34,plan!$A$2:$A$1984&amp;plan!$L$2:$L$1984,0)+1,MATCH(plan!$Q$1,plan!$A$1:$Q$1,0)),""))</f>
        <v/>
      </c>
      <c r="R34" s="219" t="str">
        <f t="array" ref="R34">IF(L34="","",IF(INDEX(plan!$A:$S,MATCH(A34&amp;L34,plan!$A$2:$A$1984&amp;plan!$L$2:$L$1984,0)+1,MATCH(plan!$S$1,plan!$A$1:$S$1,0))&gt;0,INDEX(plan!$A:$S,MATCH(A34&amp;L34,plan!$A$2:$A$1984&amp;plan!$L$2:$L$1984,0)+1,MATCH(plan!$S$1,plan!$A$1:$S$1,0)),""))</f>
        <v/>
      </c>
      <c r="S34" s="202" t="str">
        <f>IF(L34="","",SUMIFS(plan!$I:$I,plan!$A:$A,圆机计划单汇总!$A34,plan!$L:$L,圆机计划单汇总!L34))</f>
        <v/>
      </c>
      <c r="T34" s="213" t="str">
        <f>IF(L34="","",SUMIFS(plan!$X:$X,plan!$A:$A,圆机计划单汇总!$A34,plan!$L:$L,圆机计划单汇总!L34))</f>
        <v/>
      </c>
      <c r="U34" s="183" t="str">
        <f>IF(L34="","",SUMIFS(plan!$Y:$Y,plan!$A:$A,圆机计划单汇总!$A34,plan!$L:$L,圆机计划单汇总!L34))</f>
        <v/>
      </c>
      <c r="V34" s="247" t="str">
        <f>IF(S34="","",SUMIFS(plan!$AB:$AB,plan!$A:$A,圆机计划单汇总!A34,plan!$L:$L,圆机计划单汇总!L34))</f>
        <v/>
      </c>
      <c r="W34" s="208"/>
      <c r="X34" s="308"/>
      <c r="Y34" s="318"/>
      <c r="Z34" s="246" t="str">
        <f t="shared" si="0"/>
        <v/>
      </c>
      <c r="AA34" s="320"/>
      <c r="AB34" s="320"/>
      <c r="AC34" s="296"/>
    </row>
    <row r="35" spans="1:29" ht="18" customHeight="1">
      <c r="A35" s="194" t="s">
        <v>1170</v>
      </c>
      <c r="B35" s="321"/>
      <c r="C35" s="326"/>
      <c r="D35" s="323"/>
      <c r="E35" s="312"/>
      <c r="F35" s="324"/>
      <c r="G35" s="323"/>
      <c r="H35" s="202">
        <v>33</v>
      </c>
      <c r="I35" s="202">
        <v>158</v>
      </c>
      <c r="J35" s="205" t="s">
        <v>177</v>
      </c>
      <c r="K35" s="194" t="s">
        <v>2</v>
      </c>
      <c r="L35" s="248"/>
      <c r="M35" s="202" t="str">
        <f>SUBSTITUTE(L35,N35,"")</f>
        <v/>
      </c>
      <c r="N35" s="247" t="str">
        <f t="array" ref="N35">LEFT(L35,MIN(FIND({"A","B","C"},MID(L35,2,LEN(L35))&amp;"ABC")))</f>
        <v/>
      </c>
      <c r="O35" s="247" t="str">
        <f t="array" ref="O35">IF(L35="","",INDEX(plan!$A:$F,MATCH(A35&amp;L35,plan!$A$2:$A$19999&amp;plan!$L$2:$L$19999,0)+1,MATCH(plan!$F$1,plan!$A$1:$F$1,0)))</f>
        <v/>
      </c>
      <c r="P35" s="219" t="str">
        <f t="array" ref="P35">IF(L35="","",INDEX(plan!$A:$O,MATCH(A35&amp;L35,plan!$A$2:$A$19999&amp;plan!$L$2:$L$19999,0)+1,MATCH(plan!$O$1,plan!$A$1:$O$1,0)))</f>
        <v/>
      </c>
      <c r="Q35" s="219" t="str">
        <f t="array" ref="Q35">IF(L35="","",IF(INDEX(plan!$A:$Q,MATCH(A35&amp;L35,plan!$A$2:$A$1984&amp;plan!$L$2:$L$1984,0)+1,MATCH(plan!$Q$1,plan!$A$1:$Q$1,0))&gt;0,INDEX(plan!$A:$Q,MATCH(A35&amp;L35,plan!$A$2:$A$1984&amp;plan!$L$2:$L$1984,0)+1,MATCH(plan!$Q$1,plan!$A$1:$Q$1,0)),""))</f>
        <v/>
      </c>
      <c r="R35" s="219" t="str">
        <f t="array" ref="R35">IF(L35="","",IF(INDEX(plan!$A:$S,MATCH(A35&amp;L35,plan!$A$2:$A$1984&amp;plan!$L$2:$L$1984,0)+1,MATCH(plan!$S$1,plan!$A$1:$S$1,0))&gt;0,INDEX(plan!$A:$S,MATCH(A35&amp;L35,plan!$A$2:$A$1984&amp;plan!$L$2:$L$1984,0)+1,MATCH(plan!$S$1,plan!$A$1:$S$1,0)),""))</f>
        <v/>
      </c>
      <c r="S35" s="202" t="str">
        <f>IF(L35="","",SUMIFS(plan!$I:$I,plan!$A:$A,圆机计划单汇总!$A35,plan!$L:$L,圆机计划单汇总!L35))</f>
        <v/>
      </c>
      <c r="T35" s="213" t="str">
        <f>IF(L35="","",SUMIFS(plan!$X:$X,plan!$A:$A,圆机计划单汇总!$A35,plan!$L:$L,圆机计划单汇总!L35))</f>
        <v/>
      </c>
      <c r="U35" s="183" t="str">
        <f>IF(L35="","",SUMIFS(plan!$Y:$Y,plan!$A:$A,圆机计划单汇总!$A35,plan!$L:$L,圆机计划单汇总!L35))</f>
        <v/>
      </c>
      <c r="V35" s="247" t="str">
        <f>IF(S35="","",SUMIFS(plan!$AB:$AB,plan!$A:$A,圆机计划单汇总!A35,plan!$L:$L,圆机计划单汇总!L35))</f>
        <v/>
      </c>
      <c r="W35" s="208"/>
      <c r="X35" s="308"/>
      <c r="Y35" s="318"/>
      <c r="Z35" s="246" t="str">
        <f t="shared" si="0"/>
        <v/>
      </c>
      <c r="AA35" s="320"/>
      <c r="AB35" s="320"/>
      <c r="AC35" s="296"/>
    </row>
    <row r="36" spans="1:29" ht="18" customHeight="1">
      <c r="A36" s="194"/>
      <c r="B36" s="321"/>
      <c r="C36" s="326"/>
      <c r="D36" s="323"/>
      <c r="E36" s="306"/>
      <c r="F36" s="324"/>
      <c r="G36" s="323"/>
      <c r="H36" s="202">
        <v>33</v>
      </c>
      <c r="I36" s="202">
        <v>158</v>
      </c>
      <c r="J36" s="205" t="s">
        <v>177</v>
      </c>
      <c r="K36" s="194" t="s">
        <v>2</v>
      </c>
      <c r="L36" s="248"/>
      <c r="M36" s="202"/>
      <c r="N36" s="247" t="str">
        <f t="array" ref="N36">LEFT(L36,MIN(FIND({"A","B","C"},MID(L36,2,LEN(L36))&amp;"ABC")))</f>
        <v/>
      </c>
      <c r="O36" s="247" t="str">
        <f t="array" ref="O36">IF(L36="","",INDEX(plan!$A:$F,MATCH(A36&amp;L36,plan!$A$2:$A$19999&amp;plan!$L$2:$L$19999,0)+1,MATCH(plan!$F$1,plan!$A$1:$F$1,0)))</f>
        <v/>
      </c>
      <c r="P36" s="219" t="str">
        <f t="array" ref="P36">IF(L36="","",INDEX(plan!$A:$O,MATCH(A36&amp;L36,plan!$A$2:$A$19999&amp;plan!$L$2:$L$19999,0)+1,MATCH(plan!$O$1,plan!$A$1:$O$1,0)))</f>
        <v/>
      </c>
      <c r="Q36" s="219" t="str">
        <f t="array" ref="Q36">IF(L36="","",IF(INDEX(plan!$A:$Q,MATCH(A36&amp;L36,plan!$A$2:$A$1984&amp;plan!$L$2:$L$1984,0)+1,MATCH(plan!$Q$1,plan!$A$1:$Q$1,0))&gt;0,INDEX(plan!$A:$Q,MATCH(A36&amp;L36,plan!$A$2:$A$1984&amp;plan!$L$2:$L$1984,0)+1,MATCH(plan!$Q$1,plan!$A$1:$Q$1,0)),""))</f>
        <v/>
      </c>
      <c r="R36" s="219" t="str">
        <f t="array" ref="R36">IF(L36="","",IF(INDEX(plan!$A:$S,MATCH(A36&amp;L36,plan!$A$2:$A$1984&amp;plan!$L$2:$L$1984,0)+1,MATCH(plan!$S$1,plan!$A$1:$S$1,0))&gt;0,INDEX(plan!$A:$S,MATCH(A36&amp;L36,plan!$A$2:$A$1984&amp;plan!$L$2:$L$1984,0)+1,MATCH(plan!$S$1,plan!$A$1:$S$1,0)),""))</f>
        <v/>
      </c>
      <c r="S36" s="202" t="str">
        <f>IF(L36="","",SUMIFS(plan!$I:$I,plan!$A:$A,圆机计划单汇总!$A36,plan!$L:$L,圆机计划单汇总!L36))</f>
        <v/>
      </c>
      <c r="T36" s="213" t="str">
        <f>IF(L36="","",SUMIFS(plan!$X:$X,plan!$A:$A,圆机计划单汇总!$A36,plan!$L:$L,圆机计划单汇总!L36))</f>
        <v/>
      </c>
      <c r="U36" s="183" t="str">
        <f>IF(L36="","",SUMIFS(plan!$Y:$Y,plan!$A:$A,圆机计划单汇总!$A36,plan!$L:$L,圆机计划单汇总!L36))</f>
        <v/>
      </c>
      <c r="V36" s="247" t="str">
        <f>IF(S36="","",SUMIFS(plan!$AB:$AB,plan!$A:$A,圆机计划单汇总!A36,plan!$L:$L,圆机计划单汇总!L36))</f>
        <v/>
      </c>
      <c r="W36" s="208"/>
      <c r="X36" s="309"/>
      <c r="Y36" s="319"/>
      <c r="Z36" s="246" t="str">
        <f t="shared" si="0"/>
        <v/>
      </c>
      <c r="AA36" s="314"/>
      <c r="AB36" s="314"/>
      <c r="AC36" s="297"/>
    </row>
    <row r="37" spans="1:29" ht="18" customHeight="1">
      <c r="A37" s="202" t="s">
        <v>125</v>
      </c>
      <c r="B37" s="321"/>
      <c r="C37" s="295">
        <v>50</v>
      </c>
      <c r="D37" s="323">
        <f>SUMIF(yuanjicode,圆机计划单汇总!A37,yuanjinumber)</f>
        <v>12</v>
      </c>
      <c r="E37" s="305">
        <v>4</v>
      </c>
      <c r="F37" s="324" t="s">
        <v>49</v>
      </c>
      <c r="G37" s="323">
        <v>35</v>
      </c>
      <c r="H37" s="202">
        <v>33</v>
      </c>
      <c r="I37" s="202">
        <v>159</v>
      </c>
      <c r="J37" s="205" t="s">
        <v>1498</v>
      </c>
      <c r="K37" s="194" t="s">
        <v>1513</v>
      </c>
      <c r="L37" s="248" t="s">
        <v>1505</v>
      </c>
      <c r="M37" s="202" t="str">
        <f t="array" ref="M37">SUBSTITUTE(L37,N37,"")</f>
        <v>C384</v>
      </c>
      <c r="N37" s="247" t="str">
        <f t="array" ref="N37">LEFT(L37,MIN(FIND({"A","B","C"},MID(L37,2,LEN(L37))&amp;"ABC")))</f>
        <v>XSD</v>
      </c>
      <c r="O37" s="247" t="str">
        <f t="array" ref="O37">IF(L37="","",INDEX(plan!$A:$F,MATCH(A37&amp;L37,plan!$A$2:$A$19999&amp;plan!$L$2:$L$19999,0)+1,MATCH(plan!$F$1,plan!$A$1:$F$1,0)))</f>
        <v>A</v>
      </c>
      <c r="P37" s="219">
        <f t="array" ref="P37">IF(L37="","",INDEX(plan!$A:$O,MATCH(A37&amp;L37,plan!$A$2:$A$19999&amp;plan!$L$2:$L$19999,0)+1,MATCH(plan!$O$1,plan!$A$1:$O$1,0)))</f>
        <v>43749</v>
      </c>
      <c r="Q37" s="219" t="str">
        <f t="array" ref="Q37">IF(L37="","",IF(INDEX(plan!$A:$Q,MATCH(A37&amp;L37,plan!$A$2:$A$1984&amp;plan!$L$2:$L$1984,0)+1,MATCH(plan!$Q$1,plan!$A$1:$Q$1,0))&gt;0,INDEX(plan!$A:$Q,MATCH(A37&amp;L37,plan!$A$2:$A$1984&amp;plan!$L$2:$L$1984,0)+1,MATCH(plan!$Q$1,plan!$A$1:$Q$1,0)),""))</f>
        <v/>
      </c>
      <c r="R37" s="219" t="str">
        <f t="array" ref="R37">IF(L37="","",IF(INDEX(plan!$A:$S,MATCH(A37&amp;L37,plan!$A$2:$A$1984&amp;plan!$L$2:$L$1984,0)+1,MATCH(plan!$S$1,plan!$A$1:$S$1,0))&gt;0,INDEX(plan!$A:$S,MATCH(A37&amp;L37,plan!$A$2:$A$1984&amp;plan!$L$2:$L$1984,0)+1,MATCH(plan!$S$1,plan!$A$1:$S$1,0)),""))</f>
        <v/>
      </c>
      <c r="S37" s="202">
        <f>IF(L37="","",SUMIFS(plan!$I:$I,plan!$A:$A,圆机计划单汇总!$A37,plan!$L:$L,圆机计划单汇总!L37))</f>
        <v>20000</v>
      </c>
      <c r="T37" s="213">
        <f>IF(L37="","",SUMIFS(plan!$X:$X,plan!$A:$A,圆机计划单汇总!$A37,plan!$L:$L,圆机计划单汇总!L37))</f>
        <v>817.2913385826771</v>
      </c>
      <c r="U37" s="183">
        <f>IF(L37="","",SUMIFS(plan!$Y:$Y,plan!$A:$A,圆机计划单汇总!$A37,plan!$L:$L,圆机计划单汇总!L37))</f>
        <v>37.149606299212593</v>
      </c>
      <c r="V37" s="247">
        <f>IF(S37="","",SUMIFS(plan!$AB:$AB,plan!$A:$A,圆机计划单汇总!A37,plan!$L:$L,圆机计划单汇总!L37))</f>
        <v>16</v>
      </c>
      <c r="W37" s="208"/>
      <c r="X37" s="307">
        <f>IF(L37="","",IF($X$1="坯布需求合计(Kg)",SUMIF(A:A,A37,T:T),SUMIF(A:A,A37,U:U)))</f>
        <v>15820.91601049869</v>
      </c>
      <c r="Y37" s="317">
        <f>X37-AB37</f>
        <v>15252.716010498689</v>
      </c>
      <c r="Z37" s="246">
        <f t="shared" si="0"/>
        <v>1056</v>
      </c>
      <c r="AA37" s="315">
        <f>Y37/Z37</f>
        <v>14.443859858426789</v>
      </c>
      <c r="AB37" s="301">
        <f>SUMIF(四面弹库存!B:B,圆机计划单汇总!A37,四面弹库存!E:E)</f>
        <v>568.20000000000005</v>
      </c>
      <c r="AC37" s="305">
        <f>SUMIF(四面弹库存!B:B,圆机计划单汇总!A37,四面弹库存!F:F)</f>
        <v>26</v>
      </c>
    </row>
    <row r="38" spans="1:29" ht="18" customHeight="1">
      <c r="A38" s="202" t="s">
        <v>125</v>
      </c>
      <c r="B38" s="321"/>
      <c r="C38" s="296"/>
      <c r="D38" s="323"/>
      <c r="E38" s="312"/>
      <c r="F38" s="324"/>
      <c r="G38" s="323"/>
      <c r="H38" s="202">
        <v>33</v>
      </c>
      <c r="I38" s="202">
        <v>159</v>
      </c>
      <c r="J38" s="205" t="s">
        <v>968</v>
      </c>
      <c r="K38" s="194" t="s">
        <v>1513</v>
      </c>
      <c r="L38" s="248" t="s">
        <v>1507</v>
      </c>
      <c r="M38" s="202" t="str">
        <f t="array" ref="M38">SUBSTITUTE(L38,N38,"")</f>
        <v>B518</v>
      </c>
      <c r="N38" s="247" t="str">
        <f t="array" ref="N38">LEFT(L38,MIN(FIND({"A","B","C"},MID(L38,2,LEN(L38))&amp;"ABC")))</f>
        <v>A21</v>
      </c>
      <c r="O38" s="247" t="str">
        <f t="array" ref="O38">IF(L38="","",INDEX(plan!$A:$F,MATCH(A38&amp;L38,plan!$A$2:$A$19999&amp;plan!$L$2:$L$19999,0)+1,MATCH(plan!$F$1,plan!$A$1:$F$1,0)))</f>
        <v>AA</v>
      </c>
      <c r="P38" s="219">
        <f t="array" ref="P38">IF(L38="","",INDEX(plan!$A:$O,MATCH(A38&amp;L38,plan!$A$2:$A$19999&amp;plan!$L$2:$L$19999,0)+1,MATCH(plan!$O$1,plan!$A$1:$O$1,0)))</f>
        <v>43752</v>
      </c>
      <c r="Q38" s="219" t="str">
        <f t="array" ref="Q38">IF(L38="","",IF(INDEX(plan!$A:$Q,MATCH(A38&amp;L38,plan!$A$2:$A$1984&amp;plan!$L$2:$L$1984,0)+1,MATCH(plan!$Q$1,plan!$A$1:$Q$1,0))&gt;0,INDEX(plan!$A:$Q,MATCH(A38&amp;L38,plan!$A$2:$A$1984&amp;plan!$L$2:$L$1984,0)+1,MATCH(plan!$Q$1,plan!$A$1:$Q$1,0)),""))</f>
        <v/>
      </c>
      <c r="R38" s="219" t="str">
        <f t="array" ref="R38">IF(L38="","",IF(INDEX(plan!$A:$S,MATCH(A38&amp;L38,plan!$A$2:$A$1984&amp;plan!$L$2:$L$1984,0)+1,MATCH(plan!$S$1,plan!$A$1:$S$1,0))&gt;0,INDEX(plan!$A:$S,MATCH(A38&amp;L38,plan!$A$2:$A$1984&amp;plan!$L$2:$L$1984,0)+1,MATCH(plan!$S$1,plan!$A$1:$S$1,0)),""))</f>
        <v/>
      </c>
      <c r="S38" s="202">
        <f>IF(L38="","",SUMIFS(plan!$I:$I,plan!$A:$A,圆机计划单汇总!$A38,plan!$L:$L,圆机计划单汇总!L38))</f>
        <v>40000</v>
      </c>
      <c r="T38" s="213">
        <f>IF(L38="","",SUMIFS(plan!$X:$X,plan!$A:$A,圆机计划单汇总!$A38,plan!$L:$L,圆机计划单汇总!L38))</f>
        <v>322.14698162729712</v>
      </c>
      <c r="U38" s="183">
        <f>IF(L38="","",SUMIFS(plan!$Y:$Y,plan!$A:$A,圆机计划单汇总!$A38,plan!$L:$L,圆机计划单汇总!L38))</f>
        <v>14.643044619422596</v>
      </c>
      <c r="V38" s="247">
        <f>IF(S38="","",SUMIFS(plan!$AB:$AB,plan!$A:$A,圆机计划单汇总!A38,plan!$L:$L,圆机计划单汇总!L38))</f>
        <v>91</v>
      </c>
      <c r="W38" s="208"/>
      <c r="X38" s="308"/>
      <c r="Y38" s="318"/>
      <c r="Z38" s="246">
        <f t="shared" si="0"/>
        <v>0</v>
      </c>
      <c r="AA38" s="325"/>
      <c r="AB38" s="311"/>
      <c r="AC38" s="312"/>
    </row>
    <row r="39" spans="1:29" ht="18" customHeight="1">
      <c r="A39" s="202" t="s">
        <v>125</v>
      </c>
      <c r="B39" s="321"/>
      <c r="C39" s="296"/>
      <c r="D39" s="323"/>
      <c r="E39" s="312"/>
      <c r="F39" s="324"/>
      <c r="G39" s="323"/>
      <c r="H39" s="202">
        <v>33</v>
      </c>
      <c r="I39" s="202">
        <v>158</v>
      </c>
      <c r="J39" s="205" t="s">
        <v>968</v>
      </c>
      <c r="K39" s="194" t="s">
        <v>1513</v>
      </c>
      <c r="L39" s="248" t="s">
        <v>2596</v>
      </c>
      <c r="M39" s="202" t="str">
        <f t="array" ref="M39">SUBSTITUTE(L39,N39,"")</f>
        <v>B558</v>
      </c>
      <c r="N39" s="247" t="str">
        <f t="array" ref="N39">LEFT(L39,MIN(FIND({"A","B","C"},MID(L39,2,LEN(L39))&amp;"ABC")))</f>
        <v>A21</v>
      </c>
      <c r="O39" s="247" t="str">
        <f t="array" ref="O39">IF(L39="","",INDEX(plan!$A:$F,MATCH(A39&amp;L39,plan!$A$2:$A$19999&amp;plan!$L$2:$L$19999,0)+1,MATCH(plan!$F$1,plan!$A$1:$F$1,0)))</f>
        <v>AA</v>
      </c>
      <c r="P39" s="219">
        <f t="array" ref="P39">IF(L39="","",INDEX(plan!$A:$O,MATCH(A39&amp;L39,plan!$A$2:$A$19999&amp;plan!$L$2:$L$19999,0)+1,MATCH(plan!$O$1,plan!$A$1:$O$1,0)))</f>
        <v>43767</v>
      </c>
      <c r="Q39" s="219" t="str">
        <f t="array" ref="Q39">IF(L39="","",IF(INDEX(plan!$A:$Q,MATCH(A39&amp;L39,plan!$A$2:$A$1984&amp;plan!$L$2:$L$1984,0)+1,MATCH(plan!$Q$1,plan!$A$1:$Q$1,0))&gt;0,INDEX(plan!$A:$Q,MATCH(A39&amp;L39,plan!$A$2:$A$1984&amp;plan!$L$2:$L$1984,0)+1,MATCH(plan!$Q$1,plan!$A$1:$Q$1,0)),""))</f>
        <v/>
      </c>
      <c r="R39" s="219" t="str">
        <f t="array" ref="R39">IF(L39="","",IF(INDEX(plan!$A:$S,MATCH(A39&amp;L39,plan!$A$2:$A$1984&amp;plan!$L$2:$L$1984,0)+1,MATCH(plan!$S$1,plan!$A$1:$S$1,0))&gt;0,INDEX(plan!$A:$S,MATCH(A39&amp;L39,plan!$A$2:$A$1984&amp;plan!$L$2:$L$1984,0)+1,MATCH(plan!$S$1,plan!$A$1:$S$1,0)),""))</f>
        <v/>
      </c>
      <c r="S39" s="202">
        <f>IF(L39="","",SUMIFS(plan!$I:$I,plan!$A:$A,圆机计划单汇总!$A39,plan!$L:$L,圆机计划单汇总!L39))</f>
        <v>50000</v>
      </c>
      <c r="T39" s="213">
        <f>IF(L39="","",SUMIFS(plan!$X:$X,plan!$A:$A,圆机计划单汇总!$A39,plan!$L:$L,圆机计划单汇总!L39))</f>
        <v>2905.1837270341211</v>
      </c>
      <c r="U39" s="183">
        <f>IF(L39="","",SUMIFS(plan!$Y:$Y,plan!$A:$A,圆机计划单汇总!$A39,plan!$L:$L,圆机计划单汇总!L39))</f>
        <v>132.05380577427823</v>
      </c>
      <c r="V39" s="247">
        <f>IF(S39="","",SUMIFS(plan!$AB:$AB,plan!$A:$A,圆机计划单汇总!A39,plan!$L:$L,圆机计划单汇总!L39))</f>
        <v>0</v>
      </c>
      <c r="W39" s="208"/>
      <c r="X39" s="308"/>
      <c r="Y39" s="318"/>
      <c r="Z39" s="246">
        <f t="shared" si="0"/>
        <v>0</v>
      </c>
      <c r="AA39" s="325"/>
      <c r="AB39" s="311"/>
      <c r="AC39" s="312"/>
    </row>
    <row r="40" spans="1:29" ht="18" customHeight="1">
      <c r="A40" s="202" t="s">
        <v>125</v>
      </c>
      <c r="B40" s="321"/>
      <c r="C40" s="296"/>
      <c r="D40" s="323"/>
      <c r="E40" s="312"/>
      <c r="F40" s="324"/>
      <c r="G40" s="323"/>
      <c r="H40" s="202">
        <v>33</v>
      </c>
      <c r="I40" s="202">
        <v>158</v>
      </c>
      <c r="J40" s="205" t="s">
        <v>968</v>
      </c>
      <c r="K40" s="194" t="s">
        <v>1513</v>
      </c>
      <c r="L40" s="248" t="s">
        <v>1655</v>
      </c>
      <c r="M40" s="202" t="str">
        <f t="array" ref="M40">SUBSTITUTE(L40,N40,"")</f>
        <v>B535</v>
      </c>
      <c r="N40" s="247" t="str">
        <f t="array" ref="N40">LEFT(L40,MIN(FIND({"A","B","C"},MID(L40,2,LEN(L40))&amp;"ABC")))</f>
        <v>A45</v>
      </c>
      <c r="O40" s="247" t="str">
        <f t="array" ref="O40">IF(L40="","",INDEX(plan!$A:$F,MATCH(A40&amp;L40,plan!$A$2:$A$19999&amp;plan!$L$2:$L$19999,0)+1,MATCH(plan!$F$1,plan!$A$1:$F$1,0)))</f>
        <v>AA</v>
      </c>
      <c r="P40" s="219">
        <f t="array" ref="P40">IF(L40="","",INDEX(plan!$A:$O,MATCH(A40&amp;L40,plan!$A$2:$A$19999&amp;plan!$L$2:$L$19999,0)+1,MATCH(plan!$O$1,plan!$A$1:$O$1,0)))</f>
        <v>43759</v>
      </c>
      <c r="Q40" s="219">
        <f t="array" ref="Q40">IF(L40="","",IF(INDEX(plan!$A:$Q,MATCH(A40&amp;L40,plan!$A$2:$A$1984&amp;plan!$L$2:$L$1984,0)+1,MATCH(plan!$Q$1,plan!$A$1:$Q$1,0))&gt;0,INDEX(plan!$A:$Q,MATCH(A40&amp;L40,plan!$A$2:$A$1984&amp;plan!$L$2:$L$1984,0)+1,MATCH(plan!$Q$1,plan!$A$1:$Q$1,0)),""))</f>
        <v>43763</v>
      </c>
      <c r="R40" s="219" t="str">
        <f t="array" ref="R40">IF(L40="","",IF(INDEX(plan!$A:$S,MATCH(A40&amp;L40,plan!$A$2:$A$1984&amp;plan!$L$2:$L$1984,0)+1,MATCH(plan!$S$1,plan!$A$1:$S$1,0))&gt;0,INDEX(plan!$A:$S,MATCH(A40&amp;L40,plan!$A$2:$A$1984&amp;plan!$L$2:$L$1984,0)+1,MATCH(plan!$S$1,plan!$A$1:$S$1,0)),""))</f>
        <v/>
      </c>
      <c r="S40" s="202">
        <f>IF(L40="","",SUMIFS(plan!$I:$I,plan!$A:$A,圆机计划单汇总!$A40,plan!$L:$L,圆机计划单汇总!L40))</f>
        <v>34000</v>
      </c>
      <c r="T40" s="213">
        <f>IF(L40="","",SUMIFS(plan!$X:$X,plan!$A:$A,圆机计划单汇总!$A40,plan!$L:$L,圆机计划单汇总!L40))</f>
        <v>1963.2545931758532</v>
      </c>
      <c r="U40" s="183">
        <f>IF(L40="","",SUMIFS(plan!$Y:$Y,plan!$A:$A,圆机计划单汇总!$A40,plan!$L:$L,圆机计划单汇总!L40))</f>
        <v>89.238845144356958</v>
      </c>
      <c r="V40" s="247">
        <f>IF(S40="","",SUMIFS(plan!$AB:$AB,plan!$A:$A,圆机计划单汇总!A40,plan!$L:$L,圆机计划单汇总!L40))</f>
        <v>0</v>
      </c>
      <c r="W40" s="208"/>
      <c r="X40" s="308"/>
      <c r="Y40" s="318"/>
      <c r="Z40" s="246">
        <f t="shared" si="0"/>
        <v>0</v>
      </c>
      <c r="AA40" s="325"/>
      <c r="AB40" s="311"/>
      <c r="AC40" s="312"/>
    </row>
    <row r="41" spans="1:29" ht="18" customHeight="1">
      <c r="A41" s="202" t="s">
        <v>125</v>
      </c>
      <c r="B41" s="321"/>
      <c r="C41" s="296"/>
      <c r="D41" s="323"/>
      <c r="E41" s="312"/>
      <c r="F41" s="324"/>
      <c r="G41" s="323"/>
      <c r="H41" s="202">
        <v>33</v>
      </c>
      <c r="I41" s="202">
        <v>156</v>
      </c>
      <c r="J41" s="205" t="s">
        <v>968</v>
      </c>
      <c r="K41" s="194" t="s">
        <v>1513</v>
      </c>
      <c r="L41" s="248" t="s">
        <v>2256</v>
      </c>
      <c r="M41" s="202" t="str">
        <f t="array" ref="M41">SUBSTITUTE(L41,N41,"")</f>
        <v>B549</v>
      </c>
      <c r="N41" s="247" t="str">
        <f t="array" ref="N41">LEFT(L41,MIN(FIND({"A","B","C"},MID(L41,2,LEN(L41))&amp;"ABC")))</f>
        <v>A10</v>
      </c>
      <c r="O41" s="247" t="str">
        <f t="array" ref="O41">IF(L41="","",INDEX(plan!$A:$F,MATCH(A41&amp;L41,plan!$A$2:$A$19999&amp;plan!$L$2:$L$19999,0)+1,MATCH(plan!$F$1,plan!$A$1:$F$1,0)))</f>
        <v>AA</v>
      </c>
      <c r="P41" s="219">
        <f t="array" ref="P41">IF(L41="","",INDEX(plan!$A:$O,MATCH(A41&amp;L41,plan!$A$2:$A$19999&amp;plan!$L$2:$L$19999,0)+1,MATCH(plan!$O$1,plan!$A$1:$O$1,0)))</f>
        <v>43762</v>
      </c>
      <c r="Q41" s="219" t="str">
        <f t="array" ref="Q41">IF(L41="","",IF(INDEX(plan!$A:$Q,MATCH(A41&amp;L41,plan!$A$2:$A$1984&amp;plan!$L$2:$L$1984,0)+1,MATCH(plan!$Q$1,plan!$A$1:$Q$1,0))&gt;0,INDEX(plan!$A:$Q,MATCH(A41&amp;L41,plan!$A$2:$A$1984&amp;plan!$L$2:$L$1984,0)+1,MATCH(plan!$Q$1,plan!$A$1:$Q$1,0)),""))</f>
        <v/>
      </c>
      <c r="R41" s="219" t="str">
        <f t="array" ref="R41">IF(L41="","",IF(INDEX(plan!$A:$S,MATCH(A41&amp;L41,plan!$A$2:$A$1984&amp;plan!$L$2:$L$1984,0)+1,MATCH(plan!$S$1,plan!$A$1:$S$1,0))&gt;0,INDEX(plan!$A:$S,MATCH(A41&amp;L41,plan!$A$2:$A$1984&amp;plan!$L$2:$L$1984,0)+1,MATCH(plan!$S$1,plan!$A$1:$S$1,0)),""))</f>
        <v/>
      </c>
      <c r="S41" s="202">
        <f>IF(L41="","",SUMIFS(plan!$I:$I,plan!$A:$A,圆机计划单汇总!$A41,plan!$L:$L,圆机计划单汇总!L41))</f>
        <v>30000</v>
      </c>
      <c r="T41" s="213">
        <f>IF(L41="","",SUMIFS(plan!$X:$X,plan!$A:$A,圆机计划单汇总!$A41,plan!$L:$L,圆机计划单汇总!L41))</f>
        <v>1732.2834645669293</v>
      </c>
      <c r="U41" s="183">
        <f>IF(L41="","",SUMIFS(plan!$Y:$Y,plan!$A:$A,圆机计划单汇总!$A41,plan!$L:$L,圆机计划单汇总!L41))</f>
        <v>78.740157480314963</v>
      </c>
      <c r="V41" s="247">
        <f>IF(S41="","",SUMIFS(plan!$AB:$AB,plan!$A:$A,圆机计划单汇总!A41,plan!$L:$L,圆机计划单汇总!L41))</f>
        <v>0</v>
      </c>
      <c r="W41" s="208"/>
      <c r="X41" s="308"/>
      <c r="Y41" s="318"/>
      <c r="Z41" s="246">
        <f t="shared" si="0"/>
        <v>0</v>
      </c>
      <c r="AA41" s="325"/>
      <c r="AB41" s="311"/>
      <c r="AC41" s="312"/>
    </row>
    <row r="42" spans="1:29" ht="18" customHeight="1">
      <c r="A42" s="202" t="s">
        <v>125</v>
      </c>
      <c r="B42" s="321"/>
      <c r="C42" s="296"/>
      <c r="D42" s="323"/>
      <c r="E42" s="312"/>
      <c r="F42" s="324"/>
      <c r="G42" s="323"/>
      <c r="H42" s="202">
        <v>33</v>
      </c>
      <c r="I42" s="202">
        <v>158</v>
      </c>
      <c r="J42" s="205" t="s">
        <v>968</v>
      </c>
      <c r="K42" s="194" t="s">
        <v>1513</v>
      </c>
      <c r="L42" s="248" t="s">
        <v>2289</v>
      </c>
      <c r="M42" s="202" t="str">
        <f t="array" ref="M42">SUBSTITUTE(L42,N42,"")</f>
        <v>B552</v>
      </c>
      <c r="N42" s="247" t="str">
        <f t="array" ref="N42">LEFT(L42,MIN(FIND({"A","B","C"},MID(L42,2,LEN(L42))&amp;"ABC")))</f>
        <v>A94</v>
      </c>
      <c r="O42" s="247" t="str">
        <f t="array" ref="O42">IF(L42="","",INDEX(plan!$A:$F,MATCH(A42&amp;L42,plan!$A$2:$A$19999&amp;plan!$L$2:$L$19999,0)+1,MATCH(plan!$F$1,plan!$A$1:$F$1,0)))</f>
        <v>AAA</v>
      </c>
      <c r="P42" s="219">
        <f t="array" ref="P42">IF(L42="","",INDEX(plan!$A:$O,MATCH(A42&amp;L42,plan!$A$2:$A$19999&amp;plan!$L$2:$L$19999,0)+1,MATCH(plan!$O$1,plan!$A$1:$O$1,0)))</f>
        <v>43763</v>
      </c>
      <c r="Q42" s="219" t="str">
        <f t="array" ref="Q42">IF(L42="","",IF(INDEX(plan!$A:$Q,MATCH(A42&amp;L42,plan!$A$2:$A$1984&amp;plan!$L$2:$L$1984,0)+1,MATCH(plan!$Q$1,plan!$A$1:$Q$1,0))&gt;0,INDEX(plan!$A:$Q,MATCH(A42&amp;L42,plan!$A$2:$A$1984&amp;plan!$L$2:$L$1984,0)+1,MATCH(plan!$Q$1,plan!$A$1:$Q$1,0)),""))</f>
        <v/>
      </c>
      <c r="R42" s="219" t="str">
        <f t="array" ref="R42">IF(L42="","",IF(INDEX(plan!$A:$S,MATCH(A42&amp;L42,plan!$A$2:$A$1984&amp;plan!$L$2:$L$1984,0)+1,MATCH(plan!$S$1,plan!$A$1:$S$1,0))&gt;0,INDEX(plan!$A:$S,MATCH(A42&amp;L42,plan!$A$2:$A$1984&amp;plan!$L$2:$L$1984,0)+1,MATCH(plan!$S$1,plan!$A$1:$S$1,0)),""))</f>
        <v/>
      </c>
      <c r="S42" s="202">
        <f>IF(L42="","",SUMIFS(plan!$I:$I,plan!$A:$A,圆机计划单汇总!$A42,plan!$L:$L,圆机计划单汇总!L42))</f>
        <v>30000</v>
      </c>
      <c r="T42" s="213">
        <f>IF(L42="","",SUMIFS(plan!$X:$X,plan!$A:$A,圆机计划单汇总!$A42,plan!$L:$L,圆机计划单汇总!L42))</f>
        <v>1072.2834645669291</v>
      </c>
      <c r="U42" s="183">
        <f>IF(L42="","",SUMIFS(plan!$Y:$Y,plan!$A:$A,圆机计划单汇总!$A42,plan!$L:$L,圆机计划单汇总!L42))</f>
        <v>48.740157480314963</v>
      </c>
      <c r="V42" s="247">
        <f>IF(S42="","",SUMIFS(plan!$AB:$AB,plan!$A:$A,圆机计划单汇总!A42,plan!$L:$L,圆机计划单汇总!L42))</f>
        <v>30</v>
      </c>
      <c r="W42" s="208"/>
      <c r="X42" s="308"/>
      <c r="Y42" s="318"/>
      <c r="Z42" s="246">
        <f t="shared" si="0"/>
        <v>0</v>
      </c>
      <c r="AA42" s="325"/>
      <c r="AB42" s="311"/>
      <c r="AC42" s="312"/>
    </row>
    <row r="43" spans="1:29" ht="18" customHeight="1">
      <c r="A43" s="202" t="s">
        <v>125</v>
      </c>
      <c r="B43" s="321"/>
      <c r="C43" s="296"/>
      <c r="D43" s="323"/>
      <c r="E43" s="312"/>
      <c r="F43" s="324"/>
      <c r="G43" s="323"/>
      <c r="H43" s="202">
        <v>33</v>
      </c>
      <c r="I43" s="202">
        <v>158</v>
      </c>
      <c r="J43" s="205" t="s">
        <v>968</v>
      </c>
      <c r="K43" s="194" t="s">
        <v>1513</v>
      </c>
      <c r="L43" s="248" t="s">
        <v>2454</v>
      </c>
      <c r="M43" s="202" t="str">
        <f t="array" ref="M43">SUBSTITUTE(L43,N43,"")</f>
        <v>C406</v>
      </c>
      <c r="N43" s="247" t="str">
        <f t="array" ref="N43">LEFT(L43,MIN(FIND({"A","B","C"},MID(L43,2,LEN(L43))&amp;"ABC")))</f>
        <v>A70</v>
      </c>
      <c r="O43" s="247" t="str">
        <f t="array" ref="O43">IF(L43="","",INDEX(plan!$A:$F,MATCH(A43&amp;L43,plan!$A$2:$A$19999&amp;plan!$L$2:$L$19999,0)+1,MATCH(plan!$F$1,plan!$A$1:$F$1,0)))</f>
        <v>A</v>
      </c>
      <c r="P43" s="219">
        <f t="array" ref="P43">IF(L43="","",INDEX(plan!$A:$O,MATCH(A43&amp;L43,plan!$A$2:$A$19999&amp;plan!$L$2:$L$19999,0)+1,MATCH(plan!$O$1,plan!$A$1:$O$1,0)))</f>
        <v>43766</v>
      </c>
      <c r="Q43" s="219" t="str">
        <f t="array" ref="Q43">IF(L43="","",IF(INDEX(plan!$A:$Q,MATCH(A43&amp;L43,plan!$A$2:$A$1984&amp;plan!$L$2:$L$1984,0)+1,MATCH(plan!$Q$1,plan!$A$1:$Q$1,0))&gt;0,INDEX(plan!$A:$Q,MATCH(A43&amp;L43,plan!$A$2:$A$1984&amp;plan!$L$2:$L$1984,0)+1,MATCH(plan!$Q$1,plan!$A$1:$Q$1,0)),""))</f>
        <v/>
      </c>
      <c r="R43" s="219" t="str">
        <f t="array" ref="R43">IF(L43="","",IF(INDEX(plan!$A:$S,MATCH(A43&amp;L43,plan!$A$2:$A$1984&amp;plan!$L$2:$L$1984,0)+1,MATCH(plan!$S$1,plan!$A$1:$S$1,0))&gt;0,INDEX(plan!$A:$S,MATCH(A43&amp;L43,plan!$A$2:$A$1984&amp;plan!$L$2:$L$1984,0)+1,MATCH(plan!$S$1,plan!$A$1:$S$1,0)),""))</f>
        <v/>
      </c>
      <c r="S43" s="202">
        <f>IF(L43="","",SUMIFS(plan!$I:$I,plan!$A:$A,圆机计划单汇总!$A43,plan!$L:$L,圆机计划单汇总!L43))</f>
        <v>50000</v>
      </c>
      <c r="T43" s="213">
        <f>IF(L43="","",SUMIFS(plan!$X:$X,plan!$A:$A,圆机计划单汇总!$A43,plan!$L:$L,圆机计划单汇总!L43))</f>
        <v>2389.049868766404</v>
      </c>
      <c r="U43" s="183">
        <f>IF(L43="","",SUMIFS(plan!$Y:$Y,plan!$A:$A,圆机计划单汇总!$A43,plan!$L:$L,圆机计划单汇总!L43))</f>
        <v>108.59317585301835</v>
      </c>
      <c r="V43" s="247">
        <f>IF(S43="","",SUMIFS(plan!$AB:$AB,plan!$A:$A,圆机计划单汇总!A43,plan!$L:$L,圆机计划单汇总!L43))</f>
        <v>21</v>
      </c>
      <c r="W43" s="208"/>
      <c r="X43" s="308"/>
      <c r="Y43" s="318"/>
      <c r="Z43" s="246">
        <f t="shared" si="0"/>
        <v>0</v>
      </c>
      <c r="AA43" s="325"/>
      <c r="AB43" s="311"/>
      <c r="AC43" s="312"/>
    </row>
    <row r="44" spans="1:29" ht="18" customHeight="1">
      <c r="A44" s="202" t="s">
        <v>125</v>
      </c>
      <c r="B44" s="321"/>
      <c r="C44" s="296"/>
      <c r="D44" s="323"/>
      <c r="E44" s="312"/>
      <c r="F44" s="324"/>
      <c r="G44" s="323"/>
      <c r="H44" s="202">
        <v>33</v>
      </c>
      <c r="I44" s="202">
        <v>158</v>
      </c>
      <c r="J44" s="205" t="s">
        <v>968</v>
      </c>
      <c r="K44" s="194" t="s">
        <v>785</v>
      </c>
      <c r="L44" s="248" t="s">
        <v>3132</v>
      </c>
      <c r="M44" s="202" t="str">
        <f t="array" ref="M44">SUBSTITUTE(L44,N44,"")</f>
        <v>B578</v>
      </c>
      <c r="N44" s="247" t="str">
        <f t="array" ref="N44">LEFT(L44,MIN(FIND({"A","B","C"},MID(L44,2,LEN(L44))&amp;"ABC")))</f>
        <v>A10</v>
      </c>
      <c r="O44" s="247" t="str">
        <f t="array" ref="O44">IF(L44="","",INDEX(plan!$A:$F,MATCH(A44&amp;L44,plan!$A$2:$A$19999&amp;plan!$L$2:$L$19999,0)+1,MATCH(plan!$F$1,plan!$A$1:$F$1,0)))</f>
        <v>AA</v>
      </c>
      <c r="P44" s="219">
        <f t="array" ref="P44">IF(L44="","",INDEX(plan!$A:$O,MATCH(A44&amp;L44,plan!$A$2:$A$19999&amp;plan!$L$2:$L$19999,0)+1,MATCH(plan!$O$1,plan!$A$1:$O$1,0)))</f>
        <v>43775</v>
      </c>
      <c r="Q44" s="219" t="str">
        <f t="array" ref="Q44">IF(L44="","",IF(INDEX(plan!$A:$Q,MATCH(A44&amp;L44,plan!$A$2:$A$1984&amp;plan!$L$2:$L$1984,0)+1,MATCH(plan!$Q$1,plan!$A$1:$Q$1,0))&gt;0,INDEX(plan!$A:$Q,MATCH(A44&amp;L44,plan!$A$2:$A$1984&amp;plan!$L$2:$L$1984,0)+1,MATCH(plan!$Q$1,plan!$A$1:$Q$1,0)),""))</f>
        <v/>
      </c>
      <c r="R44" s="219" t="str">
        <f t="array" ref="R44">IF(L44="","",IF(INDEX(plan!$A:$S,MATCH(A44&amp;L44,plan!$A$2:$A$1984&amp;plan!$L$2:$L$1984,0)+1,MATCH(plan!$S$1,plan!$A$1:$S$1,0))&gt;0,INDEX(plan!$A:$S,MATCH(A44&amp;L44,plan!$A$2:$A$1984&amp;plan!$L$2:$L$1984,0)+1,MATCH(plan!$S$1,plan!$A$1:$S$1,0)),""))</f>
        <v/>
      </c>
      <c r="S44" s="202">
        <f>IF(L44="","",SUMIFS(plan!$I:$I,plan!$A:$A,圆机计划单汇总!$A44,plan!$L:$L,圆机计划单汇总!L44))</f>
        <v>50000</v>
      </c>
      <c r="T44" s="213">
        <f>IF(L44="","",SUMIFS(plan!$X:$X,plan!$A:$A,圆机计划单汇总!$A44,plan!$L:$L,圆机计划单汇总!L44))</f>
        <v>2887.1391076115488</v>
      </c>
      <c r="U44" s="183">
        <f>IF(L44="","",SUMIFS(plan!$Y:$Y,plan!$A:$A,圆机计划单汇总!$A44,plan!$L:$L,圆机计划单汇总!L44))</f>
        <v>131.23359580052494</v>
      </c>
      <c r="V44" s="247">
        <f>IF(S44="","",SUMIFS(plan!$AB:$AB,plan!$A:$A,圆机计划单汇总!A44,plan!$L:$L,圆机计划单汇总!L44))</f>
        <v>0</v>
      </c>
      <c r="W44" s="208"/>
      <c r="X44" s="308"/>
      <c r="Y44" s="318"/>
      <c r="Z44" s="246">
        <f t="shared" si="0"/>
        <v>0</v>
      </c>
      <c r="AA44" s="325"/>
      <c r="AB44" s="311"/>
      <c r="AC44" s="312"/>
    </row>
    <row r="45" spans="1:29" ht="18" customHeight="1">
      <c r="A45" s="202" t="s">
        <v>125</v>
      </c>
      <c r="B45" s="321"/>
      <c r="C45" s="296"/>
      <c r="D45" s="323"/>
      <c r="E45" s="312"/>
      <c r="F45" s="324"/>
      <c r="G45" s="323"/>
      <c r="H45" s="202">
        <v>33</v>
      </c>
      <c r="I45" s="202">
        <v>158</v>
      </c>
      <c r="J45" s="205" t="s">
        <v>968</v>
      </c>
      <c r="K45" s="194" t="s">
        <v>785</v>
      </c>
      <c r="L45" s="248" t="s">
        <v>3147</v>
      </c>
      <c r="M45" s="202" t="str">
        <f t="array" ref="M45">SUBSTITUTE(L45,N45,"")</f>
        <v>C421</v>
      </c>
      <c r="N45" s="247" t="str">
        <f t="array" ref="N45">LEFT(L45,MIN(FIND({"A","B","C"},MID(L45,2,LEN(L45))&amp;"ABC")))</f>
        <v>A90</v>
      </c>
      <c r="O45" s="247" t="str">
        <f t="array" ref="O45">IF(L45="","",INDEX(plan!$A:$F,MATCH(A45&amp;L45,plan!$A$2:$A$19999&amp;plan!$L$2:$L$19999,0)+1,MATCH(plan!$F$1,plan!$A$1:$F$1,0)))</f>
        <v>AA</v>
      </c>
      <c r="P45" s="219">
        <f t="array" ref="P45">IF(L45="","",INDEX(plan!$A:$O,MATCH(A45&amp;L45,plan!$A$2:$A$19999&amp;plan!$L$2:$L$19999,0)+1,MATCH(plan!$O$1,plan!$A$1:$O$1,0)))</f>
        <v>43775</v>
      </c>
      <c r="Q45" s="219" t="str">
        <f t="array" ref="Q45">IF(L45="","",IF(INDEX(plan!$A:$Q,MATCH(A45&amp;L45,plan!$A$2:$A$1984&amp;plan!$L$2:$L$1984,0)+1,MATCH(plan!$Q$1,plan!$A$1:$Q$1,0))&gt;0,INDEX(plan!$A:$Q,MATCH(A45&amp;L45,plan!$A$2:$A$1984&amp;plan!$L$2:$L$1984,0)+1,MATCH(plan!$Q$1,plan!$A$1:$Q$1,0)),""))</f>
        <v/>
      </c>
      <c r="R45" s="219" t="str">
        <f t="array" ref="R45">IF(L45="","",IF(INDEX(plan!$A:$S,MATCH(A45&amp;L45,plan!$A$2:$A$1984&amp;plan!$L$2:$L$1984,0)+1,MATCH(plan!$S$1,plan!$A$1:$S$1,0))&gt;0,INDEX(plan!$A:$S,MATCH(A45&amp;L45,plan!$A$2:$A$1984&amp;plan!$L$2:$L$1984,0)+1,MATCH(plan!$S$1,plan!$A$1:$S$1,0)),""))</f>
        <v/>
      </c>
      <c r="S45" s="202">
        <f>IF(L45="","",SUMIFS(plan!$I:$I,plan!$A:$A,圆机计划单汇总!$A45,plan!$L:$L,圆机计划单汇总!L45))</f>
        <v>30000</v>
      </c>
      <c r="T45" s="213">
        <f>IF(L45="","",SUMIFS(plan!$X:$X,plan!$A:$A,圆机计划单汇总!$A45,plan!$L:$L,圆机计划单汇总!L45))</f>
        <v>1732.2834645669293</v>
      </c>
      <c r="U45" s="183">
        <f>IF(L45="","",SUMIFS(plan!$Y:$Y,plan!$A:$A,圆机计划单汇总!$A45,plan!$L:$L,圆机计划单汇总!L45))</f>
        <v>78.740157480314963</v>
      </c>
      <c r="V45" s="247">
        <f>IF(S45="","",SUMIFS(plan!$AB:$AB,plan!$A:$A,圆机计划单汇总!A45,plan!$L:$L,圆机计划单汇总!L45))</f>
        <v>0</v>
      </c>
      <c r="W45" s="208"/>
      <c r="X45" s="308"/>
      <c r="Y45" s="318"/>
      <c r="Z45" s="246">
        <f t="shared" si="0"/>
        <v>0</v>
      </c>
      <c r="AA45" s="325"/>
      <c r="AB45" s="311"/>
      <c r="AC45" s="312"/>
    </row>
    <row r="46" spans="1:29" ht="18" customHeight="1">
      <c r="A46" s="202" t="s">
        <v>125</v>
      </c>
      <c r="B46" s="321"/>
      <c r="C46" s="296"/>
      <c r="D46" s="323"/>
      <c r="E46" s="312"/>
      <c r="F46" s="324"/>
      <c r="G46" s="323"/>
      <c r="H46" s="202">
        <v>33</v>
      </c>
      <c r="I46" s="202">
        <v>158</v>
      </c>
      <c r="J46" s="205" t="s">
        <v>968</v>
      </c>
      <c r="K46" s="194" t="s">
        <v>785</v>
      </c>
      <c r="L46" s="248"/>
      <c r="M46" s="202" t="str">
        <f t="array" ref="M46">SUBSTITUTE(L46,N46,"")</f>
        <v/>
      </c>
      <c r="N46" s="247" t="str">
        <f t="array" ref="N46">LEFT(L46,MIN(FIND({"A","B","C"},MID(L46,2,LEN(L46))&amp;"ABC")))</f>
        <v/>
      </c>
      <c r="O46" s="247" t="str">
        <f t="array" ref="O46">IF(L46="","",INDEX(plan!$A:$F,MATCH(A46&amp;L46,plan!$A$2:$A$19999&amp;plan!$L$2:$L$19999,0)+1,MATCH(plan!$F$1,plan!$A$1:$F$1,0)))</f>
        <v/>
      </c>
      <c r="P46" s="219" t="str">
        <f t="array" ref="P46">IF(L46="","",INDEX(plan!$A:$O,MATCH(A46&amp;L46,plan!$A$2:$A$19999&amp;plan!$L$2:$L$19999,0)+1,MATCH(plan!$O$1,plan!$A$1:$O$1,0)))</f>
        <v/>
      </c>
      <c r="Q46" s="219" t="str">
        <f t="array" ref="Q46">IF(L46="","",IF(INDEX(plan!$A:$Q,MATCH(A46&amp;L46,plan!$A$2:$A$1984&amp;plan!$L$2:$L$1984,0)+1,MATCH(plan!$Q$1,plan!$A$1:$Q$1,0))&gt;0,INDEX(plan!$A:$Q,MATCH(A46&amp;L46,plan!$A$2:$A$1984&amp;plan!$L$2:$L$1984,0)+1,MATCH(plan!$Q$1,plan!$A$1:$Q$1,0)),""))</f>
        <v/>
      </c>
      <c r="R46" s="219" t="str">
        <f t="array" ref="R46">IF(L46="","",IF(INDEX(plan!$A:$S,MATCH(A46&amp;L46,plan!$A$2:$A$1984&amp;plan!$L$2:$L$1984,0)+1,MATCH(plan!$S$1,plan!$A$1:$S$1,0))&gt;0,INDEX(plan!$A:$S,MATCH(A46&amp;L46,plan!$A$2:$A$1984&amp;plan!$L$2:$L$1984,0)+1,MATCH(plan!$S$1,plan!$A$1:$S$1,0)),""))</f>
        <v/>
      </c>
      <c r="S46" s="202" t="str">
        <f>IF(L46="","",SUMIFS(plan!$I:$I,plan!$A:$A,圆机计划单汇总!$A46,plan!$L:$L,圆机计划单汇总!L46))</f>
        <v/>
      </c>
      <c r="T46" s="213" t="str">
        <f>IF(L46="","",SUMIFS(plan!$X:$X,plan!$A:$A,圆机计划单汇总!$A46,plan!$L:$L,圆机计划单汇总!L46))</f>
        <v/>
      </c>
      <c r="U46" s="183" t="str">
        <f>IF(L46="","",SUMIFS(plan!$Y:$Y,plan!$A:$A,圆机计划单汇总!$A46,plan!$L:$L,圆机计划单汇总!L46))</f>
        <v/>
      </c>
      <c r="V46" s="247" t="str">
        <f>IF(S46="","",SUMIFS(plan!$AB:$AB,plan!$A:$A,圆机计划单汇总!A46,plan!$L:$L,圆机计划单汇总!L46))</f>
        <v/>
      </c>
      <c r="W46" s="208"/>
      <c r="X46" s="308"/>
      <c r="Y46" s="318"/>
      <c r="Z46" s="246" t="str">
        <f t="shared" si="0"/>
        <v/>
      </c>
      <c r="AA46" s="325"/>
      <c r="AB46" s="311"/>
      <c r="AC46" s="312"/>
    </row>
    <row r="47" spans="1:29" ht="18" customHeight="1">
      <c r="A47" s="202" t="s">
        <v>125</v>
      </c>
      <c r="B47" s="321"/>
      <c r="C47" s="296"/>
      <c r="D47" s="323"/>
      <c r="E47" s="312"/>
      <c r="F47" s="324"/>
      <c r="G47" s="323"/>
      <c r="H47" s="202">
        <v>33</v>
      </c>
      <c r="I47" s="202">
        <v>158</v>
      </c>
      <c r="J47" s="205" t="s">
        <v>968</v>
      </c>
      <c r="K47" s="194" t="s">
        <v>785</v>
      </c>
      <c r="L47" s="248"/>
      <c r="M47" s="202" t="str">
        <f t="array" ref="M47">SUBSTITUTE(L47,N47,"")</f>
        <v/>
      </c>
      <c r="N47" s="247" t="str">
        <f t="array" ref="N47">LEFT(L47,MIN(FIND({"A","B","C"},MID(L47,2,LEN(L47))&amp;"ABC")))</f>
        <v/>
      </c>
      <c r="O47" s="247" t="str">
        <f t="array" ref="O47">IF(L47="","",INDEX(plan!$A:$F,MATCH(A47&amp;L47,plan!$A$2:$A$19999&amp;plan!$L$2:$L$19999,0)+1,MATCH(plan!$F$1,plan!$A$1:$F$1,0)))</f>
        <v/>
      </c>
      <c r="P47" s="219" t="str">
        <f t="array" ref="P47">IF(L47="","",INDEX(plan!$A:$O,MATCH(A47&amp;L47,plan!$A$2:$A$19999&amp;plan!$L$2:$L$19999,0)+1,MATCH(plan!$O$1,plan!$A$1:$O$1,0)))</f>
        <v/>
      </c>
      <c r="Q47" s="219" t="str">
        <f t="array" ref="Q47">IF(L47="","",IF(INDEX(plan!$A:$Q,MATCH(A47&amp;L47,plan!$A$2:$A$1984&amp;plan!$L$2:$L$1984,0)+1,MATCH(plan!$Q$1,plan!$A$1:$Q$1,0))&gt;0,INDEX(plan!$A:$Q,MATCH(A47&amp;L47,plan!$A$2:$A$1984&amp;plan!$L$2:$L$1984,0)+1,MATCH(plan!$Q$1,plan!$A$1:$Q$1,0)),""))</f>
        <v/>
      </c>
      <c r="R47" s="219" t="str">
        <f t="array" ref="R47">IF(L47="","",IF(INDEX(plan!$A:$S,MATCH(A47&amp;L47,plan!$A$2:$A$1984&amp;plan!$L$2:$L$1984,0)+1,MATCH(plan!$S$1,plan!$A$1:$S$1,0))&gt;0,INDEX(plan!$A:$S,MATCH(A47&amp;L47,plan!$A$2:$A$1984&amp;plan!$L$2:$L$1984,0)+1,MATCH(plan!$S$1,plan!$A$1:$S$1,0)),""))</f>
        <v/>
      </c>
      <c r="S47" s="202" t="str">
        <f>IF(L47="","",SUMIFS(plan!$I:$I,plan!$A:$A,圆机计划单汇总!$A47,plan!$L:$L,圆机计划单汇总!L47))</f>
        <v/>
      </c>
      <c r="T47" s="213" t="str">
        <f>IF(L47="","",SUMIFS(plan!$X:$X,plan!$A:$A,圆机计划单汇总!$A47,plan!$L:$L,圆机计划单汇总!L47))</f>
        <v/>
      </c>
      <c r="U47" s="183" t="str">
        <f>IF(L47="","",SUMIFS(plan!$Y:$Y,plan!$A:$A,圆机计划单汇总!$A47,plan!$L:$L,圆机计划单汇总!L47))</f>
        <v/>
      </c>
      <c r="V47" s="247" t="str">
        <f>IF(S47="","",SUMIFS(plan!$AB:$AB,plan!$A:$A,圆机计划单汇总!A47,plan!$L:$L,圆机计划单汇总!L47))</f>
        <v/>
      </c>
      <c r="W47" s="208"/>
      <c r="X47" s="308"/>
      <c r="Y47" s="318"/>
      <c r="Z47" s="246" t="str">
        <f t="shared" si="0"/>
        <v/>
      </c>
      <c r="AA47" s="325"/>
      <c r="AB47" s="311"/>
      <c r="AC47" s="312"/>
    </row>
    <row r="48" spans="1:29" ht="18" customHeight="1">
      <c r="A48" s="194" t="s">
        <v>2251</v>
      </c>
      <c r="B48" s="321"/>
      <c r="C48" s="297"/>
      <c r="D48" s="323"/>
      <c r="E48" s="306"/>
      <c r="F48" s="324"/>
      <c r="G48" s="323"/>
      <c r="H48" s="194"/>
      <c r="I48" s="194"/>
      <c r="J48" s="205"/>
      <c r="K48" s="194"/>
      <c r="L48" s="248"/>
      <c r="M48" s="194"/>
      <c r="N48" s="247" t="str">
        <f t="array" ref="N48">LEFT(L48,MIN(FIND({"A","B","C"},MID(L48,2,LEN(L48))&amp;"ABC")))</f>
        <v/>
      </c>
      <c r="O48" s="247" t="str">
        <f t="array" ref="O48">IF(L48="","",INDEX(plan!$A:$F,MATCH(A48&amp;L48,plan!$A$2:$A$19999&amp;plan!$L$2:$L$19999,0)+1,MATCH(plan!$F$1,plan!$A$1:$F$1,0)))</f>
        <v/>
      </c>
      <c r="P48" s="219" t="str">
        <f t="array" ref="P48">IF(L48="","",INDEX(plan!$A:$O,MATCH(A48&amp;L48,plan!$A$2:$A$19999&amp;plan!$L$2:$L$19999,0)+1,MATCH(plan!$O$1,plan!$A$1:$O$1,0)))</f>
        <v/>
      </c>
      <c r="Q48" s="219" t="str">
        <f t="array" ref="Q48">IF(L48="","",IF(INDEX(plan!$A:$Q,MATCH(A48&amp;L48,plan!$A$2:$A$1984&amp;plan!$L$2:$L$1984,0)+1,MATCH(plan!$Q$1,plan!$A$1:$Q$1,0))&gt;0,INDEX(plan!$A:$Q,MATCH(A48&amp;L48,plan!$A$2:$A$1984&amp;plan!$L$2:$L$1984,0)+1,MATCH(plan!$Q$1,plan!$A$1:$Q$1,0)),""))</f>
        <v/>
      </c>
      <c r="R48" s="219" t="str">
        <f t="array" ref="R48">IF(L48="","",IF(INDEX(plan!$A:$S,MATCH(A48&amp;L48,plan!$A$2:$A$1984&amp;plan!$L$2:$L$1984,0)+1,MATCH(plan!$S$1,plan!$A$1:$S$1,0))&gt;0,INDEX(plan!$A:$S,MATCH(A48&amp;L48,plan!$A$2:$A$1984&amp;plan!$L$2:$L$1984,0)+1,MATCH(plan!$S$1,plan!$A$1:$S$1,0)),""))</f>
        <v/>
      </c>
      <c r="S48" s="202" t="str">
        <f>IF(L48="","",SUMIFS(plan!$I:$I,plan!$A:$A,圆机计划单汇总!$A48,plan!$L:$L,圆机计划单汇总!L48))</f>
        <v/>
      </c>
      <c r="T48" s="213" t="str">
        <f>IF(L48="","",SUMIFS(plan!$X:$X,plan!$A:$A,圆机计划单汇总!$A48,plan!$L:$L,圆机计划单汇总!L48))</f>
        <v/>
      </c>
      <c r="U48" s="183" t="str">
        <f>IF(L48="","",SUMIFS(plan!$Y:$Y,plan!$A:$A,圆机计划单汇总!$A48,plan!$L:$L,圆机计划单汇总!L48))</f>
        <v/>
      </c>
      <c r="V48" s="247" t="str">
        <f>IF(S48="","",SUMIFS(plan!$AB:$AB,plan!$A:$A,圆机计划单汇总!A48,plan!$L:$L,圆机计划单汇总!L48))</f>
        <v/>
      </c>
      <c r="W48" s="261"/>
      <c r="X48" s="309"/>
      <c r="Y48" s="319"/>
      <c r="Z48" s="246" t="str">
        <f t="shared" si="0"/>
        <v/>
      </c>
      <c r="AA48" s="316"/>
      <c r="AB48" s="302"/>
      <c r="AC48" s="306"/>
    </row>
    <row r="49" spans="1:29" ht="18" customHeight="1">
      <c r="A49" s="202" t="s">
        <v>737</v>
      </c>
      <c r="B49" s="321"/>
      <c r="C49" s="295">
        <v>50</v>
      </c>
      <c r="D49" s="323">
        <f>SUMIF(yuanjicode,圆机计划单汇总!A49,yuanjinumber)</f>
        <v>2</v>
      </c>
      <c r="E49" s="305">
        <v>4</v>
      </c>
      <c r="F49" s="324" t="s">
        <v>58</v>
      </c>
      <c r="G49" s="323">
        <v>35</v>
      </c>
      <c r="H49" s="202">
        <v>36</v>
      </c>
      <c r="I49" s="202">
        <v>158</v>
      </c>
      <c r="J49" s="205" t="s">
        <v>168</v>
      </c>
      <c r="K49" s="194" t="s">
        <v>2</v>
      </c>
      <c r="L49" s="248"/>
      <c r="M49" s="202" t="str">
        <f t="array" ref="M49">SUBSTITUTE(L49,N49,"")</f>
        <v/>
      </c>
      <c r="N49" s="247" t="str">
        <f t="array" ref="N49">LEFT(L49,MIN(FIND({"A","B","C"},MID(L49,2,LEN(L49))&amp;"ABC")))</f>
        <v/>
      </c>
      <c r="O49" s="247" t="str">
        <f t="array" ref="O49">IF(L49="","",INDEX(plan!$A:$F,MATCH(A49&amp;L49,plan!$A$2:$A$19999&amp;plan!$L$2:$L$19999,0)+1,MATCH(plan!$F$1,plan!$A$1:$F$1,0)))</f>
        <v/>
      </c>
      <c r="P49" s="219" t="str">
        <f t="array" ref="P49">IF(L49="","",INDEX(plan!$A:$O,MATCH(A49&amp;L49,plan!$A$2:$A$19999&amp;plan!$L$2:$L$19999,0)+1,MATCH(plan!$O$1,plan!$A$1:$O$1,0)))</f>
        <v/>
      </c>
      <c r="Q49" s="219" t="str">
        <f t="array" ref="Q49">IF(L49="","",IF(INDEX(plan!$A:$Q,MATCH(A49&amp;L49,plan!$A$2:$A$1984&amp;plan!$L$2:$L$1984,0)+1,MATCH(plan!$Q$1,plan!$A$1:$Q$1,0))&gt;0,INDEX(plan!$A:$Q,MATCH(A49&amp;L49,plan!$A$2:$A$1984&amp;plan!$L$2:$L$1984,0)+1,MATCH(plan!$Q$1,plan!$A$1:$Q$1,0)),""))</f>
        <v/>
      </c>
      <c r="R49" s="219" t="str">
        <f t="array" ref="R49">IF(L49="","",IF(INDEX(plan!$A:$S,MATCH(A49&amp;L49,plan!$A$2:$A$1984&amp;plan!$L$2:$L$1984,0)+1,MATCH(plan!$S$1,plan!$A$1:$S$1,0))&gt;0,INDEX(plan!$A:$S,MATCH(A49&amp;L49,plan!$A$2:$A$1984&amp;plan!$L$2:$L$1984,0)+1,MATCH(plan!$S$1,plan!$A$1:$S$1,0)),""))</f>
        <v/>
      </c>
      <c r="S49" s="202" t="str">
        <f>IF(L49="","",SUMIFS(plan!$I:$I,plan!$A:$A,圆机计划单汇总!$A49,plan!$L:$L,圆机计划单汇总!L49))</f>
        <v/>
      </c>
      <c r="T49" s="213" t="str">
        <f>IF(L49="","",SUMIFS(plan!$X:$X,plan!$A:$A,圆机计划单汇总!$A49,plan!$L:$L,圆机计划单汇总!L49))</f>
        <v/>
      </c>
      <c r="U49" s="183" t="str">
        <f>IF(L49="","",SUMIFS(plan!$Y:$Y,plan!$A:$A,圆机计划单汇总!$A49,plan!$L:$L,圆机计划单汇总!L49))</f>
        <v/>
      </c>
      <c r="V49" s="247" t="str">
        <f>IF(S49="","",SUMIFS(plan!$AB:$AB,plan!$A:$A,圆机计划单汇总!A49,plan!$L:$L,圆机计划单汇总!L49))</f>
        <v/>
      </c>
      <c r="W49" s="208"/>
      <c r="X49" s="307" t="str">
        <f>IF(L49="","",IF($X$1="坯布需求合计(Kg)",SUMIF(A:A,A49,T:T),SUMIF(A:A,A49,U:U)))</f>
        <v/>
      </c>
      <c r="Y49" s="313" t="str">
        <f>IF(L49="","",X49-AB49)</f>
        <v/>
      </c>
      <c r="Z49" s="246" t="str">
        <f t="shared" si="0"/>
        <v/>
      </c>
      <c r="AA49" s="315" t="str">
        <f>IF(L49="","",Y49/Z49)</f>
        <v/>
      </c>
      <c r="AB49" s="301">
        <f>SUMIF(四面弹库存!B:B,圆机计划单汇总!A49,四面弹库存!E:E)</f>
        <v>573.5</v>
      </c>
      <c r="AC49" s="305">
        <f>SUMIF(四面弹库存!B:B,圆机计划单汇总!A49,四面弹库存!F:F)</f>
        <v>29</v>
      </c>
    </row>
    <row r="50" spans="1:29" ht="18" customHeight="1">
      <c r="A50" s="202" t="s">
        <v>737</v>
      </c>
      <c r="B50" s="321"/>
      <c r="C50" s="296"/>
      <c r="D50" s="323"/>
      <c r="E50" s="312"/>
      <c r="F50" s="324"/>
      <c r="G50" s="323"/>
      <c r="H50" s="202">
        <v>36</v>
      </c>
      <c r="I50" s="202">
        <v>158</v>
      </c>
      <c r="J50" s="205" t="s">
        <v>168</v>
      </c>
      <c r="K50" s="194" t="s">
        <v>2</v>
      </c>
      <c r="L50" s="248"/>
      <c r="M50" s="202" t="str">
        <f t="array" ref="M50">SUBSTITUTE(L50,N50,"")</f>
        <v/>
      </c>
      <c r="N50" s="247" t="str">
        <f t="array" ref="N50">LEFT(L50,MIN(FIND({"A","B","C"},MID(L50,2,LEN(L50))&amp;"ABC")))</f>
        <v/>
      </c>
      <c r="O50" s="247" t="str">
        <f t="array" ref="O50">IF(L50="","",INDEX(plan!$A:$F,MATCH(A50&amp;L50,plan!$A$2:$A$19999&amp;plan!$L$2:$L$19999,0)+1,MATCH(plan!$F$1,plan!$A$1:$F$1,0)))</f>
        <v/>
      </c>
      <c r="P50" s="219" t="str">
        <f t="array" ref="P50">IF(L50="","",INDEX(plan!$A:$O,MATCH(A50&amp;L50,plan!$A$2:$A$19999&amp;plan!$L$2:$L$19999,0)+1,MATCH(plan!$O$1,plan!$A$1:$O$1,0)))</f>
        <v/>
      </c>
      <c r="Q50" s="219" t="str">
        <f t="array" ref="Q50">IF(L50="","",IF(INDEX(plan!$A:$Q,MATCH(A50&amp;L50,plan!$A$2:$A$1984&amp;plan!$L$2:$L$1984,0)+1,MATCH(plan!$Q$1,plan!$A$1:$Q$1,0))&gt;0,INDEX(plan!$A:$Q,MATCH(A50&amp;L50,plan!$A$2:$A$1984&amp;plan!$L$2:$L$1984,0)+1,MATCH(plan!$Q$1,plan!$A$1:$Q$1,0)),""))</f>
        <v/>
      </c>
      <c r="R50" s="219" t="str">
        <f t="array" ref="R50">IF(L50="","",IF(INDEX(plan!$A:$S,MATCH(A50&amp;L50,plan!$A$2:$A$1984&amp;plan!$L$2:$L$1984,0)+1,MATCH(plan!$S$1,plan!$A$1:$S$1,0))&gt;0,INDEX(plan!$A:$S,MATCH(A50&amp;L50,plan!$A$2:$A$1984&amp;plan!$L$2:$L$1984,0)+1,MATCH(plan!$S$1,plan!$A$1:$S$1,0)),""))</f>
        <v/>
      </c>
      <c r="S50" s="202" t="str">
        <f>IF(L50="","",SUMIFS(plan!$I:$I,plan!$A:$A,圆机计划单汇总!$A50,plan!$L:$L,圆机计划单汇总!L50))</f>
        <v/>
      </c>
      <c r="T50" s="213" t="str">
        <f>IF(L50="","",SUMIFS(plan!$X:$X,plan!$A:$A,圆机计划单汇总!$A50,plan!$L:$L,圆机计划单汇总!L50))</f>
        <v/>
      </c>
      <c r="U50" s="183" t="str">
        <f>IF(L50="","",SUMIFS(plan!$Y:$Y,plan!$A:$A,圆机计划单汇总!$A50,plan!$L:$L,圆机计划单汇总!L50))</f>
        <v/>
      </c>
      <c r="V50" s="247" t="str">
        <f>IF(S50="","",SUMIFS(plan!$AB:$AB,plan!$A:$A,圆机计划单汇总!A50,plan!$L:$L,圆机计划单汇总!L50))</f>
        <v/>
      </c>
      <c r="W50" s="208"/>
      <c r="X50" s="308"/>
      <c r="Y50" s="320"/>
      <c r="Z50" s="246" t="str">
        <f t="shared" si="0"/>
        <v/>
      </c>
      <c r="AA50" s="325"/>
      <c r="AB50" s="311"/>
      <c r="AC50" s="312"/>
    </row>
    <row r="51" spans="1:29" ht="18" customHeight="1">
      <c r="A51" s="202" t="s">
        <v>737</v>
      </c>
      <c r="B51" s="321"/>
      <c r="C51" s="297"/>
      <c r="D51" s="323"/>
      <c r="E51" s="306"/>
      <c r="F51" s="324"/>
      <c r="G51" s="323"/>
      <c r="H51" s="202">
        <v>36</v>
      </c>
      <c r="I51" s="202">
        <v>158</v>
      </c>
      <c r="J51" s="205" t="s">
        <v>168</v>
      </c>
      <c r="K51" s="194" t="s">
        <v>2</v>
      </c>
      <c r="L51" s="248"/>
      <c r="M51" s="202" t="str">
        <f t="array" ref="M51">SUBSTITUTE(L51,N51,"")</f>
        <v/>
      </c>
      <c r="N51" s="247" t="str">
        <f t="array" ref="N51">LEFT(L51,MIN(FIND({"A","B","C"},MID(L51,2,LEN(L51))&amp;"ABC")))</f>
        <v/>
      </c>
      <c r="O51" s="247" t="str">
        <f t="array" ref="O51">IF(L51="","",INDEX(plan!$A:$F,MATCH(A51&amp;L51,plan!$A$2:$A$19999&amp;plan!$L$2:$L$19999,0)+1,MATCH(plan!$F$1,plan!$A$1:$F$1,0)))</f>
        <v/>
      </c>
      <c r="P51" s="219" t="str">
        <f t="array" ref="P51">IF(L51="","",INDEX(plan!$A:$O,MATCH(A51&amp;L51,plan!$A$2:$A$19999&amp;plan!$L$2:$L$19999,0)+1,MATCH(plan!$O$1,plan!$A$1:$O$1,0)))</f>
        <v/>
      </c>
      <c r="Q51" s="219" t="str">
        <f t="array" ref="Q51">IF(L51="","",IF(INDEX(plan!$A:$Q,MATCH(A51&amp;L51,plan!$A$2:$A$1984&amp;plan!$L$2:$L$1984,0)+1,MATCH(plan!$Q$1,plan!$A$1:$Q$1,0))&gt;0,INDEX(plan!$A:$Q,MATCH(A51&amp;L51,plan!$A$2:$A$1984&amp;plan!$L$2:$L$1984,0)+1,MATCH(plan!$Q$1,plan!$A$1:$Q$1,0)),""))</f>
        <v/>
      </c>
      <c r="R51" s="219" t="str">
        <f t="array" ref="R51">IF(L51="","",IF(INDEX(plan!$A:$S,MATCH(A51&amp;L51,plan!$A$2:$A$1984&amp;plan!$L$2:$L$1984,0)+1,MATCH(plan!$S$1,plan!$A$1:$S$1,0))&gt;0,INDEX(plan!$A:$S,MATCH(A51&amp;L51,plan!$A$2:$A$1984&amp;plan!$L$2:$L$1984,0)+1,MATCH(plan!$S$1,plan!$A$1:$S$1,0)),""))</f>
        <v/>
      </c>
      <c r="S51" s="202" t="str">
        <f>IF(L51="","",SUMIFS(plan!$I:$I,plan!$A:$A,圆机计划单汇总!$A51,plan!$L:$L,圆机计划单汇总!L51))</f>
        <v/>
      </c>
      <c r="T51" s="213" t="str">
        <f>IF(L51="","",SUMIFS(plan!$X:$X,plan!$A:$A,圆机计划单汇总!$A51,plan!$L:$L,圆机计划单汇总!L51))</f>
        <v/>
      </c>
      <c r="U51" s="183" t="str">
        <f>IF(L51="","",SUMIFS(plan!$Y:$Y,plan!$A:$A,圆机计划单汇总!$A51,plan!$L:$L,圆机计划单汇总!L51))</f>
        <v/>
      </c>
      <c r="V51" s="247" t="str">
        <f>IF(S51="","",SUMIFS(plan!$AB:$AB,plan!$A:$A,圆机计划单汇总!A51,plan!$L:$L,圆机计划单汇总!L51))</f>
        <v/>
      </c>
      <c r="W51" s="208"/>
      <c r="X51" s="309"/>
      <c r="Y51" s="314"/>
      <c r="Z51" s="246" t="str">
        <f t="shared" si="0"/>
        <v/>
      </c>
      <c r="AA51" s="316"/>
      <c r="AB51" s="302"/>
      <c r="AC51" s="306"/>
    </row>
    <row r="52" spans="1:29" ht="18" customHeight="1">
      <c r="A52" s="202" t="s">
        <v>78</v>
      </c>
      <c r="B52" s="321"/>
      <c r="C52" s="295">
        <v>50</v>
      </c>
      <c r="D52" s="301">
        <f>SUMIF(yuanjicode,圆机计划单汇总!A52,yuanjinumber)</f>
        <v>0</v>
      </c>
      <c r="E52" s="305"/>
      <c r="F52" s="303" t="s">
        <v>78</v>
      </c>
      <c r="G52" s="301">
        <v>40</v>
      </c>
      <c r="H52" s="202">
        <v>33</v>
      </c>
      <c r="I52" s="202">
        <v>156</v>
      </c>
      <c r="J52" s="205" t="s">
        <v>177</v>
      </c>
      <c r="K52" s="194" t="s">
        <v>2</v>
      </c>
      <c r="L52" s="248" t="s">
        <v>2776</v>
      </c>
      <c r="M52" s="202" t="str">
        <f t="array" ref="M52">SUBSTITUTE(L52,N52,"")</f>
        <v>C419</v>
      </c>
      <c r="N52" s="247" t="str">
        <f t="array" ref="N52">LEFT(L52,MIN(FIND({"A","B","C"},MID(L52,2,LEN(L52))&amp;"ABC")))</f>
        <v>A70-2</v>
      </c>
      <c r="O52" s="247" t="str">
        <f t="array" ref="O52">IF(L52="","",INDEX(plan!$A:$F,MATCH(A52&amp;L52,plan!$A$2:$A$19999&amp;plan!$L$2:$L$19999,0)+1,MATCH(plan!$F$1,plan!$A$1:$F$1,0)))</f>
        <v>AA</v>
      </c>
      <c r="P52" s="219">
        <f t="array" ref="P52">IF(L52="","",INDEX(plan!$A:$O,MATCH(A52&amp;L52,plan!$A$2:$A$19999&amp;plan!$L$2:$L$19999,0)+1,MATCH(plan!$O$1,plan!$A$1:$O$1,0)))</f>
        <v>43772</v>
      </c>
      <c r="Q52" s="219" t="str">
        <f t="array" ref="Q52">IF(L52="","",IF(INDEX(plan!$A:$Q,MATCH(A52&amp;L52,plan!$A$2:$A$1984&amp;plan!$L$2:$L$1984,0)+1,MATCH(plan!$Q$1,plan!$A$1:$Q$1,0))&gt;0,INDEX(plan!$A:$Q,MATCH(A52&amp;L52,plan!$A$2:$A$1984&amp;plan!$L$2:$L$1984,0)+1,MATCH(plan!$Q$1,plan!$A$1:$Q$1,0)),""))</f>
        <v/>
      </c>
      <c r="R52" s="219" t="str">
        <f t="array" ref="R52">IF(L52="","",IF(INDEX(plan!$A:$S,MATCH(A52&amp;L52,plan!$A$2:$A$1984&amp;plan!$L$2:$L$1984,0)+1,MATCH(plan!$S$1,plan!$A$1:$S$1,0))&gt;0,INDEX(plan!$A:$S,MATCH(A52&amp;L52,plan!$A$2:$A$1984&amp;plan!$L$2:$L$1984,0)+1,MATCH(plan!$S$1,plan!$A$1:$S$1,0)),""))</f>
        <v/>
      </c>
      <c r="S52" s="202">
        <f>IF(L52="","",SUMIFS(plan!$I:$I,plan!$A:$A,圆机计划单汇总!$A52,plan!$L:$L,圆机计划单汇总!L52))</f>
        <v>6000</v>
      </c>
      <c r="T52" s="213">
        <f>IF(L52="","",SUMIFS(plan!$X:$X,plan!$A:$A,圆机计划单汇总!$A52,plan!$L:$L,圆机计划单汇总!L52))</f>
        <v>393.96325459317586</v>
      </c>
      <c r="U52" s="183">
        <f>IF(L52="","",SUMIFS(plan!$Y:$Y,plan!$A:$A,圆机计划单汇总!$A52,plan!$L:$L,圆机计划单汇总!L52))</f>
        <v>19.698162729658794</v>
      </c>
      <c r="V52" s="247">
        <f>IF(S52="","",SUMIFS(plan!$AB:$AB,plan!$A:$A,圆机计划单汇总!A52,plan!$L:$L,圆机计划单汇总!L52))</f>
        <v>0</v>
      </c>
      <c r="W52" s="220"/>
      <c r="X52" s="298">
        <f>IF(L52="","",IF($X$1="坯布需求合计(Kg)",SUMIF(A:A,A52,T:T),SUMIF(A:A,A52,U:U)))</f>
        <v>393.96325459317586</v>
      </c>
      <c r="Y52" s="313">
        <f>IF(L52="","",X52-AB52)</f>
        <v>43.363254593175839</v>
      </c>
      <c r="Z52" s="246">
        <f t="shared" si="0"/>
        <v>0</v>
      </c>
      <c r="AA52" s="315" t="e">
        <f>Y52/Z52</f>
        <v>#DIV/0!</v>
      </c>
      <c r="AB52" s="301">
        <f>SUMIF(四面弹库存!B:B,圆机计划单汇总!A52,四面弹库存!E:E)</f>
        <v>350.6</v>
      </c>
      <c r="AC52" s="305">
        <f>SUMIF(四面弹库存!B:B,圆机计划单汇总!A52,四面弹库存!F:F)</f>
        <v>18</v>
      </c>
    </row>
    <row r="53" spans="1:29" s="250" customFormat="1" ht="18" customHeight="1">
      <c r="A53" s="247" t="s">
        <v>78</v>
      </c>
      <c r="B53" s="321"/>
      <c r="C53" s="296"/>
      <c r="D53" s="311"/>
      <c r="E53" s="312"/>
      <c r="F53" s="310"/>
      <c r="G53" s="311"/>
      <c r="H53" s="247">
        <v>33</v>
      </c>
      <c r="I53" s="247">
        <v>156</v>
      </c>
      <c r="J53" s="248" t="s">
        <v>177</v>
      </c>
      <c r="K53" s="246" t="s">
        <v>2</v>
      </c>
      <c r="L53" s="248"/>
      <c r="M53" s="247" t="str">
        <f t="array" ref="M53">SUBSTITUTE(L53,N53,"")</f>
        <v/>
      </c>
      <c r="N53" s="247" t="str">
        <f t="array" ref="N53">LEFT(L53,MIN(FIND({"A","B","C"},MID(L53,2,LEN(L53))&amp;"ABC")))</f>
        <v/>
      </c>
      <c r="O53" s="247" t="str">
        <f t="array" ref="O53">IF(L53="","",INDEX(plan!$A:$F,MATCH(A53&amp;L53,plan!$A$2:$A$19999&amp;plan!$L$2:$L$19999,0)+1,MATCH(plan!$F$1,plan!$A$1:$F$1,0)))</f>
        <v/>
      </c>
      <c r="P53" s="219" t="str">
        <f t="array" ref="P53">IF(L53="","",INDEX(plan!$A:$O,MATCH(A53&amp;L53,plan!$A$2:$A$19999&amp;plan!$L$2:$L$19999,0)+1,MATCH(plan!$O$1,plan!$A$1:$O$1,0)))</f>
        <v/>
      </c>
      <c r="Q53" s="219" t="str">
        <f t="array" ref="Q53">IF(L53="","",IF(INDEX(plan!$A:$Q,MATCH(A53&amp;L53,plan!$A$2:$A$1984&amp;plan!$L$2:$L$1984,0)+1,MATCH(plan!$Q$1,plan!$A$1:$Q$1,0))&gt;0,INDEX(plan!$A:$Q,MATCH(A53&amp;L53,plan!$A$2:$A$1984&amp;plan!$L$2:$L$1984,0)+1,MATCH(plan!$Q$1,plan!$A$1:$Q$1,0)),""))</f>
        <v/>
      </c>
      <c r="R53" s="219" t="str">
        <f t="array" ref="R53">IF(L53="","",IF(INDEX(plan!$A:$S,MATCH(A53&amp;L53,plan!$A$2:$A$1984&amp;plan!$L$2:$L$1984,0)+1,MATCH(plan!$S$1,plan!$A$1:$S$1,0))&gt;0,INDEX(plan!$A:$S,MATCH(A53&amp;L53,plan!$A$2:$A$1984&amp;plan!$L$2:$L$1984,0)+1,MATCH(plan!$S$1,plan!$A$1:$S$1,0)),""))</f>
        <v/>
      </c>
      <c r="S53" s="247" t="str">
        <f>IF(L53="","",SUMIFS(plan!$I:$I,plan!$A:$A,圆机计划单汇总!$A53,plan!$L:$L,圆机计划单汇总!L53))</f>
        <v/>
      </c>
      <c r="T53" s="213" t="str">
        <f>IF(L53="","",SUMIFS(plan!$X:$X,plan!$A:$A,圆机计划单汇总!$A53,plan!$L:$L,圆机计划单汇总!L53))</f>
        <v/>
      </c>
      <c r="U53" s="183" t="str">
        <f>IF(L53="","",SUMIFS(plan!$Y:$Y,plan!$A:$A,圆机计划单汇总!$A53,plan!$L:$L,圆机计划单汇总!L53))</f>
        <v/>
      </c>
      <c r="V53" s="247" t="str">
        <f>IF(S53="","",SUMIFS(plan!$AB:$AB,plan!$A:$A,圆机计划单汇总!A53,plan!$L:$L,圆机计划单汇总!L53))</f>
        <v/>
      </c>
      <c r="W53" s="238"/>
      <c r="X53" s="299"/>
      <c r="Y53" s="320"/>
      <c r="Z53" s="246" t="str">
        <f t="shared" si="0"/>
        <v/>
      </c>
      <c r="AA53" s="325"/>
      <c r="AB53" s="311"/>
      <c r="AC53" s="312"/>
    </row>
    <row r="54" spans="1:29" ht="18" customHeight="1">
      <c r="A54" s="202" t="s">
        <v>78</v>
      </c>
      <c r="B54" s="321"/>
      <c r="C54" s="297"/>
      <c r="D54" s="302"/>
      <c r="E54" s="306"/>
      <c r="F54" s="304"/>
      <c r="G54" s="302"/>
      <c r="H54" s="202">
        <v>33</v>
      </c>
      <c r="I54" s="202">
        <v>156</v>
      </c>
      <c r="J54" s="205" t="s">
        <v>177</v>
      </c>
      <c r="K54" s="194" t="s">
        <v>2</v>
      </c>
      <c r="L54" s="248"/>
      <c r="M54" s="247"/>
      <c r="N54" s="247" t="str">
        <f t="array" ref="N54">LEFT(L54,MIN(FIND({"A","B","C"},MID(L54,2,LEN(L54))&amp;"ABC")))</f>
        <v/>
      </c>
      <c r="O54" s="247" t="str">
        <f t="array" ref="O54">IF(L54="","",INDEX(plan!$A:$F,MATCH(A54&amp;L54,plan!$A$2:$A$19999&amp;plan!$L$2:$L$19999,0)+1,MATCH(plan!$F$1,plan!$A$1:$F$1,0)))</f>
        <v/>
      </c>
      <c r="P54" s="219"/>
      <c r="Q54" s="219"/>
      <c r="R54" s="219"/>
      <c r="S54" s="247"/>
      <c r="T54" s="213"/>
      <c r="U54" s="183"/>
      <c r="V54" s="247" t="str">
        <f>IF(S54="","",SUMIFS(plan!$AB:$AB,plan!$A:$A,圆机计划单汇总!A54,plan!$L:$L,圆机计划单汇总!L54))</f>
        <v/>
      </c>
      <c r="W54" s="238"/>
      <c r="X54" s="300"/>
      <c r="Y54" s="314"/>
      <c r="Z54" s="246" t="str">
        <f t="shared" si="0"/>
        <v/>
      </c>
      <c r="AA54" s="316"/>
      <c r="AB54" s="302"/>
      <c r="AC54" s="306"/>
    </row>
    <row r="55" spans="1:29" ht="18" customHeight="1">
      <c r="A55" s="202" t="s">
        <v>79</v>
      </c>
      <c r="B55" s="321"/>
      <c r="C55" s="220">
        <v>50</v>
      </c>
      <c r="D55" s="202">
        <f>SUMIF(yuanjicode,圆机计划单汇总!A55,yuanjinumber)</f>
        <v>0</v>
      </c>
      <c r="E55" s="208"/>
      <c r="F55" s="205" t="s">
        <v>1509</v>
      </c>
      <c r="G55" s="202">
        <v>42</v>
      </c>
      <c r="H55" s="202"/>
      <c r="I55" s="202"/>
      <c r="J55" s="205" t="s">
        <v>177</v>
      </c>
      <c r="K55" s="194" t="s">
        <v>2</v>
      </c>
      <c r="L55" s="368"/>
      <c r="M55" s="202" t="str">
        <f t="array" ref="M55">SUBSTITUTE(L55,N55,"")</f>
        <v/>
      </c>
      <c r="N55" s="247" t="str">
        <f t="array" ref="N55">LEFT(L55,MIN(FIND({"A","B","C"},MID(L55,2,LEN(L55))&amp;"ABC")))</f>
        <v/>
      </c>
      <c r="O55" s="247" t="str">
        <f t="array" ref="O55">IF(L55="","",INDEX(plan!$A:$F,MATCH(A55&amp;L55,plan!$A$2:$A$19999&amp;plan!$L$2:$L$19999,0)+1,MATCH(plan!$F$1,plan!$A$1:$F$1,0)))</f>
        <v/>
      </c>
      <c r="P55" s="219" t="str">
        <f t="array" ref="P55">IF(L55="","",INDEX(plan!$A:$O,MATCH(A55&amp;L55,plan!$A$2:$A$19999&amp;plan!$L$2:$L$19999,0)+1,MATCH(plan!$O$1,plan!$A$1:$O$1,0)))</f>
        <v/>
      </c>
      <c r="Q55" s="219" t="str">
        <f t="array" ref="Q55">IF(L55="","",IF(INDEX(plan!$A:$Q,MATCH(A55&amp;L55,plan!$A$2:$A$1984&amp;plan!$L$2:$L$1984,0)+1,MATCH(plan!$Q$1,plan!$A$1:$Q$1,0))&gt;0,INDEX(plan!$A:$Q,MATCH(A55&amp;L55,plan!$A$2:$A$1984&amp;plan!$L$2:$L$1984,0)+1,MATCH(plan!$Q$1,plan!$A$1:$Q$1,0)),""))</f>
        <v/>
      </c>
      <c r="R55" s="219" t="str">
        <f t="array" ref="R55">IF(L55="","",IF(INDEX(plan!$A:$S,MATCH(A55&amp;L55,plan!$A$2:$A$1984&amp;plan!$L$2:$L$1984,0)+1,MATCH(plan!$S$1,plan!$A$1:$S$1,0))&gt;0,INDEX(plan!$A:$S,MATCH(A55&amp;L55,plan!$A$2:$A$1984&amp;plan!$L$2:$L$1984,0)+1,MATCH(plan!$S$1,plan!$A$1:$S$1,0)),""))</f>
        <v/>
      </c>
      <c r="S55" s="202" t="str">
        <f>IF(L55="","",SUMIFS(plan!$I:$I,plan!$A:$A,圆机计划单汇总!$A55,plan!$L:$L,圆机计划单汇总!L55))</f>
        <v/>
      </c>
      <c r="T55" s="213" t="str">
        <f>IF(L55="","",SUMIFS(plan!$X:$X,plan!$A:$A,圆机计划单汇总!$A55,plan!$L:$L,圆机计划单汇总!L55))</f>
        <v/>
      </c>
      <c r="U55" s="183" t="str">
        <f>IF(L55="","",SUMIFS(plan!$Y:$Y,plan!$A:$A,圆机计划单汇总!$A55,plan!$L:$L,圆机计划单汇总!L55))</f>
        <v/>
      </c>
      <c r="V55" s="247" t="str">
        <f>IF(S55="","",SUMIFS(plan!$AB:$AB,plan!$A:$A,圆机计划单汇总!A55,plan!$L:$L,圆机计划单汇总!L55))</f>
        <v/>
      </c>
      <c r="W55" s="220"/>
      <c r="X55" s="254" t="str">
        <f>IF(L55="","",IF($X$1="坯布需求合计(Kg)",SUMIF(A:A,A55,T:T),SUMIF(A:A,A55,U:U)))</f>
        <v/>
      </c>
      <c r="Y55" s="194" t="str">
        <f t="shared" ref="Y55:Y66" si="4">IF(L55="","",X55-AB55)</f>
        <v/>
      </c>
      <c r="Z55" s="246" t="str">
        <f t="shared" si="0"/>
        <v/>
      </c>
      <c r="AA55" s="216"/>
      <c r="AB55" s="202">
        <f>SUMIF(四面弹库存!B:B,圆机计划单汇总!A55,四面弹库存!E:E)</f>
        <v>113.8</v>
      </c>
      <c r="AC55" s="249">
        <f>SUMIF(四面弹库存!B:B,圆机计划单汇总!A55,四面弹库存!F:F)</f>
        <v>6</v>
      </c>
    </row>
    <row r="56" spans="1:29" ht="18" customHeight="1">
      <c r="A56" s="202" t="s">
        <v>738</v>
      </c>
      <c r="B56" s="321"/>
      <c r="C56" s="220">
        <v>50</v>
      </c>
      <c r="D56" s="202">
        <f>SUMIF(yuanjicode,圆机计划单汇总!A56,yuanjinumber)</f>
        <v>0</v>
      </c>
      <c r="E56" s="208"/>
      <c r="F56" s="205" t="s">
        <v>65</v>
      </c>
      <c r="G56" s="202">
        <v>45</v>
      </c>
      <c r="H56" s="202"/>
      <c r="I56" s="202"/>
      <c r="J56" s="205" t="s">
        <v>168</v>
      </c>
      <c r="K56" s="194" t="s">
        <v>2</v>
      </c>
      <c r="L56" s="368"/>
      <c r="M56" s="202" t="str">
        <f t="array" ref="M56">SUBSTITUTE(L56,N56,"")</f>
        <v/>
      </c>
      <c r="N56" s="247" t="str">
        <f t="array" ref="N56">LEFT(L56,MIN(FIND({"A","B","C"},MID(L56,2,LEN(L56))&amp;"ABC")))</f>
        <v/>
      </c>
      <c r="O56" s="247" t="str">
        <f t="array" ref="O56">IF(L56="","",INDEX(plan!$A:$F,MATCH(A56&amp;L56,plan!$A$2:$A$19999&amp;plan!$L$2:$L$19999,0)+1,MATCH(plan!$F$1,plan!$A$1:$F$1,0)))</f>
        <v/>
      </c>
      <c r="P56" s="219" t="str">
        <f t="array" ref="P56">IF(L56="","",INDEX(plan!$A:$O,MATCH(A56&amp;L56,plan!$A$2:$A$19999&amp;plan!$L$2:$L$19999,0)+1,MATCH(plan!$O$1,plan!$A$1:$O$1,0)))</f>
        <v/>
      </c>
      <c r="Q56" s="219" t="str">
        <f t="array" ref="Q56">IF(L56="","",IF(INDEX(plan!$A:$Q,MATCH(A56&amp;L56,plan!$A$2:$A$1984&amp;plan!$L$2:$L$1984,0)+1,MATCH(plan!$Q$1,plan!$A$1:$Q$1,0))&gt;0,INDEX(plan!$A:$Q,MATCH(A56&amp;L56,plan!$A$2:$A$1984&amp;plan!$L$2:$L$1984,0)+1,MATCH(plan!$Q$1,plan!$A$1:$Q$1,0)),""))</f>
        <v/>
      </c>
      <c r="R56" s="219" t="str">
        <f t="array" ref="R56">IF(L56="","",IF(INDEX(plan!$A:$S,MATCH(A56&amp;L56,plan!$A$2:$A$1984&amp;plan!$L$2:$L$1984,0)+1,MATCH(plan!$S$1,plan!$A$1:$S$1,0))&gt;0,INDEX(plan!$A:$S,MATCH(A56&amp;L56,plan!$A$2:$A$1984&amp;plan!$L$2:$L$1984,0)+1,MATCH(plan!$S$1,plan!$A$1:$S$1,0)),""))</f>
        <v/>
      </c>
      <c r="S56" s="202" t="str">
        <f>IF(L56="","",SUMIFS(plan!$I:$I,plan!$A:$A,圆机计划单汇总!$A56,plan!$L:$L,圆机计划单汇总!L56))</f>
        <v/>
      </c>
      <c r="T56" s="213" t="str">
        <f>IF(L56="","",SUMIFS(plan!$X:$X,plan!$A:$A,圆机计划单汇总!$A56,plan!$L:$L,圆机计划单汇总!L56))</f>
        <v/>
      </c>
      <c r="U56" s="183" t="str">
        <f>IF(L56="","",SUMIFS(plan!$Y:$Y,plan!$A:$A,圆机计划单汇总!$A56,plan!$L:$L,圆机计划单汇总!L56))</f>
        <v/>
      </c>
      <c r="V56" s="247" t="str">
        <f>IF(S56="","",SUMIFS(plan!$AB:$AB,plan!$A:$A,圆机计划单汇总!A56,plan!$L:$L,圆机计划单汇总!L56))</f>
        <v/>
      </c>
      <c r="W56" s="220"/>
      <c r="X56" s="254" t="str">
        <f>IF(L56="","",IF($X$1="坯布需求合计(Kg)",SUMIF(A:A,A56,T:T),SUMIF(A:A,A56,U:U)))</f>
        <v/>
      </c>
      <c r="Y56" s="194" t="str">
        <f t="shared" si="4"/>
        <v/>
      </c>
      <c r="Z56" s="246" t="str">
        <f t="shared" si="0"/>
        <v/>
      </c>
      <c r="AA56" s="216"/>
      <c r="AB56" s="202">
        <f>SUMIF(四面弹库存!B:B,圆机计划单汇总!A56,四面弹库存!E:E)</f>
        <v>0</v>
      </c>
      <c r="AC56" s="249">
        <f>SUMIF(四面弹库存!B:B,圆机计划单汇总!A56,四面弹库存!F:F)</f>
        <v>0</v>
      </c>
    </row>
    <row r="57" spans="1:29" ht="18" customHeight="1">
      <c r="A57" s="202" t="s">
        <v>127</v>
      </c>
      <c r="B57" s="321"/>
      <c r="C57" s="220">
        <v>50</v>
      </c>
      <c r="D57" s="202">
        <f>SUMIF(yuanjicode,圆机计划单汇总!A57,yuanjinumber)</f>
        <v>0</v>
      </c>
      <c r="E57" s="208"/>
      <c r="F57" s="205" t="s">
        <v>67</v>
      </c>
      <c r="G57" s="202">
        <v>36</v>
      </c>
      <c r="H57" s="202"/>
      <c r="I57" s="202"/>
      <c r="J57" s="205" t="s">
        <v>180</v>
      </c>
      <c r="K57" s="194" t="s">
        <v>2</v>
      </c>
      <c r="L57" s="368"/>
      <c r="M57" s="202" t="str">
        <f t="array" ref="M57">SUBSTITUTE(L57,N57,"")</f>
        <v/>
      </c>
      <c r="N57" s="247" t="str">
        <f t="array" ref="N57">LEFT(L57,MIN(FIND({"A","B","C"},MID(L57,2,LEN(L57))&amp;"ABC")))</f>
        <v/>
      </c>
      <c r="O57" s="247" t="str">
        <f t="array" ref="O57">IF(L57="","",INDEX(plan!$A:$F,MATCH(A57&amp;L57,plan!$A$2:$A$19999&amp;plan!$L$2:$L$19999,0)+1,MATCH(plan!$F$1,plan!$A$1:$F$1,0)))</f>
        <v/>
      </c>
      <c r="P57" s="219" t="str">
        <f t="array" ref="P57">IF(L57="","",INDEX(plan!$A:$O,MATCH(A57&amp;L57,plan!$A$2:$A$19999&amp;plan!$L$2:$L$19999,0)+1,MATCH(plan!$O$1,plan!$A$1:$O$1,0)))</f>
        <v/>
      </c>
      <c r="Q57" s="219" t="str">
        <f t="array" ref="Q57">IF(L57="","",IF(INDEX(plan!$A:$Q,MATCH(A57&amp;L57,plan!$A$2:$A$1984&amp;plan!$L$2:$L$1984,0)+1,MATCH(plan!$Q$1,plan!$A$1:$Q$1,0))&gt;0,INDEX(plan!$A:$Q,MATCH(A57&amp;L57,plan!$A$2:$A$1984&amp;plan!$L$2:$L$1984,0)+1,MATCH(plan!$Q$1,plan!$A$1:$Q$1,0)),""))</f>
        <v/>
      </c>
      <c r="R57" s="219" t="str">
        <f t="array" ref="R57">IF(L57="","",IF(INDEX(plan!$A:$S,MATCH(A57&amp;L57,plan!$A$2:$A$1984&amp;plan!$L$2:$L$1984,0)+1,MATCH(plan!$S$1,plan!$A$1:$S$1,0))&gt;0,INDEX(plan!$A:$S,MATCH(A57&amp;L57,plan!$A$2:$A$1984&amp;plan!$L$2:$L$1984,0)+1,MATCH(plan!$S$1,plan!$A$1:$S$1,0)),""))</f>
        <v/>
      </c>
      <c r="S57" s="202" t="str">
        <f>IF(L57="","",SUMIFS(plan!$I:$I,plan!$A:$A,圆机计划单汇总!$A57,plan!$L:$L,圆机计划单汇总!L57))</f>
        <v/>
      </c>
      <c r="T57" s="213" t="str">
        <f>IF(L57="","",SUMIFS(plan!$X:$X,plan!$A:$A,圆机计划单汇总!$A57,plan!$L:$L,圆机计划单汇总!L57))</f>
        <v/>
      </c>
      <c r="U57" s="183" t="str">
        <f>IF(L57="","",SUMIFS(plan!$Y:$Y,plan!$A:$A,圆机计划单汇总!$A57,plan!$L:$L,圆机计划单汇总!L57))</f>
        <v/>
      </c>
      <c r="V57" s="247" t="str">
        <f>IF(S57="","",SUMIFS(plan!$AB:$AB,plan!$A:$A,圆机计划单汇总!A57,plan!$L:$L,圆机计划单汇总!L57))</f>
        <v/>
      </c>
      <c r="W57" s="220"/>
      <c r="X57" s="254" t="str">
        <f>IF(L57="","",IF($X$1="坯布需求合计(Kg)",SUMIF(A:A,A57,T:T),SUMIF(A:A,A57,U:U)))</f>
        <v/>
      </c>
      <c r="Y57" s="194" t="str">
        <f t="shared" si="4"/>
        <v/>
      </c>
      <c r="Z57" s="246" t="str">
        <f t="shared" si="0"/>
        <v/>
      </c>
      <c r="AA57" s="216"/>
      <c r="AB57" s="202">
        <f>SUMIF(四面弹库存!B:B,圆机计划单汇总!A57,四面弹库存!E:E)</f>
        <v>313.60000000000002</v>
      </c>
      <c r="AC57" s="249">
        <f>SUMIF(四面弹库存!B:B,圆机计划单汇总!A57,四面弹库存!F:F)</f>
        <v>16</v>
      </c>
    </row>
    <row r="58" spans="1:29" s="250" customFormat="1" ht="18" customHeight="1">
      <c r="A58" s="246" t="s">
        <v>2968</v>
      </c>
      <c r="B58" s="321"/>
      <c r="C58" s="238">
        <v>50</v>
      </c>
      <c r="D58" s="247">
        <f>SUMIF(yuanjicode,圆机计划单汇总!A58,yuanjinumber)</f>
        <v>0</v>
      </c>
      <c r="E58" s="249"/>
      <c r="F58" s="248" t="s">
        <v>2971</v>
      </c>
      <c r="G58" s="247">
        <v>36</v>
      </c>
      <c r="H58" s="247">
        <v>35</v>
      </c>
      <c r="I58" s="247">
        <v>158</v>
      </c>
      <c r="J58" s="248" t="s">
        <v>2972</v>
      </c>
      <c r="K58" s="246" t="s">
        <v>2551</v>
      </c>
      <c r="L58" s="248" t="s">
        <v>2970</v>
      </c>
      <c r="M58" s="247" t="str">
        <f t="array" ref="M58">SUBSTITUTE(L58,N58,"")</f>
        <v>B577</v>
      </c>
      <c r="N58" s="247" t="str">
        <f t="array" ref="N58">LEFT(L58,MIN(FIND({"A","B","C"},MID(L58,2,LEN(L58))&amp;"ABC")))</f>
        <v>A187</v>
      </c>
      <c r="O58" s="247" t="str">
        <f t="array" ref="O58">IF(L58="","",INDEX(plan!$A:$F,MATCH(A58&amp;L58,plan!$A$2:$A$19999&amp;plan!$L$2:$L$19999,0)+1,MATCH(plan!$F$1,plan!$A$1:$F$1,0)))</f>
        <v>AA</v>
      </c>
      <c r="P58" s="219">
        <f t="array" ref="P58">IF(L58="","",INDEX(plan!$A:$O,MATCH(A58&amp;L58,plan!$A$2:$A$19999&amp;plan!$L$2:$L$19999,0)+1,MATCH(plan!$O$1,plan!$A$1:$O$1,0)))</f>
        <v>43774</v>
      </c>
      <c r="Q58" s="219" t="str">
        <f t="array" ref="Q58">IF(L58="","",IF(INDEX(plan!$A:$Q,MATCH(A58&amp;L58,plan!$A$2:$A$1984&amp;plan!$L$2:$L$1984,0)+1,MATCH(plan!$Q$1,plan!$A$1:$Q$1,0))&gt;0,INDEX(plan!$A:$Q,MATCH(A58&amp;L58,plan!$A$2:$A$1984&amp;plan!$L$2:$L$1984,0)+1,MATCH(plan!$Q$1,plan!$A$1:$Q$1,0)),""))</f>
        <v/>
      </c>
      <c r="R58" s="219" t="str">
        <f t="array" ref="R58">IF(L58="","",IF(INDEX(plan!$A:$S,MATCH(A58&amp;L58,plan!$A$2:$A$1984&amp;plan!$L$2:$L$1984,0)+1,MATCH(plan!$S$1,plan!$A$1:$S$1,0))&gt;0,INDEX(plan!$A:$S,MATCH(A58&amp;L58,plan!$A$2:$A$1984&amp;plan!$L$2:$L$1984,0)+1,MATCH(plan!$S$1,plan!$A$1:$S$1,0)),""))</f>
        <v/>
      </c>
      <c r="S58" s="247">
        <f>IF(L58="","",SUMIFS(plan!$I:$I,plan!$A:$A,圆机计划单汇总!$A58,plan!$L:$L,圆机计划单汇总!L58))</f>
        <v>5000</v>
      </c>
      <c r="T58" s="213">
        <f>IF(L58="","",SUMIFS(plan!$X:$X,plan!$A:$A,圆机计划单汇总!$A58,plan!$L:$L,圆机计划单汇总!L58))</f>
        <v>306.21172353455819</v>
      </c>
      <c r="U58" s="183">
        <f>IF(L58="","",SUMIFS(plan!$Y:$Y,plan!$A:$A,圆机计划单汇总!$A58,plan!$L:$L,圆机计划单汇总!L58))</f>
        <v>15.310586176727909</v>
      </c>
      <c r="V58" s="247">
        <f>IF(S58="","",SUMIFS(plan!$AB:$AB,plan!$A:$A,圆机计划单汇总!A58,plan!$L:$L,圆机计划单汇总!L58))</f>
        <v>0</v>
      </c>
      <c r="W58" s="238"/>
      <c r="X58" s="254">
        <f>IF(L58="","",IF($X$1="坯布需求合计(Kg)",SUMIF(A:A,A58,T:T),SUMIF(A:A,A58,U:U)))</f>
        <v>306.21172353455819</v>
      </c>
      <c r="Y58" s="246">
        <f t="shared" ref="Y58" si="5">IF(L58="","",X58-AB58)</f>
        <v>306.21172353455819</v>
      </c>
      <c r="Z58" s="246">
        <f t="shared" si="0"/>
        <v>0</v>
      </c>
      <c r="AA58" s="216"/>
      <c r="AB58" s="247">
        <f>SUMIF(四面弹库存!B:B,圆机计划单汇总!A58,四面弹库存!E:E)</f>
        <v>0</v>
      </c>
      <c r="AC58" s="249">
        <f>SUMIF(四面弹库存!B:B,圆机计划单汇总!A58,四面弹库存!F:F)</f>
        <v>0</v>
      </c>
    </row>
    <row r="59" spans="1:29" ht="18" customHeight="1">
      <c r="A59" s="202" t="s">
        <v>70</v>
      </c>
      <c r="B59" s="321"/>
      <c r="C59" s="220">
        <v>50</v>
      </c>
      <c r="D59" s="202">
        <f>SUMIF(yuanjicode,圆机计划单汇总!A59,yuanjinumber)</f>
        <v>5</v>
      </c>
      <c r="E59" s="208">
        <v>2</v>
      </c>
      <c r="F59" s="205" t="s">
        <v>70</v>
      </c>
      <c r="G59" s="202">
        <v>38</v>
      </c>
      <c r="H59" s="202">
        <v>38</v>
      </c>
      <c r="I59" s="202">
        <v>158</v>
      </c>
      <c r="J59" s="205" t="s">
        <v>177</v>
      </c>
      <c r="K59" s="194" t="s">
        <v>2</v>
      </c>
      <c r="L59" s="248" t="s">
        <v>2877</v>
      </c>
      <c r="M59" s="202" t="str">
        <f t="array" ref="M59">SUBSTITUTE(L59,N59,"")</f>
        <v>B572</v>
      </c>
      <c r="N59" s="247" t="str">
        <f t="array" ref="N59">LEFT(L59,MIN(FIND({"A","B","C"},MID(L59,2,LEN(L59))&amp;"ABC")))</f>
        <v>A10</v>
      </c>
      <c r="O59" s="247" t="str">
        <f t="array" ref="O59">IF(L59="","",INDEX(plan!$A:$F,MATCH(A59&amp;L59,plan!$A$2:$A$19999&amp;plan!$L$2:$L$19999,0)+1,MATCH(plan!$F$1,plan!$A$1:$F$1,0)))</f>
        <v>AAA</v>
      </c>
      <c r="P59" s="219">
        <f t="array" ref="P59">IF(L59="","",INDEX(plan!$A:$O,MATCH(A59&amp;L59,plan!$A$2:$A$19999&amp;plan!$L$2:$L$19999,0)+1,MATCH(plan!$O$1,plan!$A$1:$O$1,0)))</f>
        <v>43773</v>
      </c>
      <c r="Q59" s="219" t="str">
        <f t="array" ref="Q59">IF(L59="","",IF(INDEX(plan!$A:$Q,MATCH(A59&amp;L59,plan!$A$2:$A$1984&amp;plan!$L$2:$L$1984,0)+1,MATCH(plan!$Q$1,plan!$A$1:$Q$1,0))&gt;0,INDEX(plan!$A:$Q,MATCH(A59&amp;L59,plan!$A$2:$A$1984&amp;plan!$L$2:$L$1984,0)+1,MATCH(plan!$Q$1,plan!$A$1:$Q$1,0)),""))</f>
        <v/>
      </c>
      <c r="R59" s="219" t="str">
        <f t="array" ref="R59">IF(L59="","",IF(INDEX(plan!$A:$S,MATCH(A59&amp;L59,plan!$A$2:$A$1984&amp;plan!$L$2:$L$1984,0)+1,MATCH(plan!$S$1,plan!$A$1:$S$1,0))&gt;0,INDEX(plan!$A:$S,MATCH(A59&amp;L59,plan!$A$2:$A$1984&amp;plan!$L$2:$L$1984,0)+1,MATCH(plan!$S$1,plan!$A$1:$S$1,0)),""))</f>
        <v/>
      </c>
      <c r="S59" s="202">
        <f>IF(L59="","",SUMIFS(plan!$I:$I,plan!$A:$A,圆机计划单汇总!$A59,plan!$L:$L,圆机计划单汇总!L59))</f>
        <v>65000</v>
      </c>
      <c r="T59" s="213">
        <f>IF(L59="","",SUMIFS(plan!$X:$X,plan!$A:$A,圆机计划单汇总!$A59,plan!$L:$L,圆机计划单汇总!L59))</f>
        <v>4549.431321084865</v>
      </c>
      <c r="U59" s="183">
        <f>IF(L59="","",SUMIFS(plan!$Y:$Y,plan!$A:$A,圆机计划单汇总!$A59,plan!$L:$L,圆机计划单汇总!L59))</f>
        <v>227.47156605424323</v>
      </c>
      <c r="V59" s="247">
        <f>IF(S59="","",SUMIFS(plan!$AB:$AB,plan!$A:$A,圆机计划单汇总!A59,plan!$L:$L,圆机计划单汇总!L59))</f>
        <v>0</v>
      </c>
      <c r="W59" s="208"/>
      <c r="X59" s="254">
        <f>IF(L59="","",IF($X$1="坯布需求合计(Kg)",SUMIF(A:A,A59,T:T),SUMIF(A:A,A59,U:U)))</f>
        <v>4549.431321084865</v>
      </c>
      <c r="Y59" s="194">
        <f t="shared" si="4"/>
        <v>3478.2313210848652</v>
      </c>
      <c r="Z59" s="246">
        <f t="shared" si="0"/>
        <v>200</v>
      </c>
      <c r="AA59" s="216">
        <f>IF(L59="","",Y59/Z59)</f>
        <v>17.391156605424325</v>
      </c>
      <c r="AB59" s="202">
        <f>SUMIF(四面弹库存!B:B,圆机计划单汇总!A59,四面弹库存!E:E)</f>
        <v>1071.2</v>
      </c>
      <c r="AC59" s="249">
        <f>SUMIF(四面弹库存!B:B,圆机计划单汇总!A59,四面弹库存!F:F)</f>
        <v>54</v>
      </c>
    </row>
    <row r="60" spans="1:29" ht="18" customHeight="1">
      <c r="A60" s="194" t="s">
        <v>2304</v>
      </c>
      <c r="B60" s="321"/>
      <c r="C60" s="220">
        <v>50</v>
      </c>
      <c r="D60" s="202">
        <f>SUMIF(yuanjicode,圆机计划单汇总!A60,yuanjinumber)</f>
        <v>0</v>
      </c>
      <c r="E60" s="208"/>
      <c r="F60" s="205" t="s">
        <v>2307</v>
      </c>
      <c r="G60" s="202">
        <v>38</v>
      </c>
      <c r="H60" s="202">
        <v>36</v>
      </c>
      <c r="I60" s="202">
        <v>159</v>
      </c>
      <c r="J60" s="205" t="s">
        <v>2298</v>
      </c>
      <c r="K60" s="194" t="s">
        <v>2308</v>
      </c>
      <c r="L60" s="248" t="s">
        <v>2302</v>
      </c>
      <c r="M60" s="202" t="str">
        <f t="array" ref="M60">SUBSTITUTE(L60,N60,"")</f>
        <v>C404</v>
      </c>
      <c r="N60" s="247" t="str">
        <f t="array" ref="N60">LEFT(L60,MIN(FIND({"A","B","C"},MID(L60,2,LEN(L60))&amp;"ABC")))</f>
        <v>A90</v>
      </c>
      <c r="O60" s="247" t="str">
        <f t="array" ref="O60">IF(L60="","",INDEX(plan!$A:$F,MATCH(A60&amp;L60,plan!$A$2:$A$19999&amp;plan!$L$2:$L$19999,0)+1,MATCH(plan!$F$1,plan!$A$1:$F$1,0)))</f>
        <v>AA</v>
      </c>
      <c r="P60" s="219">
        <f t="array" ref="P60">IF(L60="","",INDEX(plan!$A:$O,MATCH(A60&amp;L60,plan!$A$2:$A$19999&amp;plan!$L$2:$L$19999,0)+1,MATCH(plan!$O$1,plan!$A$1:$O$1,0)))</f>
        <v>43763</v>
      </c>
      <c r="Q60" s="219">
        <f t="array" ref="Q60">IF(L60="","",IF(INDEX(plan!$A:$Q,MATCH(A60&amp;L60,plan!$A$2:$A$1984&amp;plan!$L$2:$L$1984,0)+1,MATCH(plan!$Q$1,plan!$A$1:$Q$1,0))&gt;0,INDEX(plan!$A:$Q,MATCH(A60&amp;L60,plan!$A$2:$A$1984&amp;plan!$L$2:$L$1984,0)+1,MATCH(plan!$Q$1,plan!$A$1:$Q$1,0)),""))</f>
        <v>43767</v>
      </c>
      <c r="R60" s="219" t="str">
        <f t="array" ref="R60">IF(L60="","",IF(INDEX(plan!$A:$S,MATCH(A60&amp;L60,plan!$A$2:$A$1984&amp;plan!$L$2:$L$1984,0)+1,MATCH(plan!$S$1,plan!$A$1:$S$1,0))&gt;0,INDEX(plan!$A:$S,MATCH(A60&amp;L60,plan!$A$2:$A$1984&amp;plan!$L$2:$L$1984,0)+1,MATCH(plan!$S$1,plan!$A$1:$S$1,0)),""))</f>
        <v/>
      </c>
      <c r="S60" s="202">
        <f>IF(L60="","",SUMIFS(plan!$I:$I,plan!$A:$A,圆机计划单汇总!$A60,plan!$L:$L,圆机计划单汇总!L60))</f>
        <v>10000</v>
      </c>
      <c r="T60" s="213">
        <f>IF(L60="","",SUMIFS(plan!$X:$X,plan!$A:$A,圆机计划单汇总!$A60,plan!$L:$L,圆机计划单汇总!L60))</f>
        <v>633.85826771653547</v>
      </c>
      <c r="U60" s="183">
        <f>IF(L60="","",SUMIFS(plan!$Y:$Y,plan!$A:$A,圆机计划单汇总!$A60,plan!$L:$L,圆机计划单汇总!L60))</f>
        <v>31.692913385826774</v>
      </c>
      <c r="V60" s="247">
        <f>IF(S60="","",SUMIFS(plan!$AB:$AB,plan!$A:$A,圆机计划单汇总!A60,plan!$L:$L,圆机计划单汇总!L60))</f>
        <v>0</v>
      </c>
      <c r="W60" s="208"/>
      <c r="X60" s="254">
        <f>IF(L60="","",IF($X$1="坯布需求合计(Kg)",SUMIF(A:A,A60,T:T),SUMIF(A:A,A60,U:U)))</f>
        <v>633.85826771653547</v>
      </c>
      <c r="Y60" s="194">
        <f t="shared" ref="Y60" si="6">IF(L60="","",X60-AB60)</f>
        <v>-103.34173228346458</v>
      </c>
      <c r="Z60" s="246">
        <f t="shared" si="0"/>
        <v>0</v>
      </c>
      <c r="AA60" s="216" t="e">
        <f>IF(L60="","",Y60/Z60)</f>
        <v>#DIV/0!</v>
      </c>
      <c r="AB60" s="202">
        <f>SUMIF(四面弹库存!B:B,圆机计划单汇总!A60,四面弹库存!E:E)</f>
        <v>737.2</v>
      </c>
      <c r="AC60" s="249">
        <f>SUMIF(四面弹库存!B:B,圆机计划单汇总!A60,四面弹库存!F:F)</f>
        <v>36</v>
      </c>
    </row>
    <row r="61" spans="1:29" ht="18" customHeight="1">
      <c r="A61" s="202" t="s">
        <v>736</v>
      </c>
      <c r="B61" s="321"/>
      <c r="C61" s="220">
        <v>50</v>
      </c>
      <c r="D61" s="202">
        <f>SUMIF(yuanjicode,圆机计划单汇总!A61,yuanjinumber)</f>
        <v>0</v>
      </c>
      <c r="E61" s="208"/>
      <c r="F61" s="205" t="s">
        <v>40</v>
      </c>
      <c r="G61" s="202">
        <v>34</v>
      </c>
      <c r="H61" s="202">
        <v>36</v>
      </c>
      <c r="I61" s="202">
        <v>159</v>
      </c>
      <c r="J61" s="205" t="s">
        <v>44</v>
      </c>
      <c r="K61" s="194" t="s">
        <v>2</v>
      </c>
      <c r="L61" s="248"/>
      <c r="M61" s="202" t="str">
        <f t="array" ref="M61">SUBSTITUTE(L61,N61,"")</f>
        <v/>
      </c>
      <c r="N61" s="247" t="str">
        <f t="array" ref="N61">LEFT(L61,MIN(FIND({"A","B","C"},MID(L61,2,LEN(L61))&amp;"ABC")))</f>
        <v/>
      </c>
      <c r="O61" s="247" t="str">
        <f t="array" ref="O61">IF(L61="","",INDEX(plan!$A:$F,MATCH(A61&amp;L61,plan!$A$2:$A$19999&amp;plan!$L$2:$L$19999,0)+1,MATCH(plan!$F$1,plan!$A$1:$F$1,0)))</f>
        <v/>
      </c>
      <c r="P61" s="219" t="str">
        <f t="array" ref="P61">IF(L61="","",INDEX(plan!$A:$O,MATCH(A61&amp;L61,plan!$A$2:$A$19999&amp;plan!$L$2:$L$19999,0)+1,MATCH(plan!$O$1,plan!$A$1:$O$1,0)))</f>
        <v/>
      </c>
      <c r="Q61" s="219" t="str">
        <f t="array" ref="Q61">IF(L61="","",IF(INDEX(plan!$A:$Q,MATCH(A61&amp;L61,plan!$A$2:$A$1984&amp;plan!$L$2:$L$1984,0)+1,MATCH(plan!$Q$1,plan!$A$1:$Q$1,0))&gt;0,INDEX(plan!$A:$Q,MATCH(A61&amp;L61,plan!$A$2:$A$1984&amp;plan!$L$2:$L$1984,0)+1,MATCH(plan!$Q$1,plan!$A$1:$Q$1,0)),""))</f>
        <v/>
      </c>
      <c r="R61" s="219" t="str">
        <f t="array" ref="R61">IF(L61="","",IF(INDEX(plan!$A:$S,MATCH(A61&amp;L61,plan!$A$2:$A$1984&amp;plan!$L$2:$L$1984,0)+1,MATCH(plan!$S$1,plan!$A$1:$S$1,0))&gt;0,INDEX(plan!$A:$S,MATCH(A61&amp;L61,plan!$A$2:$A$1984&amp;plan!$L$2:$L$1984,0)+1,MATCH(plan!$S$1,plan!$A$1:$S$1,0)),""))</f>
        <v/>
      </c>
      <c r="S61" s="202" t="str">
        <f>IF(L61="","",SUMIFS(plan!$I:$I,plan!$A:$A,圆机计划单汇总!$A61,plan!$L:$L,圆机计划单汇总!L61))</f>
        <v/>
      </c>
      <c r="T61" s="213" t="str">
        <f>IF(L61="","",SUMIFS(plan!$X:$X,plan!$A:$A,圆机计划单汇总!$A61,plan!$L:$L,圆机计划单汇总!L61))</f>
        <v/>
      </c>
      <c r="U61" s="183" t="str">
        <f>IF(L61="","",SUMIFS(plan!$Y:$Y,plan!$A:$A,圆机计划单汇总!$A61,plan!$L:$L,圆机计划单汇总!L61))</f>
        <v/>
      </c>
      <c r="V61" s="247" t="str">
        <f>IF(S61="","",SUMIFS(plan!$AB:$AB,plan!$A:$A,圆机计划单汇总!A61,plan!$L:$L,圆机计划单汇总!L61))</f>
        <v/>
      </c>
      <c r="W61" s="220"/>
      <c r="X61" s="254" t="str">
        <f>IF(L61="","",IF($X$1="坯布需求合计(Kg)",SUMIF(A:A,A61,T:T),SUMIF(A:A,A61,U:U)))</f>
        <v/>
      </c>
      <c r="Y61" s="194" t="str">
        <f t="shared" si="4"/>
        <v/>
      </c>
      <c r="Z61" s="246" t="str">
        <f t="shared" si="0"/>
        <v/>
      </c>
      <c r="AA61" s="216" t="str">
        <f>IF(L61="","",Y61/Z61)</f>
        <v/>
      </c>
      <c r="AB61" s="202">
        <f>SUMIF(四面弹库存!B:B,圆机计划单汇总!A61,四面弹库存!E:E)</f>
        <v>0</v>
      </c>
      <c r="AC61" s="249">
        <f>SUMIF(四面弹库存!B:B,圆机计划单汇总!A61,四面弹库存!F:F)</f>
        <v>0</v>
      </c>
    </row>
    <row r="62" spans="1:29" ht="18" customHeight="1">
      <c r="A62" s="202" t="s">
        <v>739</v>
      </c>
      <c r="B62" s="321"/>
      <c r="C62" s="220">
        <v>50</v>
      </c>
      <c r="D62" s="202">
        <f>SUMIF(yuanjicode,圆机计划单汇总!A62,yuanjinumber)</f>
        <v>0</v>
      </c>
      <c r="E62" s="208"/>
      <c r="F62" s="205" t="s">
        <v>755</v>
      </c>
      <c r="G62" s="202">
        <v>38</v>
      </c>
      <c r="H62" s="202"/>
      <c r="I62" s="202"/>
      <c r="J62" s="205" t="s">
        <v>44</v>
      </c>
      <c r="K62" s="194" t="s">
        <v>2</v>
      </c>
      <c r="L62" s="368"/>
      <c r="M62" s="202" t="str">
        <f t="array" ref="M62">SUBSTITUTE(L62,N62,"")</f>
        <v/>
      </c>
      <c r="N62" s="247" t="str">
        <f t="array" ref="N62">LEFT(L62,MIN(FIND({"A","B","C"},MID(L62,2,LEN(L62))&amp;"ABC")))</f>
        <v/>
      </c>
      <c r="O62" s="247" t="str">
        <f t="array" ref="O62">IF(L62="","",INDEX(plan!$A:$F,MATCH(A62&amp;L62,plan!$A$2:$A$19999&amp;plan!$L$2:$L$19999,0)+1,MATCH(plan!$F$1,plan!$A$1:$F$1,0)))</f>
        <v/>
      </c>
      <c r="P62" s="219" t="str">
        <f t="array" ref="P62">IF(L62="","",INDEX(plan!$A:$O,MATCH(A62&amp;L62,plan!$A$2:$A$19999&amp;plan!$L$2:$L$19999,0)+1,MATCH(plan!$O$1,plan!$A$1:$O$1,0)))</f>
        <v/>
      </c>
      <c r="Q62" s="219" t="str">
        <f t="array" ref="Q62">IF(L62="","",IF(INDEX(plan!$A:$Q,MATCH(A62&amp;L62,plan!$A$2:$A$1984&amp;plan!$L$2:$L$1984,0)+1,MATCH(plan!$Q$1,plan!$A$1:$Q$1,0))&gt;0,INDEX(plan!$A:$Q,MATCH(A62&amp;L62,plan!$A$2:$A$1984&amp;plan!$L$2:$L$1984,0)+1,MATCH(plan!$Q$1,plan!$A$1:$Q$1,0)),""))</f>
        <v/>
      </c>
      <c r="R62" s="219" t="str">
        <f t="array" ref="R62">IF(L62="","",IF(INDEX(plan!$A:$S,MATCH(A62&amp;L62,plan!$A$2:$A$1984&amp;plan!$L$2:$L$1984,0)+1,MATCH(plan!$S$1,plan!$A$1:$S$1,0))&gt;0,INDEX(plan!$A:$S,MATCH(A62&amp;L62,plan!$A$2:$A$1984&amp;plan!$L$2:$L$1984,0)+1,MATCH(plan!$S$1,plan!$A$1:$S$1,0)),""))</f>
        <v/>
      </c>
      <c r="S62" s="202" t="str">
        <f>IF(L62="","",SUMIFS(plan!$I:$I,plan!$A:$A,圆机计划单汇总!$A62,plan!$L:$L,圆机计划单汇总!L62))</f>
        <v/>
      </c>
      <c r="T62" s="213" t="str">
        <f>IF(L62="","",SUMIFS(plan!$X:$X,plan!$A:$A,圆机计划单汇总!$A62,plan!$L:$L,圆机计划单汇总!L62))</f>
        <v/>
      </c>
      <c r="U62" s="183" t="str">
        <f>IF(L62="","",SUMIFS(plan!$Y:$Y,plan!$A:$A,圆机计划单汇总!$A62,plan!$L:$L,圆机计划单汇总!L62))</f>
        <v/>
      </c>
      <c r="V62" s="247" t="str">
        <f>IF(S62="","",SUMIFS(plan!$AB:$AB,plan!$A:$A,圆机计划单汇总!A62,plan!$L:$L,圆机计划单汇总!L62))</f>
        <v/>
      </c>
      <c r="W62" s="220"/>
      <c r="X62" s="254" t="str">
        <f>IF(L62="","",IF($X$1="坯布需求合计(Kg)",SUMIF(A:A,A62,T:T),SUMIF(A:A,A62,U:U)))</f>
        <v/>
      </c>
      <c r="Y62" s="194" t="str">
        <f t="shared" si="4"/>
        <v/>
      </c>
      <c r="Z62" s="246" t="str">
        <f t="shared" si="0"/>
        <v/>
      </c>
      <c r="AA62" s="216" t="str">
        <f t="shared" ref="AA62:AA65" si="7">IF(L62="","",Y62/Z62)</f>
        <v/>
      </c>
      <c r="AB62" s="202">
        <f>SUMIF(四面弹库存!B:B,圆机计划单汇总!A62,四面弹库存!E:E)</f>
        <v>0</v>
      </c>
      <c r="AC62" s="249">
        <f>SUMIF(四面弹库存!B:B,圆机计划单汇总!A62,四面弹库存!F:F)</f>
        <v>0</v>
      </c>
    </row>
    <row r="63" spans="1:29" ht="18" customHeight="1">
      <c r="A63" s="194" t="s">
        <v>1535</v>
      </c>
      <c r="B63" s="321"/>
      <c r="C63" s="220">
        <v>50</v>
      </c>
      <c r="D63" s="202">
        <f>SUMIF(yuanjicode,圆机计划单汇总!A63,yuanjinumber)</f>
        <v>0</v>
      </c>
      <c r="E63" s="208"/>
      <c r="F63" s="205" t="s">
        <v>1534</v>
      </c>
      <c r="G63" s="202">
        <v>36</v>
      </c>
      <c r="H63" s="202">
        <v>35</v>
      </c>
      <c r="I63" s="202">
        <v>158</v>
      </c>
      <c r="J63" s="205" t="s">
        <v>44</v>
      </c>
      <c r="K63" s="194" t="s">
        <v>2</v>
      </c>
      <c r="L63" s="248"/>
      <c r="M63" s="202" t="str">
        <f t="array" ref="M63">SUBSTITUTE(L63,N63,"")</f>
        <v/>
      </c>
      <c r="N63" s="247" t="str">
        <f t="array" ref="N63">LEFT(L63,MIN(FIND({"A","B","C"},MID(L63,2,LEN(L63))&amp;"ABC")))</f>
        <v/>
      </c>
      <c r="O63" s="247" t="str">
        <f t="array" ref="O63">IF(L63="","",INDEX(plan!$A:$F,MATCH(A63&amp;L63,plan!$A$2:$A$19999&amp;plan!$L$2:$L$19999,0)+1,MATCH(plan!$F$1,plan!$A$1:$F$1,0)))</f>
        <v/>
      </c>
      <c r="P63" s="219" t="str">
        <f t="array" ref="P63">IF(L63="","",INDEX(plan!$A:$O,MATCH(A63&amp;L63,plan!$A$2:$A$19999&amp;plan!$L$2:$L$19999,0)+1,MATCH(plan!$O$1,plan!$A$1:$O$1,0)))</f>
        <v/>
      </c>
      <c r="Q63" s="219" t="str">
        <f t="array" ref="Q63">IF(L63="","",IF(INDEX(plan!$A:$Q,MATCH(A63&amp;L63,plan!$A$2:$A$1984&amp;plan!$L$2:$L$1984,0)+1,MATCH(plan!$Q$1,plan!$A$1:$Q$1,0))&gt;0,INDEX(plan!$A:$Q,MATCH(A63&amp;L63,plan!$A$2:$A$1984&amp;plan!$L$2:$L$1984,0)+1,MATCH(plan!$Q$1,plan!$A$1:$Q$1,0)),""))</f>
        <v/>
      </c>
      <c r="R63" s="219" t="str">
        <f t="array" ref="R63">IF(L63="","",IF(INDEX(plan!$A:$S,MATCH(A63&amp;L63,plan!$A$2:$A$1984&amp;plan!$L$2:$L$1984,0)+1,MATCH(plan!$S$1,plan!$A$1:$S$1,0))&gt;0,INDEX(plan!$A:$S,MATCH(A63&amp;L63,plan!$A$2:$A$1984&amp;plan!$L$2:$L$1984,0)+1,MATCH(plan!$S$1,plan!$A$1:$S$1,0)),""))</f>
        <v/>
      </c>
      <c r="S63" s="202" t="str">
        <f>IF(L63="","",SUMIFS(plan!$I:$I,plan!$A:$A,圆机计划单汇总!$A63,plan!$L:$L,圆机计划单汇总!L63))</f>
        <v/>
      </c>
      <c r="T63" s="213" t="str">
        <f>IF(L63="","",SUMIFS(plan!$X:$X,plan!$A:$A,圆机计划单汇总!$A63,plan!$L:$L,圆机计划单汇总!L63))</f>
        <v/>
      </c>
      <c r="U63" s="183" t="str">
        <f>IF(L63="","",SUMIFS(plan!$Y:$Y,plan!$A:$A,圆机计划单汇总!$A63,plan!$L:$L,圆机计划单汇总!L63))</f>
        <v/>
      </c>
      <c r="V63" s="247" t="str">
        <f>IF(S63="","",SUMIFS(plan!$AB:$AB,plan!$A:$A,圆机计划单汇总!A63,plan!$L:$L,圆机计划单汇总!L63))</f>
        <v/>
      </c>
      <c r="W63" s="220"/>
      <c r="X63" s="254" t="str">
        <f>IF(L63="","",IF($X$1="坯布需求合计(Kg)",SUMIF(A:A,A63,T:T),SUMIF(A:A,A63,U:U)))</f>
        <v/>
      </c>
      <c r="Y63" s="194" t="str">
        <f t="shared" si="4"/>
        <v/>
      </c>
      <c r="Z63" s="246" t="str">
        <f t="shared" si="0"/>
        <v/>
      </c>
      <c r="AA63" s="216" t="str">
        <f t="shared" si="7"/>
        <v/>
      </c>
      <c r="AB63" s="202">
        <f>SUMIF(四面弹库存!B:B,圆机计划单汇总!A63,四面弹库存!E:E)</f>
        <v>0</v>
      </c>
      <c r="AC63" s="249">
        <f>SUMIF(四面弹库存!B:B,圆机计划单汇总!A63,四面弹库存!F:F)</f>
        <v>0</v>
      </c>
    </row>
    <row r="64" spans="1:29" ht="18" customHeight="1">
      <c r="A64" s="202" t="s">
        <v>1502</v>
      </c>
      <c r="B64" s="321"/>
      <c r="C64" s="220">
        <v>50</v>
      </c>
      <c r="D64" s="202">
        <f>SUMIF(yuanjicode,圆机计划单汇总!A64,yuanjinumber)</f>
        <v>1</v>
      </c>
      <c r="E64" s="208">
        <v>5</v>
      </c>
      <c r="F64" s="205" t="s">
        <v>1508</v>
      </c>
      <c r="G64" s="202">
        <v>32</v>
      </c>
      <c r="H64" s="202"/>
      <c r="I64" s="202"/>
      <c r="J64" s="205" t="s">
        <v>168</v>
      </c>
      <c r="K64" s="194" t="s">
        <v>2</v>
      </c>
      <c r="L64" s="368"/>
      <c r="M64" s="202" t="str">
        <f t="array" ref="M64">SUBSTITUTE(L64,N64,"")</f>
        <v/>
      </c>
      <c r="N64" s="247" t="str">
        <f t="array" ref="N64">LEFT(L64,MIN(FIND({"A","B","C"},MID(L64,2,LEN(L64))&amp;"ABC")))</f>
        <v/>
      </c>
      <c r="O64" s="247" t="str">
        <f t="array" ref="O64">IF(L64="","",INDEX(plan!$A:$F,MATCH(A64&amp;L64,plan!$A$2:$A$19999&amp;plan!$L$2:$L$19999,0)+1,MATCH(plan!$F$1,plan!$A$1:$F$1,0)))</f>
        <v/>
      </c>
      <c r="P64" s="219" t="str">
        <f t="array" ref="P64">IF(L64="","",INDEX(plan!$A:$O,MATCH(A64&amp;L64,plan!$A$2:$A$19999&amp;plan!$L$2:$L$19999,0)+1,MATCH(plan!$O$1,plan!$A$1:$O$1,0)))</f>
        <v/>
      </c>
      <c r="Q64" s="219" t="str">
        <f t="array" ref="Q64">IF(L64="","",IF(INDEX(plan!$A:$Q,MATCH(A64&amp;L64,plan!$A$2:$A$1984&amp;plan!$L$2:$L$1984,0)+1,MATCH(plan!$Q$1,plan!$A$1:$Q$1,0))&gt;0,INDEX(plan!$A:$Q,MATCH(A64&amp;L64,plan!$A$2:$A$1984&amp;plan!$L$2:$L$1984,0)+1,MATCH(plan!$Q$1,plan!$A$1:$Q$1,0)),""))</f>
        <v/>
      </c>
      <c r="R64" s="219" t="str">
        <f t="array" ref="R64">IF(L64="","",IF(INDEX(plan!$A:$S,MATCH(A64&amp;L64,plan!$A$2:$A$1984&amp;plan!$L$2:$L$1984,0)+1,MATCH(plan!$S$1,plan!$A$1:$S$1,0))&gt;0,INDEX(plan!$A:$S,MATCH(A64&amp;L64,plan!$A$2:$A$1984&amp;plan!$L$2:$L$1984,0)+1,MATCH(plan!$S$1,plan!$A$1:$S$1,0)),""))</f>
        <v/>
      </c>
      <c r="S64" s="202" t="str">
        <f>IF(L64="","",SUMIFS(plan!$I:$I,plan!$A:$A,圆机计划单汇总!$A64,plan!$L:$L,圆机计划单汇总!L64))</f>
        <v/>
      </c>
      <c r="T64" s="213" t="str">
        <f>IF(L64="","",SUMIFS(plan!$X:$X,plan!$A:$A,圆机计划单汇总!$A64,plan!$L:$L,圆机计划单汇总!L64))</f>
        <v/>
      </c>
      <c r="U64" s="183" t="str">
        <f>IF(L64="","",SUMIFS(plan!$Y:$Y,plan!$A:$A,圆机计划单汇总!$A64,plan!$L:$L,圆机计划单汇总!L64))</f>
        <v/>
      </c>
      <c r="V64" s="247" t="str">
        <f>IF(S64="","",SUMIFS(plan!$AB:$AB,plan!$A:$A,圆机计划单汇总!A64,plan!$L:$L,圆机计划单汇总!L64))</f>
        <v/>
      </c>
      <c r="W64" s="220"/>
      <c r="X64" s="254" t="str">
        <f>IF(L64="","",IF($X$1="坯布需求合计(Kg)",SUMIF(A:A,A64,T:T),SUMIF(A:A,A64,U:U)))</f>
        <v/>
      </c>
      <c r="Y64" s="194" t="str">
        <f t="shared" si="4"/>
        <v/>
      </c>
      <c r="Z64" s="246" t="str">
        <f>IF(S64="","",IF(K64&lt;&gt;"黑",D64*E64*20,D64*E64*22))</f>
        <v/>
      </c>
      <c r="AA64" s="216" t="str">
        <f t="shared" si="7"/>
        <v/>
      </c>
      <c r="AB64" s="202">
        <f>SUMIF(四面弹库存!B:B,圆机计划单汇总!A64,四面弹库存!E:E)</f>
        <v>165.5</v>
      </c>
      <c r="AC64" s="249">
        <f>SUMIF(四面弹库存!B:B,圆机计划单汇总!A64,四面弹库存!F:F)</f>
        <v>8</v>
      </c>
    </row>
    <row r="65" spans="1:30" s="250" customFormat="1" ht="18" customHeight="1">
      <c r="A65" s="246" t="s">
        <v>2578</v>
      </c>
      <c r="B65" s="321"/>
      <c r="C65" s="236">
        <v>50</v>
      </c>
      <c r="D65" s="247">
        <f>SUMIF(yuanjicode,圆机计划单汇总!A65,yuanjinumber)</f>
        <v>4</v>
      </c>
      <c r="E65" s="239">
        <v>5</v>
      </c>
      <c r="F65" s="240" t="s">
        <v>2576</v>
      </c>
      <c r="G65" s="235">
        <v>27</v>
      </c>
      <c r="H65" s="247">
        <v>33</v>
      </c>
      <c r="I65" s="247">
        <v>158</v>
      </c>
      <c r="J65" s="248" t="s">
        <v>2844</v>
      </c>
      <c r="K65" s="246" t="s">
        <v>2551</v>
      </c>
      <c r="L65" s="368" t="s">
        <v>2571</v>
      </c>
      <c r="M65" s="247" t="str">
        <f t="array" ref="M65">SUBSTITUTE(L65,N65,"")</f>
        <v>B563</v>
      </c>
      <c r="N65" s="247" t="str">
        <f t="array" ref="N65">LEFT(L65,MIN(FIND({"A","B","C"},MID(L65,2,LEN(L65))&amp;"ABC")))</f>
        <v>A23</v>
      </c>
      <c r="O65" s="247" t="str">
        <f t="array" ref="O65">IF(L65="","",INDEX(plan!$A:$F,MATCH(A65&amp;L65,plan!$A$2:$A$19999&amp;plan!$L$2:$L$19999,0)+1,MATCH(plan!$F$1,plan!$A$1:$F$1,0)))</f>
        <v>AA</v>
      </c>
      <c r="P65" s="219">
        <f t="array" ref="P65">IF(L65="","",INDEX(plan!$A:$O,MATCH(A65&amp;L65,plan!$A$2:$A$19999&amp;plan!$L$2:$L$19999,0)+1,MATCH(plan!$O$1,plan!$A$1:$O$1,0)))</f>
        <v>43769</v>
      </c>
      <c r="Q65" s="219">
        <f t="array" ref="Q65">IF(L65="","",IF(INDEX(plan!$A:$Q,MATCH(A65&amp;L65,plan!$A$2:$A$1984&amp;plan!$L$2:$L$1984,0)+1,MATCH(plan!$Q$1,plan!$A$1:$Q$1,0))&gt;0,INDEX(plan!$A:$Q,MATCH(A65&amp;L65,plan!$A$2:$A$1984&amp;plan!$L$2:$L$1984,0)+1,MATCH(plan!$Q$1,plan!$A$1:$Q$1,0)),""))</f>
        <v>43770</v>
      </c>
      <c r="R65" s="219" t="str">
        <f t="array" ref="R65">IF(L65="","",IF(INDEX(plan!$A:$S,MATCH(A65&amp;L65,plan!$A$2:$A$1984&amp;plan!$L$2:$L$1984,0)+1,MATCH(plan!$S$1,plan!$A$1:$S$1,0))&gt;0,INDEX(plan!$A:$S,MATCH(A65&amp;L65,plan!$A$2:$A$1984&amp;plan!$L$2:$L$1984,0)+1,MATCH(plan!$S$1,plan!$A$1:$S$1,0)),""))</f>
        <v/>
      </c>
      <c r="S65" s="247">
        <f>IF(L65="","",SUMIFS(plan!$I:$I,plan!$A:$A,圆机计划单汇总!$A65,plan!$L:$L,圆机计划单汇总!L65))</f>
        <v>108000</v>
      </c>
      <c r="T65" s="213">
        <f>IF(L65="","",SUMIFS(plan!$X:$X,plan!$A:$A,圆机计划单汇总!$A65,plan!$L:$L,圆机计划单汇总!L65))</f>
        <v>6236.2204724409457</v>
      </c>
      <c r="U65" s="183">
        <f>IF(L65="","",SUMIFS(plan!$Y:$Y,plan!$A:$A,圆机计划单汇总!$A65,plan!$L:$L,圆机计划单汇总!L65))</f>
        <v>311.81102362204729</v>
      </c>
      <c r="V65" s="247">
        <f>IF(S65="","",SUMIFS(plan!$AB:$AB,plan!$A:$A,圆机计划单汇总!A65,plan!$L:$L,圆机计划单汇总!L65))</f>
        <v>0</v>
      </c>
      <c r="W65" s="238"/>
      <c r="X65" s="255">
        <f>IF(L65="","",IF($X$1="坯布需求合计(Kg)",SUMIF(A:A,A65,T:T),SUMIF(A:A,A65,U:U)))</f>
        <v>6236.2204724409457</v>
      </c>
      <c r="Y65" s="246">
        <f t="shared" ref="Y65" si="8">IF(L65="","",X65-AB65)</f>
        <v>4387.0204724409459</v>
      </c>
      <c r="Z65" s="246">
        <f t="shared" si="0"/>
        <v>400</v>
      </c>
      <c r="AA65" s="216">
        <f t="shared" si="7"/>
        <v>10.967551181102365</v>
      </c>
      <c r="AB65" s="247">
        <f>SUMIF(四面弹库存!B:B,圆机计划单汇总!A65,四面弹库存!E:E)</f>
        <v>1849.2</v>
      </c>
      <c r="AC65" s="249">
        <f>SUMIF(四面弹库存!B:B,圆机计划单汇总!A65,四面弹库存!F:F)</f>
        <v>90</v>
      </c>
    </row>
    <row r="66" spans="1:30" ht="18" customHeight="1">
      <c r="A66" s="202" t="s">
        <v>128</v>
      </c>
      <c r="B66" s="321"/>
      <c r="C66" s="295">
        <v>75</v>
      </c>
      <c r="D66" s="295">
        <f>SUMIF(yuanjicode,圆机计划单汇总!A66,yuanjinumber)</f>
        <v>4</v>
      </c>
      <c r="E66" s="295">
        <v>7.5</v>
      </c>
      <c r="F66" s="295" t="s">
        <v>87</v>
      </c>
      <c r="G66" s="295">
        <v>45</v>
      </c>
      <c r="H66" s="202">
        <v>49</v>
      </c>
      <c r="I66" s="202">
        <v>158</v>
      </c>
      <c r="J66" s="205" t="s">
        <v>44</v>
      </c>
      <c r="K66" s="194" t="s">
        <v>2</v>
      </c>
      <c r="L66" s="248" t="s">
        <v>1533</v>
      </c>
      <c r="M66" s="202" t="str">
        <f t="array" ref="M66">SUBSTITUTE(L66,N66,"")</f>
        <v>C394</v>
      </c>
      <c r="N66" s="247" t="str">
        <f t="array" ref="N66">LEFT(L66,MIN(FIND({"A","B","C"},MID(L66,2,LEN(L66))&amp;"ABC")))</f>
        <v>A88</v>
      </c>
      <c r="O66" s="247" t="str">
        <f t="array" ref="O66">IF(L66="","",INDEX(plan!$A:$F,MATCH(A66&amp;L66,plan!$A$2:$A$19999&amp;plan!$L$2:$L$19999,0)+1,MATCH(plan!$F$1,plan!$A$1:$F$1,0)))</f>
        <v>AAA</v>
      </c>
      <c r="P66" s="219">
        <f t="array" ref="P66">IF(L66="","",INDEX(plan!$A:$O,MATCH(A66&amp;L66,plan!$A$2:$A$19999&amp;plan!$L$2:$L$19999,0)+1,MATCH(plan!$O$1,plan!$A$1:$O$1,0)))</f>
        <v>43755</v>
      </c>
      <c r="Q66" s="219">
        <f t="array" ref="Q66">IF(L66="","",IF(INDEX(plan!$A:$Q,MATCH(A66&amp;L66,plan!$A$2:$A$1984&amp;plan!$L$2:$L$1984,0)+1,MATCH(plan!$Q$1,plan!$A$1:$Q$1,0))&gt;0,INDEX(plan!$A:$Q,MATCH(A66&amp;L66,plan!$A$2:$A$1984&amp;plan!$L$2:$L$1984,0)+1,MATCH(plan!$Q$1,plan!$A$1:$Q$1,0)),""))</f>
        <v>43765</v>
      </c>
      <c r="R66" s="219" t="str">
        <f t="array" ref="R66">IF(L66="","",IF(INDEX(plan!$A:$S,MATCH(A66&amp;L66,plan!$A$2:$A$1984&amp;plan!$L$2:$L$1984,0)+1,MATCH(plan!$S$1,plan!$A$1:$S$1,0))&gt;0,INDEX(plan!$A:$S,MATCH(A66&amp;L66,plan!$A$2:$A$1984&amp;plan!$L$2:$L$1984,0)+1,MATCH(plan!$S$1,plan!$A$1:$S$1,0)),""))</f>
        <v/>
      </c>
      <c r="S66" s="202">
        <f>IF(L66="","",SUMIFS(plan!$I:$I,plan!$A:$A,圆机计划单汇总!$A66,plan!$L:$L,圆机计划单汇总!L66))</f>
        <v>60000</v>
      </c>
      <c r="T66" s="213">
        <f>IF(L66="","",SUMIFS(plan!$X:$X,plan!$A:$A,圆机计划单汇总!$A66,plan!$L:$L,圆机计划单汇总!L66))</f>
        <v>2606.9641294838152</v>
      </c>
      <c r="U66" s="183">
        <f>IF(L66="","",SUMIFS(plan!$Y:$Y,plan!$A:$A,圆机计划单汇总!$A66,plan!$L:$L,圆机计划单汇总!L66))</f>
        <v>130.34820647419076</v>
      </c>
      <c r="V66" s="247">
        <f>IF(S66="","",SUMIFS(plan!$AB:$AB,plan!$A:$A,圆机计划单汇总!A66,plan!$L:$L,圆机计划单汇总!L66))</f>
        <v>128</v>
      </c>
      <c r="W66" s="208"/>
      <c r="X66" s="295">
        <f>IF(L66="","",IF($X$1="坯布需求合计(Kg)",SUMIF(A:A,A66,T:T),SUMIF(A:A,A66,U:U)))</f>
        <v>2606.9641294838152</v>
      </c>
      <c r="Y66" s="295">
        <f t="shared" si="4"/>
        <v>2102.7641294838154</v>
      </c>
      <c r="Z66" s="246">
        <f t="shared" si="0"/>
        <v>600</v>
      </c>
      <c r="AA66" s="295">
        <f>IF(L66="","",Y66/Z66)</f>
        <v>3.5046068824730257</v>
      </c>
      <c r="AB66" s="295">
        <f>SUMIF(四面弹库存!B:B,圆机计划单汇总!A66,四面弹库存!E:E)</f>
        <v>504.2</v>
      </c>
      <c r="AC66" s="295">
        <f>SUMIF(四面弹库存!B:B,圆机计划单汇总!A66,四面弹库存!F:F)</f>
        <v>25</v>
      </c>
    </row>
    <row r="67" spans="1:30" ht="18" customHeight="1">
      <c r="A67" s="202" t="s">
        <v>128</v>
      </c>
      <c r="B67" s="321"/>
      <c r="C67" s="296"/>
      <c r="D67" s="296"/>
      <c r="E67" s="296"/>
      <c r="F67" s="296"/>
      <c r="G67" s="296"/>
      <c r="H67" s="202">
        <v>49</v>
      </c>
      <c r="I67" s="202">
        <v>158</v>
      </c>
      <c r="J67" s="205" t="s">
        <v>44</v>
      </c>
      <c r="K67" s="194" t="s">
        <v>2</v>
      </c>
      <c r="L67" s="248"/>
      <c r="M67" s="202" t="str">
        <f t="array" ref="M67">SUBSTITUTE(L67,N67,"")</f>
        <v/>
      </c>
      <c r="N67" s="247" t="str">
        <f t="array" ref="N67">LEFT(L67,MIN(FIND({"A","B","C"},MID(L67,2,LEN(L67))&amp;"ABC")))</f>
        <v/>
      </c>
      <c r="O67" s="247" t="str">
        <f t="array" ref="O67">IF(L67="","",INDEX(plan!$A:$F,MATCH(A67&amp;L67,plan!$A$2:$A$19999&amp;plan!$L$2:$L$19999,0)+1,MATCH(plan!$F$1,plan!$A$1:$F$1,0)))</f>
        <v/>
      </c>
      <c r="P67" s="219" t="str">
        <f t="array" ref="P67">IF(L67="","",INDEX(plan!$A:$O,MATCH(A67&amp;L67,plan!$A$2:$A$19999&amp;plan!$L$2:$L$19999,0)+1,MATCH(plan!$O$1,plan!$A$1:$O$1,0)))</f>
        <v/>
      </c>
      <c r="Q67" s="219" t="str">
        <f t="array" ref="Q67">IF(L67="","",IF(INDEX(plan!$A:$Q,MATCH(A67&amp;L67,plan!$A$2:$A$1984&amp;plan!$L$2:$L$1984,0)+1,MATCH(plan!$Q$1,plan!$A$1:$Q$1,0))&gt;0,INDEX(plan!$A:$Q,MATCH(A67&amp;L67,plan!$A$2:$A$1984&amp;plan!$L$2:$L$1984,0)+1,MATCH(plan!$Q$1,plan!$A$1:$Q$1,0)),""))</f>
        <v/>
      </c>
      <c r="R67" s="219" t="str">
        <f t="array" ref="R67">IF(L67="","",IF(INDEX(plan!$A:$S,MATCH(A67&amp;L67,plan!$A$2:$A$1984&amp;plan!$L$2:$L$1984,0)+1,MATCH(plan!$S$1,plan!$A$1:$S$1,0))&gt;0,INDEX(plan!$A:$S,MATCH(A67&amp;L67,plan!$A$2:$A$1984&amp;plan!$L$2:$L$1984,0)+1,MATCH(plan!$S$1,plan!$A$1:$S$1,0)),""))</f>
        <v/>
      </c>
      <c r="S67" s="202" t="str">
        <f>IF(L67="","",SUMIFS(plan!$I:$I,plan!$A:$A,圆机计划单汇总!$A67,plan!$L:$L,圆机计划单汇总!L67))</f>
        <v/>
      </c>
      <c r="T67" s="213" t="str">
        <f>IF(L67="","",SUMIFS(plan!$X:$X,plan!$A:$A,圆机计划单汇总!$A67,plan!$L:$L,圆机计划单汇总!L67))</f>
        <v/>
      </c>
      <c r="U67" s="183" t="str">
        <f>IF(L67="","",SUMIFS(plan!$Y:$Y,plan!$A:$A,圆机计划单汇总!$A67,plan!$L:$L,圆机计划单汇总!L67))</f>
        <v/>
      </c>
      <c r="V67" s="247" t="str">
        <f>IF(S67="","",SUMIFS(plan!$AB:$AB,plan!$A:$A,圆机计划单汇总!A67,plan!$L:$L,圆机计划单汇总!L67))</f>
        <v/>
      </c>
      <c r="W67" s="208"/>
      <c r="X67" s="296"/>
      <c r="Y67" s="296"/>
      <c r="Z67" s="246" t="str">
        <f t="shared" ref="Z67:Z84" si="9">IF(S67="","",IF(K67&lt;&gt;"黑",D67*E67*20,D67*E67*22))</f>
        <v/>
      </c>
      <c r="AA67" s="296"/>
      <c r="AB67" s="296"/>
      <c r="AC67" s="296"/>
    </row>
    <row r="68" spans="1:30" ht="18" customHeight="1">
      <c r="A68" s="202" t="s">
        <v>128</v>
      </c>
      <c r="B68" s="321"/>
      <c r="C68" s="296"/>
      <c r="D68" s="296"/>
      <c r="E68" s="296"/>
      <c r="F68" s="296"/>
      <c r="G68" s="296"/>
      <c r="H68" s="202">
        <v>49</v>
      </c>
      <c r="I68" s="202">
        <v>158</v>
      </c>
      <c r="J68" s="205" t="s">
        <v>44</v>
      </c>
      <c r="K68" s="194" t="s">
        <v>2</v>
      </c>
      <c r="L68" s="248"/>
      <c r="M68" s="202" t="str">
        <f t="array" ref="M68">SUBSTITUTE(L68,N68,"")</f>
        <v/>
      </c>
      <c r="N68" s="247" t="str">
        <f t="array" ref="N68">LEFT(L68,MIN(FIND({"A","B","C"},MID(L68,2,LEN(L68))&amp;"ABC")))</f>
        <v/>
      </c>
      <c r="O68" s="247" t="str">
        <f t="array" ref="O68">IF(L68="","",INDEX(plan!$A:$F,MATCH(A68&amp;L68,plan!$A$2:$A$19999&amp;plan!$L$2:$L$19999,0)+1,MATCH(plan!$F$1,plan!$A$1:$F$1,0)))</f>
        <v/>
      </c>
      <c r="P68" s="219" t="str">
        <f t="array" ref="P68">IF(L68="","",INDEX(plan!$A:$O,MATCH(A68&amp;L68,plan!$A$2:$A$19999&amp;plan!$L$2:$L$19999,0)+1,MATCH(plan!$O$1,plan!$A$1:$O$1,0)))</f>
        <v/>
      </c>
      <c r="Q68" s="219" t="str">
        <f t="array" ref="Q68">IF(L68="","",IF(INDEX(plan!$A:$Q,MATCH(A68&amp;L68,plan!$A$2:$A$1984&amp;plan!$L$2:$L$1984,0)+1,MATCH(plan!$Q$1,plan!$A$1:$Q$1,0))&gt;0,INDEX(plan!$A:$Q,MATCH(A68&amp;L68,plan!$A$2:$A$1984&amp;plan!$L$2:$L$1984,0)+1,MATCH(plan!$Q$1,plan!$A$1:$Q$1,0)),""))</f>
        <v/>
      </c>
      <c r="R68" s="219" t="str">
        <f t="array" ref="R68">IF(L68="","",IF(INDEX(plan!$A:$S,MATCH(A68&amp;L68,plan!$A$2:$A$1984&amp;plan!$L$2:$L$1984,0)+1,MATCH(plan!$S$1,plan!$A$1:$S$1,0))&gt;0,INDEX(plan!$A:$S,MATCH(A68&amp;L68,plan!$A$2:$A$1984&amp;plan!$L$2:$L$1984,0)+1,MATCH(plan!$S$1,plan!$A$1:$S$1,0)),""))</f>
        <v/>
      </c>
      <c r="S68" s="202" t="str">
        <f>IF(L68="","",SUMIFS(plan!$I:$I,plan!$A:$A,圆机计划单汇总!$A68,plan!$L:$L,圆机计划单汇总!L68))</f>
        <v/>
      </c>
      <c r="T68" s="213" t="str">
        <f>IF(L68="","",SUMIFS(plan!$X:$X,plan!$A:$A,圆机计划单汇总!$A68,plan!$L:$L,圆机计划单汇总!L68))</f>
        <v/>
      </c>
      <c r="U68" s="183" t="str">
        <f>IF(L68="","",SUMIFS(plan!$Y:$Y,plan!$A:$A,圆机计划单汇总!$A68,plan!$L:$L,圆机计划单汇总!L68))</f>
        <v/>
      </c>
      <c r="V68" s="247" t="str">
        <f>IF(S68="","",SUMIFS(plan!$AB:$AB,plan!$A:$A,圆机计划单汇总!A68,plan!$L:$L,圆机计划单汇总!L68))</f>
        <v/>
      </c>
      <c r="W68" s="208"/>
      <c r="X68" s="296"/>
      <c r="Y68" s="296"/>
      <c r="Z68" s="246" t="str">
        <f t="shared" si="9"/>
        <v/>
      </c>
      <c r="AA68" s="296"/>
      <c r="AB68" s="296"/>
      <c r="AC68" s="296"/>
    </row>
    <row r="69" spans="1:30" ht="18" customHeight="1">
      <c r="A69" s="202" t="s">
        <v>128</v>
      </c>
      <c r="B69" s="321"/>
      <c r="C69" s="297"/>
      <c r="D69" s="297"/>
      <c r="E69" s="297"/>
      <c r="F69" s="297"/>
      <c r="G69" s="297"/>
      <c r="H69" s="202">
        <v>49</v>
      </c>
      <c r="I69" s="202">
        <v>158</v>
      </c>
      <c r="J69" s="205" t="s">
        <v>44</v>
      </c>
      <c r="K69" s="194" t="s">
        <v>2</v>
      </c>
      <c r="L69" s="248"/>
      <c r="M69" s="202" t="str">
        <f t="array" ref="M69">SUBSTITUTE(L69,N69,"")</f>
        <v/>
      </c>
      <c r="N69" s="247" t="str">
        <f t="array" ref="N69">LEFT(L69,MIN(FIND({"A","B","C"},MID(L69,2,LEN(L69))&amp;"ABC")))</f>
        <v/>
      </c>
      <c r="O69" s="247" t="str">
        <f t="array" ref="O69">IF(L69="","",INDEX(plan!$A:$F,MATCH(A69&amp;L69,plan!$A$2:$A$19999&amp;plan!$L$2:$L$19999,0)+1,MATCH(plan!$F$1,plan!$A$1:$F$1,0)))</f>
        <v/>
      </c>
      <c r="P69" s="219" t="str">
        <f t="array" ref="P69">IF(L69="","",INDEX(plan!$A:$O,MATCH(A69&amp;L69,plan!$A$2:$A$19999&amp;plan!$L$2:$L$19999,0)+1,MATCH(plan!$O$1,plan!$A$1:$O$1,0)))</f>
        <v/>
      </c>
      <c r="Q69" s="219" t="str">
        <f t="array" ref="Q69">IF(L69="","",IF(INDEX(plan!$A:$Q,MATCH(A69&amp;L69,plan!$A$2:$A$1984&amp;plan!$L$2:$L$1984,0)+1,MATCH(plan!$Q$1,plan!$A$1:$Q$1,0))&gt;0,INDEX(plan!$A:$Q,MATCH(A69&amp;L69,plan!$A$2:$A$1984&amp;plan!$L$2:$L$1984,0)+1,MATCH(plan!$Q$1,plan!$A$1:$Q$1,0)),""))</f>
        <v/>
      </c>
      <c r="R69" s="219" t="str">
        <f t="array" ref="R69">IF(L69="","",IF(INDEX(plan!$A:$S,MATCH(A69&amp;L69,plan!$A$2:$A$1984&amp;plan!$L$2:$L$1984,0)+1,MATCH(plan!$S$1,plan!$A$1:$S$1,0))&gt;0,INDEX(plan!$A:$S,MATCH(A69&amp;L69,plan!$A$2:$A$1984&amp;plan!$L$2:$L$1984,0)+1,MATCH(plan!$S$1,plan!$A$1:$S$1,0)),""))</f>
        <v/>
      </c>
      <c r="S69" s="202" t="str">
        <f>IF(L69="","",SUMIFS(plan!$I:$I,plan!$A:$A,圆机计划单汇总!$A69,plan!$L:$L,圆机计划单汇总!L69))</f>
        <v/>
      </c>
      <c r="T69" s="213" t="str">
        <f>IF(L69="","",SUMIFS(plan!$X:$X,plan!$A:$A,圆机计划单汇总!$A69,plan!$L:$L,圆机计划单汇总!L69))</f>
        <v/>
      </c>
      <c r="U69" s="183" t="str">
        <f>IF(L69="","",SUMIFS(plan!$Y:$Y,plan!$A:$A,圆机计划单汇总!$A69,plan!$L:$L,圆机计划单汇总!L69))</f>
        <v/>
      </c>
      <c r="V69" s="247" t="str">
        <f>IF(S69="","",SUMIFS(plan!$AB:$AB,plan!$A:$A,圆机计划单汇总!A69,plan!$L:$L,圆机计划单汇总!L69))</f>
        <v/>
      </c>
      <c r="W69" s="208"/>
      <c r="X69" s="297"/>
      <c r="Y69" s="297"/>
      <c r="Z69" s="246" t="str">
        <f t="shared" si="9"/>
        <v/>
      </c>
      <c r="AA69" s="297"/>
      <c r="AB69" s="297"/>
      <c r="AC69" s="297"/>
    </row>
    <row r="70" spans="1:30" ht="18" customHeight="1">
      <c r="A70" s="202" t="s">
        <v>129</v>
      </c>
      <c r="B70" s="321"/>
      <c r="C70" s="295">
        <v>75</v>
      </c>
      <c r="D70" s="301">
        <f>SUMIF(yuanjicode,圆机计划单汇总!A70,yuanjinumber)</f>
        <v>2</v>
      </c>
      <c r="E70" s="305">
        <v>6</v>
      </c>
      <c r="F70" s="303" t="s">
        <v>2487</v>
      </c>
      <c r="G70" s="301">
        <v>48</v>
      </c>
      <c r="H70" s="202">
        <v>51</v>
      </c>
      <c r="I70" s="202">
        <v>158</v>
      </c>
      <c r="J70" s="205" t="s">
        <v>44</v>
      </c>
      <c r="K70" s="194" t="s">
        <v>1603</v>
      </c>
      <c r="L70" s="248" t="s">
        <v>2290</v>
      </c>
      <c r="M70" s="202" t="str">
        <f t="array" ref="M70">SUBSTITUTE(L70,N70,"")</f>
        <v>B552</v>
      </c>
      <c r="N70" s="247" t="str">
        <f t="array" ref="N70">LEFT(L70,MIN(FIND({"A","B","C"},MID(L70,2,LEN(L70))&amp;"ABC")))</f>
        <v>A94</v>
      </c>
      <c r="O70" s="247" t="str">
        <f t="array" ref="O70">IF(L70="","",INDEX(plan!$A:$F,MATCH(A70&amp;L70,plan!$A$2:$A$19999&amp;plan!$L$2:$L$19999,0)+1,MATCH(plan!$F$1,plan!$A$1:$F$1,0)))</f>
        <v>AAA</v>
      </c>
      <c r="P70" s="219">
        <f t="array" ref="P70">IF(L70="","",INDEX(plan!$A:$O,MATCH(A70&amp;L70,plan!$A$2:$A$19999&amp;plan!$L$2:$L$19999,0)+1,MATCH(plan!$O$1,plan!$A$1:$O$1,0)))</f>
        <v>43763</v>
      </c>
      <c r="Q70" s="219">
        <f t="array" ref="Q70">IF(L70="","",IF(INDEX(plan!$A:$Q,MATCH(A70&amp;L70,plan!$A$2:$A$1984&amp;plan!$L$2:$L$1984,0)+1,MATCH(plan!$Q$1,plan!$A$1:$Q$1,0))&gt;0,INDEX(plan!$A:$Q,MATCH(A70&amp;L70,plan!$A$2:$A$1984&amp;plan!$L$2:$L$1984,0)+1,MATCH(plan!$Q$1,plan!$A$1:$Q$1,0)),""))</f>
        <v>43764</v>
      </c>
      <c r="R70" s="219" t="str">
        <f t="array" ref="R70">IF(L70="","",IF(INDEX(plan!$A:$S,MATCH(A70&amp;L70,plan!$A$2:$A$1984&amp;plan!$L$2:$L$1984,0)+1,MATCH(plan!$S$1,plan!$A$1:$S$1,0))&gt;0,INDEX(plan!$A:$S,MATCH(A70&amp;L70,plan!$A$2:$A$1984&amp;plan!$L$2:$L$1984,0)+1,MATCH(plan!$S$1,plan!$A$1:$S$1,0)),""))</f>
        <v/>
      </c>
      <c r="S70" s="202">
        <f>IF(L70="","",SUMIFS(plan!$I:$I,plan!$A:$A,圆机计划单汇总!$A70,plan!$L:$L,圆机计划单汇总!L70))</f>
        <v>30000</v>
      </c>
      <c r="T70" s="213">
        <f>IF(L70="","",SUMIFS(plan!$X:$X,plan!$A:$A,圆机计划单汇总!$A70,plan!$L:$L,圆机计划单汇总!L70))</f>
        <v>2677.1653543307089</v>
      </c>
      <c r="U70" s="183">
        <f>IF(L70="","",SUMIFS(plan!$Y:$Y,plan!$A:$A,圆机计划单汇总!$A70,plan!$L:$L,圆机计划单汇总!L70))</f>
        <v>133.85826771653544</v>
      </c>
      <c r="V70" s="247">
        <f>IF(S70="","",SUMIFS(plan!$AB:$AB,plan!$A:$A,圆机计划单汇总!A70,plan!$L:$L,圆机计划单汇总!L70))</f>
        <v>0</v>
      </c>
      <c r="W70" s="220"/>
      <c r="X70" s="298">
        <f>IF(L70="","",IF($X$1="坯布需求合计(Kg)",SUMIF(A:A,A70,T:T),SUMIF(A:A,A70,U:U)))</f>
        <v>2677.1653543307089</v>
      </c>
      <c r="Y70" s="298">
        <f>X70-AB70</f>
        <v>2111.5653543307089</v>
      </c>
      <c r="Z70" s="246">
        <f t="shared" si="9"/>
        <v>240</v>
      </c>
      <c r="AA70" s="298">
        <f>Y70/Z70</f>
        <v>8.7981889763779542</v>
      </c>
      <c r="AB70" s="298">
        <f>SUMIF(四面弹库存!B:B,圆机计划单汇总!A70,四面弹库存!E:E)</f>
        <v>565.6</v>
      </c>
      <c r="AC70" s="295">
        <f>SUMIF(四面弹库存!B:B,圆机计划单汇总!A70,四面弹库存!F:F)</f>
        <v>28</v>
      </c>
    </row>
    <row r="71" spans="1:30" ht="18" customHeight="1">
      <c r="A71" s="202" t="s">
        <v>129</v>
      </c>
      <c r="B71" s="321"/>
      <c r="C71" s="296"/>
      <c r="D71" s="311"/>
      <c r="E71" s="312"/>
      <c r="F71" s="310"/>
      <c r="G71" s="311"/>
      <c r="H71" s="202">
        <v>51</v>
      </c>
      <c r="I71" s="202">
        <v>158</v>
      </c>
      <c r="J71" s="205" t="s">
        <v>44</v>
      </c>
      <c r="K71" s="194" t="s">
        <v>1603</v>
      </c>
      <c r="L71" s="248"/>
      <c r="M71" s="202" t="str">
        <f t="array" ref="M71">SUBSTITUTE(L71,N71,"")</f>
        <v/>
      </c>
      <c r="N71" s="247" t="str">
        <f t="array" ref="N71">LEFT(L71,MIN(FIND({"A","B","C"},MID(L71,2,LEN(L71))&amp;"ABC")))</f>
        <v/>
      </c>
      <c r="O71" s="247" t="str">
        <f t="array" ref="O71">IF(L71="","",INDEX(plan!$A:$F,MATCH(A71&amp;L71,plan!$A$2:$A$19999&amp;plan!$L$2:$L$19999,0)+1,MATCH(plan!$F$1,plan!$A$1:$F$1,0)))</f>
        <v/>
      </c>
      <c r="P71" s="219" t="str">
        <f t="array" ref="P71">IF(L71="","",INDEX(plan!$A:$O,MATCH(A71&amp;L71,plan!$A$2:$A$19999&amp;plan!$L$2:$L$19999,0)+1,MATCH(plan!$O$1,plan!$A$1:$O$1,0)))</f>
        <v/>
      </c>
      <c r="Q71" s="219" t="str">
        <f t="array" ref="Q71">IF(L71="","",IF(INDEX(plan!$A:$Q,MATCH(A71&amp;L71,plan!$A$2:$A$1984&amp;plan!$L$2:$L$1984,0)+1,MATCH(plan!$Q$1,plan!$A$1:$Q$1,0))&gt;0,INDEX(plan!$A:$Q,MATCH(A71&amp;L71,plan!$A$2:$A$1984&amp;plan!$L$2:$L$1984,0)+1,MATCH(plan!$Q$1,plan!$A$1:$Q$1,0)),""))</f>
        <v/>
      </c>
      <c r="R71" s="219" t="str">
        <f t="array" ref="R71">IF(L71="","",IF(INDEX(plan!$A:$S,MATCH(A71&amp;L71,plan!$A$2:$A$1984&amp;plan!$L$2:$L$1984,0)+1,MATCH(plan!$S$1,plan!$A$1:$S$1,0))&gt;0,INDEX(plan!$A:$S,MATCH(A71&amp;L71,plan!$A$2:$A$1984&amp;plan!$L$2:$L$1984,0)+1,MATCH(plan!$S$1,plan!$A$1:$S$1,0)),""))</f>
        <v/>
      </c>
      <c r="S71" s="202" t="str">
        <f>IF(L71="","",SUMIFS(plan!$I:$I,plan!$A:$A,圆机计划单汇总!$A71,plan!$L:$L,圆机计划单汇总!L71))</f>
        <v/>
      </c>
      <c r="T71" s="213" t="str">
        <f>IF(L71="","",SUMIFS(plan!$X:$X,plan!$A:$A,圆机计划单汇总!$A71,plan!$L:$L,圆机计划单汇总!L71))</f>
        <v/>
      </c>
      <c r="U71" s="183" t="str">
        <f>IF(L71="","",SUMIFS(plan!$Y:$Y,plan!$A:$A,圆机计划单汇总!$A71,plan!$L:$L,圆机计划单汇总!L71))</f>
        <v/>
      </c>
      <c r="V71" s="247" t="str">
        <f>IF(S71="","",SUMIFS(plan!$AB:$AB,plan!$A:$A,圆机计划单汇总!A71,plan!$L:$L,圆机计划单汇总!L71))</f>
        <v/>
      </c>
      <c r="W71" s="220"/>
      <c r="X71" s="299"/>
      <c r="Y71" s="299"/>
      <c r="Z71" s="246" t="str">
        <f t="shared" si="9"/>
        <v/>
      </c>
      <c r="AA71" s="299"/>
      <c r="AB71" s="299"/>
      <c r="AC71" s="296">
        <f>SUMIF(四面弹库存!B:B,圆机计划单汇总!A71,四面弹库存!F:F)</f>
        <v>28</v>
      </c>
    </row>
    <row r="72" spans="1:30" ht="18" customHeight="1">
      <c r="A72" s="202" t="s">
        <v>129</v>
      </c>
      <c r="B72" s="321"/>
      <c r="C72" s="296"/>
      <c r="D72" s="311"/>
      <c r="E72" s="312"/>
      <c r="F72" s="310"/>
      <c r="G72" s="311"/>
      <c r="H72" s="202">
        <v>51</v>
      </c>
      <c r="I72" s="202">
        <v>158</v>
      </c>
      <c r="J72" s="205" t="s">
        <v>44</v>
      </c>
      <c r="K72" s="194" t="s">
        <v>1603</v>
      </c>
      <c r="L72" s="248"/>
      <c r="M72" s="202" t="str">
        <f t="array" ref="M72">SUBSTITUTE(L72,N72,"")</f>
        <v/>
      </c>
      <c r="N72" s="247" t="str">
        <f t="array" ref="N72">LEFT(L72,MIN(FIND({"A","B","C"},MID(L72,2,LEN(L72))&amp;"ABC")))</f>
        <v/>
      </c>
      <c r="O72" s="247" t="str">
        <f t="array" ref="O72">IF(L72="","",INDEX(plan!$A:$F,MATCH(A72&amp;L72,plan!$A$2:$A$19999&amp;plan!$L$2:$L$19999,0)+1,MATCH(plan!$F$1,plan!$A$1:$F$1,0)))</f>
        <v/>
      </c>
      <c r="P72" s="219" t="str">
        <f t="array" ref="P72">IF(L72="","",INDEX(plan!$A:$O,MATCH(A72&amp;L72,plan!$A$2:$A$19999&amp;plan!$L$2:$L$19999,0)+1,MATCH(plan!$O$1,plan!$A$1:$O$1,0)))</f>
        <v/>
      </c>
      <c r="Q72" s="219" t="str">
        <f t="array" ref="Q72">IF(L72="","",IF(INDEX(plan!$A:$Q,MATCH(A72&amp;L72,plan!$A$2:$A$1984&amp;plan!$L$2:$L$1984,0)+1,MATCH(plan!$Q$1,plan!$A$1:$Q$1,0))&gt;0,INDEX(plan!$A:$Q,MATCH(A72&amp;L72,plan!$A$2:$A$1984&amp;plan!$L$2:$L$1984,0)+1,MATCH(plan!$Q$1,plan!$A$1:$Q$1,0)),""))</f>
        <v/>
      </c>
      <c r="R72" s="219" t="str">
        <f t="array" ref="R72">IF(L72="","",IF(INDEX(plan!$A:$S,MATCH(A72&amp;L72,plan!$A$2:$A$1984&amp;plan!$L$2:$L$1984,0)+1,MATCH(plan!$S$1,plan!$A$1:$S$1,0))&gt;0,INDEX(plan!$A:$S,MATCH(A72&amp;L72,plan!$A$2:$A$1984&amp;plan!$L$2:$L$1984,0)+1,MATCH(plan!$S$1,plan!$A$1:$S$1,0)),""))</f>
        <v/>
      </c>
      <c r="S72" s="202" t="str">
        <f>IF(L72="","",SUMIFS(plan!$I:$I,plan!$A:$A,圆机计划单汇总!$A72,plan!$L:$L,圆机计划单汇总!L72))</f>
        <v/>
      </c>
      <c r="T72" s="213" t="str">
        <f>IF(L72="","",SUMIFS(plan!$X:$X,plan!$A:$A,圆机计划单汇总!$A72,plan!$L:$L,圆机计划单汇总!L72))</f>
        <v/>
      </c>
      <c r="U72" s="183" t="str">
        <f>IF(L72="","",SUMIFS(plan!$Y:$Y,plan!$A:$A,圆机计划单汇总!$A72,plan!$L:$L,圆机计划单汇总!L72))</f>
        <v/>
      </c>
      <c r="V72" s="247" t="str">
        <f>IF(S72="","",SUMIFS(plan!$AB:$AB,plan!$A:$A,圆机计划单汇总!A72,plan!$L:$L,圆机计划单汇总!L72))</f>
        <v/>
      </c>
      <c r="W72" s="220"/>
      <c r="X72" s="299"/>
      <c r="Y72" s="299"/>
      <c r="Z72" s="246" t="str">
        <f t="shared" si="9"/>
        <v/>
      </c>
      <c r="AA72" s="299"/>
      <c r="AB72" s="299"/>
      <c r="AC72" s="296"/>
    </row>
    <row r="73" spans="1:30" ht="18" customHeight="1">
      <c r="A73" s="202" t="s">
        <v>129</v>
      </c>
      <c r="B73" s="321"/>
      <c r="C73" s="297"/>
      <c r="D73" s="302"/>
      <c r="E73" s="306"/>
      <c r="F73" s="304"/>
      <c r="G73" s="302"/>
      <c r="H73" s="202">
        <v>51</v>
      </c>
      <c r="I73" s="202">
        <v>158</v>
      </c>
      <c r="J73" s="205" t="s">
        <v>44</v>
      </c>
      <c r="K73" s="194" t="s">
        <v>1603</v>
      </c>
      <c r="L73" s="248"/>
      <c r="M73" s="202" t="str">
        <f t="array" ref="M73">SUBSTITUTE(L73,N73,"")</f>
        <v/>
      </c>
      <c r="N73" s="247" t="str">
        <f t="array" ref="N73">LEFT(L73,MIN(FIND({"A","B","C"},MID(L73,2,LEN(L73))&amp;"ABC")))</f>
        <v/>
      </c>
      <c r="O73" s="247" t="str">
        <f t="array" ref="O73">IF(L73="","",INDEX(plan!$A:$F,MATCH(A73&amp;L73,plan!$A$2:$A$19999&amp;plan!$L$2:$L$19999,0)+1,MATCH(plan!$F$1,plan!$A$1:$F$1,0)))</f>
        <v/>
      </c>
      <c r="P73" s="219" t="str">
        <f t="array" ref="P73">IF(L73="","",INDEX(plan!$A:$O,MATCH(A73&amp;L73,plan!$A$2:$A$19999&amp;plan!$L$2:$L$19999,0)+1,MATCH(plan!$O$1,plan!$A$1:$O$1,0)))</f>
        <v/>
      </c>
      <c r="Q73" s="219" t="str">
        <f t="array" ref="Q73">IF(L73="","",IF(INDEX(plan!$A:$Q,MATCH(A73&amp;L73,plan!$A$2:$A$1984&amp;plan!$L$2:$L$1984,0)+1,MATCH(plan!$Q$1,plan!$A$1:$Q$1,0))&gt;0,INDEX(plan!$A:$Q,MATCH(A73&amp;L73,plan!$A$2:$A$1984&amp;plan!$L$2:$L$1984,0)+1,MATCH(plan!$Q$1,plan!$A$1:$Q$1,0)),""))</f>
        <v/>
      </c>
      <c r="R73" s="219" t="str">
        <f t="array" ref="R73">IF(L73="","",IF(INDEX(plan!$A:$S,MATCH(A73&amp;L73,plan!$A$2:$A$1984&amp;plan!$L$2:$L$1984,0)+1,MATCH(plan!$S$1,plan!$A$1:$S$1,0))&gt;0,INDEX(plan!$A:$S,MATCH(A73&amp;L73,plan!$A$2:$A$1984&amp;plan!$L$2:$L$1984,0)+1,MATCH(plan!$S$1,plan!$A$1:$S$1,0)),""))</f>
        <v/>
      </c>
      <c r="S73" s="202" t="str">
        <f>IF(L73="","",SUMIFS(plan!$I:$I,plan!$A:$A,圆机计划单汇总!$A73,plan!$L:$L,圆机计划单汇总!L73))</f>
        <v/>
      </c>
      <c r="T73" s="213" t="str">
        <f>IF(L73="","",SUMIFS(plan!$X:$X,plan!$A:$A,圆机计划单汇总!$A73,plan!$L:$L,圆机计划单汇总!L73))</f>
        <v/>
      </c>
      <c r="U73" s="183" t="str">
        <f>IF(L73="","",SUMIFS(plan!$Y:$Y,plan!$A:$A,圆机计划单汇总!$A73,plan!$L:$L,圆机计划单汇总!L73))</f>
        <v/>
      </c>
      <c r="V73" s="247" t="str">
        <f>IF(S73="","",SUMIFS(plan!$AB:$AB,plan!$A:$A,圆机计划单汇总!A73,plan!$L:$L,圆机计划单汇总!L73))</f>
        <v/>
      </c>
      <c r="W73" s="220"/>
      <c r="X73" s="300"/>
      <c r="Y73" s="300"/>
      <c r="Z73" s="246" t="str">
        <f t="shared" si="9"/>
        <v/>
      </c>
      <c r="AA73" s="300"/>
      <c r="AB73" s="300"/>
      <c r="AC73" s="297"/>
    </row>
    <row r="74" spans="1:30" ht="18" customHeight="1">
      <c r="A74" s="202" t="s">
        <v>746</v>
      </c>
      <c r="B74" s="321"/>
      <c r="C74" s="295">
        <v>75</v>
      </c>
      <c r="D74" s="301">
        <f>SUMIF(yuanjicode,圆机计划单汇总!A74,yuanjinumber)</f>
        <v>0</v>
      </c>
      <c r="E74" s="305"/>
      <c r="F74" s="303" t="s">
        <v>98</v>
      </c>
      <c r="G74" s="301">
        <v>49</v>
      </c>
      <c r="H74" s="202">
        <v>54</v>
      </c>
      <c r="I74" s="202">
        <v>158</v>
      </c>
      <c r="J74" s="205" t="s">
        <v>44</v>
      </c>
      <c r="K74" s="194" t="s">
        <v>2</v>
      </c>
      <c r="L74" s="248"/>
      <c r="M74" s="202" t="str">
        <f t="array" ref="M74">SUBSTITUTE(L74,N74,"")</f>
        <v/>
      </c>
      <c r="N74" s="247" t="str">
        <f t="array" ref="N74">LEFT(L74,MIN(FIND({"A","B","C"},MID(L74,2,LEN(L74))&amp;"ABC")))</f>
        <v/>
      </c>
      <c r="O74" s="247" t="str">
        <f t="array" ref="O74">IF(L74="","",INDEX(plan!$A:$F,MATCH(A74&amp;L74,plan!$A$2:$A$19999&amp;plan!$L$2:$L$19999,0)+1,MATCH(plan!$F$1,plan!$A$1:$F$1,0)))</f>
        <v/>
      </c>
      <c r="P74" s="219" t="str">
        <f t="array" ref="P74">IF(L74="","",INDEX(plan!$A:$O,MATCH(A74&amp;L74,plan!$A$2:$A$19999&amp;plan!$L$2:$L$19999,0)+1,MATCH(plan!$O$1,plan!$A$1:$O$1,0)))</f>
        <v/>
      </c>
      <c r="Q74" s="219"/>
      <c r="R74" s="219" t="str">
        <f t="array" ref="R74">IF(L74="","",IF(INDEX(plan!$A:$S,MATCH(A74&amp;L74,plan!$A$2:$A$1984&amp;plan!$L$2:$L$1984,0)+1,MATCH(plan!$S$1,plan!$A$1:$S$1,0))&gt;0,INDEX(plan!$A:$S,MATCH(A74&amp;L74,plan!$A$2:$A$1984&amp;plan!$L$2:$L$1984,0)+1,MATCH(plan!$S$1,plan!$A$1:$S$1,0)),""))</f>
        <v/>
      </c>
      <c r="S74" s="202" t="str">
        <f>IF(L74="","",SUMIFS(plan!$I:$I,plan!$A:$A,圆机计划单汇总!$A74,plan!$L:$L,圆机计划单汇总!L74))</f>
        <v/>
      </c>
      <c r="T74" s="213" t="str">
        <f>IF(L74="","",SUMIFS(plan!$X:$X,plan!$A:$A,圆机计划单汇总!$A74,plan!$L:$L,圆机计划单汇总!L74))</f>
        <v/>
      </c>
      <c r="U74" s="183" t="str">
        <f>IF(L74="","",SUMIFS(plan!$Y:$Y,plan!$A:$A,圆机计划单汇总!$A74,plan!$L:$L,圆机计划单汇总!L74))</f>
        <v/>
      </c>
      <c r="V74" s="247" t="str">
        <f>IF(S74="","",SUMIFS(plan!$AB:$AB,plan!$A:$A,圆机计划单汇总!A74,plan!$L:$L,圆机计划单汇总!L74))</f>
        <v/>
      </c>
      <c r="W74" s="220"/>
      <c r="X74" s="298" t="str">
        <f>IF(L74="","",IF($X$1="坯布需求合计(Kg)",SUMIF(A:A,A74,T:T),SUMIF(A:A,A74,U:U)))</f>
        <v/>
      </c>
      <c r="Y74" s="298" t="str">
        <f>IF(L74="","",X74-AB74)</f>
        <v/>
      </c>
      <c r="Z74" s="246" t="str">
        <f t="shared" si="9"/>
        <v/>
      </c>
      <c r="AA74" s="298" t="str">
        <f>IF(L74="","",Y74/Z74)</f>
        <v/>
      </c>
      <c r="AB74" s="298">
        <f>IF(O74="",VLOOKUP(A74,四面弹库存!B:E,4,FALSE),SUMIF(四面弹库存!B:B,圆机计划单汇总!A74,四面弹库存!E:E))</f>
        <v>191.8</v>
      </c>
      <c r="AC74" s="295">
        <f>SUMIF(四面弹库存!B:B,圆机计划单汇总!A74,四面弹库存!F:F)</f>
        <v>10</v>
      </c>
    </row>
    <row r="75" spans="1:30" ht="18" customHeight="1">
      <c r="A75" s="202" t="s">
        <v>746</v>
      </c>
      <c r="B75" s="321"/>
      <c r="C75" s="297"/>
      <c r="D75" s="302"/>
      <c r="E75" s="306"/>
      <c r="F75" s="304"/>
      <c r="G75" s="302"/>
      <c r="H75" s="202">
        <v>54</v>
      </c>
      <c r="I75" s="202">
        <v>158</v>
      </c>
      <c r="J75" s="205" t="s">
        <v>44</v>
      </c>
      <c r="K75" s="194" t="s">
        <v>2</v>
      </c>
      <c r="L75" s="248"/>
      <c r="M75" s="202" t="str">
        <f t="array" ref="M75">SUBSTITUTE(L75,N75,"")</f>
        <v/>
      </c>
      <c r="N75" s="247" t="str">
        <f t="array" ref="N75">LEFT(L75,MIN(FIND({"A","B","C"},MID(L75,2,LEN(L75))&amp;"ABC")))</f>
        <v/>
      </c>
      <c r="O75" s="247" t="str">
        <f t="array" ref="O75">IF(L75="","",INDEX(plan!$A:$F,MATCH(A75&amp;L75,plan!$A$2:$A$19999&amp;plan!$L$2:$L$19999,0)+1,MATCH(plan!$F$1,plan!$A$1:$F$1,0)))</f>
        <v/>
      </c>
      <c r="P75" s="219" t="str">
        <f t="array" ref="P75">IF(L75="","",INDEX(plan!$A:$O,MATCH(A75&amp;L75,plan!$A$2:$A$19999&amp;plan!$L$2:$L$19999,0)+1,MATCH(plan!$O$1,plan!$A$1:$O$1,0)))</f>
        <v/>
      </c>
      <c r="Q75" s="219" t="str">
        <f t="array" ref="Q75">IF(L75="","",IF(INDEX(plan!$A:$Q,MATCH(A75&amp;L75,plan!$A$2:$A$1984&amp;plan!$L$2:$L$1984,0)+1,MATCH(plan!$Q$1,plan!$A$1:$Q$1,0))&gt;0,INDEX(plan!$A:$Q,MATCH(A75&amp;L75,plan!$A$2:$A$1984&amp;plan!$L$2:$L$1984,0)+1,MATCH(plan!$Q$1,plan!$A$1:$Q$1,0)),""))</f>
        <v/>
      </c>
      <c r="R75" s="219" t="str">
        <f t="array" ref="R75">IF(L75="","",IF(INDEX(plan!$A:$S,MATCH(A75&amp;L75,plan!$A$2:$A$1984&amp;plan!$L$2:$L$1984,0)+1,MATCH(plan!$S$1,plan!$A$1:$S$1,0))&gt;0,INDEX(plan!$A:$S,MATCH(A75&amp;L75,plan!$A$2:$A$1984&amp;plan!$L$2:$L$1984,0)+1,MATCH(plan!$S$1,plan!$A$1:$S$1,0)),""))</f>
        <v/>
      </c>
      <c r="S75" s="202" t="str">
        <f>IF(L75="","",SUMIFS(plan!$I:$I,plan!$A:$A,圆机计划单汇总!$A75,plan!$L:$L,圆机计划单汇总!L75))</f>
        <v/>
      </c>
      <c r="T75" s="213" t="str">
        <f>IF(L75="","",SUMIFS(plan!$X:$X,plan!$A:$A,圆机计划单汇总!$A75,plan!$L:$L,圆机计划单汇总!L75))</f>
        <v/>
      </c>
      <c r="U75" s="183" t="str">
        <f>IF(L75="","",SUMIFS(plan!$Y:$Y,plan!$A:$A,圆机计划单汇总!$A75,plan!$L:$L,圆机计划单汇总!L75))</f>
        <v/>
      </c>
      <c r="V75" s="247" t="str">
        <f>IF(S75="","",SUMIFS(plan!$AB:$AB,plan!$A:$A,圆机计划单汇总!A75,plan!$L:$L,圆机计划单汇总!L75))</f>
        <v/>
      </c>
      <c r="W75" s="220"/>
      <c r="X75" s="300"/>
      <c r="Y75" s="300"/>
      <c r="Z75" s="246" t="str">
        <f t="shared" si="9"/>
        <v/>
      </c>
      <c r="AA75" s="300"/>
      <c r="AB75" s="300"/>
      <c r="AC75" s="297"/>
    </row>
    <row r="76" spans="1:30" ht="18" customHeight="1">
      <c r="A76" s="194" t="s">
        <v>238</v>
      </c>
      <c r="B76" s="321" t="s">
        <v>1504</v>
      </c>
      <c r="C76" s="220">
        <v>30</v>
      </c>
      <c r="D76" s="202">
        <f>SUMIF(yuanjicode,圆机计划单汇总!A76,yuanjinumber)</f>
        <v>1</v>
      </c>
      <c r="E76" s="208">
        <v>3</v>
      </c>
      <c r="F76" s="205" t="s">
        <v>16</v>
      </c>
      <c r="G76" s="202">
        <v>23</v>
      </c>
      <c r="H76" s="202"/>
      <c r="I76" s="202">
        <v>160</v>
      </c>
      <c r="J76" s="205" t="s">
        <v>175</v>
      </c>
      <c r="K76" s="194" t="s">
        <v>2</v>
      </c>
      <c r="L76" s="248" t="s">
        <v>3147</v>
      </c>
      <c r="M76" s="202" t="str">
        <f t="array" ref="M76">SUBSTITUTE(L76,N76,"")</f>
        <v>C421</v>
      </c>
      <c r="N76" s="247" t="str">
        <f t="array" ref="N76">LEFT(L76,MIN(FIND({"A","B","C"},MID(L76,2,LEN(L76))&amp;"ABC")))</f>
        <v>A90</v>
      </c>
      <c r="O76" s="247" t="str">
        <f t="array" ref="O76">IF(L76="","",INDEX(plan!$A:$F,MATCH(A76&amp;L76,plan!$A$2:$A$19999&amp;plan!$L$2:$L$19999,0)+1,MATCH(plan!$F$1,plan!$A$1:$F$1,0)))</f>
        <v>AA</v>
      </c>
      <c r="P76" s="219">
        <f t="array" ref="P76">IF(L76="","",INDEX(plan!$A:$O,MATCH(A76&amp;L76,plan!$A$2:$A$19999&amp;plan!$L$2:$L$19999,0)+1,MATCH(plan!$O$1,plan!$A$1:$O$1,0)))</f>
        <v>43775</v>
      </c>
      <c r="Q76" s="219" t="str">
        <f t="array" ref="Q76">IF(L76="","",IF(INDEX(plan!$A:$Q,MATCH(A76&amp;L76,plan!$A$2:$A$1984&amp;plan!$L$2:$L$1984,0)+1,MATCH(plan!$Q$1,plan!$A$1:$Q$1,0))&gt;0,INDEX(plan!$A:$Q,MATCH(A76&amp;L76,plan!$A$2:$A$1984&amp;plan!$L$2:$L$1984,0)+1,MATCH(plan!$Q$1,plan!$A$1:$Q$1,0)),""))</f>
        <v/>
      </c>
      <c r="R76" s="219" t="str">
        <f t="array" ref="R76">IF(L76="","",IF(INDEX(plan!$A:$S,MATCH(A76&amp;L76,plan!$A$2:$A$1984&amp;plan!$L$2:$L$1984,0)+1,MATCH(plan!$S$1,plan!$A$1:$S$1,0))&gt;0,INDEX(plan!$A:$S,MATCH(A76&amp;L76,plan!$A$2:$A$1984&amp;plan!$L$2:$L$1984,0)+1,MATCH(plan!$S$1,plan!$A$1:$S$1,0)),""))</f>
        <v/>
      </c>
      <c r="S76" s="202">
        <f>IF(L76="","",SUMIFS(plan!$I:$I,plan!$A:$A,圆机计划单汇总!$A76,plan!$L:$L,圆机计划单汇总!L76))</f>
        <v>3000</v>
      </c>
      <c r="T76" s="213">
        <f>IF(L76="","",SUMIFS(plan!$X:$X,plan!$A:$A,圆机计划单汇总!$A76,plan!$L:$L,圆机计划单汇总!L76))</f>
        <v>122.24409448818901</v>
      </c>
      <c r="U76" s="183">
        <f>IF(L76="","",SUMIFS(plan!$Y:$Y,plan!$A:$A,圆机计划单汇总!$A76,plan!$L:$L,圆机计划单汇总!L76))</f>
        <v>6.11220472440945</v>
      </c>
      <c r="V76" s="247">
        <f>IF(S76="","",SUMIFS(plan!$AB:$AB,plan!$A:$A,圆机计划单汇总!A76,plan!$L:$L,圆机计划单汇总!L76))</f>
        <v>0</v>
      </c>
      <c r="W76" s="220"/>
      <c r="X76" s="254">
        <f>IF(L76="","",IF($X$1="坯布需求合计(Kg)",SUMIF(A:A,A76,T:T),SUMIF(A:A,A76,U:U)))</f>
        <v>122.24409448818901</v>
      </c>
      <c r="Y76" s="194">
        <f t="shared" ref="Y76:Y84" si="10">IF(L76="","",X76-AB76)</f>
        <v>-1256.855905511811</v>
      </c>
      <c r="Z76" s="246">
        <f t="shared" si="9"/>
        <v>60</v>
      </c>
      <c r="AA76" s="216">
        <f>IF(L76="","",Y76/Z76)</f>
        <v>-20.947598425196851</v>
      </c>
      <c r="AB76" s="202">
        <f>SUMIF(四面弹库存!B:B,圆机计划单汇总!A76,四面弹库存!E:E)</f>
        <v>1379.1</v>
      </c>
      <c r="AC76" s="249">
        <f>SUMIF(四面弹库存!B:B,圆机计划单汇总!A76,四面弹库存!F:F)</f>
        <v>72</v>
      </c>
      <c r="AD76" s="206" t="s">
        <v>2225</v>
      </c>
    </row>
    <row r="77" spans="1:30" ht="18" customHeight="1">
      <c r="A77" s="194" t="s">
        <v>734</v>
      </c>
      <c r="B77" s="321"/>
      <c r="C77" s="295">
        <v>30</v>
      </c>
      <c r="D77" s="295">
        <f>SUMIF(yuanjicode,圆机计划单汇总!A77,yuanjinumber)</f>
        <v>0</v>
      </c>
      <c r="E77" s="295"/>
      <c r="F77" s="295" t="s">
        <v>753</v>
      </c>
      <c r="G77" s="295">
        <v>23</v>
      </c>
      <c r="H77" s="202">
        <v>23</v>
      </c>
      <c r="I77" s="202">
        <v>160</v>
      </c>
      <c r="J77" s="205" t="s">
        <v>168</v>
      </c>
      <c r="K77" s="194" t="s">
        <v>2</v>
      </c>
      <c r="L77" s="248"/>
      <c r="M77" s="202" t="str">
        <f t="array" ref="M77">SUBSTITUTE(L77,N77,"")</f>
        <v/>
      </c>
      <c r="N77" s="247" t="str">
        <f t="array" ref="N77">LEFT(L77,MIN(FIND({"A","B","C"},MID(L77,2,LEN(L77))&amp;"ABC")))</f>
        <v/>
      </c>
      <c r="O77" s="247" t="str">
        <f t="array" ref="O77">IF(L77="","",INDEX(plan!$A:$F,MATCH(A77&amp;L77,plan!$A$2:$A$19999&amp;plan!$L$2:$L$19999,0)+1,MATCH(plan!$F$1,plan!$A$1:$F$1,0)))</f>
        <v/>
      </c>
      <c r="P77" s="219" t="str">
        <f t="array" ref="P77">IF(L77="","",INDEX(plan!$A:$O,MATCH(A77&amp;L77,plan!$A$2:$A$19999&amp;plan!$L$2:$L$19999,0)+1,MATCH(plan!$O$1,plan!$A$1:$O$1,0)))</f>
        <v/>
      </c>
      <c r="Q77" s="219" t="str">
        <f t="array" ref="Q77">IF(L77="","",IF(INDEX(plan!$A:$Q,MATCH(A77&amp;L77,plan!$A$2:$A$1984&amp;plan!$L$2:$L$1984,0)+1,MATCH(plan!$Q$1,plan!$A$1:$Q$1,0))&gt;0,INDEX(plan!$A:$Q,MATCH(A77&amp;L77,plan!$A$2:$A$1984&amp;plan!$L$2:$L$1984,0)+1,MATCH(plan!$Q$1,plan!$A$1:$Q$1,0)),""))</f>
        <v/>
      </c>
      <c r="R77" s="219" t="str">
        <f t="array" ref="R77">IF(L77="","",IF(INDEX(plan!$A:$S,MATCH(A77&amp;L77,plan!$A$2:$A$1984&amp;plan!$L$2:$L$1984,0)+1,MATCH(plan!$S$1,plan!$A$1:$S$1,0))&gt;0,INDEX(plan!$A:$S,MATCH(A77&amp;L77,plan!$A$2:$A$1984&amp;plan!$L$2:$L$1984,0)+1,MATCH(plan!$S$1,plan!$A$1:$S$1,0)),""))</f>
        <v/>
      </c>
      <c r="S77" s="202" t="str">
        <f>IF(L77="","",SUMIFS(plan!$I:$I,plan!$A:$A,圆机计划单汇总!$A77,plan!$L:$L,圆机计划单汇总!L77))</f>
        <v/>
      </c>
      <c r="T77" s="213" t="str">
        <f>IF(L77="","",SUMIFS(plan!$X:$X,plan!$A:$A,圆机计划单汇总!$A77,plan!$L:$L,圆机计划单汇总!L77))</f>
        <v/>
      </c>
      <c r="U77" s="183" t="str">
        <f>IF(L77="","",SUMIFS(plan!$Y:$Y,plan!$A:$A,圆机计划单汇总!$A77,plan!$L:$L,圆机计划单汇总!L77))</f>
        <v/>
      </c>
      <c r="V77" s="247" t="str">
        <f>IF(S77="","",SUMIFS(plan!$AB:$AB,plan!$A:$A,圆机计划单汇总!A77,plan!$L:$L,圆机计划单汇总!L77))</f>
        <v/>
      </c>
      <c r="W77" s="220"/>
      <c r="X77" s="298" t="str">
        <f>IF(L77="","",IF($X$1="坯布需求合计(Kg)",SUMIF(A:A,A77,T:T),SUMIF(A:A,A77,U:U)))</f>
        <v/>
      </c>
      <c r="Y77" s="298" t="str">
        <f t="shared" si="10"/>
        <v/>
      </c>
      <c r="Z77" s="246" t="str">
        <f t="shared" si="9"/>
        <v/>
      </c>
      <c r="AA77" s="298" t="str">
        <f>IF(L77="","",Y77/Z77)</f>
        <v/>
      </c>
      <c r="AB77" s="298">
        <f>SUMIF(四面弹库存!B:B,圆机计划单汇总!A77,四面弹库存!E:E)</f>
        <v>53.3</v>
      </c>
      <c r="AC77" s="295">
        <f>SUMIF(四面弹库存!B:B,圆机计划单汇总!A77,四面弹库存!F:F)</f>
        <v>3</v>
      </c>
    </row>
    <row r="78" spans="1:30" ht="18" customHeight="1">
      <c r="A78" s="194" t="s">
        <v>734</v>
      </c>
      <c r="B78" s="321"/>
      <c r="C78" s="296"/>
      <c r="D78" s="296"/>
      <c r="E78" s="296"/>
      <c r="F78" s="296"/>
      <c r="G78" s="296"/>
      <c r="H78" s="202">
        <v>23</v>
      </c>
      <c r="I78" s="202">
        <v>160</v>
      </c>
      <c r="J78" s="205" t="s">
        <v>168</v>
      </c>
      <c r="K78" s="194" t="s">
        <v>2</v>
      </c>
      <c r="L78" s="248"/>
      <c r="M78" s="202" t="str">
        <f t="array" ref="M78">SUBSTITUTE(L78,N78,"")</f>
        <v/>
      </c>
      <c r="N78" s="247" t="str">
        <f t="array" ref="N78">LEFT(L78,MIN(FIND({"A","B","C"},MID(L78,2,LEN(L78))&amp;"ABC")))</f>
        <v/>
      </c>
      <c r="O78" s="247" t="str">
        <f t="array" ref="O78">IF(L78="","",INDEX(plan!$A:$F,MATCH(A78&amp;L78,plan!$A$2:$A$19999&amp;plan!$L$2:$L$19999,0)+1,MATCH(plan!$F$1,plan!$A$1:$F$1,0)))</f>
        <v/>
      </c>
      <c r="P78" s="219" t="str">
        <f t="array" ref="P78">IF(L78="","",INDEX(plan!$A:$O,MATCH(A78&amp;L78,plan!$A$2:$A$19999&amp;plan!$L$2:$L$19999,0)+1,MATCH(plan!$O$1,plan!$A$1:$O$1,0)))</f>
        <v/>
      </c>
      <c r="Q78" s="219" t="str">
        <f t="array" ref="Q78">IF(L78="","",IF(INDEX(plan!$A:$Q,MATCH(A78&amp;L78,plan!$A$2:$A$1984&amp;plan!$L$2:$L$1984,0)+1,MATCH(plan!$Q$1,plan!$A$1:$Q$1,0))&gt;0,INDEX(plan!$A:$Q,MATCH(A78&amp;L78,plan!$A$2:$A$1984&amp;plan!$L$2:$L$1984,0)+1,MATCH(plan!$Q$1,plan!$A$1:$Q$1,0)),""))</f>
        <v/>
      </c>
      <c r="R78" s="219" t="str">
        <f t="array" ref="R78">IF(L78="","",IF(INDEX(plan!$A:$S,MATCH(A78&amp;L78,plan!$A$2:$A$1984&amp;plan!$L$2:$L$1984,0)+1,MATCH(plan!$S$1,plan!$A$1:$S$1,0))&gt;0,INDEX(plan!$A:$S,MATCH(A78&amp;L78,plan!$A$2:$A$1984&amp;plan!$L$2:$L$1984,0)+1,MATCH(plan!$S$1,plan!$A$1:$S$1,0)),""))</f>
        <v/>
      </c>
      <c r="S78" s="202" t="str">
        <f>IF(L78="","",SUMIFS(plan!$I:$I,plan!$A:$A,圆机计划单汇总!$A78,plan!$L:$L,圆机计划单汇总!L78))</f>
        <v/>
      </c>
      <c r="T78" s="213" t="str">
        <f>IF(L78="","",SUMIFS(plan!$X:$X,plan!$A:$A,圆机计划单汇总!$A78,plan!$L:$L,圆机计划单汇总!L78))</f>
        <v/>
      </c>
      <c r="U78" s="183" t="str">
        <f>IF(L78="","",SUMIFS(plan!$Y:$Y,plan!$A:$A,圆机计划单汇总!$A78,plan!$L:$L,圆机计划单汇总!L78))</f>
        <v/>
      </c>
      <c r="V78" s="247" t="str">
        <f>IF(S78="","",SUMIFS(plan!$AB:$AB,plan!$A:$A,圆机计划单汇总!A78,plan!$L:$L,圆机计划单汇总!L78))</f>
        <v/>
      </c>
      <c r="W78" s="220"/>
      <c r="X78" s="299"/>
      <c r="Y78" s="299"/>
      <c r="Z78" s="246" t="str">
        <f t="shared" si="9"/>
        <v/>
      </c>
      <c r="AA78" s="299"/>
      <c r="AB78" s="299"/>
      <c r="AC78" s="296"/>
    </row>
    <row r="79" spans="1:30" ht="18" customHeight="1">
      <c r="A79" s="194" t="s">
        <v>734</v>
      </c>
      <c r="B79" s="321"/>
      <c r="C79" s="297"/>
      <c r="D79" s="297"/>
      <c r="E79" s="297"/>
      <c r="F79" s="297"/>
      <c r="G79" s="297"/>
      <c r="H79" s="202">
        <v>23</v>
      </c>
      <c r="I79" s="202">
        <v>160</v>
      </c>
      <c r="J79" s="205" t="s">
        <v>168</v>
      </c>
      <c r="K79" s="194" t="s">
        <v>2</v>
      </c>
      <c r="L79" s="248"/>
      <c r="M79" s="202" t="str">
        <f t="array" ref="M79">SUBSTITUTE(L79,N79,"")</f>
        <v/>
      </c>
      <c r="N79" s="247" t="str">
        <f t="array" ref="N79">LEFT(L79,MIN(FIND({"A","B","C"},MID(L79,2,LEN(L79))&amp;"ABC")))</f>
        <v/>
      </c>
      <c r="O79" s="247" t="str">
        <f t="array" ref="O79">IF(L79="","",INDEX(plan!$A:$F,MATCH(A79&amp;L79,plan!$A$2:$A$19999&amp;plan!$L$2:$L$19999,0)+1,MATCH(plan!$F$1,plan!$A$1:$F$1,0)))</f>
        <v/>
      </c>
      <c r="P79" s="219" t="str">
        <f t="array" ref="P79">IF(L79="","",INDEX(plan!$A:$O,MATCH(A79&amp;L79,plan!$A$2:$A$19999&amp;plan!$L$2:$L$19999,0)+1,MATCH(plan!$O$1,plan!$A$1:$O$1,0)))</f>
        <v/>
      </c>
      <c r="Q79" s="219" t="str">
        <f t="array" ref="Q79">IF(L79="","",IF(INDEX(plan!$A:$Q,MATCH(A79&amp;L79,plan!$A$2:$A$1984&amp;plan!$L$2:$L$1984,0)+1,MATCH(plan!$Q$1,plan!$A$1:$Q$1,0))&gt;0,INDEX(plan!$A:$Q,MATCH(A79&amp;L79,plan!$A$2:$A$1984&amp;plan!$L$2:$L$1984,0)+1,MATCH(plan!$Q$1,plan!$A$1:$Q$1,0)),""))</f>
        <v/>
      </c>
      <c r="R79" s="219" t="str">
        <f t="array" ref="R79">IF(L79="","",IF(INDEX(plan!$A:$S,MATCH(A79&amp;L79,plan!$A$2:$A$1984&amp;plan!$L$2:$L$1984,0)+1,MATCH(plan!$S$1,plan!$A$1:$S$1,0))&gt;0,INDEX(plan!$A:$S,MATCH(A79&amp;L79,plan!$A$2:$A$1984&amp;plan!$L$2:$L$1984,0)+1,MATCH(plan!$S$1,plan!$A$1:$S$1,0)),""))</f>
        <v/>
      </c>
      <c r="S79" s="202" t="str">
        <f>IF(L79="","",SUMIFS(plan!$I:$I,plan!$A:$A,圆机计划单汇总!$A79,plan!$L:$L,圆机计划单汇总!L79))</f>
        <v/>
      </c>
      <c r="T79" s="213" t="str">
        <f>IF(L79="","",SUMIFS(plan!$X:$X,plan!$A:$A,圆机计划单汇总!$A79,plan!$L:$L,圆机计划单汇总!L79))</f>
        <v/>
      </c>
      <c r="U79" s="183" t="str">
        <f>IF(L79="","",SUMIFS(plan!$Y:$Y,plan!$A:$A,圆机计划单汇总!$A79,plan!$L:$L,圆机计划单汇总!L79))</f>
        <v/>
      </c>
      <c r="V79" s="247" t="str">
        <f>IF(S79="","",SUMIFS(plan!$AB:$AB,plan!$A:$A,圆机计划单汇总!A79,plan!$L:$L,圆机计划单汇总!L79))</f>
        <v/>
      </c>
      <c r="W79" s="220"/>
      <c r="X79" s="300"/>
      <c r="Y79" s="300" t="str">
        <f t="shared" ref="Y79" si="11">IF(L79="","",X79-AB79)</f>
        <v/>
      </c>
      <c r="Z79" s="246" t="str">
        <f t="shared" si="9"/>
        <v/>
      </c>
      <c r="AA79" s="300" t="str">
        <f t="shared" ref="AA79" si="12">IF(L79="","",Y79/Z79)</f>
        <v/>
      </c>
      <c r="AB79" s="300"/>
      <c r="AC79" s="297"/>
    </row>
    <row r="80" spans="1:30" ht="18" customHeight="1">
      <c r="A80" s="194" t="s">
        <v>2471</v>
      </c>
      <c r="B80" s="321"/>
      <c r="C80" s="221">
        <v>30</v>
      </c>
      <c r="D80" s="221">
        <f>SUMIF(yuanjicode,圆机计划单汇总!A80,yuanjinumber)</f>
        <v>0</v>
      </c>
      <c r="E80" s="221"/>
      <c r="F80" s="221" t="s">
        <v>2476</v>
      </c>
      <c r="G80" s="221">
        <v>23</v>
      </c>
      <c r="H80" s="202">
        <v>23</v>
      </c>
      <c r="I80" s="202">
        <v>160</v>
      </c>
      <c r="J80" s="205" t="s">
        <v>168</v>
      </c>
      <c r="K80" s="194" t="s">
        <v>2</v>
      </c>
      <c r="L80" s="248"/>
      <c r="M80" s="202" t="str">
        <f t="array" ref="M80">SUBSTITUTE(L80,N80,"")</f>
        <v/>
      </c>
      <c r="N80" s="247" t="str">
        <f t="array" ref="N80">LEFT(L80,MIN(FIND({"A","B","C"},MID(L80,2,LEN(L80))&amp;"ABC")))</f>
        <v/>
      </c>
      <c r="O80" s="247" t="str">
        <f t="array" ref="O80">IF(L80="","",INDEX(plan!$A:$F,MATCH(A80&amp;L80,plan!$A$2:$A$19999&amp;plan!$L$2:$L$19999,0)+1,MATCH(plan!$F$1,plan!$A$1:$F$1,0)))</f>
        <v/>
      </c>
      <c r="P80" s="219" t="str">
        <f t="array" ref="P80">IF(L80="","",INDEX(plan!$A:$O,MATCH(A80&amp;L80,plan!$A$2:$A$19999&amp;plan!$L$2:$L$19999,0)+1,MATCH(plan!$O$1,plan!$A$1:$O$1,0)))</f>
        <v/>
      </c>
      <c r="Q80" s="219" t="str">
        <f t="array" ref="Q80">IF(L80="","",IF(INDEX(plan!$A:$Q,MATCH(A80&amp;L80,plan!$A$2:$A$1984&amp;plan!$L$2:$L$1984,0)+1,MATCH(plan!$Q$1,plan!$A$1:$Q$1,0))&gt;0,INDEX(plan!$A:$Q,MATCH(A80&amp;L80,plan!$A$2:$A$1984&amp;plan!$L$2:$L$1984,0)+1,MATCH(plan!$Q$1,plan!$A$1:$Q$1,0)),""))</f>
        <v/>
      </c>
      <c r="R80" s="219" t="str">
        <f t="array" ref="R80">IF(L80="","",IF(INDEX(plan!$A:$S,MATCH(A80&amp;L80,plan!$A$2:$A$1984&amp;plan!$L$2:$L$1984,0)+1,MATCH(plan!$S$1,plan!$A$1:$S$1,0))&gt;0,INDEX(plan!$A:$S,MATCH(A80&amp;L80,plan!$A$2:$A$1984&amp;plan!$L$2:$L$1984,0)+1,MATCH(plan!$S$1,plan!$A$1:$S$1,0)),""))</f>
        <v/>
      </c>
      <c r="S80" s="202" t="str">
        <f>IF(L80="","",SUMIFS(plan!$I:$I,plan!$A:$A,圆机计划单汇总!$A80,plan!$L:$L,圆机计划单汇总!L80))</f>
        <v/>
      </c>
      <c r="T80" s="213" t="str">
        <f>IF(L80="","",SUMIFS(plan!$X:$X,plan!$A:$A,圆机计划单汇总!$A80,plan!$L:$L,圆机计划单汇总!L80))</f>
        <v/>
      </c>
      <c r="U80" s="183" t="str">
        <f>IF(L80="","",SUMIFS(plan!$Y:$Y,plan!$A:$A,圆机计划单汇总!$A80,plan!$L:$L,圆机计划单汇总!L80))</f>
        <v/>
      </c>
      <c r="V80" s="247" t="str">
        <f>IF(S80="","",SUMIFS(plan!$AB:$AB,plan!$A:$A,圆机计划单汇总!A80,plan!$L:$L,圆机计划单汇总!L80))</f>
        <v/>
      </c>
      <c r="W80" s="220"/>
      <c r="X80" s="262" t="str">
        <f>IF(L80="","",IF($X$1="坯布需求合计(Kg)",SUMIF(A:A,A80,T:T),SUMIF(A:A,A80,U:U)))</f>
        <v/>
      </c>
      <c r="Y80" s="262" t="str">
        <f t="shared" si="10"/>
        <v/>
      </c>
      <c r="Z80" s="246" t="str">
        <f t="shared" si="9"/>
        <v/>
      </c>
      <c r="AA80" s="262" t="str">
        <f>IF(L80="","",Y80/Z80)</f>
        <v/>
      </c>
      <c r="AB80" s="262">
        <f>SUMIF(四面弹库存!B:B,圆机计划单汇总!A80,四面弹库存!E:E)</f>
        <v>53.3</v>
      </c>
      <c r="AC80" s="237">
        <f>SUMIF(四面弹库存!B:B,圆机计划单汇总!A80,四面弹库存!F:F)</f>
        <v>3</v>
      </c>
    </row>
    <row r="81" spans="1:29" ht="18" customHeight="1">
      <c r="A81" s="194" t="s">
        <v>735</v>
      </c>
      <c r="B81" s="321"/>
      <c r="C81" s="220">
        <v>30</v>
      </c>
      <c r="D81" s="221">
        <f>SUMIF(yuanjicode,圆机计划单汇总!A81,yuanjinumber)</f>
        <v>0</v>
      </c>
      <c r="E81" s="208"/>
      <c r="F81" s="205" t="s">
        <v>754</v>
      </c>
      <c r="G81" s="202">
        <v>21</v>
      </c>
      <c r="H81" s="202"/>
      <c r="I81" s="202"/>
      <c r="J81" s="205" t="s">
        <v>180</v>
      </c>
      <c r="K81" s="194" t="s">
        <v>2</v>
      </c>
      <c r="L81" s="368"/>
      <c r="M81" s="202" t="str">
        <f t="array" ref="M81">SUBSTITUTE(L81,N81,"")</f>
        <v/>
      </c>
      <c r="N81" s="247" t="str">
        <f t="array" ref="N81">LEFT(L81,MIN(FIND({"A","B","C"},MID(L81,2,LEN(L81))&amp;"ABC")))</f>
        <v/>
      </c>
      <c r="O81" s="247" t="str">
        <f t="array" ref="O81">IF(L81="","",INDEX(plan!$A:$F,MATCH(A81&amp;L81,plan!$A$2:$A$19999&amp;plan!$L$2:$L$19999,0)+1,MATCH(plan!$F$1,plan!$A$1:$F$1,0)))</f>
        <v/>
      </c>
      <c r="P81" s="219" t="str">
        <f t="array" ref="P81">IF(L81="","",INDEX(plan!$A:$O,MATCH(A81&amp;L81,plan!$A$2:$A$19999&amp;plan!$L$2:$L$19999,0)+1,MATCH(plan!$O$1,plan!$A$1:$O$1,0)))</f>
        <v/>
      </c>
      <c r="Q81" s="219" t="str">
        <f t="array" ref="Q81">IF(L81="","",IF(INDEX(plan!$A:$Q,MATCH(A81&amp;L81,plan!$A$2:$A$1984&amp;plan!$L$2:$L$1984,0)+1,MATCH(plan!$Q$1,plan!$A$1:$Q$1,0))&gt;0,INDEX(plan!$A:$Q,MATCH(A81&amp;L81,plan!$A$2:$A$1984&amp;plan!$L$2:$L$1984,0)+1,MATCH(plan!$Q$1,plan!$A$1:$Q$1,0)),""))</f>
        <v/>
      </c>
      <c r="R81" s="219" t="str">
        <f t="array" ref="R81">IF(L81="","",IF(INDEX(plan!$A:$S,MATCH(A81&amp;L81,plan!$A$2:$A$1984&amp;plan!$L$2:$L$1984,0)+1,MATCH(plan!$S$1,plan!$A$1:$S$1,0))&gt;0,INDEX(plan!$A:$S,MATCH(A81&amp;L81,plan!$A$2:$A$1984&amp;plan!$L$2:$L$1984,0)+1,MATCH(plan!$S$1,plan!$A$1:$S$1,0)),""))</f>
        <v/>
      </c>
      <c r="S81" s="202" t="str">
        <f>IF(L81="","",SUMIFS(plan!$I:$I,plan!$A:$A,圆机计划单汇总!$A81,plan!$L:$L,圆机计划单汇总!L81))</f>
        <v/>
      </c>
      <c r="T81" s="213" t="str">
        <f>IF(L81="","",SUMIFS(plan!$X:$X,plan!$A:$A,圆机计划单汇总!$A81,plan!$L:$L,圆机计划单汇总!L81))</f>
        <v/>
      </c>
      <c r="U81" s="183" t="str">
        <f>IF(L81="","",SUMIFS(plan!$Y:$Y,plan!$A:$A,圆机计划单汇总!$A81,plan!$L:$L,圆机计划单汇总!L81))</f>
        <v/>
      </c>
      <c r="V81" s="247" t="str">
        <f>IF(S81="","",SUMIFS(plan!$AB:$AB,plan!$A:$A,圆机计划单汇总!A81,plan!$L:$L,圆机计划单汇总!L81))</f>
        <v/>
      </c>
      <c r="W81" s="220"/>
      <c r="X81" s="262" t="str">
        <f>IF(L81="","",IF($X$1="坯布需求合计(Kg)",SUMIF(A:A,A81,T:T),SUMIF(A:A,A81,U:U)))</f>
        <v/>
      </c>
      <c r="Y81" s="262" t="str">
        <f t="shared" si="10"/>
        <v/>
      </c>
      <c r="Z81" s="246" t="str">
        <f t="shared" si="9"/>
        <v/>
      </c>
      <c r="AA81" s="262" t="str">
        <f t="shared" ref="AA81:AA84" si="13">IF(L81="","",Y81/Z81)</f>
        <v/>
      </c>
      <c r="AB81" s="262">
        <f>SUMIF(四面弹库存!B:B,圆机计划单汇总!A81,四面弹库存!E:E)</f>
        <v>155.19999999999999</v>
      </c>
      <c r="AC81" s="237">
        <f>SUMIF(四面弹库存!B:B,圆机计划单汇总!A81,四面弹库存!F:F)</f>
        <v>8</v>
      </c>
    </row>
    <row r="82" spans="1:29" ht="18" customHeight="1">
      <c r="A82" s="194" t="s">
        <v>120</v>
      </c>
      <c r="B82" s="321"/>
      <c r="C82" s="220">
        <v>30</v>
      </c>
      <c r="D82" s="221">
        <f>SUMIF(yuanjicode,圆机计划单汇总!A82,yuanjinumber)</f>
        <v>0</v>
      </c>
      <c r="E82" s="208"/>
      <c r="F82" s="205" t="s">
        <v>23</v>
      </c>
      <c r="G82" s="202">
        <v>29</v>
      </c>
      <c r="H82" s="202">
        <v>28</v>
      </c>
      <c r="I82" s="202">
        <v>163</v>
      </c>
      <c r="J82" s="205" t="s">
        <v>180</v>
      </c>
      <c r="K82" s="194" t="s">
        <v>2</v>
      </c>
      <c r="L82" s="248"/>
      <c r="M82" s="202" t="str">
        <f t="array" ref="M82">SUBSTITUTE(L82,N82,"")</f>
        <v/>
      </c>
      <c r="N82" s="247" t="str">
        <f t="array" ref="N82">LEFT(L82,MIN(FIND({"A","B","C"},MID(L82,2,LEN(L82))&amp;"ABC")))</f>
        <v/>
      </c>
      <c r="O82" s="247" t="str">
        <f t="array" ref="O82">IF(L82="","",INDEX(plan!$A:$F,MATCH(A82&amp;L82,plan!$A$2:$A$19999&amp;plan!$L$2:$L$19999,0)+1,MATCH(plan!$F$1,plan!$A$1:$F$1,0)))</f>
        <v/>
      </c>
      <c r="P82" s="219" t="str">
        <f t="array" ref="P82">IF(L82="","",INDEX(plan!$A:$O,MATCH(A82&amp;L82,plan!$A$2:$A$19999&amp;plan!$L$2:$L$19999,0)+1,MATCH(plan!$O$1,plan!$A$1:$O$1,0)))</f>
        <v/>
      </c>
      <c r="Q82" s="219" t="str">
        <f t="array" ref="Q82">IF(L82="","",IF(INDEX(plan!$A:$Q,MATCH(A82&amp;L82,plan!$A$2:$A$1984&amp;plan!$L$2:$L$1984,0)+1,MATCH(plan!$Q$1,plan!$A$1:$Q$1,0))&gt;0,INDEX(plan!$A:$Q,MATCH(A82&amp;L82,plan!$A$2:$A$1984&amp;plan!$L$2:$L$1984,0)+1,MATCH(plan!$Q$1,plan!$A$1:$Q$1,0)),""))</f>
        <v/>
      </c>
      <c r="R82" s="219" t="str">
        <f t="array" ref="R82">IF(L82="","",IF(INDEX(plan!$A:$S,MATCH(A82&amp;L82,plan!$A$2:$A$1984&amp;plan!$L$2:$L$1984,0)+1,MATCH(plan!$S$1,plan!$A$1:$S$1,0))&gt;0,INDEX(plan!$A:$S,MATCH(A82&amp;L82,plan!$A$2:$A$1984&amp;plan!$L$2:$L$1984,0)+1,MATCH(plan!$S$1,plan!$A$1:$S$1,0)),""))</f>
        <v/>
      </c>
      <c r="S82" s="202" t="str">
        <f>IF(L82="","",SUMIFS(plan!$I:$I,plan!$A:$A,圆机计划单汇总!$A82,plan!$L:$L,圆机计划单汇总!L82))</f>
        <v/>
      </c>
      <c r="T82" s="213" t="str">
        <f>IF(L82="","",SUMIFS(plan!$X:$X,plan!$A:$A,圆机计划单汇总!$A82,plan!$L:$L,圆机计划单汇总!L82))</f>
        <v/>
      </c>
      <c r="U82" s="183" t="str">
        <f>IF(L82="","",SUMIFS(plan!$Y:$Y,plan!$A:$A,圆机计划单汇总!$A82,plan!$L:$L,圆机计划单汇总!L82))</f>
        <v/>
      </c>
      <c r="V82" s="247" t="str">
        <f>IF(S82="","",SUMIFS(plan!$AB:$AB,plan!$A:$A,圆机计划单汇总!A82,plan!$L:$L,圆机计划单汇总!L82))</f>
        <v/>
      </c>
      <c r="W82" s="220"/>
      <c r="X82" s="262" t="str">
        <f>IF(L82="","",IF($X$1="坯布需求合计(Kg)",SUMIF(A:A,A82,T:T),SUMIF(A:A,A82,U:U)))</f>
        <v/>
      </c>
      <c r="Y82" s="262" t="str">
        <f t="shared" si="10"/>
        <v/>
      </c>
      <c r="Z82" s="246" t="str">
        <f t="shared" si="9"/>
        <v/>
      </c>
      <c r="AA82" s="262" t="str">
        <f t="shared" si="13"/>
        <v/>
      </c>
      <c r="AB82" s="262">
        <f>SUMIF(四面弹库存!B:B,圆机计划单汇总!A82,四面弹库存!E:E)</f>
        <v>98.3</v>
      </c>
      <c r="AC82" s="237">
        <f>SUMIF(四面弹库存!B:B,圆机计划单汇总!A82,四面弹库存!F:F)</f>
        <v>5</v>
      </c>
    </row>
    <row r="83" spans="1:29" ht="18" customHeight="1">
      <c r="A83" s="202" t="s">
        <v>740</v>
      </c>
      <c r="B83" s="321"/>
      <c r="C83" s="220">
        <v>50</v>
      </c>
      <c r="D83" s="221">
        <f>SUMIF(yuanjicode,圆机计划单汇总!A83,yuanjinumber)</f>
        <v>0</v>
      </c>
      <c r="E83" s="208"/>
      <c r="F83" s="205" t="s">
        <v>72</v>
      </c>
      <c r="G83" s="202">
        <v>32</v>
      </c>
      <c r="H83" s="202"/>
      <c r="I83" s="202"/>
      <c r="J83" s="205" t="s">
        <v>177</v>
      </c>
      <c r="K83" s="194" t="s">
        <v>2</v>
      </c>
      <c r="L83" s="368"/>
      <c r="M83" s="202" t="str">
        <f t="array" ref="M83">SUBSTITUTE(L83,N83,"")</f>
        <v/>
      </c>
      <c r="N83" s="247" t="str">
        <f t="array" ref="N83">LEFT(L83,MIN(FIND({"A","B","C"},MID(L83,2,LEN(L83))&amp;"ABC")))</f>
        <v/>
      </c>
      <c r="O83" s="247" t="str">
        <f t="array" ref="O83">IF(L83="","",INDEX(plan!$A:$F,MATCH(A83&amp;L83,plan!$A$2:$A$19999&amp;plan!$L$2:$L$19999,0)+1,MATCH(plan!$F$1,plan!$A$1:$F$1,0)))</f>
        <v/>
      </c>
      <c r="P83" s="219" t="str">
        <f t="array" ref="P83">IF(L83="","",INDEX(plan!$A:$O,MATCH(A83&amp;L83,plan!$A$2:$A$19999&amp;plan!$L$2:$L$19999,0)+1,MATCH(plan!$O$1,plan!$A$1:$O$1,0)))</f>
        <v/>
      </c>
      <c r="Q83" s="219" t="str">
        <f t="array" ref="Q83">IF(L83="","",IF(INDEX(plan!$A:$Q,MATCH(A83&amp;L83,plan!$A$2:$A$1984&amp;plan!$L$2:$L$1984,0)+1,MATCH(plan!$Q$1,plan!$A$1:$Q$1,0))&gt;0,INDEX(plan!$A:$Q,MATCH(A83&amp;L83,plan!$A$2:$A$1984&amp;plan!$L$2:$L$1984,0)+1,MATCH(plan!$Q$1,plan!$A$1:$Q$1,0)),""))</f>
        <v/>
      </c>
      <c r="R83" s="219" t="str">
        <f t="array" ref="R83">IF(L83="","",IF(INDEX(plan!$A:$S,MATCH(A83&amp;L83,plan!$A$2:$A$1984&amp;plan!$L$2:$L$1984,0)+1,MATCH(plan!$S$1,plan!$A$1:$S$1,0))&gt;0,INDEX(plan!$A:$S,MATCH(A83&amp;L83,plan!$A$2:$A$1984&amp;plan!$L$2:$L$1984,0)+1,MATCH(plan!$S$1,plan!$A$1:$S$1,0)),""))</f>
        <v/>
      </c>
      <c r="S83" s="202" t="str">
        <f>IF(L83="","",SUMIFS(plan!$I:$I,plan!$A:$A,圆机计划单汇总!$A83,plan!$L:$L,圆机计划单汇总!L83))</f>
        <v/>
      </c>
      <c r="T83" s="213" t="str">
        <f>IF(L83="","",SUMIFS(plan!$X:$X,plan!$A:$A,圆机计划单汇总!$A83,plan!$L:$L,圆机计划单汇总!L83))</f>
        <v/>
      </c>
      <c r="U83" s="183" t="str">
        <f>IF(L83="","",SUMIFS(plan!$Y:$Y,plan!$A:$A,圆机计划单汇总!$A83,plan!$L:$L,圆机计划单汇总!L83))</f>
        <v/>
      </c>
      <c r="V83" s="247" t="str">
        <f>IF(S83="","",SUMIFS(plan!$AB:$AB,plan!$A:$A,圆机计划单汇总!A83,plan!$L:$L,圆机计划单汇总!L83))</f>
        <v/>
      </c>
      <c r="W83" s="220"/>
      <c r="X83" s="262" t="str">
        <f>IF(L83="","",IF($X$1="坯布需求合计(Kg)",SUMIF(A:A,A83,T:T),SUMIF(A:A,A83,U:U)))</f>
        <v/>
      </c>
      <c r="Y83" s="262" t="str">
        <f t="shared" si="10"/>
        <v/>
      </c>
      <c r="Z83" s="246" t="str">
        <f t="shared" si="9"/>
        <v/>
      </c>
      <c r="AA83" s="262" t="str">
        <f t="shared" si="13"/>
        <v/>
      </c>
      <c r="AB83" s="262">
        <f>SUMIF(四面弹库存!B:B,圆机计划单汇总!A83,四面弹库存!E:E)</f>
        <v>0</v>
      </c>
      <c r="AC83" s="237">
        <f>SUMIF(四面弹库存!B:B,圆机计划单汇总!A83,四面弹库存!F:F)</f>
        <v>0</v>
      </c>
    </row>
    <row r="84" spans="1:29" ht="18" customHeight="1">
      <c r="A84" s="194" t="s">
        <v>1623</v>
      </c>
      <c r="B84" s="321"/>
      <c r="C84" s="220">
        <v>50</v>
      </c>
      <c r="D84" s="221">
        <f>SUMIF(yuanjicode,圆机计划单汇总!A84,yuanjinumber)</f>
        <v>2</v>
      </c>
      <c r="E84" s="208">
        <v>4</v>
      </c>
      <c r="F84" s="205" t="s">
        <v>1624</v>
      </c>
      <c r="G84" s="202">
        <v>35</v>
      </c>
      <c r="H84" s="202"/>
      <c r="I84" s="202"/>
      <c r="J84" s="205" t="s">
        <v>177</v>
      </c>
      <c r="K84" s="194" t="s">
        <v>2</v>
      </c>
      <c r="L84" s="368"/>
      <c r="M84" s="202" t="str">
        <f t="array" ref="M84">SUBSTITUTE(L84,N84,"")</f>
        <v/>
      </c>
      <c r="N84" s="247" t="str">
        <f t="array" ref="N84">LEFT(L84,MIN(FIND({"A","B","C"},MID(L84,2,LEN(L84))&amp;"ABC")))</f>
        <v/>
      </c>
      <c r="O84" s="247" t="str">
        <f t="array" ref="O84">IF(L84="","",INDEX(plan!$A:$F,MATCH(A84&amp;L84,plan!$A$2:$A$19999&amp;plan!$L$2:$L$19999,0)+1,MATCH(plan!$F$1,plan!$A$1:$F$1,0)))</f>
        <v/>
      </c>
      <c r="P84" s="219" t="str">
        <f t="array" ref="P84">IF(L84="","",INDEX(plan!$A:$O,MATCH(A84&amp;L84,plan!$A$2:$A$19999&amp;plan!$L$2:$L$19999,0)+1,MATCH(plan!$O$1,plan!$A$1:$O$1,0)))</f>
        <v/>
      </c>
      <c r="Q84" s="219" t="str">
        <f t="array" ref="Q84">IF(L84="","",IF(INDEX(plan!$A:$Q,MATCH(A84&amp;L84,plan!$A$2:$A$1984&amp;plan!$L$2:$L$1984,0)+1,MATCH(plan!$Q$1,plan!$A$1:$Q$1,0))&gt;0,INDEX(plan!$A:$Q,MATCH(A84&amp;L84,plan!$A$2:$A$1984&amp;plan!$L$2:$L$1984,0)+1,MATCH(plan!$Q$1,plan!$A$1:$Q$1,0)),""))</f>
        <v/>
      </c>
      <c r="R84" s="219" t="str">
        <f t="array" ref="R84">IF(L84="","",IF(INDEX(plan!$A:$S,MATCH(A84&amp;L84,plan!$A$2:$A$1984&amp;plan!$L$2:$L$1984,0)+1,MATCH(plan!$S$1,plan!$A$1:$S$1,0))&gt;0,INDEX(plan!$A:$S,MATCH(A84&amp;L84,plan!$A$2:$A$1984&amp;plan!$L$2:$L$1984,0)+1,MATCH(plan!$S$1,plan!$A$1:$S$1,0)),""))</f>
        <v/>
      </c>
      <c r="S84" s="202" t="str">
        <f>IF(L84="","",SUMIFS(plan!$I:$I,plan!$A:$A,圆机计划单汇总!$A84,plan!$L:$L,圆机计划单汇总!L84))</f>
        <v/>
      </c>
      <c r="T84" s="213" t="str">
        <f>IF(L84="","",SUMIFS(plan!$X:$X,plan!$A:$A,圆机计划单汇总!$A84,plan!$L:$L,圆机计划单汇总!L84))</f>
        <v/>
      </c>
      <c r="U84" s="183" t="str">
        <f>IF(L84="","",SUMIFS(plan!$Y:$Y,plan!$A:$A,圆机计划单汇总!$A84,plan!$L:$L,圆机计划单汇总!L84))</f>
        <v/>
      </c>
      <c r="V84" s="247" t="str">
        <f>IF(S84="","",SUMIFS(plan!$AB:$AB,plan!$A:$A,圆机计划单汇总!A84,plan!$L:$L,圆机计划单汇总!L84))</f>
        <v/>
      </c>
      <c r="W84" s="220"/>
      <c r="X84" s="262" t="str">
        <f>IF(L84="","",IF($X$1="坯布需求合计(Kg)",SUMIF(A:A,A84,T:T),SUMIF(A:A,A84,U:U)))</f>
        <v/>
      </c>
      <c r="Y84" s="262" t="str">
        <f t="shared" si="10"/>
        <v/>
      </c>
      <c r="Z84" s="246" t="str">
        <f t="shared" si="9"/>
        <v/>
      </c>
      <c r="AA84" s="262" t="str">
        <f t="shared" si="13"/>
        <v/>
      </c>
      <c r="AB84" s="262">
        <f>SUMIF(四面弹库存!B:B,圆机计划单汇总!A84,四面弹库存!E:E)</f>
        <v>389.2</v>
      </c>
      <c r="AC84" s="237">
        <f>SUMIF(四面弹库存!B:B,圆机计划单汇总!A84,四面弹库存!F:F)</f>
        <v>20</v>
      </c>
    </row>
    <row r="85" spans="1:29">
      <c r="B85" s="206" t="s">
        <v>1650</v>
      </c>
      <c r="D85" s="206">
        <f>SUM(D2:D84)</f>
        <v>70</v>
      </c>
    </row>
    <row r="90" spans="1:29">
      <c r="T90" s="206">
        <f>T4*0.9144/((I4+2)/100)/(H4/1000)</f>
        <v>19835.673187571912</v>
      </c>
    </row>
  </sheetData>
  <mergeCells count="143">
    <mergeCell ref="AA52:AA54"/>
    <mergeCell ref="AB52:AB54"/>
    <mergeCell ref="AC52:AC54"/>
    <mergeCell ref="C4:C5"/>
    <mergeCell ref="D4:D5"/>
    <mergeCell ref="E4:E5"/>
    <mergeCell ref="F4:F5"/>
    <mergeCell ref="G4:G5"/>
    <mergeCell ref="X4:X5"/>
    <mergeCell ref="Y4:Y5"/>
    <mergeCell ref="AA4:AA5"/>
    <mergeCell ref="AB4:AB5"/>
    <mergeCell ref="AC4:AC5"/>
    <mergeCell ref="AB7:AB10"/>
    <mergeCell ref="AC7:AC10"/>
    <mergeCell ref="X7:X10"/>
    <mergeCell ref="Y7:Y10"/>
    <mergeCell ref="H7:H10"/>
    <mergeCell ref="I7:I10"/>
    <mergeCell ref="B76:B84"/>
    <mergeCell ref="B11:B21"/>
    <mergeCell ref="D37:D48"/>
    <mergeCell ref="D25:D36"/>
    <mergeCell ref="D7:D10"/>
    <mergeCell ref="D49:D51"/>
    <mergeCell ref="D52:D54"/>
    <mergeCell ref="D70:D73"/>
    <mergeCell ref="C70:C73"/>
    <mergeCell ref="C74:C75"/>
    <mergeCell ref="D74:D75"/>
    <mergeCell ref="AA7:AA10"/>
    <mergeCell ref="Y49:Y51"/>
    <mergeCell ref="X49:X51"/>
    <mergeCell ref="G25:G36"/>
    <mergeCell ref="G37:G48"/>
    <mergeCell ref="B2:B4"/>
    <mergeCell ref="B7:B10"/>
    <mergeCell ref="B22:B75"/>
    <mergeCell ref="E7:E10"/>
    <mergeCell ref="X25:X36"/>
    <mergeCell ref="X13:X14"/>
    <mergeCell ref="I13:I14"/>
    <mergeCell ref="H13:H14"/>
    <mergeCell ref="G13:G14"/>
    <mergeCell ref="F13:F14"/>
    <mergeCell ref="D13:D14"/>
    <mergeCell ref="C13:C14"/>
    <mergeCell ref="E13:E14"/>
    <mergeCell ref="X70:X73"/>
    <mergeCell ref="G49:G51"/>
    <mergeCell ref="F7:F10"/>
    <mergeCell ref="G7:G10"/>
    <mergeCell ref="F25:F36"/>
    <mergeCell ref="F37:F48"/>
    <mergeCell ref="E49:E51"/>
    <mergeCell ref="E37:E48"/>
    <mergeCell ref="X37:X48"/>
    <mergeCell ref="F49:F51"/>
    <mergeCell ref="C7:C10"/>
    <mergeCell ref="AC70:AC73"/>
    <mergeCell ref="F70:F73"/>
    <mergeCell ref="G70:G73"/>
    <mergeCell ref="Y70:Y73"/>
    <mergeCell ref="Y13:Y14"/>
    <mergeCell ref="AA13:AA14"/>
    <mergeCell ref="AB13:AB14"/>
    <mergeCell ref="AC13:AC14"/>
    <mergeCell ref="Y25:Y36"/>
    <mergeCell ref="AA25:AA36"/>
    <mergeCell ref="AB25:AB36"/>
    <mergeCell ref="AC25:AC36"/>
    <mergeCell ref="AC49:AC51"/>
    <mergeCell ref="Y37:Y48"/>
    <mergeCell ref="AA49:AA51"/>
    <mergeCell ref="AB49:AB51"/>
    <mergeCell ref="AA37:AA48"/>
    <mergeCell ref="AB37:AB48"/>
    <mergeCell ref="AC37:AC48"/>
    <mergeCell ref="X52:X54"/>
    <mergeCell ref="Y52:Y54"/>
    <mergeCell ref="X16:X18"/>
    <mergeCell ref="Y16:Y18"/>
    <mergeCell ref="AA16:AA18"/>
    <mergeCell ref="AB16:AB18"/>
    <mergeCell ref="AC16:AC18"/>
    <mergeCell ref="E74:E75"/>
    <mergeCell ref="F74:F75"/>
    <mergeCell ref="G74:G75"/>
    <mergeCell ref="X74:X75"/>
    <mergeCell ref="Y74:Y75"/>
    <mergeCell ref="AB22:AB24"/>
    <mergeCell ref="AC22:AC24"/>
    <mergeCell ref="F22:F24"/>
    <mergeCell ref="G22:G24"/>
    <mergeCell ref="H22:H24"/>
    <mergeCell ref="I22:I24"/>
    <mergeCell ref="E70:E73"/>
    <mergeCell ref="X22:X24"/>
    <mergeCell ref="Y22:Y24"/>
    <mergeCell ref="AA22:AA24"/>
    <mergeCell ref="E22:E24"/>
    <mergeCell ref="E25:E36"/>
    <mergeCell ref="H16:H18"/>
    <mergeCell ref="I16:I18"/>
    <mergeCell ref="C77:C79"/>
    <mergeCell ref="D77:D79"/>
    <mergeCell ref="E77:E79"/>
    <mergeCell ref="F77:F79"/>
    <mergeCell ref="G77:G79"/>
    <mergeCell ref="G52:G54"/>
    <mergeCell ref="F52:F54"/>
    <mergeCell ref="E52:E54"/>
    <mergeCell ref="C52:C54"/>
    <mergeCell ref="C16:C18"/>
    <mergeCell ref="D16:D18"/>
    <mergeCell ref="E16:E18"/>
    <mergeCell ref="F16:F18"/>
    <mergeCell ref="G16:G18"/>
    <mergeCell ref="C37:C48"/>
    <mergeCell ref="C22:C24"/>
    <mergeCell ref="D22:D24"/>
    <mergeCell ref="C49:C51"/>
    <mergeCell ref="C25:C36"/>
    <mergeCell ref="AC77:AC79"/>
    <mergeCell ref="C66:C69"/>
    <mergeCell ref="D66:D69"/>
    <mergeCell ref="E66:E69"/>
    <mergeCell ref="F66:F69"/>
    <mergeCell ref="G66:G69"/>
    <mergeCell ref="X66:X69"/>
    <mergeCell ref="Y66:Y69"/>
    <mergeCell ref="AA66:AA69"/>
    <mergeCell ref="AB66:AB69"/>
    <mergeCell ref="AC66:AC69"/>
    <mergeCell ref="X77:X79"/>
    <mergeCell ref="Y77:Y79"/>
    <mergeCell ref="AA77:AA79"/>
    <mergeCell ref="AB77:AB79"/>
    <mergeCell ref="AA74:AA75"/>
    <mergeCell ref="AB74:AB75"/>
    <mergeCell ref="AC74:AC75"/>
    <mergeCell ref="AA70:AA73"/>
    <mergeCell ref="AB70:AB73"/>
  </mergeCells>
  <phoneticPr fontId="1" type="noConversion"/>
  <conditionalFormatting sqref="A46:A48 F43:G47 D43:D47 S48:U48 A43:B47 W43:W47">
    <cfRule type="expression" dxfId="5" priority="9">
      <formula>#REF!&lt;&gt;""</formula>
    </cfRule>
  </conditionalFormatting>
  <conditionalFormatting sqref="L2:W84">
    <cfRule type="expression" dxfId="4" priority="2">
      <formula>AND($L2&lt;&gt;"",$R2="")</formula>
    </cfRule>
  </conditionalFormatting>
  <conditionalFormatting sqref="AC11:AC12 AC37:AC65 AC15 AC19:AC21 AC76 AC2:AC3 AC6:AC7">
    <cfRule type="expression" dxfId="3" priority="34">
      <formula>$AC2&gt;$X2</formula>
    </cfRule>
  </conditionalFormatting>
  <dataValidations count="2">
    <dataValidation type="list" allowBlank="1" showInputMessage="1" showErrorMessage="1" sqref="X1">
      <formula1>"坯布需求合计(件),坯布需求合计(Kg)"</formula1>
    </dataValidation>
    <dataValidation type="custom" errorStyle="warning" allowBlank="1" showInputMessage="1" showErrorMessage="1" sqref="L1:L84">
      <formula1>COUNTIF($L$1:$L$84,L1)&lt;=1</formula1>
    </dataValidation>
  </dataValidations>
  <pageMargins left="0" right="0" top="0" bottom="0" header="0.19685039370078741" footer="0.19685039370078741"/>
  <pageSetup paperSize="9" scale="78" orientation="landscape" horizontalDpi="0" verticalDpi="0" r:id="rId1"/>
  <rowBreaks count="1" manualBreakCount="1">
    <brk id="44" max="16383" man="1"/>
  </rowBreaks>
  <ignoredErrors>
    <ignoredError sqref="AA15 X15" formula="1"/>
    <ignoredError sqref="AC15 AA52" evalError="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9"/>
  <dimension ref="A1:Z66"/>
  <sheetViews>
    <sheetView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K11" sqref="K11"/>
    </sheetView>
  </sheetViews>
  <sheetFormatPr defaultColWidth="5.375" defaultRowHeight="13.5"/>
  <cols>
    <col min="1" max="1" width="14.25" style="86" customWidth="1"/>
    <col min="2" max="2" width="14.125" style="177" customWidth="1"/>
    <col min="3" max="3" width="8.375" style="86" customWidth="1"/>
    <col min="4" max="4" width="5.25" style="177" bestFit="1" customWidth="1"/>
    <col min="5" max="6" width="8.5" style="177" bestFit="1" customWidth="1"/>
    <col min="7" max="7" width="5.5" style="177" bestFit="1" customWidth="1"/>
    <col min="8" max="8" width="6.5" style="177" bestFit="1" customWidth="1"/>
    <col min="9" max="9" width="12" style="177" customWidth="1"/>
    <col min="10" max="10" width="8.5" style="203" bestFit="1" customWidth="1"/>
    <col min="11" max="12" width="8.5" style="177" bestFit="1" customWidth="1"/>
    <col min="13" max="13" width="5.375" style="177"/>
    <col min="14" max="14" width="5.5" style="177" bestFit="1" customWidth="1"/>
    <col min="15" max="15" width="11.625" style="191" bestFit="1" customWidth="1"/>
    <col min="16" max="16" width="9" style="206" bestFit="1" customWidth="1"/>
    <col min="17" max="17" width="11.625" style="206" bestFit="1" customWidth="1"/>
    <col min="18" max="19" width="9" style="177" bestFit="1" customWidth="1"/>
    <col min="20" max="20" width="8.125" style="177" bestFit="1" customWidth="1"/>
    <col min="21" max="23" width="7.125" style="206" customWidth="1"/>
    <col min="24" max="24" width="5.25" style="206" bestFit="1" customWidth="1"/>
    <col min="25" max="26" width="9" style="177" bestFit="1" customWidth="1"/>
    <col min="27" max="16384" width="5.375" style="177"/>
  </cols>
  <sheetData>
    <row r="1" spans="1:26" ht="27">
      <c r="A1" s="92" t="s">
        <v>1676</v>
      </c>
      <c r="B1" s="194" t="s">
        <v>1671</v>
      </c>
      <c r="C1" s="92" t="s">
        <v>268</v>
      </c>
      <c r="D1" s="194" t="s">
        <v>124</v>
      </c>
      <c r="E1" s="194" t="s">
        <v>1672</v>
      </c>
      <c r="F1" s="194" t="s">
        <v>1673</v>
      </c>
      <c r="G1" s="194" t="s">
        <v>271</v>
      </c>
      <c r="H1" s="194" t="s">
        <v>269</v>
      </c>
      <c r="I1" s="194" t="s">
        <v>1674</v>
      </c>
      <c r="J1" s="214" t="s">
        <v>1255</v>
      </c>
      <c r="K1" s="194" t="s">
        <v>1755</v>
      </c>
      <c r="L1" s="194" t="s">
        <v>1756</v>
      </c>
      <c r="M1" s="194" t="s">
        <v>1757</v>
      </c>
      <c r="N1" s="194" t="s">
        <v>1758</v>
      </c>
      <c r="O1" s="338" t="s">
        <v>2353</v>
      </c>
      <c r="P1" s="194" t="s">
        <v>2354</v>
      </c>
      <c r="Q1" s="194" t="s">
        <v>2355</v>
      </c>
      <c r="R1" s="194" t="s">
        <v>1759</v>
      </c>
      <c r="S1" s="194" t="s">
        <v>1760</v>
      </c>
      <c r="T1" s="250" t="s">
        <v>2997</v>
      </c>
      <c r="U1" s="206" t="s">
        <v>2356</v>
      </c>
      <c r="V1" s="206" t="s">
        <v>2357</v>
      </c>
      <c r="W1" s="206" t="s">
        <v>2277</v>
      </c>
      <c r="X1" s="278" t="s">
        <v>2358</v>
      </c>
      <c r="Y1" s="278" t="s">
        <v>2351</v>
      </c>
      <c r="Z1" s="278" t="s">
        <v>2352</v>
      </c>
    </row>
    <row r="2" spans="1:26" ht="18" customHeight="1">
      <c r="A2" s="92" t="s">
        <v>1747</v>
      </c>
      <c r="B2" s="194" t="s">
        <v>1733</v>
      </c>
      <c r="C2" s="92" t="s">
        <v>1679</v>
      </c>
      <c r="D2" s="194" t="s">
        <v>1675</v>
      </c>
      <c r="E2" s="194" t="str">
        <f t="shared" ref="E2:E32" si="0">LEFT(B2,FIND("*",B2)-1)</f>
        <v>100</v>
      </c>
      <c r="F2" s="194" t="str">
        <f t="shared" ref="F2:F32" si="1">RIGHT(B2,LEN(B2)-FIND("*",B2))</f>
        <v>100</v>
      </c>
      <c r="G2" s="194">
        <f>VLOOKUP(A2,经纬!B:G,6,FALSE)</f>
        <v>54</v>
      </c>
      <c r="H2" s="194" t="str">
        <f>VLOOKUP(A2,经纬!B:F,5,FALSE)</f>
        <v>188</v>
      </c>
      <c r="I2" s="194">
        <f>VLOOKUP(A2&amp;D2&amp;C2,经纬!A:I,9,FALSE)</f>
        <v>3750</v>
      </c>
      <c r="J2" s="214">
        <f>VLOOKUP(A2,经纬!B:J,9,FALSE)</f>
        <v>25.590551181102363</v>
      </c>
      <c r="K2" s="194"/>
      <c r="L2" s="194" t="str">
        <f t="array" ref="L2">LEFT(K2,MIN(FIND({"A","B","C","D"},MID(K2,2,LEN(K2))&amp;"ABCD")))</f>
        <v/>
      </c>
      <c r="M2" s="194" t="str">
        <f t="array" ref="M2">SUBSTITUTE(K2,L2,"")</f>
        <v/>
      </c>
      <c r="N2" s="194" t="str">
        <f t="array" ref="N2">IF(K2="","",INDEX(plan!$A:$F,MATCH(A2&amp;K2,plan!$A$2:$A$19999&amp;plan!$L$2:$L$19999,0)+1,MATCH(plan!$F$1,plan!$A$1:$F$1,0)))</f>
        <v/>
      </c>
      <c r="O2" s="338" t="str">
        <f t="array" ref="O2">IF(K2="","",INDEX(plan!$A:$O,MATCH(A2&amp;K2,plan!$A$2:$A$19999&amp;plan!$L$2:$L$19999,0)+1,MATCH(plan!$O$1,plan!$A$1:$O$1,0)))</f>
        <v/>
      </c>
      <c r="P2" s="194"/>
      <c r="Q2" s="338" t="str">
        <f t="array" ref="Q2">IF(K2="","",IF(INDEX(plan!$A:$S,MATCH(A2&amp;K2,plan!$A$2:$A$19999&amp;plan!$L$2:$L$19999,0)+1,MATCH(plan!$S$1,plan!$A$1:$S$1,0))&gt;0,INDEX(plan!$A:$S,MATCH(A2&amp;K2,plan!$A$2:$A$19999&amp;plan!$L$2:$L$19999,0)+1,MATCH(plan!$S$1,plan!$A$1:$S$1,0)),""))</f>
        <v/>
      </c>
      <c r="R2" s="194" t="str">
        <f>IF(K2="","",IF(D2&lt;&gt;"黑",SUMIFS(plan!I:I,plan!A:A,喷水计划单汇总!A2,plan!L:L,喷水计划单汇总!K2,plan!H:H,"&lt;&gt;"&amp;"黑丝"),SUMIFS(plan!I:I,plan!A:A,喷水计划单汇总!A2,plan!L:L,喷水计划单汇总!K2,plan!H:H,"="&amp;"黑丝")))</f>
        <v/>
      </c>
      <c r="S2" s="194"/>
      <c r="T2" s="177">
        <f>SUMIFS(plan!W:W,plan!A:A,喷水计划单汇总!A2,plan!L:L,喷水计划单汇总!K2,plan!H:H,IF(喷水计划单汇总!D2="黑","黑丝",{"本白","漂白","灰色","黑色","亚白"}))</f>
        <v>0</v>
      </c>
      <c r="U2" s="206">
        <f>SUMIFS(喷水布库存!E:E,喷水布库存!B:B,喷水计划单汇总!A2,喷水布库存!O:O,喷水计划单汇总!D2,喷水布库存!L:L,喷水计划单汇总!C2)</f>
        <v>4767</v>
      </c>
      <c r="Y2" s="177">
        <f>SUMIFS(plan!$Z:$Z,plan!$A:$A,喷水计划单汇总!A2,plan!$H:$H,IF(D2="黑","黑丝",{"本白","漂白","黑色","灰色","湖蓝"}),plan!$L:$L,喷水计划单汇总!K2)</f>
        <v>0</v>
      </c>
      <c r="Z2" s="206">
        <f>SUMIFS(plan!$AA:$AA,plan!$A:$A,喷水计划单汇总!A2,plan!$H:$H,IF(D2="黑","黑丝",{"本白","漂白","黑色","灰色","湖蓝"}),plan!$L:$L,喷水计划单汇总!K2)</f>
        <v>0</v>
      </c>
    </row>
    <row r="3" spans="1:26" ht="18" customHeight="1">
      <c r="A3" s="92" t="s">
        <v>1806</v>
      </c>
      <c r="B3" s="194" t="s">
        <v>1789</v>
      </c>
      <c r="C3" s="92" t="s">
        <v>2445</v>
      </c>
      <c r="D3" s="194" t="s">
        <v>1727</v>
      </c>
      <c r="E3" s="194" t="str">
        <f t="shared" si="0"/>
        <v>100</v>
      </c>
      <c r="F3" s="194" t="str">
        <f t="shared" si="1"/>
        <v>200</v>
      </c>
      <c r="G3" s="194">
        <f>VLOOKUP(A3,经纬!B:G,6,FALSE)</f>
        <v>86</v>
      </c>
      <c r="H3" s="194" t="str">
        <f>VLOOKUP(A3,经纬!B:F,5,FALSE)</f>
        <v>188</v>
      </c>
      <c r="I3" s="194">
        <f>VLOOKUP(A3&amp;D3&amp;C3,经纬!A:I,9,FALSE)</f>
        <v>3750</v>
      </c>
      <c r="J3" s="214">
        <f>VLOOKUP(A3,经纬!B:J,9,FALSE)</f>
        <v>11.023622047244094</v>
      </c>
      <c r="K3" s="194" t="s">
        <v>1816</v>
      </c>
      <c r="L3" s="194" t="str">
        <f t="array" ref="L3">LEFT(K3,MIN(FIND({"A","B","C","D"},MID(K3,2,LEN(K3))&amp;"ABCD")))</f>
        <v>A28</v>
      </c>
      <c r="M3" s="194" t="str">
        <f t="array" ref="M3">SUBSTITUTE(K3,L3,"")</f>
        <v>B528</v>
      </c>
      <c r="N3" s="246" t="str">
        <f t="array" ref="N3">IF(K3="","",INDEX(plan!$A:$F,MATCH(A3&amp;K3,plan!$A$2:$A$19999&amp;plan!$L$2:$L$19999,0)+1,MATCH(plan!$F$1,plan!$A$1:$F$1,0)))</f>
        <v>A</v>
      </c>
      <c r="O3" s="338">
        <f t="array" ref="O3">IF(K3="","",INDEX(plan!$A:$O,MATCH(A3&amp;K3,plan!$A$2:$A$19999&amp;plan!$L$2:$L$19999,0)+1,MATCH(plan!$O$1,plan!$A$1:$O$1,0)))</f>
        <v>43754</v>
      </c>
      <c r="P3" s="194"/>
      <c r="Q3" s="338" t="str">
        <f t="array" ref="Q3">IF(K3="","",IF(INDEX(plan!$A:$S,MATCH(A3&amp;K3,plan!$A$2:$A$19999&amp;plan!$L$2:$L$19999,0)+1,MATCH(plan!$S$1,plan!$A$1:$S$1,0))&gt;0,INDEX(plan!$A:$S,MATCH(A3&amp;K3,plan!$A$2:$A$19999&amp;plan!$L$2:$L$19999,0)+1,MATCH(plan!$S$1,plan!$A$1:$S$1,0)),""))</f>
        <v/>
      </c>
      <c r="R3" s="246">
        <f>IF(K3="","",IF(D3&lt;&gt;"黑",SUMIFS(plan!I:I,plan!A:A,喷水计划单汇总!A3,plan!L:L,喷水计划单汇总!K3,plan!H:H,"&lt;&gt;"&amp;"黑丝"),SUMIFS(plan!I:I,plan!A:A,喷水计划单汇总!A3,plan!L:L,喷水计划单汇总!K3,plan!H:H,"="&amp;"黑丝")))</f>
        <v>8000</v>
      </c>
      <c r="S3" s="194"/>
      <c r="T3" s="250">
        <f>SUMIFS(plan!W:W,plan!A:A,喷水计划单汇总!A3,plan!L:L,喷水计划单汇总!K3,plan!H:H,IF(喷水计划单汇总!D3="黑","黑丝",{"本白","漂白","灰色","黑色","亚白"}))</f>
        <v>8000</v>
      </c>
      <c r="U3" s="250">
        <f>SUMIFS(喷水布库存!E:E,喷水布库存!B:B,喷水计划单汇总!A3,喷水布库存!O:O,喷水计划单汇总!D3,喷水布库存!L:L,喷水计划单汇总!C3)</f>
        <v>0</v>
      </c>
      <c r="Y3" s="250">
        <f>SUMIFS(plan!$Z:$Z,plan!$A:$A,喷水计划单汇总!A3,plan!$H:$H,IF(D3="黑","黑丝",{"本白","漂白","黑色","灰色","湖蓝"}),plan!$L:$L,喷水计划单汇总!K3)</f>
        <v>340</v>
      </c>
      <c r="Z3" s="250">
        <f>SUMIFS(plan!$AA:$AA,plan!$A:$A,喷水计划单汇总!A3,plan!$H:$H,IF(D3="黑","黑丝",{"本白","漂白","黑色","灰色","湖蓝"}),plan!$L:$L,喷水计划单汇总!K3)</f>
        <v>397.83027121609797</v>
      </c>
    </row>
    <row r="4" spans="1:26" ht="18" customHeight="1">
      <c r="A4" s="92" t="s">
        <v>1806</v>
      </c>
      <c r="B4" s="194" t="s">
        <v>1789</v>
      </c>
      <c r="C4" s="92" t="s">
        <v>2445</v>
      </c>
      <c r="D4" s="194" t="s">
        <v>1675</v>
      </c>
      <c r="E4" s="194" t="str">
        <f t="shared" si="0"/>
        <v>100</v>
      </c>
      <c r="F4" s="194" t="str">
        <f t="shared" si="1"/>
        <v>200</v>
      </c>
      <c r="G4" s="194">
        <f>VLOOKUP(A4,经纬!B:G,6,FALSE)</f>
        <v>86</v>
      </c>
      <c r="H4" s="194" t="str">
        <f>VLOOKUP(A4,经纬!B:F,5,FALSE)</f>
        <v>188</v>
      </c>
      <c r="I4" s="194">
        <f>VLOOKUP(A4&amp;D4&amp;C4,经纬!A:I,9,FALSE)</f>
        <v>3750</v>
      </c>
      <c r="J4" s="214">
        <f>VLOOKUP(A4,经纬!B:J,9,FALSE)</f>
        <v>11.023622047244094</v>
      </c>
      <c r="K4" s="194" t="s">
        <v>1816</v>
      </c>
      <c r="L4" s="194" t="str">
        <f t="array" ref="L4">LEFT(K4,MIN(FIND({"A","B","C","D"},MID(K4,2,LEN(K4))&amp;"ABCD")))</f>
        <v>A28</v>
      </c>
      <c r="M4" s="194" t="str">
        <f t="array" ref="M4">SUBSTITUTE(K4,L4,"")</f>
        <v>B528</v>
      </c>
      <c r="N4" s="246" t="str">
        <f t="array" ref="N4">IF(K4="","",INDEX(plan!$A:$F,MATCH(A4&amp;K4,plan!$A$2:$A$19999&amp;plan!$L$2:$L$19999,0)+1,MATCH(plan!$F$1,plan!$A$1:$F$1,0)))</f>
        <v>A</v>
      </c>
      <c r="O4" s="338">
        <f t="array" ref="O4">IF(K4="","",INDEX(plan!$A:$O,MATCH(A4&amp;K4,plan!$A$2:$A$19999&amp;plan!$L$2:$L$19999,0)+1,MATCH(plan!$O$1,plan!$A$1:$O$1,0)))</f>
        <v>43754</v>
      </c>
      <c r="P4" s="194"/>
      <c r="Q4" s="338" t="str">
        <f t="array" ref="Q4">IF(K4="","",IF(INDEX(plan!$A:$S,MATCH(A4&amp;K4,plan!$A$2:$A$19999&amp;plan!$L$2:$L$19999,0)+1,MATCH(plan!$S$1,plan!$A$1:$S$1,0))&gt;0,INDEX(plan!$A:$S,MATCH(A4&amp;K4,plan!$A$2:$A$19999&amp;plan!$L$2:$L$19999,0)+1,MATCH(plan!$S$1,plan!$A$1:$S$1,0)),""))</f>
        <v/>
      </c>
      <c r="R4" s="246">
        <f>IF(K4="","",IF(D4&lt;&gt;"黑",SUMIFS(plan!I:I,plan!A:A,喷水计划单汇总!A4,plan!L:L,喷水计划单汇总!K4,plan!H:H,"&lt;&gt;"&amp;"黑丝"),SUMIFS(plan!I:I,plan!A:A,喷水计划单汇总!A4,plan!L:L,喷水计划单汇总!K4,plan!H:H,"="&amp;"黑丝")))</f>
        <v>13000</v>
      </c>
      <c r="S4" s="194"/>
      <c r="T4" s="250">
        <f>SUMIFS(plan!W:W,plan!A:A,喷水计划单汇总!A4,plan!L:L,喷水计划单汇总!K4,plan!H:H,IF(喷水计划单汇总!D4="黑","黑丝",{"本白","漂白","灰色","黑色","亚白"}))</f>
        <v>13000</v>
      </c>
      <c r="U4" s="250">
        <f>SUMIFS(喷水布库存!E:E,喷水布库存!B:B,喷水计划单汇总!A4,喷水布库存!O:O,喷水计划单汇总!D4,喷水布库存!L:L,喷水计划单汇总!C4)</f>
        <v>0</v>
      </c>
      <c r="Y4" s="250">
        <f>SUMIFS(plan!$Z:$Z,plan!$A:$A,喷水计划单汇总!A4,plan!$H:$H,IF(D4="黑","黑丝",{"本白","漂白","黑色","灰色","湖蓝"}),plan!$L:$L,喷水计划单汇总!K4)</f>
        <v>552.5</v>
      </c>
      <c r="Z4" s="250">
        <f>SUMIFS(plan!$AA:$AA,plan!$A:$A,喷水计划单汇总!A4,plan!$H:$H,IF(D4="黑","黑丝",{"本白","漂白","黑色","灰色","湖蓝"}),plan!$L:$L,喷水计划单汇总!K4)</f>
        <v>646.47419072615924</v>
      </c>
    </row>
    <row r="5" spans="1:26" s="250" customFormat="1" ht="18" customHeight="1">
      <c r="A5" s="92" t="s">
        <v>3140</v>
      </c>
      <c r="B5" s="246" t="s">
        <v>3142</v>
      </c>
      <c r="C5" s="92" t="s">
        <v>2444</v>
      </c>
      <c r="D5" s="246" t="s">
        <v>1616</v>
      </c>
      <c r="E5" s="246" t="str">
        <f t="shared" ref="E5:E6" si="2">LEFT(B5,FIND("*",B5)-1)</f>
        <v>100</v>
      </c>
      <c r="F5" s="246" t="str">
        <f t="shared" ref="F5:F6" si="3">RIGHT(B5,LEN(B5)-FIND("*",B5))</f>
        <v>300</v>
      </c>
      <c r="G5" s="246">
        <f>VLOOKUP(A5,经纬!B:G,6,FALSE)</f>
        <v>82</v>
      </c>
      <c r="H5" s="246" t="str">
        <f>VLOOKUP(A5,经纬!B:F,5,FALSE)</f>
        <v>188</v>
      </c>
      <c r="I5" s="246">
        <f>VLOOKUP(A5&amp;D5&amp;C5,经纬!A:I,9,FALSE)</f>
        <v>3750</v>
      </c>
      <c r="J5" s="214">
        <f>VLOOKUP(A5,经纬!B:J,9,FALSE)</f>
        <v>11.023622047244094</v>
      </c>
      <c r="K5" s="246"/>
      <c r="L5" s="246"/>
      <c r="M5" s="246"/>
      <c r="N5" s="246"/>
      <c r="O5" s="338"/>
      <c r="P5" s="246"/>
      <c r="Q5" s="338"/>
      <c r="R5" s="246"/>
      <c r="S5" s="246"/>
      <c r="T5" s="250">
        <f>SUMIFS(plan!W:W,plan!A:A,喷水计划单汇总!A5,plan!L:L,喷水计划单汇总!K5,plan!H:H,IF(喷水计划单汇总!D5="黑","黑丝",{"本白","漂白","灰色","黑色","亚白"}))</f>
        <v>0</v>
      </c>
      <c r="U5" s="250">
        <f>SUMIFS(喷水布库存!E:E,喷水布库存!B:B,喷水计划单汇总!A5,喷水布库存!O:O,喷水计划单汇总!D5,喷水布库存!L:L,喷水计划单汇总!C5)</f>
        <v>5150</v>
      </c>
      <c r="Y5" s="250">
        <f>SUMIFS(plan!$Z:$Z,plan!$A:$A,喷水计划单汇总!A5,plan!$H:$H,IF(D5="黑","黑丝",{"本白","漂白","黑色","灰色","湖蓝"}),plan!$L:$L,喷水计划单汇总!K5)</f>
        <v>0</v>
      </c>
      <c r="Z5" s="250">
        <f>SUMIFS(plan!$AA:$AA,plan!$A:$A,喷水计划单汇总!A5,plan!$H:$H,IF(D5="黑","黑丝",{"本白","漂白","黑色","灰色","湖蓝"}),plan!$L:$L,喷水计划单汇总!K5)</f>
        <v>0</v>
      </c>
    </row>
    <row r="6" spans="1:26" s="250" customFormat="1" ht="18" customHeight="1">
      <c r="A6" s="92" t="s">
        <v>3140</v>
      </c>
      <c r="B6" s="246" t="s">
        <v>3142</v>
      </c>
      <c r="C6" s="92" t="s">
        <v>2444</v>
      </c>
      <c r="D6" s="246" t="s">
        <v>1727</v>
      </c>
      <c r="E6" s="246" t="str">
        <f t="shared" si="2"/>
        <v>100</v>
      </c>
      <c r="F6" s="246" t="str">
        <f t="shared" si="3"/>
        <v>300</v>
      </c>
      <c r="G6" s="246">
        <f>VLOOKUP(A6,经纬!B:G,6,FALSE)</f>
        <v>82</v>
      </c>
      <c r="H6" s="246" t="str">
        <f>VLOOKUP(A6,经纬!B:F,5,FALSE)</f>
        <v>188</v>
      </c>
      <c r="I6" s="246">
        <f>VLOOKUP(A6&amp;D6&amp;C6,经纬!A:I,9,FALSE)</f>
        <v>3750</v>
      </c>
      <c r="J6" s="214">
        <f>VLOOKUP(A6,经纬!B:J,9,FALSE)</f>
        <v>11.023622047244094</v>
      </c>
      <c r="K6" s="246"/>
      <c r="L6" s="246"/>
      <c r="M6" s="246"/>
      <c r="N6" s="246"/>
      <c r="O6" s="338"/>
      <c r="P6" s="246"/>
      <c r="Q6" s="338"/>
      <c r="R6" s="246"/>
      <c r="S6" s="246"/>
      <c r="T6" s="250">
        <f>SUMIFS(plan!W:W,plan!A:A,喷水计划单汇总!A6,plan!L:L,喷水计划单汇总!K6,plan!H:H,IF(喷水计划单汇总!D6="黑","黑丝",{"本白","漂白","灰色","黑色","亚白"}))</f>
        <v>0</v>
      </c>
      <c r="U6" s="250">
        <f>SUMIFS(喷水布库存!E:E,喷水布库存!B:B,喷水计划单汇总!A6,喷水布库存!O:O,喷水计划单汇总!D6,喷水布库存!L:L,喷水计划单汇总!C6)</f>
        <v>2467</v>
      </c>
      <c r="Y6" s="250">
        <f>SUMIFS(plan!$Z:$Z,plan!$A:$A,喷水计划单汇总!A6,plan!$H:$H,IF(D6="黑","黑丝",{"本白","漂白","黑色","灰色","湖蓝"}),plan!$L:$L,喷水计划单汇总!K6)</f>
        <v>0</v>
      </c>
      <c r="Z6" s="250">
        <f>SUMIFS(plan!$AA:$AA,plan!$A:$A,喷水计划单汇总!A6,plan!$H:$H,IF(D6="黑","黑丝",{"本白","漂白","黑色","灰色","湖蓝"}),plan!$L:$L,喷水计划单汇总!K6)</f>
        <v>0</v>
      </c>
    </row>
    <row r="7" spans="1:26" ht="18" customHeight="1">
      <c r="A7" s="92" t="s">
        <v>1748</v>
      </c>
      <c r="B7" s="194" t="s">
        <v>1734</v>
      </c>
      <c r="C7" s="92" t="s">
        <v>2445</v>
      </c>
      <c r="D7" s="194" t="s">
        <v>1675</v>
      </c>
      <c r="E7" s="194" t="str">
        <f t="shared" si="0"/>
        <v>100</v>
      </c>
      <c r="F7" s="194" t="str">
        <f t="shared" si="1"/>
        <v>300</v>
      </c>
      <c r="G7" s="194">
        <f>VLOOKUP(A7,经纬!B:G,6,FALSE)</f>
        <v>96</v>
      </c>
      <c r="H7" s="194" t="str">
        <f>VLOOKUP(A7,经纬!B:F,5,FALSE)</f>
        <v>188</v>
      </c>
      <c r="I7" s="194">
        <f>VLOOKUP(A7&amp;D7&amp;C7,经纬!A:I,9,FALSE)</f>
        <v>3750</v>
      </c>
      <c r="J7" s="214">
        <f>VLOOKUP(A7,经纬!B:J,9,FALSE)</f>
        <v>13.385826771653543</v>
      </c>
      <c r="K7" s="194"/>
      <c r="L7" s="194" t="str">
        <f t="array" ref="L7">LEFT(K7,MIN(FIND({"A","B","C","D"},MID(K7,2,LEN(K7))&amp;"ABCD")))</f>
        <v/>
      </c>
      <c r="M7" s="194" t="str">
        <f t="array" ref="M7">SUBSTITUTE(K7,L7,"")</f>
        <v/>
      </c>
      <c r="N7" s="246" t="str">
        <f t="array" ref="N7">IF(K7="","",INDEX(plan!$A:$F,MATCH(A7&amp;K7,plan!$A$2:$A$19999&amp;plan!$L$2:$L$19999,0)+1,MATCH(plan!$F$1,plan!$A$1:$F$1,0)))</f>
        <v/>
      </c>
      <c r="O7" s="338" t="str">
        <f t="array" ref="O7">IF(K7="","",INDEX(plan!$A:$O,MATCH(A7&amp;K7,plan!$A$2:$A$19999&amp;plan!$L$2:$L$19999,0)+1,MATCH(plan!$O$1,plan!$A$1:$O$1,0)))</f>
        <v/>
      </c>
      <c r="P7" s="194"/>
      <c r="Q7" s="338" t="str">
        <f t="array" ref="Q7">IF(K7="","",IF(INDEX(plan!$A:$S,MATCH(A7&amp;K7,plan!$A$2:$A$19999&amp;plan!$L$2:$L$19999,0)+1,MATCH(plan!$S$1,plan!$A$1:$S$1,0))&gt;0,INDEX(plan!$A:$S,MATCH(A7&amp;K7,plan!$A$2:$A$19999&amp;plan!$L$2:$L$19999,0)+1,MATCH(plan!$S$1,plan!$A$1:$S$1,0)),""))</f>
        <v/>
      </c>
      <c r="R7" s="246" t="str">
        <f>IF(K7="","",IF(D7&lt;&gt;"黑",SUMIFS(plan!I:I,plan!A:A,喷水计划单汇总!A7,plan!L:L,喷水计划单汇总!K7,plan!H:H,"&lt;&gt;"&amp;"黑丝"),SUMIFS(plan!I:I,plan!A:A,喷水计划单汇总!A7,plan!L:L,喷水计划单汇总!K7,plan!H:H,"="&amp;"黑丝")))</f>
        <v/>
      </c>
      <c r="S7" s="194"/>
      <c r="T7" s="250">
        <f>SUMIFS(plan!W:W,plan!A:A,喷水计划单汇总!A7,plan!L:L,喷水计划单汇总!K7,plan!H:H,IF(喷水计划单汇总!D7="黑","黑丝",{"本白","漂白","灰色","黑色","亚白"}))</f>
        <v>0</v>
      </c>
      <c r="U7" s="250">
        <f>SUMIFS(喷水布库存!E:E,喷水布库存!B:B,喷水计划单汇总!A7,喷水布库存!O:O,喷水计划单汇总!D7,喷水布库存!L:L,喷水计划单汇总!C7)</f>
        <v>0</v>
      </c>
      <c r="Y7" s="250">
        <f>SUMIFS(plan!$Z:$Z,plan!$A:$A,喷水计划单汇总!A7,plan!$H:$H,IF(D7="黑","黑丝",{"本白","漂白","黑色","灰色","湖蓝"}),plan!$L:$L,喷水计划单汇总!K7)</f>
        <v>0</v>
      </c>
      <c r="Z7" s="250">
        <f>SUMIFS(plan!$AA:$AA,plan!$A:$A,喷水计划单汇总!A7,plan!$H:$H,IF(D7="黑","黑丝",{"本白","漂白","黑色","灰色","湖蓝"}),plan!$L:$L,喷水计划单汇总!K7)</f>
        <v>0</v>
      </c>
    </row>
    <row r="8" spans="1:26" ht="18" customHeight="1">
      <c r="A8" s="92" t="s">
        <v>1791</v>
      </c>
      <c r="B8" s="194" t="s">
        <v>1734</v>
      </c>
      <c r="C8" s="92" t="s">
        <v>2445</v>
      </c>
      <c r="D8" s="194" t="s">
        <v>1675</v>
      </c>
      <c r="E8" s="194" t="str">
        <f t="shared" si="0"/>
        <v>100</v>
      </c>
      <c r="F8" s="194" t="str">
        <f t="shared" si="1"/>
        <v>300</v>
      </c>
      <c r="G8" s="194">
        <f>VLOOKUP(A8,经纬!B:G,6,FALSE)</f>
        <v>86</v>
      </c>
      <c r="H8" s="194" t="str">
        <f>VLOOKUP(A8,经纬!B:F,5,FALSE)</f>
        <v>188</v>
      </c>
      <c r="I8" s="194">
        <f>VLOOKUP(A8&amp;D8&amp;C8,经纬!A:I,9,FALSE)</f>
        <v>3750</v>
      </c>
      <c r="J8" s="214">
        <f>VLOOKUP(A8,经纬!B:J,9,FALSE)</f>
        <v>10.826771653543307</v>
      </c>
      <c r="K8" s="246" t="s">
        <v>2583</v>
      </c>
      <c r="L8" s="194" t="str">
        <f t="array" ref="L8">LEFT(K8,MIN(FIND({"A","B","C","D"},MID(K8,2,LEN(K8))&amp;"ABCD")))</f>
        <v>A60</v>
      </c>
      <c r="M8" s="194" t="str">
        <f t="array" ref="M8">SUBSTITUTE(K8,L8,"")</f>
        <v>B561</v>
      </c>
      <c r="N8" s="246" t="str">
        <f t="array" ref="N8">IF(K8="","",INDEX(plan!$A:$F,MATCH(A8&amp;K8,plan!$A$2:$A$19999&amp;plan!$L$2:$L$19999,0)+1,MATCH(plan!$F$1,plan!$A$1:$F$1,0)))</f>
        <v>A</v>
      </c>
      <c r="O8" s="338">
        <f t="array" ref="O8">IF(K8="","",INDEX(plan!$A:$O,MATCH(A8&amp;K8,plan!$A$2:$A$19999&amp;plan!$L$2:$L$19999,0)+1,MATCH(plan!$O$1,plan!$A$1:$O$1,0)))</f>
        <v>43769</v>
      </c>
      <c r="P8" s="194"/>
      <c r="Q8" s="338" t="str">
        <f t="array" ref="Q8">IF(K8="","",IF(INDEX(plan!$A:$S,MATCH(A8&amp;K8,plan!$A$2:$A$19999&amp;plan!$L$2:$L$19999,0)+1,MATCH(plan!$S$1,plan!$A$1:$S$1,0))&gt;0,INDEX(plan!$A:$S,MATCH(A8&amp;K8,plan!$A$2:$A$19999&amp;plan!$L$2:$L$19999,0)+1,MATCH(plan!$S$1,plan!$A$1:$S$1,0)),""))</f>
        <v/>
      </c>
      <c r="R8" s="246">
        <f>IF(K8="","",IF(D8&lt;&gt;"黑",SUMIFS(plan!I:I,plan!A:A,喷水计划单汇总!A8,plan!L:L,喷水计划单汇总!K8,plan!H:H,"&lt;&gt;"&amp;"黑丝"),SUMIFS(plan!I:I,plan!A:A,喷水计划单汇总!A8,plan!L:L,喷水计划单汇总!K8,plan!H:H,"="&amp;"黑丝")))</f>
        <v>18400</v>
      </c>
      <c r="S8" s="194"/>
      <c r="T8" s="250">
        <f>SUMIFS(plan!W:W,plan!A:A,喷水计划单汇总!A8,plan!L:L,喷水计划单汇总!K8,plan!H:H,IF(喷水计划单汇总!D8="黑","黑丝",{"本白","漂白","灰色","黑色","亚白"}))</f>
        <v>18400</v>
      </c>
      <c r="U8" s="250">
        <f>SUMIFS(喷水布库存!E:E,喷水布库存!B:B,喷水计划单汇总!A8,喷水布库存!O:O,喷水计划单汇总!D8,喷水布库存!L:L,喷水计划单汇总!C8)</f>
        <v>24290</v>
      </c>
      <c r="Y8" s="250">
        <f>SUMIFS(plan!$Z:$Z,plan!$A:$A,喷水计划单汇总!A8,plan!$H:$H,IF(D8="黑","黑丝",{"本白","漂白","黑色","灰色","湖蓝"}),plan!$L:$L,喷水计划单汇总!K8)</f>
        <v>782</v>
      </c>
      <c r="Z8" s="250">
        <f>SUMIFS(plan!$AA:$AA,plan!$A:$A,喷水计划单汇总!A8,plan!$H:$H,IF(D8="黑","黑丝",{"本白","漂白","黑色","灰色","湖蓝"}),plan!$L:$L,喷水计划单汇总!K8)</f>
        <v>1348.0052493438318</v>
      </c>
    </row>
    <row r="9" spans="1:26" ht="18" customHeight="1">
      <c r="A9" s="92" t="s">
        <v>1791</v>
      </c>
      <c r="B9" s="194" t="s">
        <v>1734</v>
      </c>
      <c r="C9" s="92" t="s">
        <v>2445</v>
      </c>
      <c r="D9" s="194" t="s">
        <v>1727</v>
      </c>
      <c r="E9" s="194" t="str">
        <f t="shared" si="0"/>
        <v>100</v>
      </c>
      <c r="F9" s="194" t="str">
        <f t="shared" si="1"/>
        <v>300</v>
      </c>
      <c r="G9" s="194">
        <f>VLOOKUP(A9,经纬!B:G,6,FALSE)</f>
        <v>86</v>
      </c>
      <c r="H9" s="194" t="str">
        <f>VLOOKUP(A9,经纬!B:F,5,FALSE)</f>
        <v>188</v>
      </c>
      <c r="I9" s="194">
        <f>VLOOKUP(A9&amp;D9&amp;C9,经纬!A:I,9,FALSE)</f>
        <v>3750</v>
      </c>
      <c r="J9" s="214">
        <f>VLOOKUP(A9,经纬!B:J,9,FALSE)</f>
        <v>10.826771653543307</v>
      </c>
      <c r="K9" s="246" t="s">
        <v>2583</v>
      </c>
      <c r="L9" s="194" t="str">
        <f t="array" ref="L9">LEFT(K9,MIN(FIND({"A","B","C","D"},MID(K9,2,LEN(K9))&amp;"ABCD")))</f>
        <v>A60</v>
      </c>
      <c r="M9" s="194" t="str">
        <f t="array" ref="M9">SUBSTITUTE(K9,L9,"")</f>
        <v>B561</v>
      </c>
      <c r="N9" s="246" t="str">
        <f t="array" ref="N9">IF(K9="","",INDEX(plan!$A:$F,MATCH(A9&amp;K9,plan!$A$2:$A$19999&amp;plan!$L$2:$L$19999,0)+1,MATCH(plan!$F$1,plan!$A$1:$F$1,0)))</f>
        <v>A</v>
      </c>
      <c r="O9" s="338">
        <f t="array" ref="O9">IF(K9="","",INDEX(plan!$A:$O,MATCH(A9&amp;K9,plan!$A$2:$A$19999&amp;plan!$L$2:$L$19999,0)+1,MATCH(plan!$O$1,plan!$A$1:$O$1,0)))</f>
        <v>43769</v>
      </c>
      <c r="P9" s="194"/>
      <c r="Q9" s="338" t="str">
        <f t="array" ref="Q9">IF(K9="","",IF(INDEX(plan!$A:$S,MATCH(A9&amp;K9,plan!$A$2:$A$19999&amp;plan!$L$2:$L$19999,0)+1,MATCH(plan!$S$1,plan!$A$1:$S$1,0))&gt;0,INDEX(plan!$A:$S,MATCH(A9&amp;K9,plan!$A$2:$A$19999&amp;plan!$L$2:$L$19999,0)+1,MATCH(plan!$S$1,plan!$A$1:$S$1,0)),""))</f>
        <v/>
      </c>
      <c r="R9" s="246">
        <f>IF(K9="","",IF(D9&lt;&gt;"黑",SUMIFS(plan!I:I,plan!A:A,喷水计划单汇总!A9,plan!L:L,喷水计划单汇总!K9,plan!H:H,"&lt;&gt;"&amp;"黑丝"),SUMIFS(plan!I:I,plan!A:A,喷水计划单汇总!A9,plan!L:L,喷水计划单汇总!K9,plan!H:H,"="&amp;"黑丝")))</f>
        <v>4600</v>
      </c>
      <c r="S9" s="194"/>
      <c r="T9" s="250">
        <f>SUMIFS(plan!W:W,plan!A:A,喷水计划单汇总!A9,plan!L:L,喷水计划单汇总!K9,plan!H:H,IF(喷水计划单汇总!D9="黑","黑丝",{"本白","漂白","灰色","黑色","亚白"}))</f>
        <v>4600</v>
      </c>
      <c r="U9" s="250">
        <f>SUMIFS(喷水布库存!E:E,喷水布库存!B:B,喷水计划单汇总!A9,喷水布库存!O:O,喷水计划单汇总!D9,喷水布库存!L:L,喷水计划单汇总!C9)</f>
        <v>500</v>
      </c>
      <c r="Y9" s="250">
        <f>SUMIFS(plan!$Z:$Z,plan!$A:$A,喷水计划单汇总!A9,plan!$H:$H,IF(D9="黑","黑丝",{"本白","漂白","黑色","灰色","湖蓝"}),plan!$L:$L,喷水计划单汇总!K9)</f>
        <v>195.5</v>
      </c>
      <c r="Z9" s="250">
        <f>SUMIFS(plan!$AA:$AA,plan!$A:$A,喷水计划单汇总!A9,plan!$H:$H,IF(D9="黑","黑丝",{"本白","漂白","黑色","灰色","湖蓝"}),plan!$L:$L,喷水计划单汇总!K9)</f>
        <v>337.00131233595795</v>
      </c>
    </row>
    <row r="10" spans="1:26" ht="18" customHeight="1">
      <c r="A10" s="92" t="s">
        <v>1691</v>
      </c>
      <c r="B10" s="194" t="s">
        <v>1678</v>
      </c>
      <c r="C10" s="92" t="s">
        <v>1679</v>
      </c>
      <c r="D10" s="194" t="s">
        <v>1675</v>
      </c>
      <c r="E10" s="194" t="str">
        <f t="shared" si="0"/>
        <v>15</v>
      </c>
      <c r="F10" s="194" t="str">
        <f t="shared" si="1"/>
        <v>15</v>
      </c>
      <c r="G10" s="194">
        <f>VLOOKUP(A10,经纬!B:G,6,FALSE)</f>
        <v>13</v>
      </c>
      <c r="H10" s="194" t="str">
        <f>VLOOKUP(A10,经纬!B:F,5,FALSE)</f>
        <v>197</v>
      </c>
      <c r="I10" s="194">
        <f>VLOOKUP(A10&amp;D10&amp;C10,经纬!A:I,9,FALSE)</f>
        <v>5926</v>
      </c>
      <c r="J10" s="214">
        <f>VLOOKUP(A10,经纬!B:J,9,FALSE)</f>
        <v>19.685039370078741</v>
      </c>
      <c r="K10" s="194"/>
      <c r="L10" s="194" t="str">
        <f t="array" ref="L10">LEFT(K10,MIN(FIND({"A","B","C","D"},MID(K10,2,LEN(K10))&amp;"ABCD")))</f>
        <v/>
      </c>
      <c r="M10" s="194" t="str">
        <f t="array" ref="M10">SUBSTITUTE(K10,L10,"")</f>
        <v/>
      </c>
      <c r="N10" s="246" t="str">
        <f t="array" ref="N10">IF(K10="","",INDEX(plan!$A:$F,MATCH(A10&amp;K10,plan!$A$2:$A$19999&amp;plan!$L$2:$L$19999,0)+1,MATCH(plan!$F$1,plan!$A$1:$F$1,0)))</f>
        <v/>
      </c>
      <c r="O10" s="338" t="str">
        <f t="array" ref="O10">IF(K10="","",INDEX(plan!$A:$O,MATCH(A10&amp;K10,plan!$A$2:$A$19999&amp;plan!$L$2:$L$19999,0)+1,MATCH(plan!$O$1,plan!$A$1:$O$1,0)))</f>
        <v/>
      </c>
      <c r="P10" s="194"/>
      <c r="Q10" s="338" t="str">
        <f t="array" ref="Q10">IF(K10="","",IF(INDEX(plan!$A:$S,MATCH(A10&amp;K10,plan!$A$2:$A$19999&amp;plan!$L$2:$L$19999,0)+1,MATCH(plan!$S$1,plan!$A$1:$S$1,0))&gt;0,INDEX(plan!$A:$S,MATCH(A10&amp;K10,plan!$A$2:$A$19999&amp;plan!$L$2:$L$19999,0)+1,MATCH(plan!$S$1,plan!$A$1:$S$1,0)),""))</f>
        <v/>
      </c>
      <c r="R10" s="246" t="str">
        <f>IF(K10="","",IF(D10&lt;&gt;"黑",SUMIFS(plan!I:I,plan!A:A,喷水计划单汇总!A10,plan!L:L,喷水计划单汇总!K10,plan!H:H,"&lt;&gt;"&amp;"黑丝"),SUMIFS(plan!I:I,plan!A:A,喷水计划单汇总!A10,plan!L:L,喷水计划单汇总!K10,plan!H:H,"="&amp;"黑丝")))</f>
        <v/>
      </c>
      <c r="S10" s="194"/>
      <c r="T10" s="250">
        <f>SUMIFS(plan!W:W,plan!A:A,喷水计划单汇总!A10,plan!L:L,喷水计划单汇总!K10,plan!H:H,IF(喷水计划单汇总!D10="黑","黑丝",{"本白","漂白","灰色","黑色","亚白"}))</f>
        <v>0</v>
      </c>
      <c r="U10" s="250">
        <f>SUMIFS(喷水布库存!E:E,喷水布库存!B:B,喷水计划单汇总!A10,喷水布库存!O:O,喷水计划单汇总!D10,喷水布库存!L:L,喷水计划单汇总!C10)</f>
        <v>72191</v>
      </c>
      <c r="Y10" s="250">
        <f>SUMIFS(plan!$Z:$Z,plan!$A:$A,喷水计划单汇总!A10,plan!$H:$H,IF(D10="黑","黑丝",{"本白","漂白","黑色","灰色","湖蓝"}),plan!$L:$L,喷水计划单汇总!K10)</f>
        <v>0</v>
      </c>
      <c r="Z10" s="250">
        <f>SUMIFS(plan!$AA:$AA,plan!$A:$A,喷水计划单汇总!A10,plan!$H:$H,IF(D10="黑","黑丝",{"本白","漂白","黑色","灰色","湖蓝"}),plan!$L:$L,喷水计划单汇总!K10)</f>
        <v>0</v>
      </c>
    </row>
    <row r="11" spans="1:26" ht="18" customHeight="1">
      <c r="A11" s="92" t="s">
        <v>1695</v>
      </c>
      <c r="B11" s="194" t="s">
        <v>1682</v>
      </c>
      <c r="C11" s="92" t="s">
        <v>1679</v>
      </c>
      <c r="D11" s="194" t="s">
        <v>1675</v>
      </c>
      <c r="E11" s="194" t="str">
        <f t="shared" si="0"/>
        <v>20</v>
      </c>
      <c r="F11" s="194" t="str">
        <f t="shared" si="1"/>
        <v>20</v>
      </c>
      <c r="G11" s="194">
        <f>VLOOKUP(A11,经纬!B:G,6,FALSE)</f>
        <v>17</v>
      </c>
      <c r="H11" s="194" t="str">
        <f>VLOOKUP(A11,经纬!B:F,5,FALSE)</f>
        <v>197</v>
      </c>
      <c r="I11" s="194">
        <f>VLOOKUP(A11&amp;D11&amp;C11,经纬!A:I,9,FALSE)</f>
        <v>5926</v>
      </c>
      <c r="J11" s="214">
        <f>VLOOKUP(A11,经纬!B:J,9,FALSE)</f>
        <v>20.866141732283463</v>
      </c>
      <c r="K11" s="246" t="s">
        <v>3146</v>
      </c>
      <c r="L11" s="194" t="str">
        <f t="array" ref="L11">LEFT(K11,MIN(FIND({"A","B","C","D"},MID(K11,2,LEN(K11))&amp;"ABCD")))</f>
        <v>A90</v>
      </c>
      <c r="M11" s="194" t="str">
        <f t="array" ref="M11">SUBSTITUTE(K11,L11,"")</f>
        <v>C421</v>
      </c>
      <c r="N11" s="246" t="str">
        <f t="array" ref="N11">IF(K11="","",INDEX(plan!$A:$F,MATCH(A11&amp;K11,plan!$A$2:$A$19999&amp;plan!$L$2:$L$19999,0)+1,MATCH(plan!$F$1,plan!$A$1:$F$1,0)))</f>
        <v>AA</v>
      </c>
      <c r="O11" s="338">
        <f t="array" ref="O11">IF(K11="","",INDEX(plan!$A:$O,MATCH(A11&amp;K11,plan!$A$2:$A$19999&amp;plan!$L$2:$L$19999,0)+1,MATCH(plan!$O$1,plan!$A$1:$O$1,0)))</f>
        <v>43775</v>
      </c>
      <c r="P11" s="194"/>
      <c r="Q11" s="338" t="str">
        <f t="array" ref="Q11">IF(K11="","",IF(INDEX(plan!$A:$S,MATCH(A11&amp;K11,plan!$A$2:$A$19999&amp;plan!$L$2:$L$19999,0)+1,MATCH(plan!$S$1,plan!$A$1:$S$1,0))&gt;0,INDEX(plan!$A:$S,MATCH(A11&amp;K11,plan!$A$2:$A$19999&amp;plan!$L$2:$L$19999,0)+1,MATCH(plan!$S$1,plan!$A$1:$S$1,0)),""))</f>
        <v/>
      </c>
      <c r="R11" s="246">
        <f>IF(K11="","",IF(D11&lt;&gt;"黑",SUMIFS(plan!I:I,plan!A:A,喷水计划单汇总!A11,plan!L:L,喷水计划单汇总!K11,plan!H:H,"&lt;&gt;"&amp;"黑丝"),SUMIFS(plan!I:I,plan!A:A,喷水计划单汇总!A11,plan!L:L,喷水计划单汇总!K11,plan!H:H,"="&amp;"黑丝")))</f>
        <v>5000</v>
      </c>
      <c r="S11" s="194"/>
      <c r="T11" s="250">
        <f>SUMIFS(plan!W:W,plan!A:A,喷水计划单汇总!A11,plan!L:L,喷水计划单汇总!K11,plan!H:H,IF(喷水计划单汇总!D11="黑","黑丝",{"本白","漂白","灰色","黑色","亚白"}))</f>
        <v>5000</v>
      </c>
      <c r="U11" s="250">
        <f>SUMIFS(喷水布库存!E:E,喷水布库存!B:B,喷水计划单汇总!A11,喷水布库存!O:O,喷水计划单汇总!D11,喷水布库存!L:L,喷水计划单汇总!C11)</f>
        <v>0</v>
      </c>
      <c r="Y11" s="250">
        <f>SUMIFS(plan!$Z:$Z,plan!$A:$A,喷水计划单汇总!A11,plan!$H:$H,IF(D11="黑","黑丝",{"本白","漂白","黑色","灰色","湖蓝"}),plan!$L:$L,喷水计划单汇总!K11)</f>
        <v>67.161333333333332</v>
      </c>
      <c r="Z11" s="250">
        <f>SUMIFS(plan!$AA:$AA,plan!$A:$A,喷水计划单汇总!A11,plan!$H:$H,IF(D11="黑","黑丝",{"本白","漂白","黑色","灰色","湖蓝"}),plan!$L:$L,喷水计划单汇总!K11)</f>
        <v>49.151356080489933</v>
      </c>
    </row>
    <row r="12" spans="1:26" ht="18" customHeight="1">
      <c r="A12" s="92" t="s">
        <v>1695</v>
      </c>
      <c r="B12" s="194" t="s">
        <v>1682</v>
      </c>
      <c r="C12" s="92" t="s">
        <v>1679</v>
      </c>
      <c r="D12" s="194" t="s">
        <v>1727</v>
      </c>
      <c r="E12" s="194" t="str">
        <f t="shared" si="0"/>
        <v>20</v>
      </c>
      <c r="F12" s="194" t="str">
        <f t="shared" si="1"/>
        <v>20</v>
      </c>
      <c r="G12" s="194">
        <f>VLOOKUP(A12,经纬!B:G,6,FALSE)</f>
        <v>17</v>
      </c>
      <c r="H12" s="194" t="str">
        <f>VLOOKUP(A12,经纬!B:F,5,FALSE)</f>
        <v>197</v>
      </c>
      <c r="I12" s="194">
        <f>VLOOKUP(A12&amp;D12&amp;C12,经纬!A:I,9,FALSE)</f>
        <v>5926</v>
      </c>
      <c r="J12" s="214">
        <f>VLOOKUP(A12,经纬!B:J,9,FALSE)</f>
        <v>20.866141732283463</v>
      </c>
      <c r="K12" s="194"/>
      <c r="L12" s="194" t="str">
        <f t="array" ref="L12">LEFT(K12,MIN(FIND({"A","B","C","D"},MID(K12,2,LEN(K12))&amp;"ABCD")))</f>
        <v/>
      </c>
      <c r="M12" s="194" t="str">
        <f t="array" ref="M12">SUBSTITUTE(K12,L12,"")</f>
        <v/>
      </c>
      <c r="N12" s="246" t="str">
        <f t="array" ref="N12">IF(K12="","",INDEX(plan!$A:$F,MATCH(A12&amp;K12,plan!$A$2:$A$19999&amp;plan!$L$2:$L$19999,0)+1,MATCH(plan!$F$1,plan!$A$1:$F$1,0)))</f>
        <v/>
      </c>
      <c r="O12" s="338" t="str">
        <f t="array" ref="O12">IF(K12="","",INDEX(plan!$A:$O,MATCH(A12&amp;K12,plan!$A$2:$A$19999&amp;plan!$L$2:$L$19999,0)+1,MATCH(plan!$O$1,plan!$A$1:$O$1,0)))</f>
        <v/>
      </c>
      <c r="P12" s="194"/>
      <c r="Q12" s="338" t="str">
        <f t="array" ref="Q12">IF(K12="","",IF(INDEX(plan!$A:$S,MATCH(A12&amp;K12,plan!$A$2:$A$19999&amp;plan!$L$2:$L$19999,0)+1,MATCH(plan!$S$1,plan!$A$1:$S$1,0))&gt;0,INDEX(plan!$A:$S,MATCH(A12&amp;K12,plan!$A$2:$A$19999&amp;plan!$L$2:$L$19999,0)+1,MATCH(plan!$S$1,plan!$A$1:$S$1,0)),""))</f>
        <v/>
      </c>
      <c r="R12" s="246" t="str">
        <f>IF(K12="","",IF(D12&lt;&gt;"黑",SUMIFS(plan!I:I,plan!A:A,喷水计划单汇总!A12,plan!L:L,喷水计划单汇总!K12,plan!H:H,"&lt;&gt;"&amp;"黑丝"),SUMIFS(plan!I:I,plan!A:A,喷水计划单汇总!A12,plan!L:L,喷水计划单汇总!K12,plan!H:H,"="&amp;"黑丝")))</f>
        <v/>
      </c>
      <c r="S12" s="194"/>
      <c r="T12" s="250">
        <f>SUMIFS(plan!W:W,plan!A:A,喷水计划单汇总!A12,plan!L:L,喷水计划单汇总!K12,plan!H:H,IF(喷水计划单汇总!D12="黑","黑丝",{"本白","漂白","灰色","黑色","亚白"}))</f>
        <v>0</v>
      </c>
      <c r="U12" s="250">
        <f>SUMIFS(喷水布库存!E:E,喷水布库存!B:B,喷水计划单汇总!A12,喷水布库存!O:O,喷水计划单汇总!D12,喷水布库存!L:L,喷水计划单汇总!C12)</f>
        <v>0</v>
      </c>
      <c r="Y12" s="250">
        <f>SUMIFS(plan!$Z:$Z,plan!$A:$A,喷水计划单汇总!A12,plan!$H:$H,IF(D12="黑","黑丝",{"本白","漂白","黑色","灰色","湖蓝"}),plan!$L:$L,喷水计划单汇总!K12)</f>
        <v>0</v>
      </c>
      <c r="Z12" s="250">
        <f>SUMIFS(plan!$AA:$AA,plan!$A:$A,喷水计划单汇总!A12,plan!$H:$H,IF(D12="黑","黑丝",{"本白","漂白","黑色","灰色","湖蓝"}),plan!$L:$L,喷水计划单汇总!K12)</f>
        <v>0</v>
      </c>
    </row>
    <row r="13" spans="1:26" ht="18" customHeight="1">
      <c r="A13" s="92" t="s">
        <v>1697</v>
      </c>
      <c r="B13" s="194" t="s">
        <v>1682</v>
      </c>
      <c r="C13" s="92" t="s">
        <v>1679</v>
      </c>
      <c r="D13" s="194" t="s">
        <v>1675</v>
      </c>
      <c r="E13" s="194" t="str">
        <f t="shared" si="0"/>
        <v>20</v>
      </c>
      <c r="F13" s="194" t="str">
        <f t="shared" si="1"/>
        <v>20</v>
      </c>
      <c r="G13" s="194">
        <f>VLOOKUP(A13,经纬!B:G,6,FALSE)</f>
        <v>17</v>
      </c>
      <c r="H13" s="194" t="str">
        <f>VLOOKUP(A13,经纬!B:F,5,FALSE)</f>
        <v>146</v>
      </c>
      <c r="I13" s="194">
        <f>VLOOKUP(A13&amp;D13&amp;C13,经纬!A:I,9,FALSE)</f>
        <v>4540</v>
      </c>
      <c r="J13" s="214">
        <f>VLOOKUP(A13,经纬!B:J,9,FALSE)</f>
        <v>20.866141732283463</v>
      </c>
      <c r="K13" s="194"/>
      <c r="L13" s="194" t="str">
        <f t="array" ref="L13">LEFT(K13,MIN(FIND({"A","B","C","D"},MID(K13,2,LEN(K13))&amp;"ABCD")))</f>
        <v/>
      </c>
      <c r="M13" s="194" t="str">
        <f t="array" ref="M13">SUBSTITUTE(K13,L13,"")</f>
        <v/>
      </c>
      <c r="N13" s="246" t="str">
        <f t="array" ref="N13">IF(K13="","",INDEX(plan!$A:$F,MATCH(A13&amp;K13,plan!$A$2:$A$19999&amp;plan!$L$2:$L$19999,0)+1,MATCH(plan!$F$1,plan!$A$1:$F$1,0)))</f>
        <v/>
      </c>
      <c r="O13" s="338" t="str">
        <f t="array" ref="O13">IF(K13="","",INDEX(plan!$A:$O,MATCH(A13&amp;K13,plan!$A$2:$A$19999&amp;plan!$L$2:$L$19999,0)+1,MATCH(plan!$O$1,plan!$A$1:$O$1,0)))</f>
        <v/>
      </c>
      <c r="P13" s="194"/>
      <c r="Q13" s="338" t="str">
        <f t="array" ref="Q13">IF(K13="","",IF(INDEX(plan!$A:$S,MATCH(A13&amp;K13,plan!$A$2:$A$19999&amp;plan!$L$2:$L$19999,0)+1,MATCH(plan!$S$1,plan!$A$1:$S$1,0))&gt;0,INDEX(plan!$A:$S,MATCH(A13&amp;K13,plan!$A$2:$A$19999&amp;plan!$L$2:$L$19999,0)+1,MATCH(plan!$S$1,plan!$A$1:$S$1,0)),""))</f>
        <v/>
      </c>
      <c r="R13" s="246" t="str">
        <f>IF(K13="","",IF(D13&lt;&gt;"黑",SUMIFS(plan!I:I,plan!A:A,喷水计划单汇总!A13,plan!L:L,喷水计划单汇总!K13,plan!H:H,"&lt;&gt;"&amp;"黑丝"),SUMIFS(plan!I:I,plan!A:A,喷水计划单汇总!A13,plan!L:L,喷水计划单汇总!K13,plan!H:H,"="&amp;"黑丝")))</f>
        <v/>
      </c>
      <c r="S13" s="194"/>
      <c r="T13" s="250">
        <f>SUMIFS(plan!W:W,plan!A:A,喷水计划单汇总!A13,plan!L:L,喷水计划单汇总!K13,plan!H:H,IF(喷水计划单汇总!D13="黑","黑丝",{"本白","漂白","灰色","黑色","亚白"}))</f>
        <v>0</v>
      </c>
      <c r="U13" s="250">
        <f>SUMIFS(喷水布库存!E:E,喷水布库存!B:B,喷水计划单汇总!A13,喷水布库存!O:O,喷水计划单汇总!D13,喷水布库存!L:L,喷水计划单汇总!C13)</f>
        <v>0</v>
      </c>
      <c r="Y13" s="250">
        <f>SUMIFS(plan!$Z:$Z,plan!$A:$A,喷水计划单汇总!A13,plan!$H:$H,IF(D13="黑","黑丝",{"本白","漂白","黑色","灰色","湖蓝"}),plan!$L:$L,喷水计划单汇总!K13)</f>
        <v>0</v>
      </c>
      <c r="Z13" s="250">
        <f>SUMIFS(plan!$AA:$AA,plan!$A:$A,喷水计划单汇总!A13,plan!$H:$H,IF(D13="黑","黑丝",{"本白","漂白","黑色","灰色","湖蓝"}),plan!$L:$L,喷水计划单汇总!K13)</f>
        <v>0</v>
      </c>
    </row>
    <row r="14" spans="1:26" ht="18" customHeight="1">
      <c r="A14" s="92" t="s">
        <v>1742</v>
      </c>
      <c r="B14" s="194" t="s">
        <v>1736</v>
      </c>
      <c r="C14" s="92" t="s">
        <v>2445</v>
      </c>
      <c r="D14" s="194" t="s">
        <v>1727</v>
      </c>
      <c r="E14" s="194" t="str">
        <f t="shared" si="0"/>
        <v>200</v>
      </c>
      <c r="F14" s="194" t="str">
        <f t="shared" si="1"/>
        <v>300</v>
      </c>
      <c r="G14" s="194">
        <f>VLOOKUP(A14,经纬!B:G,6,FALSE)</f>
        <v>135</v>
      </c>
      <c r="H14" s="194" t="str">
        <f>VLOOKUP(A14,经纬!B:F,5,FALSE)</f>
        <v>180</v>
      </c>
      <c r="I14" s="194">
        <f>VLOOKUP(A14&amp;D14&amp;C14,经纬!A:I,9,FALSE)</f>
        <v>3584</v>
      </c>
      <c r="J14" s="214">
        <f>VLOOKUP(A14,经纬!B:J,9,FALSE)</f>
        <v>16.141732283464567</v>
      </c>
      <c r="K14" s="194"/>
      <c r="L14" s="194" t="str">
        <f t="array" ref="L14">LEFT(K14,MIN(FIND({"A","B","C","D"},MID(K14,2,LEN(K14))&amp;"ABCD")))</f>
        <v/>
      </c>
      <c r="M14" s="194" t="str">
        <f t="array" ref="M14">SUBSTITUTE(K14,L14,"")</f>
        <v/>
      </c>
      <c r="N14" s="246" t="str">
        <f t="array" ref="N14">IF(K14="","",INDEX(plan!$A:$F,MATCH(A14&amp;K14,plan!$A$2:$A$19999&amp;plan!$L$2:$L$19999,0)+1,MATCH(plan!$F$1,plan!$A$1:$F$1,0)))</f>
        <v/>
      </c>
      <c r="O14" s="338" t="str">
        <f t="array" ref="O14">IF(K14="","",INDEX(plan!$A:$O,MATCH(A14&amp;K14,plan!$A$2:$A$19999&amp;plan!$L$2:$L$19999,0)+1,MATCH(plan!$O$1,plan!$A$1:$O$1,0)))</f>
        <v/>
      </c>
      <c r="P14" s="194"/>
      <c r="Q14" s="338" t="str">
        <f t="array" ref="Q14">IF(K14="","",IF(INDEX(plan!$A:$S,MATCH(A14&amp;K14,plan!$A$2:$A$19999&amp;plan!$L$2:$L$19999,0)+1,MATCH(plan!$S$1,plan!$A$1:$S$1,0))&gt;0,INDEX(plan!$A:$S,MATCH(A14&amp;K14,plan!$A$2:$A$19999&amp;plan!$L$2:$L$19999,0)+1,MATCH(plan!$S$1,plan!$A$1:$S$1,0)),""))</f>
        <v/>
      </c>
      <c r="R14" s="246" t="str">
        <f>IF(K14="","",IF(D14&lt;&gt;"黑",SUMIFS(plan!I:I,plan!A:A,喷水计划单汇总!A14,plan!L:L,喷水计划单汇总!K14,plan!H:H,"&lt;&gt;"&amp;"黑丝"),SUMIFS(plan!I:I,plan!A:A,喷水计划单汇总!A14,plan!L:L,喷水计划单汇总!K14,plan!H:H,"="&amp;"黑丝")))</f>
        <v/>
      </c>
      <c r="S14" s="194"/>
      <c r="T14" s="250">
        <f>SUMIFS(plan!W:W,plan!A:A,喷水计划单汇总!A14,plan!L:L,喷水计划单汇总!K14,plan!H:H,IF(喷水计划单汇总!D14="黑","黑丝",{"本白","漂白","灰色","黑色","亚白"}))</f>
        <v>0</v>
      </c>
      <c r="U14" s="250">
        <f>SUMIFS(喷水布库存!E:E,喷水布库存!B:B,喷水计划单汇总!A14,喷水布库存!O:O,喷水计划单汇总!D14,喷水布库存!L:L,喷水计划单汇总!C14)</f>
        <v>0</v>
      </c>
      <c r="Y14" s="250">
        <f>SUMIFS(plan!$Z:$Z,plan!$A:$A,喷水计划单汇总!A14,plan!$H:$H,IF(D14="黑","黑丝",{"本白","漂白","黑色","灰色","湖蓝"}),plan!$L:$L,喷水计划单汇总!K14)</f>
        <v>0</v>
      </c>
      <c r="Z14" s="250">
        <f>SUMIFS(plan!$AA:$AA,plan!$A:$A,喷水计划单汇总!A14,plan!$H:$H,IF(D14="黑","黑丝",{"本白","漂白","黑色","灰色","湖蓝"}),plan!$L:$L,喷水计划单汇总!K14)</f>
        <v>0</v>
      </c>
    </row>
    <row r="15" spans="1:26" ht="18" customHeight="1">
      <c r="A15" s="92" t="s">
        <v>1749</v>
      </c>
      <c r="B15" s="194" t="s">
        <v>1736</v>
      </c>
      <c r="C15" s="92" t="s">
        <v>2445</v>
      </c>
      <c r="D15" s="194" t="s">
        <v>1675</v>
      </c>
      <c r="E15" s="194" t="str">
        <f t="shared" si="0"/>
        <v>200</v>
      </c>
      <c r="F15" s="194" t="str">
        <f t="shared" si="1"/>
        <v>300</v>
      </c>
      <c r="G15" s="194">
        <f>VLOOKUP(A15,经纬!B:G,6,FALSE)</f>
        <v>116</v>
      </c>
      <c r="H15" s="194" t="str">
        <f>VLOOKUP(A15,经纬!B:F,5,FALSE)</f>
        <v>180</v>
      </c>
      <c r="I15" s="194">
        <f>VLOOKUP(A15&amp;D15&amp;C15,经纬!A:I,9,FALSE)</f>
        <v>3700</v>
      </c>
      <c r="J15" s="214">
        <f>VLOOKUP(A15,经纬!B:J,9,FALSE)</f>
        <v>11.614173228346457</v>
      </c>
      <c r="K15" s="194"/>
      <c r="L15" s="194" t="str">
        <f t="array" ref="L15">LEFT(K15,MIN(FIND({"A","B","C","D"},MID(K15,2,LEN(K15))&amp;"ABCD")))</f>
        <v/>
      </c>
      <c r="M15" s="194" t="str">
        <f t="array" ref="M15">SUBSTITUTE(K15,L15,"")</f>
        <v/>
      </c>
      <c r="N15" s="246" t="str">
        <f t="array" ref="N15">IF(K15="","",INDEX(plan!$A:$F,MATCH(A15&amp;K15,plan!$A$2:$A$19999&amp;plan!$L$2:$L$19999,0)+1,MATCH(plan!$F$1,plan!$A$1:$F$1,0)))</f>
        <v/>
      </c>
      <c r="O15" s="338" t="str">
        <f t="array" ref="O15">IF(K15="","",INDEX(plan!$A:$O,MATCH(A15&amp;K15,plan!$A$2:$A$19999&amp;plan!$L$2:$L$19999,0)+1,MATCH(plan!$O$1,plan!$A$1:$O$1,0)))</f>
        <v/>
      </c>
      <c r="P15" s="194"/>
      <c r="Q15" s="338" t="str">
        <f t="array" ref="Q15">IF(K15="","",IF(INDEX(plan!$A:$S,MATCH(A15&amp;K15,plan!$A$2:$A$19999&amp;plan!$L$2:$L$19999,0)+1,MATCH(plan!$S$1,plan!$A$1:$S$1,0))&gt;0,INDEX(plan!$A:$S,MATCH(A15&amp;K15,plan!$A$2:$A$19999&amp;plan!$L$2:$L$19999,0)+1,MATCH(plan!$S$1,plan!$A$1:$S$1,0)),""))</f>
        <v/>
      </c>
      <c r="R15" s="246" t="str">
        <f>IF(K15="","",IF(D15&lt;&gt;"黑",SUMIFS(plan!I:I,plan!A:A,喷水计划单汇总!A15,plan!L:L,喷水计划单汇总!K15,plan!H:H,"&lt;&gt;"&amp;"黑丝"),SUMIFS(plan!I:I,plan!A:A,喷水计划单汇总!A15,plan!L:L,喷水计划单汇总!K15,plan!H:H,"="&amp;"黑丝")))</f>
        <v/>
      </c>
      <c r="S15" s="194"/>
      <c r="T15" s="250">
        <f>SUMIFS(plan!W:W,plan!A:A,喷水计划单汇总!A15,plan!L:L,喷水计划单汇总!K15,plan!H:H,IF(喷水计划单汇总!D15="黑","黑丝",{"本白","漂白","灰色","黑色","亚白"}))</f>
        <v>0</v>
      </c>
      <c r="U15" s="250">
        <f>SUMIFS(喷水布库存!E:E,喷水布库存!B:B,喷水计划单汇总!A15,喷水布库存!O:O,喷水计划单汇总!D15,喷水布库存!L:L,喷水计划单汇总!C15)</f>
        <v>2400</v>
      </c>
      <c r="Y15" s="250">
        <f>SUMIFS(plan!$Z:$Z,plan!$A:$A,喷水计划单汇总!A15,plan!$H:$H,IF(D15="黑","黑丝",{"本白","漂白","黑色","灰色","湖蓝"}),plan!$L:$L,喷水计划单汇总!K15)</f>
        <v>0</v>
      </c>
      <c r="Z15" s="250">
        <f>SUMIFS(plan!$AA:$AA,plan!$A:$A,喷水计划单汇总!A15,plan!$H:$H,IF(D15="黑","黑丝",{"本白","漂白","黑色","灰色","湖蓝"}),plan!$L:$L,喷水计划单汇总!K15)</f>
        <v>0</v>
      </c>
    </row>
    <row r="16" spans="1:26" ht="18" customHeight="1">
      <c r="A16" s="92" t="s">
        <v>1749</v>
      </c>
      <c r="B16" s="194" t="s">
        <v>1736</v>
      </c>
      <c r="C16" s="92" t="s">
        <v>2445</v>
      </c>
      <c r="D16" s="194" t="s">
        <v>1727</v>
      </c>
      <c r="E16" s="194" t="str">
        <f t="shared" si="0"/>
        <v>200</v>
      </c>
      <c r="F16" s="194" t="str">
        <f t="shared" si="1"/>
        <v>300</v>
      </c>
      <c r="G16" s="194">
        <f>VLOOKUP(A16,经纬!B:G,6,FALSE)</f>
        <v>116</v>
      </c>
      <c r="H16" s="194" t="str">
        <f>VLOOKUP(A16,经纬!B:F,5,FALSE)</f>
        <v>180</v>
      </c>
      <c r="I16" s="194">
        <f>VLOOKUP(A16&amp;D16&amp;C16,经纬!A:I,9,FALSE)</f>
        <v>3700</v>
      </c>
      <c r="J16" s="214">
        <f>VLOOKUP(A16,经纬!B:J,9,FALSE)</f>
        <v>11.614173228346457</v>
      </c>
      <c r="K16" s="194" t="s">
        <v>1816</v>
      </c>
      <c r="L16" s="194" t="str">
        <f t="array" ref="L16">LEFT(K16,MIN(FIND({"A","B","C","D"},MID(K16,2,LEN(K16))&amp;"ABCD")))</f>
        <v>A28</v>
      </c>
      <c r="M16" s="194" t="str">
        <f t="array" ref="M16">SUBSTITUTE(K16,L16,"")</f>
        <v>B528</v>
      </c>
      <c r="N16" s="246" t="str">
        <f t="array" ref="N16">IF(K16="","",INDEX(plan!$A:$F,MATCH(A16&amp;K16,plan!$A$2:$A$19999&amp;plan!$L$2:$L$19999,0)+1,MATCH(plan!$F$1,plan!$A$1:$F$1,0)))</f>
        <v>A</v>
      </c>
      <c r="O16" s="338">
        <f t="array" ref="O16">IF(K16="","",INDEX(plan!$A:$O,MATCH(A16&amp;K16,plan!$A$2:$A$19999&amp;plan!$L$2:$L$19999,0)+1,MATCH(plan!$O$1,plan!$A$1:$O$1,0)))</f>
        <v>43754</v>
      </c>
      <c r="P16" s="194"/>
      <c r="Q16" s="338" t="str">
        <f t="array" ref="Q16">IF(K16="","",IF(INDEX(plan!$A:$S,MATCH(A16&amp;K16,plan!$A$2:$A$19999&amp;plan!$L$2:$L$19999,0)+1,MATCH(plan!$S$1,plan!$A$1:$S$1,0))&gt;0,INDEX(plan!$A:$S,MATCH(A16&amp;K16,plan!$A$2:$A$19999&amp;plan!$L$2:$L$19999,0)+1,MATCH(plan!$S$1,plan!$A$1:$S$1,0)),""))</f>
        <v/>
      </c>
      <c r="R16" s="246">
        <f>IF(K16="","",IF(D16&lt;&gt;"黑",SUMIFS(plan!I:I,plan!A:A,喷水计划单汇总!A16,plan!L:L,喷水计划单汇总!K16,plan!H:H,"&lt;&gt;"&amp;"黑丝"),SUMIFS(plan!I:I,plan!A:A,喷水计划单汇总!A16,plan!L:L,喷水计划单汇总!K16,plan!H:H,"="&amp;"黑丝")))</f>
        <v>11000</v>
      </c>
      <c r="S16" s="194"/>
      <c r="T16" s="250">
        <f>SUMIFS(plan!W:W,plan!A:A,喷水计划单汇总!A16,plan!L:L,喷水计划单汇总!K16,plan!H:H,IF(喷水计划单汇总!D16="黑","黑丝",{"本白","漂白","灰色","黑色","亚白"}))</f>
        <v>11000</v>
      </c>
      <c r="U16" s="250">
        <f>SUMIFS(喷水布库存!E:E,喷水布库存!B:B,喷水计划单汇总!A16,喷水布库存!O:O,喷水计划单汇总!D16,喷水布库存!L:L,喷水计划单汇总!C16)</f>
        <v>46100</v>
      </c>
      <c r="Y16" s="250">
        <f>SUMIFS(plan!$Z:$Z,plan!$A:$A,喷水计划单汇总!A16,plan!$H:$H,IF(D16="黑","黑丝",{"本白","漂白","黑色","灰色","湖蓝"}),plan!$L:$L,喷水计划单汇总!K16)</f>
        <v>922.53333333333342</v>
      </c>
      <c r="Z16" s="250">
        <f>SUMIFS(plan!$AA:$AA,plan!$A:$A,喷水计划单汇总!A16,plan!$H:$H,IF(D16="黑","黑丝",{"本白","漂白","黑色","灰色","湖蓝"}),plan!$L:$L,喷水计划单汇总!K16)</f>
        <v>900.78740157480308</v>
      </c>
    </row>
    <row r="17" spans="1:26" ht="18" customHeight="1">
      <c r="A17" s="92" t="s">
        <v>1750</v>
      </c>
      <c r="B17" s="194" t="s">
        <v>1736</v>
      </c>
      <c r="C17" s="92" t="s">
        <v>2445</v>
      </c>
      <c r="D17" s="194" t="s">
        <v>1675</v>
      </c>
      <c r="E17" s="194" t="str">
        <f t="shared" si="0"/>
        <v>200</v>
      </c>
      <c r="F17" s="194" t="str">
        <f t="shared" si="1"/>
        <v>300</v>
      </c>
      <c r="G17" s="194">
        <f>VLOOKUP(A17,经纬!B:G,6,FALSE)</f>
        <v>106</v>
      </c>
      <c r="H17" s="194" t="str">
        <f>VLOOKUP(A17,经纬!B:F,5,FALSE)</f>
        <v>180</v>
      </c>
      <c r="I17" s="194">
        <f>VLOOKUP(A17&amp;D17&amp;C17,经纬!A:I,9,FALSE)</f>
        <v>3700</v>
      </c>
      <c r="J17" s="214">
        <f>VLOOKUP(A17,经纬!B:J,9,FALSE)</f>
        <v>9.8425196850393704</v>
      </c>
      <c r="K17" s="194"/>
      <c r="L17" s="194" t="str">
        <f t="array" ref="L17">LEFT(K17,MIN(FIND({"A","B","C","D"},MID(K17,2,LEN(K17))&amp;"ABCD")))</f>
        <v/>
      </c>
      <c r="M17" s="194" t="str">
        <f t="array" ref="M17">SUBSTITUTE(K17,L17,"")</f>
        <v/>
      </c>
      <c r="N17" s="246" t="str">
        <f t="array" ref="N17">IF(K17="","",INDEX(plan!$A:$F,MATCH(A17&amp;K17,plan!$A$2:$A$19999&amp;plan!$L$2:$L$19999,0)+1,MATCH(plan!$F$1,plan!$A$1:$F$1,0)))</f>
        <v/>
      </c>
      <c r="O17" s="338" t="str">
        <f t="array" ref="O17">IF(K17="","",INDEX(plan!$A:$O,MATCH(A17&amp;K17,plan!$A$2:$A$19999&amp;plan!$L$2:$L$19999,0)+1,MATCH(plan!$O$1,plan!$A$1:$O$1,0)))</f>
        <v/>
      </c>
      <c r="P17" s="194"/>
      <c r="Q17" s="338" t="str">
        <f t="array" ref="Q17">IF(K17="","",IF(INDEX(plan!$A:$S,MATCH(A17&amp;K17,plan!$A$2:$A$19999&amp;plan!$L$2:$L$19999,0)+1,MATCH(plan!$S$1,plan!$A$1:$S$1,0))&gt;0,INDEX(plan!$A:$S,MATCH(A17&amp;K17,plan!$A$2:$A$19999&amp;plan!$L$2:$L$19999,0)+1,MATCH(plan!$S$1,plan!$A$1:$S$1,0)),""))</f>
        <v/>
      </c>
      <c r="R17" s="246" t="str">
        <f>IF(K17="","",IF(D17&lt;&gt;"黑",SUMIFS(plan!I:I,plan!A:A,喷水计划单汇总!A17,plan!L:L,喷水计划单汇总!K17,plan!H:H,"&lt;&gt;"&amp;"黑丝"),SUMIFS(plan!I:I,plan!A:A,喷水计划单汇总!A17,plan!L:L,喷水计划单汇总!K17,plan!H:H,"="&amp;"黑丝")))</f>
        <v/>
      </c>
      <c r="S17" s="194"/>
      <c r="T17" s="250">
        <f>SUMIFS(plan!W:W,plan!A:A,喷水计划单汇总!A17,plan!L:L,喷水计划单汇总!K17,plan!H:H,IF(喷水计划单汇总!D17="黑","黑丝",{"本白","漂白","灰色","黑色","亚白"}))</f>
        <v>0</v>
      </c>
      <c r="U17" s="250">
        <f>SUMIFS(喷水布库存!E:E,喷水布库存!B:B,喷水计划单汇总!A17,喷水布库存!O:O,喷水计划单汇总!D17,喷水布库存!L:L,喷水计划单汇总!C17)</f>
        <v>0</v>
      </c>
      <c r="Y17" s="250">
        <f>SUMIFS(plan!$Z:$Z,plan!$A:$A,喷水计划单汇总!A17,plan!$H:$H,IF(D17="黑","黑丝",{"本白","漂白","黑色","灰色","湖蓝"}),plan!$L:$L,喷水计划单汇总!K17)</f>
        <v>0</v>
      </c>
      <c r="Z17" s="250">
        <f>SUMIFS(plan!$AA:$AA,plan!$A:$A,喷水计划单汇总!A17,plan!$H:$H,IF(D17="黑","黑丝",{"本白","漂白","黑色","灰色","湖蓝"}),plan!$L:$L,喷水计划单汇总!K17)</f>
        <v>0</v>
      </c>
    </row>
    <row r="18" spans="1:26" ht="18" customHeight="1">
      <c r="A18" s="92" t="s">
        <v>1751</v>
      </c>
      <c r="B18" s="194" t="s">
        <v>1736</v>
      </c>
      <c r="C18" s="92" t="s">
        <v>2445</v>
      </c>
      <c r="D18" s="194" t="s">
        <v>1727</v>
      </c>
      <c r="E18" s="194" t="str">
        <f t="shared" si="0"/>
        <v>200</v>
      </c>
      <c r="F18" s="194" t="str">
        <f t="shared" si="1"/>
        <v>300</v>
      </c>
      <c r="G18" s="194">
        <f>VLOOKUP(A18,经纬!B:G,6,FALSE)</f>
        <v>126</v>
      </c>
      <c r="H18" s="194" t="str">
        <f>VLOOKUP(A18,经纬!B:F,5,FALSE)</f>
        <v>180</v>
      </c>
      <c r="I18" s="194">
        <f>VLOOKUP(A18&amp;D18&amp;C18,经纬!A:I,9,FALSE)</f>
        <v>3700</v>
      </c>
      <c r="J18" s="214">
        <f>VLOOKUP(A18,经纬!B:J,9,FALSE)</f>
        <v>14.763779527559056</v>
      </c>
      <c r="K18" s="194" t="s">
        <v>1816</v>
      </c>
      <c r="L18" s="194" t="str">
        <f t="array" ref="L18">LEFT(K18,MIN(FIND({"A","B","C","D"},MID(K18,2,LEN(K18))&amp;"ABCD")))</f>
        <v>A28</v>
      </c>
      <c r="M18" s="194" t="str">
        <f t="array" ref="M18">SUBSTITUTE(K18,L18,"")</f>
        <v>B528</v>
      </c>
      <c r="N18" s="246" t="str">
        <f t="array" ref="N18">IF(K18="","",INDEX(plan!$A:$F,MATCH(A18&amp;K18,plan!$A$2:$A$19999&amp;plan!$L$2:$L$19999,0)+1,MATCH(plan!$F$1,plan!$A$1:$F$1,0)))</f>
        <v>A</v>
      </c>
      <c r="O18" s="338">
        <f t="array" ref="O18">IF(K18="","",INDEX(plan!$A:$O,MATCH(A18&amp;K18,plan!$A$2:$A$19999&amp;plan!$L$2:$L$19999,0)+1,MATCH(plan!$O$1,plan!$A$1:$O$1,0)))</f>
        <v>43754</v>
      </c>
      <c r="P18" s="194"/>
      <c r="Q18" s="338" t="str">
        <f t="array" ref="Q18">IF(K18="","",IF(INDEX(plan!$A:$S,MATCH(A18&amp;K18,plan!$A$2:$A$19999&amp;plan!$L$2:$L$19999,0)+1,MATCH(plan!$S$1,plan!$A$1:$S$1,0))&gt;0,INDEX(plan!$A:$S,MATCH(A18&amp;K18,plan!$A$2:$A$19999&amp;plan!$L$2:$L$19999,0)+1,MATCH(plan!$S$1,plan!$A$1:$S$1,0)),""))</f>
        <v/>
      </c>
      <c r="R18" s="246">
        <f>IF(K18="","",IF(D18&lt;&gt;"黑",SUMIFS(plan!I:I,plan!A:A,喷水计划单汇总!A18,plan!L:L,喷水计划单汇总!K18,plan!H:H,"&lt;&gt;"&amp;"黑丝"),SUMIFS(plan!I:I,plan!A:A,喷水计划单汇总!A18,plan!L:L,喷水计划单汇总!K18,plan!H:H,"="&amp;"黑丝")))</f>
        <v>14000</v>
      </c>
      <c r="S18" s="194"/>
      <c r="T18" s="250">
        <f>SUMIFS(plan!W:W,plan!A:A,喷水计划单汇总!A18,plan!L:L,喷水计划单汇总!K18,plan!H:H,IF(喷水计划单汇总!D18="黑","黑丝",{"本白","漂白","灰色","黑色","亚白"}))</f>
        <v>14000</v>
      </c>
      <c r="U18" s="250">
        <f>SUMIFS(喷水布库存!E:E,喷水布库存!B:B,喷水计划单汇总!A18,喷水布库存!O:O,喷水计划单汇总!D18,喷水布库存!L:L,喷水计划单汇总!C18)</f>
        <v>50900</v>
      </c>
      <c r="Y18" s="250">
        <f>SUMIFS(plan!$Z:$Z,plan!$A:$A,喷水计划单汇总!A18,plan!$H:$H,IF(D18="黑","黑丝",{"本白","漂白","黑色","灰色","湖蓝"}),plan!$L:$L,喷水计划单汇总!K18)</f>
        <v>1174.1333333333334</v>
      </c>
      <c r="Z18" s="250">
        <f>SUMIFS(plan!$AA:$AA,plan!$A:$A,喷水计划单汇总!A18,plan!$H:$H,IF(D18="黑","黑丝",{"本白","漂白","黑色","灰色","湖蓝"}),plan!$L:$L,喷水计划单汇总!K18)</f>
        <v>1343.5039370078741</v>
      </c>
    </row>
    <row r="19" spans="1:26" ht="18" customHeight="1">
      <c r="A19" s="92" t="s">
        <v>1751</v>
      </c>
      <c r="B19" s="194" t="s">
        <v>1736</v>
      </c>
      <c r="C19" s="92" t="s">
        <v>2445</v>
      </c>
      <c r="D19" s="194" t="s">
        <v>1675</v>
      </c>
      <c r="E19" s="194" t="str">
        <f t="shared" si="0"/>
        <v>200</v>
      </c>
      <c r="F19" s="194" t="str">
        <f t="shared" si="1"/>
        <v>300</v>
      </c>
      <c r="G19" s="194">
        <f>VLOOKUP(A19,经纬!B:G,6,FALSE)</f>
        <v>126</v>
      </c>
      <c r="H19" s="194" t="str">
        <f>VLOOKUP(A19,经纬!B:F,5,FALSE)</f>
        <v>180</v>
      </c>
      <c r="I19" s="194">
        <f>VLOOKUP(A19&amp;D19&amp;C19,经纬!A:I,9,FALSE)</f>
        <v>3700</v>
      </c>
      <c r="J19" s="214">
        <f>VLOOKUP(A19,经纬!B:J,9,FALSE)</f>
        <v>14.763779527559056</v>
      </c>
      <c r="K19" s="194"/>
      <c r="L19" s="194" t="str">
        <f t="array" ref="L19">LEFT(K19,MIN(FIND({"A","B","C","D"},MID(K19,2,LEN(K19))&amp;"ABCD")))</f>
        <v/>
      </c>
      <c r="M19" s="194" t="str">
        <f t="array" ref="M19">SUBSTITUTE(K19,L19,"")</f>
        <v/>
      </c>
      <c r="N19" s="246" t="str">
        <f t="array" ref="N19">IF(K19="","",INDEX(plan!$A:$F,MATCH(A19&amp;K19,plan!$A$2:$A$19999&amp;plan!$L$2:$L$19999,0)+1,MATCH(plan!$F$1,plan!$A$1:$F$1,0)))</f>
        <v/>
      </c>
      <c r="O19" s="338" t="str">
        <f t="array" ref="O19">IF(K19="","",INDEX(plan!$A:$O,MATCH(A19&amp;K19,plan!$A$2:$A$19999&amp;plan!$L$2:$L$19999,0)+1,MATCH(plan!$O$1,plan!$A$1:$O$1,0)))</f>
        <v/>
      </c>
      <c r="P19" s="194"/>
      <c r="Q19" s="338" t="str">
        <f t="array" ref="Q19">IF(K19="","",IF(INDEX(plan!$A:$S,MATCH(A19&amp;K19,plan!$A$2:$A$19999&amp;plan!$L$2:$L$19999,0)+1,MATCH(plan!$S$1,plan!$A$1:$S$1,0))&gt;0,INDEX(plan!$A:$S,MATCH(A19&amp;K19,plan!$A$2:$A$19999&amp;plan!$L$2:$L$19999,0)+1,MATCH(plan!$S$1,plan!$A$1:$S$1,0)),""))</f>
        <v/>
      </c>
      <c r="R19" s="246" t="str">
        <f>IF(K19="","",IF(D19&lt;&gt;"黑",SUMIFS(plan!I:I,plan!A:A,喷水计划单汇总!A19,plan!L:L,喷水计划单汇总!K19,plan!H:H,"&lt;&gt;"&amp;"黑丝"),SUMIFS(plan!I:I,plan!A:A,喷水计划单汇总!A19,plan!L:L,喷水计划单汇总!K19,plan!H:H,"="&amp;"黑丝")))</f>
        <v/>
      </c>
      <c r="S19" s="194"/>
      <c r="T19" s="250">
        <f>SUMIFS(plan!W:W,plan!A:A,喷水计划单汇总!A19,plan!L:L,喷水计划单汇总!K19,plan!H:H,IF(喷水计划单汇总!D19="黑","黑丝",{"本白","漂白","灰色","黑色","亚白"}))</f>
        <v>0</v>
      </c>
      <c r="U19" s="250">
        <f>SUMIFS(喷水布库存!E:E,喷水布库存!B:B,喷水计划单汇总!A19,喷水布库存!O:O,喷水计划单汇总!D19,喷水布库存!L:L,喷水计划单汇总!C19)</f>
        <v>1836</v>
      </c>
      <c r="Y19" s="250">
        <f>SUMIFS(plan!$Z:$Z,plan!$A:$A,喷水计划单汇总!A19,plan!$H:$H,IF(D19="黑","黑丝",{"本白","漂白","黑色","灰色","湖蓝"}),plan!$L:$L,喷水计划单汇总!K19)</f>
        <v>0</v>
      </c>
      <c r="Z19" s="250">
        <f>SUMIFS(plan!$AA:$AA,plan!$A:$A,喷水计划单汇总!A19,plan!$H:$H,IF(D19="黑","黑丝",{"本白","漂白","黑色","灰色","湖蓝"}),plan!$L:$L,喷水计划单汇总!K19)</f>
        <v>0</v>
      </c>
    </row>
    <row r="20" spans="1:26" ht="18" customHeight="1">
      <c r="A20" s="92" t="s">
        <v>1699</v>
      </c>
      <c r="B20" s="194" t="s">
        <v>1683</v>
      </c>
      <c r="C20" s="92" t="s">
        <v>1679</v>
      </c>
      <c r="D20" s="194" t="s">
        <v>1675</v>
      </c>
      <c r="E20" s="194" t="str">
        <f t="shared" si="0"/>
        <v>30</v>
      </c>
      <c r="F20" s="194" t="str">
        <f t="shared" si="1"/>
        <v>30</v>
      </c>
      <c r="G20" s="194">
        <f>VLOOKUP(A20,经纬!B:G,6,FALSE)</f>
        <v>23</v>
      </c>
      <c r="H20" s="194" t="str">
        <f>VLOOKUP(A20,经纬!B:F,5,FALSE)</f>
        <v>143</v>
      </c>
      <c r="I20" s="194">
        <f>VLOOKUP(A20&amp;D20&amp;C20,经纬!A:I,9,FALSE)</f>
        <v>4074</v>
      </c>
      <c r="J20" s="214">
        <f>VLOOKUP(A20,经纬!B:J,9,FALSE)</f>
        <v>18.110236220472441</v>
      </c>
      <c r="K20" s="194"/>
      <c r="L20" s="194" t="str">
        <f t="array" ref="L20">LEFT(K20,MIN(FIND({"A","B","C","D"},MID(K20,2,LEN(K20))&amp;"ABCD")))</f>
        <v/>
      </c>
      <c r="M20" s="194" t="str">
        <f t="array" ref="M20">SUBSTITUTE(K20,L20,"")</f>
        <v/>
      </c>
      <c r="N20" s="246" t="str">
        <f t="array" ref="N20">IF(K20="","",INDEX(plan!$A:$F,MATCH(A20&amp;K20,plan!$A$2:$A$19999&amp;plan!$L$2:$L$19999,0)+1,MATCH(plan!$F$1,plan!$A$1:$F$1,0)))</f>
        <v/>
      </c>
      <c r="O20" s="338" t="str">
        <f t="array" ref="O20">IF(K20="","",INDEX(plan!$A:$O,MATCH(A20&amp;K20,plan!$A$2:$A$19999&amp;plan!$L$2:$L$19999,0)+1,MATCH(plan!$O$1,plan!$A$1:$O$1,0)))</f>
        <v/>
      </c>
      <c r="P20" s="194"/>
      <c r="Q20" s="338" t="str">
        <f t="array" ref="Q20">IF(K20="","",IF(INDEX(plan!$A:$S,MATCH(A20&amp;K20,plan!$A$2:$A$19999&amp;plan!$L$2:$L$19999,0)+1,MATCH(plan!$S$1,plan!$A$1:$S$1,0))&gt;0,INDEX(plan!$A:$S,MATCH(A20&amp;K20,plan!$A$2:$A$19999&amp;plan!$L$2:$L$19999,0)+1,MATCH(plan!$S$1,plan!$A$1:$S$1,0)),""))</f>
        <v/>
      </c>
      <c r="R20" s="246" t="str">
        <f>IF(K20="","",IF(D20&lt;&gt;"黑",SUMIFS(plan!I:I,plan!A:A,喷水计划单汇总!A20,plan!L:L,喷水计划单汇总!K20,plan!H:H,"&lt;&gt;"&amp;"黑丝"),SUMIFS(plan!I:I,plan!A:A,喷水计划单汇总!A20,plan!L:L,喷水计划单汇总!K20,plan!H:H,"="&amp;"黑丝")))</f>
        <v/>
      </c>
      <c r="S20" s="194"/>
      <c r="T20" s="250">
        <f>SUMIFS(plan!W:W,plan!A:A,喷水计划单汇总!A20,plan!L:L,喷水计划单汇总!K20,plan!H:H,IF(喷水计划单汇总!D20="黑","黑丝",{"本白","漂白","灰色","黑色","亚白"}))</f>
        <v>0</v>
      </c>
      <c r="U20" s="250">
        <f>SUMIFS(喷水布库存!E:E,喷水布库存!B:B,喷水计划单汇总!A20,喷水布库存!O:O,喷水计划单汇总!D20,喷水布库存!L:L,喷水计划单汇总!C20)</f>
        <v>0</v>
      </c>
      <c r="Y20" s="250">
        <f>SUMIFS(plan!$Z:$Z,plan!$A:$A,喷水计划单汇总!A20,plan!$H:$H,IF(D20="黑","黑丝",{"本白","漂白","黑色","灰色","湖蓝"}),plan!$L:$L,喷水计划单汇总!K20)</f>
        <v>0</v>
      </c>
      <c r="Z20" s="250">
        <f>SUMIFS(plan!$AA:$AA,plan!$A:$A,喷水计划单汇总!A20,plan!$H:$H,IF(D20="黑","黑丝",{"本白","漂白","黑色","灰色","湖蓝"}),plan!$L:$L,喷水计划单汇总!K20)</f>
        <v>0</v>
      </c>
    </row>
    <row r="21" spans="1:26" ht="18" customHeight="1">
      <c r="A21" s="92" t="s">
        <v>1701</v>
      </c>
      <c r="B21" s="194" t="s">
        <v>1683</v>
      </c>
      <c r="C21" s="92" t="s">
        <v>1679</v>
      </c>
      <c r="D21" s="194" t="s">
        <v>1675</v>
      </c>
      <c r="E21" s="194" t="str">
        <f t="shared" si="0"/>
        <v>30</v>
      </c>
      <c r="F21" s="194" t="str">
        <f t="shared" si="1"/>
        <v>30</v>
      </c>
      <c r="G21" s="194">
        <f>VLOOKUP(A21,经纬!B:G,6,FALSE)</f>
        <v>23</v>
      </c>
      <c r="H21" s="194" t="str">
        <f>VLOOKUP(A21,经纬!B:F,5,FALSE)</f>
        <v>190</v>
      </c>
      <c r="I21" s="194">
        <f>VLOOKUP(A21&amp;D21&amp;C21,经纬!A:I,9,FALSE)</f>
        <v>5332</v>
      </c>
      <c r="J21" s="214">
        <f>VLOOKUP(A21,经纬!B:J,9,FALSE)</f>
        <v>20.866141732283463</v>
      </c>
      <c r="K21" s="194"/>
      <c r="L21" s="194" t="str">
        <f t="array" ref="L21">LEFT(K21,MIN(FIND({"A","B","C","D"},MID(K21,2,LEN(K21))&amp;"ABCD")))</f>
        <v/>
      </c>
      <c r="M21" s="194" t="str">
        <f t="array" ref="M21">SUBSTITUTE(K21,L21,"")</f>
        <v/>
      </c>
      <c r="N21" s="246" t="str">
        <f t="array" ref="N21">IF(K21="","",INDEX(plan!$A:$F,MATCH(A21&amp;K21,plan!$A$2:$A$19999&amp;plan!$L$2:$L$19999,0)+1,MATCH(plan!$F$1,plan!$A$1:$F$1,0)))</f>
        <v/>
      </c>
      <c r="O21" s="338" t="str">
        <f t="array" ref="O21">IF(K21="","",INDEX(plan!$A:$O,MATCH(A21&amp;K21,plan!$A$2:$A$19999&amp;plan!$L$2:$L$19999,0)+1,MATCH(plan!$O$1,plan!$A$1:$O$1,0)))</f>
        <v/>
      </c>
      <c r="P21" s="194"/>
      <c r="Q21" s="338" t="str">
        <f t="array" ref="Q21">IF(K21="","",IF(INDEX(plan!$A:$S,MATCH(A21&amp;K21,plan!$A$2:$A$19999&amp;plan!$L$2:$L$19999,0)+1,MATCH(plan!$S$1,plan!$A$1:$S$1,0))&gt;0,INDEX(plan!$A:$S,MATCH(A21&amp;K21,plan!$A$2:$A$19999&amp;plan!$L$2:$L$19999,0)+1,MATCH(plan!$S$1,plan!$A$1:$S$1,0)),""))</f>
        <v/>
      </c>
      <c r="R21" s="246" t="str">
        <f>IF(K21="","",IF(D21&lt;&gt;"黑",SUMIFS(plan!I:I,plan!A:A,喷水计划单汇总!A21,plan!L:L,喷水计划单汇总!K21,plan!H:H,"&lt;&gt;"&amp;"黑丝"),SUMIFS(plan!I:I,plan!A:A,喷水计划单汇总!A21,plan!L:L,喷水计划单汇总!K21,plan!H:H,"="&amp;"黑丝")))</f>
        <v/>
      </c>
      <c r="S21" s="194"/>
      <c r="T21" s="250">
        <f>SUMIFS(plan!W:W,plan!A:A,喷水计划单汇总!A21,plan!L:L,喷水计划单汇总!K21,plan!H:H,IF(喷水计划单汇总!D21="黑","黑丝",{"本白","漂白","灰色","黑色","亚白"}))</f>
        <v>0</v>
      </c>
      <c r="U21" s="250">
        <f>SUMIFS(喷水布库存!E:E,喷水布库存!B:B,喷水计划单汇总!A21,喷水布库存!O:O,喷水计划单汇总!D21,喷水布库存!L:L,喷水计划单汇总!C21)</f>
        <v>26904</v>
      </c>
      <c r="Y21" s="250">
        <f>SUMIFS(plan!$Z:$Z,plan!$A:$A,喷水计划单汇总!A21,plan!$H:$H,IF(D21="黑","黑丝",{"本白","漂白","黑色","灰色","湖蓝"}),plan!$L:$L,喷水计划单汇总!K21)</f>
        <v>0</v>
      </c>
      <c r="Z21" s="250">
        <f>SUMIFS(plan!$AA:$AA,plan!$A:$A,喷水计划单汇总!A21,plan!$H:$H,IF(D21="黑","黑丝",{"本白","漂白","黑色","灰色","湖蓝"}),plan!$L:$L,喷水计划单汇总!K21)</f>
        <v>0</v>
      </c>
    </row>
    <row r="22" spans="1:26" ht="18" customHeight="1">
      <c r="A22" s="92" t="s">
        <v>1701</v>
      </c>
      <c r="B22" s="194" t="s">
        <v>1683</v>
      </c>
      <c r="C22" s="92" t="s">
        <v>1689</v>
      </c>
      <c r="D22" s="194" t="s">
        <v>1675</v>
      </c>
      <c r="E22" s="194" t="str">
        <f t="shared" si="0"/>
        <v>30</v>
      </c>
      <c r="F22" s="194" t="str">
        <f t="shared" si="1"/>
        <v>30</v>
      </c>
      <c r="G22" s="194">
        <f>VLOOKUP(A22,经纬!B:G,6,FALSE)</f>
        <v>23</v>
      </c>
      <c r="H22" s="194" t="str">
        <f>VLOOKUP(A22,经纬!B:F,5,FALSE)</f>
        <v>190</v>
      </c>
      <c r="I22" s="194">
        <f>VLOOKUP(A22&amp;D22&amp;C22,经纬!A:I,9,FALSE)</f>
        <v>5332</v>
      </c>
      <c r="J22" s="214">
        <f>VLOOKUP(A22,经纬!B:J,9,FALSE)</f>
        <v>20.866141732283463</v>
      </c>
      <c r="K22" s="194"/>
      <c r="L22" s="194" t="str">
        <f t="array" ref="L22">LEFT(K22,MIN(FIND({"A","B","C","D"},MID(K22,2,LEN(K22))&amp;"ABCD")))</f>
        <v/>
      </c>
      <c r="M22" s="194" t="str">
        <f t="array" ref="M22">SUBSTITUTE(K22,L22,"")</f>
        <v/>
      </c>
      <c r="N22" s="246" t="str">
        <f t="array" ref="N22">IF(K22="","",INDEX(plan!$A:$F,MATCH(A22&amp;K22,plan!$A$2:$A$19999&amp;plan!$L$2:$L$19999,0)+1,MATCH(plan!$F$1,plan!$A$1:$F$1,0)))</f>
        <v/>
      </c>
      <c r="O22" s="338" t="str">
        <f t="array" ref="O22">IF(K22="","",INDEX(plan!$A:$O,MATCH(A22&amp;K22,plan!$A$2:$A$19999&amp;plan!$L$2:$L$19999,0)+1,MATCH(plan!$O$1,plan!$A$1:$O$1,0)))</f>
        <v/>
      </c>
      <c r="P22" s="194"/>
      <c r="Q22" s="338" t="str">
        <f t="array" ref="Q22">IF(K22="","",IF(INDEX(plan!$A:$S,MATCH(A22&amp;K22,plan!$A$2:$A$19999&amp;plan!$L$2:$L$19999,0)+1,MATCH(plan!$S$1,plan!$A$1:$S$1,0))&gt;0,INDEX(plan!$A:$S,MATCH(A22&amp;K22,plan!$A$2:$A$19999&amp;plan!$L$2:$L$19999,0)+1,MATCH(plan!$S$1,plan!$A$1:$S$1,0)),""))</f>
        <v/>
      </c>
      <c r="R22" s="246" t="str">
        <f>IF(K22="","",IF(D22&lt;&gt;"黑",SUMIFS(plan!I:I,plan!A:A,喷水计划单汇总!A22,plan!L:L,喷水计划单汇总!K22,plan!H:H,"&lt;&gt;"&amp;"黑丝"),SUMIFS(plan!I:I,plan!A:A,喷水计划单汇总!A22,plan!L:L,喷水计划单汇总!K22,plan!H:H,"="&amp;"黑丝")))</f>
        <v/>
      </c>
      <c r="S22" s="194"/>
      <c r="T22" s="250">
        <f>SUMIFS(plan!W:W,plan!A:A,喷水计划单汇总!A22,plan!L:L,喷水计划单汇总!K22,plan!H:H,IF(喷水计划单汇总!D22="黑","黑丝",{"本白","漂白","灰色","黑色","亚白"}))</f>
        <v>0</v>
      </c>
      <c r="U22" s="250">
        <f>SUMIFS(喷水布库存!E:E,喷水布库存!B:B,喷水计划单汇总!A22,喷水布库存!O:O,喷水计划单汇总!D22,喷水布库存!L:L,喷水计划单汇总!C22)</f>
        <v>0</v>
      </c>
      <c r="Y22" s="250">
        <f>SUMIFS(plan!$Z:$Z,plan!$A:$A,喷水计划单汇总!A22,plan!$H:$H,IF(D22="黑","黑丝",{"本白","漂白","黑色","灰色","湖蓝"}),plan!$L:$L,喷水计划单汇总!K22)</f>
        <v>0</v>
      </c>
      <c r="Z22" s="250">
        <f>SUMIFS(plan!$AA:$AA,plan!$A:$A,喷水计划单汇总!A22,plan!$H:$H,IF(D22="黑","黑丝",{"本白","漂白","黑色","灰色","湖蓝"}),plan!$L:$L,喷水计划单汇总!K22)</f>
        <v>0</v>
      </c>
    </row>
    <row r="23" spans="1:26" ht="18" customHeight="1">
      <c r="A23" s="92" t="s">
        <v>1703</v>
      </c>
      <c r="B23" s="194" t="s">
        <v>1683</v>
      </c>
      <c r="C23" s="92" t="s">
        <v>1679</v>
      </c>
      <c r="D23" s="194" t="s">
        <v>1675</v>
      </c>
      <c r="E23" s="194" t="str">
        <f t="shared" si="0"/>
        <v>30</v>
      </c>
      <c r="F23" s="194" t="str">
        <f t="shared" si="1"/>
        <v>30</v>
      </c>
      <c r="G23" s="194">
        <f>VLOOKUP(A23,经纬!B:G,6,FALSE)</f>
        <v>23</v>
      </c>
      <c r="H23" s="194" t="str">
        <f>VLOOKUP(A23,经纬!B:F,5,FALSE)</f>
        <v>192</v>
      </c>
      <c r="I23" s="194">
        <f>VLOOKUP(A23&amp;D23&amp;C23,经纬!A:I,9,FALSE)</f>
        <v>5772</v>
      </c>
      <c r="J23" s="214">
        <f>VLOOKUP(A23,经纬!B:J,9,FALSE)</f>
        <v>18.503937007874015</v>
      </c>
      <c r="K23" s="194"/>
      <c r="L23" s="194" t="str">
        <f t="array" ref="L23">LEFT(K23,MIN(FIND({"A","B","C","D"},MID(K23,2,LEN(K23))&amp;"ABCD")))</f>
        <v/>
      </c>
      <c r="M23" s="194" t="str">
        <f t="array" ref="M23">SUBSTITUTE(K23,L23,"")</f>
        <v/>
      </c>
      <c r="N23" s="246" t="str">
        <f t="array" ref="N23">IF(K23="","",INDEX(plan!$A:$F,MATCH(A23&amp;K23,plan!$A$2:$A$19999&amp;plan!$L$2:$L$19999,0)+1,MATCH(plan!$F$1,plan!$A$1:$F$1,0)))</f>
        <v/>
      </c>
      <c r="O23" s="338" t="str">
        <f t="array" ref="O23">IF(K23="","",INDEX(plan!$A:$O,MATCH(A23&amp;K23,plan!$A$2:$A$19999&amp;plan!$L$2:$L$19999,0)+1,MATCH(plan!$O$1,plan!$A$1:$O$1,0)))</f>
        <v/>
      </c>
      <c r="P23" s="194"/>
      <c r="Q23" s="338" t="str">
        <f t="array" ref="Q23">IF(K23="","",IF(INDEX(plan!$A:$S,MATCH(A23&amp;K23,plan!$A$2:$A$19999&amp;plan!$L$2:$L$19999,0)+1,MATCH(plan!$S$1,plan!$A$1:$S$1,0))&gt;0,INDEX(plan!$A:$S,MATCH(A23&amp;K23,plan!$A$2:$A$19999&amp;plan!$L$2:$L$19999,0)+1,MATCH(plan!$S$1,plan!$A$1:$S$1,0)),""))</f>
        <v/>
      </c>
      <c r="R23" s="246" t="str">
        <f>IF(K23="","",IF(D23&lt;&gt;"黑",SUMIFS(plan!I:I,plan!A:A,喷水计划单汇总!A23,plan!L:L,喷水计划单汇总!K23,plan!H:H,"&lt;&gt;"&amp;"黑丝"),SUMIFS(plan!I:I,plan!A:A,喷水计划单汇总!A23,plan!L:L,喷水计划单汇总!K23,plan!H:H,"="&amp;"黑丝")))</f>
        <v/>
      </c>
      <c r="S23" s="194"/>
      <c r="T23" s="250">
        <f>SUMIFS(plan!W:W,plan!A:A,喷水计划单汇总!A23,plan!L:L,喷水计划单汇总!K23,plan!H:H,IF(喷水计划单汇总!D23="黑","黑丝",{"本白","漂白","灰色","黑色","亚白"}))</f>
        <v>0</v>
      </c>
      <c r="U23" s="250">
        <f>SUMIFS(喷水布库存!E:E,喷水布库存!B:B,喷水计划单汇总!A23,喷水布库存!O:O,喷水计划单汇总!D23,喷水布库存!L:L,喷水计划单汇总!C23)</f>
        <v>0</v>
      </c>
      <c r="Y23" s="250">
        <f>SUMIFS(plan!$Z:$Z,plan!$A:$A,喷水计划单汇总!A23,plan!$H:$H,IF(D23="黑","黑丝",{"本白","漂白","黑色","灰色","湖蓝"}),plan!$L:$L,喷水计划单汇总!K23)</f>
        <v>0</v>
      </c>
      <c r="Z23" s="250">
        <f>SUMIFS(plan!$AA:$AA,plan!$A:$A,喷水计划单汇总!A23,plan!$H:$H,IF(D23="黑","黑丝",{"本白","漂白","黑色","灰色","湖蓝"}),plan!$L:$L,喷水计划单汇总!K23)</f>
        <v>0</v>
      </c>
    </row>
    <row r="24" spans="1:26" ht="18" customHeight="1">
      <c r="A24" s="92" t="s">
        <v>1705</v>
      </c>
      <c r="B24" s="194" t="s">
        <v>1683</v>
      </c>
      <c r="C24" s="92" t="s">
        <v>1679</v>
      </c>
      <c r="D24" s="194" t="s">
        <v>1675</v>
      </c>
      <c r="E24" s="194" t="str">
        <f t="shared" si="0"/>
        <v>30</v>
      </c>
      <c r="F24" s="194" t="str">
        <f t="shared" si="1"/>
        <v>30</v>
      </c>
      <c r="G24" s="194">
        <f>VLOOKUP(A24,经纬!B:G,6,FALSE)</f>
        <v>23</v>
      </c>
      <c r="H24" s="194" t="str">
        <f>VLOOKUP(A24,经纬!B:F,5,FALSE)</f>
        <v>200</v>
      </c>
      <c r="I24" s="194">
        <f>VLOOKUP(A24&amp;D24&amp;C24,经纬!A:I,9,FALSE)</f>
        <v>6048</v>
      </c>
      <c r="J24" s="214">
        <f>VLOOKUP(A24,经纬!B:J,9,FALSE)</f>
        <v>18.897637795275589</v>
      </c>
      <c r="K24" s="246"/>
      <c r="L24" s="194" t="str">
        <f t="array" ref="L24">LEFT(K24,MIN(FIND({"A","B","C","D"},MID(K24,2,LEN(K24))&amp;"ABCD")))</f>
        <v/>
      </c>
      <c r="M24" s="194" t="str">
        <f t="array" ref="M24">SUBSTITUTE(K24,L24,"")</f>
        <v/>
      </c>
      <c r="N24" s="246" t="str">
        <f t="array" ref="N24">IF(K24="","",INDEX(plan!$A:$F,MATCH(A24&amp;K24,plan!$A$2:$A$19999&amp;plan!$L$2:$L$19999,0)+1,MATCH(plan!$F$1,plan!$A$1:$F$1,0)))</f>
        <v/>
      </c>
      <c r="O24" s="338" t="str">
        <f t="array" ref="O24">IF(K24="","",INDEX(plan!$A:$O,MATCH(A24&amp;K24,plan!$A$2:$A$19999&amp;plan!$L$2:$L$19999,0)+1,MATCH(plan!$O$1,plan!$A$1:$O$1,0)))</f>
        <v/>
      </c>
      <c r="P24" s="194"/>
      <c r="Q24" s="338" t="str">
        <f t="array" ref="Q24">IF(K24="","",IF(INDEX(plan!$A:$S,MATCH(A24&amp;K24,plan!$A$2:$A$19999&amp;plan!$L$2:$L$19999,0)+1,MATCH(plan!$S$1,plan!$A$1:$S$1,0))&gt;0,INDEX(plan!$A:$S,MATCH(A24&amp;K24,plan!$A$2:$A$19999&amp;plan!$L$2:$L$19999,0)+1,MATCH(plan!$S$1,plan!$A$1:$S$1,0)),""))</f>
        <v/>
      </c>
      <c r="R24" s="246" t="str">
        <f>IF(K24="","",IF(D24&lt;&gt;"黑",SUMIFS(plan!I:I,plan!A:A,喷水计划单汇总!A24,plan!L:L,喷水计划单汇总!K24,plan!H:H,"&lt;&gt;"&amp;"黑丝"),SUMIFS(plan!I:I,plan!A:A,喷水计划单汇总!A24,plan!L:L,喷水计划单汇总!K24,plan!H:H,"="&amp;"黑丝")))</f>
        <v/>
      </c>
      <c r="S24" s="194"/>
      <c r="T24" s="250">
        <f>SUMIFS(plan!W:W,plan!A:A,喷水计划单汇总!A24,plan!L:L,喷水计划单汇总!K24,plan!H:H,IF(喷水计划单汇总!D24="黑","黑丝",{"本白","漂白","灰色","黑色","亚白"}))</f>
        <v>0</v>
      </c>
      <c r="U24" s="250">
        <f>SUMIFS(喷水布库存!E:E,喷水布库存!B:B,喷水计划单汇总!A24,喷水布库存!O:O,喷水计划单汇总!D24,喷水布库存!L:L,喷水计划单汇总!C24)</f>
        <v>0</v>
      </c>
      <c r="Y24" s="250">
        <f>SUMIFS(plan!$Z:$Z,plan!$A:$A,喷水计划单汇总!A24,plan!$H:$H,IF(D24="黑","黑丝",{"本白","漂白","黑色","灰色","湖蓝"}),plan!$L:$L,喷水计划单汇总!K24)</f>
        <v>0</v>
      </c>
      <c r="Z24" s="250">
        <f>SUMIFS(plan!$AA:$AA,plan!$A:$A,喷水计划单汇总!A24,plan!$H:$H,IF(D24="黑","黑丝",{"本白","漂白","黑色","灰色","湖蓝"}),plan!$L:$L,喷水计划单汇总!K24)</f>
        <v>0</v>
      </c>
    </row>
    <row r="25" spans="1:26" ht="18" customHeight="1">
      <c r="A25" s="92" t="s">
        <v>1707</v>
      </c>
      <c r="B25" s="194" t="s">
        <v>1683</v>
      </c>
      <c r="C25" s="92" t="s">
        <v>1689</v>
      </c>
      <c r="D25" s="194" t="s">
        <v>1675</v>
      </c>
      <c r="E25" s="194" t="str">
        <f t="shared" si="0"/>
        <v>30</v>
      </c>
      <c r="F25" s="194" t="str">
        <f t="shared" si="1"/>
        <v>30</v>
      </c>
      <c r="G25" s="194">
        <f>VLOOKUP(A25,经纬!B:G,6,FALSE)</f>
        <v>23</v>
      </c>
      <c r="H25" s="194" t="str">
        <f>VLOOKUP(A25,经纬!B:F,5,FALSE)</f>
        <v>201</v>
      </c>
      <c r="I25" s="194">
        <f>VLOOKUP(A25&amp;D25&amp;C25,经纬!A:I,9,FALSE)</f>
        <v>6048</v>
      </c>
      <c r="J25" s="214">
        <f>VLOOKUP(A25,经纬!B:J,9,FALSE)</f>
        <v>10.039370078740157</v>
      </c>
      <c r="K25" s="194"/>
      <c r="L25" s="194" t="str">
        <f t="array" ref="L25">LEFT(K25,MIN(FIND({"A","B","C","D"},MID(K25,2,LEN(K25))&amp;"ABCD")))</f>
        <v/>
      </c>
      <c r="M25" s="194" t="str">
        <f t="array" ref="M25">SUBSTITUTE(K25,L25,"")</f>
        <v/>
      </c>
      <c r="N25" s="246" t="str">
        <f t="array" ref="N25">IF(K25="","",INDEX(plan!$A:$F,MATCH(A25&amp;K25,plan!$A$2:$A$19999&amp;plan!$L$2:$L$19999,0)+1,MATCH(plan!$F$1,plan!$A$1:$F$1,0)))</f>
        <v/>
      </c>
      <c r="O25" s="338" t="str">
        <f t="array" ref="O25">IF(K25="","",INDEX(plan!$A:$O,MATCH(A25&amp;K25,plan!$A$2:$A$19999&amp;plan!$L$2:$L$19999,0)+1,MATCH(plan!$O$1,plan!$A$1:$O$1,0)))</f>
        <v/>
      </c>
      <c r="P25" s="194"/>
      <c r="Q25" s="338" t="str">
        <f t="array" ref="Q25">IF(K25="","",IF(INDEX(plan!$A:$S,MATCH(A25&amp;K25,plan!$A$2:$A$19999&amp;plan!$L$2:$L$19999,0)+1,MATCH(plan!$S$1,plan!$A$1:$S$1,0))&gt;0,INDEX(plan!$A:$S,MATCH(A25&amp;K25,plan!$A$2:$A$19999&amp;plan!$L$2:$L$19999,0)+1,MATCH(plan!$S$1,plan!$A$1:$S$1,0)),""))</f>
        <v/>
      </c>
      <c r="R25" s="246" t="str">
        <f>IF(K25="","",IF(D25&lt;&gt;"黑",SUMIFS(plan!I:I,plan!A:A,喷水计划单汇总!A25,plan!L:L,喷水计划单汇总!K25,plan!H:H,"&lt;&gt;"&amp;"黑丝"),SUMIFS(plan!I:I,plan!A:A,喷水计划单汇总!A25,plan!L:L,喷水计划单汇总!K25,plan!H:H,"="&amp;"黑丝")))</f>
        <v/>
      </c>
      <c r="S25" s="194"/>
      <c r="T25" s="250">
        <f>SUMIFS(plan!W:W,plan!A:A,喷水计划单汇总!A25,plan!L:L,喷水计划单汇总!K25,plan!H:H,IF(喷水计划单汇总!D25="黑","黑丝",{"本白","漂白","灰色","黑色","亚白"}))</f>
        <v>0</v>
      </c>
      <c r="U25" s="250">
        <f>SUMIFS(喷水布库存!E:E,喷水布库存!B:B,喷水计划单汇总!A25,喷水布库存!O:O,喷水计划单汇总!D25,喷水布库存!L:L,喷水计划单汇总!C25)</f>
        <v>0</v>
      </c>
      <c r="Y25" s="250">
        <f>SUMIFS(plan!$Z:$Z,plan!$A:$A,喷水计划单汇总!A25,plan!$H:$H,IF(D25="黑","黑丝",{"本白","漂白","黑色","灰色","湖蓝"}),plan!$L:$L,喷水计划单汇总!K25)</f>
        <v>0</v>
      </c>
      <c r="Z25" s="250">
        <f>SUMIFS(plan!$AA:$AA,plan!$A:$A,喷水计划单汇总!A25,plan!$H:$H,IF(D25="黑","黑丝",{"本白","漂白","黑色","灰色","湖蓝"}),plan!$L:$L,喷水计划单汇总!K25)</f>
        <v>0</v>
      </c>
    </row>
    <row r="26" spans="1:26" ht="18" customHeight="1">
      <c r="A26" s="92" t="s">
        <v>1811</v>
      </c>
      <c r="B26" s="194" t="s">
        <v>1812</v>
      </c>
      <c r="C26" s="92" t="s">
        <v>2445</v>
      </c>
      <c r="D26" s="194" t="s">
        <v>1675</v>
      </c>
      <c r="E26" s="194" t="str">
        <f t="shared" si="0"/>
        <v>30</v>
      </c>
      <c r="F26" s="194" t="str">
        <f t="shared" si="1"/>
        <v>50</v>
      </c>
      <c r="G26" s="194">
        <f>VLOOKUP(A26,经纬!B:G,6,FALSE)</f>
        <v>31</v>
      </c>
      <c r="H26" s="194" t="str">
        <f>VLOOKUP(A26,经纬!B:F,5,FALSE)</f>
        <v>197</v>
      </c>
      <c r="I26" s="194">
        <f>VLOOKUP(A26&amp;D26&amp;C26,经纬!A:I,9,FALSE)</f>
        <v>5330</v>
      </c>
      <c r="J26" s="214">
        <f>VLOOKUP(A26,经纬!B:J,9,FALSE)</f>
        <v>9.4488188976377945</v>
      </c>
      <c r="K26" s="194" t="s">
        <v>1813</v>
      </c>
      <c r="L26" s="194" t="str">
        <f t="array" ref="L26">LEFT(K26,MIN(FIND({"A","B","C","D"},MID(K26,2,LEN(K26))&amp;"ABCD")))</f>
        <v>A19</v>
      </c>
      <c r="M26" s="194" t="str">
        <f t="array" ref="M26">SUBSTITUTE(K26,L26,"")</f>
        <v>B540</v>
      </c>
      <c r="N26" s="246">
        <f t="array" ref="N26">IF(K26="","",INDEX(plan!$A:$F,MATCH(A26&amp;K26,plan!$A$2:$A$19999&amp;plan!$L$2:$L$19999,0)+1,MATCH(plan!$F$1,plan!$A$1:$F$1,0)))</f>
        <v>0</v>
      </c>
      <c r="O26" s="338">
        <f t="array" ref="O26">IF(K26="","",INDEX(plan!$A:$O,MATCH(A26&amp;K26,plan!$A$2:$A$19999&amp;plan!$L$2:$L$19999,0)+1,MATCH(plan!$O$1,plan!$A$1:$O$1,0)))</f>
        <v>43761</v>
      </c>
      <c r="P26" s="194"/>
      <c r="Q26" s="338" t="str">
        <f t="array" ref="Q26">IF(K26="","",IF(INDEX(plan!$A:$S,MATCH(A26&amp;K26,plan!$A$2:$A$19999&amp;plan!$L$2:$L$19999,0)+1,MATCH(plan!$S$1,plan!$A$1:$S$1,0))&gt;0,INDEX(plan!$A:$S,MATCH(A26&amp;K26,plan!$A$2:$A$19999&amp;plan!$L$2:$L$19999,0)+1,MATCH(plan!$S$1,plan!$A$1:$S$1,0)),""))</f>
        <v/>
      </c>
      <c r="R26" s="246">
        <f>IF(K26="","",IF(D26&lt;&gt;"黑",SUMIFS(plan!I:I,plan!A:A,喷水计划单汇总!A26,plan!L:L,喷水计划单汇总!K26,plan!H:H,"&lt;&gt;"&amp;"黑丝"),SUMIFS(plan!I:I,plan!A:A,喷水计划单汇总!A26,plan!L:L,喷水计划单汇总!K26,plan!H:H,"="&amp;"黑丝")))</f>
        <v>210000</v>
      </c>
      <c r="S26" s="194"/>
      <c r="T26" s="250">
        <f>SUMIFS(plan!W:W,plan!A:A,喷水计划单汇总!A26,plan!L:L,喷水计划单汇总!K26,plan!H:H,IF(喷水计划单汇总!D26="黑","黑丝",{"本白","漂白","灰色","黑色","亚白"}))</f>
        <v>60000</v>
      </c>
      <c r="U26" s="250">
        <f>SUMIFS(喷水布库存!E:E,喷水布库存!B:B,喷水计划单汇总!A26,喷水布库存!O:O,喷水计划单汇总!D26,喷水布库存!L:L,喷水计划单汇总!C26)</f>
        <v>0</v>
      </c>
      <c r="Y26" s="250">
        <f>SUMIFS(plan!$Z:$Z,plan!$A:$A,喷水计划单汇总!A26,plan!$H:$H,IF(D26="黑","黑丝",{"本白","漂白","黑色","灰色","湖蓝"}),plan!$L:$L,喷水计划单汇总!K26)</f>
        <v>1087.3200000000002</v>
      </c>
      <c r="Z26" s="250">
        <f>SUMIFS(plan!$AA:$AA,plan!$A:$A,喷水计划单汇总!A26,plan!$H:$H,IF(D26="黑","黑丝",{"本白","漂白","黑色","灰色","湖蓝"}),plan!$L:$L,喷水计划单汇总!K26)</f>
        <v>667.71653543307082</v>
      </c>
    </row>
    <row r="27" spans="1:26" ht="18" customHeight="1">
      <c r="A27" s="92" t="s">
        <v>1709</v>
      </c>
      <c r="B27" s="194" t="s">
        <v>1711</v>
      </c>
      <c r="C27" s="92" t="s">
        <v>1679</v>
      </c>
      <c r="D27" s="194" t="s">
        <v>1675</v>
      </c>
      <c r="E27" s="194" t="str">
        <f t="shared" si="0"/>
        <v>50</v>
      </c>
      <c r="F27" s="194" t="str">
        <f t="shared" si="1"/>
        <v>50</v>
      </c>
      <c r="G27" s="194">
        <f>VLOOKUP(A27,经纬!B:G,6,FALSE)</f>
        <v>37</v>
      </c>
      <c r="H27" s="194" t="str">
        <f>VLOOKUP(A27,经纬!B:F,5,FALSE)</f>
        <v>190.5</v>
      </c>
      <c r="I27" s="194">
        <f>VLOOKUP(A27&amp;D27&amp;C27,经纬!A:I,9,FALSE)</f>
        <v>5298</v>
      </c>
      <c r="J27" s="214">
        <f>VLOOKUP(A27,经纬!B:J,9,FALSE)</f>
        <v>33.85826771653543</v>
      </c>
      <c r="K27" s="194"/>
      <c r="L27" s="194" t="str">
        <f t="array" ref="L27">LEFT(K27,MIN(FIND({"A","B","C","D"},MID(K27,2,LEN(K27))&amp;"ABCD")))</f>
        <v/>
      </c>
      <c r="M27" s="194" t="str">
        <f t="array" ref="M27">SUBSTITUTE(K27,L27,"")</f>
        <v/>
      </c>
      <c r="N27" s="246" t="str">
        <f t="array" ref="N27">IF(K27="","",INDEX(plan!$A:$F,MATCH(A27&amp;K27,plan!$A$2:$A$19999&amp;plan!$L$2:$L$19999,0)+1,MATCH(plan!$F$1,plan!$A$1:$F$1,0)))</f>
        <v/>
      </c>
      <c r="O27" s="338" t="str">
        <f t="array" ref="O27">IF(K27="","",INDEX(plan!$A:$O,MATCH(A27&amp;K27,plan!$A$2:$A$19999&amp;plan!$L$2:$L$19999,0)+1,MATCH(plan!$O$1,plan!$A$1:$O$1,0)))</f>
        <v/>
      </c>
      <c r="P27" s="194"/>
      <c r="Q27" s="338" t="str">
        <f t="array" ref="Q27">IF(K27="","",IF(INDEX(plan!$A:$S,MATCH(A27&amp;K27,plan!$A$2:$A$19999&amp;plan!$L$2:$L$19999,0)+1,MATCH(plan!$S$1,plan!$A$1:$S$1,0))&gt;0,INDEX(plan!$A:$S,MATCH(A27&amp;K27,plan!$A$2:$A$19999&amp;plan!$L$2:$L$19999,0)+1,MATCH(plan!$S$1,plan!$A$1:$S$1,0)),""))</f>
        <v/>
      </c>
      <c r="R27" s="246" t="str">
        <f>IF(K27="","",IF(D27&lt;&gt;"黑",SUMIFS(plan!I:I,plan!A:A,喷水计划单汇总!A27,plan!L:L,喷水计划单汇总!K27,plan!H:H,"&lt;&gt;"&amp;"黑丝"),SUMIFS(plan!I:I,plan!A:A,喷水计划单汇总!A27,plan!L:L,喷水计划单汇总!K27,plan!H:H,"="&amp;"黑丝")))</f>
        <v/>
      </c>
      <c r="S27" s="194"/>
      <c r="T27" s="250">
        <f>SUMIFS(plan!W:W,plan!A:A,喷水计划单汇总!A27,plan!L:L,喷水计划单汇总!K27,plan!H:H,IF(喷水计划单汇总!D27="黑","黑丝",{"本白","漂白","灰色","黑色","亚白"}))</f>
        <v>0</v>
      </c>
      <c r="U27" s="250">
        <f>SUMIFS(喷水布库存!E:E,喷水布库存!B:B,喷水计划单汇总!A27,喷水布库存!O:O,喷水计划单汇总!D27,喷水布库存!L:L,喷水计划单汇总!C27)</f>
        <v>0</v>
      </c>
      <c r="Y27" s="250">
        <f>SUMIFS(plan!$Z:$Z,plan!$A:$A,喷水计划单汇总!A27,plan!$H:$H,IF(D27="黑","黑丝",{"本白","漂白","黑色","灰色","湖蓝"}),plan!$L:$L,喷水计划单汇总!K27)</f>
        <v>0</v>
      </c>
      <c r="Z27" s="250">
        <f>SUMIFS(plan!$AA:$AA,plan!$A:$A,喷水计划单汇总!A27,plan!$H:$H,IF(D27="黑","黑丝",{"本白","漂白","黑色","灰色","湖蓝"}),plan!$L:$L,喷水计划单汇总!K27)</f>
        <v>0</v>
      </c>
    </row>
    <row r="28" spans="1:26" ht="18" customHeight="1">
      <c r="A28" s="92" t="s">
        <v>1709</v>
      </c>
      <c r="B28" s="194" t="s">
        <v>1711</v>
      </c>
      <c r="C28" s="92" t="s">
        <v>1679</v>
      </c>
      <c r="D28" s="194" t="s">
        <v>1727</v>
      </c>
      <c r="E28" s="194" t="str">
        <f t="shared" si="0"/>
        <v>50</v>
      </c>
      <c r="F28" s="194" t="str">
        <f t="shared" si="1"/>
        <v>50</v>
      </c>
      <c r="G28" s="194">
        <f>VLOOKUP(A28,经纬!B:G,6,FALSE)</f>
        <v>37</v>
      </c>
      <c r="H28" s="194" t="str">
        <f>VLOOKUP(A28,经纬!B:F,5,FALSE)</f>
        <v>190.5</v>
      </c>
      <c r="I28" s="194">
        <f>VLOOKUP(A28&amp;D28&amp;C28,经纬!A:I,9,FALSE)</f>
        <v>5298</v>
      </c>
      <c r="J28" s="214">
        <f>VLOOKUP(A28,经纬!B:J,9,FALSE)</f>
        <v>33.85826771653543</v>
      </c>
      <c r="K28" s="194"/>
      <c r="L28" s="194" t="str">
        <f t="array" ref="L28">LEFT(K28,MIN(FIND({"A","B","C","D"},MID(K28,2,LEN(K28))&amp;"ABCD")))</f>
        <v/>
      </c>
      <c r="M28" s="194" t="str">
        <f t="array" ref="M28">SUBSTITUTE(K28,L28,"")</f>
        <v/>
      </c>
      <c r="N28" s="246" t="str">
        <f t="array" ref="N28">IF(K28="","",INDEX(plan!$A:$F,MATCH(A28&amp;K28,plan!$A$2:$A$19999&amp;plan!$L$2:$L$19999,0)+1,MATCH(plan!$F$1,plan!$A$1:$F$1,0)))</f>
        <v/>
      </c>
      <c r="O28" s="338" t="str">
        <f t="array" ref="O28">IF(K28="","",INDEX(plan!$A:$O,MATCH(A28&amp;K28,plan!$A$2:$A$19999&amp;plan!$L$2:$L$19999,0)+1,MATCH(plan!$O$1,plan!$A$1:$O$1,0)))</f>
        <v/>
      </c>
      <c r="P28" s="194"/>
      <c r="Q28" s="338" t="str">
        <f t="array" ref="Q28">IF(K28="","",IF(INDEX(plan!$A:$S,MATCH(A28&amp;K28,plan!$A$2:$A$19999&amp;plan!$L$2:$L$19999,0)+1,MATCH(plan!$S$1,plan!$A$1:$S$1,0))&gt;0,INDEX(plan!$A:$S,MATCH(A28&amp;K28,plan!$A$2:$A$19999&amp;plan!$L$2:$L$19999,0)+1,MATCH(plan!$S$1,plan!$A$1:$S$1,0)),""))</f>
        <v/>
      </c>
      <c r="R28" s="246" t="str">
        <f>IF(K28="","",IF(D28&lt;&gt;"黑",SUMIFS(plan!I:I,plan!A:A,喷水计划单汇总!A28,plan!L:L,喷水计划单汇总!K28,plan!H:H,"&lt;&gt;"&amp;"黑丝"),SUMIFS(plan!I:I,plan!A:A,喷水计划单汇总!A28,plan!L:L,喷水计划单汇总!K28,plan!H:H,"="&amp;"黑丝")))</f>
        <v/>
      </c>
      <c r="S28" s="194"/>
      <c r="T28" s="250">
        <f>SUMIFS(plan!W:W,plan!A:A,喷水计划单汇总!A28,plan!L:L,喷水计划单汇总!K28,plan!H:H,IF(喷水计划单汇总!D28="黑","黑丝",{"本白","漂白","灰色","黑色","亚白"}))</f>
        <v>0</v>
      </c>
      <c r="U28" s="250">
        <f>SUMIFS(喷水布库存!E:E,喷水布库存!B:B,喷水计划单汇总!A28,喷水布库存!O:O,喷水计划单汇总!D28,喷水布库存!L:L,喷水计划单汇总!C28)</f>
        <v>0</v>
      </c>
      <c r="Y28" s="250">
        <f>SUMIFS(plan!$Z:$Z,plan!$A:$A,喷水计划单汇总!A28,plan!$H:$H,IF(D28="黑","黑丝",{"本白","漂白","黑色","灰色","湖蓝"}),plan!$L:$L,喷水计划单汇总!K28)</f>
        <v>0</v>
      </c>
      <c r="Z28" s="250">
        <f>SUMIFS(plan!$AA:$AA,plan!$A:$A,喷水计划单汇总!A28,plan!$H:$H,IF(D28="黑","黑丝",{"本白","漂白","黑色","灰色","湖蓝"}),plan!$L:$L,喷水计划单汇总!K28)</f>
        <v>0</v>
      </c>
    </row>
    <row r="29" spans="1:26" ht="18" customHeight="1">
      <c r="A29" s="92" t="s">
        <v>1709</v>
      </c>
      <c r="B29" s="194" t="s">
        <v>1711</v>
      </c>
      <c r="C29" s="92" t="s">
        <v>1689</v>
      </c>
      <c r="D29" s="194" t="s">
        <v>1675</v>
      </c>
      <c r="E29" s="194" t="str">
        <f t="shared" si="0"/>
        <v>50</v>
      </c>
      <c r="F29" s="194" t="str">
        <f t="shared" si="1"/>
        <v>50</v>
      </c>
      <c r="G29" s="194">
        <f>VLOOKUP(A29,经纬!B:G,6,FALSE)</f>
        <v>37</v>
      </c>
      <c r="H29" s="194" t="str">
        <f>VLOOKUP(A29,经纬!B:F,5,FALSE)</f>
        <v>190.5</v>
      </c>
      <c r="I29" s="194">
        <f>VLOOKUP(A29&amp;D29&amp;C29,经纬!A:I,9,FALSE)</f>
        <v>5298</v>
      </c>
      <c r="J29" s="214">
        <f>VLOOKUP(A29,经纬!B:J,9,FALSE)</f>
        <v>33.85826771653543</v>
      </c>
      <c r="K29" s="194" t="s">
        <v>1761</v>
      </c>
      <c r="L29" s="194" t="str">
        <f t="array" ref="L29">LEFT(K29,MIN(FIND({"A","B","C","D"},MID(K29,2,LEN(K29))&amp;"ABCD")))</f>
        <v>A94</v>
      </c>
      <c r="M29" s="194" t="str">
        <f t="array" ref="M29">SUBSTITUTE(K29,L29,"")</f>
        <v>B536</v>
      </c>
      <c r="N29" s="246" t="str">
        <f t="array" ref="N29">IF(K29="","",INDEX(plan!$A:$F,MATCH(A29&amp;K29,plan!$A$2:$A$19999&amp;plan!$L$2:$L$19999,0)+1,MATCH(plan!$F$1,plan!$A$1:$F$1,0)))</f>
        <v>AAA</v>
      </c>
      <c r="O29" s="338">
        <f t="array" ref="O29">IF(K29="","",INDEX(plan!$A:$O,MATCH(A29&amp;K29,plan!$A$2:$A$19999&amp;plan!$L$2:$L$19999,0)+1,MATCH(plan!$O$1,plan!$A$1:$O$1,0)))</f>
        <v>43759</v>
      </c>
      <c r="P29" s="194"/>
      <c r="Q29" s="338">
        <f t="array" ref="Q29">IF(K29="","",IF(INDEX(plan!$A:$S,MATCH(A29&amp;K29,plan!$A$2:$A$19999&amp;plan!$L$2:$L$19999,0)+1,MATCH(plan!$S$1,plan!$A$1:$S$1,0))&gt;0,INDEX(plan!$A:$S,MATCH(A29&amp;K29,plan!$A$2:$A$19999&amp;plan!$L$2:$L$19999,0)+1,MATCH(plan!$S$1,plan!$A$1:$S$1,0)),""))</f>
        <v>43774</v>
      </c>
      <c r="R29" s="246">
        <f>IF(K29="","",IF(D29&lt;&gt;"黑",SUMIFS(plan!I:I,plan!A:A,喷水计划单汇总!A29,plan!L:L,喷水计划单汇总!K29,plan!H:H,"&lt;&gt;"&amp;"黑丝"),SUMIFS(plan!I:I,plan!A:A,喷水计划单汇总!A29,plan!L:L,喷水计划单汇总!K29,plan!H:H,"="&amp;"黑丝")))</f>
        <v>15000</v>
      </c>
      <c r="S29" s="194"/>
      <c r="T29" s="250">
        <f>SUMIFS(plan!W:W,plan!A:A,喷水计划单汇总!A29,plan!L:L,喷水计划单汇总!K29,plan!H:H,IF(喷水计划单汇总!D29="黑","黑丝",{"本白","漂白","灰色","黑色","亚白"}))</f>
        <v>0</v>
      </c>
      <c r="U29" s="250">
        <f>SUMIFS(喷水布库存!E:E,喷水布库存!B:B,喷水计划单汇总!A29,喷水布库存!O:O,喷水计划单汇总!D29,喷水布库存!L:L,喷水计划单汇总!C29)</f>
        <v>0</v>
      </c>
      <c r="Y29" s="250">
        <f>SUMIFS(plan!$Z:$Z,plan!$A:$A,喷水计划单汇总!A29,plan!$H:$H,IF(D29="黑","黑丝",{"本白","漂白","黑色","灰色","湖蓝"}),plan!$L:$L,喷水计划单汇总!K29)</f>
        <v>0</v>
      </c>
      <c r="Z29" s="250">
        <f>SUMIFS(plan!$AA:$AA,plan!$A:$A,喷水计划单汇总!A29,plan!$H:$H,IF(D29="黑","黑丝",{"本白","漂白","黑色","灰色","湖蓝"}),plan!$L:$L,喷水计划单汇总!K29)</f>
        <v>0</v>
      </c>
    </row>
    <row r="30" spans="1:26" ht="18" customHeight="1">
      <c r="A30" s="92" t="s">
        <v>1709</v>
      </c>
      <c r="B30" s="194" t="s">
        <v>1711</v>
      </c>
      <c r="C30" s="92" t="s">
        <v>1689</v>
      </c>
      <c r="D30" s="194" t="s">
        <v>1727</v>
      </c>
      <c r="E30" s="194" t="str">
        <f t="shared" si="0"/>
        <v>50</v>
      </c>
      <c r="F30" s="194" t="str">
        <f t="shared" si="1"/>
        <v>50</v>
      </c>
      <c r="G30" s="194">
        <f>VLOOKUP(A30,经纬!B:G,6,FALSE)</f>
        <v>37</v>
      </c>
      <c r="H30" s="194" t="str">
        <f>VLOOKUP(A30,经纬!B:F,5,FALSE)</f>
        <v>190.5</v>
      </c>
      <c r="I30" s="194">
        <f>VLOOKUP(A30&amp;D30&amp;C30,经纬!A:I,9,FALSE)</f>
        <v>5298</v>
      </c>
      <c r="J30" s="214">
        <f>VLOOKUP(A30,经纬!B:J,9,FALSE)</f>
        <v>33.85826771653543</v>
      </c>
      <c r="K30" s="194"/>
      <c r="L30" s="194"/>
      <c r="M30" s="194"/>
      <c r="N30" s="246" t="str">
        <f t="array" ref="N30">IF(K30="","",INDEX(plan!$A:$F,MATCH(A30&amp;K30,plan!$A$2:$A$19999&amp;plan!$L$2:$L$19999,0)+1,MATCH(plan!$F$1,plan!$A$1:$F$1,0)))</f>
        <v/>
      </c>
      <c r="O30" s="338" t="str">
        <f t="array" ref="O30">IF(K30="","",INDEX(plan!$A:$O,MATCH(A30&amp;K30,plan!$A$2:$A$19999&amp;plan!$L$2:$L$19999,0)+1,MATCH(plan!$O$1,plan!$A$1:$O$1,0)))</f>
        <v/>
      </c>
      <c r="P30" s="194"/>
      <c r="Q30" s="338" t="str">
        <f t="array" ref="Q30">IF(K30="","",IF(INDEX(plan!$A:$S,MATCH(A30&amp;K30,plan!$A$2:$A$19999&amp;plan!$L$2:$L$19999,0)+1,MATCH(plan!$S$1,plan!$A$1:$S$1,0))&gt;0,INDEX(plan!$A:$S,MATCH(A30&amp;K30,plan!$A$2:$A$19999&amp;plan!$L$2:$L$19999,0)+1,MATCH(plan!$S$1,plan!$A$1:$S$1,0)),""))</f>
        <v/>
      </c>
      <c r="R30" s="246" t="str">
        <f>IF(K30="","",IF(D30&lt;&gt;"黑",SUMIFS(plan!I:I,plan!A:A,喷水计划单汇总!A30,plan!L:L,喷水计划单汇总!K30,plan!H:H,"&lt;&gt;"&amp;"黑丝"),SUMIFS(plan!I:I,plan!A:A,喷水计划单汇总!A30,plan!L:L,喷水计划单汇总!K30,plan!H:H,"="&amp;"黑丝")))</f>
        <v/>
      </c>
      <c r="S30" s="194"/>
      <c r="T30" s="250">
        <f>SUMIFS(plan!W:W,plan!A:A,喷水计划单汇总!A30,plan!L:L,喷水计划单汇总!K30,plan!H:H,IF(喷水计划单汇总!D30="黑","黑丝",{"本白","漂白","灰色","黑色","亚白"}))</f>
        <v>0</v>
      </c>
      <c r="U30" s="250">
        <f>SUMIFS(喷水布库存!E:E,喷水布库存!B:B,喷水计划单汇总!A30,喷水布库存!O:O,喷水计划单汇总!D30,喷水布库存!L:L,喷水计划单汇总!C30)</f>
        <v>0</v>
      </c>
      <c r="Y30" s="250">
        <f>SUMIFS(plan!$Z:$Z,plan!$A:$A,喷水计划单汇总!A30,plan!$H:$H,IF(D30="黑","黑丝",{"本白","漂白","黑色","灰色","湖蓝"}),plan!$L:$L,喷水计划单汇总!K30)</f>
        <v>0</v>
      </c>
      <c r="Z30" s="250">
        <f>SUMIFS(plan!$AA:$AA,plan!$A:$A,喷水计划单汇总!A30,plan!$H:$H,IF(D30="黑","黑丝",{"本白","漂白","黑色","灰色","湖蓝"}),plan!$L:$L,喷水计划单汇总!K30)</f>
        <v>0</v>
      </c>
    </row>
    <row r="31" spans="1:26" ht="18" customHeight="1">
      <c r="A31" s="92" t="s">
        <v>1713</v>
      </c>
      <c r="B31" s="194" t="s">
        <v>1711</v>
      </c>
      <c r="C31" s="92" t="s">
        <v>1679</v>
      </c>
      <c r="D31" s="194" t="s">
        <v>1675</v>
      </c>
      <c r="E31" s="194" t="str">
        <f t="shared" si="0"/>
        <v>50</v>
      </c>
      <c r="F31" s="194" t="str">
        <f t="shared" si="1"/>
        <v>50</v>
      </c>
      <c r="G31" s="194">
        <f>VLOOKUP(A31,经纬!B:G,6,FALSE)</f>
        <v>35</v>
      </c>
      <c r="H31" s="194" t="str">
        <f>VLOOKUP(A31,经纬!B:F,5,FALSE)</f>
        <v>190</v>
      </c>
      <c r="I31" s="194">
        <f>VLOOKUP(A31&amp;D31&amp;C31,经纬!A:I,9,FALSE)</f>
        <v>4952</v>
      </c>
      <c r="J31" s="214">
        <f>VLOOKUP(A31,经纬!B:J,9,FALSE)</f>
        <v>37.795275590551178</v>
      </c>
      <c r="K31" s="194"/>
      <c r="L31" s="194" t="str">
        <f t="array" ref="L31">LEFT(K31,MIN(FIND({"A","B","C","D"},MID(K31,2,LEN(K31))&amp;"ABCD")))</f>
        <v/>
      </c>
      <c r="M31" s="194" t="str">
        <f t="array" ref="M31">SUBSTITUTE(K31,L31,"")</f>
        <v/>
      </c>
      <c r="N31" s="246" t="str">
        <f t="array" ref="N31">IF(K31="","",INDEX(plan!$A:$F,MATCH(A31&amp;K31,plan!$A$2:$A$19999&amp;plan!$L$2:$L$19999,0)+1,MATCH(plan!$F$1,plan!$A$1:$F$1,0)))</f>
        <v/>
      </c>
      <c r="O31" s="338" t="str">
        <f t="array" ref="O31">IF(K31="","",INDEX(plan!$A:$O,MATCH(A31&amp;K31,plan!$A$2:$A$19999&amp;plan!$L$2:$L$19999,0)+1,MATCH(plan!$O$1,plan!$A$1:$O$1,0)))</f>
        <v/>
      </c>
      <c r="P31" s="194"/>
      <c r="Q31" s="338" t="str">
        <f t="array" ref="Q31">IF(K31="","",IF(INDEX(plan!$A:$S,MATCH(A31&amp;K31,plan!$A$2:$A$19999&amp;plan!$L$2:$L$19999,0)+1,MATCH(plan!$S$1,plan!$A$1:$S$1,0))&gt;0,INDEX(plan!$A:$S,MATCH(A31&amp;K31,plan!$A$2:$A$19999&amp;plan!$L$2:$L$19999,0)+1,MATCH(plan!$S$1,plan!$A$1:$S$1,0)),""))</f>
        <v/>
      </c>
      <c r="R31" s="246" t="str">
        <f>IF(K31="","",IF(D31&lt;&gt;"黑",SUMIFS(plan!I:I,plan!A:A,喷水计划单汇总!A31,plan!L:L,喷水计划单汇总!K31,plan!H:H,"&lt;&gt;"&amp;"黑丝"),SUMIFS(plan!I:I,plan!A:A,喷水计划单汇总!A31,plan!L:L,喷水计划单汇总!K31,plan!H:H,"="&amp;"黑丝")))</f>
        <v/>
      </c>
      <c r="S31" s="194"/>
      <c r="T31" s="250">
        <f>SUMIFS(plan!W:W,plan!A:A,喷水计划单汇总!A31,plan!L:L,喷水计划单汇总!K31,plan!H:H,IF(喷水计划单汇总!D31="黑","黑丝",{"本白","漂白","灰色","黑色","亚白"}))</f>
        <v>0</v>
      </c>
      <c r="U31" s="250">
        <f>SUMIFS(喷水布库存!E:E,喷水布库存!B:B,喷水计划单汇总!A31,喷水布库存!O:O,喷水计划单汇总!D31,喷水布库存!L:L,喷水计划单汇总!C31)</f>
        <v>0</v>
      </c>
      <c r="Y31" s="250">
        <f>SUMIFS(plan!$Z:$Z,plan!$A:$A,喷水计划单汇总!A31,plan!$H:$H,IF(D31="黑","黑丝",{"本白","漂白","黑色","灰色","湖蓝"}),plan!$L:$L,喷水计划单汇总!K31)</f>
        <v>0</v>
      </c>
      <c r="Z31" s="250">
        <f>SUMIFS(plan!$AA:$AA,plan!$A:$A,喷水计划单汇总!A31,plan!$H:$H,IF(D31="黑","黑丝",{"本白","漂白","黑色","灰色","湖蓝"}),plan!$L:$L,喷水计划单汇总!K31)</f>
        <v>0</v>
      </c>
    </row>
    <row r="32" spans="1:26" ht="18" customHeight="1">
      <c r="A32" s="92" t="s">
        <v>1717</v>
      </c>
      <c r="B32" s="194" t="s">
        <v>1719</v>
      </c>
      <c r="C32" s="92" t="s">
        <v>1679</v>
      </c>
      <c r="D32" s="194" t="s">
        <v>1675</v>
      </c>
      <c r="E32" s="194" t="str">
        <f t="shared" si="0"/>
        <v>50</v>
      </c>
      <c r="F32" s="194" t="str">
        <f t="shared" si="1"/>
        <v>75</v>
      </c>
      <c r="G32" s="194">
        <f>VLOOKUP(A32,经纬!B:G,6,FALSE)</f>
        <v>44</v>
      </c>
      <c r="H32" s="194" t="str">
        <f>VLOOKUP(A32,经纬!B:F,5,FALSE)</f>
        <v>190</v>
      </c>
      <c r="I32" s="194">
        <f>VLOOKUP(A32&amp;D32&amp;C32,经纬!A:I,9,FALSE)</f>
        <v>5298</v>
      </c>
      <c r="J32" s="214">
        <f>VLOOKUP(A32,经纬!B:J,9,FALSE)</f>
        <v>31.889763779527559</v>
      </c>
      <c r="K32" s="194"/>
      <c r="L32" s="194" t="str">
        <f t="array" ref="L32">LEFT(K32,MIN(FIND({"A","B","C","D"},MID(K32,2,LEN(K32))&amp;"ABCD")))</f>
        <v/>
      </c>
      <c r="M32" s="194" t="str">
        <f t="array" ref="M32">SUBSTITUTE(K32,L32,"")</f>
        <v/>
      </c>
      <c r="N32" s="246" t="str">
        <f t="array" ref="N32">IF(K32="","",INDEX(plan!$A:$F,MATCH(A32&amp;K32,plan!$A$2:$A$19999&amp;plan!$L$2:$L$19999,0)+1,MATCH(plan!$F$1,plan!$A$1:$F$1,0)))</f>
        <v/>
      </c>
      <c r="O32" s="338" t="str">
        <f t="array" ref="O32">IF(K32="","",INDEX(plan!$A:$O,MATCH(A32&amp;K32,plan!$A$2:$A$19999&amp;plan!$L$2:$L$19999,0)+1,MATCH(plan!$O$1,plan!$A$1:$O$1,0)))</f>
        <v/>
      </c>
      <c r="P32" s="194"/>
      <c r="Q32" s="338" t="str">
        <f t="array" ref="Q32">IF(K32="","",IF(INDEX(plan!$A:$S,MATCH(A32&amp;K32,plan!$A$2:$A$19999&amp;plan!$L$2:$L$19999,0)+1,MATCH(plan!$S$1,plan!$A$1:$S$1,0))&gt;0,INDEX(plan!$A:$S,MATCH(A32&amp;K32,plan!$A$2:$A$19999&amp;plan!$L$2:$L$19999,0)+1,MATCH(plan!$S$1,plan!$A$1:$S$1,0)),""))</f>
        <v/>
      </c>
      <c r="R32" s="246" t="str">
        <f>IF(K32="","",IF(D32&lt;&gt;"黑",SUMIFS(plan!I:I,plan!A:A,喷水计划单汇总!A32,plan!L:L,喷水计划单汇总!K32,plan!H:H,"&lt;&gt;"&amp;"黑丝"),SUMIFS(plan!I:I,plan!A:A,喷水计划单汇总!A32,plan!L:L,喷水计划单汇总!K32,plan!H:H,"="&amp;"黑丝")))</f>
        <v/>
      </c>
      <c r="S32" s="194"/>
      <c r="T32" s="250">
        <f>SUMIFS(plan!W:W,plan!A:A,喷水计划单汇总!A32,plan!L:L,喷水计划单汇总!K32,plan!H:H,IF(喷水计划单汇总!D32="黑","黑丝",{"本白","漂白","灰色","黑色","亚白"}))</f>
        <v>0</v>
      </c>
      <c r="U32" s="250">
        <f>SUMIFS(喷水布库存!E:E,喷水布库存!B:B,喷水计划单汇总!A32,喷水布库存!O:O,喷水计划单汇总!D32,喷水布库存!L:L,喷水计划单汇总!C32)</f>
        <v>0</v>
      </c>
      <c r="Y32" s="250">
        <f>SUMIFS(plan!$Z:$Z,plan!$A:$A,喷水计划单汇总!A32,plan!$H:$H,IF(D32="黑","黑丝",{"本白","漂白","黑色","灰色","湖蓝"}),plan!$L:$L,喷水计划单汇总!K32)</f>
        <v>0</v>
      </c>
      <c r="Z32" s="250">
        <f>SUMIFS(plan!$AA:$AA,plan!$A:$A,喷水计划单汇总!A32,plan!$H:$H,IF(D32="黑","黑丝",{"本白","漂白","黑色","灰色","湖蓝"}),plan!$L:$L,喷水计划单汇总!K32)</f>
        <v>0</v>
      </c>
    </row>
    <row r="33" spans="1:26" ht="18" customHeight="1">
      <c r="A33" s="92" t="s">
        <v>1693</v>
      </c>
      <c r="B33" s="194" t="s">
        <v>1721</v>
      </c>
      <c r="C33" s="92" t="s">
        <v>1689</v>
      </c>
      <c r="D33" s="194" t="s">
        <v>1675</v>
      </c>
      <c r="E33" s="194" t="str">
        <f t="shared" ref="E33:E53" si="4">LEFT(B33,FIND("*",B33)-1)</f>
        <v>75</v>
      </c>
      <c r="F33" s="194" t="str">
        <f t="shared" ref="F33:F53" si="5">RIGHT(B33,LEN(B33)-FIND("*",B33))</f>
        <v>100</v>
      </c>
      <c r="G33" s="194">
        <f>VLOOKUP(A33,经纬!B:G,6,FALSE)</f>
        <v>50</v>
      </c>
      <c r="H33" s="194" t="str">
        <f>VLOOKUP(A33,经纬!B:F,5,FALSE)</f>
        <v>190.5</v>
      </c>
      <c r="I33" s="194">
        <f>VLOOKUP(A33&amp;D33&amp;C33,经纬!A:I,9,FALSE)</f>
        <v>4040</v>
      </c>
      <c r="J33" s="214">
        <f>VLOOKUP(A33,经纬!B:J,9,FALSE)</f>
        <v>15.15748031496063</v>
      </c>
      <c r="K33" s="194"/>
      <c r="L33" s="194" t="str">
        <f t="array" ref="L33">LEFT(K33,MIN(FIND({"A","B","C","D"},MID(K33,2,LEN(K33))&amp;"ABCD")))</f>
        <v/>
      </c>
      <c r="M33" s="194" t="str">
        <f t="array" ref="M33">SUBSTITUTE(K33,L33,"")</f>
        <v/>
      </c>
      <c r="N33" s="246" t="str">
        <f t="array" ref="N33">IF(K33="","",INDEX(plan!$A:$F,MATCH(A33&amp;K33,plan!$A$2:$A$19999&amp;plan!$L$2:$L$19999,0)+1,MATCH(plan!$F$1,plan!$A$1:$F$1,0)))</f>
        <v/>
      </c>
      <c r="O33" s="338" t="str">
        <f t="array" ref="O33">IF(K33="","",INDEX(plan!$A:$O,MATCH(A33&amp;K33,plan!$A$2:$A$19999&amp;plan!$L$2:$L$19999,0)+1,MATCH(plan!$O$1,plan!$A$1:$O$1,0)))</f>
        <v/>
      </c>
      <c r="P33" s="194"/>
      <c r="Q33" s="338" t="str">
        <f t="array" ref="Q33">IF(K33="","",IF(INDEX(plan!$A:$S,MATCH(A33&amp;K33,plan!$A$2:$A$19999&amp;plan!$L$2:$L$19999,0)+1,MATCH(plan!$S$1,plan!$A$1:$S$1,0))&gt;0,INDEX(plan!$A:$S,MATCH(A33&amp;K33,plan!$A$2:$A$19999&amp;plan!$L$2:$L$19999,0)+1,MATCH(plan!$S$1,plan!$A$1:$S$1,0)),""))</f>
        <v/>
      </c>
      <c r="R33" s="246" t="str">
        <f>IF(K33="","",IF(D33&lt;&gt;"黑",SUMIFS(plan!I:I,plan!A:A,喷水计划单汇总!A33,plan!L:L,喷水计划单汇总!K33,plan!H:H,"&lt;&gt;"&amp;"黑丝"),SUMIFS(plan!I:I,plan!A:A,喷水计划单汇总!A33,plan!L:L,喷水计划单汇总!K33,plan!H:H,"="&amp;"黑丝")))</f>
        <v/>
      </c>
      <c r="S33" s="194"/>
      <c r="T33" s="250">
        <f>SUMIFS(plan!W:W,plan!A:A,喷水计划单汇总!A33,plan!L:L,喷水计划单汇总!K33,plan!H:H,IF(喷水计划单汇总!D33="黑","黑丝",{"本白","漂白","灰色","黑色","亚白"}))</f>
        <v>0</v>
      </c>
      <c r="U33" s="250">
        <f>SUMIFS(喷水布库存!E:E,喷水布库存!B:B,喷水计划单汇总!A33,喷水布库存!O:O,喷水计划单汇总!D33,喷水布库存!L:L,喷水计划单汇总!C33)</f>
        <v>0</v>
      </c>
      <c r="Y33" s="250">
        <f>SUMIFS(plan!$Z:$Z,plan!$A:$A,喷水计划单汇总!A33,plan!$H:$H,IF(D33="黑","黑丝",{"本白","漂白","黑色","灰色","湖蓝"}),plan!$L:$L,喷水计划单汇总!K33)</f>
        <v>0</v>
      </c>
      <c r="Z33" s="250">
        <f>SUMIFS(plan!$AA:$AA,plan!$A:$A,喷水计划单汇总!A33,plan!$H:$H,IF(D33="黑","黑丝",{"本白","漂白","黑色","灰色","湖蓝"}),plan!$L:$L,喷水计划单汇总!K33)</f>
        <v>0</v>
      </c>
    </row>
    <row r="34" spans="1:26" ht="18" customHeight="1">
      <c r="A34" s="92" t="s">
        <v>1693</v>
      </c>
      <c r="B34" s="194" t="s">
        <v>1721</v>
      </c>
      <c r="C34" s="92" t="s">
        <v>1689</v>
      </c>
      <c r="D34" s="194" t="s">
        <v>1727</v>
      </c>
      <c r="E34" s="194" t="str">
        <f t="shared" si="4"/>
        <v>75</v>
      </c>
      <c r="F34" s="194" t="str">
        <f t="shared" si="5"/>
        <v>100</v>
      </c>
      <c r="G34" s="194">
        <f>VLOOKUP(A34,经纬!B:G,6,FALSE)</f>
        <v>50</v>
      </c>
      <c r="H34" s="194" t="str">
        <f>VLOOKUP(A34,经纬!B:F,5,FALSE)</f>
        <v>190.5</v>
      </c>
      <c r="I34" s="194">
        <f>VLOOKUP(A34&amp;D34&amp;C34,经纬!A:I,9,FALSE)</f>
        <v>4040</v>
      </c>
      <c r="J34" s="214">
        <f>VLOOKUP(A34,经纬!B:J,9,FALSE)</f>
        <v>15.15748031496063</v>
      </c>
      <c r="K34" s="194"/>
      <c r="L34" s="194" t="str">
        <f t="array" ref="L34">LEFT(K34,MIN(FIND({"A","B","C","D"},MID(K34,2,LEN(K34))&amp;"ABCD")))</f>
        <v/>
      </c>
      <c r="M34" s="194" t="str">
        <f t="array" ref="M34">SUBSTITUTE(K34,L34,"")</f>
        <v/>
      </c>
      <c r="N34" s="246" t="str">
        <f t="array" ref="N34">IF(K34="","",INDEX(plan!$A:$F,MATCH(A34&amp;K34,plan!$A$2:$A$19999&amp;plan!$L$2:$L$19999,0)+1,MATCH(plan!$F$1,plan!$A$1:$F$1,0)))</f>
        <v/>
      </c>
      <c r="O34" s="338" t="str">
        <f t="array" ref="O34">IF(K34="","",INDEX(plan!$A:$O,MATCH(A34&amp;K34,plan!$A$2:$A$19999&amp;plan!$L$2:$L$19999,0)+1,MATCH(plan!$O$1,plan!$A$1:$O$1,0)))</f>
        <v/>
      </c>
      <c r="P34" s="194"/>
      <c r="Q34" s="338" t="str">
        <f t="array" ref="Q34">IF(K34="","",IF(INDEX(plan!$A:$S,MATCH(A34&amp;K34,plan!$A$2:$A$19999&amp;plan!$L$2:$L$19999,0)+1,MATCH(plan!$S$1,plan!$A$1:$S$1,0))&gt;0,INDEX(plan!$A:$S,MATCH(A34&amp;K34,plan!$A$2:$A$19999&amp;plan!$L$2:$L$19999,0)+1,MATCH(plan!$S$1,plan!$A$1:$S$1,0)),""))</f>
        <v/>
      </c>
      <c r="R34" s="246" t="str">
        <f>IF(K34="","",IF(D34&lt;&gt;"黑",SUMIFS(plan!I:I,plan!A:A,喷水计划单汇总!A34,plan!L:L,喷水计划单汇总!K34,plan!H:H,"&lt;&gt;"&amp;"黑丝"),SUMIFS(plan!I:I,plan!A:A,喷水计划单汇总!A34,plan!L:L,喷水计划单汇总!K34,plan!H:H,"="&amp;"黑丝")))</f>
        <v/>
      </c>
      <c r="S34" s="194"/>
      <c r="T34" s="250">
        <f>SUMIFS(plan!W:W,plan!A:A,喷水计划单汇总!A34,plan!L:L,喷水计划单汇总!K34,plan!H:H,IF(喷水计划单汇总!D34="黑","黑丝",{"本白","漂白","灰色","黑色","亚白"}))</f>
        <v>0</v>
      </c>
      <c r="U34" s="250">
        <f>SUMIFS(喷水布库存!E:E,喷水布库存!B:B,喷水计划单汇总!A34,喷水布库存!O:O,喷水计划单汇总!D34,喷水布库存!L:L,喷水计划单汇总!C34)</f>
        <v>0</v>
      </c>
      <c r="Y34" s="250">
        <f>SUMIFS(plan!$Z:$Z,plan!$A:$A,喷水计划单汇总!A34,plan!$H:$H,IF(D34="黑","黑丝",{"本白","漂白","黑色","灰色","湖蓝"}),plan!$L:$L,喷水计划单汇总!K34)</f>
        <v>0</v>
      </c>
      <c r="Z34" s="250">
        <f>SUMIFS(plan!$AA:$AA,plan!$A:$A,喷水计划单汇总!A34,plan!$H:$H,IF(D34="黑","黑丝",{"本白","漂白","黑色","灰色","湖蓝"}),plan!$L:$L,喷水计划单汇总!K34)</f>
        <v>0</v>
      </c>
    </row>
    <row r="35" spans="1:26" ht="18" customHeight="1">
      <c r="A35" s="92" t="s">
        <v>1692</v>
      </c>
      <c r="B35" s="194" t="s">
        <v>1723</v>
      </c>
      <c r="C35" s="92" t="s">
        <v>1689</v>
      </c>
      <c r="D35" s="194" t="s">
        <v>1675</v>
      </c>
      <c r="E35" s="194" t="str">
        <f t="shared" si="4"/>
        <v>75</v>
      </c>
      <c r="F35" s="194" t="str">
        <f t="shared" si="5"/>
        <v>150</v>
      </c>
      <c r="G35" s="194">
        <f>VLOOKUP(A35,经纬!B:G,6,FALSE)</f>
        <v>54</v>
      </c>
      <c r="H35" s="194" t="str">
        <f>VLOOKUP(A35,经纬!B:F,5,FALSE)</f>
        <v>190.5</v>
      </c>
      <c r="I35" s="194">
        <f>VLOOKUP(A35&amp;D35&amp;C35,经纬!A:I,9,FALSE)</f>
        <v>4040</v>
      </c>
      <c r="J35" s="214">
        <f>VLOOKUP(A35,经纬!B:J,9,FALSE)</f>
        <v>11.417322834645669</v>
      </c>
      <c r="K35" s="194"/>
      <c r="L35" s="194" t="str">
        <f t="array" ref="L35">LEFT(K35,MIN(FIND({"A","B","C","D"},MID(K35,2,LEN(K35))&amp;"ABCD")))</f>
        <v/>
      </c>
      <c r="M35" s="194" t="str">
        <f t="array" ref="M35">SUBSTITUTE(K35,L35,"")</f>
        <v/>
      </c>
      <c r="N35" s="246" t="str">
        <f t="array" ref="N35">IF(K35="","",INDEX(plan!$A:$F,MATCH(A35&amp;K35,plan!$A$2:$A$19999&amp;plan!$L$2:$L$19999,0)+1,MATCH(plan!$F$1,plan!$A$1:$F$1,0)))</f>
        <v/>
      </c>
      <c r="O35" s="338" t="str">
        <f t="array" ref="O35">IF(K35="","",INDEX(plan!$A:$O,MATCH(A35&amp;K35,plan!$A$2:$A$19999&amp;plan!$L$2:$L$19999,0)+1,MATCH(plan!$O$1,plan!$A$1:$O$1,0)))</f>
        <v/>
      </c>
      <c r="P35" s="194"/>
      <c r="Q35" s="338" t="str">
        <f t="array" ref="Q35">IF(K35="","",IF(INDEX(plan!$A:$S,MATCH(A35&amp;K35,plan!$A$2:$A$19999&amp;plan!$L$2:$L$19999,0)+1,MATCH(plan!$S$1,plan!$A$1:$S$1,0))&gt;0,INDEX(plan!$A:$S,MATCH(A35&amp;K35,plan!$A$2:$A$19999&amp;plan!$L$2:$L$19999,0)+1,MATCH(plan!$S$1,plan!$A$1:$S$1,0)),""))</f>
        <v/>
      </c>
      <c r="R35" s="246" t="str">
        <f>IF(K35="","",IF(D35&lt;&gt;"黑",SUMIFS(plan!I:I,plan!A:A,喷水计划单汇总!A35,plan!L:L,喷水计划单汇总!K35,plan!H:H,"&lt;&gt;"&amp;"黑丝"),SUMIFS(plan!I:I,plan!A:A,喷水计划单汇总!A35,plan!L:L,喷水计划单汇总!K35,plan!H:H,"="&amp;"黑丝")))</f>
        <v/>
      </c>
      <c r="S35" s="194"/>
      <c r="T35" s="250">
        <f>SUMIFS(plan!W:W,plan!A:A,喷水计划单汇总!A35,plan!L:L,喷水计划单汇总!K35,plan!H:H,IF(喷水计划单汇总!D35="黑","黑丝",{"本白","漂白","灰色","黑色","亚白"}))</f>
        <v>0</v>
      </c>
      <c r="U35" s="250">
        <f>SUMIFS(喷水布库存!E:E,喷水布库存!B:B,喷水计划单汇总!A35,喷水布库存!O:O,喷水计划单汇总!D35,喷水布库存!L:L,喷水计划单汇总!C35)</f>
        <v>0</v>
      </c>
      <c r="Y35" s="250">
        <f>SUMIFS(plan!$Z:$Z,plan!$A:$A,喷水计划单汇总!A35,plan!$H:$H,IF(D35="黑","黑丝",{"本白","漂白","黑色","灰色","湖蓝"}),plan!$L:$L,喷水计划单汇总!K35)</f>
        <v>0</v>
      </c>
      <c r="Z35" s="250">
        <f>SUMIFS(plan!$AA:$AA,plan!$A:$A,喷水计划单汇总!A35,plan!$H:$H,IF(D35="黑","黑丝",{"本白","漂白","黑色","灰色","湖蓝"}),plan!$L:$L,喷水计划单汇总!K35)</f>
        <v>0</v>
      </c>
    </row>
    <row r="36" spans="1:26" ht="18" customHeight="1">
      <c r="A36" s="92" t="s">
        <v>1692</v>
      </c>
      <c r="B36" s="194" t="s">
        <v>1723</v>
      </c>
      <c r="C36" s="92" t="s">
        <v>1689</v>
      </c>
      <c r="D36" s="194" t="s">
        <v>1727</v>
      </c>
      <c r="E36" s="194" t="str">
        <f t="shared" si="4"/>
        <v>75</v>
      </c>
      <c r="F36" s="194" t="str">
        <f t="shared" si="5"/>
        <v>150</v>
      </c>
      <c r="G36" s="194">
        <f>VLOOKUP(A36,经纬!B:G,6,FALSE)</f>
        <v>54</v>
      </c>
      <c r="H36" s="194" t="str">
        <f>VLOOKUP(A36,经纬!B:F,5,FALSE)</f>
        <v>190.5</v>
      </c>
      <c r="I36" s="194">
        <f>VLOOKUP(A36&amp;D36&amp;C36,经纬!A:I,9,FALSE)</f>
        <v>4040</v>
      </c>
      <c r="J36" s="214">
        <f>VLOOKUP(A36,经纬!B:J,9,FALSE)</f>
        <v>11.417322834645669</v>
      </c>
      <c r="K36" s="194"/>
      <c r="L36" s="194" t="str">
        <f t="array" ref="L36">LEFT(K36,MIN(FIND({"A","B","C","D"},MID(K36,2,LEN(K36))&amp;"ABCD")))</f>
        <v/>
      </c>
      <c r="M36" s="194" t="str">
        <f t="array" ref="M36">SUBSTITUTE(K36,L36,"")</f>
        <v/>
      </c>
      <c r="N36" s="246" t="str">
        <f t="array" ref="N36">IF(K36="","",INDEX(plan!$A:$F,MATCH(A36&amp;K36,plan!$A$2:$A$19999&amp;plan!$L$2:$L$19999,0)+1,MATCH(plan!$F$1,plan!$A$1:$F$1,0)))</f>
        <v/>
      </c>
      <c r="O36" s="338" t="str">
        <f t="array" ref="O36">IF(K36="","",INDEX(plan!$A:$O,MATCH(A36&amp;K36,plan!$A$2:$A$19999&amp;plan!$L$2:$L$19999,0)+1,MATCH(plan!$O$1,plan!$A$1:$O$1,0)))</f>
        <v/>
      </c>
      <c r="P36" s="194"/>
      <c r="Q36" s="338" t="str">
        <f t="array" ref="Q36">IF(K36="","",IF(INDEX(plan!$A:$S,MATCH(A36&amp;K36,plan!$A$2:$A$19999&amp;plan!$L$2:$L$19999,0)+1,MATCH(plan!$S$1,plan!$A$1:$S$1,0))&gt;0,INDEX(plan!$A:$S,MATCH(A36&amp;K36,plan!$A$2:$A$19999&amp;plan!$L$2:$L$19999,0)+1,MATCH(plan!$S$1,plan!$A$1:$S$1,0)),""))</f>
        <v/>
      </c>
      <c r="R36" s="246" t="str">
        <f>IF(K36="","",IF(D36&lt;&gt;"黑",SUMIFS(plan!I:I,plan!A:A,喷水计划单汇总!A36,plan!L:L,喷水计划单汇总!K36,plan!H:H,"&lt;&gt;"&amp;"黑丝"),SUMIFS(plan!I:I,plan!A:A,喷水计划单汇总!A36,plan!L:L,喷水计划单汇总!K36,plan!H:H,"="&amp;"黑丝")))</f>
        <v/>
      </c>
      <c r="S36" s="194"/>
      <c r="T36" s="250">
        <f>SUMIFS(plan!W:W,plan!A:A,喷水计划单汇总!A36,plan!L:L,喷水计划单汇总!K36,plan!H:H,IF(喷水计划单汇总!D36="黑","黑丝",{"本白","漂白","灰色","黑色","亚白"}))</f>
        <v>0</v>
      </c>
      <c r="U36" s="250">
        <f>SUMIFS(喷水布库存!E:E,喷水布库存!B:B,喷水计划单汇总!A36,喷水布库存!O:O,喷水计划单汇总!D36,喷水布库存!L:L,喷水计划单汇总!C36)</f>
        <v>0</v>
      </c>
      <c r="Y36" s="250">
        <f>SUMIFS(plan!$Z:$Z,plan!$A:$A,喷水计划单汇总!A36,plan!$H:$H,IF(D36="黑","黑丝",{"本白","漂白","黑色","灰色","湖蓝"}),plan!$L:$L,喷水计划单汇总!K36)</f>
        <v>0</v>
      </c>
      <c r="Z36" s="250">
        <f>SUMIFS(plan!$AA:$AA,plan!$A:$A,喷水计划单汇总!A36,plan!$H:$H,IF(D36="黑","黑丝",{"本白","漂白","黑色","灰色","湖蓝"}),plan!$L:$L,喷水计划单汇总!K36)</f>
        <v>0</v>
      </c>
    </row>
    <row r="37" spans="1:26" ht="18" customHeight="1">
      <c r="A37" s="92" t="s">
        <v>1725</v>
      </c>
      <c r="B37" s="194" t="s">
        <v>1723</v>
      </c>
      <c r="C37" s="92" t="s">
        <v>1689</v>
      </c>
      <c r="D37" s="194" t="s">
        <v>1675</v>
      </c>
      <c r="E37" s="194" t="str">
        <f t="shared" si="4"/>
        <v>75</v>
      </c>
      <c r="F37" s="194" t="str">
        <f t="shared" si="5"/>
        <v>150</v>
      </c>
      <c r="G37" s="194">
        <f>VLOOKUP(A37,经纬!B:G,6,FALSE)</f>
        <v>58</v>
      </c>
      <c r="H37" s="194" t="str">
        <f>VLOOKUP(A37,经纬!B:F,5,FALSE)</f>
        <v>190.5</v>
      </c>
      <c r="I37" s="194">
        <f>VLOOKUP(A37&amp;D37&amp;C37,经纬!A:I,9,FALSE)</f>
        <v>4040</v>
      </c>
      <c r="J37" s="214">
        <f>VLOOKUP(A37,经纬!B:J,9,FALSE)</f>
        <v>12.401574803149606</v>
      </c>
      <c r="K37" s="194" t="s">
        <v>1761</v>
      </c>
      <c r="L37" s="194" t="str">
        <f t="array" ref="L37">LEFT(K37,MIN(FIND({"A","B","C","D"},MID(K37,2,LEN(K37))&amp;"ABCD")))</f>
        <v>A94</v>
      </c>
      <c r="M37" s="194" t="str">
        <f t="array" ref="M37">SUBSTITUTE(K37,L37,"")</f>
        <v>B536</v>
      </c>
      <c r="N37" s="246" t="str">
        <f t="array" ref="N37">IF(K37="","",INDEX(plan!$A:$F,MATCH(A37&amp;K37,plan!$A$2:$A$19999&amp;plan!$L$2:$L$19999,0)+1,MATCH(plan!$F$1,plan!$A$1:$F$1,0)))</f>
        <v>AAA</v>
      </c>
      <c r="O37" s="338">
        <f t="array" ref="O37">IF(K37="","",INDEX(plan!$A:$O,MATCH(A37&amp;K37,plan!$A$2:$A$19999&amp;plan!$L$2:$L$19999,0)+1,MATCH(plan!$O$1,plan!$A$1:$O$1,0)))</f>
        <v>43759</v>
      </c>
      <c r="P37" s="194"/>
      <c r="Q37" s="338">
        <f t="array" ref="Q37">IF(K37="","",IF(INDEX(plan!$A:$S,MATCH(A37&amp;K37,plan!$A$2:$A$19999&amp;plan!$L$2:$L$19999,0)+1,MATCH(plan!$S$1,plan!$A$1:$S$1,0))&gt;0,INDEX(plan!$A:$S,MATCH(A37&amp;K37,plan!$A$2:$A$19999&amp;plan!$L$2:$L$19999,0)+1,MATCH(plan!$S$1,plan!$A$1:$S$1,0)),""))</f>
        <v>43774</v>
      </c>
      <c r="R37" s="246">
        <f>IF(K37="","",IF(D37&lt;&gt;"黑",SUMIFS(plan!I:I,plan!A:A,喷水计划单汇总!A37,plan!L:L,喷水计划单汇总!K37,plan!H:H,"&lt;&gt;"&amp;"黑丝"),SUMIFS(plan!I:I,plan!A:A,喷水计划单汇总!A37,plan!L:L,喷水计划单汇总!K37,plan!H:H,"="&amp;"黑丝")))</f>
        <v>15000</v>
      </c>
      <c r="S37" s="194"/>
      <c r="T37" s="250">
        <f>SUMIFS(plan!W:W,plan!A:A,喷水计划单汇总!A37,plan!L:L,喷水计划单汇总!K37,plan!H:H,IF(喷水计划单汇总!D37="黑","黑丝",{"本白","漂白","灰色","黑色","亚白"}))</f>
        <v>0</v>
      </c>
      <c r="U37" s="250">
        <f>SUMIFS(喷水布库存!E:E,喷水布库存!B:B,喷水计划单汇总!A37,喷水布库存!O:O,喷水计划单汇总!D37,喷水布库存!L:L,喷水计划单汇总!C37)</f>
        <v>0</v>
      </c>
      <c r="Y37" s="250">
        <f>SUMIFS(plan!$Z:$Z,plan!$A:$A,喷水计划单汇总!A37,plan!$H:$H,IF(D37="黑","黑丝",{"本白","漂白","黑色","灰色","湖蓝"}),plan!$L:$L,喷水计划单汇总!K37)</f>
        <v>0</v>
      </c>
      <c r="Z37" s="250">
        <f>SUMIFS(plan!$AA:$AA,plan!$A:$A,喷水计划单汇总!A37,plan!$H:$H,IF(D37="黑","黑丝",{"本白","漂白","黑色","灰色","湖蓝"}),plan!$L:$L,喷水计划单汇总!K37)</f>
        <v>0</v>
      </c>
    </row>
    <row r="38" spans="1:26" ht="18" customHeight="1">
      <c r="A38" s="92" t="s">
        <v>1725</v>
      </c>
      <c r="B38" s="194" t="s">
        <v>1723</v>
      </c>
      <c r="C38" s="92" t="s">
        <v>1689</v>
      </c>
      <c r="D38" s="194" t="s">
        <v>1727</v>
      </c>
      <c r="E38" s="194" t="str">
        <f t="shared" si="4"/>
        <v>75</v>
      </c>
      <c r="F38" s="194" t="str">
        <f t="shared" si="5"/>
        <v>150</v>
      </c>
      <c r="G38" s="194">
        <f>VLOOKUP(A38,经纬!B:G,6,FALSE)</f>
        <v>58</v>
      </c>
      <c r="H38" s="194" t="str">
        <f>VLOOKUP(A38,经纬!B:F,5,FALSE)</f>
        <v>190.5</v>
      </c>
      <c r="I38" s="194">
        <f>VLOOKUP(A38&amp;D38&amp;C38,经纬!A:I,9,FALSE)</f>
        <v>4040</v>
      </c>
      <c r="J38" s="214">
        <f>VLOOKUP(A38,经纬!B:J,9,FALSE)</f>
        <v>12.401574803149606</v>
      </c>
      <c r="K38" s="194"/>
      <c r="L38" s="194" t="str">
        <f t="array" ref="L38">LEFT(K38,MIN(FIND({"A","B","C","D"},MID(K38,2,LEN(K38))&amp;"ABCD")))</f>
        <v/>
      </c>
      <c r="M38" s="194" t="str">
        <f t="array" ref="M38">SUBSTITUTE(K38,L38,"")</f>
        <v/>
      </c>
      <c r="N38" s="246" t="str">
        <f t="array" ref="N38">IF(K38="","",INDEX(plan!$A:$F,MATCH(A38&amp;K38,plan!$A$2:$A$19999&amp;plan!$L$2:$L$19999,0)+1,MATCH(plan!$F$1,plan!$A$1:$F$1,0)))</f>
        <v/>
      </c>
      <c r="O38" s="338" t="str">
        <f t="array" ref="O38">IF(K38="","",INDEX(plan!$A:$O,MATCH(A38&amp;K38,plan!$A$2:$A$19999&amp;plan!$L$2:$L$19999,0)+1,MATCH(plan!$O$1,plan!$A$1:$O$1,0)))</f>
        <v/>
      </c>
      <c r="P38" s="194"/>
      <c r="Q38" s="338" t="str">
        <f t="array" ref="Q38">IF(K38="","",IF(INDEX(plan!$A:$S,MATCH(A38&amp;K38,plan!$A$2:$A$19999&amp;plan!$L$2:$L$19999,0)+1,MATCH(plan!$S$1,plan!$A$1:$S$1,0))&gt;0,INDEX(plan!$A:$S,MATCH(A38&amp;K38,plan!$A$2:$A$19999&amp;plan!$L$2:$L$19999,0)+1,MATCH(plan!$S$1,plan!$A$1:$S$1,0)),""))</f>
        <v/>
      </c>
      <c r="R38" s="246" t="str">
        <f>IF(K38="","",IF(D38&lt;&gt;"黑",SUMIFS(plan!I:I,plan!A:A,喷水计划单汇总!A38,plan!L:L,喷水计划单汇总!K38,plan!H:H,"&lt;&gt;"&amp;"黑丝"),SUMIFS(plan!I:I,plan!A:A,喷水计划单汇总!A38,plan!L:L,喷水计划单汇总!K38,plan!H:H,"="&amp;"黑丝")))</f>
        <v/>
      </c>
      <c r="S38" s="194"/>
      <c r="T38" s="250">
        <f>SUMIFS(plan!W:W,plan!A:A,喷水计划单汇总!A38,plan!L:L,喷水计划单汇总!K38,plan!H:H,IF(喷水计划单汇总!D38="黑","黑丝",{"本白","漂白","灰色","黑色","亚白"}))</f>
        <v>0</v>
      </c>
      <c r="U38" s="250">
        <f>SUMIFS(喷水布库存!E:E,喷水布库存!B:B,喷水计划单汇总!A38,喷水布库存!O:O,喷水计划单汇总!D38,喷水布库存!L:L,喷水计划单汇总!C38)</f>
        <v>0</v>
      </c>
      <c r="Y38" s="250">
        <f>SUMIFS(plan!$Z:$Z,plan!$A:$A,喷水计划单汇总!A38,plan!$H:$H,IF(D38="黑","黑丝",{"本白","漂白","黑色","灰色","湖蓝"}),plan!$L:$L,喷水计划单汇总!K38)</f>
        <v>0</v>
      </c>
      <c r="Z38" s="250">
        <f>SUMIFS(plan!$AA:$AA,plan!$A:$A,喷水计划单汇总!A38,plan!$H:$H,IF(D38="黑","黑丝",{"本白","漂白","黑色","灰色","湖蓝"}),plan!$L:$L,喷水计划单汇总!K38)</f>
        <v>0</v>
      </c>
    </row>
    <row r="39" spans="1:26" ht="18" customHeight="1">
      <c r="A39" s="92" t="s">
        <v>1743</v>
      </c>
      <c r="B39" s="194" t="s">
        <v>1723</v>
      </c>
      <c r="C39" s="92" t="s">
        <v>2445</v>
      </c>
      <c r="D39" s="194" t="s">
        <v>1727</v>
      </c>
      <c r="E39" s="194" t="str">
        <f t="shared" si="4"/>
        <v>75</v>
      </c>
      <c r="F39" s="194" t="str">
        <f t="shared" si="5"/>
        <v>150</v>
      </c>
      <c r="G39" s="194">
        <f>VLOOKUP(A39,经纬!B:G,6,FALSE)</f>
        <v>54</v>
      </c>
      <c r="H39" s="194" t="str">
        <f>VLOOKUP(A39,经纬!B:F,5,FALSE)</f>
        <v>188</v>
      </c>
      <c r="I39" s="194">
        <f>VLOOKUP(A39&amp;D39&amp;C39,经纬!A:I,9,FALSE)</f>
        <v>4130</v>
      </c>
      <c r="J39" s="214">
        <f>VLOOKUP(A39,经纬!B:J,9,FALSE)</f>
        <v>11.023622047244094</v>
      </c>
      <c r="K39" s="194"/>
      <c r="L39" s="194" t="str">
        <f t="array" ref="L39">LEFT(K39,MIN(FIND({"A","B","C","D"},MID(K39,2,LEN(K39))&amp;"ABCD")))</f>
        <v/>
      </c>
      <c r="M39" s="194" t="str">
        <f t="array" ref="M39">SUBSTITUTE(K39,L39,"")</f>
        <v/>
      </c>
      <c r="N39" s="246" t="str">
        <f t="array" ref="N39">IF(K39="","",INDEX(plan!$A:$F,MATCH(A39&amp;K39,plan!$A$2:$A$19999&amp;plan!$L$2:$L$19999,0)+1,MATCH(plan!$F$1,plan!$A$1:$F$1,0)))</f>
        <v/>
      </c>
      <c r="O39" s="338" t="str">
        <f t="array" ref="O39">IF(K39="","",INDEX(plan!$A:$O,MATCH(A39&amp;K39,plan!$A$2:$A$19999&amp;plan!$L$2:$L$19999,0)+1,MATCH(plan!$O$1,plan!$A$1:$O$1,0)))</f>
        <v/>
      </c>
      <c r="P39" s="194"/>
      <c r="Q39" s="338" t="str">
        <f t="array" ref="Q39">IF(K39="","",IF(INDEX(plan!$A:$S,MATCH(A39&amp;K39,plan!$A$2:$A$19999&amp;plan!$L$2:$L$19999,0)+1,MATCH(plan!$S$1,plan!$A$1:$S$1,0))&gt;0,INDEX(plan!$A:$S,MATCH(A39&amp;K39,plan!$A$2:$A$19999&amp;plan!$L$2:$L$19999,0)+1,MATCH(plan!$S$1,plan!$A$1:$S$1,0)),""))</f>
        <v/>
      </c>
      <c r="R39" s="246" t="str">
        <f>IF(K39="","",IF(D39&lt;&gt;"黑",SUMIFS(plan!I:I,plan!A:A,喷水计划单汇总!A39,plan!L:L,喷水计划单汇总!K39,plan!H:H,"&lt;&gt;"&amp;"黑丝"),SUMIFS(plan!I:I,plan!A:A,喷水计划单汇总!A39,plan!L:L,喷水计划单汇总!K39,plan!H:H,"="&amp;"黑丝")))</f>
        <v/>
      </c>
      <c r="S39" s="194"/>
      <c r="T39" s="250">
        <f>SUMIFS(plan!W:W,plan!A:A,喷水计划单汇总!A39,plan!L:L,喷水计划单汇总!K39,plan!H:H,IF(喷水计划单汇总!D39="黑","黑丝",{"本白","漂白","灰色","黑色","亚白"}))</f>
        <v>0</v>
      </c>
      <c r="U39" s="250">
        <f>SUMIFS(喷水布库存!E:E,喷水布库存!B:B,喷水计划单汇总!A39,喷水布库存!O:O,喷水计划单汇总!D39,喷水布库存!L:L,喷水计划单汇总!C39)</f>
        <v>0</v>
      </c>
      <c r="Y39" s="250">
        <f>SUMIFS(plan!$Z:$Z,plan!$A:$A,喷水计划单汇总!A39,plan!$H:$H,IF(D39="黑","黑丝",{"本白","漂白","黑色","灰色","湖蓝"}),plan!$L:$L,喷水计划单汇总!K39)</f>
        <v>0</v>
      </c>
      <c r="Z39" s="250">
        <f>SUMIFS(plan!$AA:$AA,plan!$A:$A,喷水计划单汇总!A39,plan!$H:$H,IF(D39="黑","黑丝",{"本白","漂白","黑色","灰色","湖蓝"}),plan!$L:$L,喷水计划单汇总!K39)</f>
        <v>0</v>
      </c>
    </row>
    <row r="40" spans="1:26" s="206" customFormat="1" ht="18" customHeight="1">
      <c r="A40" s="92" t="s">
        <v>1743</v>
      </c>
      <c r="B40" s="194" t="s">
        <v>1723</v>
      </c>
      <c r="C40" s="92" t="s">
        <v>2445</v>
      </c>
      <c r="D40" s="194" t="s">
        <v>1727</v>
      </c>
      <c r="E40" s="194" t="str">
        <f t="shared" ref="E40" si="6">LEFT(B40,FIND("*",B40)-1)</f>
        <v>75</v>
      </c>
      <c r="F40" s="194" t="str">
        <f t="shared" ref="F40" si="7">RIGHT(B40,LEN(B40)-FIND("*",B40))</f>
        <v>150</v>
      </c>
      <c r="G40" s="194">
        <f>VLOOKUP(A40,经纬!B:G,6,FALSE)</f>
        <v>54</v>
      </c>
      <c r="H40" s="194" t="str">
        <f>VLOOKUP(A40,经纬!B:F,5,FALSE)</f>
        <v>188</v>
      </c>
      <c r="I40" s="194">
        <f>VLOOKUP(A40&amp;D40&amp;C40,经纬!A:I,9,FALSE)</f>
        <v>4130</v>
      </c>
      <c r="J40" s="214">
        <f>VLOOKUP(A40,经纬!B:J,9,FALSE)</f>
        <v>11.023622047244094</v>
      </c>
      <c r="K40" s="194"/>
      <c r="L40" s="194" t="str">
        <f t="array" ref="L40">LEFT(K40,MIN(FIND({"A","B","C","D"},MID(K40,2,LEN(K40))&amp;"ABCD")))</f>
        <v/>
      </c>
      <c r="M40" s="194" t="str">
        <f t="array" ref="M40">SUBSTITUTE(K40,L40,"")</f>
        <v/>
      </c>
      <c r="N40" s="246" t="str">
        <f t="array" ref="N40">IF(K40="","",INDEX(plan!$A:$F,MATCH(A40&amp;K40,plan!$A$2:$A$19999&amp;plan!$L$2:$L$19999,0)+1,MATCH(plan!$F$1,plan!$A$1:$F$1,0)))</f>
        <v/>
      </c>
      <c r="O40" s="338" t="str">
        <f t="array" ref="O40">IF(K40="","",INDEX(plan!$A:$O,MATCH(A40&amp;K40,plan!$A$2:$A$19999&amp;plan!$L$2:$L$19999,0)+1,MATCH(plan!$O$1,plan!$A$1:$O$1,0)))</f>
        <v/>
      </c>
      <c r="P40" s="194"/>
      <c r="Q40" s="338" t="str">
        <f t="array" ref="Q40">IF(K40="","",IF(INDEX(plan!$A:$S,MATCH(A40&amp;K40,plan!$A$2:$A$19999&amp;plan!$L$2:$L$19999,0)+1,MATCH(plan!$S$1,plan!$A$1:$S$1,0))&gt;0,INDEX(plan!$A:$S,MATCH(A40&amp;K40,plan!$A$2:$A$19999&amp;plan!$L$2:$L$19999,0)+1,MATCH(plan!$S$1,plan!$A$1:$S$1,0)),""))</f>
        <v/>
      </c>
      <c r="R40" s="246" t="str">
        <f>IF(K40="","",IF(D40&lt;&gt;"黑",SUMIFS(plan!I:I,plan!A:A,喷水计划单汇总!A40,plan!L:L,喷水计划单汇总!K40,plan!H:H,"&lt;&gt;"&amp;"黑丝"),SUMIFS(plan!I:I,plan!A:A,喷水计划单汇总!A40,plan!L:L,喷水计划单汇总!K40,plan!H:H,"="&amp;"黑丝")))</f>
        <v/>
      </c>
      <c r="S40" s="194"/>
      <c r="T40" s="250">
        <f>SUMIFS(plan!W:W,plan!A:A,喷水计划单汇总!A40,plan!L:L,喷水计划单汇总!K40,plan!H:H,IF(喷水计划单汇总!D40="黑","黑丝",{"本白","漂白","灰色","黑色","亚白"}))</f>
        <v>0</v>
      </c>
      <c r="U40" s="250">
        <f>SUMIFS(喷水布库存!E:E,喷水布库存!B:B,喷水计划单汇总!A40,喷水布库存!O:O,喷水计划单汇总!D40,喷水布库存!L:L,喷水计划单汇总!C40)</f>
        <v>0</v>
      </c>
      <c r="Y40" s="250">
        <f>SUMIFS(plan!$Z:$Z,plan!$A:$A,喷水计划单汇总!A40,plan!$H:$H,IF(D40="黑","黑丝",{"本白","漂白","黑色","灰色","湖蓝"}),plan!$L:$L,喷水计划单汇总!K40)</f>
        <v>0</v>
      </c>
      <c r="Z40" s="250">
        <f>SUMIFS(plan!$AA:$AA,plan!$A:$A,喷水计划单汇总!A40,plan!$H:$H,IF(D40="黑","黑丝",{"本白","漂白","黑色","灰色","湖蓝"}),plan!$L:$L,喷水计划单汇总!K40)</f>
        <v>0</v>
      </c>
    </row>
    <row r="41" spans="1:26" ht="18" customHeight="1">
      <c r="A41" s="92" t="s">
        <v>1775</v>
      </c>
      <c r="B41" s="194" t="s">
        <v>1723</v>
      </c>
      <c r="C41" s="92" t="s">
        <v>2445</v>
      </c>
      <c r="D41" s="194" t="s">
        <v>1727</v>
      </c>
      <c r="E41" s="194" t="str">
        <f t="shared" si="4"/>
        <v>75</v>
      </c>
      <c r="F41" s="194" t="str">
        <f t="shared" si="5"/>
        <v>150</v>
      </c>
      <c r="G41" s="194">
        <f>VLOOKUP(A41,经纬!B:G,6,FALSE)</f>
        <v>58</v>
      </c>
      <c r="H41" s="194" t="str">
        <f>VLOOKUP(A41,经纬!B:F,5,FALSE)</f>
        <v>188</v>
      </c>
      <c r="I41" s="194">
        <f>VLOOKUP(A41&amp;D41&amp;C41,经纬!A:I,9,FALSE)</f>
        <v>4130</v>
      </c>
      <c r="J41" s="214">
        <f>VLOOKUP(A41,经纬!B:J,9,FALSE)</f>
        <v>12.401574803149606</v>
      </c>
      <c r="K41" s="194" t="s">
        <v>1816</v>
      </c>
      <c r="L41" s="194" t="str">
        <f t="array" ref="L41">LEFT(K41,MIN(FIND({"A","B","C","D"},MID(K41,2,LEN(K41))&amp;"ABCD")))</f>
        <v>A28</v>
      </c>
      <c r="M41" s="194" t="str">
        <f t="array" ref="M41">SUBSTITUTE(K41,L41,"")</f>
        <v>B528</v>
      </c>
      <c r="N41" s="246" t="str">
        <f t="array" ref="N41">IF(K41="","",INDEX(plan!$A:$F,MATCH(A41&amp;K41,plan!$A$2:$A$19999&amp;plan!$L$2:$L$19999,0)+1,MATCH(plan!$F$1,plan!$A$1:$F$1,0)))</f>
        <v>A</v>
      </c>
      <c r="O41" s="338">
        <f t="array" ref="O41">IF(K41="","",INDEX(plan!$A:$O,MATCH(A41&amp;K41,plan!$A$2:$A$19999&amp;plan!$L$2:$L$19999,0)+1,MATCH(plan!$O$1,plan!$A$1:$O$1,0)))</f>
        <v>43754</v>
      </c>
      <c r="P41" s="194"/>
      <c r="Q41" s="338" t="str">
        <f t="array" ref="Q41">IF(K41="","",IF(INDEX(plan!$A:$S,MATCH(A41&amp;K41,plan!$A$2:$A$19999&amp;plan!$L$2:$L$19999,0)+1,MATCH(plan!$S$1,plan!$A$1:$S$1,0))&gt;0,INDEX(plan!$A:$S,MATCH(A41&amp;K41,plan!$A$2:$A$19999&amp;plan!$L$2:$L$19999,0)+1,MATCH(plan!$S$1,plan!$A$1:$S$1,0)),""))</f>
        <v/>
      </c>
      <c r="R41" s="246">
        <f>IF(K41="","",IF(D41&lt;&gt;"黑",SUMIFS(plan!I:I,plan!A:A,喷水计划单汇总!A41,plan!L:L,喷水计划单汇总!K41,plan!H:H,"&lt;&gt;"&amp;"黑丝"),SUMIFS(plan!I:I,plan!A:A,喷水计划单汇总!A41,plan!L:L,喷水计划单汇总!K41,plan!H:H,"="&amp;"黑丝")))</f>
        <v>9000</v>
      </c>
      <c r="S41" s="194"/>
      <c r="T41" s="250">
        <f>SUMIFS(plan!W:W,plan!A:A,喷水计划单汇总!A41,plan!L:L,喷水计划单汇总!K41,plan!H:H,IF(喷水计划单汇总!D41="黑","黑丝",{"本白","漂白","灰色","黑色","亚白"}))</f>
        <v>9000</v>
      </c>
      <c r="U41" s="250">
        <f>SUMIFS(喷水布库存!E:E,喷水布库存!B:B,喷水计划单汇总!A41,喷水布库存!O:O,喷水计划单汇总!D41,喷水布库存!L:L,喷水计划单汇总!C41)</f>
        <v>0</v>
      </c>
      <c r="Y41" s="250">
        <f>SUMIFS(plan!$Z:$Z,plan!$A:$A,喷水计划单汇总!A41,plan!$H:$H,IF(D41="黑","黑丝",{"本白","漂白","黑色","灰色","湖蓝"}),plan!$L:$L,喷水计划单汇总!K41)</f>
        <v>315.94499999999999</v>
      </c>
      <c r="Z41" s="250">
        <f>SUMIFS(plan!$AA:$AA,plan!$A:$A,喷水计划单汇总!A41,plan!$H:$H,IF(D41="黑","黑丝",{"本白","漂白","黑色","灰色","湖蓝"}),plan!$L:$L,喷水计划单汇总!K41)</f>
        <v>377.62795275590548</v>
      </c>
    </row>
    <row r="42" spans="1:26" ht="18" customHeight="1">
      <c r="A42" s="92" t="s">
        <v>1775</v>
      </c>
      <c r="B42" s="194" t="s">
        <v>1723</v>
      </c>
      <c r="C42" s="92" t="s">
        <v>2445</v>
      </c>
      <c r="D42" s="194" t="s">
        <v>1727</v>
      </c>
      <c r="E42" s="194" t="str">
        <f t="shared" si="4"/>
        <v>75</v>
      </c>
      <c r="F42" s="194" t="str">
        <f t="shared" si="5"/>
        <v>150</v>
      </c>
      <c r="G42" s="194">
        <f>VLOOKUP(A42,经纬!B:G,6,FALSE)</f>
        <v>58</v>
      </c>
      <c r="H42" s="194" t="str">
        <f>VLOOKUP(A42,经纬!B:F,5,FALSE)</f>
        <v>188</v>
      </c>
      <c r="I42" s="194">
        <f>VLOOKUP(A42&amp;D42&amp;C42,经纬!A:I,9,FALSE)</f>
        <v>4130</v>
      </c>
      <c r="J42" s="214">
        <f>VLOOKUP(A42,经纬!B:J,9,FALSE)</f>
        <v>12.401574803149606</v>
      </c>
      <c r="K42" s="194"/>
      <c r="L42" s="194" t="str">
        <f t="array" ref="L42">LEFT(K42,MIN(FIND({"A","B","C","D"},MID(K42,2,LEN(K42))&amp;"ABCD")))</f>
        <v/>
      </c>
      <c r="M42" s="194" t="str">
        <f t="array" ref="M42">SUBSTITUTE(K42,L42,"")</f>
        <v/>
      </c>
      <c r="N42" s="246" t="str">
        <f t="array" ref="N42">IF(K42="","",INDEX(plan!$A:$F,MATCH(A42&amp;K42,plan!$A$2:$A$19999&amp;plan!$L$2:$L$19999,0)+1,MATCH(plan!$F$1,plan!$A$1:$F$1,0)))</f>
        <v/>
      </c>
      <c r="O42" s="338" t="str">
        <f t="array" ref="O42">IF(K42="","",INDEX(plan!$A:$O,MATCH(A42&amp;K42,plan!$A$2:$A$19999&amp;plan!$L$2:$L$19999,0)+1,MATCH(plan!$O$1,plan!$A$1:$O$1,0)))</f>
        <v/>
      </c>
      <c r="P42" s="194"/>
      <c r="Q42" s="338" t="str">
        <f t="array" ref="Q42">IF(K42="","",IF(INDEX(plan!$A:$S,MATCH(A42&amp;K42,plan!$A$2:$A$19999&amp;plan!$L$2:$L$19999,0)+1,MATCH(plan!$S$1,plan!$A$1:$S$1,0))&gt;0,INDEX(plan!$A:$S,MATCH(A42&amp;K42,plan!$A$2:$A$19999&amp;plan!$L$2:$L$19999,0)+1,MATCH(plan!$S$1,plan!$A$1:$S$1,0)),""))</f>
        <v/>
      </c>
      <c r="R42" s="246" t="str">
        <f>IF(K42="","",IF(D42&lt;&gt;"黑",SUMIFS(plan!I:I,plan!A:A,喷水计划单汇总!A42,plan!L:L,喷水计划单汇总!K42,plan!H:H,"&lt;&gt;"&amp;"黑丝"),SUMIFS(plan!I:I,plan!A:A,喷水计划单汇总!A42,plan!L:L,喷水计划单汇总!K42,plan!H:H,"="&amp;"黑丝")))</f>
        <v/>
      </c>
      <c r="S42" s="194"/>
      <c r="T42" s="250">
        <f>SUMIFS(plan!W:W,plan!A:A,喷水计划单汇总!A42,plan!L:L,喷水计划单汇总!K42,plan!H:H,IF(喷水计划单汇总!D42="黑","黑丝",{"本白","漂白","灰色","黑色","亚白"}))</f>
        <v>0</v>
      </c>
      <c r="U42" s="250">
        <f>SUMIFS(喷水布库存!E:E,喷水布库存!B:B,喷水计划单汇总!A42,喷水布库存!O:O,喷水计划单汇总!D42,喷水布库存!L:L,喷水计划单汇总!C42)</f>
        <v>0</v>
      </c>
      <c r="Y42" s="250">
        <f>SUMIFS(plan!$Z:$Z,plan!$A:$A,喷水计划单汇总!A42,plan!$H:$H,IF(D42="黑","黑丝",{"本白","漂白","黑色","灰色","湖蓝"}),plan!$L:$L,喷水计划单汇总!K42)</f>
        <v>0</v>
      </c>
      <c r="Z42" s="250">
        <f>SUMIFS(plan!$AA:$AA,plan!$A:$A,喷水计划单汇总!A42,plan!$H:$H,IF(D42="黑","黑丝",{"本白","漂白","黑色","灰色","湖蓝"}),plan!$L:$L,喷水计划单汇总!K42)</f>
        <v>0</v>
      </c>
    </row>
    <row r="43" spans="1:26" ht="18" customHeight="1">
      <c r="A43" s="92" t="s">
        <v>1775</v>
      </c>
      <c r="B43" s="194" t="s">
        <v>1723</v>
      </c>
      <c r="C43" s="92" t="s">
        <v>2445</v>
      </c>
      <c r="D43" s="194" t="s">
        <v>1675</v>
      </c>
      <c r="E43" s="194" t="str">
        <f t="shared" si="4"/>
        <v>75</v>
      </c>
      <c r="F43" s="194" t="str">
        <f t="shared" si="5"/>
        <v>150</v>
      </c>
      <c r="G43" s="194">
        <f>VLOOKUP(A43,经纬!B:G,6,FALSE)</f>
        <v>58</v>
      </c>
      <c r="H43" s="194" t="str">
        <f>VLOOKUP(A43,经纬!B:F,5,FALSE)</f>
        <v>188</v>
      </c>
      <c r="I43" s="194">
        <f>VLOOKUP(A43&amp;D43&amp;C43,经纬!A:I,9,FALSE)</f>
        <v>4130</v>
      </c>
      <c r="J43" s="214">
        <f>VLOOKUP(A43,经纬!B:J,9,FALSE)</f>
        <v>12.401574803149606</v>
      </c>
      <c r="K43" s="194" t="s">
        <v>1816</v>
      </c>
      <c r="L43" s="194" t="str">
        <f t="array" ref="L43">LEFT(K43,MIN(FIND({"A","B","C","D"},MID(K43,2,LEN(K43))&amp;"ABCD")))</f>
        <v>A28</v>
      </c>
      <c r="M43" s="194" t="str">
        <f t="array" ref="M43">SUBSTITUTE(K43,L43,"")</f>
        <v>B528</v>
      </c>
      <c r="N43" s="246" t="str">
        <f t="array" ref="N43">IF(K43="","",INDEX(plan!$A:$F,MATCH(A43&amp;K43,plan!$A$2:$A$19999&amp;plan!$L$2:$L$19999,0)+1,MATCH(plan!$F$1,plan!$A$1:$F$1,0)))</f>
        <v>A</v>
      </c>
      <c r="O43" s="338">
        <f t="array" ref="O43">IF(K43="","",INDEX(plan!$A:$O,MATCH(A43&amp;K43,plan!$A$2:$A$19999&amp;plan!$L$2:$L$19999,0)+1,MATCH(plan!$O$1,plan!$A$1:$O$1,0)))</f>
        <v>43754</v>
      </c>
      <c r="P43" s="194"/>
      <c r="Q43" s="338" t="str">
        <f t="array" ref="Q43">IF(K43="","",IF(INDEX(plan!$A:$S,MATCH(A43&amp;K43,plan!$A$2:$A$19999&amp;plan!$L$2:$L$19999,0)+1,MATCH(plan!$S$1,plan!$A$1:$S$1,0))&gt;0,INDEX(plan!$A:$S,MATCH(A43&amp;K43,plan!$A$2:$A$19999&amp;plan!$L$2:$L$19999,0)+1,MATCH(plan!$S$1,plan!$A$1:$S$1,0)),""))</f>
        <v/>
      </c>
      <c r="R43" s="246">
        <f>IF(K43="","",IF(D43&lt;&gt;"黑",SUMIFS(plan!I:I,plan!A:A,喷水计划单汇总!A43,plan!L:L,喷水计划单汇总!K43,plan!H:H,"&lt;&gt;"&amp;"黑丝"),SUMIFS(plan!I:I,plan!A:A,喷水计划单汇总!A43,plan!L:L,喷水计划单汇总!K43,plan!H:H,"="&amp;"黑丝")))</f>
        <v>6000</v>
      </c>
      <c r="S43" s="194"/>
      <c r="T43" s="250">
        <f>SUMIFS(plan!W:W,plan!A:A,喷水计划单汇总!A43,plan!L:L,喷水计划单汇总!K43,plan!H:H,IF(喷水计划单汇总!D43="黑","黑丝",{"本白","漂白","灰色","黑色","亚白"}))</f>
        <v>6000</v>
      </c>
      <c r="U43" s="250">
        <f>SUMIFS(喷水布库存!E:E,喷水布库存!B:B,喷水计划单汇总!A43,喷水布库存!O:O,喷水计划单汇总!D43,喷水布库存!L:L,喷水计划单汇总!C43)</f>
        <v>0</v>
      </c>
      <c r="Y43" s="250">
        <f>SUMIFS(plan!$Z:$Z,plan!$A:$A,喷水计划单汇总!A43,plan!$H:$H,IF(D43="黑","黑丝",{"本白","漂白","黑色","灰色","湖蓝"}),plan!$L:$L,喷水计划单汇总!K43)</f>
        <v>210.63</v>
      </c>
      <c r="Z43" s="250">
        <f>SUMIFS(plan!$AA:$AA,plan!$A:$A,喷水计划单汇总!A43,plan!$H:$H,IF(D43="黑","黑丝",{"本白","漂白","黑色","灰色","湖蓝"}),plan!$L:$L,喷水计划单汇总!K43)</f>
        <v>251.75196850393698</v>
      </c>
    </row>
    <row r="44" spans="1:26" ht="18" customHeight="1">
      <c r="A44" s="92" t="s">
        <v>1775</v>
      </c>
      <c r="B44" s="194" t="s">
        <v>1723</v>
      </c>
      <c r="C44" s="92" t="s">
        <v>2445</v>
      </c>
      <c r="D44" s="194" t="s">
        <v>1675</v>
      </c>
      <c r="E44" s="194" t="str">
        <f t="shared" si="4"/>
        <v>75</v>
      </c>
      <c r="F44" s="194" t="str">
        <f t="shared" si="5"/>
        <v>150</v>
      </c>
      <c r="G44" s="194">
        <f>VLOOKUP(A44,经纬!B:G,6,FALSE)</f>
        <v>58</v>
      </c>
      <c r="H44" s="194" t="str">
        <f>VLOOKUP(A44,经纬!B:F,5,FALSE)</f>
        <v>188</v>
      </c>
      <c r="I44" s="194">
        <f>VLOOKUP(A44&amp;D44&amp;C44,经纬!A:I,9,FALSE)</f>
        <v>4130</v>
      </c>
      <c r="J44" s="214">
        <f>VLOOKUP(A44,经纬!B:J,9,FALSE)</f>
        <v>12.401574803149606</v>
      </c>
      <c r="K44" s="194"/>
      <c r="L44" s="194" t="str">
        <f t="array" ref="L44">LEFT(K44,MIN(FIND({"A","B","C","D"},MID(K44,2,LEN(K44))&amp;"ABCD")))</f>
        <v/>
      </c>
      <c r="M44" s="194" t="str">
        <f t="array" ref="M44">SUBSTITUTE(K44,L44,"")</f>
        <v/>
      </c>
      <c r="N44" s="246" t="str">
        <f t="array" ref="N44">IF(K44="","",INDEX(plan!$A:$F,MATCH(A44&amp;K44,plan!$A$2:$A$19999&amp;plan!$L$2:$L$19999,0)+1,MATCH(plan!$F$1,plan!$A$1:$F$1,0)))</f>
        <v/>
      </c>
      <c r="O44" s="338" t="str">
        <f t="array" ref="O44">IF(K44="","",INDEX(plan!$A:$O,MATCH(A44&amp;K44,plan!$A$2:$A$19999&amp;plan!$L$2:$L$19999,0)+1,MATCH(plan!$O$1,plan!$A$1:$O$1,0)))</f>
        <v/>
      </c>
      <c r="P44" s="194"/>
      <c r="Q44" s="338" t="str">
        <f t="array" ref="Q44">IF(K44="","",IF(INDEX(plan!$A:$S,MATCH(A44&amp;K44,plan!$A$2:$A$19999&amp;plan!$L$2:$L$19999,0)+1,MATCH(plan!$S$1,plan!$A$1:$S$1,0))&gt;0,INDEX(plan!$A:$S,MATCH(A44&amp;K44,plan!$A$2:$A$19999&amp;plan!$L$2:$L$19999,0)+1,MATCH(plan!$S$1,plan!$A$1:$S$1,0)),""))</f>
        <v/>
      </c>
      <c r="R44" s="246" t="str">
        <f>IF(K44="","",IF(D44&lt;&gt;"黑",SUMIFS(plan!I:I,plan!A:A,喷水计划单汇总!A44,plan!L:L,喷水计划单汇总!K44,plan!H:H,"&lt;&gt;"&amp;"黑丝"),SUMIFS(plan!I:I,plan!A:A,喷水计划单汇总!A44,plan!L:L,喷水计划单汇总!K44,plan!H:H,"="&amp;"黑丝")))</f>
        <v/>
      </c>
      <c r="S44" s="194"/>
      <c r="T44" s="250">
        <f>SUMIFS(plan!W:W,plan!A:A,喷水计划单汇总!A44,plan!L:L,喷水计划单汇总!K44,plan!H:H,IF(喷水计划单汇总!D44="黑","黑丝",{"本白","漂白","灰色","黑色","亚白"}))</f>
        <v>0</v>
      </c>
      <c r="U44" s="250">
        <f>SUMIFS(喷水布库存!E:E,喷水布库存!B:B,喷水计划单汇总!A44,喷水布库存!O:O,喷水计划单汇总!D44,喷水布库存!L:L,喷水计划单汇总!C44)</f>
        <v>0</v>
      </c>
      <c r="Y44" s="250">
        <f>SUMIFS(plan!$Z:$Z,plan!$A:$A,喷水计划单汇总!A44,plan!$H:$H,IF(D44="黑","黑丝",{"本白","漂白","黑色","灰色","湖蓝"}),plan!$L:$L,喷水计划单汇总!K44)</f>
        <v>0</v>
      </c>
      <c r="Z44" s="250">
        <f>SUMIFS(plan!$AA:$AA,plan!$A:$A,喷水计划单汇总!A44,plan!$H:$H,IF(D44="黑","黑丝",{"本白","漂白","黑色","灰色","湖蓝"}),plan!$L:$L,喷水计划单汇总!K44)</f>
        <v>0</v>
      </c>
    </row>
    <row r="45" spans="1:26" ht="18" customHeight="1">
      <c r="A45" s="92" t="s">
        <v>1804</v>
      </c>
      <c r="B45" s="194" t="s">
        <v>1729</v>
      </c>
      <c r="C45" s="92" t="s">
        <v>2445</v>
      </c>
      <c r="D45" s="194" t="s">
        <v>1727</v>
      </c>
      <c r="E45" s="194" t="str">
        <f t="shared" si="4"/>
        <v>75</v>
      </c>
      <c r="F45" s="194" t="str">
        <f t="shared" si="5"/>
        <v>200</v>
      </c>
      <c r="G45" s="194">
        <f>VLOOKUP(A45,经纬!B:G,6,FALSE)</f>
        <v>62</v>
      </c>
      <c r="H45" s="194" t="str">
        <f>VLOOKUP(A45,经纬!B:F,5,FALSE)</f>
        <v>188</v>
      </c>
      <c r="I45" s="194">
        <f>VLOOKUP(A45&amp;D45&amp;C45,经纬!A:I,9,FALSE)</f>
        <v>4130</v>
      </c>
      <c r="J45" s="214">
        <f>VLOOKUP(A45,经纬!B:J,9,FALSE)</f>
        <v>11.417322834645669</v>
      </c>
      <c r="K45" s="194" t="s">
        <v>1816</v>
      </c>
      <c r="L45" s="194" t="str">
        <f t="array" ref="L45">LEFT(K45,MIN(FIND({"A","B","C","D"},MID(K45,2,LEN(K45))&amp;"ABCD")))</f>
        <v>A28</v>
      </c>
      <c r="M45" s="194" t="str">
        <f t="array" ref="M45">SUBSTITUTE(K45,L45,"")</f>
        <v>B528</v>
      </c>
      <c r="N45" s="246" t="str">
        <f t="array" ref="N45">IF(K45="","",INDEX(plan!$A:$F,MATCH(A45&amp;K45,plan!$A$2:$A$19999&amp;plan!$L$2:$L$19999,0)+1,MATCH(plan!$F$1,plan!$A$1:$F$1,0)))</f>
        <v>A</v>
      </c>
      <c r="O45" s="338">
        <f t="array" ref="O45">IF(K45="","",INDEX(plan!$A:$O,MATCH(A45&amp;K45,plan!$A$2:$A$19999&amp;plan!$L$2:$L$19999,0)+1,MATCH(plan!$O$1,plan!$A$1:$O$1,0)))</f>
        <v>43754</v>
      </c>
      <c r="P45" s="194"/>
      <c r="Q45" s="338" t="str">
        <f t="array" ref="Q45">IF(K45="","",IF(INDEX(plan!$A:$S,MATCH(A45&amp;K45,plan!$A$2:$A$19999&amp;plan!$L$2:$L$19999,0)+1,MATCH(plan!$S$1,plan!$A$1:$S$1,0))&gt;0,INDEX(plan!$A:$S,MATCH(A45&amp;K45,plan!$A$2:$A$19999&amp;plan!$L$2:$L$19999,0)+1,MATCH(plan!$S$1,plan!$A$1:$S$1,0)),""))</f>
        <v/>
      </c>
      <c r="R45" s="246">
        <f>IF(K45="","",IF(D45&lt;&gt;"黑",SUMIFS(plan!I:I,plan!A:A,喷水计划单汇总!A45,plan!L:L,喷水计划单汇总!K45,plan!H:H,"&lt;&gt;"&amp;"黑丝"),SUMIFS(plan!I:I,plan!A:A,喷水计划单汇总!A45,plan!L:L,喷水计划单汇总!K45,plan!H:H,"="&amp;"黑丝")))</f>
        <v>11000</v>
      </c>
      <c r="S45" s="194"/>
      <c r="T45" s="250">
        <f>SUMIFS(plan!W:W,plan!A:A,喷水计划单汇总!A45,plan!L:L,喷水计划单汇总!K45,plan!H:H,IF(喷水计划单汇总!D45="黑","黑丝",{"本白","漂白","灰色","黑色","亚白"}))</f>
        <v>11000</v>
      </c>
      <c r="U45" s="250">
        <f>SUMIFS(喷水布库存!E:E,喷水布库存!B:B,喷水计划单汇总!A45,喷水布库存!O:O,喷水计划单汇总!D45,喷水布库存!L:L,喷水计划单汇总!C45)</f>
        <v>0</v>
      </c>
      <c r="Y45" s="250">
        <f>SUMIFS(plan!$Z:$Z,plan!$A:$A,喷水计划单汇总!A45,plan!$H:$H,IF(D45="黑","黑丝",{"本白","漂白","黑色","灰色","湖蓝"}),plan!$L:$L,喷水计划单汇总!K45)</f>
        <v>386.15499999999997</v>
      </c>
      <c r="Z45" s="250">
        <f>SUMIFS(plan!$AA:$AA,plan!$A:$A,喷水计划单汇总!A45,plan!$H:$H,IF(D45="黑","黑丝",{"本白","漂白","黑色","灰色","湖蓝"}),plan!$L:$L,喷水计划单汇总!K45)</f>
        <v>566.55293088363953</v>
      </c>
    </row>
    <row r="46" spans="1:26" ht="18" customHeight="1">
      <c r="A46" s="92" t="s">
        <v>1744</v>
      </c>
      <c r="B46" s="194" t="s">
        <v>1729</v>
      </c>
      <c r="C46" s="92" t="s">
        <v>1689</v>
      </c>
      <c r="D46" s="194" t="s">
        <v>1675</v>
      </c>
      <c r="E46" s="194" t="str">
        <f t="shared" si="4"/>
        <v>75</v>
      </c>
      <c r="F46" s="194" t="str">
        <f t="shared" si="5"/>
        <v>200</v>
      </c>
      <c r="G46" s="194">
        <f>VLOOKUP(A46,经纬!B:G,6,FALSE)</f>
        <v>62</v>
      </c>
      <c r="H46" s="194" t="str">
        <f>VLOOKUP(A46,经纬!B:F,5,FALSE)</f>
        <v>190.5</v>
      </c>
      <c r="I46" s="194">
        <f>VLOOKUP(A46&amp;D46&amp;C46,经纬!A:I,9,FALSE)</f>
        <v>4040</v>
      </c>
      <c r="J46" s="214">
        <f>VLOOKUP(A46,经纬!B:J,9,FALSE)</f>
        <v>11.417322834645669</v>
      </c>
      <c r="K46" s="194"/>
      <c r="L46" s="194" t="str">
        <f t="array" ref="L46">LEFT(K46,MIN(FIND({"A","B","C","D"},MID(K46,2,LEN(K46))&amp;"ABCD")))</f>
        <v/>
      </c>
      <c r="M46" s="194" t="str">
        <f t="array" ref="M46">SUBSTITUTE(K46,L46,"")</f>
        <v/>
      </c>
      <c r="N46" s="246" t="str">
        <f t="array" ref="N46">IF(K46="","",INDEX(plan!$A:$F,MATCH(A46&amp;K46,plan!$A$2:$A$19999&amp;plan!$L$2:$L$19999,0)+1,MATCH(plan!$F$1,plan!$A$1:$F$1,0)))</f>
        <v/>
      </c>
      <c r="O46" s="338" t="str">
        <f t="array" ref="O46">IF(K46="","",INDEX(plan!$A:$O,MATCH(A46&amp;K46,plan!$A$2:$A$19999&amp;plan!$L$2:$L$19999,0)+1,MATCH(plan!$O$1,plan!$A$1:$O$1,0)))</f>
        <v/>
      </c>
      <c r="P46" s="194"/>
      <c r="Q46" s="338" t="str">
        <f t="array" ref="Q46">IF(K46="","",IF(INDEX(plan!$A:$S,MATCH(A46&amp;K46,plan!$A$2:$A$19999&amp;plan!$L$2:$L$19999,0)+1,MATCH(plan!$S$1,plan!$A$1:$S$1,0))&gt;0,INDEX(plan!$A:$S,MATCH(A46&amp;K46,plan!$A$2:$A$19999&amp;plan!$L$2:$L$19999,0)+1,MATCH(plan!$S$1,plan!$A$1:$S$1,0)),""))</f>
        <v/>
      </c>
      <c r="R46" s="246" t="str">
        <f>IF(K46="","",IF(D46&lt;&gt;"黑",SUMIFS(plan!I:I,plan!A:A,喷水计划单汇总!A46,plan!L:L,喷水计划单汇总!K46,plan!H:H,"&lt;&gt;"&amp;"黑丝"),SUMIFS(plan!I:I,plan!A:A,喷水计划单汇总!A46,plan!L:L,喷水计划单汇总!K46,plan!H:H,"="&amp;"黑丝")))</f>
        <v/>
      </c>
      <c r="S46" s="194"/>
      <c r="T46" s="250">
        <f>SUMIFS(plan!W:W,plan!A:A,喷水计划单汇总!A46,plan!L:L,喷水计划单汇总!K46,plan!H:H,IF(喷水计划单汇总!D46="黑","黑丝",{"本白","漂白","灰色","黑色","亚白"}))</f>
        <v>0</v>
      </c>
      <c r="U46" s="250">
        <f>SUMIFS(喷水布库存!E:E,喷水布库存!B:B,喷水计划单汇总!A46,喷水布库存!O:O,喷水计划单汇总!D46,喷水布库存!L:L,喷水计划单汇总!C46)</f>
        <v>0</v>
      </c>
      <c r="Y46" s="250">
        <f>SUMIFS(plan!$Z:$Z,plan!$A:$A,喷水计划单汇总!A46,plan!$H:$H,IF(D46="黑","黑丝",{"本白","漂白","黑色","灰色","湖蓝"}),plan!$L:$L,喷水计划单汇总!K46)</f>
        <v>0</v>
      </c>
      <c r="Z46" s="250">
        <f>SUMIFS(plan!$AA:$AA,plan!$A:$A,喷水计划单汇总!A46,plan!$H:$H,IF(D46="黑","黑丝",{"本白","漂白","黑色","灰色","湖蓝"}),plan!$L:$L,喷水计划单汇总!K46)</f>
        <v>0</v>
      </c>
    </row>
    <row r="47" spans="1:26" ht="18" customHeight="1">
      <c r="A47" s="92" t="s">
        <v>1744</v>
      </c>
      <c r="B47" s="194" t="s">
        <v>1729</v>
      </c>
      <c r="C47" s="92" t="s">
        <v>2445</v>
      </c>
      <c r="D47" s="194" t="s">
        <v>1675</v>
      </c>
      <c r="E47" s="194" t="str">
        <f t="shared" si="4"/>
        <v>75</v>
      </c>
      <c r="F47" s="194" t="str">
        <f t="shared" si="5"/>
        <v>200</v>
      </c>
      <c r="G47" s="194">
        <f>VLOOKUP(A47,经纬!B:G,6,FALSE)</f>
        <v>62</v>
      </c>
      <c r="H47" s="194" t="str">
        <f>VLOOKUP(A47,经纬!B:F,5,FALSE)</f>
        <v>190.5</v>
      </c>
      <c r="I47" s="194">
        <f>VLOOKUP(A47&amp;D47&amp;C47,经纬!A:I,9,FALSE)</f>
        <v>4040</v>
      </c>
      <c r="J47" s="214">
        <f>VLOOKUP(A47,经纬!B:J,9,FALSE)</f>
        <v>11.417322834645669</v>
      </c>
      <c r="K47" s="194" t="s">
        <v>1816</v>
      </c>
      <c r="L47" s="194" t="str">
        <f t="array" ref="L47">LEFT(K47,MIN(FIND({"A","B","C","D"},MID(K47,2,LEN(K47))&amp;"ABCD")))</f>
        <v>A28</v>
      </c>
      <c r="M47" s="194" t="str">
        <f t="array" ref="M47">SUBSTITUTE(K47,L47,"")</f>
        <v>B528</v>
      </c>
      <c r="N47" s="246" t="str">
        <f t="array" ref="N47">IF(K47="","",INDEX(plan!$A:$F,MATCH(A47&amp;K47,plan!$A$2:$A$19999&amp;plan!$L$2:$L$19999,0)+1,MATCH(plan!$F$1,plan!$A$1:$F$1,0)))</f>
        <v>A</v>
      </c>
      <c r="O47" s="338">
        <f t="array" ref="O47">IF(K47="","",INDEX(plan!$A:$O,MATCH(A47&amp;K47,plan!$A$2:$A$19999&amp;plan!$L$2:$L$19999,0)+1,MATCH(plan!$O$1,plan!$A$1:$O$1,0)))</f>
        <v>43754</v>
      </c>
      <c r="P47" s="194"/>
      <c r="Q47" s="338" t="str">
        <f t="array" ref="Q47">IF(K47="","",IF(INDEX(plan!$A:$S,MATCH(A47&amp;K47,plan!$A$2:$A$19999&amp;plan!$L$2:$L$19999,0)+1,MATCH(plan!$S$1,plan!$A$1:$S$1,0))&gt;0,INDEX(plan!$A:$S,MATCH(A47&amp;K47,plan!$A$2:$A$19999&amp;plan!$L$2:$L$19999,0)+1,MATCH(plan!$S$1,plan!$A$1:$S$1,0)),""))</f>
        <v/>
      </c>
      <c r="R47" s="246">
        <f>IF(K47="","",IF(D47&lt;&gt;"黑",SUMIFS(plan!I:I,plan!A:A,喷水计划单汇总!A47,plan!L:L,喷水计划单汇总!K47,plan!H:H,"&lt;&gt;"&amp;"黑丝"),SUMIFS(plan!I:I,plan!A:A,喷水计划单汇总!A47,plan!L:L,喷水计划单汇总!K47,plan!H:H,"="&amp;"黑丝")))</f>
        <v>6000</v>
      </c>
      <c r="S47" s="194"/>
      <c r="T47" s="250">
        <f>SUMIFS(plan!W:W,plan!A:A,喷水计划单汇总!A47,plan!L:L,喷水计划单汇总!K47,plan!H:H,IF(喷水计划单汇总!D47="黑","黑丝",{"本白","漂白","灰色","黑色","亚白"}))</f>
        <v>6000</v>
      </c>
      <c r="U47" s="250">
        <f>SUMIFS(喷水布库存!E:E,喷水布库存!B:B,喷水计划单汇总!A47,喷水布库存!O:O,喷水计划单汇总!D47,喷水布库存!L:L,喷水计划单汇总!C47)</f>
        <v>0</v>
      </c>
      <c r="Y47" s="250">
        <f>SUMIFS(plan!$Z:$Z,plan!$A:$A,喷水计划单汇总!A47,plan!$H:$H,IF(D47="黑","黑丝",{"本白","漂白","黑色","灰色","湖蓝"}),plan!$L:$L,喷水计划单汇总!K47)</f>
        <v>206.03999999999996</v>
      </c>
      <c r="Z47" s="250">
        <f>SUMIFS(plan!$AA:$AA,plan!$A:$A,喷水计划单汇总!A47,plan!$H:$H,IF(D47="黑","黑丝",{"本白","漂白","黑色","灰色","湖蓝"}),plan!$L:$L,喷水计划单汇总!K47)</f>
        <v>291.25984251968498</v>
      </c>
    </row>
    <row r="48" spans="1:26" ht="18" customHeight="1">
      <c r="A48" s="92" t="s">
        <v>1744</v>
      </c>
      <c r="B48" s="194" t="s">
        <v>1729</v>
      </c>
      <c r="C48" s="92" t="s">
        <v>1689</v>
      </c>
      <c r="D48" s="194" t="s">
        <v>1727</v>
      </c>
      <c r="E48" s="194" t="str">
        <f t="shared" si="4"/>
        <v>75</v>
      </c>
      <c r="F48" s="194" t="str">
        <f t="shared" si="5"/>
        <v>200</v>
      </c>
      <c r="G48" s="194">
        <f>VLOOKUP(A48,经纬!B:G,6,FALSE)</f>
        <v>62</v>
      </c>
      <c r="H48" s="194" t="str">
        <f>VLOOKUP(A48,经纬!B:F,5,FALSE)</f>
        <v>190.5</v>
      </c>
      <c r="I48" s="194">
        <f>VLOOKUP(A48&amp;D48&amp;C48,经纬!A:I,9,FALSE)</f>
        <v>4130</v>
      </c>
      <c r="J48" s="214">
        <f>VLOOKUP(A48,经纬!B:J,9,FALSE)</f>
        <v>11.417322834645669</v>
      </c>
      <c r="K48" s="194"/>
      <c r="L48" s="194" t="str">
        <f t="array" ref="L48">LEFT(K48,MIN(FIND({"A","B","C","D"},MID(K48,2,LEN(K48))&amp;"ABCD")))</f>
        <v/>
      </c>
      <c r="M48" s="194" t="str">
        <f t="array" ref="M48">SUBSTITUTE(K48,L48,"")</f>
        <v/>
      </c>
      <c r="N48" s="246" t="str">
        <f t="array" ref="N48">IF(K48="","",INDEX(plan!$A:$F,MATCH(A48&amp;K48,plan!$A$2:$A$19999&amp;plan!$L$2:$L$19999,0)+1,MATCH(plan!$F$1,plan!$A$1:$F$1,0)))</f>
        <v/>
      </c>
      <c r="O48" s="338" t="str">
        <f t="array" ref="O48">IF(K48="","",INDEX(plan!$A:$O,MATCH(A48&amp;K48,plan!$A$2:$A$19999&amp;plan!$L$2:$L$19999,0)+1,MATCH(plan!$O$1,plan!$A$1:$O$1,0)))</f>
        <v/>
      </c>
      <c r="P48" s="194"/>
      <c r="Q48" s="338" t="str">
        <f t="array" ref="Q48">IF(K48="","",IF(INDEX(plan!$A:$S,MATCH(A48&amp;K48,plan!$A$2:$A$19999&amp;plan!$L$2:$L$19999,0)+1,MATCH(plan!$S$1,plan!$A$1:$S$1,0))&gt;0,INDEX(plan!$A:$S,MATCH(A48&amp;K48,plan!$A$2:$A$19999&amp;plan!$L$2:$L$19999,0)+1,MATCH(plan!$S$1,plan!$A$1:$S$1,0)),""))</f>
        <v/>
      </c>
      <c r="R48" s="246" t="str">
        <f>IF(K48="","",IF(D48&lt;&gt;"黑",SUMIFS(plan!I:I,plan!A:A,喷水计划单汇总!A48,plan!L:L,喷水计划单汇总!K48,plan!H:H,"&lt;&gt;"&amp;"黑丝"),SUMIFS(plan!I:I,plan!A:A,喷水计划单汇总!A48,plan!L:L,喷水计划单汇总!K48,plan!H:H,"="&amp;"黑丝")))</f>
        <v/>
      </c>
      <c r="S48" s="194"/>
      <c r="T48" s="250">
        <f>SUMIFS(plan!W:W,plan!A:A,喷水计划单汇总!A48,plan!L:L,喷水计划单汇总!K48,plan!H:H,IF(喷水计划单汇总!D48="黑","黑丝",{"本白","漂白","灰色","黑色","亚白"}))</f>
        <v>0</v>
      </c>
      <c r="U48" s="250">
        <f>SUMIFS(喷水布库存!E:E,喷水布库存!B:B,喷水计划单汇总!A48,喷水布库存!O:O,喷水计划单汇总!D48,喷水布库存!L:L,喷水计划单汇总!C48)</f>
        <v>0</v>
      </c>
      <c r="Y48" s="250">
        <f>SUMIFS(plan!$Z:$Z,plan!$A:$A,喷水计划单汇总!A48,plan!$H:$H,IF(D48="黑","黑丝",{"本白","漂白","黑色","灰色","湖蓝"}),plan!$L:$L,喷水计划单汇总!K48)</f>
        <v>0</v>
      </c>
      <c r="Z48" s="250">
        <f>SUMIFS(plan!$AA:$AA,plan!$A:$A,喷水计划单汇总!A48,plan!$H:$H,IF(D48="黑","黑丝",{"本白","漂白","黑色","灰色","湖蓝"}),plan!$L:$L,喷水计划单汇总!K48)</f>
        <v>0</v>
      </c>
    </row>
    <row r="49" spans="1:26" ht="18" customHeight="1">
      <c r="A49" s="92" t="s">
        <v>1745</v>
      </c>
      <c r="B49" s="194" t="s">
        <v>1730</v>
      </c>
      <c r="C49" s="92" t="s">
        <v>1689</v>
      </c>
      <c r="D49" s="194" t="s">
        <v>1675</v>
      </c>
      <c r="E49" s="194" t="str">
        <f t="shared" si="4"/>
        <v>75</v>
      </c>
      <c r="F49" s="194" t="str">
        <f t="shared" si="5"/>
        <v>300</v>
      </c>
      <c r="G49" s="194">
        <f>VLOOKUP(A49,经纬!B:G,6,FALSE)</f>
        <v>70</v>
      </c>
      <c r="H49" s="194" t="str">
        <f>VLOOKUP(A49,经纬!B:F,5,FALSE)</f>
        <v>190.5</v>
      </c>
      <c r="I49" s="194">
        <f>VLOOKUP(A49&amp;D49&amp;C49,经纬!A:I,9,FALSE)</f>
        <v>4040</v>
      </c>
      <c r="J49" s="214">
        <f>VLOOKUP(A49,经纬!B:J,9,FALSE)</f>
        <v>9.0551181102362204</v>
      </c>
      <c r="K49" s="194"/>
      <c r="L49" s="194" t="str">
        <f t="array" ref="L49">LEFT(K49,MIN(FIND({"A","B","C","D"},MID(K49,2,LEN(K49))&amp;"ABCD")))</f>
        <v/>
      </c>
      <c r="M49" s="194" t="str">
        <f t="array" ref="M49">SUBSTITUTE(K49,L49,"")</f>
        <v/>
      </c>
      <c r="N49" s="246" t="str">
        <f t="array" ref="N49">IF(K49="","",INDEX(plan!$A:$F,MATCH(A49&amp;K49,plan!$A$2:$A$19999&amp;plan!$L$2:$L$19999,0)+1,MATCH(plan!$F$1,plan!$A$1:$F$1,0)))</f>
        <v/>
      </c>
      <c r="O49" s="338" t="str">
        <f t="array" ref="O49">IF(K49="","",INDEX(plan!$A:$O,MATCH(A49&amp;K49,plan!$A$2:$A$19999&amp;plan!$L$2:$L$19999,0)+1,MATCH(plan!$O$1,plan!$A$1:$O$1,0)))</f>
        <v/>
      </c>
      <c r="P49" s="194"/>
      <c r="Q49" s="338" t="str">
        <f t="array" ref="Q49">IF(K49="","",IF(INDEX(plan!$A:$S,MATCH(A49&amp;K49,plan!$A$2:$A$19999&amp;plan!$L$2:$L$19999,0)+1,MATCH(plan!$S$1,plan!$A$1:$S$1,0))&gt;0,INDEX(plan!$A:$S,MATCH(A49&amp;K49,plan!$A$2:$A$19999&amp;plan!$L$2:$L$19999,0)+1,MATCH(plan!$S$1,plan!$A$1:$S$1,0)),""))</f>
        <v/>
      </c>
      <c r="R49" s="246" t="str">
        <f>IF(K49="","",IF(D49&lt;&gt;"黑",SUMIFS(plan!I:I,plan!A:A,喷水计划单汇总!A49,plan!L:L,喷水计划单汇总!K49,plan!H:H,"&lt;&gt;"&amp;"黑丝"),SUMIFS(plan!I:I,plan!A:A,喷水计划单汇总!A49,plan!L:L,喷水计划单汇总!K49,plan!H:H,"="&amp;"黑丝")))</f>
        <v/>
      </c>
      <c r="S49" s="194"/>
      <c r="T49" s="250">
        <f>SUMIFS(plan!W:W,plan!A:A,喷水计划单汇总!A49,plan!L:L,喷水计划单汇总!K49,plan!H:H,IF(喷水计划单汇总!D49="黑","黑丝",{"本白","漂白","灰色","黑色","亚白"}))</f>
        <v>0</v>
      </c>
      <c r="U49" s="250">
        <f>SUMIFS(喷水布库存!E:E,喷水布库存!B:B,喷水计划单汇总!A49,喷水布库存!O:O,喷水计划单汇总!D49,喷水布库存!L:L,喷水计划单汇总!C49)</f>
        <v>0</v>
      </c>
      <c r="Y49" s="250">
        <f>SUMIFS(plan!$Z:$Z,plan!$A:$A,喷水计划单汇总!A49,plan!$H:$H,IF(D49="黑","黑丝",{"本白","漂白","黑色","灰色","湖蓝"}),plan!$L:$L,喷水计划单汇总!K49)</f>
        <v>0</v>
      </c>
      <c r="Z49" s="250">
        <f>SUMIFS(plan!$AA:$AA,plan!$A:$A,喷水计划单汇总!A49,plan!$H:$H,IF(D49="黑","黑丝",{"本白","漂白","黑色","灰色","湖蓝"}),plan!$L:$L,喷水计划单汇总!K49)</f>
        <v>0</v>
      </c>
    </row>
    <row r="50" spans="1:26" ht="18" customHeight="1">
      <c r="A50" s="92" t="s">
        <v>1745</v>
      </c>
      <c r="B50" s="194" t="s">
        <v>1730</v>
      </c>
      <c r="C50" s="92" t="s">
        <v>1689</v>
      </c>
      <c r="D50" s="194" t="s">
        <v>1727</v>
      </c>
      <c r="E50" s="194" t="str">
        <f t="shared" si="4"/>
        <v>75</v>
      </c>
      <c r="F50" s="194" t="str">
        <f t="shared" si="5"/>
        <v>300</v>
      </c>
      <c r="G50" s="194">
        <f>VLOOKUP(A50,经纬!B:G,6,FALSE)</f>
        <v>70</v>
      </c>
      <c r="H50" s="194" t="str">
        <f>VLOOKUP(A50,经纬!B:F,5,FALSE)</f>
        <v>190.5</v>
      </c>
      <c r="I50" s="194">
        <f>VLOOKUP(A50&amp;D50&amp;C50,经纬!A:I,9,FALSE)</f>
        <v>4040</v>
      </c>
      <c r="J50" s="214">
        <f>VLOOKUP(A50,经纬!B:J,9,FALSE)</f>
        <v>9.0551181102362204</v>
      </c>
      <c r="K50" s="194"/>
      <c r="L50" s="194" t="str">
        <f t="array" ref="L50">LEFT(K50,MIN(FIND({"A","B","C","D"},MID(K50,2,LEN(K50))&amp;"ABCD")))</f>
        <v/>
      </c>
      <c r="M50" s="194" t="str">
        <f t="array" ref="M50">SUBSTITUTE(K50,L50,"")</f>
        <v/>
      </c>
      <c r="N50" s="246" t="str">
        <f t="array" ref="N50">IF(K50="","",INDEX(plan!$A:$F,MATCH(A50&amp;K50,plan!$A$2:$A$19999&amp;plan!$L$2:$L$19999,0)+1,MATCH(plan!$F$1,plan!$A$1:$F$1,0)))</f>
        <v/>
      </c>
      <c r="O50" s="338" t="str">
        <f t="array" ref="O50">IF(K50="","",INDEX(plan!$A:$O,MATCH(A50&amp;K50,plan!$A$2:$A$19999&amp;plan!$L$2:$L$19999,0)+1,MATCH(plan!$O$1,plan!$A$1:$O$1,0)))</f>
        <v/>
      </c>
      <c r="P50" s="194"/>
      <c r="Q50" s="338" t="str">
        <f t="array" ref="Q50">IF(K50="","",IF(INDEX(plan!$A:$S,MATCH(A50&amp;K50,plan!$A$2:$A$19999&amp;plan!$L$2:$L$19999,0)+1,MATCH(plan!$S$1,plan!$A$1:$S$1,0))&gt;0,INDEX(plan!$A:$S,MATCH(A50&amp;K50,plan!$A$2:$A$19999&amp;plan!$L$2:$L$19999,0)+1,MATCH(plan!$S$1,plan!$A$1:$S$1,0)),""))</f>
        <v/>
      </c>
      <c r="R50" s="246" t="str">
        <f>IF(K50="","",IF(D50&lt;&gt;"黑",SUMIFS(plan!I:I,plan!A:A,喷水计划单汇总!A50,plan!L:L,喷水计划单汇总!K50,plan!H:H,"&lt;&gt;"&amp;"黑丝"),SUMIFS(plan!I:I,plan!A:A,喷水计划单汇总!A50,plan!L:L,喷水计划单汇总!K50,plan!H:H,"="&amp;"黑丝")))</f>
        <v/>
      </c>
      <c r="S50" s="194"/>
      <c r="T50" s="250">
        <f>SUMIFS(plan!W:W,plan!A:A,喷水计划单汇总!A50,plan!L:L,喷水计划单汇总!K50,plan!H:H,IF(喷水计划单汇总!D50="黑","黑丝",{"本白","漂白","灰色","黑色","亚白"}))</f>
        <v>0</v>
      </c>
      <c r="U50" s="250">
        <f>SUMIFS(喷水布库存!E:E,喷水布库存!B:B,喷水计划单汇总!A50,喷水布库存!O:O,喷水计划单汇总!D50,喷水布库存!L:L,喷水计划单汇总!C50)</f>
        <v>0</v>
      </c>
      <c r="Y50" s="250">
        <f>SUMIFS(plan!$Z:$Z,plan!$A:$A,喷水计划单汇总!A50,plan!$H:$H,IF(D50="黑","黑丝",{"本白","漂白","黑色","灰色","湖蓝"}),plan!$L:$L,喷水计划单汇总!K50)</f>
        <v>0</v>
      </c>
      <c r="Z50" s="250">
        <f>SUMIFS(plan!$AA:$AA,plan!$A:$A,喷水计划单汇总!A50,plan!$H:$H,IF(D50="黑","黑丝",{"本白","漂白","黑色","灰色","湖蓝"}),plan!$L:$L,喷水计划单汇总!K50)</f>
        <v>0</v>
      </c>
    </row>
    <row r="51" spans="1:26" ht="18" customHeight="1">
      <c r="A51" s="92" t="s">
        <v>1746</v>
      </c>
      <c r="B51" s="194" t="s">
        <v>1731</v>
      </c>
      <c r="C51" s="92" t="s">
        <v>1689</v>
      </c>
      <c r="D51" s="194" t="s">
        <v>1675</v>
      </c>
      <c r="E51" s="194" t="str">
        <f t="shared" si="4"/>
        <v>75</v>
      </c>
      <c r="F51" s="194" t="str">
        <f t="shared" si="5"/>
        <v>75</v>
      </c>
      <c r="G51" s="194">
        <f>VLOOKUP(A51,经纬!B:G,6,FALSE)</f>
        <v>43</v>
      </c>
      <c r="H51" s="194" t="str">
        <f>VLOOKUP(A51,经纬!B:F,5,FALSE)</f>
        <v>190.5</v>
      </c>
      <c r="I51" s="194">
        <f>VLOOKUP(A51&amp;D51&amp;C51,经纬!A:I,9,FALSE)</f>
        <v>4040</v>
      </c>
      <c r="J51" s="214">
        <f>VLOOKUP(A51,经纬!B:J,9,FALSE)</f>
        <v>15.354330708661417</v>
      </c>
      <c r="K51" s="194" t="s">
        <v>1761</v>
      </c>
      <c r="L51" s="194" t="str">
        <f t="array" ref="L51">LEFT(K51,MIN(FIND({"A","B","C","D"},MID(K51,2,LEN(K51))&amp;"ABCD")))</f>
        <v>A94</v>
      </c>
      <c r="M51" s="194" t="str">
        <f t="array" ref="M51">SUBSTITUTE(K51,L51,"")</f>
        <v>B536</v>
      </c>
      <c r="N51" s="246" t="str">
        <f t="array" ref="N51">IF(K51="","",INDEX(plan!$A:$F,MATCH(A51&amp;K51,plan!$A$2:$A$19999&amp;plan!$L$2:$L$19999,0)+1,MATCH(plan!$F$1,plan!$A$1:$F$1,0)))</f>
        <v>AAA</v>
      </c>
      <c r="O51" s="338">
        <f t="array" ref="O51">IF(K51="","",INDEX(plan!$A:$O,MATCH(A51&amp;K51,plan!$A$2:$A$19999&amp;plan!$L$2:$L$19999,0)+1,MATCH(plan!$O$1,plan!$A$1:$O$1,0)))</f>
        <v>43759</v>
      </c>
      <c r="P51" s="194"/>
      <c r="Q51" s="338">
        <f t="array" ref="Q51">IF(K51="","",IF(INDEX(plan!$A:$S,MATCH(A51&amp;K51,plan!$A$2:$A$19999&amp;plan!$L$2:$L$19999,0)+1,MATCH(plan!$S$1,plan!$A$1:$S$1,0))&gt;0,INDEX(plan!$A:$S,MATCH(A51&amp;K51,plan!$A$2:$A$19999&amp;plan!$L$2:$L$19999,0)+1,MATCH(plan!$S$1,plan!$A$1:$S$1,0)),""))</f>
        <v>43774</v>
      </c>
      <c r="R51" s="246">
        <f>IF(K51="","",IF(D51&lt;&gt;"黑",SUMIFS(plan!I:I,plan!A:A,喷水计划单汇总!A51,plan!L:L,喷水计划单汇总!K51,plan!H:H,"&lt;&gt;"&amp;"黑丝"),SUMIFS(plan!I:I,plan!A:A,喷水计划单汇总!A51,plan!L:L,喷水计划单汇总!K51,plan!H:H,"="&amp;"黑丝")))</f>
        <v>15000</v>
      </c>
      <c r="S51" s="194"/>
      <c r="T51" s="250">
        <f>SUMIFS(plan!W:W,plan!A:A,喷水计划单汇总!A51,plan!L:L,喷水计划单汇总!K51,plan!H:H,IF(喷水计划单汇总!D51="黑","黑丝",{"本白","漂白","灰色","黑色","亚白"}))</f>
        <v>0</v>
      </c>
      <c r="U51" s="250">
        <f>SUMIFS(喷水布库存!E:E,喷水布库存!B:B,喷水计划单汇总!A51,喷水布库存!O:O,喷水计划单汇总!D51,喷水布库存!L:L,喷水计划单汇总!C51)</f>
        <v>413859</v>
      </c>
      <c r="Y51" s="250">
        <f>SUMIFS(plan!$Z:$Z,plan!$A:$A,喷水计划单汇总!A51,plan!$H:$H,IF(D51="黑","黑丝",{"本白","漂白","黑色","灰色","湖蓝"}),plan!$L:$L,喷水计划单汇总!K51)</f>
        <v>0</v>
      </c>
      <c r="Z51" s="250">
        <f>SUMIFS(plan!$AA:$AA,plan!$A:$A,喷水计划单汇总!A51,plan!$H:$H,IF(D51="黑","黑丝",{"本白","漂白","黑色","灰色","湖蓝"}),plan!$L:$L,喷水计划单汇总!K51)</f>
        <v>0</v>
      </c>
    </row>
    <row r="52" spans="1:26" s="250" customFormat="1" ht="18" customHeight="1">
      <c r="A52" s="92" t="s">
        <v>1746</v>
      </c>
      <c r="B52" s="246" t="s">
        <v>1731</v>
      </c>
      <c r="C52" s="92" t="s">
        <v>1689</v>
      </c>
      <c r="D52" s="246" t="s">
        <v>1616</v>
      </c>
      <c r="E52" s="246" t="str">
        <f t="shared" ref="E52" si="8">LEFT(B52,FIND("*",B52)-1)</f>
        <v>75</v>
      </c>
      <c r="F52" s="246" t="str">
        <f t="shared" ref="F52" si="9">RIGHT(B52,LEN(B52)-FIND("*",B52))</f>
        <v>75</v>
      </c>
      <c r="G52" s="246">
        <f>VLOOKUP(A52,经纬!B:G,6,FALSE)</f>
        <v>43</v>
      </c>
      <c r="H52" s="246" t="str">
        <f>VLOOKUP(A52,经纬!B:F,5,FALSE)</f>
        <v>190.5</v>
      </c>
      <c r="I52" s="246">
        <f>VLOOKUP(A52&amp;D52&amp;C52,经纬!A:I,9,FALSE)</f>
        <v>4040</v>
      </c>
      <c r="J52" s="214">
        <f>VLOOKUP(A52,经纬!B:J,9,FALSE)</f>
        <v>15.354330708661417</v>
      </c>
      <c r="K52" s="246"/>
      <c r="L52" s="246" t="str">
        <f t="array" ref="L52">LEFT(K52,MIN(FIND({"A","B","C","D"},MID(K52,2,LEN(K52))&amp;"ABCD")))</f>
        <v/>
      </c>
      <c r="M52" s="246" t="str">
        <f t="array" ref="M52">SUBSTITUTE(K52,L52,"")</f>
        <v/>
      </c>
      <c r="N52" s="246" t="str">
        <f t="array" ref="N52">IF(K52="","",INDEX(plan!$A:$F,MATCH(A52&amp;K52,plan!$A$2:$A$19999&amp;plan!$L$2:$L$19999,0)+1,MATCH(plan!$F$1,plan!$A$1:$F$1,0)))</f>
        <v/>
      </c>
      <c r="O52" s="338" t="str">
        <f t="array" ref="O52">IF(K52="","",INDEX(plan!$A:$O,MATCH(A52&amp;K52,plan!$A$2:$A$19999&amp;plan!$L$2:$L$19999,0)+1,MATCH(plan!$O$1,plan!$A$1:$O$1,0)))</f>
        <v/>
      </c>
      <c r="P52" s="246"/>
      <c r="Q52" s="338" t="str">
        <f t="array" ref="Q52">IF(K52="","",IF(INDEX(plan!$A:$S,MATCH(A52&amp;K52,plan!$A$2:$A$19999&amp;plan!$L$2:$L$19999,0)+1,MATCH(plan!$S$1,plan!$A$1:$S$1,0))&gt;0,INDEX(plan!$A:$S,MATCH(A52&amp;K52,plan!$A$2:$A$19999&amp;plan!$L$2:$L$19999,0)+1,MATCH(plan!$S$1,plan!$A$1:$S$1,0)),""))</f>
        <v/>
      </c>
      <c r="R52" s="246" t="str">
        <f>IF(K52="","",IF(D52&lt;&gt;"黑",SUMIFS(plan!I:I,plan!A:A,喷水计划单汇总!A52,plan!L:L,喷水计划单汇总!K52,plan!H:H,"&lt;&gt;"&amp;"黑丝"),SUMIFS(plan!I:I,plan!A:A,喷水计划单汇总!A52,plan!L:L,喷水计划单汇总!K52,plan!H:H,"="&amp;"黑丝")))</f>
        <v/>
      </c>
      <c r="S52" s="246"/>
      <c r="T52" s="250">
        <f>SUMIFS(plan!W:W,plan!A:A,喷水计划单汇总!A52,plan!L:L,喷水计划单汇总!K52,plan!H:H,IF(喷水计划单汇总!D52="黑","黑丝",{"本白","漂白","灰色","黑色","亚白"}))</f>
        <v>0</v>
      </c>
      <c r="U52" s="250">
        <f>SUMIFS(喷水布库存!E:E,喷水布库存!B:B,喷水计划单汇总!A52,喷水布库存!O:O,喷水计划单汇总!D52,喷水布库存!L:L,喷水计划单汇总!C52)</f>
        <v>413859</v>
      </c>
      <c r="Y52" s="250">
        <f>SUMIFS(plan!$Z:$Z,plan!$A:$A,喷水计划单汇总!A52,plan!$H:$H,IF(D52="黑","黑丝",{"本白","漂白","黑色","灰色","湖蓝"}),plan!$L:$L,喷水计划单汇总!K52)</f>
        <v>0</v>
      </c>
      <c r="Z52" s="250">
        <f>SUMIFS(plan!$AA:$AA,plan!$A:$A,喷水计划单汇总!A52,plan!$H:$H,IF(D52="黑","黑丝",{"本白","漂白","黑色","灰色","湖蓝"}),plan!$L:$L,喷水计划单汇总!K52)</f>
        <v>0</v>
      </c>
    </row>
    <row r="53" spans="1:26" ht="18" customHeight="1">
      <c r="A53" s="92" t="s">
        <v>1746</v>
      </c>
      <c r="B53" s="194" t="s">
        <v>1731</v>
      </c>
      <c r="C53" s="92" t="s">
        <v>1689</v>
      </c>
      <c r="D53" s="194" t="s">
        <v>1727</v>
      </c>
      <c r="E53" s="194" t="str">
        <f t="shared" si="4"/>
        <v>75</v>
      </c>
      <c r="F53" s="194" t="str">
        <f t="shared" si="5"/>
        <v>75</v>
      </c>
      <c r="G53" s="194">
        <f>VLOOKUP(A53,经纬!B:G,6,FALSE)</f>
        <v>43</v>
      </c>
      <c r="H53" s="194" t="str">
        <f>VLOOKUP(A53,经纬!B:F,5,FALSE)</f>
        <v>190.5</v>
      </c>
      <c r="I53" s="194">
        <f>VLOOKUP(A53&amp;D53&amp;C53,经纬!A:I,9,FALSE)</f>
        <v>4040</v>
      </c>
      <c r="J53" s="214">
        <f>VLOOKUP(A53,经纬!B:J,9,FALSE)</f>
        <v>15.354330708661417</v>
      </c>
      <c r="K53" s="194" t="s">
        <v>2456</v>
      </c>
      <c r="L53" s="194" t="str">
        <f t="array" ref="L53">LEFT(K53,MIN(FIND({"A","B","C","D"},MID(K53,2,LEN(K53))&amp;"ABCD")))</f>
        <v>A70</v>
      </c>
      <c r="M53" s="194" t="str">
        <f t="array" ref="M53">SUBSTITUTE(K53,L53,"")</f>
        <v>C406</v>
      </c>
      <c r="N53" s="246" t="str">
        <f t="array" ref="N53">IF(K53="","",INDEX(plan!$A:$F,MATCH(A53&amp;K53,plan!$A$2:$A$19999&amp;plan!$L$2:$L$19999,0)+1,MATCH(plan!$F$1,plan!$A$1:$F$1,0)))</f>
        <v>A</v>
      </c>
      <c r="O53" s="338">
        <f t="array" ref="O53">IF(K53="","",INDEX(plan!$A:$O,MATCH(A53&amp;K53,plan!$A$2:$A$19999&amp;plan!$L$2:$L$19999,0)+1,MATCH(plan!$O$1,plan!$A$1:$O$1,0)))</f>
        <v>43766</v>
      </c>
      <c r="P53" s="194"/>
      <c r="Q53" s="338" t="str">
        <f t="array" ref="Q53">IF(K53="","",IF(INDEX(plan!$A:$S,MATCH(A53&amp;K53,plan!$A$2:$A$19999&amp;plan!$L$2:$L$19999,0)+1,MATCH(plan!$S$1,plan!$A$1:$S$1,0))&gt;0,INDEX(plan!$A:$S,MATCH(A53&amp;K53,plan!$A$2:$A$19999&amp;plan!$L$2:$L$19999,0)+1,MATCH(plan!$S$1,plan!$A$1:$S$1,0)),""))</f>
        <v/>
      </c>
      <c r="R53" s="246">
        <f>IF(K53="","",IF(D53&lt;&gt;"黑",SUMIFS(plan!I:I,plan!A:A,喷水计划单汇总!A53,plan!L:L,喷水计划单汇总!K53,plan!H:H,"&lt;&gt;"&amp;"黑丝"),SUMIFS(plan!I:I,plan!A:A,喷水计划单汇总!A53,plan!L:L,喷水计划单汇总!K53,plan!H:H,"="&amp;"黑丝")))</f>
        <v>30000</v>
      </c>
      <c r="S53" s="194"/>
      <c r="T53" s="250">
        <f>SUMIFS(plan!W:W,plan!A:A,喷水计划单汇总!A53,plan!L:L,喷水计划单汇总!K53,plan!H:H,IF(喷水计划单汇总!D53="黑","黑丝",{"本白","漂白","灰色","黑色","亚白"}))</f>
        <v>30000</v>
      </c>
      <c r="U53" s="250">
        <f>SUMIFS(喷水布库存!E:E,喷水布库存!B:B,喷水计划单汇总!A53,喷水布库存!O:O,喷水计划单汇总!D53,喷水布库存!L:L,喷水计划单汇总!C53)</f>
        <v>0</v>
      </c>
      <c r="Y53" s="250">
        <f>SUMIFS(plan!$Z:$Z,plan!$A:$A,喷水计划单汇总!A53,plan!$H:$H,IF(D53="黑","黑丝",{"本白","漂白","黑色","灰色","湖蓝"}),plan!$L:$L,喷水计划单汇总!K53)</f>
        <v>1030.1999999999998</v>
      </c>
      <c r="Z53" s="250">
        <f>SUMIFS(plan!$AA:$AA,plan!$A:$A,喷水计划单汇总!A53,plan!$H:$H,IF(D53="黑","黑丝",{"本白","漂白","黑色","灰色","湖蓝"}),plan!$L:$L,喷水计划单汇总!K53)</f>
        <v>788.82874015748018</v>
      </c>
    </row>
    <row r="54" spans="1:26">
      <c r="A54"/>
    </row>
    <row r="55" spans="1:26">
      <c r="A55"/>
    </row>
    <row r="56" spans="1:26">
      <c r="A56"/>
    </row>
    <row r="57" spans="1:26">
      <c r="A57"/>
    </row>
    <row r="58" spans="1:26">
      <c r="A58"/>
    </row>
    <row r="59" spans="1:26">
      <c r="A59"/>
    </row>
    <row r="60" spans="1:26">
      <c r="A60"/>
    </row>
    <row r="61" spans="1:26">
      <c r="A61"/>
    </row>
    <row r="62" spans="1:26">
      <c r="A62"/>
    </row>
    <row r="63" spans="1:26">
      <c r="A63"/>
    </row>
    <row r="64" spans="1:26">
      <c r="A64"/>
    </row>
    <row r="65" spans="1:1">
      <c r="A65"/>
    </row>
    <row r="66" spans="1:1">
      <c r="A66"/>
    </row>
  </sheetData>
  <sortState ref="A2:P65">
    <sortCondition ref="B2:B65"/>
  </sortState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10"/>
  <dimension ref="A1:U529"/>
  <sheetViews>
    <sheetView workbookViewId="0">
      <pane xSplit="2" ySplit="1" topLeftCell="C2" activePane="bottomRight" state="frozen"/>
      <selection activeCell="B1" sqref="B1"/>
      <selection pane="topRight" activeCell="C1" sqref="C1"/>
      <selection pane="bottomLeft" activeCell="B2" sqref="B2"/>
      <selection pane="bottomRight" activeCell="M33" sqref="M33"/>
    </sheetView>
  </sheetViews>
  <sheetFormatPr defaultRowHeight="13.5"/>
  <cols>
    <col min="1" max="1" width="44.125" style="332" hidden="1" customWidth="1"/>
    <col min="2" max="2" width="9.5" style="250" bestFit="1" customWidth="1"/>
    <col min="3" max="3" width="14.125" style="250" bestFit="1" customWidth="1"/>
    <col min="4" max="4" width="9.375" style="250" bestFit="1" customWidth="1"/>
    <col min="5" max="5" width="9.5" style="30" bestFit="1" customWidth="1"/>
    <col min="6" max="6" width="9.5" style="250" bestFit="1" customWidth="1"/>
    <col min="7" max="7" width="30.5" style="250" bestFit="1" customWidth="1"/>
    <col min="8" max="8" width="18.375" style="250" bestFit="1" customWidth="1"/>
    <col min="9" max="9" width="9" style="250"/>
    <col min="10" max="10" width="11.625" style="250" bestFit="1" customWidth="1"/>
    <col min="11" max="11" width="9.5" style="250" bestFit="1" customWidth="1"/>
    <col min="12" max="12" width="7.5" style="250" bestFit="1" customWidth="1"/>
    <col min="13" max="13" width="5.5" style="250" bestFit="1" customWidth="1"/>
    <col min="14" max="14" width="5.5" style="250" customWidth="1"/>
    <col min="15" max="15" width="5.5" style="250" bestFit="1" customWidth="1"/>
    <col min="16" max="17" width="22.5" style="250" bestFit="1" customWidth="1"/>
    <col min="18" max="16384" width="9" style="250"/>
  </cols>
  <sheetData>
    <row r="1" spans="1:17" ht="15">
      <c r="A1" s="348" t="s">
        <v>374</v>
      </c>
      <c r="B1" s="188" t="s">
        <v>1611</v>
      </c>
      <c r="C1" s="188" t="s">
        <v>260</v>
      </c>
      <c r="D1" s="188" t="s">
        <v>261</v>
      </c>
      <c r="E1" s="211" t="s">
        <v>262</v>
      </c>
      <c r="F1" s="188" t="s">
        <v>263</v>
      </c>
      <c r="G1" s="188" t="s">
        <v>266</v>
      </c>
      <c r="H1" s="188" t="s">
        <v>267</v>
      </c>
      <c r="I1" s="188" t="s">
        <v>268</v>
      </c>
      <c r="J1" s="188" t="s">
        <v>269</v>
      </c>
      <c r="K1" s="188" t="s">
        <v>126</v>
      </c>
      <c r="L1" s="188" t="s">
        <v>270</v>
      </c>
      <c r="M1" s="188" t="s">
        <v>271</v>
      </c>
      <c r="N1" s="188" t="s">
        <v>272</v>
      </c>
      <c r="O1" s="188" t="s">
        <v>124</v>
      </c>
      <c r="P1" s="188" t="s">
        <v>273</v>
      </c>
      <c r="Q1" s="188" t="s">
        <v>276</v>
      </c>
    </row>
    <row r="2" spans="1:17" s="332" customFormat="1">
      <c r="A2" s="348" t="str">
        <f t="shared" ref="A2:A33" si="0">SUBSTITUTE(H2," ","")&amp;I2&amp;K2&amp;M2&amp;O2&amp;Q2</f>
        <v>200D皇室编皇室编荣盛120白TL2059ZC-40</v>
      </c>
      <c r="C2" s="349" t="s">
        <v>277</v>
      </c>
      <c r="D2" s="349" t="s">
        <v>285</v>
      </c>
      <c r="E2" s="350" t="str">
        <f>IF(B2="","",IF(ISNA(--VLOOKUP(A2,四面弹import!A:D,4,FALSE)),0,--VLOOKUP(A2,四面弹import!A:D,4,FALSE)))</f>
        <v/>
      </c>
      <c r="F2" s="351" t="str">
        <f>IF(B2="","",IF(ISNA(--VLOOKUP(A2,四面弹import!A:E,5,FALSE)),0,--VLOOKUP(A2,四面弹import!A:E,5,FALSE)))</f>
        <v/>
      </c>
      <c r="G2" s="349" t="s">
        <v>1556</v>
      </c>
      <c r="H2" s="349" t="s">
        <v>1557</v>
      </c>
      <c r="I2" s="349" t="s">
        <v>1558</v>
      </c>
      <c r="J2" s="351">
        <v>160</v>
      </c>
      <c r="K2" s="349" t="s">
        <v>144</v>
      </c>
      <c r="L2" s="349" t="s">
        <v>281</v>
      </c>
      <c r="M2" s="351">
        <v>120</v>
      </c>
      <c r="N2" s="349" t="s">
        <v>287</v>
      </c>
      <c r="O2" s="349" t="s">
        <v>2</v>
      </c>
      <c r="P2" s="349" t="s">
        <v>288</v>
      </c>
      <c r="Q2" s="349" t="s">
        <v>1559</v>
      </c>
    </row>
    <row r="3" spans="1:17" s="332" customFormat="1">
      <c r="A3" s="348" t="str">
        <f t="shared" si="0"/>
        <v>200D乱花布乱花布荣盛白大圆机</v>
      </c>
      <c r="C3" s="349" t="s">
        <v>277</v>
      </c>
      <c r="D3" s="349" t="s">
        <v>285</v>
      </c>
      <c r="E3" s="350" t="str">
        <f>IF(B3="","",IF(ISNA(--VLOOKUP(A3,四面弹import!A:D,4,FALSE)),0,--VLOOKUP(A3,四面弹import!A:D,4,FALSE)))</f>
        <v/>
      </c>
      <c r="F3" s="351" t="str">
        <f>IF(B3="","",IF(ISNA(--VLOOKUP(A3,四面弹import!A:E,5,FALSE)),0,--VLOOKUP(A3,四面弹import!A:E,5,FALSE)))</f>
        <v/>
      </c>
      <c r="G3" s="349" t="s">
        <v>399</v>
      </c>
      <c r="H3" s="349" t="s">
        <v>1560</v>
      </c>
      <c r="I3" s="349" t="s">
        <v>1561</v>
      </c>
      <c r="J3" s="351">
        <v>0</v>
      </c>
      <c r="K3" s="349" t="s">
        <v>144</v>
      </c>
      <c r="L3" s="349" t="s">
        <v>281</v>
      </c>
      <c r="M3" s="349" t="s">
        <v>399</v>
      </c>
      <c r="N3" s="349" t="s">
        <v>281</v>
      </c>
      <c r="O3" s="349" t="s">
        <v>2</v>
      </c>
      <c r="P3" s="349" t="s">
        <v>288</v>
      </c>
      <c r="Q3" s="349" t="s">
        <v>288</v>
      </c>
    </row>
    <row r="4" spans="1:17" s="332" customFormat="1">
      <c r="A4" s="348" t="str">
        <f t="shared" si="0"/>
        <v>200D提花布提花布荣盛0白</v>
      </c>
      <c r="C4" s="349" t="s">
        <v>277</v>
      </c>
      <c r="D4" s="349" t="s">
        <v>285</v>
      </c>
      <c r="E4" s="350" t="str">
        <f>IF(B4="","",IF(ISNA(--VLOOKUP(A4,四面弹import!A:D,4,FALSE)),0,--VLOOKUP(A4,四面弹import!A:D,4,FALSE)))</f>
        <v/>
      </c>
      <c r="F4" s="351" t="str">
        <f>IF(B4="","",IF(ISNA(--VLOOKUP(A4,四面弹import!A:E,5,FALSE)),0,--VLOOKUP(A4,四面弹import!A:E,5,FALSE)))</f>
        <v/>
      </c>
      <c r="G4" s="349" t="s">
        <v>286</v>
      </c>
      <c r="H4" s="349" t="s">
        <v>167</v>
      </c>
      <c r="I4" s="349" t="s">
        <v>182</v>
      </c>
      <c r="J4" s="351">
        <v>160</v>
      </c>
      <c r="K4" s="349" t="s">
        <v>144</v>
      </c>
      <c r="L4" s="349" t="s">
        <v>281</v>
      </c>
      <c r="M4" s="351">
        <v>0</v>
      </c>
      <c r="N4" s="349" t="s">
        <v>287</v>
      </c>
      <c r="O4" s="349" t="s">
        <v>2</v>
      </c>
      <c r="P4" s="349" t="s">
        <v>288</v>
      </c>
      <c r="Q4" s="349" t="s">
        <v>399</v>
      </c>
    </row>
    <row r="5" spans="1:17" s="332" customFormat="1">
      <c r="A5" s="348" t="str">
        <f t="shared" si="0"/>
        <v>20-30-36302438直平纹银宇18白老库存，1</v>
      </c>
      <c r="C5" s="349" t="s">
        <v>277</v>
      </c>
      <c r="D5" s="349" t="s">
        <v>278</v>
      </c>
      <c r="E5" s="350" t="str">
        <f>IF(B5="","",IF(ISNA(--VLOOKUP(A5,四面弹import!A:D,4,FALSE)),0,--VLOOKUP(A5,四面弹import!A:D,4,FALSE)))</f>
        <v/>
      </c>
      <c r="F5" s="351" t="str">
        <f>IF(B5="","",IF(ISNA(--VLOOKUP(A5,四面弹import!A:E,5,FALSE)),0,--VLOOKUP(A5,四面弹import!A:E,5,FALSE)))</f>
        <v/>
      </c>
      <c r="G5" s="349" t="s">
        <v>279</v>
      </c>
      <c r="H5" s="349" t="s">
        <v>280</v>
      </c>
      <c r="I5" s="349" t="s">
        <v>180</v>
      </c>
      <c r="J5" s="351">
        <v>160</v>
      </c>
      <c r="K5" s="349" t="s">
        <v>154</v>
      </c>
      <c r="L5" s="349" t="s">
        <v>281</v>
      </c>
      <c r="M5" s="351">
        <v>18</v>
      </c>
      <c r="N5" s="349" t="s">
        <v>282</v>
      </c>
      <c r="O5" s="349" t="s">
        <v>2</v>
      </c>
      <c r="P5" s="349" t="s">
        <v>283</v>
      </c>
      <c r="Q5" s="349" t="s">
        <v>284</v>
      </c>
    </row>
    <row r="6" spans="1:17" s="332" customFormat="1">
      <c r="A6" s="348" t="str">
        <f t="shared" si="0"/>
        <v>20D36针直平纹涌金17白西3上</v>
      </c>
      <c r="C6" s="349" t="s">
        <v>277</v>
      </c>
      <c r="D6" s="349" t="s">
        <v>285</v>
      </c>
      <c r="E6" s="350" t="str">
        <f>IF(B6="","",IF(ISNA(--VLOOKUP(A6,四面弹import!A:D,4,FALSE)),0,--VLOOKUP(A6,四面弹import!A:D,4,FALSE)))</f>
        <v/>
      </c>
      <c r="F6" s="351" t="str">
        <f>IF(B6="","",IF(ISNA(--VLOOKUP(A6,四面弹import!A:E,5,FALSE)),0,--VLOOKUP(A6,四面弹import!A:E,5,FALSE)))</f>
        <v/>
      </c>
      <c r="G6" s="349" t="s">
        <v>289</v>
      </c>
      <c r="H6" s="349" t="s">
        <v>169</v>
      </c>
      <c r="I6" s="349" t="s">
        <v>180</v>
      </c>
      <c r="J6" s="351">
        <v>160</v>
      </c>
      <c r="K6" s="349" t="s">
        <v>156</v>
      </c>
      <c r="L6" s="349" t="s">
        <v>281</v>
      </c>
      <c r="M6" s="351">
        <v>17</v>
      </c>
      <c r="N6" s="349" t="s">
        <v>287</v>
      </c>
      <c r="O6" s="349" t="s">
        <v>2</v>
      </c>
      <c r="P6" s="349" t="s">
        <v>612</v>
      </c>
      <c r="Q6" s="349" t="s">
        <v>290</v>
      </c>
    </row>
    <row r="7" spans="1:17" s="332" customFormat="1">
      <c r="A7" s="348" t="str">
        <f t="shared" si="0"/>
        <v>20D单面布单面布恒德25白大圆机135度</v>
      </c>
      <c r="C7" s="349" t="s">
        <v>277</v>
      </c>
      <c r="D7" s="349" t="s">
        <v>285</v>
      </c>
      <c r="E7" s="350" t="str">
        <f>IF(B7="","",IF(ISNA(--VLOOKUP(A7,四面弹import!A:D,4,FALSE)),0,--VLOOKUP(A7,四面弹import!A:D,4,FALSE)))</f>
        <v/>
      </c>
      <c r="F7" s="351" t="str">
        <f>IF(B7="","",IF(ISNA(--VLOOKUP(A7,四面弹import!A:E,5,FALSE)),0,--VLOOKUP(A7,四面弹import!A:E,5,FALSE)))</f>
        <v/>
      </c>
      <c r="G7" s="349" t="s">
        <v>295</v>
      </c>
      <c r="H7" s="349" t="s">
        <v>171</v>
      </c>
      <c r="I7" s="349" t="s">
        <v>184</v>
      </c>
      <c r="J7" s="351">
        <v>0</v>
      </c>
      <c r="K7" s="349" t="s">
        <v>138</v>
      </c>
      <c r="L7" s="349" t="s">
        <v>281</v>
      </c>
      <c r="M7" s="351">
        <v>25</v>
      </c>
      <c r="N7" s="349" t="s">
        <v>287</v>
      </c>
      <c r="O7" s="349" t="s">
        <v>2</v>
      </c>
      <c r="P7" s="349" t="s">
        <v>288</v>
      </c>
      <c r="Q7" s="349" t="s">
        <v>296</v>
      </c>
    </row>
    <row r="8" spans="1:17" s="332" customFormat="1">
      <c r="A8" s="348" t="str">
        <f t="shared" si="0"/>
        <v>20D单面布单面布恒力27白大圆机S12151AS</v>
      </c>
      <c r="C8" s="349" t="s">
        <v>277</v>
      </c>
      <c r="D8" s="349" t="s">
        <v>285</v>
      </c>
      <c r="E8" s="350" t="str">
        <f>IF(B8="","",IF(ISNA(--VLOOKUP(A8,四面弹import!A:D,4,FALSE)),0,--VLOOKUP(A8,四面弹import!A:D,4,FALSE)))</f>
        <v/>
      </c>
      <c r="F8" s="351" t="str">
        <f>IF(B8="","",IF(ISNA(--VLOOKUP(A8,四面弹import!A:E,5,FALSE)),0,--VLOOKUP(A8,四面弹import!A:E,5,FALSE)))</f>
        <v/>
      </c>
      <c r="G8" s="349" t="s">
        <v>289</v>
      </c>
      <c r="H8" s="349" t="s">
        <v>171</v>
      </c>
      <c r="I8" s="349" t="s">
        <v>184</v>
      </c>
      <c r="J8" s="351">
        <v>0</v>
      </c>
      <c r="K8" s="349" t="s">
        <v>140</v>
      </c>
      <c r="L8" s="349" t="s">
        <v>281</v>
      </c>
      <c r="M8" s="351">
        <v>27</v>
      </c>
      <c r="N8" s="349" t="s">
        <v>287</v>
      </c>
      <c r="O8" s="349" t="s">
        <v>2</v>
      </c>
      <c r="P8" s="349" t="s">
        <v>288</v>
      </c>
      <c r="Q8" s="349" t="s">
        <v>291</v>
      </c>
    </row>
    <row r="9" spans="1:17" s="332" customFormat="1">
      <c r="A9" s="348" t="str">
        <f t="shared" si="0"/>
        <v>20D单面布单面布盛虹27白J123/M000</v>
      </c>
      <c r="C9" s="349" t="s">
        <v>277</v>
      </c>
      <c r="D9" s="349" t="s">
        <v>285</v>
      </c>
      <c r="E9" s="350" t="str">
        <f>IF(B9="","",IF(ISNA(--VLOOKUP(A9,四面弹import!A:D,4,FALSE)),0,--VLOOKUP(A9,四面弹import!A:D,4,FALSE)))</f>
        <v/>
      </c>
      <c r="F9" s="351" t="str">
        <f>IF(B9="","",IF(ISNA(--VLOOKUP(A9,四面弹import!A:E,5,FALSE)),0,--VLOOKUP(A9,四面弹import!A:E,5,FALSE)))</f>
        <v/>
      </c>
      <c r="G9" s="349" t="s">
        <v>399</v>
      </c>
      <c r="H9" s="349" t="s">
        <v>171</v>
      </c>
      <c r="I9" s="349" t="s">
        <v>184</v>
      </c>
      <c r="J9" s="351">
        <v>0</v>
      </c>
      <c r="K9" s="349" t="s">
        <v>148</v>
      </c>
      <c r="L9" s="349" t="s">
        <v>399</v>
      </c>
      <c r="M9" s="351">
        <v>27</v>
      </c>
      <c r="N9" s="349" t="s">
        <v>287</v>
      </c>
      <c r="O9" s="349" t="s">
        <v>2</v>
      </c>
      <c r="P9" s="349" t="s">
        <v>288</v>
      </c>
      <c r="Q9" s="349" t="s">
        <v>294</v>
      </c>
    </row>
    <row r="10" spans="1:17" s="332" customFormat="1">
      <c r="A10" s="348" t="str">
        <f t="shared" si="0"/>
        <v>20D单面布单面布涌金27白大圆机横条</v>
      </c>
      <c r="C10" s="349" t="s">
        <v>277</v>
      </c>
      <c r="D10" s="349" t="s">
        <v>285</v>
      </c>
      <c r="E10" s="350" t="str">
        <f>IF(B10="","",IF(ISNA(--VLOOKUP(A10,四面弹import!A:D,4,FALSE)),0,--VLOOKUP(A10,四面弹import!A:D,4,FALSE)))</f>
        <v/>
      </c>
      <c r="F10" s="351" t="str">
        <f>IF(B10="","",IF(ISNA(--VLOOKUP(A10,四面弹import!A:E,5,FALSE)),0,--VLOOKUP(A10,四面弹import!A:E,5,FALSE)))</f>
        <v/>
      </c>
      <c r="G10" s="349" t="s">
        <v>292</v>
      </c>
      <c r="H10" s="349" t="s">
        <v>171</v>
      </c>
      <c r="I10" s="349" t="s">
        <v>184</v>
      </c>
      <c r="J10" s="351">
        <v>0</v>
      </c>
      <c r="K10" s="349" t="s">
        <v>156</v>
      </c>
      <c r="L10" s="349" t="s">
        <v>281</v>
      </c>
      <c r="M10" s="351">
        <v>27</v>
      </c>
      <c r="N10" s="349" t="s">
        <v>282</v>
      </c>
      <c r="O10" s="349" t="s">
        <v>2</v>
      </c>
      <c r="P10" s="349" t="s">
        <v>288</v>
      </c>
      <c r="Q10" s="349" t="s">
        <v>293</v>
      </c>
    </row>
    <row r="11" spans="1:17" s="332" customFormat="1">
      <c r="A11" s="348" t="str">
        <f t="shared" si="0"/>
        <v>20D单面布直平纹亚正27白大圆机</v>
      </c>
      <c r="C11" s="349" t="s">
        <v>277</v>
      </c>
      <c r="D11" s="349" t="s">
        <v>285</v>
      </c>
      <c r="E11" s="350" t="str">
        <f>IF(B11="","",IF(ISNA(--VLOOKUP(A11,四面弹import!A:D,4,FALSE)),0,--VLOOKUP(A11,四面弹import!A:D,4,FALSE)))</f>
        <v/>
      </c>
      <c r="F11" s="351" t="str">
        <f>IF(B11="","",IF(ISNA(--VLOOKUP(A11,四面弹import!A:E,5,FALSE)),0,--VLOOKUP(A11,四面弹import!A:E,5,FALSE)))</f>
        <v/>
      </c>
      <c r="G11" s="349" t="s">
        <v>289</v>
      </c>
      <c r="H11" s="349" t="s">
        <v>171</v>
      </c>
      <c r="I11" s="349" t="s">
        <v>180</v>
      </c>
      <c r="J11" s="351">
        <v>160</v>
      </c>
      <c r="K11" s="349" t="s">
        <v>152</v>
      </c>
      <c r="L11" s="349" t="s">
        <v>281</v>
      </c>
      <c r="M11" s="351">
        <v>27</v>
      </c>
      <c r="N11" s="349" t="s">
        <v>287</v>
      </c>
      <c r="O11" s="349" t="s">
        <v>2</v>
      </c>
      <c r="P11" s="349" t="s">
        <v>288</v>
      </c>
      <c r="Q11" s="349" t="s">
        <v>288</v>
      </c>
    </row>
    <row r="12" spans="1:17" s="332" customFormat="1">
      <c r="A12" s="348" t="str">
        <f t="shared" si="0"/>
        <v>30D单面布单面布恒力28白211591AS6</v>
      </c>
      <c r="C12" s="349" t="s">
        <v>277</v>
      </c>
      <c r="D12" s="349" t="s">
        <v>285</v>
      </c>
      <c r="E12" s="350" t="str">
        <f>IF(B12="","",IF(ISNA(--VLOOKUP(A12,四面弹import!A:D,4,FALSE)),0,--VLOOKUP(A12,四面弹import!A:D,4,FALSE)))</f>
        <v/>
      </c>
      <c r="F12" s="351" t="str">
        <f>IF(B12="","",IF(ISNA(--VLOOKUP(A12,四面弹import!A:E,5,FALSE)),0,--VLOOKUP(A12,四面弹import!A:E,5,FALSE)))</f>
        <v/>
      </c>
      <c r="G12" s="349" t="s">
        <v>399</v>
      </c>
      <c r="H12" s="349" t="s">
        <v>172</v>
      </c>
      <c r="I12" s="349" t="s">
        <v>184</v>
      </c>
      <c r="J12" s="351">
        <v>160</v>
      </c>
      <c r="K12" s="349" t="s">
        <v>140</v>
      </c>
      <c r="L12" s="349" t="s">
        <v>281</v>
      </c>
      <c r="M12" s="351">
        <v>28</v>
      </c>
      <c r="N12" s="349" t="s">
        <v>287</v>
      </c>
      <c r="O12" s="349" t="s">
        <v>2</v>
      </c>
      <c r="P12" s="349" t="s">
        <v>1615</v>
      </c>
      <c r="Q12" s="349" t="s">
        <v>297</v>
      </c>
    </row>
    <row r="13" spans="1:17" s="332" customFormat="1">
      <c r="A13" s="348" t="str">
        <f t="shared" si="0"/>
        <v>30D单面布单面布恒力28白213531AS5</v>
      </c>
      <c r="C13" s="349" t="s">
        <v>277</v>
      </c>
      <c r="D13" s="349" t="s">
        <v>285</v>
      </c>
      <c r="E13" s="350" t="str">
        <f>IF(B13="","",IF(ISNA(--VLOOKUP(A13,四面弹import!A:D,4,FALSE)),0,--VLOOKUP(A13,四面弹import!A:D,4,FALSE)))</f>
        <v/>
      </c>
      <c r="F13" s="351" t="str">
        <f>IF(B13="","",IF(ISNA(--VLOOKUP(A13,四面弹import!A:E,5,FALSE)),0,--VLOOKUP(A13,四面弹import!A:E,5,FALSE)))</f>
        <v/>
      </c>
      <c r="G13" s="349" t="s">
        <v>399</v>
      </c>
      <c r="H13" s="349" t="s">
        <v>172</v>
      </c>
      <c r="I13" s="349" t="s">
        <v>184</v>
      </c>
      <c r="J13" s="351">
        <v>0</v>
      </c>
      <c r="K13" s="349" t="s">
        <v>140</v>
      </c>
      <c r="L13" s="349" t="s">
        <v>281</v>
      </c>
      <c r="M13" s="351">
        <v>28</v>
      </c>
      <c r="N13" s="349" t="s">
        <v>287</v>
      </c>
      <c r="O13" s="349" t="s">
        <v>2</v>
      </c>
      <c r="P13" s="349" t="s">
        <v>288</v>
      </c>
      <c r="Q13" s="349" t="s">
        <v>298</v>
      </c>
    </row>
    <row r="14" spans="1:17" s="332" customFormat="1">
      <c r="A14" s="348" t="str">
        <f t="shared" si="0"/>
        <v>30D双面布双面布恒力68白老库存，大圆机试样</v>
      </c>
      <c r="C14" s="349" t="s">
        <v>277</v>
      </c>
      <c r="D14" s="349" t="s">
        <v>285</v>
      </c>
      <c r="E14" s="350" t="str">
        <f>IF(B14="","",IF(ISNA(--VLOOKUP(A14,四面弹import!A:D,4,FALSE)),0,--VLOOKUP(A14,四面弹import!A:D,4,FALSE)))</f>
        <v/>
      </c>
      <c r="F14" s="351" t="str">
        <f>IF(B14="","",IF(ISNA(--VLOOKUP(A14,四面弹import!A:E,5,FALSE)),0,--VLOOKUP(A14,四面弹import!A:E,5,FALSE)))</f>
        <v/>
      </c>
      <c r="G14" s="349" t="s">
        <v>299</v>
      </c>
      <c r="H14" s="349" t="s">
        <v>174</v>
      </c>
      <c r="I14" s="349" t="s">
        <v>186</v>
      </c>
      <c r="J14" s="351">
        <v>160</v>
      </c>
      <c r="K14" s="349" t="s">
        <v>140</v>
      </c>
      <c r="L14" s="349" t="s">
        <v>281</v>
      </c>
      <c r="M14" s="351">
        <v>68</v>
      </c>
      <c r="N14" s="349" t="s">
        <v>287</v>
      </c>
      <c r="O14" s="349" t="s">
        <v>2</v>
      </c>
      <c r="P14" s="349" t="s">
        <v>288</v>
      </c>
      <c r="Q14" s="349" t="s">
        <v>300</v>
      </c>
    </row>
    <row r="15" spans="1:17" s="332" customFormat="1">
      <c r="A15" s="348" t="str">
        <f t="shared" si="0"/>
        <v>50-30-32小W长乐32白32针</v>
      </c>
      <c r="B15" s="332" t="s">
        <v>740</v>
      </c>
      <c r="C15" s="349" t="s">
        <v>277</v>
      </c>
      <c r="D15" s="349" t="s">
        <v>285</v>
      </c>
      <c r="E15" s="350">
        <f>IF(B15="","",IF(ISNA(--VLOOKUP(A15,四面弹import!A:D,4,FALSE)),0,--VLOOKUP(A15,四面弹import!A:D,4,FALSE)))</f>
        <v>0</v>
      </c>
      <c r="F15" s="351">
        <f>IF(B15="","",IF(ISNA(--VLOOKUP(A15,四面弹import!A:E,5,FALSE)),0,--VLOOKUP(A15,四面弹import!A:E,5,FALSE)))</f>
        <v>0</v>
      </c>
      <c r="G15" s="349" t="s">
        <v>399</v>
      </c>
      <c r="H15" s="349" t="s">
        <v>176</v>
      </c>
      <c r="I15" s="349" t="s">
        <v>301</v>
      </c>
      <c r="J15" s="351">
        <v>160</v>
      </c>
      <c r="K15" s="349" t="s">
        <v>158</v>
      </c>
      <c r="L15" s="349" t="s">
        <v>281</v>
      </c>
      <c r="M15" s="351">
        <v>32</v>
      </c>
      <c r="N15" s="349" t="s">
        <v>287</v>
      </c>
      <c r="O15" s="349" t="s">
        <v>2</v>
      </c>
      <c r="P15" s="349" t="s">
        <v>302</v>
      </c>
      <c r="Q15" s="349" t="s">
        <v>302</v>
      </c>
    </row>
    <row r="16" spans="1:17" s="332" customFormat="1">
      <c r="A16" s="348" t="str">
        <f t="shared" si="0"/>
        <v>50D单面布直平纹长乐33白大圆机高温</v>
      </c>
      <c r="C16" s="349" t="s">
        <v>277</v>
      </c>
      <c r="D16" s="349" t="s">
        <v>285</v>
      </c>
      <c r="E16" s="350" t="str">
        <f>IF(B16="","",IF(ISNA(--VLOOKUP(A16,四面弹import!A:D,4,FALSE)),0,--VLOOKUP(A16,四面弹import!A:D,4,FALSE)))</f>
        <v/>
      </c>
      <c r="F16" s="351" t="str">
        <f>IF(B16="","",IF(ISNA(--VLOOKUP(A16,四面弹import!A:E,5,FALSE)),0,--VLOOKUP(A16,四面弹import!A:E,5,FALSE)))</f>
        <v/>
      </c>
      <c r="G16" s="349" t="s">
        <v>303</v>
      </c>
      <c r="H16" s="349" t="s">
        <v>178</v>
      </c>
      <c r="I16" s="349" t="s">
        <v>180</v>
      </c>
      <c r="J16" s="351">
        <v>0</v>
      </c>
      <c r="K16" s="349" t="s">
        <v>158</v>
      </c>
      <c r="L16" s="349" t="s">
        <v>281</v>
      </c>
      <c r="M16" s="351">
        <v>33</v>
      </c>
      <c r="N16" s="349" t="s">
        <v>287</v>
      </c>
      <c r="O16" s="349" t="s">
        <v>2</v>
      </c>
      <c r="P16" s="349" t="s">
        <v>288</v>
      </c>
      <c r="Q16" s="349" t="s">
        <v>304</v>
      </c>
    </row>
    <row r="17" spans="1:17" s="332" customFormat="1">
      <c r="A17" s="348" t="str">
        <f t="shared" si="0"/>
        <v>50D单面布直平纹长乐39白7.8以后大圆机</v>
      </c>
      <c r="C17" s="349" t="s">
        <v>277</v>
      </c>
      <c r="D17" s="349" t="s">
        <v>285</v>
      </c>
      <c r="E17" s="350" t="str">
        <f>IF(B17="","",IF(ISNA(--VLOOKUP(A17,四面弹import!A:D,4,FALSE)),0,--VLOOKUP(A17,四面弹import!A:D,4,FALSE)))</f>
        <v/>
      </c>
      <c r="F17" s="351" t="str">
        <f>IF(B17="","",IF(ISNA(--VLOOKUP(A17,四面弹import!A:E,5,FALSE)),0,--VLOOKUP(A17,四面弹import!A:E,5,FALSE)))</f>
        <v/>
      </c>
      <c r="G17" s="349" t="s">
        <v>305</v>
      </c>
      <c r="H17" s="349" t="s">
        <v>178</v>
      </c>
      <c r="I17" s="349" t="s">
        <v>180</v>
      </c>
      <c r="J17" s="351">
        <v>160</v>
      </c>
      <c r="K17" s="349" t="s">
        <v>158</v>
      </c>
      <c r="L17" s="349" t="s">
        <v>281</v>
      </c>
      <c r="M17" s="351">
        <v>39</v>
      </c>
      <c r="N17" s="349" t="s">
        <v>287</v>
      </c>
      <c r="O17" s="349" t="s">
        <v>2</v>
      </c>
      <c r="P17" s="349" t="s">
        <v>288</v>
      </c>
      <c r="Q17" s="349" t="s">
        <v>306</v>
      </c>
    </row>
    <row r="18" spans="1:17">
      <c r="A18" s="348" t="str">
        <f t="shared" si="0"/>
        <v>50D四面弹小W威尔35白威尔外发</v>
      </c>
      <c r="B18" s="250" t="s">
        <v>1652</v>
      </c>
      <c r="C18" s="189" t="s">
        <v>277</v>
      </c>
      <c r="D18" s="189" t="s">
        <v>285</v>
      </c>
      <c r="E18" s="212">
        <f>IF(B18="","",IF(ISNA(--VLOOKUP(A18,四面弹import!A:D,4,FALSE)),0,--VLOOKUP(A18,四面弹import!A:D,4,FALSE)))</f>
        <v>0</v>
      </c>
      <c r="F18" s="190">
        <f>IF(B18="","",IF(ISNA(--VLOOKUP(A18,四面弹import!A:E,5,FALSE)),0,--VLOOKUP(A18,四面弹import!A:E,5,FALSE)))</f>
        <v>0</v>
      </c>
      <c r="G18" s="189" t="s">
        <v>399</v>
      </c>
      <c r="H18" s="189" t="s">
        <v>1566</v>
      </c>
      <c r="I18" s="189" t="s">
        <v>301</v>
      </c>
      <c r="J18" s="190">
        <v>160</v>
      </c>
      <c r="K18" s="189" t="s">
        <v>563</v>
      </c>
      <c r="L18" s="189" t="s">
        <v>281</v>
      </c>
      <c r="M18" s="190">
        <v>35</v>
      </c>
      <c r="N18" s="189" t="s">
        <v>287</v>
      </c>
      <c r="O18" s="189" t="s">
        <v>2</v>
      </c>
      <c r="P18" s="189" t="s">
        <v>1567</v>
      </c>
      <c r="Q18" s="189" t="s">
        <v>1567</v>
      </c>
    </row>
    <row r="19" spans="1:17">
      <c r="A19" s="348" t="str">
        <f t="shared" si="0"/>
        <v>50D四面弹小W35白东华外购</v>
      </c>
      <c r="B19" s="250" t="s">
        <v>1652</v>
      </c>
      <c r="C19" s="210" t="s">
        <v>277</v>
      </c>
      <c r="D19" s="210" t="s">
        <v>285</v>
      </c>
      <c r="E19" s="212">
        <f>IF(B19="","",IF(ISNA(--VLOOKUP(A19,四面弹import!A:D,4,FALSE)),0,--VLOOKUP(A19,四面弹import!A:D,4,FALSE)))</f>
        <v>3252.3</v>
      </c>
      <c r="F19" s="190">
        <f>IF(B19="","",IF(ISNA(--VLOOKUP(A19,四面弹import!A:E,5,FALSE)),0,--VLOOKUP(A19,四面弹import!A:E,5,FALSE)))</f>
        <v>172</v>
      </c>
      <c r="G19" s="210" t="s">
        <v>399</v>
      </c>
      <c r="H19" s="210" t="s">
        <v>1566</v>
      </c>
      <c r="I19" s="210" t="s">
        <v>301</v>
      </c>
      <c r="J19" s="210" t="s">
        <v>613</v>
      </c>
      <c r="K19" s="210" t="s">
        <v>399</v>
      </c>
      <c r="L19" s="210" t="s">
        <v>399</v>
      </c>
      <c r="M19" s="210">
        <v>35</v>
      </c>
      <c r="N19" s="210" t="s">
        <v>287</v>
      </c>
      <c r="O19" s="210" t="s">
        <v>2</v>
      </c>
      <c r="P19" s="210" t="s">
        <v>1656</v>
      </c>
      <c r="Q19" s="210" t="s">
        <v>1658</v>
      </c>
    </row>
    <row r="20" spans="1:17" s="332" customFormat="1">
      <c r="A20" s="348" t="str">
        <f t="shared" si="0"/>
        <v>75-30-20大W长乐42白21325</v>
      </c>
      <c r="B20" s="352" t="s">
        <v>749</v>
      </c>
      <c r="C20" s="349" t="s">
        <v>277</v>
      </c>
      <c r="D20" s="349" t="s">
        <v>285</v>
      </c>
      <c r="E20" s="350">
        <f>IF(B20="","",IF(ISNA(--VLOOKUP(A20,四面弹import!A:D,4,FALSE)),0,--VLOOKUP(A20,四面弹import!A:D,4,FALSE)))</f>
        <v>1346.2</v>
      </c>
      <c r="F20" s="351">
        <f>IF(B20="","",IF(ISNA(--VLOOKUP(A20,四面弹import!A:E,5,FALSE)),0,--VLOOKUP(A20,四面弹import!A:E,5,FALSE)))</f>
        <v>67</v>
      </c>
      <c r="G20" s="349" t="s">
        <v>399</v>
      </c>
      <c r="H20" s="349" t="s">
        <v>1568</v>
      </c>
      <c r="I20" s="349" t="s">
        <v>168</v>
      </c>
      <c r="J20" s="351">
        <v>160</v>
      </c>
      <c r="K20" s="349" t="s">
        <v>158</v>
      </c>
      <c r="L20" s="349" t="s">
        <v>281</v>
      </c>
      <c r="M20" s="351">
        <v>42</v>
      </c>
      <c r="N20" s="349" t="s">
        <v>287</v>
      </c>
      <c r="O20" s="349" t="s">
        <v>2</v>
      </c>
      <c r="P20" s="349" t="s">
        <v>612</v>
      </c>
      <c r="Q20" s="349" t="s">
        <v>691</v>
      </c>
    </row>
    <row r="21" spans="1:17" s="332" customFormat="1">
      <c r="A21" s="348" t="str">
        <f t="shared" si="0"/>
        <v>75D平纹平纹0白东华外购30上3个</v>
      </c>
      <c r="B21" s="352"/>
      <c r="C21" s="349" t="s">
        <v>277</v>
      </c>
      <c r="D21" s="349" t="s">
        <v>285</v>
      </c>
      <c r="E21" s="350" t="str">
        <f>IF(B21="","",IF(ISNA(--VLOOKUP(A21,四面弹import!A:D,4,FALSE)),0,--VLOOKUP(A21,四面弹import!A:D,4,FALSE)))</f>
        <v/>
      </c>
      <c r="F21" s="351" t="str">
        <f>IF(B21="","",IF(ISNA(--VLOOKUP(A21,四面弹import!A:E,5,FALSE)),0,--VLOOKUP(A21,四面弹import!A:E,5,FALSE)))</f>
        <v/>
      </c>
      <c r="G21" s="349" t="s">
        <v>399</v>
      </c>
      <c r="H21" s="349" t="s">
        <v>179</v>
      </c>
      <c r="I21" s="349" t="s">
        <v>188</v>
      </c>
      <c r="J21" s="351">
        <v>160</v>
      </c>
      <c r="K21" s="349" t="s">
        <v>399</v>
      </c>
      <c r="L21" s="349" t="s">
        <v>399</v>
      </c>
      <c r="M21" s="351">
        <v>0</v>
      </c>
      <c r="N21" s="349" t="s">
        <v>287</v>
      </c>
      <c r="O21" s="349" t="s">
        <v>2</v>
      </c>
      <c r="P21" s="349" t="s">
        <v>612</v>
      </c>
      <c r="Q21" s="349" t="s">
        <v>307</v>
      </c>
    </row>
    <row r="22" spans="1:17" s="332" customFormat="1">
      <c r="A22" s="348" t="str">
        <f t="shared" si="0"/>
        <v>A50-30-28大W长乐32白常温</v>
      </c>
      <c r="B22" s="332" t="s">
        <v>1502</v>
      </c>
      <c r="C22" s="349" t="s">
        <v>277</v>
      </c>
      <c r="D22" s="349" t="s">
        <v>285</v>
      </c>
      <c r="E22" s="350">
        <f>IF(B22="","",IF(ISNA(--VLOOKUP(A22,四面弹import!A:D,4,FALSE)),0,--VLOOKUP(A22,四面弹import!A:D,4,FALSE)))</f>
        <v>165.5</v>
      </c>
      <c r="F22" s="351">
        <f>IF(B22="","",IF(ISNA(--VLOOKUP(A22,四面弹import!A:E,5,FALSE)),0,--VLOOKUP(A22,四面弹import!A:E,5,FALSE)))</f>
        <v>8</v>
      </c>
      <c r="G22" s="349" t="s">
        <v>321</v>
      </c>
      <c r="H22" s="349" t="s">
        <v>309</v>
      </c>
      <c r="I22" s="349" t="s">
        <v>168</v>
      </c>
      <c r="J22" s="351">
        <v>160</v>
      </c>
      <c r="K22" s="349" t="s">
        <v>158</v>
      </c>
      <c r="L22" s="349" t="s">
        <v>281</v>
      </c>
      <c r="M22" s="351">
        <v>32</v>
      </c>
      <c r="N22" s="349" t="s">
        <v>287</v>
      </c>
      <c r="O22" s="349" t="s">
        <v>2</v>
      </c>
      <c r="P22" s="349" t="s">
        <v>612</v>
      </c>
      <c r="Q22" s="349" t="s">
        <v>322</v>
      </c>
    </row>
    <row r="23" spans="1:17">
      <c r="A23" s="348" t="str">
        <f t="shared" si="0"/>
        <v>A50-30-28大W长乐35白最新入库</v>
      </c>
      <c r="B23" s="250" t="s">
        <v>1625</v>
      </c>
      <c r="C23" s="189" t="s">
        <v>277</v>
      </c>
      <c r="D23" s="189" t="s">
        <v>285</v>
      </c>
      <c r="E23" s="212">
        <f>IF(B23="","",IF(ISNA(--VLOOKUP(A23,四面弹import!A:D,4,FALSE)),0,--VLOOKUP(A23,四面弹import!A:D,4,FALSE)))</f>
        <v>573.5</v>
      </c>
      <c r="F23" s="190">
        <f>IF(B23="","",IF(ISNA(--VLOOKUP(A23,四面弹import!A:E,5,FALSE)),0,--VLOOKUP(A23,四面弹import!A:E,5,FALSE)))</f>
        <v>29</v>
      </c>
      <c r="G23" s="189" t="s">
        <v>399</v>
      </c>
      <c r="H23" s="189" t="s">
        <v>309</v>
      </c>
      <c r="I23" s="189" t="s">
        <v>168</v>
      </c>
      <c r="J23" s="190">
        <v>160</v>
      </c>
      <c r="K23" s="189" t="s">
        <v>158</v>
      </c>
      <c r="L23" s="189" t="s">
        <v>281</v>
      </c>
      <c r="M23" s="190">
        <v>35</v>
      </c>
      <c r="N23" s="189" t="s">
        <v>287</v>
      </c>
      <c r="O23" s="189" t="s">
        <v>2</v>
      </c>
      <c r="P23" s="189" t="s">
        <v>612</v>
      </c>
      <c r="Q23" s="189" t="s">
        <v>320</v>
      </c>
    </row>
    <row r="24" spans="1:17">
      <c r="A24" s="348" t="str">
        <f t="shared" si="0"/>
        <v>A50-30-28小W春盛35白环保丝</v>
      </c>
      <c r="C24" s="189" t="s">
        <v>277</v>
      </c>
      <c r="D24" s="189" t="s">
        <v>285</v>
      </c>
      <c r="E24" s="212" t="str">
        <f>IF(B24="","",IF(ISNA(--VLOOKUP(A24,四面弹import!A:D,4,FALSE)),0,--VLOOKUP(A24,四面弹import!A:D,4,FALSE)))</f>
        <v/>
      </c>
      <c r="F24" s="190" t="str">
        <f>IF(B24="","",IF(ISNA(--VLOOKUP(A24,四面弹import!A:E,5,FALSE)),0,--VLOOKUP(A24,四面弹import!A:E,5,FALSE)))</f>
        <v/>
      </c>
      <c r="G24" s="189" t="s">
        <v>399</v>
      </c>
      <c r="H24" s="189" t="s">
        <v>309</v>
      </c>
      <c r="I24" s="189" t="s">
        <v>301</v>
      </c>
      <c r="J24" s="190">
        <v>160</v>
      </c>
      <c r="K24" s="189" t="s">
        <v>134</v>
      </c>
      <c r="L24" s="189" t="s">
        <v>281</v>
      </c>
      <c r="M24" s="190">
        <v>35</v>
      </c>
      <c r="N24" s="189" t="s">
        <v>287</v>
      </c>
      <c r="O24" s="189" t="s">
        <v>2</v>
      </c>
      <c r="P24" s="189" t="s">
        <v>327</v>
      </c>
      <c r="Q24" s="189" t="s">
        <v>173</v>
      </c>
    </row>
    <row r="25" spans="1:17">
      <c r="A25" s="348" t="str">
        <f t="shared" si="0"/>
        <v>A50-30-28小W固力35黑固力</v>
      </c>
      <c r="B25" s="28" t="s">
        <v>125</v>
      </c>
      <c r="C25" s="189" t="s">
        <v>277</v>
      </c>
      <c r="D25" s="189" t="s">
        <v>285</v>
      </c>
      <c r="E25" s="212">
        <f>IF(B25="","",IF(ISNA(--VLOOKUP(A25,四面弹import!A:D,4,FALSE)),0,--VLOOKUP(A25,四面弹import!A:D,4,FALSE)))</f>
        <v>284.8</v>
      </c>
      <c r="F25" s="190">
        <f>IF(B25="","",IF(ISNA(--VLOOKUP(A25,四面弹import!A:E,5,FALSE)),0,--VLOOKUP(A25,四面弹import!A:E,5,FALSE)))</f>
        <v>13</v>
      </c>
      <c r="G25" s="189" t="s">
        <v>308</v>
      </c>
      <c r="H25" s="189" t="s">
        <v>309</v>
      </c>
      <c r="I25" s="189" t="s">
        <v>301</v>
      </c>
      <c r="J25" s="190">
        <v>160</v>
      </c>
      <c r="K25" s="189" t="s">
        <v>136</v>
      </c>
      <c r="L25" s="189" t="s">
        <v>281</v>
      </c>
      <c r="M25" s="190">
        <v>35</v>
      </c>
      <c r="N25" s="189" t="s">
        <v>287</v>
      </c>
      <c r="O25" s="189" t="s">
        <v>1</v>
      </c>
      <c r="P25" s="189" t="s">
        <v>612</v>
      </c>
      <c r="Q25" s="189" t="s">
        <v>136</v>
      </c>
    </row>
    <row r="26" spans="1:17">
      <c r="A26" s="348" t="str">
        <f t="shared" si="0"/>
        <v>A50-30-28小W固力35黑横条</v>
      </c>
      <c r="C26" s="189" t="s">
        <v>277</v>
      </c>
      <c r="D26" s="189" t="s">
        <v>278</v>
      </c>
      <c r="E26" s="212" t="str">
        <f>IF(B26="","",IF(ISNA(--VLOOKUP(A26,四面弹import!A:D,4,FALSE)),0,--VLOOKUP(A26,四面弹import!A:D,4,FALSE)))</f>
        <v/>
      </c>
      <c r="F26" s="190" t="str">
        <f>IF(B26="","",IF(ISNA(--VLOOKUP(A26,四面弹import!A:E,5,FALSE)),0,--VLOOKUP(A26,四面弹import!A:E,5,FALSE)))</f>
        <v/>
      </c>
      <c r="G26" s="189" t="s">
        <v>328</v>
      </c>
      <c r="H26" s="189" t="s">
        <v>309</v>
      </c>
      <c r="I26" s="189" t="s">
        <v>301</v>
      </c>
      <c r="J26" s="190">
        <v>160</v>
      </c>
      <c r="K26" s="189" t="s">
        <v>136</v>
      </c>
      <c r="L26" s="189" t="s">
        <v>281</v>
      </c>
      <c r="M26" s="190">
        <v>35</v>
      </c>
      <c r="N26" s="189" t="s">
        <v>282</v>
      </c>
      <c r="O26" s="189" t="s">
        <v>1</v>
      </c>
      <c r="P26" s="189" t="s">
        <v>318</v>
      </c>
      <c r="Q26" s="189" t="s">
        <v>329</v>
      </c>
    </row>
    <row r="27" spans="1:17">
      <c r="A27" s="348" t="str">
        <f t="shared" si="0"/>
        <v>A50-30-28小W固力35黑漏针</v>
      </c>
      <c r="C27" s="189" t="s">
        <v>277</v>
      </c>
      <c r="D27" s="189" t="s">
        <v>278</v>
      </c>
      <c r="E27" s="212" t="str">
        <f>IF(B27="","",IF(ISNA(--VLOOKUP(A27,四面弹import!A:D,4,FALSE)),0,--VLOOKUP(A27,四面弹import!A:D,4,FALSE)))</f>
        <v/>
      </c>
      <c r="F27" s="190" t="str">
        <f>IF(B27="","",IF(ISNA(--VLOOKUP(A27,四面弹import!A:E,5,FALSE)),0,--VLOOKUP(A27,四面弹import!A:E,5,FALSE)))</f>
        <v/>
      </c>
      <c r="G27" s="189" t="s">
        <v>310</v>
      </c>
      <c r="H27" s="189" t="s">
        <v>309</v>
      </c>
      <c r="I27" s="189" t="s">
        <v>301</v>
      </c>
      <c r="J27" s="190">
        <v>160</v>
      </c>
      <c r="K27" s="189" t="s">
        <v>136</v>
      </c>
      <c r="L27" s="189" t="s">
        <v>281</v>
      </c>
      <c r="M27" s="190">
        <v>35</v>
      </c>
      <c r="N27" s="189" t="s">
        <v>282</v>
      </c>
      <c r="O27" s="189" t="s">
        <v>1</v>
      </c>
      <c r="P27" s="189" t="s">
        <v>665</v>
      </c>
      <c r="Q27" s="189" t="s">
        <v>311</v>
      </c>
    </row>
    <row r="28" spans="1:17">
      <c r="A28" s="348" t="str">
        <f t="shared" si="0"/>
        <v>A50-30-28小W固力35黑漏针</v>
      </c>
      <c r="C28" s="189" t="s">
        <v>277</v>
      </c>
      <c r="D28" s="189" t="s">
        <v>285</v>
      </c>
      <c r="E28" s="212" t="str">
        <f>IF(B28="","",IF(ISNA(--VLOOKUP(A28,四面弹import!A:D,4,FALSE)),0,--VLOOKUP(A28,四面弹import!A:D,4,FALSE)))</f>
        <v/>
      </c>
      <c r="F28" s="190" t="str">
        <f>IF(B28="","",IF(ISNA(--VLOOKUP(A28,四面弹import!A:E,5,FALSE)),0,--VLOOKUP(A28,四面弹import!A:E,5,FALSE)))</f>
        <v/>
      </c>
      <c r="G28" s="189" t="s">
        <v>310</v>
      </c>
      <c r="H28" s="189" t="s">
        <v>309</v>
      </c>
      <c r="I28" s="189" t="s">
        <v>301</v>
      </c>
      <c r="J28" s="190">
        <v>160</v>
      </c>
      <c r="K28" s="189" t="s">
        <v>136</v>
      </c>
      <c r="L28" s="189" t="s">
        <v>281</v>
      </c>
      <c r="M28" s="190">
        <v>35</v>
      </c>
      <c r="N28" s="189" t="s">
        <v>282</v>
      </c>
      <c r="O28" s="189" t="s">
        <v>1</v>
      </c>
      <c r="P28" s="189" t="s">
        <v>665</v>
      </c>
      <c r="Q28" s="189" t="s">
        <v>311</v>
      </c>
    </row>
    <row r="29" spans="1:17">
      <c r="A29" s="348" t="str">
        <f t="shared" si="0"/>
        <v>A50-30-28小W固力35黑毛点</v>
      </c>
      <c r="C29" s="189" t="s">
        <v>277</v>
      </c>
      <c r="D29" s="189" t="s">
        <v>285</v>
      </c>
      <c r="E29" s="212" t="str">
        <f>IF(B29="","",IF(ISNA(--VLOOKUP(A29,四面弹import!A:D,4,FALSE)),0,--VLOOKUP(A29,四面弹import!A:D,4,FALSE)))</f>
        <v/>
      </c>
      <c r="F29" s="190" t="str">
        <f>IF(B29="","",IF(ISNA(--VLOOKUP(A29,四面弹import!A:E,5,FALSE)),0,--VLOOKUP(A29,四面弹import!A:E,5,FALSE)))</f>
        <v/>
      </c>
      <c r="G29" s="189" t="s">
        <v>310</v>
      </c>
      <c r="H29" s="189" t="s">
        <v>309</v>
      </c>
      <c r="I29" s="189" t="s">
        <v>301</v>
      </c>
      <c r="J29" s="190">
        <v>160</v>
      </c>
      <c r="K29" s="189" t="s">
        <v>136</v>
      </c>
      <c r="L29" s="189" t="s">
        <v>281</v>
      </c>
      <c r="M29" s="190">
        <v>35</v>
      </c>
      <c r="N29" s="189" t="s">
        <v>282</v>
      </c>
      <c r="O29" s="189" t="s">
        <v>1</v>
      </c>
      <c r="P29" s="189" t="s">
        <v>612</v>
      </c>
      <c r="Q29" s="189" t="s">
        <v>314</v>
      </c>
    </row>
    <row r="30" spans="1:17">
      <c r="A30" s="348" t="str">
        <f t="shared" si="0"/>
        <v>A50-30-28小W固力35黑有油</v>
      </c>
      <c r="B30" s="250" t="s">
        <v>2254</v>
      </c>
      <c r="C30" s="189" t="s">
        <v>277</v>
      </c>
      <c r="D30" s="189" t="s">
        <v>285</v>
      </c>
      <c r="E30" s="212">
        <f>IF(B30="","",IF(ISNA(--VLOOKUP(A30,四面弹import!A:D,4,FALSE)),0,--VLOOKUP(A30,四面弹import!A:D,4,FALSE)))</f>
        <v>283.39999999999998</v>
      </c>
      <c r="F30" s="190">
        <f>IF(B30="","",IF(ISNA(--VLOOKUP(A30,四面弹import!A:E,5,FALSE)),0,--VLOOKUP(A30,四面弹import!A:E,5,FALSE)))</f>
        <v>13</v>
      </c>
      <c r="G30" s="189" t="s">
        <v>399</v>
      </c>
      <c r="H30" s="189" t="s">
        <v>309</v>
      </c>
      <c r="I30" s="189" t="s">
        <v>301</v>
      </c>
      <c r="J30" s="190">
        <v>160</v>
      </c>
      <c r="K30" s="189" t="s">
        <v>136</v>
      </c>
      <c r="L30" s="189" t="s">
        <v>281</v>
      </c>
      <c r="M30" s="190">
        <v>35</v>
      </c>
      <c r="N30" s="189" t="s">
        <v>287</v>
      </c>
      <c r="O30" s="189" t="s">
        <v>1</v>
      </c>
      <c r="P30" s="189" t="s">
        <v>312</v>
      </c>
      <c r="Q30" s="189" t="s">
        <v>312</v>
      </c>
    </row>
    <row r="31" spans="1:17" s="332" customFormat="1">
      <c r="A31" s="348" t="str">
        <f t="shared" si="0"/>
        <v>A50-30-28小W长乐32白大机/常温横条</v>
      </c>
      <c r="B31" s="332" t="s">
        <v>1617</v>
      </c>
      <c r="C31" s="349" t="s">
        <v>277</v>
      </c>
      <c r="D31" s="349" t="s">
        <v>278</v>
      </c>
      <c r="E31" s="350">
        <f>IF(B31="","",IF(ISNA(--VLOOKUP(A31,四面弹import!A:D,4,FALSE)),0,--VLOOKUP(A31,四面弹import!A:D,4,FALSE)))</f>
        <v>20.5</v>
      </c>
      <c r="F31" s="351">
        <f>IF(B31="","",IF(ISNA(--VLOOKUP(A31,四面弹import!A:E,5,FALSE)),0,--VLOOKUP(A31,四面弹import!A:E,5,FALSE)))</f>
        <v>1</v>
      </c>
      <c r="G31" s="349" t="s">
        <v>317</v>
      </c>
      <c r="H31" s="349" t="s">
        <v>309</v>
      </c>
      <c r="I31" s="349" t="s">
        <v>301</v>
      </c>
      <c r="J31" s="351">
        <v>160</v>
      </c>
      <c r="K31" s="349" t="s">
        <v>158</v>
      </c>
      <c r="L31" s="349" t="s">
        <v>281</v>
      </c>
      <c r="M31" s="351">
        <v>32</v>
      </c>
      <c r="N31" s="349" t="s">
        <v>282</v>
      </c>
      <c r="O31" s="349" t="s">
        <v>2</v>
      </c>
      <c r="P31" s="349" t="s">
        <v>318</v>
      </c>
      <c r="Q31" s="349" t="s">
        <v>319</v>
      </c>
    </row>
    <row r="32" spans="1:17" s="332" customFormat="1">
      <c r="A32" s="348" t="str">
        <f t="shared" si="0"/>
        <v>A50-30-28小W长乐32白大机常温</v>
      </c>
      <c r="B32" s="332" t="s">
        <v>1617</v>
      </c>
      <c r="C32" s="349" t="s">
        <v>277</v>
      </c>
      <c r="D32" s="349" t="s">
        <v>285</v>
      </c>
      <c r="E32" s="350">
        <f>IF(B32="","",IF(ISNA(--VLOOKUP(A32,四面弹import!A:D,4,FALSE)),0,--VLOOKUP(A32,四面弹import!A:D,4,FALSE)))</f>
        <v>2799.4</v>
      </c>
      <c r="F32" s="351">
        <f>IF(B32="","",IF(ISNA(--VLOOKUP(A32,四面弹import!A:E,5,FALSE)),0,--VLOOKUP(A32,四面弹import!A:E,5,FALSE)))</f>
        <v>142</v>
      </c>
      <c r="G32" s="349" t="s">
        <v>339</v>
      </c>
      <c r="H32" s="349" t="s">
        <v>181</v>
      </c>
      <c r="I32" s="349" t="s">
        <v>301</v>
      </c>
      <c r="J32" s="351">
        <v>160</v>
      </c>
      <c r="K32" s="349" t="s">
        <v>158</v>
      </c>
      <c r="L32" s="349" t="s">
        <v>281</v>
      </c>
      <c r="M32" s="351">
        <v>32</v>
      </c>
      <c r="N32" s="349" t="s">
        <v>287</v>
      </c>
      <c r="O32" s="349" t="s">
        <v>2</v>
      </c>
      <c r="P32" s="349" t="s">
        <v>612</v>
      </c>
      <c r="Q32" s="349" t="s">
        <v>340</v>
      </c>
    </row>
    <row r="33" spans="1:17">
      <c r="A33" s="348" t="str">
        <f t="shared" si="0"/>
        <v>A50-30-28小W长乐35白大机/常温 横条</v>
      </c>
      <c r="C33" s="189" t="s">
        <v>277</v>
      </c>
      <c r="D33" s="189" t="s">
        <v>278</v>
      </c>
      <c r="E33" s="212" t="str">
        <f>IF(B33="","",IF(ISNA(--VLOOKUP(A33,四面弹import!A:D,4,FALSE)),0,--VLOOKUP(A33,四面弹import!A:D,4,FALSE)))</f>
        <v/>
      </c>
      <c r="F33" s="190" t="str">
        <f>IF(B33="","",IF(ISNA(--VLOOKUP(A33,四面弹import!A:E,5,FALSE)),0,--VLOOKUP(A33,四面弹import!A:E,5,FALSE)))</f>
        <v/>
      </c>
      <c r="G33" s="189" t="s">
        <v>337</v>
      </c>
      <c r="H33" s="189" t="s">
        <v>181</v>
      </c>
      <c r="I33" s="189" t="s">
        <v>301</v>
      </c>
      <c r="J33" s="190">
        <v>160</v>
      </c>
      <c r="K33" s="189" t="s">
        <v>158</v>
      </c>
      <c r="L33" s="189" t="s">
        <v>281</v>
      </c>
      <c r="M33" s="190">
        <v>35</v>
      </c>
      <c r="N33" s="189" t="s">
        <v>282</v>
      </c>
      <c r="O33" s="189" t="s">
        <v>2</v>
      </c>
      <c r="P33" s="189" t="s">
        <v>318</v>
      </c>
      <c r="Q33" s="189" t="s">
        <v>338</v>
      </c>
    </row>
    <row r="34" spans="1:17">
      <c r="A34" s="348" t="str">
        <f t="shared" ref="A34:A65" si="1">SUBSTITUTE(H34," ","")&amp;I34&amp;K34&amp;M34&amp;O34&amp;Q34</f>
        <v>A50-30-28小W长乐35白小机常温竖条</v>
      </c>
      <c r="C34" s="189" t="s">
        <v>277</v>
      </c>
      <c r="D34" s="189" t="s">
        <v>285</v>
      </c>
      <c r="E34" s="212" t="str">
        <f>IF(B34="","",IF(ISNA(--VLOOKUP(A34,四面弹import!A:D,4,FALSE)),0,--VLOOKUP(A34,四面弹import!A:D,4,FALSE)))</f>
        <v/>
      </c>
      <c r="F34" s="190" t="str">
        <f>IF(B34="","",IF(ISNA(--VLOOKUP(A34,四面弹import!A:E,5,FALSE)),0,--VLOOKUP(A34,四面弹import!A:E,5,FALSE)))</f>
        <v/>
      </c>
      <c r="G34" s="189" t="s">
        <v>399</v>
      </c>
      <c r="H34" s="189" t="s">
        <v>309</v>
      </c>
      <c r="I34" s="189" t="s">
        <v>301</v>
      </c>
      <c r="J34" s="190">
        <v>160</v>
      </c>
      <c r="K34" s="189" t="s">
        <v>158</v>
      </c>
      <c r="L34" s="189" t="s">
        <v>281</v>
      </c>
      <c r="M34" s="190">
        <v>35</v>
      </c>
      <c r="N34" s="189" t="s">
        <v>282</v>
      </c>
      <c r="O34" s="189" t="s">
        <v>2</v>
      </c>
      <c r="P34" s="189" t="s">
        <v>315</v>
      </c>
      <c r="Q34" s="189" t="s">
        <v>316</v>
      </c>
    </row>
    <row r="35" spans="1:17" s="332" customFormat="1">
      <c r="A35" s="348" t="str">
        <f t="shared" si="1"/>
        <v>A50-30-28小W长乐38白大机/常温</v>
      </c>
      <c r="B35" s="332" t="s">
        <v>1634</v>
      </c>
      <c r="C35" s="349" t="s">
        <v>277</v>
      </c>
      <c r="D35" s="349" t="s">
        <v>285</v>
      </c>
      <c r="E35" s="350">
        <f>IF(B35="","",IF(ISNA(--VLOOKUP(A35,四面弹import!A:D,4,FALSE)),0,--VLOOKUP(A35,四面弹import!A:D,4,FALSE)))</f>
        <v>1071.2</v>
      </c>
      <c r="F35" s="351">
        <f>IF(B35="","",IF(ISNA(--VLOOKUP(A35,四面弹import!A:E,5,FALSE)),0,--VLOOKUP(A35,四面弹import!A:E,5,FALSE)))</f>
        <v>54</v>
      </c>
      <c r="G35" s="349" t="s">
        <v>323</v>
      </c>
      <c r="H35" s="349" t="s">
        <v>309</v>
      </c>
      <c r="I35" s="349" t="s">
        <v>301</v>
      </c>
      <c r="J35" s="351">
        <v>160</v>
      </c>
      <c r="K35" s="349" t="s">
        <v>158</v>
      </c>
      <c r="L35" s="349" t="s">
        <v>281</v>
      </c>
      <c r="M35" s="351">
        <v>38</v>
      </c>
      <c r="N35" s="349" t="s">
        <v>287</v>
      </c>
      <c r="O35" s="349" t="s">
        <v>2</v>
      </c>
      <c r="P35" s="349" t="s">
        <v>612</v>
      </c>
      <c r="Q35" s="349" t="s">
        <v>324</v>
      </c>
    </row>
    <row r="36" spans="1:17" s="332" customFormat="1">
      <c r="A36" s="348" t="str">
        <f t="shared" si="1"/>
        <v>A50-30-28小W长乐40白大机常温</v>
      </c>
      <c r="B36" s="332" t="s">
        <v>78</v>
      </c>
      <c r="C36" s="349" t="s">
        <v>277</v>
      </c>
      <c r="D36" s="349" t="s">
        <v>285</v>
      </c>
      <c r="E36" s="350">
        <f>IF(B36="","",IF(ISNA(--VLOOKUP(A36,四面弹import!A:D,4,FALSE)),0,--VLOOKUP(A36,四面弹import!A:D,4,FALSE)))</f>
        <v>350.6</v>
      </c>
      <c r="F36" s="351">
        <f>IF(B36="","",IF(ISNA(--VLOOKUP(A36,四面弹import!A:E,5,FALSE)),0,--VLOOKUP(A36,四面弹import!A:E,5,FALSE)))</f>
        <v>18</v>
      </c>
      <c r="G36" s="349" t="s">
        <v>1571</v>
      </c>
      <c r="H36" s="349" t="s">
        <v>181</v>
      </c>
      <c r="I36" s="349" t="s">
        <v>301</v>
      </c>
      <c r="J36" s="351">
        <v>160</v>
      </c>
      <c r="K36" s="349" t="s">
        <v>158</v>
      </c>
      <c r="L36" s="349" t="s">
        <v>281</v>
      </c>
      <c r="M36" s="351">
        <v>40</v>
      </c>
      <c r="N36" s="349" t="s">
        <v>287</v>
      </c>
      <c r="O36" s="349" t="s">
        <v>2</v>
      </c>
      <c r="P36" s="349" t="s">
        <v>612</v>
      </c>
      <c r="Q36" s="349" t="s">
        <v>340</v>
      </c>
    </row>
    <row r="37" spans="1:17" s="332" customFormat="1">
      <c r="A37" s="348" t="str">
        <f t="shared" si="1"/>
        <v>A50-30-28小W长乐42白常温</v>
      </c>
      <c r="B37" s="332" t="s">
        <v>1633</v>
      </c>
      <c r="C37" s="349" t="s">
        <v>277</v>
      </c>
      <c r="D37" s="349" t="s">
        <v>285</v>
      </c>
      <c r="E37" s="350">
        <f>IF(B37="","",IF(ISNA(--VLOOKUP(A37,四面弹import!A:D,4,FALSE)),0,--VLOOKUP(A37,四面弹import!A:D,4,FALSE)))</f>
        <v>113.8</v>
      </c>
      <c r="F37" s="351">
        <f>IF(B37="","",IF(ISNA(--VLOOKUP(A37,四面弹import!A:E,5,FALSE)),0,--VLOOKUP(A37,四面弹import!A:E,5,FALSE)))</f>
        <v>6</v>
      </c>
      <c r="G37" s="349" t="s">
        <v>325</v>
      </c>
      <c r="H37" s="349" t="s">
        <v>309</v>
      </c>
      <c r="I37" s="349" t="s">
        <v>301</v>
      </c>
      <c r="J37" s="351">
        <v>160</v>
      </c>
      <c r="K37" s="349" t="s">
        <v>158</v>
      </c>
      <c r="L37" s="349" t="s">
        <v>281</v>
      </c>
      <c r="M37" s="351">
        <v>42</v>
      </c>
      <c r="N37" s="349" t="s">
        <v>287</v>
      </c>
      <c r="O37" s="349" t="s">
        <v>2</v>
      </c>
      <c r="P37" s="349" t="s">
        <v>612</v>
      </c>
      <c r="Q37" s="349" t="s">
        <v>322</v>
      </c>
    </row>
    <row r="38" spans="1:17" s="332" customFormat="1">
      <c r="A38" s="348" t="str">
        <f t="shared" si="1"/>
        <v>A50-30-28小W长乐42白常温染黑</v>
      </c>
      <c r="C38" s="349" t="s">
        <v>277</v>
      </c>
      <c r="D38" s="349" t="s">
        <v>278</v>
      </c>
      <c r="E38" s="350" t="str">
        <f>IF(B38="","",IF(ISNA(--VLOOKUP(A38,四面弹import!A:D,4,FALSE)),0,--VLOOKUP(A38,四面弹import!A:D,4,FALSE)))</f>
        <v/>
      </c>
      <c r="F38" s="351" t="str">
        <f>IF(B38="","",IF(ISNA(--VLOOKUP(A38,四面弹import!A:E,5,FALSE)),0,--VLOOKUP(A38,四面弹import!A:E,5,FALSE)))</f>
        <v/>
      </c>
      <c r="G38" s="349" t="s">
        <v>325</v>
      </c>
      <c r="H38" s="349" t="s">
        <v>309</v>
      </c>
      <c r="I38" s="349" t="s">
        <v>301</v>
      </c>
      <c r="J38" s="351">
        <v>160</v>
      </c>
      <c r="K38" s="349" t="s">
        <v>158</v>
      </c>
      <c r="L38" s="349" t="s">
        <v>281</v>
      </c>
      <c r="M38" s="351">
        <v>42</v>
      </c>
      <c r="N38" s="349" t="s">
        <v>282</v>
      </c>
      <c r="O38" s="349" t="s">
        <v>2</v>
      </c>
      <c r="P38" s="349" t="s">
        <v>318</v>
      </c>
      <c r="Q38" s="349" t="s">
        <v>326</v>
      </c>
    </row>
    <row r="39" spans="1:17" s="332" customFormat="1">
      <c r="A39" s="348" t="str">
        <f t="shared" si="1"/>
        <v>A50-30-28直平纹长乐36白</v>
      </c>
      <c r="B39" s="332" t="s">
        <v>127</v>
      </c>
      <c r="C39" s="349" t="s">
        <v>277</v>
      </c>
      <c r="D39" s="349" t="s">
        <v>285</v>
      </c>
      <c r="E39" s="350">
        <f>IF(B39="","",IF(ISNA(--VLOOKUP(A39,四面弹import!A:D,4,FALSE)),0,--VLOOKUP(A39,四面弹import!A:D,4,FALSE)))</f>
        <v>313.60000000000002</v>
      </c>
      <c r="F39" s="351">
        <f>IF(B39="","",IF(ISNA(--VLOOKUP(A39,四面弹import!A:E,5,FALSE)),0,--VLOOKUP(A39,四面弹import!A:E,5,FALSE)))</f>
        <v>16</v>
      </c>
      <c r="G39" s="349" t="s">
        <v>399</v>
      </c>
      <c r="H39" s="349" t="s">
        <v>309</v>
      </c>
      <c r="I39" s="349" t="s">
        <v>180</v>
      </c>
      <c r="J39" s="351">
        <v>160</v>
      </c>
      <c r="K39" s="349" t="s">
        <v>158</v>
      </c>
      <c r="L39" s="349" t="s">
        <v>281</v>
      </c>
      <c r="M39" s="351">
        <v>36</v>
      </c>
      <c r="N39" s="349" t="s">
        <v>287</v>
      </c>
      <c r="O39" s="349" t="s">
        <v>2</v>
      </c>
      <c r="P39" s="349" t="s">
        <v>612</v>
      </c>
      <c r="Q39" s="349" t="s">
        <v>399</v>
      </c>
    </row>
    <row r="40" spans="1:17">
      <c r="A40" s="348" t="str">
        <f t="shared" si="1"/>
        <v>50-30-32小W长乐35白32针/常温</v>
      </c>
      <c r="B40" s="250" t="s">
        <v>1622</v>
      </c>
      <c r="C40" s="189" t="s">
        <v>277</v>
      </c>
      <c r="D40" s="189" t="s">
        <v>285</v>
      </c>
      <c r="E40" s="212">
        <f>IF(B40="","",IF(ISNA(--VLOOKUP(A40,四面弹import!A:D,4,FALSE)),0,--VLOOKUP(A40,四面弹import!A:D,4,FALSE)))</f>
        <v>389.2</v>
      </c>
      <c r="F40" s="190">
        <f>IF(B40="","",IF(ISNA(--VLOOKUP(A40,四面弹import!A:E,5,FALSE)),0,--VLOOKUP(A40,四面弹import!A:E,5,FALSE)))</f>
        <v>20</v>
      </c>
      <c r="G40" s="370" t="s">
        <v>1821</v>
      </c>
      <c r="H40" s="370" t="s">
        <v>176</v>
      </c>
      <c r="I40" s="370" t="s">
        <v>301</v>
      </c>
      <c r="J40" s="370" t="s">
        <v>613</v>
      </c>
      <c r="K40" s="370" t="s">
        <v>158</v>
      </c>
      <c r="L40" s="370" t="s">
        <v>281</v>
      </c>
      <c r="M40" s="370" t="s">
        <v>663</v>
      </c>
      <c r="N40" s="370" t="s">
        <v>287</v>
      </c>
      <c r="O40" s="370" t="s">
        <v>2</v>
      </c>
      <c r="P40" s="370" t="s">
        <v>612</v>
      </c>
      <c r="Q40" s="370" t="s">
        <v>1822</v>
      </c>
    </row>
    <row r="41" spans="1:17" s="332" customFormat="1">
      <c r="A41" s="348" t="str">
        <f t="shared" si="1"/>
        <v>A75-30-28斜乱平纹长乐45白21325</v>
      </c>
      <c r="B41" s="332" t="s">
        <v>128</v>
      </c>
      <c r="C41" s="349" t="s">
        <v>277</v>
      </c>
      <c r="D41" s="349" t="s">
        <v>285</v>
      </c>
      <c r="E41" s="350">
        <f>IF(B41="","",IF(ISNA(--VLOOKUP(A41,四面弹import!A:D,4,FALSE)),0,--VLOOKUP(A41,四面弹import!A:D,4,FALSE)))</f>
        <v>504.2</v>
      </c>
      <c r="F41" s="351">
        <f>IF(B41="","",IF(ISNA(--VLOOKUP(A41,四面弹import!A:E,5,FALSE)),0,--VLOOKUP(A41,四面弹import!A:E,5,FALSE)))</f>
        <v>25</v>
      </c>
      <c r="G41" s="349" t="s">
        <v>333</v>
      </c>
      <c r="H41" s="349" t="s">
        <v>331</v>
      </c>
      <c r="I41" s="349" t="s">
        <v>44</v>
      </c>
      <c r="J41" s="351">
        <v>160</v>
      </c>
      <c r="K41" s="349" t="s">
        <v>158</v>
      </c>
      <c r="L41" s="349" t="s">
        <v>281</v>
      </c>
      <c r="M41" s="351">
        <v>45</v>
      </c>
      <c r="N41" s="349" t="s">
        <v>287</v>
      </c>
      <c r="O41" s="349" t="s">
        <v>2</v>
      </c>
      <c r="P41" s="349" t="s">
        <v>612</v>
      </c>
      <c r="Q41" s="349" t="s">
        <v>691</v>
      </c>
    </row>
    <row r="42" spans="1:17" s="332" customFormat="1">
      <c r="A42" s="348" t="str">
        <f t="shared" si="1"/>
        <v>A75-30-28斜乱平纹长乐48白21325换丝了</v>
      </c>
      <c r="B42" s="332" t="s">
        <v>129</v>
      </c>
      <c r="C42" s="349" t="s">
        <v>277</v>
      </c>
      <c r="D42" s="349" t="s">
        <v>285</v>
      </c>
      <c r="E42" s="350">
        <f>IF(B42="","",IF(ISNA(--VLOOKUP(A42,四面弹import!A:D,4,FALSE)),0,--VLOOKUP(A42,四面弹import!A:D,4,FALSE)))</f>
        <v>565.6</v>
      </c>
      <c r="F42" s="351">
        <f>IF(B42="","",IF(ISNA(--VLOOKUP(A42,四面弹import!A:E,5,FALSE)),0,--VLOOKUP(A42,四面弹import!A:E,5,FALSE)))</f>
        <v>28</v>
      </c>
      <c r="G42" s="349" t="s">
        <v>399</v>
      </c>
      <c r="H42" s="349" t="s">
        <v>331</v>
      </c>
      <c r="I42" s="349" t="s">
        <v>44</v>
      </c>
      <c r="J42" s="351">
        <v>160</v>
      </c>
      <c r="K42" s="349" t="s">
        <v>158</v>
      </c>
      <c r="L42" s="349" t="s">
        <v>281</v>
      </c>
      <c r="M42" s="351">
        <v>48</v>
      </c>
      <c r="N42" s="349" t="s">
        <v>287</v>
      </c>
      <c r="O42" s="349" t="s">
        <v>2</v>
      </c>
      <c r="P42" s="349" t="s">
        <v>334</v>
      </c>
      <c r="Q42" s="349" t="s">
        <v>335</v>
      </c>
    </row>
    <row r="43" spans="1:17" s="332" customFormat="1">
      <c r="A43" s="348" t="str">
        <f t="shared" si="1"/>
        <v>A75-30-28斜乱平纹长乐48白高温</v>
      </c>
      <c r="B43" s="332" t="s">
        <v>129</v>
      </c>
      <c r="C43" s="349" t="s">
        <v>277</v>
      </c>
      <c r="D43" s="349" t="s">
        <v>285</v>
      </c>
      <c r="E43" s="350">
        <f>IF(B43="","",IF(ISNA(--VLOOKUP(A43,四面弹import!A:D,4,FALSE)),0,--VLOOKUP(A43,四面弹import!A:D,4,FALSE)))</f>
        <v>0</v>
      </c>
      <c r="F43" s="351">
        <f>IF(B43="","",IF(ISNA(--VLOOKUP(A43,四面弹import!A:E,5,FALSE)),0,--VLOOKUP(A43,四面弹import!A:E,5,FALSE)))</f>
        <v>0</v>
      </c>
      <c r="G43" s="349" t="s">
        <v>330</v>
      </c>
      <c r="H43" s="349" t="s">
        <v>331</v>
      </c>
      <c r="I43" s="349" t="s">
        <v>44</v>
      </c>
      <c r="J43" s="351">
        <v>160</v>
      </c>
      <c r="K43" s="349" t="s">
        <v>158</v>
      </c>
      <c r="L43" s="349" t="s">
        <v>281</v>
      </c>
      <c r="M43" s="351">
        <v>48</v>
      </c>
      <c r="N43" s="349" t="s">
        <v>287</v>
      </c>
      <c r="O43" s="349" t="s">
        <v>2</v>
      </c>
      <c r="P43" s="349" t="s">
        <v>612</v>
      </c>
      <c r="Q43" s="349" t="s">
        <v>332</v>
      </c>
    </row>
    <row r="44" spans="1:17" s="332" customFormat="1">
      <c r="A44" s="348" t="str">
        <f t="shared" si="1"/>
        <v>A75-30-28斜乱平纹长乐49白</v>
      </c>
      <c r="B44" s="348" t="s">
        <v>746</v>
      </c>
      <c r="C44" s="349" t="s">
        <v>277</v>
      </c>
      <c r="D44" s="349" t="s">
        <v>285</v>
      </c>
      <c r="E44" s="350">
        <f>IF(B44="","",IF(ISNA(--VLOOKUP(A44,四面弹import!A:D,4,FALSE)),0,--VLOOKUP(A44,四面弹import!A:D,4,FALSE)))</f>
        <v>191.8</v>
      </c>
      <c r="F44" s="351">
        <f>IF(B44="","",IF(ISNA(--VLOOKUP(A44,四面弹import!A:E,5,FALSE)),0,--VLOOKUP(A44,四面弹import!A:E,5,FALSE)))</f>
        <v>10</v>
      </c>
      <c r="G44" s="349" t="s">
        <v>336</v>
      </c>
      <c r="H44" s="349" t="s">
        <v>331</v>
      </c>
      <c r="I44" s="349" t="s">
        <v>44</v>
      </c>
      <c r="J44" s="351">
        <v>160</v>
      </c>
      <c r="K44" s="349" t="s">
        <v>158</v>
      </c>
      <c r="L44" s="349" t="s">
        <v>281</v>
      </c>
      <c r="M44" s="351">
        <v>49</v>
      </c>
      <c r="N44" s="349" t="s">
        <v>287</v>
      </c>
      <c r="O44" s="349" t="s">
        <v>2</v>
      </c>
      <c r="P44" s="349" t="s">
        <v>612</v>
      </c>
      <c r="Q44" s="349" t="s">
        <v>399</v>
      </c>
    </row>
    <row r="45" spans="1:17" s="332" customFormat="1">
      <c r="A45" s="348" t="str">
        <f t="shared" si="1"/>
        <v>B100-30-24大W申久63白</v>
      </c>
      <c r="B45" s="332" t="s">
        <v>2481</v>
      </c>
      <c r="C45" s="349" t="s">
        <v>277</v>
      </c>
      <c r="D45" s="349" t="s">
        <v>285</v>
      </c>
      <c r="E45" s="350">
        <f>IF(B45="","",IF(ISNA(--VLOOKUP(A45,四面弹import!A:D,4,FALSE)),0,--VLOOKUP(A45,四面弹import!A:D,4,FALSE)))</f>
        <v>0</v>
      </c>
      <c r="F45" s="351">
        <f>IF(B45="","",IF(ISNA(--VLOOKUP(A45,四面弹import!A:E,5,FALSE)),0,--VLOOKUP(A45,四面弹import!A:E,5,FALSE)))</f>
        <v>0</v>
      </c>
      <c r="G45" s="349" t="s">
        <v>1572</v>
      </c>
      <c r="H45" s="349" t="s">
        <v>341</v>
      </c>
      <c r="I45" s="349" t="s">
        <v>168</v>
      </c>
      <c r="J45" s="351">
        <v>160</v>
      </c>
      <c r="K45" s="349" t="s">
        <v>146</v>
      </c>
      <c r="L45" s="349" t="s">
        <v>281</v>
      </c>
      <c r="M45" s="351">
        <v>63</v>
      </c>
      <c r="N45" s="349" t="s">
        <v>287</v>
      </c>
      <c r="O45" s="349" t="s">
        <v>2</v>
      </c>
      <c r="P45" s="349" t="s">
        <v>612</v>
      </c>
      <c r="Q45" s="349" t="s">
        <v>399</v>
      </c>
    </row>
    <row r="46" spans="1:17" s="332" customFormat="1">
      <c r="A46" s="348" t="str">
        <f t="shared" si="1"/>
        <v>B100-30-24直平纹申久66白染黑</v>
      </c>
      <c r="C46" s="349" t="s">
        <v>277</v>
      </c>
      <c r="D46" s="349" t="s">
        <v>278</v>
      </c>
      <c r="E46" s="350" t="str">
        <f>IF(B46="","",IF(ISNA(--VLOOKUP(A46,四面弹import!A:D,4,FALSE)),0,--VLOOKUP(A46,四面弹import!A:D,4,FALSE)))</f>
        <v/>
      </c>
      <c r="F46" s="351" t="str">
        <f>IF(B46="","",IF(ISNA(--VLOOKUP(A46,四面弹import!A:E,5,FALSE)),0,--VLOOKUP(A46,四面弹import!A:E,5,FALSE)))</f>
        <v/>
      </c>
      <c r="G46" s="349" t="s">
        <v>399</v>
      </c>
      <c r="H46" s="349" t="s">
        <v>341</v>
      </c>
      <c r="I46" s="349" t="s">
        <v>180</v>
      </c>
      <c r="J46" s="351">
        <v>160</v>
      </c>
      <c r="K46" s="349" t="s">
        <v>146</v>
      </c>
      <c r="L46" s="349" t="s">
        <v>281</v>
      </c>
      <c r="M46" s="351">
        <v>66</v>
      </c>
      <c r="N46" s="349" t="s">
        <v>282</v>
      </c>
      <c r="O46" s="349" t="s">
        <v>2</v>
      </c>
      <c r="P46" s="349" t="s">
        <v>313</v>
      </c>
      <c r="Q46" s="349" t="s">
        <v>342</v>
      </c>
    </row>
    <row r="47" spans="1:17" s="332" customFormat="1">
      <c r="A47" s="348" t="str">
        <f t="shared" si="1"/>
        <v>B30-30-32大W长乐23白</v>
      </c>
      <c r="B47" s="332" t="s">
        <v>734</v>
      </c>
      <c r="C47" s="349" t="s">
        <v>277</v>
      </c>
      <c r="D47" s="349" t="s">
        <v>285</v>
      </c>
      <c r="E47" s="350">
        <f>IF(B47="","",IF(ISNA(--VLOOKUP(A47,四面弹import!A:D,4,FALSE)),0,--VLOOKUP(A47,四面弹import!A:D,4,FALSE)))</f>
        <v>0</v>
      </c>
      <c r="F47" s="351">
        <f>IF(B47="","",IF(ISNA(--VLOOKUP(A47,四面弹import!A:E,5,FALSE)),0,--VLOOKUP(A47,四面弹import!A:E,5,FALSE)))</f>
        <v>0</v>
      </c>
      <c r="G47" s="349" t="s">
        <v>399</v>
      </c>
      <c r="H47" s="349" t="s">
        <v>344</v>
      </c>
      <c r="I47" s="349" t="s">
        <v>168</v>
      </c>
      <c r="J47" s="351">
        <v>160</v>
      </c>
      <c r="K47" s="349" t="s">
        <v>158</v>
      </c>
      <c r="L47" s="349" t="s">
        <v>281</v>
      </c>
      <c r="M47" s="351">
        <v>23</v>
      </c>
      <c r="N47" s="349" t="s">
        <v>287</v>
      </c>
      <c r="O47" s="349" t="s">
        <v>2</v>
      </c>
      <c r="P47" s="349" t="s">
        <v>612</v>
      </c>
      <c r="Q47" s="353"/>
    </row>
    <row r="48" spans="1:17" s="332" customFormat="1">
      <c r="A48" s="348" t="str">
        <f t="shared" si="1"/>
        <v>B30-30-32大W银宇23白302409</v>
      </c>
      <c r="B48" s="332" t="s">
        <v>2475</v>
      </c>
      <c r="C48" s="354" t="s">
        <v>277</v>
      </c>
      <c r="D48" s="354" t="s">
        <v>285</v>
      </c>
      <c r="E48" s="350">
        <f>IF(B48="","",IF(ISNA(--VLOOKUP(A48,四面弹import!A:D,4,FALSE)),0,--VLOOKUP(A48,四面弹import!A:D,4,FALSE)))</f>
        <v>53.3</v>
      </c>
      <c r="F48" s="351">
        <f>IF(B48="","",IF(ISNA(--VLOOKUP(A48,四面弹import!A:E,5,FALSE)),0,--VLOOKUP(A48,四面弹import!A:E,5,FALSE)))</f>
        <v>3</v>
      </c>
      <c r="G48" s="354" t="s">
        <v>399</v>
      </c>
      <c r="H48" s="354" t="s">
        <v>344</v>
      </c>
      <c r="I48" s="354" t="s">
        <v>168</v>
      </c>
      <c r="J48" s="354" t="s">
        <v>613</v>
      </c>
      <c r="K48" s="354" t="s">
        <v>154</v>
      </c>
      <c r="L48" s="354" t="s">
        <v>281</v>
      </c>
      <c r="M48" s="354" t="s">
        <v>617</v>
      </c>
      <c r="N48" s="354" t="s">
        <v>287</v>
      </c>
      <c r="O48" s="354" t="s">
        <v>2</v>
      </c>
      <c r="P48" s="354" t="s">
        <v>612</v>
      </c>
      <c r="Q48" s="354" t="s">
        <v>943</v>
      </c>
    </row>
    <row r="49" spans="1:17" s="332" customFormat="1">
      <c r="A49" s="348" t="str">
        <f t="shared" si="1"/>
        <v>B30-30-32乱平纹银宇23白302409</v>
      </c>
      <c r="B49" s="332" t="s">
        <v>238</v>
      </c>
      <c r="C49" s="349" t="s">
        <v>277</v>
      </c>
      <c r="D49" s="349" t="s">
        <v>285</v>
      </c>
      <c r="E49" s="350">
        <f>IF(B49="","",IF(ISNA(--VLOOKUP(A49,四面弹import!A:D,4,FALSE)),0,--VLOOKUP(A49,四面弹import!A:D,4,FALSE)))</f>
        <v>519.29999999999995</v>
      </c>
      <c r="F49" s="351">
        <f>IF(B49="","",IF(ISNA(--VLOOKUP(A49,四面弹import!A:E,5,FALSE)),0,--VLOOKUP(A49,四面弹import!A:E,5,FALSE)))</f>
        <v>28</v>
      </c>
      <c r="G49" s="349" t="s">
        <v>1574</v>
      </c>
      <c r="H49" s="349" t="s">
        <v>187</v>
      </c>
      <c r="I49" s="349" t="s">
        <v>175</v>
      </c>
      <c r="J49" s="351">
        <v>160</v>
      </c>
      <c r="K49" s="349" t="s">
        <v>154</v>
      </c>
      <c r="L49" s="349" t="s">
        <v>281</v>
      </c>
      <c r="M49" s="351">
        <v>23</v>
      </c>
      <c r="N49" s="349" t="s">
        <v>287</v>
      </c>
      <c r="O49" s="349" t="s">
        <v>2</v>
      </c>
      <c r="P49" s="349"/>
      <c r="Q49" s="349">
        <v>302409</v>
      </c>
    </row>
    <row r="50" spans="1:17" s="332" customFormat="1">
      <c r="A50" s="348" t="str">
        <f t="shared" si="1"/>
        <v>B30-30-32乱平纹长乐23白S22101</v>
      </c>
      <c r="B50" s="332" t="s">
        <v>238</v>
      </c>
      <c r="C50" s="349" t="s">
        <v>277</v>
      </c>
      <c r="D50" s="349" t="s">
        <v>285</v>
      </c>
      <c r="E50" s="350">
        <f>IF(B50="","",IF(ISNA(--VLOOKUP(A50,四面弹import!A:D,4,FALSE)),0,--VLOOKUP(A50,四面弹import!A:D,4,FALSE)))</f>
        <v>447.2</v>
      </c>
      <c r="F50" s="351">
        <f>IF(B50="","",IF(ISNA(--VLOOKUP(A50,四面弹import!A:E,5,FALSE)),0,--VLOOKUP(A50,四面弹import!A:E,5,FALSE)))</f>
        <v>23</v>
      </c>
      <c r="G50" s="349" t="s">
        <v>699</v>
      </c>
      <c r="H50" s="349" t="s">
        <v>344</v>
      </c>
      <c r="I50" s="349" t="s">
        <v>175</v>
      </c>
      <c r="J50" s="351">
        <v>160</v>
      </c>
      <c r="K50" s="349" t="s">
        <v>158</v>
      </c>
      <c r="L50" s="349" t="s">
        <v>281</v>
      </c>
      <c r="M50" s="351">
        <v>23</v>
      </c>
      <c r="N50" s="349" t="s">
        <v>287</v>
      </c>
      <c r="O50" s="349" t="s">
        <v>2</v>
      </c>
      <c r="P50" s="349" t="s">
        <v>350</v>
      </c>
      <c r="Q50" s="349" t="s">
        <v>701</v>
      </c>
    </row>
    <row r="51" spans="1:17" s="332" customFormat="1">
      <c r="A51" s="348" t="str">
        <f t="shared" si="1"/>
        <v>B30-30-32乱平纹恒力23白</v>
      </c>
      <c r="B51" s="332" t="s">
        <v>238</v>
      </c>
      <c r="C51" s="355" t="s">
        <v>277</v>
      </c>
      <c r="D51" s="355" t="s">
        <v>285</v>
      </c>
      <c r="E51" s="350">
        <f>IF(B51="","",IF(ISNA(--VLOOKUP(A51,四面弹import!A:D,4,FALSE)),0,--VLOOKUP(A51,四面弹import!A:D,4,FALSE)))</f>
        <v>412.6</v>
      </c>
      <c r="F51" s="351">
        <f>IF(B51="","",IF(ISNA(--VLOOKUP(A51,四面弹import!A:E,5,FALSE)),0,--VLOOKUP(A51,四面弹import!A:E,5,FALSE)))</f>
        <v>21</v>
      </c>
      <c r="G51" s="355" t="s">
        <v>1574</v>
      </c>
      <c r="H51" s="355" t="s">
        <v>187</v>
      </c>
      <c r="I51" s="355" t="s">
        <v>175</v>
      </c>
      <c r="J51" s="355" t="s">
        <v>613</v>
      </c>
      <c r="K51" s="355" t="s">
        <v>140</v>
      </c>
      <c r="L51" s="355" t="s">
        <v>281</v>
      </c>
      <c r="M51" s="355" t="s">
        <v>617</v>
      </c>
      <c r="N51" s="355" t="s">
        <v>287</v>
      </c>
      <c r="O51" s="355" t="s">
        <v>2</v>
      </c>
      <c r="P51" s="355" t="s">
        <v>612</v>
      </c>
      <c r="Q51" s="355" t="s">
        <v>399</v>
      </c>
    </row>
    <row r="52" spans="1:17" s="332" customFormat="1">
      <c r="A52" s="348" t="str">
        <f t="shared" si="1"/>
        <v>B30-30-32小W银宇21白59上2个老库存</v>
      </c>
      <c r="C52" s="349" t="s">
        <v>277</v>
      </c>
      <c r="D52" s="349" t="s">
        <v>352</v>
      </c>
      <c r="E52" s="350" t="str">
        <f>IF(B52="","",IF(ISNA(--VLOOKUP(A52,四面弹import!A:D,4,FALSE)),0,--VLOOKUP(A52,四面弹import!A:D,4,FALSE)))</f>
        <v/>
      </c>
      <c r="F52" s="351" t="str">
        <f>IF(B52="","",IF(ISNA(--VLOOKUP(A52,四面弹import!A:E,5,FALSE)),0,--VLOOKUP(A52,四面弹import!A:E,5,FALSE)))</f>
        <v/>
      </c>
      <c r="G52" s="349" t="s">
        <v>353</v>
      </c>
      <c r="H52" s="349" t="s">
        <v>344</v>
      </c>
      <c r="I52" s="349" t="s">
        <v>301</v>
      </c>
      <c r="J52" s="351">
        <v>160</v>
      </c>
      <c r="K52" s="349" t="s">
        <v>154</v>
      </c>
      <c r="L52" s="349" t="s">
        <v>281</v>
      </c>
      <c r="M52" s="351">
        <v>21</v>
      </c>
      <c r="N52" s="349" t="s">
        <v>287</v>
      </c>
      <c r="O52" s="349" t="s">
        <v>2</v>
      </c>
      <c r="P52" s="349" t="s">
        <v>612</v>
      </c>
      <c r="Q52" s="349" t="s">
        <v>354</v>
      </c>
    </row>
    <row r="53" spans="1:17" s="332" customFormat="1">
      <c r="A53" s="348" t="str">
        <f t="shared" si="1"/>
        <v>B30-30-32直平纹恒力29白213531/AA丝</v>
      </c>
      <c r="B53" s="332" t="s">
        <v>120</v>
      </c>
      <c r="C53" s="349" t="s">
        <v>277</v>
      </c>
      <c r="D53" s="349" t="s">
        <v>285</v>
      </c>
      <c r="E53" s="350">
        <f>IF(B53="","",IF(ISNA(--VLOOKUP(A53,四面弹import!A:D,4,FALSE)),0,--VLOOKUP(A53,四面弹import!A:D,4,FALSE)))</f>
        <v>98.3</v>
      </c>
      <c r="F53" s="351">
        <f>IF(B53="","",IF(ISNA(--VLOOKUP(A53,四面弹import!A:E,5,FALSE)),0,--VLOOKUP(A53,四面弹import!A:E,5,FALSE)))</f>
        <v>5</v>
      </c>
      <c r="G53" s="349" t="s">
        <v>343</v>
      </c>
      <c r="H53" s="349" t="s">
        <v>344</v>
      </c>
      <c r="I53" s="349" t="s">
        <v>180</v>
      </c>
      <c r="J53" s="351">
        <v>160</v>
      </c>
      <c r="K53" s="349" t="s">
        <v>140</v>
      </c>
      <c r="L53" s="349" t="s">
        <v>281</v>
      </c>
      <c r="M53" s="351">
        <v>29</v>
      </c>
      <c r="N53" s="349" t="s">
        <v>287</v>
      </c>
      <c r="O53" s="349" t="s">
        <v>2</v>
      </c>
      <c r="P53" s="349" t="s">
        <v>345</v>
      </c>
      <c r="Q53" s="349" t="s">
        <v>346</v>
      </c>
    </row>
    <row r="54" spans="1:17" s="332" customFormat="1">
      <c r="A54" s="348" t="str">
        <f t="shared" si="1"/>
        <v>B30-30-32直平纹隆顺31白细丝圆机库顶，</v>
      </c>
      <c r="C54" s="349" t="s">
        <v>277</v>
      </c>
      <c r="D54" s="349" t="s">
        <v>285</v>
      </c>
      <c r="E54" s="350" t="str">
        <f>IF(B54="","",IF(ISNA(--VLOOKUP(A54,四面弹import!A:D,4,FALSE)),0,--VLOOKUP(A54,四面弹import!A:D,4,FALSE)))</f>
        <v/>
      </c>
      <c r="F54" s="351" t="str">
        <f>IF(B54="","",IF(ISNA(--VLOOKUP(A54,四面弹import!A:E,5,FALSE)),0,--VLOOKUP(A54,四面弹import!A:E,5,FALSE)))</f>
        <v/>
      </c>
      <c r="G54" s="349" t="s">
        <v>347</v>
      </c>
      <c r="H54" s="349" t="s">
        <v>344</v>
      </c>
      <c r="I54" s="349" t="s">
        <v>180</v>
      </c>
      <c r="J54" s="351">
        <v>160</v>
      </c>
      <c r="K54" s="349" t="s">
        <v>142</v>
      </c>
      <c r="L54" s="349" t="s">
        <v>281</v>
      </c>
      <c r="M54" s="351">
        <v>31</v>
      </c>
      <c r="N54" s="349" t="s">
        <v>282</v>
      </c>
      <c r="O54" s="349" t="s">
        <v>2</v>
      </c>
      <c r="P54" s="349" t="s">
        <v>318</v>
      </c>
      <c r="Q54" s="349" t="s">
        <v>348</v>
      </c>
    </row>
    <row r="55" spans="1:17" s="332" customFormat="1">
      <c r="A55" s="348" t="str">
        <f t="shared" si="1"/>
        <v>B30-30-32直平纹长乐21白S22101P</v>
      </c>
      <c r="B55" s="332" t="s">
        <v>735</v>
      </c>
      <c r="C55" s="349" t="s">
        <v>277</v>
      </c>
      <c r="D55" s="349" t="s">
        <v>285</v>
      </c>
      <c r="E55" s="350">
        <f>IF(B55="","",IF(ISNA(--VLOOKUP(A55,四面弹import!A:D,4,FALSE)),0,--VLOOKUP(A55,四面弹import!A:D,4,FALSE)))</f>
        <v>155.19999999999999</v>
      </c>
      <c r="F55" s="351">
        <f>IF(B55="","",IF(ISNA(--VLOOKUP(A55,四面弹import!A:E,5,FALSE)),0,--VLOOKUP(A55,四面弹import!A:E,5,FALSE)))</f>
        <v>8</v>
      </c>
      <c r="G55" s="349" t="s">
        <v>349</v>
      </c>
      <c r="H55" s="349" t="s">
        <v>344</v>
      </c>
      <c r="I55" s="349" t="s">
        <v>180</v>
      </c>
      <c r="J55" s="351">
        <v>160</v>
      </c>
      <c r="K55" s="349" t="s">
        <v>158</v>
      </c>
      <c r="L55" s="349" t="s">
        <v>281</v>
      </c>
      <c r="M55" s="351">
        <v>21</v>
      </c>
      <c r="N55" s="349" t="s">
        <v>287</v>
      </c>
      <c r="O55" s="349" t="s">
        <v>2</v>
      </c>
      <c r="P55" s="349" t="s">
        <v>350</v>
      </c>
      <c r="Q55" s="349" t="s">
        <v>351</v>
      </c>
    </row>
    <row r="56" spans="1:17" s="332" customFormat="1">
      <c r="A56" s="348" t="str">
        <f t="shared" si="1"/>
        <v>B50-30-24大W长乐34白车间退脏1</v>
      </c>
      <c r="C56" s="349" t="s">
        <v>277</v>
      </c>
      <c r="D56" s="349" t="s">
        <v>285</v>
      </c>
      <c r="E56" s="350" t="str">
        <f>IF(B56="","",IF(ISNA(--VLOOKUP(A56,四面弹import!A:D,4,FALSE)),0,--VLOOKUP(A56,四面弹import!A:D,4,FALSE)))</f>
        <v/>
      </c>
      <c r="F56" s="351" t="str">
        <f>IF(B56="","",IF(ISNA(--VLOOKUP(A56,四面弹import!A:E,5,FALSE)),0,--VLOOKUP(A56,四面弹import!A:E,5,FALSE)))</f>
        <v/>
      </c>
      <c r="G56" s="349" t="s">
        <v>399</v>
      </c>
      <c r="H56" s="349" t="s">
        <v>355</v>
      </c>
      <c r="I56" s="349" t="s">
        <v>168</v>
      </c>
      <c r="J56" s="351">
        <v>160</v>
      </c>
      <c r="K56" s="349" t="s">
        <v>158</v>
      </c>
      <c r="L56" s="349" t="s">
        <v>281</v>
      </c>
      <c r="M56" s="351">
        <v>34</v>
      </c>
      <c r="N56" s="349" t="s">
        <v>282</v>
      </c>
      <c r="O56" s="349" t="s">
        <v>2</v>
      </c>
      <c r="P56" s="349" t="s">
        <v>313</v>
      </c>
      <c r="Q56" s="349" t="s">
        <v>358</v>
      </c>
    </row>
    <row r="57" spans="1:17" s="332" customFormat="1">
      <c r="A57" s="348" t="str">
        <f t="shared" si="1"/>
        <v>B50-30-24大W长乐34白高温1</v>
      </c>
      <c r="B57" s="332" t="s">
        <v>1612</v>
      </c>
      <c r="C57" s="349" t="s">
        <v>277</v>
      </c>
      <c r="D57" s="349" t="s">
        <v>285</v>
      </c>
      <c r="E57" s="350">
        <f>IF(B57="","",IF(ISNA(--VLOOKUP(A57,四面弹import!A:D,4,FALSE)),0,--VLOOKUP(A57,四面弹import!A:D,4,FALSE)))</f>
        <v>974</v>
      </c>
      <c r="F57" s="351">
        <f>IF(B57="","",IF(ISNA(--VLOOKUP(A57,四面弹import!A:E,5,FALSE)),0,--VLOOKUP(A57,四面弹import!A:E,5,FALSE)))</f>
        <v>49</v>
      </c>
      <c r="G57" s="349" t="s">
        <v>399</v>
      </c>
      <c r="H57" s="349" t="s">
        <v>355</v>
      </c>
      <c r="I57" s="349" t="s">
        <v>168</v>
      </c>
      <c r="J57" s="351">
        <v>160</v>
      </c>
      <c r="K57" s="349" t="s">
        <v>158</v>
      </c>
      <c r="L57" s="349" t="s">
        <v>281</v>
      </c>
      <c r="M57" s="351">
        <v>34</v>
      </c>
      <c r="N57" s="349" t="s">
        <v>287</v>
      </c>
      <c r="O57" s="349" t="s">
        <v>2</v>
      </c>
      <c r="P57" s="349" t="s">
        <v>612</v>
      </c>
      <c r="Q57" s="349" t="s">
        <v>356</v>
      </c>
    </row>
    <row r="58" spans="1:17" s="332" customFormat="1">
      <c r="A58" s="348" t="str">
        <f t="shared" si="1"/>
        <v>B50-30-24大W长乐34白高温没开幅1</v>
      </c>
      <c r="C58" s="349" t="s">
        <v>277</v>
      </c>
      <c r="D58" s="349" t="s">
        <v>278</v>
      </c>
      <c r="E58" s="350" t="str">
        <f>IF(B58="","",IF(ISNA(--VLOOKUP(A58,四面弹import!A:D,4,FALSE)),0,--VLOOKUP(A58,四面弹import!A:D,4,FALSE)))</f>
        <v/>
      </c>
      <c r="F58" s="351" t="str">
        <f>IF(B58="","",IF(ISNA(--VLOOKUP(A58,四面弹import!A:E,5,FALSE)),0,--VLOOKUP(A58,四面弹import!A:E,5,FALSE)))</f>
        <v/>
      </c>
      <c r="G58" s="349" t="s">
        <v>399</v>
      </c>
      <c r="H58" s="349" t="s">
        <v>355</v>
      </c>
      <c r="I58" s="349" t="s">
        <v>168</v>
      </c>
      <c r="J58" s="351">
        <v>160</v>
      </c>
      <c r="K58" s="349" t="s">
        <v>158</v>
      </c>
      <c r="L58" s="349" t="s">
        <v>281</v>
      </c>
      <c r="M58" s="351">
        <v>34</v>
      </c>
      <c r="N58" s="349" t="s">
        <v>287</v>
      </c>
      <c r="O58" s="349" t="s">
        <v>2</v>
      </c>
      <c r="P58" s="349" t="s">
        <v>313</v>
      </c>
      <c r="Q58" s="349" t="s">
        <v>357</v>
      </c>
    </row>
    <row r="59" spans="1:17" s="332" customFormat="1">
      <c r="A59" s="348" t="str">
        <f t="shared" si="1"/>
        <v>B50-30-24大W长乐34白高温染黑1</v>
      </c>
      <c r="C59" s="349" t="s">
        <v>277</v>
      </c>
      <c r="D59" s="349" t="s">
        <v>278</v>
      </c>
      <c r="E59" s="350" t="str">
        <f>IF(B59="","",IF(ISNA(--VLOOKUP(A59,四面弹import!A:D,4,FALSE)),0,--VLOOKUP(A59,四面弹import!A:D,4,FALSE)))</f>
        <v/>
      </c>
      <c r="F59" s="351" t="str">
        <f>IF(B59="","",IF(ISNA(--VLOOKUP(A59,四面弹import!A:E,5,FALSE)),0,--VLOOKUP(A59,四面弹import!A:E,5,FALSE)))</f>
        <v/>
      </c>
      <c r="G59" s="349" t="s">
        <v>399</v>
      </c>
      <c r="H59" s="349" t="s">
        <v>355</v>
      </c>
      <c r="I59" s="349" t="s">
        <v>168</v>
      </c>
      <c r="J59" s="351">
        <v>160</v>
      </c>
      <c r="K59" s="349" t="s">
        <v>158</v>
      </c>
      <c r="L59" s="349" t="s">
        <v>281</v>
      </c>
      <c r="M59" s="351">
        <v>34</v>
      </c>
      <c r="N59" s="349" t="s">
        <v>282</v>
      </c>
      <c r="O59" s="349" t="s">
        <v>2</v>
      </c>
      <c r="P59" s="349" t="s">
        <v>313</v>
      </c>
      <c r="Q59" s="349" t="s">
        <v>359</v>
      </c>
    </row>
    <row r="60" spans="1:17" s="332" customFormat="1">
      <c r="A60" s="348" t="str">
        <f t="shared" si="1"/>
        <v>B50-30-24大W长乐36白高温</v>
      </c>
      <c r="B60" s="332" t="s">
        <v>116</v>
      </c>
      <c r="C60" s="356" t="s">
        <v>277</v>
      </c>
      <c r="D60" s="356" t="s">
        <v>285</v>
      </c>
      <c r="E60" s="350">
        <f>IF(B60="","",IF(ISNA(--VLOOKUP(A60,四面弹import!A:D,4,FALSE)),0,--VLOOKUP(A60,四面弹import!A:D,4,FALSE)))</f>
        <v>1525.6</v>
      </c>
      <c r="F60" s="351">
        <f>IF(B60="","",IF(ISNA(--VLOOKUP(A60,四面弹import!A:E,5,FALSE)),0,--VLOOKUP(A60,四面弹import!A:E,5,FALSE)))</f>
        <v>77</v>
      </c>
      <c r="G60" s="356" t="s">
        <v>1608</v>
      </c>
      <c r="H60" s="356" t="s">
        <v>355</v>
      </c>
      <c r="I60" s="356" t="s">
        <v>168</v>
      </c>
      <c r="J60" s="356" t="s">
        <v>613</v>
      </c>
      <c r="K60" s="356" t="s">
        <v>158</v>
      </c>
      <c r="L60" s="356" t="s">
        <v>281</v>
      </c>
      <c r="M60" s="356">
        <v>36</v>
      </c>
      <c r="N60" s="356" t="s">
        <v>287</v>
      </c>
      <c r="O60" s="356" t="s">
        <v>1616</v>
      </c>
      <c r="P60" s="356"/>
      <c r="Q60" s="356" t="s">
        <v>332</v>
      </c>
    </row>
    <row r="61" spans="1:17">
      <c r="A61" s="348" t="str">
        <f t="shared" si="1"/>
        <v>B50-30-24小W35白袋子</v>
      </c>
      <c r="C61" s="189" t="s">
        <v>277</v>
      </c>
      <c r="D61" s="189" t="s">
        <v>285</v>
      </c>
      <c r="E61" s="212" t="str">
        <f>IF(B61="","",IF(ISNA(--VLOOKUP(A61,四面弹import!A:D,4,FALSE)),0,--VLOOKUP(A61,四面弹import!A:D,4,FALSE)))</f>
        <v/>
      </c>
      <c r="F61" s="190" t="str">
        <f>IF(B61="","",IF(ISNA(--VLOOKUP(A61,四面弹import!A:E,5,FALSE)),0,--VLOOKUP(A61,四面弹import!A:E,5,FALSE)))</f>
        <v/>
      </c>
      <c r="G61" s="189" t="s">
        <v>399</v>
      </c>
      <c r="H61" s="189" t="s">
        <v>355</v>
      </c>
      <c r="I61" s="189" t="s">
        <v>301</v>
      </c>
      <c r="J61" s="190">
        <v>160</v>
      </c>
      <c r="K61" s="189" t="s">
        <v>399</v>
      </c>
      <c r="L61" s="189" t="s">
        <v>281</v>
      </c>
      <c r="M61" s="190">
        <v>35</v>
      </c>
      <c r="N61" s="189" t="s">
        <v>282</v>
      </c>
      <c r="O61" s="189" t="s">
        <v>2</v>
      </c>
      <c r="P61" s="189" t="s">
        <v>313</v>
      </c>
      <c r="Q61" s="189" t="s">
        <v>360</v>
      </c>
    </row>
    <row r="62" spans="1:17" s="332" customFormat="1">
      <c r="A62" s="348" t="str">
        <f t="shared" si="1"/>
        <v>B75-30-24大W长乐43白21325</v>
      </c>
      <c r="B62" s="332" t="s">
        <v>1020</v>
      </c>
      <c r="C62" s="349" t="s">
        <v>277</v>
      </c>
      <c r="D62" s="349" t="s">
        <v>285</v>
      </c>
      <c r="E62" s="350">
        <f>IF(B62="","",IF(ISNA(--VLOOKUP(A62,四面弹import!A:D,4,FALSE)),0,--VLOOKUP(A62,四面弹import!A:D,4,FALSE)))</f>
        <v>0</v>
      </c>
      <c r="F62" s="351">
        <f>IF(B62="","",IF(ISNA(--VLOOKUP(A62,四面弹import!A:E,5,FALSE)),0,--VLOOKUP(A62,四面弹import!A:E,5,FALSE)))</f>
        <v>0</v>
      </c>
      <c r="G62" s="349" t="s">
        <v>1573</v>
      </c>
      <c r="H62" s="349" t="s">
        <v>361</v>
      </c>
      <c r="I62" s="349" t="s">
        <v>168</v>
      </c>
      <c r="J62" s="351">
        <v>160</v>
      </c>
      <c r="K62" s="349" t="s">
        <v>158</v>
      </c>
      <c r="L62" s="349" t="s">
        <v>281</v>
      </c>
      <c r="M62" s="351">
        <v>43</v>
      </c>
      <c r="N62" s="349" t="s">
        <v>287</v>
      </c>
      <c r="O62" s="349" t="s">
        <v>2</v>
      </c>
      <c r="P62" s="349"/>
      <c r="Q62" s="349" t="s">
        <v>691</v>
      </c>
    </row>
    <row r="63" spans="1:17" s="332" customFormat="1">
      <c r="A63" s="348" t="str">
        <f t="shared" si="1"/>
        <v>B75-30-24大W长乐50白高温</v>
      </c>
      <c r="B63" s="332" t="s">
        <v>1659</v>
      </c>
      <c r="C63" s="356" t="s">
        <v>277</v>
      </c>
      <c r="D63" s="356" t="s">
        <v>285</v>
      </c>
      <c r="E63" s="350">
        <f>IF(B63="","",IF(ISNA(--VLOOKUP(A63,四面弹import!A:D,4,FALSE)),0,--VLOOKUP(A63,四面弹import!A:D,4,FALSE)))</f>
        <v>0</v>
      </c>
      <c r="F63" s="351">
        <f>IF(B63="","",IF(ISNA(--VLOOKUP(A63,四面弹import!A:E,5,FALSE)),0,--VLOOKUP(A63,四面弹import!A:E,5,FALSE)))</f>
        <v>0</v>
      </c>
      <c r="G63" s="356" t="s">
        <v>1609</v>
      </c>
      <c r="H63" s="356" t="s">
        <v>361</v>
      </c>
      <c r="I63" s="356" t="s">
        <v>168</v>
      </c>
      <c r="J63" s="356" t="s">
        <v>613</v>
      </c>
      <c r="K63" s="356" t="s">
        <v>158</v>
      </c>
      <c r="L63" s="356" t="s">
        <v>281</v>
      </c>
      <c r="M63" s="356">
        <v>50</v>
      </c>
      <c r="N63" s="356" t="s">
        <v>287</v>
      </c>
      <c r="O63" s="356" t="s">
        <v>1616</v>
      </c>
      <c r="P63" s="356"/>
      <c r="Q63" s="356" t="s">
        <v>332</v>
      </c>
    </row>
    <row r="64" spans="1:17" s="332" customFormat="1">
      <c r="A64" s="348" t="str">
        <f t="shared" si="1"/>
        <v>B75-30-24小W长乐45白大机</v>
      </c>
      <c r="B64" s="332" t="s">
        <v>83</v>
      </c>
      <c r="C64" s="349" t="s">
        <v>277</v>
      </c>
      <c r="D64" s="349" t="s">
        <v>285</v>
      </c>
      <c r="E64" s="350">
        <f>IF(B64="","",IF(ISNA(--VLOOKUP(A64,四面弹import!A:D,4,FALSE)),0,--VLOOKUP(A64,四面弹import!A:D,4,FALSE)))</f>
        <v>3589.3</v>
      </c>
      <c r="F64" s="351">
        <f>IF(B64="","",IF(ISNA(--VLOOKUP(A64,四面弹import!A:E,5,FALSE)),0,--VLOOKUP(A64,四面弹import!A:E,5,FALSE)))</f>
        <v>174</v>
      </c>
      <c r="G64" s="349" t="s">
        <v>364</v>
      </c>
      <c r="H64" s="349" t="s">
        <v>361</v>
      </c>
      <c r="I64" s="349" t="s">
        <v>301</v>
      </c>
      <c r="J64" s="351">
        <v>160</v>
      </c>
      <c r="K64" s="349" t="s">
        <v>158</v>
      </c>
      <c r="L64" s="349" t="s">
        <v>281</v>
      </c>
      <c r="M64" s="351">
        <v>45</v>
      </c>
      <c r="N64" s="349" t="s">
        <v>287</v>
      </c>
      <c r="O64" s="349" t="s">
        <v>2</v>
      </c>
      <c r="P64" s="349"/>
      <c r="Q64" s="349" t="s">
        <v>365</v>
      </c>
    </row>
    <row r="65" spans="1:21" s="332" customFormat="1">
      <c r="A65" s="348" t="str">
        <f t="shared" si="1"/>
        <v>B75-30-24小W长乐49白试样</v>
      </c>
      <c r="B65" s="348" t="s">
        <v>104</v>
      </c>
      <c r="C65" s="349" t="s">
        <v>277</v>
      </c>
      <c r="D65" s="349" t="s">
        <v>285</v>
      </c>
      <c r="E65" s="350">
        <f>IF(B65="","",IF(ISNA(--VLOOKUP(A65,四面弹import!A:D,4,FALSE)),0,--VLOOKUP(A65,四面弹import!A:D,4,FALSE)))</f>
        <v>238.8</v>
      </c>
      <c r="F65" s="351">
        <f>IF(B65="","",IF(ISNA(--VLOOKUP(A65,四面弹import!A:E,5,FALSE)),0,--VLOOKUP(A65,四面弹import!A:E,5,FALSE)))</f>
        <v>12</v>
      </c>
      <c r="G65" s="349" t="s">
        <v>726</v>
      </c>
      <c r="H65" s="349" t="s">
        <v>361</v>
      </c>
      <c r="I65" s="349" t="s">
        <v>301</v>
      </c>
      <c r="J65" s="351">
        <v>160</v>
      </c>
      <c r="K65" s="349" t="s">
        <v>158</v>
      </c>
      <c r="L65" s="349" t="s">
        <v>281</v>
      </c>
      <c r="M65" s="351">
        <v>49</v>
      </c>
      <c r="N65" s="349" t="s">
        <v>287</v>
      </c>
      <c r="O65" s="349" t="s">
        <v>2</v>
      </c>
      <c r="P65" s="349"/>
      <c r="Q65" s="349" t="s">
        <v>727</v>
      </c>
    </row>
    <row r="66" spans="1:21" s="332" customFormat="1">
      <c r="A66" s="348" t="str">
        <f t="shared" ref="A66:A73" si="2">SUBSTITUTE(H66," ","")&amp;I66&amp;K66&amp;M66&amp;O66&amp;Q66</f>
        <v>B75-30-24斜乱平纹申久39白东13中高温丝</v>
      </c>
      <c r="C66" s="349" t="s">
        <v>277</v>
      </c>
      <c r="D66" s="349" t="s">
        <v>285</v>
      </c>
      <c r="E66" s="350" t="str">
        <f>IF(B66="","",IF(ISNA(--VLOOKUP(A66,四面弹import!A:D,4,FALSE)),0,--VLOOKUP(A66,四面弹import!A:D,4,FALSE)))</f>
        <v/>
      </c>
      <c r="F66" s="351" t="str">
        <f>IF(B66="","",IF(ISNA(--VLOOKUP(A66,四面弹import!A:E,5,FALSE)),0,--VLOOKUP(A66,四面弹import!A:E,5,FALSE)))</f>
        <v/>
      </c>
      <c r="G66" s="349" t="s">
        <v>399</v>
      </c>
      <c r="H66" s="349" t="s">
        <v>361</v>
      </c>
      <c r="I66" s="349" t="s">
        <v>44</v>
      </c>
      <c r="J66" s="351">
        <v>160</v>
      </c>
      <c r="K66" s="349" t="s">
        <v>146</v>
      </c>
      <c r="L66" s="349" t="s">
        <v>281</v>
      </c>
      <c r="M66" s="351">
        <v>39</v>
      </c>
      <c r="N66" s="349" t="s">
        <v>287</v>
      </c>
      <c r="O66" s="349" t="s">
        <v>2</v>
      </c>
      <c r="P66" s="349" t="s">
        <v>362</v>
      </c>
      <c r="Q66" s="349" t="s">
        <v>363</v>
      </c>
    </row>
    <row r="67" spans="1:21" s="332" customFormat="1">
      <c r="A67" s="348" t="str">
        <f t="shared" si="2"/>
        <v>B75-30-24斜乱平纹盛元39白</v>
      </c>
      <c r="B67" s="332" t="s">
        <v>123</v>
      </c>
      <c r="C67" s="349" t="s">
        <v>277</v>
      </c>
      <c r="D67" s="349" t="s">
        <v>285</v>
      </c>
      <c r="E67" s="350">
        <f>IF(B67="","",IF(ISNA(--VLOOKUP(A67,四面弹import!A:D,4,FALSE)),0,--VLOOKUP(A67,四面弹import!A:D,4,FALSE)))</f>
        <v>4443.6000000000004</v>
      </c>
      <c r="F67" s="351">
        <f>IF(B67="","",IF(ISNA(--VLOOKUP(A67,四面弹import!A:E,5,FALSE)),0,--VLOOKUP(A67,四面弹import!A:E,5,FALSE)))</f>
        <v>217</v>
      </c>
      <c r="G67" s="349" t="s">
        <v>399</v>
      </c>
      <c r="H67" s="349" t="s">
        <v>361</v>
      </c>
      <c r="I67" s="349" t="s">
        <v>44</v>
      </c>
      <c r="J67" s="351">
        <v>160</v>
      </c>
      <c r="K67" s="349" t="s">
        <v>150</v>
      </c>
      <c r="L67" s="349" t="s">
        <v>281</v>
      </c>
      <c r="M67" s="351">
        <v>39</v>
      </c>
      <c r="N67" s="349" t="s">
        <v>287</v>
      </c>
      <c r="O67" s="349" t="s">
        <v>2</v>
      </c>
      <c r="P67" s="349"/>
      <c r="Q67" s="349" t="s">
        <v>399</v>
      </c>
    </row>
    <row r="68" spans="1:21" s="332" customFormat="1">
      <c r="A68" s="348" t="str">
        <f t="shared" si="2"/>
        <v>C50-26-28小W固力34黑</v>
      </c>
      <c r="B68" s="348" t="s">
        <v>1581</v>
      </c>
      <c r="C68" s="349" t="s">
        <v>277</v>
      </c>
      <c r="D68" s="349" t="s">
        <v>285</v>
      </c>
      <c r="E68" s="350">
        <f>IF(B68="","",IF(ISNA(--VLOOKUP(A68,四面弹import!A:D,4,FALSE)),0,--VLOOKUP(A68,四面弹import!A:D,4,FALSE)))</f>
        <v>41.4</v>
      </c>
      <c r="F68" s="351">
        <f>IF(B68="","",IF(ISNA(--VLOOKUP(A68,四面弹import!A:E,5,FALSE)),0,--VLOOKUP(A68,四面弹import!A:E,5,FALSE)))</f>
        <v>2</v>
      </c>
      <c r="G68" s="349" t="s">
        <v>1576</v>
      </c>
      <c r="H68" s="349" t="s">
        <v>367</v>
      </c>
      <c r="I68" s="349" t="s">
        <v>301</v>
      </c>
      <c r="J68" s="351">
        <v>160</v>
      </c>
      <c r="K68" s="349" t="s">
        <v>136</v>
      </c>
      <c r="L68" s="349" t="s">
        <v>281</v>
      </c>
      <c r="M68" s="351">
        <v>34</v>
      </c>
      <c r="N68" s="349" t="s">
        <v>287</v>
      </c>
      <c r="O68" s="349" t="s">
        <v>1</v>
      </c>
      <c r="P68" s="349"/>
      <c r="Q68" s="349" t="s">
        <v>399</v>
      </c>
    </row>
    <row r="69" spans="1:21" s="332" customFormat="1">
      <c r="A69" s="348" t="str">
        <f t="shared" si="2"/>
        <v>C50-26-28小W长乐34白大机常温</v>
      </c>
      <c r="B69" s="348" t="s">
        <v>1606</v>
      </c>
      <c r="C69" s="349" t="s">
        <v>277</v>
      </c>
      <c r="D69" s="349" t="s">
        <v>285</v>
      </c>
      <c r="E69" s="350">
        <f>IF(B69="","",IF(ISNA(--VLOOKUP(A69,四面弹import!A:D,4,FALSE)),0,--VLOOKUP(A69,四面弹import!A:D,4,FALSE)))</f>
        <v>5743.3</v>
      </c>
      <c r="F69" s="351">
        <f>IF(B69="","",IF(ISNA(--VLOOKUP(A69,四面弹import!A:E,5,FALSE)),0,--VLOOKUP(A69,四面弹import!A:E,5,FALSE)))</f>
        <v>299</v>
      </c>
      <c r="G69" s="349" t="s">
        <v>399</v>
      </c>
      <c r="H69" s="349" t="s">
        <v>367</v>
      </c>
      <c r="I69" s="349" t="s">
        <v>301</v>
      </c>
      <c r="J69" s="351">
        <v>160</v>
      </c>
      <c r="K69" s="349" t="s">
        <v>158</v>
      </c>
      <c r="L69" s="349" t="s">
        <v>281</v>
      </c>
      <c r="M69" s="351">
        <v>34</v>
      </c>
      <c r="N69" s="349" t="s">
        <v>287</v>
      </c>
      <c r="O69" s="349" t="s">
        <v>2</v>
      </c>
      <c r="P69" s="349" t="s">
        <v>322</v>
      </c>
      <c r="Q69" s="349" t="s">
        <v>340</v>
      </c>
    </row>
    <row r="70" spans="1:21" s="332" customFormat="1">
      <c r="A70" s="348" t="str">
        <f t="shared" si="2"/>
        <v>C50-26-28小W长乐34白小机常温横条</v>
      </c>
      <c r="C70" s="349" t="s">
        <v>277</v>
      </c>
      <c r="D70" s="349" t="s">
        <v>278</v>
      </c>
      <c r="E70" s="350" t="str">
        <f>IF(B70="","",IF(ISNA(--VLOOKUP(A70,四面弹import!A:D,4,FALSE)),0,--VLOOKUP(A70,四面弹import!A:D,4,FALSE)))</f>
        <v/>
      </c>
      <c r="F70" s="351" t="str">
        <f>IF(B70="","",IF(ISNA(--VLOOKUP(A70,四面弹import!A:E,5,FALSE)),0,--VLOOKUP(A70,四面弹import!A:E,5,FALSE)))</f>
        <v/>
      </c>
      <c r="G70" s="349" t="s">
        <v>399</v>
      </c>
      <c r="H70" s="349" t="s">
        <v>367</v>
      </c>
      <c r="I70" s="349" t="s">
        <v>301</v>
      </c>
      <c r="J70" s="351">
        <v>160</v>
      </c>
      <c r="K70" s="349" t="s">
        <v>158</v>
      </c>
      <c r="L70" s="349" t="s">
        <v>281</v>
      </c>
      <c r="M70" s="351">
        <v>34</v>
      </c>
      <c r="N70" s="349" t="s">
        <v>282</v>
      </c>
      <c r="O70" s="349" t="s">
        <v>2</v>
      </c>
      <c r="P70" s="349" t="s">
        <v>371</v>
      </c>
      <c r="Q70" s="349" t="s">
        <v>372</v>
      </c>
    </row>
    <row r="71" spans="1:21" s="332" customFormat="1">
      <c r="A71" s="348" t="str">
        <f t="shared" si="2"/>
        <v>C50-26-28小W长乐34白小机常温毛点/猫抓的，</v>
      </c>
      <c r="C71" s="349" t="s">
        <v>277</v>
      </c>
      <c r="D71" s="349" t="s">
        <v>278</v>
      </c>
      <c r="E71" s="350" t="str">
        <f>IF(B71="","",IF(ISNA(--VLOOKUP(A71,四面弹import!A:D,4,FALSE)),0,--VLOOKUP(A71,四面弹import!A:D,4,FALSE)))</f>
        <v/>
      </c>
      <c r="F71" s="351" t="str">
        <f>IF(B71="","",IF(ISNA(--VLOOKUP(A71,四面弹import!A:E,5,FALSE)),0,--VLOOKUP(A71,四面弹import!A:E,5,FALSE)))</f>
        <v/>
      </c>
      <c r="G71" s="349" t="s">
        <v>369</v>
      </c>
      <c r="H71" s="349" t="s">
        <v>367</v>
      </c>
      <c r="I71" s="349" t="s">
        <v>301</v>
      </c>
      <c r="J71" s="351">
        <v>160</v>
      </c>
      <c r="K71" s="349" t="s">
        <v>158</v>
      </c>
      <c r="L71" s="349" t="s">
        <v>281</v>
      </c>
      <c r="M71" s="351">
        <v>34</v>
      </c>
      <c r="N71" s="349" t="s">
        <v>282</v>
      </c>
      <c r="O71" s="349" t="s">
        <v>2</v>
      </c>
      <c r="P71" s="349" t="s">
        <v>370</v>
      </c>
      <c r="Q71" s="349" t="s">
        <v>370</v>
      </c>
    </row>
    <row r="72" spans="1:21" s="332" customFormat="1">
      <c r="A72" s="348" t="str">
        <f t="shared" si="2"/>
        <v>C50-26-28小W长乐40白大机21211</v>
      </c>
      <c r="C72" s="349" t="s">
        <v>277</v>
      </c>
      <c r="D72" s="349" t="s">
        <v>285</v>
      </c>
      <c r="E72" s="350" t="str">
        <f>IF(B72="","",IF(ISNA(--VLOOKUP(A72,四面弹import!A:D,4,FALSE)),0,--VLOOKUP(A72,四面弹import!A:D,4,FALSE)))</f>
        <v/>
      </c>
      <c r="F72" s="351" t="str">
        <f>IF(B72="","",IF(ISNA(--VLOOKUP(A72,四面弹import!A:E,5,FALSE)),0,--VLOOKUP(A72,四面弹import!A:E,5,FALSE)))</f>
        <v/>
      </c>
      <c r="G72" s="349" t="s">
        <v>399</v>
      </c>
      <c r="H72" s="349" t="s">
        <v>367</v>
      </c>
      <c r="I72" s="349" t="s">
        <v>301</v>
      </c>
      <c r="J72" s="351">
        <v>160</v>
      </c>
      <c r="K72" s="349" t="s">
        <v>158</v>
      </c>
      <c r="L72" s="349" t="s">
        <v>281</v>
      </c>
      <c r="M72" s="351">
        <v>40</v>
      </c>
      <c r="N72" s="349" t="s">
        <v>287</v>
      </c>
      <c r="O72" s="349" t="s">
        <v>2</v>
      </c>
      <c r="P72" s="349" t="s">
        <v>365</v>
      </c>
      <c r="Q72" s="349" t="s">
        <v>373</v>
      </c>
    </row>
    <row r="73" spans="1:21" s="332" customFormat="1">
      <c r="A73" s="348" t="str">
        <f t="shared" si="2"/>
        <v>C50-26-28小W申久40白32605</v>
      </c>
      <c r="B73" s="332" t="s">
        <v>2250</v>
      </c>
      <c r="C73" s="349" t="s">
        <v>277</v>
      </c>
      <c r="D73" s="349" t="s">
        <v>285</v>
      </c>
      <c r="E73" s="350">
        <f>IF(B73="","",IF(ISNA(--VLOOKUP(A73,四面弹import!A:D,4,FALSE)),0,--VLOOKUP(A73,四面弹import!A:D,4,FALSE)))</f>
        <v>3787.1</v>
      </c>
      <c r="F73" s="351">
        <f>IF(B73="","",IF(ISNA(--VLOOKUP(A73,四面弹import!A:E,5,FALSE)),0,--VLOOKUP(A73,四面弹import!A:E,5,FALSE)))</f>
        <v>194</v>
      </c>
      <c r="G73" s="349" t="s">
        <v>366</v>
      </c>
      <c r="H73" s="349" t="s">
        <v>367</v>
      </c>
      <c r="I73" s="349" t="s">
        <v>301</v>
      </c>
      <c r="J73" s="351">
        <v>160</v>
      </c>
      <c r="K73" s="349" t="s">
        <v>2246</v>
      </c>
      <c r="L73" s="349" t="s">
        <v>281</v>
      </c>
      <c r="M73" s="351">
        <v>40</v>
      </c>
      <c r="N73" s="349" t="s">
        <v>287</v>
      </c>
      <c r="O73" s="349" t="s">
        <v>2</v>
      </c>
      <c r="P73" s="357" t="s">
        <v>368</v>
      </c>
      <c r="Q73" s="349">
        <v>32605</v>
      </c>
    </row>
    <row r="74" spans="1:21" s="332" customFormat="1">
      <c r="A74" s="348" t="str">
        <f t="shared" ref="A74:A137" si="3">SUBSTITUTE(H74," ","")&amp;I74&amp;K74&amp;M74&amp;O74&amp;Q74</f>
        <v>A50-30-28斜乱平纹长乐34白</v>
      </c>
      <c r="B74" s="332" t="s">
        <v>736</v>
      </c>
      <c r="C74" s="358" t="s">
        <v>277</v>
      </c>
      <c r="D74" s="358" t="s">
        <v>285</v>
      </c>
      <c r="E74" s="350">
        <f>IF(B74="","",IF(ISNA(--VLOOKUP(A74,四面弹import!A:D,4,FALSE)),0,--VLOOKUP(A74,四面弹import!A:D,4,FALSE)))</f>
        <v>0</v>
      </c>
      <c r="F74" s="351">
        <f>IF(B74="","",IF(ISNA(--VLOOKUP(A74,四面弹import!A:E,5,FALSE)),0,--VLOOKUP(A74,四面弹import!A:E,5,FALSE)))</f>
        <v>0</v>
      </c>
      <c r="G74" s="358" t="s">
        <v>1826</v>
      </c>
      <c r="H74" s="358" t="s">
        <v>181</v>
      </c>
      <c r="I74" s="358" t="s">
        <v>44</v>
      </c>
      <c r="J74" s="351">
        <v>160</v>
      </c>
      <c r="K74" s="358" t="s">
        <v>158</v>
      </c>
      <c r="L74" s="358" t="s">
        <v>281</v>
      </c>
      <c r="M74" s="358">
        <v>34</v>
      </c>
      <c r="N74" s="358" t="s">
        <v>287</v>
      </c>
      <c r="O74" s="358" t="s">
        <v>2</v>
      </c>
      <c r="P74" s="358" t="s">
        <v>612</v>
      </c>
      <c r="Q74" s="358" t="s">
        <v>399</v>
      </c>
    </row>
    <row r="75" spans="1:21" s="332" customFormat="1">
      <c r="A75" s="348" t="str">
        <f t="shared" si="3"/>
        <v>B30-30-32大W银宇23白302409</v>
      </c>
      <c r="B75" s="332" t="s">
        <v>734</v>
      </c>
      <c r="C75" s="353" t="s">
        <v>277</v>
      </c>
      <c r="D75" s="353" t="s">
        <v>285</v>
      </c>
      <c r="E75" s="350">
        <f>IF(B75="","",IF(ISNA(--VLOOKUP(A75,四面弹import!A:D,4,FALSE)),0,--VLOOKUP(A75,四面弹import!A:D,4,FALSE)))</f>
        <v>53.3</v>
      </c>
      <c r="F75" s="351">
        <f>IF(B75="","",IF(ISNA(--VLOOKUP(A75,四面弹import!A:E,5,FALSE)),0,--VLOOKUP(A75,四面弹import!A:E,5,FALSE)))</f>
        <v>3</v>
      </c>
      <c r="G75" s="353" t="s">
        <v>399</v>
      </c>
      <c r="H75" s="353" t="s">
        <v>344</v>
      </c>
      <c r="I75" s="353" t="s">
        <v>168</v>
      </c>
      <c r="J75" s="359">
        <v>160</v>
      </c>
      <c r="K75" s="353" t="s">
        <v>2300</v>
      </c>
      <c r="L75" s="353" t="s">
        <v>281</v>
      </c>
      <c r="M75" s="353">
        <v>23</v>
      </c>
      <c r="N75" s="353" t="s">
        <v>287</v>
      </c>
      <c r="O75" s="353" t="s">
        <v>2</v>
      </c>
      <c r="P75" s="353" t="s">
        <v>612</v>
      </c>
      <c r="Q75" s="353" t="s">
        <v>943</v>
      </c>
      <c r="R75" s="353"/>
      <c r="S75" s="353"/>
      <c r="T75" s="353"/>
      <c r="U75" s="353" t="s">
        <v>399</v>
      </c>
    </row>
    <row r="76" spans="1:21" s="332" customFormat="1">
      <c r="A76" s="348" t="str">
        <f t="shared" si="3"/>
        <v>A50-30-28斜乱平纹长乐36白</v>
      </c>
      <c r="B76" s="332" t="s">
        <v>2472</v>
      </c>
      <c r="C76" s="360" t="s">
        <v>277</v>
      </c>
      <c r="D76" s="360" t="s">
        <v>285</v>
      </c>
      <c r="E76" s="350">
        <f>IF(B76="","",IF(ISNA(--VLOOKUP(A76,四面弹import!A:D,4,FALSE)),0,--VLOOKUP(A76,四面弹import!A:D,4,FALSE)))</f>
        <v>0</v>
      </c>
      <c r="F76" s="351">
        <f>IF(B76="","",IF(ISNA(--VLOOKUP(A76,四面弹import!A:E,5,FALSE)),0,--VLOOKUP(A76,四面弹import!A:E,5,FALSE)))</f>
        <v>0</v>
      </c>
      <c r="G76" s="360" t="s">
        <v>2465</v>
      </c>
      <c r="H76" s="360" t="s">
        <v>309</v>
      </c>
      <c r="I76" s="360" t="s">
        <v>44</v>
      </c>
      <c r="J76" s="360" t="s">
        <v>613</v>
      </c>
      <c r="K76" s="360" t="s">
        <v>158</v>
      </c>
      <c r="L76" s="360" t="s">
        <v>281</v>
      </c>
      <c r="M76" s="360" t="s">
        <v>1570</v>
      </c>
      <c r="N76" s="360" t="s">
        <v>287</v>
      </c>
      <c r="O76" s="360" t="s">
        <v>2</v>
      </c>
      <c r="P76" s="360" t="s">
        <v>612</v>
      </c>
      <c r="Q76" s="360"/>
    </row>
    <row r="77" spans="1:21" s="332" customFormat="1">
      <c r="A77" s="348" t="str">
        <f t="shared" si="3"/>
        <v>A50-30-28大W长乐38白</v>
      </c>
      <c r="B77" s="332" t="s">
        <v>2306</v>
      </c>
      <c r="C77" s="361" t="s">
        <v>277</v>
      </c>
      <c r="D77" s="361" t="s">
        <v>285</v>
      </c>
      <c r="E77" s="350">
        <f>IF(B77="","",IF(ISNA(--VLOOKUP(A77,四面弹import!A:D,4,FALSE)),0,--VLOOKUP(A77,四面弹import!A:D,4,FALSE)))</f>
        <v>737.2</v>
      </c>
      <c r="F77" s="351">
        <f>IF(B77="","",IF(ISNA(--VLOOKUP(A77,四面弹import!A:E,5,FALSE)),0,--VLOOKUP(A77,四面弹import!A:E,5,FALSE)))</f>
        <v>36</v>
      </c>
      <c r="G77" s="361" t="s">
        <v>2489</v>
      </c>
      <c r="H77" s="361" t="s">
        <v>309</v>
      </c>
      <c r="I77" s="361" t="s">
        <v>168</v>
      </c>
      <c r="J77" s="361" t="s">
        <v>613</v>
      </c>
      <c r="K77" s="361" t="s">
        <v>158</v>
      </c>
      <c r="L77" s="361" t="s">
        <v>281</v>
      </c>
      <c r="M77" s="361" t="s">
        <v>678</v>
      </c>
      <c r="N77" s="361" t="s">
        <v>287</v>
      </c>
      <c r="O77" s="361" t="s">
        <v>2</v>
      </c>
      <c r="P77" s="361"/>
      <c r="Q77" s="361"/>
      <c r="S77" s="361" t="s">
        <v>399</v>
      </c>
    </row>
    <row r="78" spans="1:21" s="332" customFormat="1">
      <c r="A78" s="348" t="str">
        <f t="shared" si="3"/>
        <v xml:space="preserve">A50-30-28直平纹长乐27白
</v>
      </c>
      <c r="B78" s="332" t="s">
        <v>2578</v>
      </c>
      <c r="C78" s="362" t="s">
        <v>277</v>
      </c>
      <c r="D78" s="362" t="s">
        <v>285</v>
      </c>
      <c r="E78" s="350">
        <f>IF(B78="","",IF(ISNA(--VLOOKUP(A78,四面弹import!A:D,4,FALSE)),0,--VLOOKUP(A78,四面弹import!A:D,4,FALSE)))</f>
        <v>1849.2</v>
      </c>
      <c r="F78" s="351">
        <f>IF(B78="","",IF(ISNA(--VLOOKUP(A78,四面弹import!A:E,5,FALSE)),0,--VLOOKUP(A78,四面弹import!A:E,5,FALSE)))</f>
        <v>90</v>
      </c>
      <c r="G78" s="362" t="s">
        <v>2598</v>
      </c>
      <c r="H78" s="362" t="s">
        <v>309</v>
      </c>
      <c r="I78" s="362" t="s">
        <v>180</v>
      </c>
      <c r="J78" s="362" t="s">
        <v>613</v>
      </c>
      <c r="K78" s="362" t="s">
        <v>158</v>
      </c>
      <c r="L78" s="362" t="s">
        <v>281</v>
      </c>
      <c r="M78" s="362" t="s">
        <v>626</v>
      </c>
      <c r="N78" s="362" t="s">
        <v>287</v>
      </c>
      <c r="O78" s="362" t="s">
        <v>2</v>
      </c>
      <c r="P78" s="362" t="s">
        <v>612</v>
      </c>
      <c r="Q78" s="366" t="s">
        <v>2600</v>
      </c>
      <c r="R78" s="362"/>
      <c r="U78" s="362" t="s">
        <v>2600</v>
      </c>
    </row>
    <row r="79" spans="1:21" s="332" customFormat="1">
      <c r="A79" s="348" t="str">
        <f t="shared" si="3"/>
        <v/>
      </c>
      <c r="E79" s="350" t="str">
        <f>IF(B79="","",IF(ISNA(--VLOOKUP(A79,四面弹import!A:D,4,FALSE)),0,--VLOOKUP(A79,四面弹import!A:D,4,FALSE)))</f>
        <v/>
      </c>
      <c r="F79" s="351" t="str">
        <f>IF(B79="","",IF(ISNA(--VLOOKUP(A79,四面弹import!A:E,5,FALSE)),0,--VLOOKUP(A79,四面弹import!A:E,5,FALSE)))</f>
        <v/>
      </c>
    </row>
    <row r="80" spans="1:21" s="332" customFormat="1">
      <c r="A80" s="348" t="str">
        <f t="shared" si="3"/>
        <v/>
      </c>
      <c r="E80" s="350" t="str">
        <f>IF(B80="","",IF(ISNA(--VLOOKUP(A80,四面弹import!A:D,4,FALSE)),0,--VLOOKUP(A80,四面弹import!A:D,4,FALSE)))</f>
        <v/>
      </c>
      <c r="F80" s="351" t="str">
        <f>IF(B80="","",IF(ISNA(--VLOOKUP(A80,四面弹import!A:E,5,FALSE)),0,--VLOOKUP(A80,四面弹import!A:E,5,FALSE)))</f>
        <v/>
      </c>
    </row>
    <row r="81" spans="1:6" s="332" customFormat="1">
      <c r="A81" s="348" t="str">
        <f t="shared" si="3"/>
        <v/>
      </c>
      <c r="E81" s="350" t="str">
        <f>IF(B81="","",IF(ISNA(--VLOOKUP(A81,四面弹import!A:D,4,FALSE)),0,--VLOOKUP(A81,四面弹import!A:D,4,FALSE)))</f>
        <v/>
      </c>
      <c r="F81" s="351" t="str">
        <f>IF(B81="","",IF(ISNA(--VLOOKUP(A81,四面弹import!A:E,5,FALSE)),0,--VLOOKUP(A81,四面弹import!A:E,5,FALSE)))</f>
        <v/>
      </c>
    </row>
    <row r="82" spans="1:6" s="332" customFormat="1">
      <c r="A82" s="348" t="str">
        <f t="shared" si="3"/>
        <v/>
      </c>
      <c r="E82" s="350" t="str">
        <f>IF(B82="","",IF(ISNA(--VLOOKUP(A82,四面弹import!A:D,4,FALSE)),0,--VLOOKUP(A82,四面弹import!A:D,4,FALSE)))</f>
        <v/>
      </c>
      <c r="F82" s="351" t="str">
        <f>IF(B82="","",IF(ISNA(--VLOOKUP(A82,四面弹import!A:E,5,FALSE)),0,--VLOOKUP(A82,四面弹import!A:E,5,FALSE)))</f>
        <v/>
      </c>
    </row>
    <row r="83" spans="1:6" s="332" customFormat="1">
      <c r="A83" s="348" t="str">
        <f t="shared" si="3"/>
        <v/>
      </c>
      <c r="E83" s="350" t="str">
        <f>IF(B83="","",IF(ISNA(--VLOOKUP(A83,四面弹import!A:D,4,FALSE)),0,--VLOOKUP(A83,四面弹import!A:D,4,FALSE)))</f>
        <v/>
      </c>
      <c r="F83" s="351" t="str">
        <f>IF(B83="","",IF(ISNA(--VLOOKUP(A83,四面弹import!A:E,5,FALSE)),0,--VLOOKUP(A83,四面弹import!A:E,5,FALSE)))</f>
        <v/>
      </c>
    </row>
    <row r="84" spans="1:6" s="332" customFormat="1">
      <c r="A84" s="348" t="str">
        <f t="shared" si="3"/>
        <v/>
      </c>
      <c r="E84" s="350" t="str">
        <f>IF(B84="","",IF(ISNA(--VLOOKUP(A84,四面弹import!A:D,4,FALSE)),0,--VLOOKUP(A84,四面弹import!A:D,4,FALSE)))</f>
        <v/>
      </c>
      <c r="F84" s="351" t="str">
        <f>IF(B84="","",IF(ISNA(--VLOOKUP(A84,四面弹import!A:E,5,FALSE)),0,--VLOOKUP(A84,四面弹import!A:E,5,FALSE)))</f>
        <v/>
      </c>
    </row>
    <row r="85" spans="1:6" s="332" customFormat="1">
      <c r="A85" s="348" t="str">
        <f t="shared" si="3"/>
        <v/>
      </c>
      <c r="E85" s="350" t="str">
        <f>IF(B85="","",IF(ISNA(--VLOOKUP(A85,四面弹import!A:D,4,FALSE)),0,--VLOOKUP(A85,四面弹import!A:D,4,FALSE)))</f>
        <v/>
      </c>
      <c r="F85" s="351" t="str">
        <f>IF(B85="","",IF(ISNA(--VLOOKUP(A85,四面弹import!A:E,5,FALSE)),0,--VLOOKUP(A85,四面弹import!A:E,5,FALSE)))</f>
        <v/>
      </c>
    </row>
    <row r="86" spans="1:6" s="332" customFormat="1">
      <c r="A86" s="348" t="str">
        <f t="shared" si="3"/>
        <v/>
      </c>
      <c r="E86" s="350" t="str">
        <f>IF(B86="","",IF(ISNA(--VLOOKUP(A86,四面弹import!A:D,4,FALSE)),0,--VLOOKUP(A86,四面弹import!A:D,4,FALSE)))</f>
        <v/>
      </c>
      <c r="F86" s="351" t="str">
        <f>IF(B86="","",IF(ISNA(--VLOOKUP(A86,四面弹import!A:E,5,FALSE)),0,--VLOOKUP(A86,四面弹import!A:E,5,FALSE)))</f>
        <v/>
      </c>
    </row>
    <row r="87" spans="1:6" s="332" customFormat="1">
      <c r="A87" s="348" t="str">
        <f t="shared" si="3"/>
        <v/>
      </c>
      <c r="E87" s="350" t="str">
        <f>IF(B87="","",IF(ISNA(--VLOOKUP(A87,四面弹import!A:D,4,FALSE)),0,--VLOOKUP(A87,四面弹import!A:D,4,FALSE)))</f>
        <v/>
      </c>
      <c r="F87" s="351" t="str">
        <f>IF(B87="","",IF(ISNA(--VLOOKUP(A87,四面弹import!A:E,5,FALSE)),0,--VLOOKUP(A87,四面弹import!A:E,5,FALSE)))</f>
        <v/>
      </c>
    </row>
    <row r="88" spans="1:6" s="332" customFormat="1">
      <c r="A88" s="348" t="str">
        <f t="shared" si="3"/>
        <v/>
      </c>
      <c r="E88" s="350" t="str">
        <f>IF(B88="","",IF(ISNA(--VLOOKUP(A88,四面弹import!A:D,4,FALSE)),0,--VLOOKUP(A88,四面弹import!A:D,4,FALSE)))</f>
        <v/>
      </c>
      <c r="F88" s="351" t="str">
        <f>IF(B88="","",IF(ISNA(--VLOOKUP(A88,四面弹import!A:E,5,FALSE)),0,--VLOOKUP(A88,四面弹import!A:E,5,FALSE)))</f>
        <v/>
      </c>
    </row>
    <row r="89" spans="1:6" s="332" customFormat="1">
      <c r="A89" s="348" t="str">
        <f t="shared" si="3"/>
        <v/>
      </c>
      <c r="E89" s="350" t="str">
        <f>IF(B89="","",IF(ISNA(--VLOOKUP(A89,四面弹import!A:D,4,FALSE)),0,--VLOOKUP(A89,四面弹import!A:D,4,FALSE)))</f>
        <v/>
      </c>
      <c r="F89" s="351" t="str">
        <f>IF(B89="","",IF(ISNA(--VLOOKUP(A89,四面弹import!A:E,5,FALSE)),0,--VLOOKUP(A89,四面弹import!A:E,5,FALSE)))</f>
        <v/>
      </c>
    </row>
    <row r="90" spans="1:6" s="332" customFormat="1">
      <c r="A90" s="348" t="str">
        <f t="shared" si="3"/>
        <v/>
      </c>
      <c r="E90" s="350" t="str">
        <f>IF(B90="","",IF(ISNA(--VLOOKUP(A90,四面弹import!A:D,4,FALSE)),0,--VLOOKUP(A90,四面弹import!A:D,4,FALSE)))</f>
        <v/>
      </c>
      <c r="F90" s="351" t="str">
        <f>IF(B90="","",IF(ISNA(--VLOOKUP(A90,四面弹import!A:E,5,FALSE)),0,--VLOOKUP(A90,四面弹import!A:E,5,FALSE)))</f>
        <v/>
      </c>
    </row>
    <row r="91" spans="1:6" s="332" customFormat="1">
      <c r="A91" s="348" t="str">
        <f t="shared" si="3"/>
        <v/>
      </c>
      <c r="E91" s="350" t="str">
        <f>IF(B91="","",IF(ISNA(--VLOOKUP(A91,四面弹import!A:D,4,FALSE)),0,--VLOOKUP(A91,四面弹import!A:D,4,FALSE)))</f>
        <v/>
      </c>
      <c r="F91" s="351" t="str">
        <f>IF(B91="","",IF(ISNA(--VLOOKUP(A91,四面弹import!A:E,5,FALSE)),0,--VLOOKUP(A91,四面弹import!A:E,5,FALSE)))</f>
        <v/>
      </c>
    </row>
    <row r="92" spans="1:6" s="332" customFormat="1">
      <c r="A92" s="348" t="str">
        <f t="shared" si="3"/>
        <v/>
      </c>
      <c r="E92" s="350" t="str">
        <f>IF(B92="","",IF(ISNA(--VLOOKUP(A92,四面弹import!A:D,4,FALSE)),0,--VLOOKUP(A92,四面弹import!A:D,4,FALSE)))</f>
        <v/>
      </c>
      <c r="F92" s="351" t="str">
        <f>IF(B92="","",IF(ISNA(--VLOOKUP(A92,四面弹import!A:E,5,FALSE)),0,--VLOOKUP(A92,四面弹import!A:E,5,FALSE)))</f>
        <v/>
      </c>
    </row>
    <row r="93" spans="1:6" s="332" customFormat="1">
      <c r="A93" s="348" t="str">
        <f t="shared" si="3"/>
        <v/>
      </c>
      <c r="E93" s="350" t="str">
        <f>IF(B93="","",IF(ISNA(--VLOOKUP(A93,四面弹import!A:D,4,FALSE)),0,--VLOOKUP(A93,四面弹import!A:D,4,FALSE)))</f>
        <v/>
      </c>
      <c r="F93" s="351" t="str">
        <f>IF(B93="","",IF(ISNA(--VLOOKUP(A93,四面弹import!A:E,5,FALSE)),0,--VLOOKUP(A93,四面弹import!A:E,5,FALSE)))</f>
        <v/>
      </c>
    </row>
    <row r="94" spans="1:6" s="332" customFormat="1">
      <c r="A94" s="348" t="str">
        <f t="shared" si="3"/>
        <v/>
      </c>
      <c r="E94" s="350" t="str">
        <f>IF(B94="","",IF(ISNA(--VLOOKUP(A94,四面弹import!A:D,4,FALSE)),0,--VLOOKUP(A94,四面弹import!A:D,4,FALSE)))</f>
        <v/>
      </c>
      <c r="F94" s="351" t="str">
        <f>IF(B94="","",IF(ISNA(--VLOOKUP(A94,四面弹import!A:E,5,FALSE)),0,--VLOOKUP(A94,四面弹import!A:E,5,FALSE)))</f>
        <v/>
      </c>
    </row>
    <row r="95" spans="1:6" s="332" customFormat="1">
      <c r="A95" s="348" t="str">
        <f t="shared" si="3"/>
        <v/>
      </c>
      <c r="E95" s="350" t="str">
        <f>IF(B95="","",IF(ISNA(--VLOOKUP(A95,四面弹import!A:D,4,FALSE)),0,--VLOOKUP(A95,四面弹import!A:D,4,FALSE)))</f>
        <v/>
      </c>
      <c r="F95" s="351" t="str">
        <f>IF(B95="","",IF(ISNA(--VLOOKUP(A95,四面弹import!A:E,5,FALSE)),0,--VLOOKUP(A95,四面弹import!A:E,5,FALSE)))</f>
        <v/>
      </c>
    </row>
    <row r="96" spans="1:6" s="332" customFormat="1">
      <c r="A96" s="348" t="str">
        <f t="shared" si="3"/>
        <v/>
      </c>
      <c r="E96" s="350" t="str">
        <f>IF(B96="","",IF(ISNA(--VLOOKUP(A96,四面弹import!A:D,4,FALSE)),0,--VLOOKUP(A96,四面弹import!A:D,4,FALSE)))</f>
        <v/>
      </c>
      <c r="F96" s="351" t="str">
        <f>IF(B96="","",IF(ISNA(--VLOOKUP(A96,四面弹import!A:E,5,FALSE)),0,--VLOOKUP(A96,四面弹import!A:E,5,FALSE)))</f>
        <v/>
      </c>
    </row>
    <row r="97" spans="1:6" s="332" customFormat="1">
      <c r="A97" s="348" t="str">
        <f t="shared" si="3"/>
        <v/>
      </c>
      <c r="E97" s="350" t="str">
        <f>IF(B97="","",IF(ISNA(--VLOOKUP(A97,四面弹import!A:D,4,FALSE)),0,--VLOOKUP(A97,四面弹import!A:D,4,FALSE)))</f>
        <v/>
      </c>
      <c r="F97" s="351" t="str">
        <f>IF(B97="","",IF(ISNA(--VLOOKUP(A97,四面弹import!A:E,5,FALSE)),0,--VLOOKUP(A97,四面弹import!A:E,5,FALSE)))</f>
        <v/>
      </c>
    </row>
    <row r="98" spans="1:6" s="332" customFormat="1">
      <c r="A98" s="348" t="str">
        <f t="shared" si="3"/>
        <v/>
      </c>
      <c r="E98" s="350" t="str">
        <f>IF(B98="","",IF(ISNA(--VLOOKUP(A98,四面弹import!A:D,4,FALSE)),0,--VLOOKUP(A98,四面弹import!A:D,4,FALSE)))</f>
        <v/>
      </c>
      <c r="F98" s="351" t="str">
        <f>IF(B98="","",IF(ISNA(--VLOOKUP(A98,四面弹import!A:E,5,FALSE)),0,--VLOOKUP(A98,四面弹import!A:E,5,FALSE)))</f>
        <v/>
      </c>
    </row>
    <row r="99" spans="1:6" s="332" customFormat="1">
      <c r="A99" s="348" t="str">
        <f t="shared" si="3"/>
        <v/>
      </c>
      <c r="E99" s="350" t="str">
        <f>IF(B99="","",IF(ISNA(--VLOOKUP(A99,四面弹import!A:D,4,FALSE)),0,--VLOOKUP(A99,四面弹import!A:D,4,FALSE)))</f>
        <v/>
      </c>
      <c r="F99" s="351" t="str">
        <f>IF(B99="","",IF(ISNA(--VLOOKUP(A99,四面弹import!A:E,5,FALSE)),0,--VLOOKUP(A99,四面弹import!A:E,5,FALSE)))</f>
        <v/>
      </c>
    </row>
    <row r="100" spans="1:6" s="332" customFormat="1">
      <c r="A100" s="348" t="str">
        <f t="shared" si="3"/>
        <v/>
      </c>
      <c r="E100" s="350" t="str">
        <f>IF(B100="","",IF(ISNA(--VLOOKUP(A100,四面弹import!A:D,4,FALSE)),0,--VLOOKUP(A100,四面弹import!A:D,4,FALSE)))</f>
        <v/>
      </c>
      <c r="F100" s="351" t="str">
        <f>IF(B100="","",IF(ISNA(--VLOOKUP(A100,四面弹import!A:E,5,FALSE)),0,--VLOOKUP(A100,四面弹import!A:E,5,FALSE)))</f>
        <v/>
      </c>
    </row>
    <row r="101" spans="1:6" s="332" customFormat="1">
      <c r="A101" s="348" t="str">
        <f t="shared" si="3"/>
        <v/>
      </c>
      <c r="E101" s="350" t="str">
        <f>IF(B101="","",IF(ISNA(--VLOOKUP(A101,四面弹import!A:D,4,FALSE)),0,--VLOOKUP(A101,四面弹import!A:D,4,FALSE)))</f>
        <v/>
      </c>
      <c r="F101" s="351" t="str">
        <f>IF(B101="","",IF(ISNA(--VLOOKUP(A101,四面弹import!A:E,5,FALSE)),0,--VLOOKUP(A101,四面弹import!A:E,5,FALSE)))</f>
        <v/>
      </c>
    </row>
    <row r="102" spans="1:6" s="332" customFormat="1">
      <c r="A102" s="348" t="str">
        <f t="shared" si="3"/>
        <v/>
      </c>
      <c r="E102" s="350" t="str">
        <f>IF(B102="","",IF(ISNA(--VLOOKUP(A102,四面弹import!A:D,4,FALSE)),0,--VLOOKUP(A102,四面弹import!A:D,4,FALSE)))</f>
        <v/>
      </c>
      <c r="F102" s="351" t="str">
        <f>IF(B102="","",IF(ISNA(--VLOOKUP(A102,四面弹import!A:E,5,FALSE)),0,--VLOOKUP(A102,四面弹import!A:E,5,FALSE)))</f>
        <v/>
      </c>
    </row>
    <row r="103" spans="1:6" s="332" customFormat="1">
      <c r="A103" s="348" t="str">
        <f t="shared" si="3"/>
        <v/>
      </c>
      <c r="E103" s="350" t="str">
        <f>IF(B103="","",IF(ISNA(--VLOOKUP(A103,四面弹import!A:D,4,FALSE)),0,--VLOOKUP(A103,四面弹import!A:D,4,FALSE)))</f>
        <v/>
      </c>
      <c r="F103" s="351" t="str">
        <f>IF(B103="","",IF(ISNA(--VLOOKUP(A103,四面弹import!A:E,5,FALSE)),0,--VLOOKUP(A103,四面弹import!A:E,5,FALSE)))</f>
        <v/>
      </c>
    </row>
    <row r="104" spans="1:6" s="332" customFormat="1">
      <c r="A104" s="348" t="str">
        <f t="shared" si="3"/>
        <v/>
      </c>
      <c r="E104" s="350" t="str">
        <f>IF(B104="","",IF(ISNA(--VLOOKUP(A104,四面弹import!A:D,4,FALSE)),0,--VLOOKUP(A104,四面弹import!A:D,4,FALSE)))</f>
        <v/>
      </c>
      <c r="F104" s="351" t="str">
        <f>IF(B104="","",IF(ISNA(--VLOOKUP(A104,四面弹import!A:E,5,FALSE)),0,--VLOOKUP(A104,四面弹import!A:E,5,FALSE)))</f>
        <v/>
      </c>
    </row>
    <row r="105" spans="1:6" s="332" customFormat="1">
      <c r="A105" s="348" t="str">
        <f t="shared" si="3"/>
        <v/>
      </c>
      <c r="E105" s="350" t="str">
        <f>IF(B105="","",IF(ISNA(--VLOOKUP(A105,四面弹import!A:D,4,FALSE)),0,--VLOOKUP(A105,四面弹import!A:D,4,FALSE)))</f>
        <v/>
      </c>
      <c r="F105" s="351" t="str">
        <f>IF(B105="","",IF(ISNA(--VLOOKUP(A105,四面弹import!A:E,5,FALSE)),0,--VLOOKUP(A105,四面弹import!A:E,5,FALSE)))</f>
        <v/>
      </c>
    </row>
    <row r="106" spans="1:6" s="332" customFormat="1">
      <c r="A106" s="348" t="str">
        <f t="shared" si="3"/>
        <v/>
      </c>
      <c r="E106" s="350" t="str">
        <f>IF(B106="","",IF(ISNA(--VLOOKUP(A106,四面弹import!A:D,4,FALSE)),0,--VLOOKUP(A106,四面弹import!A:D,4,FALSE)))</f>
        <v/>
      </c>
      <c r="F106" s="351" t="str">
        <f>IF(B106="","",IF(ISNA(--VLOOKUP(A106,四面弹import!A:E,5,FALSE)),0,--VLOOKUP(A106,四面弹import!A:E,5,FALSE)))</f>
        <v/>
      </c>
    </row>
    <row r="107" spans="1:6" s="332" customFormat="1">
      <c r="A107" s="348" t="str">
        <f t="shared" si="3"/>
        <v/>
      </c>
      <c r="E107" s="350" t="str">
        <f>IF(B107="","",IF(ISNA(--VLOOKUP(A107,四面弹import!A:D,4,FALSE)),0,--VLOOKUP(A107,四面弹import!A:D,4,FALSE)))</f>
        <v/>
      </c>
      <c r="F107" s="351" t="str">
        <f>IF(B107="","",IF(ISNA(--VLOOKUP(A107,四面弹import!A:E,5,FALSE)),0,--VLOOKUP(A107,四面弹import!A:E,5,FALSE)))</f>
        <v/>
      </c>
    </row>
    <row r="108" spans="1:6" s="332" customFormat="1">
      <c r="A108" s="348" t="str">
        <f t="shared" si="3"/>
        <v/>
      </c>
      <c r="E108" s="350" t="str">
        <f>IF(B108="","",IF(ISNA(--VLOOKUP(A108,四面弹import!A:D,4,FALSE)),0,--VLOOKUP(A108,四面弹import!A:D,4,FALSE)))</f>
        <v/>
      </c>
      <c r="F108" s="351" t="str">
        <f>IF(B108="","",IF(ISNA(--VLOOKUP(A108,四面弹import!A:E,5,FALSE)),0,--VLOOKUP(A108,四面弹import!A:E,5,FALSE)))</f>
        <v/>
      </c>
    </row>
    <row r="109" spans="1:6" s="332" customFormat="1">
      <c r="A109" s="348" t="str">
        <f t="shared" si="3"/>
        <v/>
      </c>
      <c r="E109" s="350" t="str">
        <f>IF(B109="","",IF(ISNA(--VLOOKUP(A109,四面弹import!A:D,4,FALSE)),0,--VLOOKUP(A109,四面弹import!A:D,4,FALSE)))</f>
        <v/>
      </c>
      <c r="F109" s="351" t="str">
        <f>IF(B109="","",IF(ISNA(--VLOOKUP(A109,四面弹import!A:E,5,FALSE)),0,--VLOOKUP(A109,四面弹import!A:E,5,FALSE)))</f>
        <v/>
      </c>
    </row>
    <row r="110" spans="1:6" s="332" customFormat="1">
      <c r="A110" s="348" t="str">
        <f t="shared" si="3"/>
        <v/>
      </c>
      <c r="E110" s="350" t="str">
        <f>IF(B110="","",IF(ISNA(--VLOOKUP(A110,四面弹import!A:D,4,FALSE)),0,--VLOOKUP(A110,四面弹import!A:D,4,FALSE)))</f>
        <v/>
      </c>
      <c r="F110" s="351" t="str">
        <f>IF(B110="","",IF(ISNA(--VLOOKUP(A110,四面弹import!A:E,5,FALSE)),0,--VLOOKUP(A110,四面弹import!A:E,5,FALSE)))</f>
        <v/>
      </c>
    </row>
    <row r="111" spans="1:6" s="332" customFormat="1">
      <c r="A111" s="348" t="str">
        <f t="shared" si="3"/>
        <v/>
      </c>
      <c r="E111" s="350" t="str">
        <f>IF(B111="","",IF(ISNA(--VLOOKUP(A111,四面弹import!A:D,4,FALSE)),0,--VLOOKUP(A111,四面弹import!A:D,4,FALSE)))</f>
        <v/>
      </c>
      <c r="F111" s="351" t="str">
        <f>IF(B111="","",IF(ISNA(--VLOOKUP(A111,四面弹import!A:E,5,FALSE)),0,--VLOOKUP(A111,四面弹import!A:E,5,FALSE)))</f>
        <v/>
      </c>
    </row>
    <row r="112" spans="1:6" s="332" customFormat="1">
      <c r="A112" s="348" t="str">
        <f t="shared" si="3"/>
        <v/>
      </c>
      <c r="E112" s="350" t="str">
        <f>IF(B112="","",IF(ISNA(--VLOOKUP(A112,四面弹import!A:D,4,FALSE)),0,--VLOOKUP(A112,四面弹import!A:D,4,FALSE)))</f>
        <v/>
      </c>
      <c r="F112" s="351" t="str">
        <f>IF(B112="","",IF(ISNA(--VLOOKUP(A112,四面弹import!A:E,5,FALSE)),0,--VLOOKUP(A112,四面弹import!A:E,5,FALSE)))</f>
        <v/>
      </c>
    </row>
    <row r="113" spans="1:6" s="332" customFormat="1">
      <c r="A113" s="348" t="str">
        <f t="shared" si="3"/>
        <v/>
      </c>
      <c r="E113" s="350" t="str">
        <f>IF(B113="","",IF(ISNA(--VLOOKUP(A113,四面弹import!A:D,4,FALSE)),0,--VLOOKUP(A113,四面弹import!A:D,4,FALSE)))</f>
        <v/>
      </c>
      <c r="F113" s="351" t="str">
        <f>IF(B113="","",IF(ISNA(--VLOOKUP(A113,四面弹import!A:E,5,FALSE)),0,--VLOOKUP(A113,四面弹import!A:E,5,FALSE)))</f>
        <v/>
      </c>
    </row>
    <row r="114" spans="1:6" s="332" customFormat="1">
      <c r="A114" s="348" t="str">
        <f t="shared" si="3"/>
        <v/>
      </c>
      <c r="E114" s="350" t="str">
        <f>IF(B114="","",IF(ISNA(--VLOOKUP(A114,四面弹import!A:D,4,FALSE)),0,--VLOOKUP(A114,四面弹import!A:D,4,FALSE)))</f>
        <v/>
      </c>
      <c r="F114" s="351" t="str">
        <f>IF(B114="","",IF(ISNA(--VLOOKUP(A114,四面弹import!A:E,5,FALSE)),0,--VLOOKUP(A114,四面弹import!A:E,5,FALSE)))</f>
        <v/>
      </c>
    </row>
    <row r="115" spans="1:6" s="332" customFormat="1">
      <c r="A115" s="348" t="str">
        <f t="shared" si="3"/>
        <v/>
      </c>
      <c r="E115" s="350" t="str">
        <f>IF(B115="","",IF(ISNA(--VLOOKUP(A115,四面弹import!A:D,4,FALSE)),0,--VLOOKUP(A115,四面弹import!A:D,4,FALSE)))</f>
        <v/>
      </c>
      <c r="F115" s="351" t="str">
        <f>IF(B115="","",IF(ISNA(--VLOOKUP(A115,四面弹import!A:E,5,FALSE)),0,--VLOOKUP(A115,四面弹import!A:E,5,FALSE)))</f>
        <v/>
      </c>
    </row>
    <row r="116" spans="1:6" s="332" customFormat="1">
      <c r="A116" s="348" t="str">
        <f t="shared" si="3"/>
        <v/>
      </c>
      <c r="E116" s="350" t="str">
        <f>IF(B116="","",IF(ISNA(--VLOOKUP(A116,四面弹import!A:D,4,FALSE)),0,--VLOOKUP(A116,四面弹import!A:D,4,FALSE)))</f>
        <v/>
      </c>
      <c r="F116" s="351" t="str">
        <f>IF(B116="","",IF(ISNA(--VLOOKUP(A116,四面弹import!A:E,5,FALSE)),0,--VLOOKUP(A116,四面弹import!A:E,5,FALSE)))</f>
        <v/>
      </c>
    </row>
    <row r="117" spans="1:6" s="332" customFormat="1">
      <c r="A117" s="348" t="str">
        <f t="shared" si="3"/>
        <v/>
      </c>
      <c r="E117" s="350" t="str">
        <f>IF(B117="","",IF(ISNA(--VLOOKUP(A117,四面弹import!A:D,4,FALSE)),0,--VLOOKUP(A117,四面弹import!A:D,4,FALSE)))</f>
        <v/>
      </c>
      <c r="F117" s="351" t="str">
        <f>IF(B117="","",IF(ISNA(--VLOOKUP(A117,四面弹import!A:E,5,FALSE)),0,--VLOOKUP(A117,四面弹import!A:E,5,FALSE)))</f>
        <v/>
      </c>
    </row>
    <row r="118" spans="1:6" s="332" customFormat="1">
      <c r="A118" s="348" t="str">
        <f t="shared" si="3"/>
        <v/>
      </c>
      <c r="E118" s="350" t="str">
        <f>IF(B118="","",IF(ISNA(--VLOOKUP(A118,四面弹import!A:D,4,FALSE)),0,--VLOOKUP(A118,四面弹import!A:D,4,FALSE)))</f>
        <v/>
      </c>
      <c r="F118" s="351" t="str">
        <f>IF(B118="","",IF(ISNA(--VLOOKUP(A118,四面弹import!A:E,5,FALSE)),0,--VLOOKUP(A118,四面弹import!A:E,5,FALSE)))</f>
        <v/>
      </c>
    </row>
    <row r="119" spans="1:6" s="332" customFormat="1">
      <c r="A119" s="348" t="str">
        <f t="shared" si="3"/>
        <v/>
      </c>
      <c r="E119" s="350" t="str">
        <f>IF(B119="","",IF(ISNA(--VLOOKUP(A119,四面弹import!A:D,4,FALSE)),0,--VLOOKUP(A119,四面弹import!A:D,4,FALSE)))</f>
        <v/>
      </c>
      <c r="F119" s="351" t="str">
        <f>IF(B119="","",IF(ISNA(--VLOOKUP(A119,四面弹import!A:E,5,FALSE)),0,--VLOOKUP(A119,四面弹import!A:E,5,FALSE)))</f>
        <v/>
      </c>
    </row>
    <row r="120" spans="1:6" s="332" customFormat="1">
      <c r="A120" s="348" t="str">
        <f t="shared" si="3"/>
        <v/>
      </c>
      <c r="E120" s="350" t="str">
        <f>IF(B120="","",IF(ISNA(--VLOOKUP(A120,四面弹import!A:D,4,FALSE)),0,--VLOOKUP(A120,四面弹import!A:D,4,FALSE)))</f>
        <v/>
      </c>
      <c r="F120" s="351" t="str">
        <f>IF(B120="","",IF(ISNA(--VLOOKUP(A120,四面弹import!A:E,5,FALSE)),0,--VLOOKUP(A120,四面弹import!A:E,5,FALSE)))</f>
        <v/>
      </c>
    </row>
    <row r="121" spans="1:6" s="332" customFormat="1">
      <c r="A121" s="348" t="str">
        <f t="shared" si="3"/>
        <v/>
      </c>
      <c r="E121" s="350" t="str">
        <f>IF(B121="","",IF(ISNA(--VLOOKUP(A121,四面弹import!A:D,4,FALSE)),0,--VLOOKUP(A121,四面弹import!A:D,4,FALSE)))</f>
        <v/>
      </c>
      <c r="F121" s="351" t="str">
        <f>IF(B121="","",IF(ISNA(--VLOOKUP(A121,四面弹import!A:E,5,FALSE)),0,--VLOOKUP(A121,四面弹import!A:E,5,FALSE)))</f>
        <v/>
      </c>
    </row>
    <row r="122" spans="1:6" s="332" customFormat="1">
      <c r="A122" s="348" t="str">
        <f t="shared" si="3"/>
        <v/>
      </c>
      <c r="E122" s="350" t="str">
        <f>IF(B122="","",IF(ISNA(--VLOOKUP(A122,四面弹import!A:D,4,FALSE)),0,--VLOOKUP(A122,四面弹import!A:D,4,FALSE)))</f>
        <v/>
      </c>
      <c r="F122" s="351" t="str">
        <f>IF(B122="","",IF(ISNA(--VLOOKUP(A122,四面弹import!A:E,5,FALSE)),0,--VLOOKUP(A122,四面弹import!A:E,5,FALSE)))</f>
        <v/>
      </c>
    </row>
    <row r="123" spans="1:6" s="332" customFormat="1">
      <c r="A123" s="348" t="str">
        <f t="shared" si="3"/>
        <v/>
      </c>
      <c r="E123" s="350" t="str">
        <f>IF(B123="","",IF(ISNA(--VLOOKUP(A123,四面弹import!A:D,4,FALSE)),0,--VLOOKUP(A123,四面弹import!A:D,4,FALSE)))</f>
        <v/>
      </c>
      <c r="F123" s="351" t="str">
        <f>IF(B123="","",IF(ISNA(--VLOOKUP(A123,四面弹import!A:E,5,FALSE)),0,--VLOOKUP(A123,四面弹import!A:E,5,FALSE)))</f>
        <v/>
      </c>
    </row>
    <row r="124" spans="1:6" s="332" customFormat="1">
      <c r="A124" s="348" t="str">
        <f t="shared" si="3"/>
        <v/>
      </c>
      <c r="E124" s="350" t="str">
        <f>IF(B124="","",IF(ISNA(--VLOOKUP(A124,四面弹import!A:D,4,FALSE)),0,--VLOOKUP(A124,四面弹import!A:D,4,FALSE)))</f>
        <v/>
      </c>
      <c r="F124" s="351" t="str">
        <f>IF(B124="","",IF(ISNA(--VLOOKUP(A124,四面弹import!A:E,5,FALSE)),0,--VLOOKUP(A124,四面弹import!A:E,5,FALSE)))</f>
        <v/>
      </c>
    </row>
    <row r="125" spans="1:6" s="332" customFormat="1">
      <c r="A125" s="348" t="str">
        <f t="shared" si="3"/>
        <v/>
      </c>
      <c r="E125" s="350" t="str">
        <f>IF(B125="","",IF(ISNA(--VLOOKUP(A125,四面弹import!A:D,4,FALSE)),0,--VLOOKUP(A125,四面弹import!A:D,4,FALSE)))</f>
        <v/>
      </c>
      <c r="F125" s="351" t="str">
        <f>IF(B125="","",IF(ISNA(--VLOOKUP(A125,四面弹import!A:E,5,FALSE)),0,--VLOOKUP(A125,四面弹import!A:E,5,FALSE)))</f>
        <v/>
      </c>
    </row>
    <row r="126" spans="1:6" s="332" customFormat="1">
      <c r="A126" s="348" t="str">
        <f t="shared" si="3"/>
        <v/>
      </c>
      <c r="E126" s="350" t="str">
        <f>IF(B126="","",IF(ISNA(--VLOOKUP(A126,四面弹import!A:D,4,FALSE)),0,--VLOOKUP(A126,四面弹import!A:D,4,FALSE)))</f>
        <v/>
      </c>
      <c r="F126" s="351" t="str">
        <f>IF(B126="","",IF(ISNA(--VLOOKUP(A126,四面弹import!A:E,5,FALSE)),0,--VLOOKUP(A126,四面弹import!A:E,5,FALSE)))</f>
        <v/>
      </c>
    </row>
    <row r="127" spans="1:6" s="332" customFormat="1">
      <c r="A127" s="348" t="str">
        <f t="shared" si="3"/>
        <v/>
      </c>
      <c r="E127" s="350" t="str">
        <f>IF(B127="","",IF(ISNA(--VLOOKUP(A127,四面弹import!A:D,4,FALSE)),0,--VLOOKUP(A127,四面弹import!A:D,4,FALSE)))</f>
        <v/>
      </c>
      <c r="F127" s="351" t="str">
        <f>IF(B127="","",IF(ISNA(--VLOOKUP(A127,四面弹import!A:E,5,FALSE)),0,--VLOOKUP(A127,四面弹import!A:E,5,FALSE)))</f>
        <v/>
      </c>
    </row>
    <row r="128" spans="1:6" s="332" customFormat="1">
      <c r="A128" s="348" t="str">
        <f t="shared" si="3"/>
        <v/>
      </c>
      <c r="E128" s="350" t="str">
        <f>IF(B128="","",IF(ISNA(--VLOOKUP(A128,四面弹import!A:D,4,FALSE)),0,--VLOOKUP(A128,四面弹import!A:D,4,FALSE)))</f>
        <v/>
      </c>
      <c r="F128" s="351" t="str">
        <f>IF(B128="","",IF(ISNA(--VLOOKUP(A128,四面弹import!A:E,5,FALSE)),0,--VLOOKUP(A128,四面弹import!A:E,5,FALSE)))</f>
        <v/>
      </c>
    </row>
    <row r="129" spans="1:6" s="332" customFormat="1">
      <c r="A129" s="348" t="str">
        <f t="shared" si="3"/>
        <v/>
      </c>
      <c r="E129" s="350" t="str">
        <f>IF(B129="","",IF(ISNA(--VLOOKUP(A129,四面弹import!A:D,4,FALSE)),0,--VLOOKUP(A129,四面弹import!A:D,4,FALSE)))</f>
        <v/>
      </c>
      <c r="F129" s="351" t="str">
        <f>IF(B129="","",IF(ISNA(--VLOOKUP(A129,四面弹import!A:E,5,FALSE)),0,--VLOOKUP(A129,四面弹import!A:E,5,FALSE)))</f>
        <v/>
      </c>
    </row>
    <row r="130" spans="1:6" s="332" customFormat="1">
      <c r="A130" s="348" t="str">
        <f t="shared" si="3"/>
        <v/>
      </c>
      <c r="E130" s="350" t="str">
        <f>IF(B130="","",IF(ISNA(--VLOOKUP(A130,四面弹import!A:D,4,FALSE)),0,--VLOOKUP(A130,四面弹import!A:D,4,FALSE)))</f>
        <v/>
      </c>
      <c r="F130" s="351" t="str">
        <f>IF(B130="","",IF(ISNA(--VLOOKUP(A130,四面弹import!A:E,5,FALSE)),0,--VLOOKUP(A130,四面弹import!A:E,5,FALSE)))</f>
        <v/>
      </c>
    </row>
    <row r="131" spans="1:6" s="332" customFormat="1">
      <c r="A131" s="348" t="str">
        <f t="shared" si="3"/>
        <v/>
      </c>
      <c r="E131" s="350" t="str">
        <f>IF(B131="","",IF(ISNA(--VLOOKUP(A131,四面弹import!A:D,4,FALSE)),0,--VLOOKUP(A131,四面弹import!A:D,4,FALSE)))</f>
        <v/>
      </c>
      <c r="F131" s="351" t="str">
        <f>IF(B131="","",IF(ISNA(--VLOOKUP(A131,四面弹import!A:E,5,FALSE)),0,--VLOOKUP(A131,四面弹import!A:E,5,FALSE)))</f>
        <v/>
      </c>
    </row>
    <row r="132" spans="1:6" s="332" customFormat="1">
      <c r="A132" s="348" t="str">
        <f t="shared" si="3"/>
        <v/>
      </c>
      <c r="E132" s="350" t="str">
        <f>IF(B132="","",IF(ISNA(--VLOOKUP(A132,四面弹import!A:D,4,FALSE)),0,--VLOOKUP(A132,四面弹import!A:D,4,FALSE)))</f>
        <v/>
      </c>
      <c r="F132" s="351" t="str">
        <f>IF(B132="","",IF(ISNA(--VLOOKUP(A132,四面弹import!A:E,5,FALSE)),0,--VLOOKUP(A132,四面弹import!A:E,5,FALSE)))</f>
        <v/>
      </c>
    </row>
    <row r="133" spans="1:6" s="332" customFormat="1">
      <c r="A133" s="348" t="str">
        <f t="shared" si="3"/>
        <v/>
      </c>
      <c r="E133" s="350" t="str">
        <f>IF(B133="","",IF(ISNA(--VLOOKUP(A133,四面弹import!A:D,4,FALSE)),0,--VLOOKUP(A133,四面弹import!A:D,4,FALSE)))</f>
        <v/>
      </c>
      <c r="F133" s="351" t="str">
        <f>IF(B133="","",IF(ISNA(--VLOOKUP(A133,四面弹import!A:E,5,FALSE)),0,--VLOOKUP(A133,四面弹import!A:E,5,FALSE)))</f>
        <v/>
      </c>
    </row>
    <row r="134" spans="1:6" s="332" customFormat="1">
      <c r="A134" s="348" t="str">
        <f t="shared" si="3"/>
        <v/>
      </c>
      <c r="E134" s="350" t="str">
        <f>IF(B134="","",IF(ISNA(--VLOOKUP(A134,四面弹import!A:D,4,FALSE)),0,--VLOOKUP(A134,四面弹import!A:D,4,FALSE)))</f>
        <v/>
      </c>
      <c r="F134" s="351" t="str">
        <f>IF(B134="","",IF(ISNA(--VLOOKUP(A134,四面弹import!A:E,5,FALSE)),0,--VLOOKUP(A134,四面弹import!A:E,5,FALSE)))</f>
        <v/>
      </c>
    </row>
    <row r="135" spans="1:6" s="332" customFormat="1">
      <c r="A135" s="348" t="str">
        <f t="shared" si="3"/>
        <v/>
      </c>
      <c r="E135" s="350" t="str">
        <f>IF(B135="","",IF(ISNA(--VLOOKUP(A135,四面弹import!A:D,4,FALSE)),0,--VLOOKUP(A135,四面弹import!A:D,4,FALSE)))</f>
        <v/>
      </c>
      <c r="F135" s="351" t="str">
        <f>IF(B135="","",IF(ISNA(--VLOOKUP(A135,四面弹import!A:E,5,FALSE)),0,--VLOOKUP(A135,四面弹import!A:E,5,FALSE)))</f>
        <v/>
      </c>
    </row>
    <row r="136" spans="1:6" s="332" customFormat="1">
      <c r="A136" s="348" t="str">
        <f t="shared" si="3"/>
        <v/>
      </c>
      <c r="E136" s="350" t="str">
        <f>IF(B136="","",IF(ISNA(--VLOOKUP(A136,四面弹import!A:D,4,FALSE)),0,--VLOOKUP(A136,四面弹import!A:D,4,FALSE)))</f>
        <v/>
      </c>
      <c r="F136" s="351" t="str">
        <f>IF(B136="","",IF(ISNA(--VLOOKUP(A136,四面弹import!A:E,5,FALSE)),0,--VLOOKUP(A136,四面弹import!A:E,5,FALSE)))</f>
        <v/>
      </c>
    </row>
    <row r="137" spans="1:6" s="332" customFormat="1">
      <c r="A137" s="348" t="str">
        <f t="shared" si="3"/>
        <v/>
      </c>
      <c r="E137" s="350" t="str">
        <f>IF(B137="","",IF(ISNA(--VLOOKUP(A137,四面弹import!A:D,4,FALSE)),0,--VLOOKUP(A137,四面弹import!A:D,4,FALSE)))</f>
        <v/>
      </c>
      <c r="F137" s="351" t="str">
        <f>IF(B137="","",IF(ISNA(--VLOOKUP(A137,四面弹import!A:E,5,FALSE)),0,--VLOOKUP(A137,四面弹import!A:E,5,FALSE)))</f>
        <v/>
      </c>
    </row>
    <row r="138" spans="1:6" s="332" customFormat="1">
      <c r="A138" s="348" t="str">
        <f t="shared" ref="A138:A201" si="4">SUBSTITUTE(H138," ","")&amp;I138&amp;K138&amp;M138&amp;O138&amp;Q138</f>
        <v/>
      </c>
      <c r="E138" s="350" t="str">
        <f>IF(B138="","",IF(ISNA(--VLOOKUP(A138,四面弹import!A:D,4,FALSE)),0,--VLOOKUP(A138,四面弹import!A:D,4,FALSE)))</f>
        <v/>
      </c>
      <c r="F138" s="351" t="str">
        <f>IF(B138="","",IF(ISNA(--VLOOKUP(A138,四面弹import!A:E,5,FALSE)),0,--VLOOKUP(A138,四面弹import!A:E,5,FALSE)))</f>
        <v/>
      </c>
    </row>
    <row r="139" spans="1:6" s="332" customFormat="1">
      <c r="A139" s="348" t="str">
        <f t="shared" si="4"/>
        <v/>
      </c>
      <c r="E139" s="350" t="str">
        <f>IF(B139="","",IF(ISNA(--VLOOKUP(A139,四面弹import!A:D,4,FALSE)),0,--VLOOKUP(A139,四面弹import!A:D,4,FALSE)))</f>
        <v/>
      </c>
      <c r="F139" s="351" t="str">
        <f>IF(B139="","",IF(ISNA(--VLOOKUP(A139,四面弹import!A:E,5,FALSE)),0,--VLOOKUP(A139,四面弹import!A:E,5,FALSE)))</f>
        <v/>
      </c>
    </row>
    <row r="140" spans="1:6" s="332" customFormat="1">
      <c r="A140" s="348" t="str">
        <f t="shared" si="4"/>
        <v/>
      </c>
      <c r="E140" s="350" t="str">
        <f>IF(B140="","",IF(ISNA(--VLOOKUP(A140,四面弹import!A:D,4,FALSE)),0,--VLOOKUP(A140,四面弹import!A:D,4,FALSE)))</f>
        <v/>
      </c>
      <c r="F140" s="351" t="str">
        <f>IF(B140="","",IF(ISNA(--VLOOKUP(A140,四面弹import!A:E,5,FALSE)),0,--VLOOKUP(A140,四面弹import!A:E,5,FALSE)))</f>
        <v/>
      </c>
    </row>
    <row r="141" spans="1:6" s="332" customFormat="1">
      <c r="A141" s="348" t="str">
        <f t="shared" si="4"/>
        <v/>
      </c>
      <c r="E141" s="350" t="str">
        <f>IF(B141="","",IF(ISNA(--VLOOKUP(A141,四面弹import!A:D,4,FALSE)),0,--VLOOKUP(A141,四面弹import!A:D,4,FALSE)))</f>
        <v/>
      </c>
      <c r="F141" s="351" t="str">
        <f>IF(B141="","",IF(ISNA(--VLOOKUP(A141,四面弹import!A:E,5,FALSE)),0,--VLOOKUP(A141,四面弹import!A:E,5,FALSE)))</f>
        <v/>
      </c>
    </row>
    <row r="142" spans="1:6" s="332" customFormat="1">
      <c r="A142" s="348" t="str">
        <f t="shared" si="4"/>
        <v/>
      </c>
      <c r="E142" s="350" t="str">
        <f>IF(B142="","",IF(ISNA(--VLOOKUP(A142,四面弹import!A:D,4,FALSE)),0,--VLOOKUP(A142,四面弹import!A:D,4,FALSE)))</f>
        <v/>
      </c>
      <c r="F142" s="351" t="str">
        <f>IF(B142="","",IF(ISNA(--VLOOKUP(A142,四面弹import!A:E,5,FALSE)),0,--VLOOKUP(A142,四面弹import!A:E,5,FALSE)))</f>
        <v/>
      </c>
    </row>
    <row r="143" spans="1:6" s="332" customFormat="1">
      <c r="A143" s="348" t="str">
        <f t="shared" si="4"/>
        <v/>
      </c>
      <c r="E143" s="350" t="str">
        <f>IF(B143="","",IF(ISNA(--VLOOKUP(A143,四面弹import!A:D,4,FALSE)),0,--VLOOKUP(A143,四面弹import!A:D,4,FALSE)))</f>
        <v/>
      </c>
      <c r="F143" s="351" t="str">
        <f>IF(B143="","",IF(ISNA(--VLOOKUP(A143,四面弹import!A:E,5,FALSE)),0,--VLOOKUP(A143,四面弹import!A:E,5,FALSE)))</f>
        <v/>
      </c>
    </row>
    <row r="144" spans="1:6" s="332" customFormat="1">
      <c r="A144" s="348" t="str">
        <f t="shared" si="4"/>
        <v/>
      </c>
      <c r="E144" s="350" t="str">
        <f>IF(B144="","",IF(ISNA(--VLOOKUP(A144,四面弹import!A:D,4,FALSE)),0,--VLOOKUP(A144,四面弹import!A:D,4,FALSE)))</f>
        <v/>
      </c>
      <c r="F144" s="351" t="str">
        <f>IF(B144="","",IF(ISNA(--VLOOKUP(A144,四面弹import!A:E,5,FALSE)),0,--VLOOKUP(A144,四面弹import!A:E,5,FALSE)))</f>
        <v/>
      </c>
    </row>
    <row r="145" spans="1:6" s="332" customFormat="1">
      <c r="A145" s="348" t="str">
        <f t="shared" si="4"/>
        <v/>
      </c>
      <c r="E145" s="350" t="str">
        <f>IF(B145="","",IF(ISNA(--VLOOKUP(A145,四面弹import!A:D,4,FALSE)),0,--VLOOKUP(A145,四面弹import!A:D,4,FALSE)))</f>
        <v/>
      </c>
      <c r="F145" s="351" t="str">
        <f>IF(B145="","",IF(ISNA(--VLOOKUP(A145,四面弹import!A:E,5,FALSE)),0,--VLOOKUP(A145,四面弹import!A:E,5,FALSE)))</f>
        <v/>
      </c>
    </row>
    <row r="146" spans="1:6" s="332" customFormat="1">
      <c r="A146" s="348" t="str">
        <f t="shared" si="4"/>
        <v/>
      </c>
      <c r="E146" s="350" t="str">
        <f>IF(B146="","",IF(ISNA(--VLOOKUP(A146,四面弹import!A:D,4,FALSE)),0,--VLOOKUP(A146,四面弹import!A:D,4,FALSE)))</f>
        <v/>
      </c>
      <c r="F146" s="351" t="str">
        <f>IF(B146="","",IF(ISNA(--VLOOKUP(A146,四面弹import!A:E,5,FALSE)),0,--VLOOKUP(A146,四面弹import!A:E,5,FALSE)))</f>
        <v/>
      </c>
    </row>
    <row r="147" spans="1:6" s="332" customFormat="1">
      <c r="A147" s="348" t="str">
        <f t="shared" si="4"/>
        <v/>
      </c>
      <c r="E147" s="350" t="str">
        <f>IF(B147="","",IF(ISNA(--VLOOKUP(A147,四面弹import!A:D,4,FALSE)),0,--VLOOKUP(A147,四面弹import!A:D,4,FALSE)))</f>
        <v/>
      </c>
      <c r="F147" s="351" t="str">
        <f>IF(B147="","",IF(ISNA(--VLOOKUP(A147,四面弹import!A:E,5,FALSE)),0,--VLOOKUP(A147,四面弹import!A:E,5,FALSE)))</f>
        <v/>
      </c>
    </row>
    <row r="148" spans="1:6" s="332" customFormat="1">
      <c r="A148" s="348" t="str">
        <f t="shared" si="4"/>
        <v/>
      </c>
      <c r="E148" s="350" t="str">
        <f>IF(B148="","",IF(ISNA(--VLOOKUP(A148,四面弹import!A:D,4,FALSE)),0,--VLOOKUP(A148,四面弹import!A:D,4,FALSE)))</f>
        <v/>
      </c>
      <c r="F148" s="351" t="str">
        <f>IF(B148="","",IF(ISNA(--VLOOKUP(A148,四面弹import!A:E,5,FALSE)),0,--VLOOKUP(A148,四面弹import!A:E,5,FALSE)))</f>
        <v/>
      </c>
    </row>
    <row r="149" spans="1:6" s="332" customFormat="1">
      <c r="A149" s="348" t="str">
        <f t="shared" si="4"/>
        <v/>
      </c>
      <c r="E149" s="350" t="str">
        <f>IF(B149="","",IF(ISNA(--VLOOKUP(A149,四面弹import!A:D,4,FALSE)),0,--VLOOKUP(A149,四面弹import!A:D,4,FALSE)))</f>
        <v/>
      </c>
      <c r="F149" s="351" t="str">
        <f>IF(B149="","",IF(ISNA(--VLOOKUP(A149,四面弹import!A:E,5,FALSE)),0,--VLOOKUP(A149,四面弹import!A:E,5,FALSE)))</f>
        <v/>
      </c>
    </row>
    <row r="150" spans="1:6" s="332" customFormat="1">
      <c r="A150" s="348" t="str">
        <f t="shared" si="4"/>
        <v/>
      </c>
      <c r="E150" s="350" t="str">
        <f>IF(B150="","",IF(ISNA(--VLOOKUP(A150,四面弹import!A:D,4,FALSE)),0,--VLOOKUP(A150,四面弹import!A:D,4,FALSE)))</f>
        <v/>
      </c>
      <c r="F150" s="351" t="str">
        <f>IF(B150="","",IF(ISNA(--VLOOKUP(A150,四面弹import!A:E,5,FALSE)),0,--VLOOKUP(A150,四面弹import!A:E,5,FALSE)))</f>
        <v/>
      </c>
    </row>
    <row r="151" spans="1:6" s="332" customFormat="1">
      <c r="A151" s="348" t="str">
        <f t="shared" si="4"/>
        <v/>
      </c>
      <c r="E151" s="350" t="str">
        <f>IF(B151="","",IF(ISNA(--VLOOKUP(A151,四面弹import!A:D,4,FALSE)),0,--VLOOKUP(A151,四面弹import!A:D,4,FALSE)))</f>
        <v/>
      </c>
      <c r="F151" s="351" t="str">
        <f>IF(B151="","",IF(ISNA(--VLOOKUP(A151,四面弹import!A:E,5,FALSE)),0,--VLOOKUP(A151,四面弹import!A:E,5,FALSE)))</f>
        <v/>
      </c>
    </row>
    <row r="152" spans="1:6" s="332" customFormat="1">
      <c r="A152" s="348" t="str">
        <f t="shared" si="4"/>
        <v/>
      </c>
      <c r="E152" s="350" t="str">
        <f>IF(B152="","",IF(ISNA(--VLOOKUP(A152,四面弹import!A:D,4,FALSE)),0,--VLOOKUP(A152,四面弹import!A:D,4,FALSE)))</f>
        <v/>
      </c>
      <c r="F152" s="351" t="str">
        <f>IF(B152="","",IF(ISNA(--VLOOKUP(A152,四面弹import!A:E,5,FALSE)),0,--VLOOKUP(A152,四面弹import!A:E,5,FALSE)))</f>
        <v/>
      </c>
    </row>
    <row r="153" spans="1:6" s="332" customFormat="1">
      <c r="A153" s="348" t="str">
        <f t="shared" si="4"/>
        <v/>
      </c>
      <c r="E153" s="350" t="str">
        <f>IF(B153="","",IF(ISNA(--VLOOKUP(A153,四面弹import!A:D,4,FALSE)),0,--VLOOKUP(A153,四面弹import!A:D,4,FALSE)))</f>
        <v/>
      </c>
      <c r="F153" s="351" t="str">
        <f>IF(B153="","",IF(ISNA(--VLOOKUP(A153,四面弹import!A:E,5,FALSE)),0,--VLOOKUP(A153,四面弹import!A:E,5,FALSE)))</f>
        <v/>
      </c>
    </row>
    <row r="154" spans="1:6" s="332" customFormat="1">
      <c r="A154" s="348" t="str">
        <f t="shared" si="4"/>
        <v/>
      </c>
      <c r="E154" s="350" t="str">
        <f>IF(B154="","",IF(ISNA(--VLOOKUP(A154,四面弹import!A:D,4,FALSE)),0,--VLOOKUP(A154,四面弹import!A:D,4,FALSE)))</f>
        <v/>
      </c>
      <c r="F154" s="351" t="str">
        <f>IF(B154="","",IF(ISNA(--VLOOKUP(A154,四面弹import!A:E,5,FALSE)),0,--VLOOKUP(A154,四面弹import!A:E,5,FALSE)))</f>
        <v/>
      </c>
    </row>
    <row r="155" spans="1:6" s="332" customFormat="1">
      <c r="A155" s="348" t="str">
        <f t="shared" si="4"/>
        <v/>
      </c>
      <c r="E155" s="350" t="str">
        <f>IF(B155="","",IF(ISNA(--VLOOKUP(A155,四面弹import!A:D,4,FALSE)),0,--VLOOKUP(A155,四面弹import!A:D,4,FALSE)))</f>
        <v/>
      </c>
      <c r="F155" s="351" t="str">
        <f>IF(B155="","",IF(ISNA(--VLOOKUP(A155,四面弹import!A:E,5,FALSE)),0,--VLOOKUP(A155,四面弹import!A:E,5,FALSE)))</f>
        <v/>
      </c>
    </row>
    <row r="156" spans="1:6" s="332" customFormat="1">
      <c r="A156" s="348" t="str">
        <f t="shared" si="4"/>
        <v/>
      </c>
      <c r="E156" s="350" t="str">
        <f>IF(B156="","",IF(ISNA(--VLOOKUP(A156,四面弹import!A:D,4,FALSE)),0,--VLOOKUP(A156,四面弹import!A:D,4,FALSE)))</f>
        <v/>
      </c>
      <c r="F156" s="351" t="str">
        <f>IF(B156="","",IF(ISNA(--VLOOKUP(A156,四面弹import!A:E,5,FALSE)),0,--VLOOKUP(A156,四面弹import!A:E,5,FALSE)))</f>
        <v/>
      </c>
    </row>
    <row r="157" spans="1:6" s="332" customFormat="1">
      <c r="A157" s="348" t="str">
        <f t="shared" si="4"/>
        <v/>
      </c>
      <c r="E157" s="350" t="str">
        <f>IF(B157="","",IF(ISNA(--VLOOKUP(A157,四面弹import!A:D,4,FALSE)),0,--VLOOKUP(A157,四面弹import!A:D,4,FALSE)))</f>
        <v/>
      </c>
      <c r="F157" s="351" t="str">
        <f>IF(B157="","",IF(ISNA(--VLOOKUP(A157,四面弹import!A:E,5,FALSE)),0,--VLOOKUP(A157,四面弹import!A:E,5,FALSE)))</f>
        <v/>
      </c>
    </row>
    <row r="158" spans="1:6" s="332" customFormat="1">
      <c r="A158" s="348" t="str">
        <f t="shared" si="4"/>
        <v/>
      </c>
      <c r="E158" s="350" t="str">
        <f>IF(B158="","",IF(ISNA(--VLOOKUP(A158,四面弹import!A:D,4,FALSE)),0,--VLOOKUP(A158,四面弹import!A:D,4,FALSE)))</f>
        <v/>
      </c>
      <c r="F158" s="351" t="str">
        <f>IF(B158="","",IF(ISNA(--VLOOKUP(A158,四面弹import!A:E,5,FALSE)),0,--VLOOKUP(A158,四面弹import!A:E,5,FALSE)))</f>
        <v/>
      </c>
    </row>
    <row r="159" spans="1:6" s="332" customFormat="1">
      <c r="A159" s="348" t="str">
        <f t="shared" si="4"/>
        <v/>
      </c>
      <c r="E159" s="350" t="str">
        <f>IF(B159="","",IF(ISNA(--VLOOKUP(A159,四面弹import!A:D,4,FALSE)),0,--VLOOKUP(A159,四面弹import!A:D,4,FALSE)))</f>
        <v/>
      </c>
      <c r="F159" s="351" t="str">
        <f>IF(B159="","",IF(ISNA(--VLOOKUP(A159,四面弹import!A:E,5,FALSE)),0,--VLOOKUP(A159,四面弹import!A:E,5,FALSE)))</f>
        <v/>
      </c>
    </row>
    <row r="160" spans="1:6" s="332" customFormat="1">
      <c r="A160" s="348" t="str">
        <f t="shared" si="4"/>
        <v/>
      </c>
      <c r="E160" s="350" t="str">
        <f>IF(B160="","",IF(ISNA(--VLOOKUP(A160,四面弹import!A:D,4,FALSE)),0,--VLOOKUP(A160,四面弹import!A:D,4,FALSE)))</f>
        <v/>
      </c>
      <c r="F160" s="351" t="str">
        <f>IF(B160="","",IF(ISNA(--VLOOKUP(A160,四面弹import!A:E,5,FALSE)),0,--VLOOKUP(A160,四面弹import!A:E,5,FALSE)))</f>
        <v/>
      </c>
    </row>
    <row r="161" spans="1:6" s="332" customFormat="1">
      <c r="A161" s="348" t="str">
        <f t="shared" si="4"/>
        <v/>
      </c>
      <c r="E161" s="350" t="str">
        <f>IF(B161="","",IF(ISNA(--VLOOKUP(A161,四面弹import!A:D,4,FALSE)),0,--VLOOKUP(A161,四面弹import!A:D,4,FALSE)))</f>
        <v/>
      </c>
      <c r="F161" s="351" t="str">
        <f>IF(B161="","",IF(ISNA(--VLOOKUP(A161,四面弹import!A:E,5,FALSE)),0,--VLOOKUP(A161,四面弹import!A:E,5,FALSE)))</f>
        <v/>
      </c>
    </row>
    <row r="162" spans="1:6" s="332" customFormat="1">
      <c r="A162" s="348" t="str">
        <f t="shared" si="4"/>
        <v/>
      </c>
      <c r="E162" s="350" t="str">
        <f>IF(B162="","",IF(ISNA(--VLOOKUP(A162,四面弹import!A:D,4,FALSE)),0,--VLOOKUP(A162,四面弹import!A:D,4,FALSE)))</f>
        <v/>
      </c>
      <c r="F162" s="351" t="str">
        <f>IF(B162="","",IF(ISNA(--VLOOKUP(A162,四面弹import!A:E,5,FALSE)),0,--VLOOKUP(A162,四面弹import!A:E,5,FALSE)))</f>
        <v/>
      </c>
    </row>
    <row r="163" spans="1:6" s="332" customFormat="1">
      <c r="A163" s="348" t="str">
        <f t="shared" si="4"/>
        <v/>
      </c>
      <c r="E163" s="350" t="str">
        <f>IF(B163="","",IF(ISNA(--VLOOKUP(A163,四面弹import!A:D,4,FALSE)),0,--VLOOKUP(A163,四面弹import!A:D,4,FALSE)))</f>
        <v/>
      </c>
      <c r="F163" s="351" t="str">
        <f>IF(B163="","",IF(ISNA(--VLOOKUP(A163,四面弹import!A:E,5,FALSE)),0,--VLOOKUP(A163,四面弹import!A:E,5,FALSE)))</f>
        <v/>
      </c>
    </row>
    <row r="164" spans="1:6" s="332" customFormat="1">
      <c r="A164" s="348" t="str">
        <f t="shared" si="4"/>
        <v/>
      </c>
      <c r="E164" s="350" t="str">
        <f>IF(B164="","",IF(ISNA(--VLOOKUP(A164,四面弹import!A:D,4,FALSE)),0,--VLOOKUP(A164,四面弹import!A:D,4,FALSE)))</f>
        <v/>
      </c>
      <c r="F164" s="351" t="str">
        <f>IF(B164="","",IF(ISNA(--VLOOKUP(A164,四面弹import!A:E,5,FALSE)),0,--VLOOKUP(A164,四面弹import!A:E,5,FALSE)))</f>
        <v/>
      </c>
    </row>
    <row r="165" spans="1:6" s="332" customFormat="1">
      <c r="A165" s="348" t="str">
        <f t="shared" si="4"/>
        <v/>
      </c>
      <c r="E165" s="350" t="str">
        <f>IF(B165="","",IF(ISNA(--VLOOKUP(A165,四面弹import!A:D,4,FALSE)),0,--VLOOKUP(A165,四面弹import!A:D,4,FALSE)))</f>
        <v/>
      </c>
      <c r="F165" s="351" t="str">
        <f>IF(B165="","",IF(ISNA(--VLOOKUP(A165,四面弹import!A:E,5,FALSE)),0,--VLOOKUP(A165,四面弹import!A:E,5,FALSE)))</f>
        <v/>
      </c>
    </row>
    <row r="166" spans="1:6" s="332" customFormat="1">
      <c r="A166" s="348" t="str">
        <f t="shared" si="4"/>
        <v/>
      </c>
      <c r="E166" s="350" t="str">
        <f>IF(B166="","",IF(ISNA(--VLOOKUP(A166,四面弹import!A:D,4,FALSE)),0,--VLOOKUP(A166,四面弹import!A:D,4,FALSE)))</f>
        <v/>
      </c>
      <c r="F166" s="351" t="str">
        <f>IF(B166="","",IF(ISNA(--VLOOKUP(A166,四面弹import!A:E,5,FALSE)),0,--VLOOKUP(A166,四面弹import!A:E,5,FALSE)))</f>
        <v/>
      </c>
    </row>
    <row r="167" spans="1:6" s="332" customFormat="1">
      <c r="A167" s="348" t="str">
        <f t="shared" si="4"/>
        <v/>
      </c>
      <c r="E167" s="350" t="str">
        <f>IF(B167="","",IF(ISNA(--VLOOKUP(A167,四面弹import!A:D,4,FALSE)),0,--VLOOKUP(A167,四面弹import!A:D,4,FALSE)))</f>
        <v/>
      </c>
      <c r="F167" s="351" t="str">
        <f>IF(B167="","",IF(ISNA(--VLOOKUP(A167,四面弹import!A:E,5,FALSE)),0,--VLOOKUP(A167,四面弹import!A:E,5,FALSE)))</f>
        <v/>
      </c>
    </row>
    <row r="168" spans="1:6" s="332" customFormat="1">
      <c r="A168" s="348" t="str">
        <f t="shared" si="4"/>
        <v/>
      </c>
      <c r="E168" s="350" t="str">
        <f>IF(B168="","",IF(ISNA(--VLOOKUP(A168,四面弹import!A:D,4,FALSE)),0,--VLOOKUP(A168,四面弹import!A:D,4,FALSE)))</f>
        <v/>
      </c>
      <c r="F168" s="351" t="str">
        <f>IF(B168="","",IF(ISNA(--VLOOKUP(A168,四面弹import!A:E,5,FALSE)),0,--VLOOKUP(A168,四面弹import!A:E,5,FALSE)))</f>
        <v/>
      </c>
    </row>
    <row r="169" spans="1:6" s="332" customFormat="1">
      <c r="A169" s="348" t="str">
        <f t="shared" si="4"/>
        <v/>
      </c>
      <c r="E169" s="350" t="str">
        <f>IF(B169="","",IF(ISNA(--VLOOKUP(A169,四面弹import!A:D,4,FALSE)),0,--VLOOKUP(A169,四面弹import!A:D,4,FALSE)))</f>
        <v/>
      </c>
      <c r="F169" s="351" t="str">
        <f>IF(B169="","",IF(ISNA(--VLOOKUP(A169,四面弹import!A:E,5,FALSE)),0,--VLOOKUP(A169,四面弹import!A:E,5,FALSE)))</f>
        <v/>
      </c>
    </row>
    <row r="170" spans="1:6" s="332" customFormat="1">
      <c r="A170" s="348" t="str">
        <f t="shared" si="4"/>
        <v/>
      </c>
      <c r="E170" s="350" t="str">
        <f>IF(B170="","",IF(ISNA(--VLOOKUP(A170,四面弹import!A:D,4,FALSE)),0,--VLOOKUP(A170,四面弹import!A:D,4,FALSE)))</f>
        <v/>
      </c>
      <c r="F170" s="351" t="str">
        <f>IF(B170="","",IF(ISNA(--VLOOKUP(A170,四面弹import!A:E,5,FALSE)),0,--VLOOKUP(A170,四面弹import!A:E,5,FALSE)))</f>
        <v/>
      </c>
    </row>
    <row r="171" spans="1:6" s="332" customFormat="1">
      <c r="A171" s="348" t="str">
        <f t="shared" si="4"/>
        <v/>
      </c>
      <c r="E171" s="350" t="str">
        <f>IF(B171="","",IF(ISNA(--VLOOKUP(A171,四面弹import!A:D,4,FALSE)),0,--VLOOKUP(A171,四面弹import!A:D,4,FALSE)))</f>
        <v/>
      </c>
      <c r="F171" s="351" t="str">
        <f>IF(B171="","",IF(ISNA(--VLOOKUP(A171,四面弹import!A:E,5,FALSE)),0,--VLOOKUP(A171,四面弹import!A:E,5,FALSE)))</f>
        <v/>
      </c>
    </row>
    <row r="172" spans="1:6" s="332" customFormat="1">
      <c r="A172" s="348" t="str">
        <f t="shared" si="4"/>
        <v/>
      </c>
      <c r="E172" s="350" t="str">
        <f>IF(B172="","",IF(ISNA(--VLOOKUP(A172,四面弹import!A:D,4,FALSE)),0,--VLOOKUP(A172,四面弹import!A:D,4,FALSE)))</f>
        <v/>
      </c>
      <c r="F172" s="351" t="str">
        <f>IF(B172="","",IF(ISNA(--VLOOKUP(A172,四面弹import!A:E,5,FALSE)),0,--VLOOKUP(A172,四面弹import!A:E,5,FALSE)))</f>
        <v/>
      </c>
    </row>
    <row r="173" spans="1:6" s="332" customFormat="1">
      <c r="A173" s="348" t="str">
        <f t="shared" si="4"/>
        <v/>
      </c>
      <c r="E173" s="350" t="str">
        <f>IF(B173="","",IF(ISNA(--VLOOKUP(A173,四面弹import!A:D,4,FALSE)),0,--VLOOKUP(A173,四面弹import!A:D,4,FALSE)))</f>
        <v/>
      </c>
      <c r="F173" s="351" t="str">
        <f>IF(B173="","",IF(ISNA(--VLOOKUP(A173,四面弹import!A:E,5,FALSE)),0,--VLOOKUP(A173,四面弹import!A:E,5,FALSE)))</f>
        <v/>
      </c>
    </row>
    <row r="174" spans="1:6" s="332" customFormat="1">
      <c r="A174" s="348" t="str">
        <f t="shared" si="4"/>
        <v/>
      </c>
      <c r="E174" s="350" t="str">
        <f>IF(B174="","",IF(ISNA(--VLOOKUP(A174,四面弹import!A:D,4,FALSE)),0,--VLOOKUP(A174,四面弹import!A:D,4,FALSE)))</f>
        <v/>
      </c>
      <c r="F174" s="351" t="str">
        <f>IF(B174="","",IF(ISNA(--VLOOKUP(A174,四面弹import!A:E,5,FALSE)),0,--VLOOKUP(A174,四面弹import!A:E,5,FALSE)))</f>
        <v/>
      </c>
    </row>
    <row r="175" spans="1:6" s="332" customFormat="1">
      <c r="A175" s="348" t="str">
        <f t="shared" si="4"/>
        <v/>
      </c>
      <c r="E175" s="350" t="str">
        <f>IF(B175="","",IF(ISNA(--VLOOKUP(A175,四面弹import!A:D,4,FALSE)),0,--VLOOKUP(A175,四面弹import!A:D,4,FALSE)))</f>
        <v/>
      </c>
      <c r="F175" s="351" t="str">
        <f>IF(B175="","",IF(ISNA(--VLOOKUP(A175,四面弹import!A:E,5,FALSE)),0,--VLOOKUP(A175,四面弹import!A:E,5,FALSE)))</f>
        <v/>
      </c>
    </row>
    <row r="176" spans="1:6" s="332" customFormat="1">
      <c r="A176" s="348" t="str">
        <f t="shared" si="4"/>
        <v/>
      </c>
      <c r="E176" s="350" t="str">
        <f>IF(B176="","",IF(ISNA(--VLOOKUP(A176,四面弹import!A:D,4,FALSE)),0,--VLOOKUP(A176,四面弹import!A:D,4,FALSE)))</f>
        <v/>
      </c>
      <c r="F176" s="351" t="str">
        <f>IF(B176="","",IF(ISNA(--VLOOKUP(A176,四面弹import!A:E,5,FALSE)),0,--VLOOKUP(A176,四面弹import!A:E,5,FALSE)))</f>
        <v/>
      </c>
    </row>
    <row r="177" spans="1:6" s="332" customFormat="1">
      <c r="A177" s="348" t="str">
        <f t="shared" si="4"/>
        <v/>
      </c>
      <c r="E177" s="350" t="str">
        <f>IF(B177="","",IF(ISNA(--VLOOKUP(A177,四面弹import!A:D,4,FALSE)),0,--VLOOKUP(A177,四面弹import!A:D,4,FALSE)))</f>
        <v/>
      </c>
      <c r="F177" s="351" t="str">
        <f>IF(B177="","",IF(ISNA(--VLOOKUP(A177,四面弹import!A:E,5,FALSE)),0,--VLOOKUP(A177,四面弹import!A:E,5,FALSE)))</f>
        <v/>
      </c>
    </row>
    <row r="178" spans="1:6" s="332" customFormat="1">
      <c r="A178" s="348" t="str">
        <f t="shared" si="4"/>
        <v/>
      </c>
      <c r="E178" s="350" t="str">
        <f>IF(B178="","",IF(ISNA(--VLOOKUP(A178,四面弹import!A:D,4,FALSE)),0,--VLOOKUP(A178,四面弹import!A:D,4,FALSE)))</f>
        <v/>
      </c>
      <c r="F178" s="351" t="str">
        <f>IF(B178="","",IF(ISNA(--VLOOKUP(A178,四面弹import!A:E,5,FALSE)),0,--VLOOKUP(A178,四面弹import!A:E,5,FALSE)))</f>
        <v/>
      </c>
    </row>
    <row r="179" spans="1:6" s="332" customFormat="1">
      <c r="A179" s="348" t="str">
        <f t="shared" si="4"/>
        <v/>
      </c>
      <c r="E179" s="350" t="str">
        <f>IF(B179="","",IF(ISNA(--VLOOKUP(A179,四面弹import!A:D,4,FALSE)),0,--VLOOKUP(A179,四面弹import!A:D,4,FALSE)))</f>
        <v/>
      </c>
      <c r="F179" s="351" t="str">
        <f>IF(B179="","",IF(ISNA(--VLOOKUP(A179,四面弹import!A:E,5,FALSE)),0,--VLOOKUP(A179,四面弹import!A:E,5,FALSE)))</f>
        <v/>
      </c>
    </row>
    <row r="180" spans="1:6" s="332" customFormat="1">
      <c r="A180" s="348" t="str">
        <f t="shared" si="4"/>
        <v/>
      </c>
      <c r="E180" s="350" t="str">
        <f>IF(B180="","",IF(ISNA(--VLOOKUP(A180,四面弹import!A:D,4,FALSE)),0,--VLOOKUP(A180,四面弹import!A:D,4,FALSE)))</f>
        <v/>
      </c>
      <c r="F180" s="351" t="str">
        <f>IF(B180="","",IF(ISNA(--VLOOKUP(A180,四面弹import!A:E,5,FALSE)),0,--VLOOKUP(A180,四面弹import!A:E,5,FALSE)))</f>
        <v/>
      </c>
    </row>
    <row r="181" spans="1:6" s="332" customFormat="1">
      <c r="A181" s="348" t="str">
        <f t="shared" si="4"/>
        <v/>
      </c>
      <c r="E181" s="350" t="str">
        <f>IF(B181="","",IF(ISNA(--VLOOKUP(A181,四面弹import!A:D,4,FALSE)),0,--VLOOKUP(A181,四面弹import!A:D,4,FALSE)))</f>
        <v/>
      </c>
      <c r="F181" s="351" t="str">
        <f>IF(B181="","",IF(ISNA(--VLOOKUP(A181,四面弹import!A:E,5,FALSE)),0,--VLOOKUP(A181,四面弹import!A:E,5,FALSE)))</f>
        <v/>
      </c>
    </row>
    <row r="182" spans="1:6" s="332" customFormat="1">
      <c r="A182" s="348" t="str">
        <f t="shared" si="4"/>
        <v/>
      </c>
      <c r="E182" s="350" t="str">
        <f>IF(B182="","",IF(ISNA(--VLOOKUP(A182,四面弹import!A:D,4,FALSE)),0,--VLOOKUP(A182,四面弹import!A:D,4,FALSE)))</f>
        <v/>
      </c>
      <c r="F182" s="351" t="str">
        <f>IF(B182="","",IF(ISNA(--VLOOKUP(A182,四面弹import!A:E,5,FALSE)),0,--VLOOKUP(A182,四面弹import!A:E,5,FALSE)))</f>
        <v/>
      </c>
    </row>
    <row r="183" spans="1:6" s="332" customFormat="1">
      <c r="A183" s="348" t="str">
        <f t="shared" si="4"/>
        <v/>
      </c>
      <c r="E183" s="350" t="str">
        <f>IF(B183="","",IF(ISNA(--VLOOKUP(A183,四面弹import!A:D,4,FALSE)),0,--VLOOKUP(A183,四面弹import!A:D,4,FALSE)))</f>
        <v/>
      </c>
      <c r="F183" s="351" t="str">
        <f>IF(B183="","",IF(ISNA(--VLOOKUP(A183,四面弹import!A:E,5,FALSE)),0,--VLOOKUP(A183,四面弹import!A:E,5,FALSE)))</f>
        <v/>
      </c>
    </row>
    <row r="184" spans="1:6" s="332" customFormat="1">
      <c r="A184" s="348" t="str">
        <f t="shared" si="4"/>
        <v/>
      </c>
      <c r="E184" s="350" t="str">
        <f>IF(B184="","",IF(ISNA(--VLOOKUP(A184,四面弹import!A:D,4,FALSE)),0,--VLOOKUP(A184,四面弹import!A:D,4,FALSE)))</f>
        <v/>
      </c>
      <c r="F184" s="351" t="str">
        <f>IF(B184="","",IF(ISNA(--VLOOKUP(A184,四面弹import!A:E,5,FALSE)),0,--VLOOKUP(A184,四面弹import!A:E,5,FALSE)))</f>
        <v/>
      </c>
    </row>
    <row r="185" spans="1:6" s="332" customFormat="1">
      <c r="A185" s="348" t="str">
        <f t="shared" si="4"/>
        <v/>
      </c>
      <c r="E185" s="350" t="str">
        <f>IF(B185="","",IF(ISNA(--VLOOKUP(A185,四面弹import!A:D,4,FALSE)),0,--VLOOKUP(A185,四面弹import!A:D,4,FALSE)))</f>
        <v/>
      </c>
      <c r="F185" s="351" t="str">
        <f>IF(B185="","",IF(ISNA(--VLOOKUP(A185,四面弹import!A:E,5,FALSE)),0,--VLOOKUP(A185,四面弹import!A:E,5,FALSE)))</f>
        <v/>
      </c>
    </row>
    <row r="186" spans="1:6" s="332" customFormat="1">
      <c r="A186" s="348" t="str">
        <f t="shared" si="4"/>
        <v/>
      </c>
      <c r="E186" s="350" t="str">
        <f>IF(B186="","",IF(ISNA(--VLOOKUP(A186,四面弹import!A:D,4,FALSE)),0,--VLOOKUP(A186,四面弹import!A:D,4,FALSE)))</f>
        <v/>
      </c>
      <c r="F186" s="351" t="str">
        <f>IF(B186="","",IF(ISNA(--VLOOKUP(A186,四面弹import!A:E,5,FALSE)),0,--VLOOKUP(A186,四面弹import!A:E,5,FALSE)))</f>
        <v/>
      </c>
    </row>
    <row r="187" spans="1:6" s="332" customFormat="1">
      <c r="A187" s="348" t="str">
        <f t="shared" si="4"/>
        <v/>
      </c>
      <c r="E187" s="350" t="str">
        <f>IF(B187="","",IF(ISNA(--VLOOKUP(A187,四面弹import!A:D,4,FALSE)),0,--VLOOKUP(A187,四面弹import!A:D,4,FALSE)))</f>
        <v/>
      </c>
      <c r="F187" s="351" t="str">
        <f>IF(B187="","",IF(ISNA(--VLOOKUP(A187,四面弹import!A:E,5,FALSE)),0,--VLOOKUP(A187,四面弹import!A:E,5,FALSE)))</f>
        <v/>
      </c>
    </row>
    <row r="188" spans="1:6" s="332" customFormat="1">
      <c r="A188" s="348" t="str">
        <f t="shared" si="4"/>
        <v/>
      </c>
      <c r="E188" s="350" t="str">
        <f>IF(B188="","",IF(ISNA(--VLOOKUP(A188,四面弹import!A:D,4,FALSE)),0,--VLOOKUP(A188,四面弹import!A:D,4,FALSE)))</f>
        <v/>
      </c>
      <c r="F188" s="351" t="str">
        <f>IF(B188="","",IF(ISNA(--VLOOKUP(A188,四面弹import!A:E,5,FALSE)),0,--VLOOKUP(A188,四面弹import!A:E,5,FALSE)))</f>
        <v/>
      </c>
    </row>
    <row r="189" spans="1:6" s="332" customFormat="1">
      <c r="A189" s="348" t="str">
        <f t="shared" si="4"/>
        <v/>
      </c>
      <c r="E189" s="350" t="str">
        <f>IF(B189="","",IF(ISNA(--VLOOKUP(A189,四面弹import!A:D,4,FALSE)),0,--VLOOKUP(A189,四面弹import!A:D,4,FALSE)))</f>
        <v/>
      </c>
      <c r="F189" s="351" t="str">
        <f>IF(B189="","",IF(ISNA(--VLOOKUP(A189,四面弹import!A:E,5,FALSE)),0,--VLOOKUP(A189,四面弹import!A:E,5,FALSE)))</f>
        <v/>
      </c>
    </row>
    <row r="190" spans="1:6" s="332" customFormat="1">
      <c r="A190" s="348" t="str">
        <f t="shared" si="4"/>
        <v/>
      </c>
      <c r="E190" s="350" t="str">
        <f>IF(B190="","",IF(ISNA(--VLOOKUP(A190,四面弹import!A:D,4,FALSE)),0,--VLOOKUP(A190,四面弹import!A:D,4,FALSE)))</f>
        <v/>
      </c>
      <c r="F190" s="351" t="str">
        <f>IF(B190="","",IF(ISNA(--VLOOKUP(A190,四面弹import!A:E,5,FALSE)),0,--VLOOKUP(A190,四面弹import!A:E,5,FALSE)))</f>
        <v/>
      </c>
    </row>
    <row r="191" spans="1:6" s="332" customFormat="1">
      <c r="A191" s="348" t="str">
        <f t="shared" si="4"/>
        <v/>
      </c>
      <c r="E191" s="350" t="str">
        <f>IF(B191="","",IF(ISNA(--VLOOKUP(A191,四面弹import!A:D,4,FALSE)),0,--VLOOKUP(A191,四面弹import!A:D,4,FALSE)))</f>
        <v/>
      </c>
      <c r="F191" s="351" t="str">
        <f>IF(B191="","",IF(ISNA(--VLOOKUP(A191,四面弹import!A:E,5,FALSE)),0,--VLOOKUP(A191,四面弹import!A:E,5,FALSE)))</f>
        <v/>
      </c>
    </row>
    <row r="192" spans="1:6" s="332" customFormat="1">
      <c r="A192" s="348" t="str">
        <f t="shared" si="4"/>
        <v/>
      </c>
      <c r="E192" s="350" t="str">
        <f>IF(B192="","",IF(ISNA(--VLOOKUP(A192,四面弹import!A:D,4,FALSE)),0,--VLOOKUP(A192,四面弹import!A:D,4,FALSE)))</f>
        <v/>
      </c>
      <c r="F192" s="351" t="str">
        <f>IF(B192="","",IF(ISNA(--VLOOKUP(A192,四面弹import!A:E,5,FALSE)),0,--VLOOKUP(A192,四面弹import!A:E,5,FALSE)))</f>
        <v/>
      </c>
    </row>
    <row r="193" spans="1:6" s="332" customFormat="1">
      <c r="A193" s="348" t="str">
        <f t="shared" si="4"/>
        <v/>
      </c>
      <c r="E193" s="350" t="str">
        <f>IF(B193="","",IF(ISNA(--VLOOKUP(A193,四面弹import!A:D,4,FALSE)),0,--VLOOKUP(A193,四面弹import!A:D,4,FALSE)))</f>
        <v/>
      </c>
      <c r="F193" s="351" t="str">
        <f>IF(B193="","",IF(ISNA(--VLOOKUP(A193,四面弹import!A:E,5,FALSE)),0,--VLOOKUP(A193,四面弹import!A:E,5,FALSE)))</f>
        <v/>
      </c>
    </row>
    <row r="194" spans="1:6" s="332" customFormat="1">
      <c r="A194" s="348" t="str">
        <f t="shared" si="4"/>
        <v/>
      </c>
      <c r="E194" s="350" t="str">
        <f>IF(B194="","",IF(ISNA(--VLOOKUP(A194,四面弹import!A:D,4,FALSE)),0,--VLOOKUP(A194,四面弹import!A:D,4,FALSE)))</f>
        <v/>
      </c>
      <c r="F194" s="351" t="str">
        <f>IF(B194="","",IF(ISNA(--VLOOKUP(A194,四面弹import!A:E,5,FALSE)),0,--VLOOKUP(A194,四面弹import!A:E,5,FALSE)))</f>
        <v/>
      </c>
    </row>
    <row r="195" spans="1:6" s="332" customFormat="1">
      <c r="A195" s="348" t="str">
        <f t="shared" si="4"/>
        <v/>
      </c>
      <c r="E195" s="350" t="str">
        <f>IF(B195="","",IF(ISNA(--VLOOKUP(A195,四面弹import!A:D,4,FALSE)),0,--VLOOKUP(A195,四面弹import!A:D,4,FALSE)))</f>
        <v/>
      </c>
      <c r="F195" s="351" t="str">
        <f>IF(B195="","",IF(ISNA(--VLOOKUP(A195,四面弹import!A:E,5,FALSE)),0,--VLOOKUP(A195,四面弹import!A:E,5,FALSE)))</f>
        <v/>
      </c>
    </row>
    <row r="196" spans="1:6" s="332" customFormat="1">
      <c r="A196" s="348" t="str">
        <f t="shared" si="4"/>
        <v/>
      </c>
      <c r="E196" s="350" t="str">
        <f>IF(B196="","",IF(ISNA(--VLOOKUP(A196,四面弹import!A:D,4,FALSE)),0,--VLOOKUP(A196,四面弹import!A:D,4,FALSE)))</f>
        <v/>
      </c>
      <c r="F196" s="351" t="str">
        <f>IF(B196="","",IF(ISNA(--VLOOKUP(A196,四面弹import!A:E,5,FALSE)),0,--VLOOKUP(A196,四面弹import!A:E,5,FALSE)))</f>
        <v/>
      </c>
    </row>
    <row r="197" spans="1:6" s="332" customFormat="1">
      <c r="A197" s="348" t="str">
        <f t="shared" si="4"/>
        <v/>
      </c>
      <c r="E197" s="350" t="str">
        <f>IF(B197="","",IF(ISNA(--VLOOKUP(A197,四面弹import!A:D,4,FALSE)),0,--VLOOKUP(A197,四面弹import!A:D,4,FALSE)))</f>
        <v/>
      </c>
      <c r="F197" s="351" t="str">
        <f>IF(B197="","",IF(ISNA(--VLOOKUP(A197,四面弹import!A:E,5,FALSE)),0,--VLOOKUP(A197,四面弹import!A:E,5,FALSE)))</f>
        <v/>
      </c>
    </row>
    <row r="198" spans="1:6" s="332" customFormat="1">
      <c r="A198" s="348" t="str">
        <f t="shared" si="4"/>
        <v/>
      </c>
      <c r="E198" s="350" t="str">
        <f>IF(B198="","",IF(ISNA(--VLOOKUP(A198,四面弹import!A:D,4,FALSE)),0,--VLOOKUP(A198,四面弹import!A:D,4,FALSE)))</f>
        <v/>
      </c>
      <c r="F198" s="351" t="str">
        <f>IF(B198="","",IF(ISNA(--VLOOKUP(A198,四面弹import!A:E,5,FALSE)),0,--VLOOKUP(A198,四面弹import!A:E,5,FALSE)))</f>
        <v/>
      </c>
    </row>
    <row r="199" spans="1:6" s="332" customFormat="1">
      <c r="A199" s="348" t="str">
        <f t="shared" si="4"/>
        <v/>
      </c>
      <c r="E199" s="350" t="str">
        <f>IF(B199="","",IF(ISNA(--VLOOKUP(A199,四面弹import!A:D,4,FALSE)),0,--VLOOKUP(A199,四面弹import!A:D,4,FALSE)))</f>
        <v/>
      </c>
      <c r="F199" s="351" t="str">
        <f>IF(B199="","",IF(ISNA(--VLOOKUP(A199,四面弹import!A:E,5,FALSE)),0,--VLOOKUP(A199,四面弹import!A:E,5,FALSE)))</f>
        <v/>
      </c>
    </row>
    <row r="200" spans="1:6" s="332" customFormat="1">
      <c r="A200" s="348" t="str">
        <f t="shared" si="4"/>
        <v/>
      </c>
      <c r="E200" s="350" t="str">
        <f>IF(B200="","",IF(ISNA(--VLOOKUP(A200,四面弹import!A:D,4,FALSE)),0,--VLOOKUP(A200,四面弹import!A:D,4,FALSE)))</f>
        <v/>
      </c>
      <c r="F200" s="351" t="str">
        <f>IF(B200="","",IF(ISNA(--VLOOKUP(A200,四面弹import!A:E,5,FALSE)),0,--VLOOKUP(A200,四面弹import!A:E,5,FALSE)))</f>
        <v/>
      </c>
    </row>
    <row r="201" spans="1:6" s="332" customFormat="1">
      <c r="A201" s="348" t="str">
        <f t="shared" si="4"/>
        <v/>
      </c>
      <c r="E201" s="350" t="str">
        <f>IF(B201="","",IF(ISNA(--VLOOKUP(A201,四面弹import!A:D,4,FALSE)),0,--VLOOKUP(A201,四面弹import!A:D,4,FALSE)))</f>
        <v/>
      </c>
      <c r="F201" s="351" t="str">
        <f>IF(B201="","",IF(ISNA(--VLOOKUP(A201,四面弹import!A:E,5,FALSE)),0,--VLOOKUP(A201,四面弹import!A:E,5,FALSE)))</f>
        <v/>
      </c>
    </row>
    <row r="202" spans="1:6" s="332" customFormat="1">
      <c r="A202" s="348" t="str">
        <f t="shared" ref="A202:A265" si="5">SUBSTITUTE(H202," ","")&amp;I202&amp;K202&amp;M202&amp;O202&amp;Q202</f>
        <v/>
      </c>
      <c r="E202" s="350" t="str">
        <f>IF(B202="","",IF(ISNA(--VLOOKUP(A202,四面弹import!A:D,4,FALSE)),0,--VLOOKUP(A202,四面弹import!A:D,4,FALSE)))</f>
        <v/>
      </c>
      <c r="F202" s="351" t="str">
        <f>IF(B202="","",IF(ISNA(--VLOOKUP(A202,四面弹import!A:E,5,FALSE)),0,--VLOOKUP(A202,四面弹import!A:E,5,FALSE)))</f>
        <v/>
      </c>
    </row>
    <row r="203" spans="1:6" s="332" customFormat="1">
      <c r="A203" s="348" t="str">
        <f t="shared" si="5"/>
        <v/>
      </c>
      <c r="E203" s="350" t="str">
        <f>IF(B203="","",IF(ISNA(--VLOOKUP(A203,四面弹import!A:D,4,FALSE)),0,--VLOOKUP(A203,四面弹import!A:D,4,FALSE)))</f>
        <v/>
      </c>
      <c r="F203" s="351" t="str">
        <f>IF(B203="","",IF(ISNA(--VLOOKUP(A203,四面弹import!A:E,5,FALSE)),0,--VLOOKUP(A203,四面弹import!A:E,5,FALSE)))</f>
        <v/>
      </c>
    </row>
    <row r="204" spans="1:6" s="332" customFormat="1">
      <c r="A204" s="348" t="str">
        <f t="shared" si="5"/>
        <v/>
      </c>
      <c r="E204" s="350" t="str">
        <f>IF(B204="","",IF(ISNA(--VLOOKUP(A204,四面弹import!A:D,4,FALSE)),0,--VLOOKUP(A204,四面弹import!A:D,4,FALSE)))</f>
        <v/>
      </c>
      <c r="F204" s="351" t="str">
        <f>IF(B204="","",IF(ISNA(--VLOOKUP(A204,四面弹import!A:E,5,FALSE)),0,--VLOOKUP(A204,四面弹import!A:E,5,FALSE)))</f>
        <v/>
      </c>
    </row>
    <row r="205" spans="1:6" s="332" customFormat="1">
      <c r="A205" s="348" t="str">
        <f t="shared" si="5"/>
        <v/>
      </c>
      <c r="E205" s="350" t="str">
        <f>IF(B205="","",IF(ISNA(--VLOOKUP(A205,四面弹import!A:D,4,FALSE)),0,--VLOOKUP(A205,四面弹import!A:D,4,FALSE)))</f>
        <v/>
      </c>
      <c r="F205" s="351" t="str">
        <f>IF(B205="","",IF(ISNA(--VLOOKUP(A205,四面弹import!A:E,5,FALSE)),0,--VLOOKUP(A205,四面弹import!A:E,5,FALSE)))</f>
        <v/>
      </c>
    </row>
    <row r="206" spans="1:6" s="332" customFormat="1">
      <c r="A206" s="348" t="str">
        <f t="shared" si="5"/>
        <v/>
      </c>
      <c r="E206" s="350" t="str">
        <f>IF(B206="","",IF(ISNA(--VLOOKUP(A206,四面弹import!A:D,4,FALSE)),0,--VLOOKUP(A206,四面弹import!A:D,4,FALSE)))</f>
        <v/>
      </c>
      <c r="F206" s="351" t="str">
        <f>IF(B206="","",IF(ISNA(--VLOOKUP(A206,四面弹import!A:E,5,FALSE)),0,--VLOOKUP(A206,四面弹import!A:E,5,FALSE)))</f>
        <v/>
      </c>
    </row>
    <row r="207" spans="1:6" s="332" customFormat="1">
      <c r="A207" s="348" t="str">
        <f t="shared" si="5"/>
        <v/>
      </c>
      <c r="E207" s="350" t="str">
        <f>IF(B207="","",IF(ISNA(--VLOOKUP(A207,四面弹import!A:D,4,FALSE)),0,--VLOOKUP(A207,四面弹import!A:D,4,FALSE)))</f>
        <v/>
      </c>
      <c r="F207" s="351" t="str">
        <f>IF(B207="","",IF(ISNA(--VLOOKUP(A207,四面弹import!A:E,5,FALSE)),0,--VLOOKUP(A207,四面弹import!A:E,5,FALSE)))</f>
        <v/>
      </c>
    </row>
    <row r="208" spans="1:6" s="332" customFormat="1">
      <c r="A208" s="348" t="str">
        <f t="shared" si="5"/>
        <v/>
      </c>
      <c r="E208" s="350" t="str">
        <f>IF(B208="","",IF(ISNA(--VLOOKUP(A208,四面弹import!A:D,4,FALSE)),0,--VLOOKUP(A208,四面弹import!A:D,4,FALSE)))</f>
        <v/>
      </c>
      <c r="F208" s="351" t="str">
        <f>IF(B208="","",IF(ISNA(--VLOOKUP(A208,四面弹import!A:E,5,FALSE)),0,--VLOOKUP(A208,四面弹import!A:E,5,FALSE)))</f>
        <v/>
      </c>
    </row>
    <row r="209" spans="1:6" s="332" customFormat="1">
      <c r="A209" s="348" t="str">
        <f t="shared" si="5"/>
        <v/>
      </c>
      <c r="E209" s="350" t="str">
        <f>IF(B209="","",IF(ISNA(--VLOOKUP(A209,四面弹import!A:D,4,FALSE)),0,--VLOOKUP(A209,四面弹import!A:D,4,FALSE)))</f>
        <v/>
      </c>
      <c r="F209" s="351" t="str">
        <f>IF(B209="","",IF(ISNA(--VLOOKUP(A209,四面弹import!A:E,5,FALSE)),0,--VLOOKUP(A209,四面弹import!A:E,5,FALSE)))</f>
        <v/>
      </c>
    </row>
    <row r="210" spans="1:6" s="332" customFormat="1">
      <c r="A210" s="348" t="str">
        <f t="shared" si="5"/>
        <v/>
      </c>
      <c r="E210" s="350" t="str">
        <f>IF(B210="","",IF(ISNA(--VLOOKUP(A210,四面弹import!A:D,4,FALSE)),0,--VLOOKUP(A210,四面弹import!A:D,4,FALSE)))</f>
        <v/>
      </c>
      <c r="F210" s="351" t="str">
        <f>IF(B210="","",IF(ISNA(--VLOOKUP(A210,四面弹import!A:E,5,FALSE)),0,--VLOOKUP(A210,四面弹import!A:E,5,FALSE)))</f>
        <v/>
      </c>
    </row>
    <row r="211" spans="1:6" s="332" customFormat="1">
      <c r="A211" s="348" t="str">
        <f t="shared" si="5"/>
        <v/>
      </c>
      <c r="E211" s="350" t="str">
        <f>IF(B211="","",IF(ISNA(--VLOOKUP(A211,四面弹import!A:D,4,FALSE)),0,--VLOOKUP(A211,四面弹import!A:D,4,FALSE)))</f>
        <v/>
      </c>
      <c r="F211" s="351" t="str">
        <f>IF(B211="","",IF(ISNA(--VLOOKUP(A211,四面弹import!A:E,5,FALSE)),0,--VLOOKUP(A211,四面弹import!A:E,5,FALSE)))</f>
        <v/>
      </c>
    </row>
    <row r="212" spans="1:6" s="332" customFormat="1">
      <c r="A212" s="348" t="str">
        <f t="shared" si="5"/>
        <v/>
      </c>
      <c r="E212" s="350" t="str">
        <f>IF(B212="","",IF(ISNA(--VLOOKUP(A212,四面弹import!A:D,4,FALSE)),0,--VLOOKUP(A212,四面弹import!A:D,4,FALSE)))</f>
        <v/>
      </c>
      <c r="F212" s="351" t="str">
        <f>IF(B212="","",IF(ISNA(--VLOOKUP(A212,四面弹import!A:E,5,FALSE)),0,--VLOOKUP(A212,四面弹import!A:E,5,FALSE)))</f>
        <v/>
      </c>
    </row>
    <row r="213" spans="1:6" s="332" customFormat="1">
      <c r="A213" s="348" t="str">
        <f t="shared" si="5"/>
        <v/>
      </c>
      <c r="E213" s="350" t="str">
        <f>IF(B213="","",IF(ISNA(--VLOOKUP(A213,四面弹import!A:D,4,FALSE)),0,--VLOOKUP(A213,四面弹import!A:D,4,FALSE)))</f>
        <v/>
      </c>
      <c r="F213" s="351" t="str">
        <f>IF(B213="","",IF(ISNA(--VLOOKUP(A213,四面弹import!A:E,5,FALSE)),0,--VLOOKUP(A213,四面弹import!A:E,5,FALSE)))</f>
        <v/>
      </c>
    </row>
    <row r="214" spans="1:6" s="332" customFormat="1">
      <c r="A214" s="348" t="str">
        <f t="shared" si="5"/>
        <v/>
      </c>
      <c r="E214" s="350" t="str">
        <f>IF(B214="","",IF(ISNA(--VLOOKUP(A214,四面弹import!A:D,4,FALSE)),0,--VLOOKUP(A214,四面弹import!A:D,4,FALSE)))</f>
        <v/>
      </c>
      <c r="F214" s="351" t="str">
        <f>IF(B214="","",IF(ISNA(--VLOOKUP(A214,四面弹import!A:E,5,FALSE)),0,--VLOOKUP(A214,四面弹import!A:E,5,FALSE)))</f>
        <v/>
      </c>
    </row>
    <row r="215" spans="1:6" s="332" customFormat="1">
      <c r="A215" s="348" t="str">
        <f t="shared" si="5"/>
        <v/>
      </c>
      <c r="E215" s="350" t="str">
        <f>IF(B215="","",IF(ISNA(--VLOOKUP(A215,四面弹import!A:D,4,FALSE)),0,--VLOOKUP(A215,四面弹import!A:D,4,FALSE)))</f>
        <v/>
      </c>
      <c r="F215" s="351" t="str">
        <f>IF(B215="","",IF(ISNA(--VLOOKUP(A215,四面弹import!A:E,5,FALSE)),0,--VLOOKUP(A215,四面弹import!A:E,5,FALSE)))</f>
        <v/>
      </c>
    </row>
    <row r="216" spans="1:6" s="332" customFormat="1">
      <c r="A216" s="348" t="str">
        <f t="shared" si="5"/>
        <v/>
      </c>
      <c r="E216" s="350" t="str">
        <f>IF(B216="","",IF(ISNA(--VLOOKUP(A216,四面弹import!A:D,4,FALSE)),0,--VLOOKUP(A216,四面弹import!A:D,4,FALSE)))</f>
        <v/>
      </c>
      <c r="F216" s="351" t="str">
        <f>IF(B216="","",IF(ISNA(--VLOOKUP(A216,四面弹import!A:E,5,FALSE)),0,--VLOOKUP(A216,四面弹import!A:E,5,FALSE)))</f>
        <v/>
      </c>
    </row>
    <row r="217" spans="1:6" s="332" customFormat="1">
      <c r="A217" s="348" t="str">
        <f t="shared" si="5"/>
        <v/>
      </c>
      <c r="E217" s="350" t="str">
        <f>IF(B217="","",IF(ISNA(--VLOOKUP(A217,四面弹import!A:D,4,FALSE)),0,--VLOOKUP(A217,四面弹import!A:D,4,FALSE)))</f>
        <v/>
      </c>
      <c r="F217" s="351" t="str">
        <f>IF(B217="","",IF(ISNA(--VLOOKUP(A217,四面弹import!A:E,5,FALSE)),0,--VLOOKUP(A217,四面弹import!A:E,5,FALSE)))</f>
        <v/>
      </c>
    </row>
    <row r="218" spans="1:6" s="332" customFormat="1">
      <c r="A218" s="348" t="str">
        <f t="shared" si="5"/>
        <v/>
      </c>
      <c r="E218" s="350" t="str">
        <f>IF(B218="","",IF(ISNA(--VLOOKUP(A218,四面弹import!A:D,4,FALSE)),0,--VLOOKUP(A218,四面弹import!A:D,4,FALSE)))</f>
        <v/>
      </c>
      <c r="F218" s="351" t="str">
        <f>IF(B218="","",IF(ISNA(--VLOOKUP(A218,四面弹import!A:E,5,FALSE)),0,--VLOOKUP(A218,四面弹import!A:E,5,FALSE)))</f>
        <v/>
      </c>
    </row>
    <row r="219" spans="1:6" s="332" customFormat="1">
      <c r="A219" s="348" t="str">
        <f t="shared" si="5"/>
        <v/>
      </c>
      <c r="E219" s="350" t="str">
        <f>IF(B219="","",IF(ISNA(--VLOOKUP(A219,四面弹import!A:D,4,FALSE)),0,--VLOOKUP(A219,四面弹import!A:D,4,FALSE)))</f>
        <v/>
      </c>
      <c r="F219" s="351" t="str">
        <f>IF(B219="","",IF(ISNA(--VLOOKUP(A219,四面弹import!A:E,5,FALSE)),0,--VLOOKUP(A219,四面弹import!A:E,5,FALSE)))</f>
        <v/>
      </c>
    </row>
    <row r="220" spans="1:6" s="332" customFormat="1">
      <c r="A220" s="348" t="str">
        <f t="shared" si="5"/>
        <v/>
      </c>
      <c r="E220" s="350" t="str">
        <f>IF(B220="","",IF(ISNA(--VLOOKUP(A220,四面弹import!A:D,4,FALSE)),0,--VLOOKUP(A220,四面弹import!A:D,4,FALSE)))</f>
        <v/>
      </c>
      <c r="F220" s="351" t="str">
        <f>IF(B220="","",IF(ISNA(--VLOOKUP(A220,四面弹import!A:E,5,FALSE)),0,--VLOOKUP(A220,四面弹import!A:E,5,FALSE)))</f>
        <v/>
      </c>
    </row>
    <row r="221" spans="1:6" s="332" customFormat="1">
      <c r="A221" s="348" t="str">
        <f t="shared" si="5"/>
        <v/>
      </c>
      <c r="E221" s="350" t="str">
        <f>IF(B221="","",IF(ISNA(--VLOOKUP(A221,四面弹import!A:D,4,FALSE)),0,--VLOOKUP(A221,四面弹import!A:D,4,FALSE)))</f>
        <v/>
      </c>
      <c r="F221" s="351" t="str">
        <f>IF(B221="","",IF(ISNA(--VLOOKUP(A221,四面弹import!A:E,5,FALSE)),0,--VLOOKUP(A221,四面弹import!A:E,5,FALSE)))</f>
        <v/>
      </c>
    </row>
    <row r="222" spans="1:6" s="332" customFormat="1">
      <c r="A222" s="348" t="str">
        <f t="shared" si="5"/>
        <v/>
      </c>
      <c r="E222" s="350" t="str">
        <f>IF(B222="","",IF(ISNA(--VLOOKUP(A222,四面弹import!A:D,4,FALSE)),0,--VLOOKUP(A222,四面弹import!A:D,4,FALSE)))</f>
        <v/>
      </c>
      <c r="F222" s="351" t="str">
        <f>IF(B222="","",IF(ISNA(--VLOOKUP(A222,四面弹import!A:E,5,FALSE)),0,--VLOOKUP(A222,四面弹import!A:E,5,FALSE)))</f>
        <v/>
      </c>
    </row>
    <row r="223" spans="1:6" s="332" customFormat="1">
      <c r="A223" s="348" t="str">
        <f t="shared" si="5"/>
        <v/>
      </c>
      <c r="E223" s="350" t="str">
        <f>IF(B223="","",IF(ISNA(--VLOOKUP(A223,四面弹import!A:D,4,FALSE)),0,--VLOOKUP(A223,四面弹import!A:D,4,FALSE)))</f>
        <v/>
      </c>
      <c r="F223" s="351" t="str">
        <f>IF(B223="","",IF(ISNA(--VLOOKUP(A223,四面弹import!A:E,5,FALSE)),0,--VLOOKUP(A223,四面弹import!A:E,5,FALSE)))</f>
        <v/>
      </c>
    </row>
    <row r="224" spans="1:6" s="332" customFormat="1">
      <c r="A224" s="348" t="str">
        <f t="shared" si="5"/>
        <v/>
      </c>
      <c r="E224" s="350" t="str">
        <f>IF(B224="","",IF(ISNA(--VLOOKUP(A224,四面弹import!A:D,4,FALSE)),0,--VLOOKUP(A224,四面弹import!A:D,4,FALSE)))</f>
        <v/>
      </c>
      <c r="F224" s="351" t="str">
        <f>IF(B224="","",IF(ISNA(--VLOOKUP(A224,四面弹import!A:E,5,FALSE)),0,--VLOOKUP(A224,四面弹import!A:E,5,FALSE)))</f>
        <v/>
      </c>
    </row>
    <row r="225" spans="1:6" s="332" customFormat="1">
      <c r="A225" s="348" t="str">
        <f t="shared" si="5"/>
        <v/>
      </c>
      <c r="E225" s="350" t="str">
        <f>IF(B225="","",IF(ISNA(--VLOOKUP(A225,四面弹import!A:D,4,FALSE)),0,--VLOOKUP(A225,四面弹import!A:D,4,FALSE)))</f>
        <v/>
      </c>
      <c r="F225" s="351" t="str">
        <f>IF(B225="","",IF(ISNA(--VLOOKUP(A225,四面弹import!A:E,5,FALSE)),0,--VLOOKUP(A225,四面弹import!A:E,5,FALSE)))</f>
        <v/>
      </c>
    </row>
    <row r="226" spans="1:6" s="332" customFormat="1">
      <c r="A226" s="348" t="str">
        <f t="shared" si="5"/>
        <v/>
      </c>
      <c r="E226" s="350" t="str">
        <f>IF(B226="","",IF(ISNA(--VLOOKUP(A226,四面弹import!A:D,4,FALSE)),0,--VLOOKUP(A226,四面弹import!A:D,4,FALSE)))</f>
        <v/>
      </c>
      <c r="F226" s="351" t="str">
        <f>IF(B226="","",IF(ISNA(--VLOOKUP(A226,四面弹import!A:E,5,FALSE)),0,--VLOOKUP(A226,四面弹import!A:E,5,FALSE)))</f>
        <v/>
      </c>
    </row>
    <row r="227" spans="1:6" s="332" customFormat="1">
      <c r="A227" s="348" t="str">
        <f t="shared" si="5"/>
        <v/>
      </c>
      <c r="E227" s="350" t="str">
        <f>IF(B227="","",IF(ISNA(--VLOOKUP(A227,四面弹import!A:D,4,FALSE)),0,--VLOOKUP(A227,四面弹import!A:D,4,FALSE)))</f>
        <v/>
      </c>
      <c r="F227" s="351" t="str">
        <f>IF(B227="","",IF(ISNA(--VLOOKUP(A227,四面弹import!A:E,5,FALSE)),0,--VLOOKUP(A227,四面弹import!A:E,5,FALSE)))</f>
        <v/>
      </c>
    </row>
    <row r="228" spans="1:6" s="332" customFormat="1">
      <c r="A228" s="348" t="str">
        <f t="shared" si="5"/>
        <v/>
      </c>
      <c r="E228" s="350" t="str">
        <f>IF(B228="","",IF(ISNA(--VLOOKUP(A228,四面弹import!A:D,4,FALSE)),0,--VLOOKUP(A228,四面弹import!A:D,4,FALSE)))</f>
        <v/>
      </c>
      <c r="F228" s="351" t="str">
        <f>IF(B228="","",IF(ISNA(--VLOOKUP(A228,四面弹import!A:E,5,FALSE)),0,--VLOOKUP(A228,四面弹import!A:E,5,FALSE)))</f>
        <v/>
      </c>
    </row>
    <row r="229" spans="1:6" s="332" customFormat="1">
      <c r="A229" s="348" t="str">
        <f t="shared" si="5"/>
        <v/>
      </c>
      <c r="E229" s="350" t="str">
        <f>IF(B229="","",IF(ISNA(--VLOOKUP(A229,四面弹import!A:D,4,FALSE)),0,--VLOOKUP(A229,四面弹import!A:D,4,FALSE)))</f>
        <v/>
      </c>
      <c r="F229" s="351" t="str">
        <f>IF(B229="","",IF(ISNA(--VLOOKUP(A229,四面弹import!A:E,5,FALSE)),0,--VLOOKUP(A229,四面弹import!A:E,5,FALSE)))</f>
        <v/>
      </c>
    </row>
    <row r="230" spans="1:6" s="332" customFormat="1">
      <c r="A230" s="348" t="str">
        <f t="shared" si="5"/>
        <v/>
      </c>
      <c r="E230" s="350" t="str">
        <f>IF(B230="","",IF(ISNA(--VLOOKUP(A230,四面弹import!A:D,4,FALSE)),0,--VLOOKUP(A230,四面弹import!A:D,4,FALSE)))</f>
        <v/>
      </c>
      <c r="F230" s="351" t="str">
        <f>IF(B230="","",IF(ISNA(--VLOOKUP(A230,四面弹import!A:E,5,FALSE)),0,--VLOOKUP(A230,四面弹import!A:E,5,FALSE)))</f>
        <v/>
      </c>
    </row>
    <row r="231" spans="1:6" s="332" customFormat="1">
      <c r="A231" s="348" t="str">
        <f t="shared" si="5"/>
        <v/>
      </c>
      <c r="E231" s="350" t="str">
        <f>IF(B231="","",IF(ISNA(--VLOOKUP(A231,四面弹import!A:D,4,FALSE)),0,--VLOOKUP(A231,四面弹import!A:D,4,FALSE)))</f>
        <v/>
      </c>
      <c r="F231" s="351" t="str">
        <f>IF(B231="","",IF(ISNA(--VLOOKUP(A231,四面弹import!A:E,5,FALSE)),0,--VLOOKUP(A231,四面弹import!A:E,5,FALSE)))</f>
        <v/>
      </c>
    </row>
    <row r="232" spans="1:6" s="332" customFormat="1">
      <c r="A232" s="348" t="str">
        <f t="shared" si="5"/>
        <v/>
      </c>
      <c r="E232" s="350" t="str">
        <f>IF(B232="","",IF(ISNA(--VLOOKUP(A232,四面弹import!A:D,4,FALSE)),0,--VLOOKUP(A232,四面弹import!A:D,4,FALSE)))</f>
        <v/>
      </c>
      <c r="F232" s="351" t="str">
        <f>IF(B232="","",IF(ISNA(--VLOOKUP(A232,四面弹import!A:E,5,FALSE)),0,--VLOOKUP(A232,四面弹import!A:E,5,FALSE)))</f>
        <v/>
      </c>
    </row>
    <row r="233" spans="1:6" s="332" customFormat="1">
      <c r="A233" s="348" t="str">
        <f t="shared" si="5"/>
        <v/>
      </c>
      <c r="E233" s="350" t="str">
        <f>IF(B233="","",IF(ISNA(--VLOOKUP(A233,四面弹import!A:D,4,FALSE)),0,--VLOOKUP(A233,四面弹import!A:D,4,FALSE)))</f>
        <v/>
      </c>
      <c r="F233" s="351" t="str">
        <f>IF(B233="","",IF(ISNA(--VLOOKUP(A233,四面弹import!A:E,5,FALSE)),0,--VLOOKUP(A233,四面弹import!A:E,5,FALSE)))</f>
        <v/>
      </c>
    </row>
    <row r="234" spans="1:6" s="332" customFormat="1">
      <c r="A234" s="348" t="str">
        <f t="shared" si="5"/>
        <v/>
      </c>
      <c r="E234" s="350" t="str">
        <f>IF(B234="","",IF(ISNA(--VLOOKUP(A234,四面弹import!A:D,4,FALSE)),0,--VLOOKUP(A234,四面弹import!A:D,4,FALSE)))</f>
        <v/>
      </c>
      <c r="F234" s="351" t="str">
        <f>IF(B234="","",IF(ISNA(--VLOOKUP(A234,四面弹import!A:E,5,FALSE)),0,--VLOOKUP(A234,四面弹import!A:E,5,FALSE)))</f>
        <v/>
      </c>
    </row>
    <row r="235" spans="1:6" s="332" customFormat="1">
      <c r="A235" s="348" t="str">
        <f t="shared" si="5"/>
        <v/>
      </c>
      <c r="E235" s="350" t="str">
        <f>IF(B235="","",IF(ISNA(--VLOOKUP(A235,四面弹import!A:D,4,FALSE)),0,--VLOOKUP(A235,四面弹import!A:D,4,FALSE)))</f>
        <v/>
      </c>
      <c r="F235" s="351" t="str">
        <f>IF(B235="","",IF(ISNA(--VLOOKUP(A235,四面弹import!A:E,5,FALSE)),0,--VLOOKUP(A235,四面弹import!A:E,5,FALSE)))</f>
        <v/>
      </c>
    </row>
    <row r="236" spans="1:6" s="332" customFormat="1">
      <c r="A236" s="348" t="str">
        <f t="shared" si="5"/>
        <v/>
      </c>
      <c r="E236" s="350" t="str">
        <f>IF(B236="","",IF(ISNA(--VLOOKUP(A236,四面弹import!A:D,4,FALSE)),0,--VLOOKUP(A236,四面弹import!A:D,4,FALSE)))</f>
        <v/>
      </c>
      <c r="F236" s="351" t="str">
        <f>IF(B236="","",IF(ISNA(--VLOOKUP(A236,四面弹import!A:E,5,FALSE)),0,--VLOOKUP(A236,四面弹import!A:E,5,FALSE)))</f>
        <v/>
      </c>
    </row>
    <row r="237" spans="1:6" s="332" customFormat="1">
      <c r="A237" s="348" t="str">
        <f t="shared" si="5"/>
        <v/>
      </c>
      <c r="E237" s="350" t="str">
        <f>IF(B237="","",IF(ISNA(--VLOOKUP(A237,四面弹import!A:D,4,FALSE)),0,--VLOOKUP(A237,四面弹import!A:D,4,FALSE)))</f>
        <v/>
      </c>
      <c r="F237" s="351" t="str">
        <f>IF(B237="","",IF(ISNA(--VLOOKUP(A237,四面弹import!A:E,5,FALSE)),0,--VLOOKUP(A237,四面弹import!A:E,5,FALSE)))</f>
        <v/>
      </c>
    </row>
    <row r="238" spans="1:6" s="332" customFormat="1">
      <c r="A238" s="348" t="str">
        <f t="shared" si="5"/>
        <v/>
      </c>
      <c r="E238" s="350" t="str">
        <f>IF(B238="","",IF(ISNA(--VLOOKUP(A238,四面弹import!A:D,4,FALSE)),0,--VLOOKUP(A238,四面弹import!A:D,4,FALSE)))</f>
        <v/>
      </c>
      <c r="F238" s="351" t="str">
        <f>IF(B238="","",IF(ISNA(--VLOOKUP(A238,四面弹import!A:E,5,FALSE)),0,--VLOOKUP(A238,四面弹import!A:E,5,FALSE)))</f>
        <v/>
      </c>
    </row>
    <row r="239" spans="1:6" s="332" customFormat="1">
      <c r="A239" s="348" t="str">
        <f t="shared" si="5"/>
        <v/>
      </c>
      <c r="E239" s="350" t="str">
        <f>IF(B239="","",IF(ISNA(--VLOOKUP(A239,四面弹import!A:D,4,FALSE)),0,--VLOOKUP(A239,四面弹import!A:D,4,FALSE)))</f>
        <v/>
      </c>
      <c r="F239" s="351" t="str">
        <f>IF(B239="","",IF(ISNA(--VLOOKUP(A239,四面弹import!A:E,5,FALSE)),0,--VLOOKUP(A239,四面弹import!A:E,5,FALSE)))</f>
        <v/>
      </c>
    </row>
    <row r="240" spans="1:6" s="332" customFormat="1">
      <c r="A240" s="348" t="str">
        <f t="shared" si="5"/>
        <v/>
      </c>
      <c r="E240" s="350" t="str">
        <f>IF(B240="","",IF(ISNA(--VLOOKUP(A240,四面弹import!A:D,4,FALSE)),0,--VLOOKUP(A240,四面弹import!A:D,4,FALSE)))</f>
        <v/>
      </c>
      <c r="F240" s="351" t="str">
        <f>IF(B240="","",IF(ISNA(--VLOOKUP(A240,四面弹import!A:E,5,FALSE)),0,--VLOOKUP(A240,四面弹import!A:E,5,FALSE)))</f>
        <v/>
      </c>
    </row>
    <row r="241" spans="1:6" s="332" customFormat="1">
      <c r="A241" s="348" t="str">
        <f t="shared" si="5"/>
        <v/>
      </c>
      <c r="E241" s="350" t="str">
        <f>IF(B241="","",IF(ISNA(--VLOOKUP(A241,四面弹import!A:D,4,FALSE)),0,--VLOOKUP(A241,四面弹import!A:D,4,FALSE)))</f>
        <v/>
      </c>
      <c r="F241" s="351" t="str">
        <f>IF(B241="","",IF(ISNA(--VLOOKUP(A241,四面弹import!A:E,5,FALSE)),0,--VLOOKUP(A241,四面弹import!A:E,5,FALSE)))</f>
        <v/>
      </c>
    </row>
    <row r="242" spans="1:6" s="332" customFormat="1">
      <c r="A242" s="348" t="str">
        <f t="shared" si="5"/>
        <v/>
      </c>
      <c r="E242" s="350" t="str">
        <f>IF(B242="","",IF(ISNA(--VLOOKUP(A242,四面弹import!A:D,4,FALSE)),0,--VLOOKUP(A242,四面弹import!A:D,4,FALSE)))</f>
        <v/>
      </c>
      <c r="F242" s="351" t="str">
        <f>IF(B242="","",IF(ISNA(--VLOOKUP(A242,四面弹import!A:E,5,FALSE)),0,--VLOOKUP(A242,四面弹import!A:E,5,FALSE)))</f>
        <v/>
      </c>
    </row>
    <row r="243" spans="1:6" s="332" customFormat="1">
      <c r="A243" s="348" t="str">
        <f t="shared" si="5"/>
        <v/>
      </c>
      <c r="E243" s="350" t="str">
        <f>IF(B243="","",IF(ISNA(--VLOOKUP(A243,四面弹import!A:D,4,FALSE)),0,--VLOOKUP(A243,四面弹import!A:D,4,FALSE)))</f>
        <v/>
      </c>
      <c r="F243" s="351" t="str">
        <f>IF(B243="","",IF(ISNA(--VLOOKUP(A243,四面弹import!A:E,5,FALSE)),0,--VLOOKUP(A243,四面弹import!A:E,5,FALSE)))</f>
        <v/>
      </c>
    </row>
    <row r="244" spans="1:6" s="332" customFormat="1">
      <c r="A244" s="348" t="str">
        <f t="shared" si="5"/>
        <v/>
      </c>
      <c r="E244" s="350" t="str">
        <f>IF(B244="","",IF(ISNA(--VLOOKUP(A244,四面弹import!A:D,4,FALSE)),0,--VLOOKUP(A244,四面弹import!A:D,4,FALSE)))</f>
        <v/>
      </c>
      <c r="F244" s="351" t="str">
        <f>IF(B244="","",IF(ISNA(--VLOOKUP(A244,四面弹import!A:E,5,FALSE)),0,--VLOOKUP(A244,四面弹import!A:E,5,FALSE)))</f>
        <v/>
      </c>
    </row>
    <row r="245" spans="1:6" s="332" customFormat="1">
      <c r="A245" s="348" t="str">
        <f t="shared" si="5"/>
        <v/>
      </c>
      <c r="E245" s="350" t="str">
        <f>IF(B245="","",IF(ISNA(--VLOOKUP(A245,四面弹import!A:D,4,FALSE)),0,--VLOOKUP(A245,四面弹import!A:D,4,FALSE)))</f>
        <v/>
      </c>
      <c r="F245" s="351" t="str">
        <f>IF(B245="","",IF(ISNA(--VLOOKUP(A245,四面弹import!A:E,5,FALSE)),0,--VLOOKUP(A245,四面弹import!A:E,5,FALSE)))</f>
        <v/>
      </c>
    </row>
    <row r="246" spans="1:6" s="332" customFormat="1">
      <c r="A246" s="348" t="str">
        <f t="shared" si="5"/>
        <v/>
      </c>
      <c r="E246" s="350" t="str">
        <f>IF(B246="","",IF(ISNA(--VLOOKUP(A246,四面弹import!A:D,4,FALSE)),0,--VLOOKUP(A246,四面弹import!A:D,4,FALSE)))</f>
        <v/>
      </c>
      <c r="F246" s="351" t="str">
        <f>IF(B246="","",IF(ISNA(--VLOOKUP(A246,四面弹import!A:E,5,FALSE)),0,--VLOOKUP(A246,四面弹import!A:E,5,FALSE)))</f>
        <v/>
      </c>
    </row>
    <row r="247" spans="1:6" s="332" customFormat="1">
      <c r="A247" s="348" t="str">
        <f t="shared" si="5"/>
        <v/>
      </c>
      <c r="E247" s="350" t="str">
        <f>IF(B247="","",IF(ISNA(--VLOOKUP(A247,四面弹import!A:D,4,FALSE)),0,--VLOOKUP(A247,四面弹import!A:D,4,FALSE)))</f>
        <v/>
      </c>
      <c r="F247" s="351" t="str">
        <f>IF(B247="","",IF(ISNA(--VLOOKUP(A247,四面弹import!A:E,5,FALSE)),0,--VLOOKUP(A247,四面弹import!A:E,5,FALSE)))</f>
        <v/>
      </c>
    </row>
    <row r="248" spans="1:6" s="332" customFormat="1">
      <c r="A248" s="348" t="str">
        <f t="shared" si="5"/>
        <v/>
      </c>
      <c r="E248" s="350" t="str">
        <f>IF(B248="","",IF(ISNA(--VLOOKUP(A248,四面弹import!A:D,4,FALSE)),0,--VLOOKUP(A248,四面弹import!A:D,4,FALSE)))</f>
        <v/>
      </c>
      <c r="F248" s="351" t="str">
        <f>IF(B248="","",IF(ISNA(--VLOOKUP(A248,四面弹import!A:E,5,FALSE)),0,--VLOOKUP(A248,四面弹import!A:E,5,FALSE)))</f>
        <v/>
      </c>
    </row>
    <row r="249" spans="1:6" s="332" customFormat="1">
      <c r="A249" s="348" t="str">
        <f t="shared" si="5"/>
        <v/>
      </c>
      <c r="E249" s="350" t="str">
        <f>IF(B249="","",IF(ISNA(--VLOOKUP(A249,四面弹import!A:D,4,FALSE)),0,--VLOOKUP(A249,四面弹import!A:D,4,FALSE)))</f>
        <v/>
      </c>
      <c r="F249" s="351" t="str">
        <f>IF(B249="","",IF(ISNA(--VLOOKUP(A249,四面弹import!A:E,5,FALSE)),0,--VLOOKUP(A249,四面弹import!A:E,5,FALSE)))</f>
        <v/>
      </c>
    </row>
    <row r="250" spans="1:6" s="332" customFormat="1">
      <c r="A250" s="348" t="str">
        <f t="shared" si="5"/>
        <v/>
      </c>
      <c r="E250" s="350" t="str">
        <f>IF(B250="","",IF(ISNA(--VLOOKUP(A250,四面弹import!A:D,4,FALSE)),0,--VLOOKUP(A250,四面弹import!A:D,4,FALSE)))</f>
        <v/>
      </c>
      <c r="F250" s="351" t="str">
        <f>IF(B250="","",IF(ISNA(--VLOOKUP(A250,四面弹import!A:E,5,FALSE)),0,--VLOOKUP(A250,四面弹import!A:E,5,FALSE)))</f>
        <v/>
      </c>
    </row>
    <row r="251" spans="1:6" s="332" customFormat="1">
      <c r="A251" s="348" t="str">
        <f t="shared" si="5"/>
        <v/>
      </c>
      <c r="E251" s="350" t="str">
        <f>IF(B251="","",IF(ISNA(--VLOOKUP(A251,四面弹import!A:D,4,FALSE)),0,--VLOOKUP(A251,四面弹import!A:D,4,FALSE)))</f>
        <v/>
      </c>
      <c r="F251" s="351" t="str">
        <f>IF(B251="","",IF(ISNA(--VLOOKUP(A251,四面弹import!A:E,5,FALSE)),0,--VLOOKUP(A251,四面弹import!A:E,5,FALSE)))</f>
        <v/>
      </c>
    </row>
    <row r="252" spans="1:6" s="332" customFormat="1">
      <c r="A252" s="348" t="str">
        <f t="shared" si="5"/>
        <v/>
      </c>
      <c r="E252" s="350" t="str">
        <f>IF(B252="","",IF(ISNA(--VLOOKUP(A252,四面弹import!A:D,4,FALSE)),0,--VLOOKUP(A252,四面弹import!A:D,4,FALSE)))</f>
        <v/>
      </c>
      <c r="F252" s="351" t="str">
        <f>IF(B252="","",IF(ISNA(--VLOOKUP(A252,四面弹import!A:E,5,FALSE)),0,--VLOOKUP(A252,四面弹import!A:E,5,FALSE)))</f>
        <v/>
      </c>
    </row>
    <row r="253" spans="1:6" s="332" customFormat="1">
      <c r="A253" s="348" t="str">
        <f t="shared" si="5"/>
        <v/>
      </c>
      <c r="E253" s="350" t="str">
        <f>IF(B253="","",IF(ISNA(--VLOOKUP(A253,四面弹import!A:D,4,FALSE)),0,--VLOOKUP(A253,四面弹import!A:D,4,FALSE)))</f>
        <v/>
      </c>
      <c r="F253" s="351" t="str">
        <f>IF(B253="","",IF(ISNA(--VLOOKUP(A253,四面弹import!A:E,5,FALSE)),0,--VLOOKUP(A253,四面弹import!A:E,5,FALSE)))</f>
        <v/>
      </c>
    </row>
    <row r="254" spans="1:6" s="332" customFormat="1">
      <c r="A254" s="348" t="str">
        <f t="shared" si="5"/>
        <v/>
      </c>
      <c r="E254" s="350" t="str">
        <f>IF(B254="","",IF(ISNA(--VLOOKUP(A254,四面弹import!A:D,4,FALSE)),0,--VLOOKUP(A254,四面弹import!A:D,4,FALSE)))</f>
        <v/>
      </c>
      <c r="F254" s="351" t="str">
        <f>IF(B254="","",IF(ISNA(--VLOOKUP(A254,四面弹import!A:E,5,FALSE)),0,--VLOOKUP(A254,四面弹import!A:E,5,FALSE)))</f>
        <v/>
      </c>
    </row>
    <row r="255" spans="1:6" s="332" customFormat="1">
      <c r="A255" s="348" t="str">
        <f t="shared" si="5"/>
        <v/>
      </c>
      <c r="E255" s="350" t="str">
        <f>IF(B255="","",IF(ISNA(--VLOOKUP(A255,四面弹import!A:D,4,FALSE)),0,--VLOOKUP(A255,四面弹import!A:D,4,FALSE)))</f>
        <v/>
      </c>
      <c r="F255" s="351" t="str">
        <f>IF(B255="","",IF(ISNA(--VLOOKUP(A255,四面弹import!A:E,5,FALSE)),0,--VLOOKUP(A255,四面弹import!A:E,5,FALSE)))</f>
        <v/>
      </c>
    </row>
    <row r="256" spans="1:6" s="332" customFormat="1">
      <c r="A256" s="348" t="str">
        <f t="shared" si="5"/>
        <v/>
      </c>
      <c r="E256" s="350" t="str">
        <f>IF(B256="","",IF(ISNA(--VLOOKUP(A256,四面弹import!A:D,4,FALSE)),0,--VLOOKUP(A256,四面弹import!A:D,4,FALSE)))</f>
        <v/>
      </c>
      <c r="F256" s="351" t="str">
        <f>IF(B256="","",IF(ISNA(--VLOOKUP(A256,四面弹import!A:E,5,FALSE)),0,--VLOOKUP(A256,四面弹import!A:E,5,FALSE)))</f>
        <v/>
      </c>
    </row>
    <row r="257" spans="1:6" s="332" customFormat="1">
      <c r="A257" s="348" t="str">
        <f t="shared" si="5"/>
        <v/>
      </c>
      <c r="E257" s="350" t="str">
        <f>IF(B257="","",IF(ISNA(--VLOOKUP(A257,四面弹import!A:D,4,FALSE)),0,--VLOOKUP(A257,四面弹import!A:D,4,FALSE)))</f>
        <v/>
      </c>
      <c r="F257" s="351" t="str">
        <f>IF(B257="","",IF(ISNA(--VLOOKUP(A257,四面弹import!A:E,5,FALSE)),0,--VLOOKUP(A257,四面弹import!A:E,5,FALSE)))</f>
        <v/>
      </c>
    </row>
    <row r="258" spans="1:6" s="332" customFormat="1">
      <c r="A258" s="348" t="str">
        <f t="shared" si="5"/>
        <v/>
      </c>
      <c r="E258" s="350" t="str">
        <f>IF(B258="","",IF(ISNA(--VLOOKUP(A258,四面弹import!A:D,4,FALSE)),0,--VLOOKUP(A258,四面弹import!A:D,4,FALSE)))</f>
        <v/>
      </c>
      <c r="F258" s="351" t="str">
        <f>IF(B258="","",IF(ISNA(--VLOOKUP(A258,四面弹import!A:E,5,FALSE)),0,--VLOOKUP(A258,四面弹import!A:E,5,FALSE)))</f>
        <v/>
      </c>
    </row>
    <row r="259" spans="1:6" s="332" customFormat="1">
      <c r="A259" s="348" t="str">
        <f t="shared" si="5"/>
        <v/>
      </c>
      <c r="E259" s="350" t="str">
        <f>IF(B259="","",IF(ISNA(--VLOOKUP(A259,四面弹import!A:D,4,FALSE)),0,--VLOOKUP(A259,四面弹import!A:D,4,FALSE)))</f>
        <v/>
      </c>
      <c r="F259" s="351" t="str">
        <f>IF(B259="","",IF(ISNA(--VLOOKUP(A259,四面弹import!A:E,5,FALSE)),0,--VLOOKUP(A259,四面弹import!A:E,5,FALSE)))</f>
        <v/>
      </c>
    </row>
    <row r="260" spans="1:6" s="332" customFormat="1">
      <c r="A260" s="348" t="str">
        <f t="shared" si="5"/>
        <v/>
      </c>
      <c r="E260" s="350" t="str">
        <f>IF(B260="","",IF(ISNA(--VLOOKUP(A260,四面弹import!A:D,4,FALSE)),0,--VLOOKUP(A260,四面弹import!A:D,4,FALSE)))</f>
        <v/>
      </c>
      <c r="F260" s="351" t="str">
        <f>IF(B260="","",IF(ISNA(--VLOOKUP(A260,四面弹import!A:E,5,FALSE)),0,--VLOOKUP(A260,四面弹import!A:E,5,FALSE)))</f>
        <v/>
      </c>
    </row>
    <row r="261" spans="1:6" s="332" customFormat="1">
      <c r="A261" s="348" t="str">
        <f t="shared" si="5"/>
        <v/>
      </c>
      <c r="E261" s="350" t="str">
        <f>IF(B261="","",IF(ISNA(--VLOOKUP(A261,四面弹import!A:D,4,FALSE)),0,--VLOOKUP(A261,四面弹import!A:D,4,FALSE)))</f>
        <v/>
      </c>
      <c r="F261" s="351" t="str">
        <f>IF(B261="","",IF(ISNA(--VLOOKUP(A261,四面弹import!A:E,5,FALSE)),0,--VLOOKUP(A261,四面弹import!A:E,5,FALSE)))</f>
        <v/>
      </c>
    </row>
    <row r="262" spans="1:6" s="332" customFormat="1">
      <c r="A262" s="348" t="str">
        <f t="shared" si="5"/>
        <v/>
      </c>
      <c r="E262" s="350" t="str">
        <f>IF(B262="","",IF(ISNA(--VLOOKUP(A262,四面弹import!A:D,4,FALSE)),0,--VLOOKUP(A262,四面弹import!A:D,4,FALSE)))</f>
        <v/>
      </c>
      <c r="F262" s="351" t="str">
        <f>IF(B262="","",IF(ISNA(--VLOOKUP(A262,四面弹import!A:E,5,FALSE)),0,--VLOOKUP(A262,四面弹import!A:E,5,FALSE)))</f>
        <v/>
      </c>
    </row>
    <row r="263" spans="1:6" s="332" customFormat="1">
      <c r="A263" s="348" t="str">
        <f t="shared" si="5"/>
        <v/>
      </c>
      <c r="E263" s="350" t="str">
        <f>IF(B263="","",IF(ISNA(--VLOOKUP(A263,四面弹import!A:D,4,FALSE)),0,--VLOOKUP(A263,四面弹import!A:D,4,FALSE)))</f>
        <v/>
      </c>
      <c r="F263" s="351" t="str">
        <f>IF(B263="","",IF(ISNA(--VLOOKUP(A263,四面弹import!A:E,5,FALSE)),0,--VLOOKUP(A263,四面弹import!A:E,5,FALSE)))</f>
        <v/>
      </c>
    </row>
    <row r="264" spans="1:6" s="332" customFormat="1">
      <c r="A264" s="348" t="str">
        <f t="shared" si="5"/>
        <v/>
      </c>
      <c r="E264" s="350" t="str">
        <f>IF(B264="","",IF(ISNA(--VLOOKUP(A264,四面弹import!A:D,4,FALSE)),0,--VLOOKUP(A264,四面弹import!A:D,4,FALSE)))</f>
        <v/>
      </c>
      <c r="F264" s="351" t="str">
        <f>IF(B264="","",IF(ISNA(--VLOOKUP(A264,四面弹import!A:E,5,FALSE)),0,--VLOOKUP(A264,四面弹import!A:E,5,FALSE)))</f>
        <v/>
      </c>
    </row>
    <row r="265" spans="1:6" s="332" customFormat="1">
      <c r="A265" s="348" t="str">
        <f t="shared" si="5"/>
        <v/>
      </c>
      <c r="E265" s="350" t="str">
        <f>IF(B265="","",IF(ISNA(--VLOOKUP(A265,四面弹import!A:D,4,FALSE)),0,--VLOOKUP(A265,四面弹import!A:D,4,FALSE)))</f>
        <v/>
      </c>
      <c r="F265" s="351" t="str">
        <f>IF(B265="","",IF(ISNA(--VLOOKUP(A265,四面弹import!A:E,5,FALSE)),0,--VLOOKUP(A265,四面弹import!A:E,5,FALSE)))</f>
        <v/>
      </c>
    </row>
    <row r="266" spans="1:6" s="332" customFormat="1">
      <c r="A266" s="348" t="str">
        <f t="shared" ref="A266:A329" si="6">SUBSTITUTE(H266," ","")&amp;I266&amp;K266&amp;M266&amp;O266&amp;Q266</f>
        <v/>
      </c>
      <c r="E266" s="350" t="str">
        <f>IF(B266="","",IF(ISNA(--VLOOKUP(A266,四面弹import!A:D,4,FALSE)),0,--VLOOKUP(A266,四面弹import!A:D,4,FALSE)))</f>
        <v/>
      </c>
      <c r="F266" s="351" t="str">
        <f>IF(B266="","",IF(ISNA(--VLOOKUP(A266,四面弹import!A:E,5,FALSE)),0,--VLOOKUP(A266,四面弹import!A:E,5,FALSE)))</f>
        <v/>
      </c>
    </row>
    <row r="267" spans="1:6" s="332" customFormat="1">
      <c r="A267" s="348" t="str">
        <f t="shared" si="6"/>
        <v/>
      </c>
      <c r="E267" s="350" t="str">
        <f>IF(B267="","",IF(ISNA(--VLOOKUP(A267,四面弹import!A:D,4,FALSE)),0,--VLOOKUP(A267,四面弹import!A:D,4,FALSE)))</f>
        <v/>
      </c>
      <c r="F267" s="351" t="str">
        <f>IF(B267="","",IF(ISNA(--VLOOKUP(A267,四面弹import!A:E,5,FALSE)),0,--VLOOKUP(A267,四面弹import!A:E,5,FALSE)))</f>
        <v/>
      </c>
    </row>
    <row r="268" spans="1:6" s="332" customFormat="1">
      <c r="A268" s="348" t="str">
        <f t="shared" si="6"/>
        <v/>
      </c>
      <c r="E268" s="350" t="str">
        <f>IF(B268="","",IF(ISNA(--VLOOKUP(A268,四面弹import!A:D,4,FALSE)),0,--VLOOKUP(A268,四面弹import!A:D,4,FALSE)))</f>
        <v/>
      </c>
      <c r="F268" s="351" t="str">
        <f>IF(B268="","",IF(ISNA(--VLOOKUP(A268,四面弹import!A:E,5,FALSE)),0,--VLOOKUP(A268,四面弹import!A:E,5,FALSE)))</f>
        <v/>
      </c>
    </row>
    <row r="269" spans="1:6" s="332" customFormat="1">
      <c r="A269" s="348" t="str">
        <f t="shared" si="6"/>
        <v/>
      </c>
      <c r="E269" s="350" t="str">
        <f>IF(B269="","",IF(ISNA(--VLOOKUP(A269,四面弹import!A:D,4,FALSE)),0,--VLOOKUP(A269,四面弹import!A:D,4,FALSE)))</f>
        <v/>
      </c>
      <c r="F269" s="351" t="str">
        <f>IF(B269="","",IF(ISNA(--VLOOKUP(A269,四面弹import!A:E,5,FALSE)),0,--VLOOKUP(A269,四面弹import!A:E,5,FALSE)))</f>
        <v/>
      </c>
    </row>
    <row r="270" spans="1:6" s="332" customFormat="1">
      <c r="A270" s="348" t="str">
        <f t="shared" si="6"/>
        <v/>
      </c>
      <c r="E270" s="350" t="str">
        <f>IF(B270="","",IF(ISNA(--VLOOKUP(A270,四面弹import!A:D,4,FALSE)),0,--VLOOKUP(A270,四面弹import!A:D,4,FALSE)))</f>
        <v/>
      </c>
      <c r="F270" s="351" t="str">
        <f>IF(B270="","",IF(ISNA(--VLOOKUP(A270,四面弹import!A:E,5,FALSE)),0,--VLOOKUP(A270,四面弹import!A:E,5,FALSE)))</f>
        <v/>
      </c>
    </row>
    <row r="271" spans="1:6" s="332" customFormat="1">
      <c r="A271" s="348" t="str">
        <f t="shared" si="6"/>
        <v/>
      </c>
      <c r="E271" s="350" t="str">
        <f>IF(B271="","",IF(ISNA(--VLOOKUP(A271,四面弹import!A:D,4,FALSE)),0,--VLOOKUP(A271,四面弹import!A:D,4,FALSE)))</f>
        <v/>
      </c>
      <c r="F271" s="351" t="str">
        <f>IF(B271="","",IF(ISNA(--VLOOKUP(A271,四面弹import!A:E,5,FALSE)),0,--VLOOKUP(A271,四面弹import!A:E,5,FALSE)))</f>
        <v/>
      </c>
    </row>
    <row r="272" spans="1:6" s="332" customFormat="1">
      <c r="A272" s="348" t="str">
        <f t="shared" si="6"/>
        <v/>
      </c>
      <c r="E272" s="350" t="str">
        <f>IF(B272="","",IF(ISNA(--VLOOKUP(A272,四面弹import!A:D,4,FALSE)),0,--VLOOKUP(A272,四面弹import!A:D,4,FALSE)))</f>
        <v/>
      </c>
      <c r="F272" s="351" t="str">
        <f>IF(B272="","",IF(ISNA(--VLOOKUP(A272,四面弹import!A:E,5,FALSE)),0,--VLOOKUP(A272,四面弹import!A:E,5,FALSE)))</f>
        <v/>
      </c>
    </row>
    <row r="273" spans="1:6" s="332" customFormat="1">
      <c r="A273" s="348" t="str">
        <f t="shared" si="6"/>
        <v/>
      </c>
      <c r="E273" s="350" t="str">
        <f>IF(B273="","",IF(ISNA(--VLOOKUP(A273,四面弹import!A:D,4,FALSE)),0,--VLOOKUP(A273,四面弹import!A:D,4,FALSE)))</f>
        <v/>
      </c>
      <c r="F273" s="351" t="str">
        <f>IF(B273="","",IF(ISNA(--VLOOKUP(A273,四面弹import!A:E,5,FALSE)),0,--VLOOKUP(A273,四面弹import!A:E,5,FALSE)))</f>
        <v/>
      </c>
    </row>
    <row r="274" spans="1:6" s="332" customFormat="1">
      <c r="A274" s="348" t="str">
        <f t="shared" si="6"/>
        <v/>
      </c>
      <c r="E274" s="350" t="str">
        <f>IF(B274="","",IF(ISNA(--VLOOKUP(A274,四面弹import!A:D,4,FALSE)),0,--VLOOKUP(A274,四面弹import!A:D,4,FALSE)))</f>
        <v/>
      </c>
      <c r="F274" s="351" t="str">
        <f>IF(B274="","",IF(ISNA(--VLOOKUP(A274,四面弹import!A:E,5,FALSE)),0,--VLOOKUP(A274,四面弹import!A:E,5,FALSE)))</f>
        <v/>
      </c>
    </row>
    <row r="275" spans="1:6" s="332" customFormat="1">
      <c r="A275" s="348" t="str">
        <f t="shared" si="6"/>
        <v/>
      </c>
      <c r="E275" s="350" t="str">
        <f>IF(B275="","",IF(ISNA(--VLOOKUP(A275,四面弹import!A:D,4,FALSE)),0,--VLOOKUP(A275,四面弹import!A:D,4,FALSE)))</f>
        <v/>
      </c>
      <c r="F275" s="351" t="str">
        <f>IF(B275="","",IF(ISNA(--VLOOKUP(A275,四面弹import!A:E,5,FALSE)),0,--VLOOKUP(A275,四面弹import!A:E,5,FALSE)))</f>
        <v/>
      </c>
    </row>
    <row r="276" spans="1:6" s="332" customFormat="1">
      <c r="A276" s="348" t="str">
        <f t="shared" si="6"/>
        <v/>
      </c>
      <c r="E276" s="350" t="str">
        <f>IF(B276="","",IF(ISNA(--VLOOKUP(A276,四面弹import!A:D,4,FALSE)),0,--VLOOKUP(A276,四面弹import!A:D,4,FALSE)))</f>
        <v/>
      </c>
      <c r="F276" s="351" t="str">
        <f>IF(B276="","",IF(ISNA(--VLOOKUP(A276,四面弹import!A:E,5,FALSE)),0,--VLOOKUP(A276,四面弹import!A:E,5,FALSE)))</f>
        <v/>
      </c>
    </row>
    <row r="277" spans="1:6" s="332" customFormat="1">
      <c r="A277" s="348" t="str">
        <f t="shared" si="6"/>
        <v/>
      </c>
      <c r="E277" s="350" t="str">
        <f>IF(B277="","",IF(ISNA(--VLOOKUP(A277,四面弹import!A:D,4,FALSE)),0,--VLOOKUP(A277,四面弹import!A:D,4,FALSE)))</f>
        <v/>
      </c>
      <c r="F277" s="351" t="str">
        <f>IF(B277="","",IF(ISNA(--VLOOKUP(A277,四面弹import!A:E,5,FALSE)),0,--VLOOKUP(A277,四面弹import!A:E,5,FALSE)))</f>
        <v/>
      </c>
    </row>
    <row r="278" spans="1:6" s="332" customFormat="1">
      <c r="A278" s="348" t="str">
        <f t="shared" si="6"/>
        <v/>
      </c>
      <c r="E278" s="350" t="str">
        <f>IF(B278="","",IF(ISNA(--VLOOKUP(A278,四面弹import!A:D,4,FALSE)),0,--VLOOKUP(A278,四面弹import!A:D,4,FALSE)))</f>
        <v/>
      </c>
      <c r="F278" s="351" t="str">
        <f>IF(B278="","",IF(ISNA(--VLOOKUP(A278,四面弹import!A:E,5,FALSE)),0,--VLOOKUP(A278,四面弹import!A:E,5,FALSE)))</f>
        <v/>
      </c>
    </row>
    <row r="279" spans="1:6" s="332" customFormat="1">
      <c r="A279" s="348" t="str">
        <f t="shared" si="6"/>
        <v/>
      </c>
      <c r="E279" s="350" t="str">
        <f>IF(B279="","",IF(ISNA(--VLOOKUP(A279,四面弹import!A:D,4,FALSE)),0,--VLOOKUP(A279,四面弹import!A:D,4,FALSE)))</f>
        <v/>
      </c>
      <c r="F279" s="351" t="str">
        <f>IF(B279="","",IF(ISNA(--VLOOKUP(A279,四面弹import!A:E,5,FALSE)),0,--VLOOKUP(A279,四面弹import!A:E,5,FALSE)))</f>
        <v/>
      </c>
    </row>
    <row r="280" spans="1:6" s="332" customFormat="1">
      <c r="A280" s="348" t="str">
        <f t="shared" si="6"/>
        <v/>
      </c>
      <c r="E280" s="350" t="str">
        <f>IF(B280="","",IF(ISNA(--VLOOKUP(A280,四面弹import!A:D,4,FALSE)),0,--VLOOKUP(A280,四面弹import!A:D,4,FALSE)))</f>
        <v/>
      </c>
      <c r="F280" s="351" t="str">
        <f>IF(B280="","",IF(ISNA(--VLOOKUP(A280,四面弹import!A:E,5,FALSE)),0,--VLOOKUP(A280,四面弹import!A:E,5,FALSE)))</f>
        <v/>
      </c>
    </row>
    <row r="281" spans="1:6" s="332" customFormat="1">
      <c r="A281" s="348" t="str">
        <f t="shared" si="6"/>
        <v/>
      </c>
      <c r="E281" s="350" t="str">
        <f>IF(B281="","",IF(ISNA(--VLOOKUP(A281,四面弹import!A:D,4,FALSE)),0,--VLOOKUP(A281,四面弹import!A:D,4,FALSE)))</f>
        <v/>
      </c>
      <c r="F281" s="351" t="str">
        <f>IF(B281="","",IF(ISNA(--VLOOKUP(A281,四面弹import!A:E,5,FALSE)),0,--VLOOKUP(A281,四面弹import!A:E,5,FALSE)))</f>
        <v/>
      </c>
    </row>
    <row r="282" spans="1:6" s="332" customFormat="1">
      <c r="A282" s="348" t="str">
        <f t="shared" si="6"/>
        <v/>
      </c>
      <c r="E282" s="350" t="str">
        <f>IF(B282="","",IF(ISNA(--VLOOKUP(A282,四面弹import!A:D,4,FALSE)),0,--VLOOKUP(A282,四面弹import!A:D,4,FALSE)))</f>
        <v/>
      </c>
      <c r="F282" s="351" t="str">
        <f>IF(B282="","",IF(ISNA(--VLOOKUP(A282,四面弹import!A:E,5,FALSE)),0,--VLOOKUP(A282,四面弹import!A:E,5,FALSE)))</f>
        <v/>
      </c>
    </row>
    <row r="283" spans="1:6" s="332" customFormat="1">
      <c r="A283" s="348" t="str">
        <f t="shared" si="6"/>
        <v/>
      </c>
      <c r="E283" s="350" t="str">
        <f>IF(B283="","",IF(ISNA(--VLOOKUP(A283,四面弹import!A:D,4,FALSE)),0,--VLOOKUP(A283,四面弹import!A:D,4,FALSE)))</f>
        <v/>
      </c>
      <c r="F283" s="351" t="str">
        <f>IF(B283="","",IF(ISNA(--VLOOKUP(A283,四面弹import!A:E,5,FALSE)),0,--VLOOKUP(A283,四面弹import!A:E,5,FALSE)))</f>
        <v/>
      </c>
    </row>
    <row r="284" spans="1:6" s="332" customFormat="1">
      <c r="A284" s="348" t="str">
        <f t="shared" si="6"/>
        <v/>
      </c>
      <c r="E284" s="350" t="str">
        <f>IF(B284="","",IF(ISNA(--VLOOKUP(A284,四面弹import!A:D,4,FALSE)),0,--VLOOKUP(A284,四面弹import!A:D,4,FALSE)))</f>
        <v/>
      </c>
      <c r="F284" s="351" t="str">
        <f>IF(B284="","",IF(ISNA(--VLOOKUP(A284,四面弹import!A:E,5,FALSE)),0,--VLOOKUP(A284,四面弹import!A:E,5,FALSE)))</f>
        <v/>
      </c>
    </row>
    <row r="285" spans="1:6" s="332" customFormat="1">
      <c r="A285" s="348" t="str">
        <f t="shared" si="6"/>
        <v/>
      </c>
      <c r="E285" s="350" t="str">
        <f>IF(B285="","",IF(ISNA(--VLOOKUP(A285,四面弹import!A:D,4,FALSE)),0,--VLOOKUP(A285,四面弹import!A:D,4,FALSE)))</f>
        <v/>
      </c>
      <c r="F285" s="351" t="str">
        <f>IF(B285="","",IF(ISNA(--VLOOKUP(A285,四面弹import!A:E,5,FALSE)),0,--VLOOKUP(A285,四面弹import!A:E,5,FALSE)))</f>
        <v/>
      </c>
    </row>
    <row r="286" spans="1:6" s="332" customFormat="1">
      <c r="A286" s="348" t="str">
        <f t="shared" si="6"/>
        <v/>
      </c>
      <c r="E286" s="350" t="str">
        <f>IF(B286="","",IF(ISNA(--VLOOKUP(A286,四面弹import!A:D,4,FALSE)),0,--VLOOKUP(A286,四面弹import!A:D,4,FALSE)))</f>
        <v/>
      </c>
      <c r="F286" s="351" t="str">
        <f>IF(B286="","",IF(ISNA(--VLOOKUP(A286,四面弹import!A:E,5,FALSE)),0,--VLOOKUP(A286,四面弹import!A:E,5,FALSE)))</f>
        <v/>
      </c>
    </row>
    <row r="287" spans="1:6" s="332" customFormat="1">
      <c r="A287" s="348" t="str">
        <f t="shared" si="6"/>
        <v/>
      </c>
      <c r="E287" s="350" t="str">
        <f>IF(B287="","",IF(ISNA(--VLOOKUP(A287,四面弹import!A:D,4,FALSE)),0,--VLOOKUP(A287,四面弹import!A:D,4,FALSE)))</f>
        <v/>
      </c>
      <c r="F287" s="351" t="str">
        <f>IF(B287="","",IF(ISNA(--VLOOKUP(A287,四面弹import!A:E,5,FALSE)),0,--VLOOKUP(A287,四面弹import!A:E,5,FALSE)))</f>
        <v/>
      </c>
    </row>
    <row r="288" spans="1:6" s="332" customFormat="1">
      <c r="A288" s="348" t="str">
        <f t="shared" si="6"/>
        <v/>
      </c>
      <c r="E288" s="350" t="str">
        <f>IF(B288="","",IF(ISNA(--VLOOKUP(A288,四面弹import!A:D,4,FALSE)),0,--VLOOKUP(A288,四面弹import!A:D,4,FALSE)))</f>
        <v/>
      </c>
      <c r="F288" s="351" t="str">
        <f>IF(B288="","",IF(ISNA(--VLOOKUP(A288,四面弹import!A:E,5,FALSE)),0,--VLOOKUP(A288,四面弹import!A:E,5,FALSE)))</f>
        <v/>
      </c>
    </row>
    <row r="289" spans="1:6" s="332" customFormat="1">
      <c r="A289" s="348" t="str">
        <f t="shared" si="6"/>
        <v/>
      </c>
      <c r="E289" s="350" t="str">
        <f>IF(B289="","",IF(ISNA(--VLOOKUP(A289,四面弹import!A:D,4,FALSE)),0,--VLOOKUP(A289,四面弹import!A:D,4,FALSE)))</f>
        <v/>
      </c>
      <c r="F289" s="351" t="str">
        <f>IF(B289="","",IF(ISNA(--VLOOKUP(A289,四面弹import!A:E,5,FALSE)),0,--VLOOKUP(A289,四面弹import!A:E,5,FALSE)))</f>
        <v/>
      </c>
    </row>
    <row r="290" spans="1:6" s="332" customFormat="1">
      <c r="A290" s="348" t="str">
        <f t="shared" si="6"/>
        <v/>
      </c>
      <c r="E290" s="350" t="str">
        <f>IF(B290="","",IF(ISNA(--VLOOKUP(A290,四面弹import!A:D,4,FALSE)),0,--VLOOKUP(A290,四面弹import!A:D,4,FALSE)))</f>
        <v/>
      </c>
      <c r="F290" s="351" t="str">
        <f>IF(B290="","",IF(ISNA(--VLOOKUP(A290,四面弹import!A:E,5,FALSE)),0,--VLOOKUP(A290,四面弹import!A:E,5,FALSE)))</f>
        <v/>
      </c>
    </row>
    <row r="291" spans="1:6" s="332" customFormat="1">
      <c r="A291" s="348" t="str">
        <f t="shared" si="6"/>
        <v/>
      </c>
      <c r="E291" s="350" t="str">
        <f>IF(B291="","",IF(ISNA(--VLOOKUP(A291,四面弹import!A:D,4,FALSE)),0,--VLOOKUP(A291,四面弹import!A:D,4,FALSE)))</f>
        <v/>
      </c>
      <c r="F291" s="351" t="str">
        <f>IF(B291="","",IF(ISNA(--VLOOKUP(A291,四面弹import!A:E,5,FALSE)),0,--VLOOKUP(A291,四面弹import!A:E,5,FALSE)))</f>
        <v/>
      </c>
    </row>
    <row r="292" spans="1:6" s="332" customFormat="1">
      <c r="A292" s="348" t="str">
        <f t="shared" si="6"/>
        <v/>
      </c>
      <c r="E292" s="350" t="str">
        <f>IF(B292="","",IF(ISNA(--VLOOKUP(A292,四面弹import!A:D,4,FALSE)),0,--VLOOKUP(A292,四面弹import!A:D,4,FALSE)))</f>
        <v/>
      </c>
      <c r="F292" s="351" t="str">
        <f>IF(B292="","",IF(ISNA(--VLOOKUP(A292,四面弹import!A:E,5,FALSE)),0,--VLOOKUP(A292,四面弹import!A:E,5,FALSE)))</f>
        <v/>
      </c>
    </row>
    <row r="293" spans="1:6" s="332" customFormat="1">
      <c r="A293" s="348" t="str">
        <f t="shared" si="6"/>
        <v/>
      </c>
      <c r="E293" s="350" t="str">
        <f>IF(B293="","",IF(ISNA(--VLOOKUP(A293,四面弹import!A:D,4,FALSE)),0,--VLOOKUP(A293,四面弹import!A:D,4,FALSE)))</f>
        <v/>
      </c>
      <c r="F293" s="351" t="str">
        <f>IF(B293="","",IF(ISNA(--VLOOKUP(A293,四面弹import!A:E,5,FALSE)),0,--VLOOKUP(A293,四面弹import!A:E,5,FALSE)))</f>
        <v/>
      </c>
    </row>
    <row r="294" spans="1:6" s="332" customFormat="1">
      <c r="A294" s="348" t="str">
        <f t="shared" si="6"/>
        <v/>
      </c>
      <c r="E294" s="350" t="str">
        <f>IF(B294="","",IF(ISNA(--VLOOKUP(A294,四面弹import!A:D,4,FALSE)),0,--VLOOKUP(A294,四面弹import!A:D,4,FALSE)))</f>
        <v/>
      </c>
      <c r="F294" s="351" t="str">
        <f>IF(B294="","",IF(ISNA(--VLOOKUP(A294,四面弹import!A:E,5,FALSE)),0,--VLOOKUP(A294,四面弹import!A:E,5,FALSE)))</f>
        <v/>
      </c>
    </row>
    <row r="295" spans="1:6" s="332" customFormat="1">
      <c r="A295" s="348" t="str">
        <f t="shared" si="6"/>
        <v/>
      </c>
      <c r="E295" s="350" t="str">
        <f>IF(B295="","",IF(ISNA(--VLOOKUP(A295,四面弹import!A:D,4,FALSE)),0,--VLOOKUP(A295,四面弹import!A:D,4,FALSE)))</f>
        <v/>
      </c>
      <c r="F295" s="351" t="str">
        <f>IF(B295="","",IF(ISNA(--VLOOKUP(A295,四面弹import!A:E,5,FALSE)),0,--VLOOKUP(A295,四面弹import!A:E,5,FALSE)))</f>
        <v/>
      </c>
    </row>
    <row r="296" spans="1:6" s="332" customFormat="1">
      <c r="A296" s="348" t="str">
        <f t="shared" si="6"/>
        <v/>
      </c>
      <c r="E296" s="350" t="str">
        <f>IF(B296="","",IF(ISNA(--VLOOKUP(A296,四面弹import!A:D,4,FALSE)),0,--VLOOKUP(A296,四面弹import!A:D,4,FALSE)))</f>
        <v/>
      </c>
      <c r="F296" s="351" t="str">
        <f>IF(B296="","",IF(ISNA(--VLOOKUP(A296,四面弹import!A:E,5,FALSE)),0,--VLOOKUP(A296,四面弹import!A:E,5,FALSE)))</f>
        <v/>
      </c>
    </row>
    <row r="297" spans="1:6" s="332" customFormat="1">
      <c r="A297" s="348" t="str">
        <f t="shared" si="6"/>
        <v/>
      </c>
      <c r="E297" s="350" t="str">
        <f>IF(B297="","",IF(ISNA(--VLOOKUP(A297,四面弹import!A:D,4,FALSE)),0,--VLOOKUP(A297,四面弹import!A:D,4,FALSE)))</f>
        <v/>
      </c>
      <c r="F297" s="351" t="str">
        <f>IF(B297="","",IF(ISNA(--VLOOKUP(A297,四面弹import!A:E,5,FALSE)),0,--VLOOKUP(A297,四面弹import!A:E,5,FALSE)))</f>
        <v/>
      </c>
    </row>
    <row r="298" spans="1:6" s="332" customFormat="1">
      <c r="A298" s="348" t="str">
        <f t="shared" si="6"/>
        <v/>
      </c>
      <c r="E298" s="350" t="str">
        <f>IF(B298="","",IF(ISNA(--VLOOKUP(A298,四面弹import!A:D,4,FALSE)),0,--VLOOKUP(A298,四面弹import!A:D,4,FALSE)))</f>
        <v/>
      </c>
      <c r="F298" s="351" t="str">
        <f>IF(B298="","",IF(ISNA(--VLOOKUP(A298,四面弹import!A:E,5,FALSE)),0,--VLOOKUP(A298,四面弹import!A:E,5,FALSE)))</f>
        <v/>
      </c>
    </row>
    <row r="299" spans="1:6" s="332" customFormat="1">
      <c r="A299" s="348" t="str">
        <f t="shared" si="6"/>
        <v/>
      </c>
      <c r="E299" s="350" t="str">
        <f>IF(B299="","",IF(ISNA(--VLOOKUP(A299,四面弹import!A:D,4,FALSE)),0,--VLOOKUP(A299,四面弹import!A:D,4,FALSE)))</f>
        <v/>
      </c>
      <c r="F299" s="351" t="str">
        <f>IF(B299="","",IF(ISNA(--VLOOKUP(A299,四面弹import!A:E,5,FALSE)),0,--VLOOKUP(A299,四面弹import!A:E,5,FALSE)))</f>
        <v/>
      </c>
    </row>
    <row r="300" spans="1:6" s="332" customFormat="1">
      <c r="A300" s="348" t="str">
        <f t="shared" si="6"/>
        <v/>
      </c>
      <c r="E300" s="350" t="str">
        <f>IF(B300="","",IF(ISNA(--VLOOKUP(A300,四面弹import!A:D,4,FALSE)),0,--VLOOKUP(A300,四面弹import!A:D,4,FALSE)))</f>
        <v/>
      </c>
      <c r="F300" s="351" t="str">
        <f>IF(B300="","",IF(ISNA(--VLOOKUP(A300,四面弹import!A:E,5,FALSE)),0,--VLOOKUP(A300,四面弹import!A:E,5,FALSE)))</f>
        <v/>
      </c>
    </row>
    <row r="301" spans="1:6" s="332" customFormat="1">
      <c r="A301" s="348" t="str">
        <f t="shared" si="6"/>
        <v/>
      </c>
      <c r="E301" s="350" t="str">
        <f>IF(B301="","",IF(ISNA(--VLOOKUP(A301,四面弹import!A:D,4,FALSE)),0,--VLOOKUP(A301,四面弹import!A:D,4,FALSE)))</f>
        <v/>
      </c>
      <c r="F301" s="351" t="str">
        <f>IF(B301="","",IF(ISNA(--VLOOKUP(A301,四面弹import!A:E,5,FALSE)),0,--VLOOKUP(A301,四面弹import!A:E,5,FALSE)))</f>
        <v/>
      </c>
    </row>
    <row r="302" spans="1:6" s="332" customFormat="1">
      <c r="A302" s="348" t="str">
        <f t="shared" si="6"/>
        <v/>
      </c>
      <c r="E302" s="350" t="str">
        <f>IF(B302="","",IF(ISNA(--VLOOKUP(A302,四面弹import!A:D,4,FALSE)),0,--VLOOKUP(A302,四面弹import!A:D,4,FALSE)))</f>
        <v/>
      </c>
      <c r="F302" s="351" t="str">
        <f>IF(B302="","",IF(ISNA(--VLOOKUP(A302,四面弹import!A:E,5,FALSE)),0,--VLOOKUP(A302,四面弹import!A:E,5,FALSE)))</f>
        <v/>
      </c>
    </row>
    <row r="303" spans="1:6" s="332" customFormat="1">
      <c r="A303" s="348" t="str">
        <f t="shared" si="6"/>
        <v/>
      </c>
      <c r="E303" s="350" t="str">
        <f>IF(B303="","",IF(ISNA(--VLOOKUP(A303,四面弹import!A:D,4,FALSE)),0,--VLOOKUP(A303,四面弹import!A:D,4,FALSE)))</f>
        <v/>
      </c>
      <c r="F303" s="351" t="str">
        <f>IF(B303="","",IF(ISNA(--VLOOKUP(A303,四面弹import!A:E,5,FALSE)),0,--VLOOKUP(A303,四面弹import!A:E,5,FALSE)))</f>
        <v/>
      </c>
    </row>
    <row r="304" spans="1:6" s="332" customFormat="1">
      <c r="A304" s="348" t="str">
        <f t="shared" si="6"/>
        <v/>
      </c>
      <c r="E304" s="350" t="str">
        <f>IF(B304="","",IF(ISNA(--VLOOKUP(A304,四面弹import!A:D,4,FALSE)),0,--VLOOKUP(A304,四面弹import!A:D,4,FALSE)))</f>
        <v/>
      </c>
      <c r="F304" s="351" t="str">
        <f>IF(B304="","",IF(ISNA(--VLOOKUP(A304,四面弹import!A:E,5,FALSE)),0,--VLOOKUP(A304,四面弹import!A:E,5,FALSE)))</f>
        <v/>
      </c>
    </row>
    <row r="305" spans="1:6" s="332" customFormat="1">
      <c r="A305" s="348" t="str">
        <f t="shared" si="6"/>
        <v/>
      </c>
      <c r="E305" s="350" t="str">
        <f>IF(B305="","",IF(ISNA(--VLOOKUP(A305,四面弹import!A:D,4,FALSE)),0,--VLOOKUP(A305,四面弹import!A:D,4,FALSE)))</f>
        <v/>
      </c>
      <c r="F305" s="351" t="str">
        <f>IF(B305="","",IF(ISNA(--VLOOKUP(A305,四面弹import!A:E,5,FALSE)),0,--VLOOKUP(A305,四面弹import!A:E,5,FALSE)))</f>
        <v/>
      </c>
    </row>
    <row r="306" spans="1:6" s="332" customFormat="1">
      <c r="A306" s="348" t="str">
        <f t="shared" si="6"/>
        <v/>
      </c>
      <c r="E306" s="350" t="str">
        <f>IF(B306="","",IF(ISNA(--VLOOKUP(A306,四面弹import!A:D,4,FALSE)),0,--VLOOKUP(A306,四面弹import!A:D,4,FALSE)))</f>
        <v/>
      </c>
      <c r="F306" s="351" t="str">
        <f>IF(B306="","",IF(ISNA(--VLOOKUP(A306,四面弹import!A:E,5,FALSE)),0,--VLOOKUP(A306,四面弹import!A:E,5,FALSE)))</f>
        <v/>
      </c>
    </row>
    <row r="307" spans="1:6" s="332" customFormat="1">
      <c r="A307" s="348" t="str">
        <f t="shared" si="6"/>
        <v/>
      </c>
      <c r="E307" s="350" t="str">
        <f>IF(B307="","",IF(ISNA(--VLOOKUP(A307,四面弹import!A:D,4,FALSE)),0,--VLOOKUP(A307,四面弹import!A:D,4,FALSE)))</f>
        <v/>
      </c>
      <c r="F307" s="351" t="str">
        <f>IF(B307="","",IF(ISNA(--VLOOKUP(A307,四面弹import!A:E,5,FALSE)),0,--VLOOKUP(A307,四面弹import!A:E,5,FALSE)))</f>
        <v/>
      </c>
    </row>
    <row r="308" spans="1:6" s="332" customFormat="1">
      <c r="A308" s="348" t="str">
        <f t="shared" si="6"/>
        <v/>
      </c>
      <c r="E308" s="350" t="str">
        <f>IF(B308="","",IF(ISNA(--VLOOKUP(A308,四面弹import!A:D,4,FALSE)),0,--VLOOKUP(A308,四面弹import!A:D,4,FALSE)))</f>
        <v/>
      </c>
      <c r="F308" s="351" t="str">
        <f>IF(B308="","",IF(ISNA(--VLOOKUP(A308,四面弹import!A:E,5,FALSE)),0,--VLOOKUP(A308,四面弹import!A:E,5,FALSE)))</f>
        <v/>
      </c>
    </row>
    <row r="309" spans="1:6" s="332" customFormat="1">
      <c r="A309" s="348" t="str">
        <f t="shared" si="6"/>
        <v/>
      </c>
      <c r="E309" s="350" t="str">
        <f>IF(B309="","",IF(ISNA(--VLOOKUP(A309,四面弹import!A:D,4,FALSE)),0,--VLOOKUP(A309,四面弹import!A:D,4,FALSE)))</f>
        <v/>
      </c>
      <c r="F309" s="351" t="str">
        <f>IF(B309="","",IF(ISNA(--VLOOKUP(A309,四面弹import!A:E,5,FALSE)),0,--VLOOKUP(A309,四面弹import!A:E,5,FALSE)))</f>
        <v/>
      </c>
    </row>
    <row r="310" spans="1:6" s="332" customFormat="1">
      <c r="A310" s="348" t="str">
        <f t="shared" si="6"/>
        <v/>
      </c>
      <c r="E310" s="350" t="str">
        <f>IF(B310="","",IF(ISNA(--VLOOKUP(A310,四面弹import!A:D,4,FALSE)),0,--VLOOKUP(A310,四面弹import!A:D,4,FALSE)))</f>
        <v/>
      </c>
      <c r="F310" s="351" t="str">
        <f>IF(B310="","",IF(ISNA(--VLOOKUP(A310,四面弹import!A:E,5,FALSE)),0,--VLOOKUP(A310,四面弹import!A:E,5,FALSE)))</f>
        <v/>
      </c>
    </row>
    <row r="311" spans="1:6" s="332" customFormat="1">
      <c r="A311" s="348" t="str">
        <f t="shared" si="6"/>
        <v/>
      </c>
      <c r="E311" s="350" t="str">
        <f>IF(B311="","",IF(ISNA(--VLOOKUP(A311,四面弹import!A:D,4,FALSE)),0,--VLOOKUP(A311,四面弹import!A:D,4,FALSE)))</f>
        <v/>
      </c>
      <c r="F311" s="351" t="str">
        <f>IF(B311="","",IF(ISNA(--VLOOKUP(A311,四面弹import!A:E,5,FALSE)),0,--VLOOKUP(A311,四面弹import!A:E,5,FALSE)))</f>
        <v/>
      </c>
    </row>
    <row r="312" spans="1:6" s="332" customFormat="1">
      <c r="A312" s="348" t="str">
        <f t="shared" si="6"/>
        <v/>
      </c>
      <c r="E312" s="350" t="str">
        <f>IF(B312="","",IF(ISNA(--VLOOKUP(A312,四面弹import!A:D,4,FALSE)),0,--VLOOKUP(A312,四面弹import!A:D,4,FALSE)))</f>
        <v/>
      </c>
      <c r="F312" s="351" t="str">
        <f>IF(B312="","",IF(ISNA(--VLOOKUP(A312,四面弹import!A:E,5,FALSE)),0,--VLOOKUP(A312,四面弹import!A:E,5,FALSE)))</f>
        <v/>
      </c>
    </row>
    <row r="313" spans="1:6" s="332" customFormat="1">
      <c r="A313" s="348" t="str">
        <f t="shared" si="6"/>
        <v/>
      </c>
      <c r="E313" s="350" t="str">
        <f>IF(B313="","",IF(ISNA(--VLOOKUP(A313,四面弹import!A:D,4,FALSE)),0,--VLOOKUP(A313,四面弹import!A:D,4,FALSE)))</f>
        <v/>
      </c>
      <c r="F313" s="351" t="str">
        <f>IF(B313="","",IF(ISNA(--VLOOKUP(A313,四面弹import!A:E,5,FALSE)),0,--VLOOKUP(A313,四面弹import!A:E,5,FALSE)))</f>
        <v/>
      </c>
    </row>
    <row r="314" spans="1:6" s="332" customFormat="1">
      <c r="A314" s="348" t="str">
        <f t="shared" si="6"/>
        <v/>
      </c>
      <c r="E314" s="350" t="str">
        <f>IF(B314="","",IF(ISNA(--VLOOKUP(A314,四面弹import!A:D,4,FALSE)),0,--VLOOKUP(A314,四面弹import!A:D,4,FALSE)))</f>
        <v/>
      </c>
      <c r="F314" s="351" t="str">
        <f>IF(B314="","",IF(ISNA(--VLOOKUP(A314,四面弹import!A:E,5,FALSE)),0,--VLOOKUP(A314,四面弹import!A:E,5,FALSE)))</f>
        <v/>
      </c>
    </row>
    <row r="315" spans="1:6" s="332" customFormat="1">
      <c r="A315" s="348" t="str">
        <f t="shared" si="6"/>
        <v/>
      </c>
      <c r="E315" s="350" t="str">
        <f>IF(B315="","",IF(ISNA(--VLOOKUP(A315,四面弹import!A:D,4,FALSE)),0,--VLOOKUP(A315,四面弹import!A:D,4,FALSE)))</f>
        <v/>
      </c>
      <c r="F315" s="351" t="str">
        <f>IF(B315="","",IF(ISNA(--VLOOKUP(A315,四面弹import!A:E,5,FALSE)),0,--VLOOKUP(A315,四面弹import!A:E,5,FALSE)))</f>
        <v/>
      </c>
    </row>
    <row r="316" spans="1:6" s="332" customFormat="1">
      <c r="A316" s="348" t="str">
        <f t="shared" si="6"/>
        <v/>
      </c>
      <c r="E316" s="350" t="str">
        <f>IF(B316="","",IF(ISNA(--VLOOKUP(A316,四面弹import!A:D,4,FALSE)),0,--VLOOKUP(A316,四面弹import!A:D,4,FALSE)))</f>
        <v/>
      </c>
      <c r="F316" s="351" t="str">
        <f>IF(B316="","",IF(ISNA(--VLOOKUP(A316,四面弹import!A:E,5,FALSE)),0,--VLOOKUP(A316,四面弹import!A:E,5,FALSE)))</f>
        <v/>
      </c>
    </row>
    <row r="317" spans="1:6" s="332" customFormat="1">
      <c r="A317" s="348" t="str">
        <f t="shared" si="6"/>
        <v/>
      </c>
      <c r="E317" s="350" t="str">
        <f>IF(B317="","",IF(ISNA(--VLOOKUP(A317,四面弹import!A:D,4,FALSE)),0,--VLOOKUP(A317,四面弹import!A:D,4,FALSE)))</f>
        <v/>
      </c>
      <c r="F317" s="351" t="str">
        <f>IF(B317="","",IF(ISNA(--VLOOKUP(A317,四面弹import!A:E,5,FALSE)),0,--VLOOKUP(A317,四面弹import!A:E,5,FALSE)))</f>
        <v/>
      </c>
    </row>
    <row r="318" spans="1:6" s="332" customFormat="1">
      <c r="A318" s="348" t="str">
        <f t="shared" si="6"/>
        <v/>
      </c>
      <c r="E318" s="350" t="str">
        <f>IF(B318="","",IF(ISNA(--VLOOKUP(A318,四面弹import!A:D,4,FALSE)),0,--VLOOKUP(A318,四面弹import!A:D,4,FALSE)))</f>
        <v/>
      </c>
      <c r="F318" s="351" t="str">
        <f>IF(B318="","",IF(ISNA(--VLOOKUP(A318,四面弹import!A:E,5,FALSE)),0,--VLOOKUP(A318,四面弹import!A:E,5,FALSE)))</f>
        <v/>
      </c>
    </row>
    <row r="319" spans="1:6" s="332" customFormat="1">
      <c r="A319" s="348" t="str">
        <f t="shared" si="6"/>
        <v/>
      </c>
      <c r="E319" s="350" t="str">
        <f>IF(B319="","",IF(ISNA(--VLOOKUP(A319,四面弹import!A:D,4,FALSE)),0,--VLOOKUP(A319,四面弹import!A:D,4,FALSE)))</f>
        <v/>
      </c>
      <c r="F319" s="351" t="str">
        <f>IF(B319="","",IF(ISNA(--VLOOKUP(A319,四面弹import!A:E,5,FALSE)),0,--VLOOKUP(A319,四面弹import!A:E,5,FALSE)))</f>
        <v/>
      </c>
    </row>
    <row r="320" spans="1:6" s="332" customFormat="1">
      <c r="A320" s="348" t="str">
        <f t="shared" si="6"/>
        <v/>
      </c>
      <c r="E320" s="350" t="str">
        <f>IF(B320="","",IF(ISNA(--VLOOKUP(A320,四面弹import!A:D,4,FALSE)),0,--VLOOKUP(A320,四面弹import!A:D,4,FALSE)))</f>
        <v/>
      </c>
      <c r="F320" s="351" t="str">
        <f>IF(B320="","",IF(ISNA(--VLOOKUP(A320,四面弹import!A:E,5,FALSE)),0,--VLOOKUP(A320,四面弹import!A:E,5,FALSE)))</f>
        <v/>
      </c>
    </row>
    <row r="321" spans="1:6" s="332" customFormat="1">
      <c r="A321" s="348" t="str">
        <f t="shared" si="6"/>
        <v/>
      </c>
      <c r="E321" s="350" t="str">
        <f>IF(B321="","",IF(ISNA(--VLOOKUP(A321,四面弹import!A:D,4,FALSE)),0,--VLOOKUP(A321,四面弹import!A:D,4,FALSE)))</f>
        <v/>
      </c>
      <c r="F321" s="351" t="str">
        <f>IF(B321="","",IF(ISNA(--VLOOKUP(A321,四面弹import!A:E,5,FALSE)),0,--VLOOKUP(A321,四面弹import!A:E,5,FALSE)))</f>
        <v/>
      </c>
    </row>
    <row r="322" spans="1:6" s="332" customFormat="1">
      <c r="A322" s="348" t="str">
        <f t="shared" si="6"/>
        <v/>
      </c>
      <c r="E322" s="350" t="str">
        <f>IF(B322="","",IF(ISNA(--VLOOKUP(A322,四面弹import!A:D,4,FALSE)),0,--VLOOKUP(A322,四面弹import!A:D,4,FALSE)))</f>
        <v/>
      </c>
      <c r="F322" s="351" t="str">
        <f>IF(B322="","",IF(ISNA(--VLOOKUP(A322,四面弹import!A:E,5,FALSE)),0,--VLOOKUP(A322,四面弹import!A:E,5,FALSE)))</f>
        <v/>
      </c>
    </row>
    <row r="323" spans="1:6" s="332" customFormat="1">
      <c r="A323" s="348" t="str">
        <f t="shared" si="6"/>
        <v/>
      </c>
      <c r="E323" s="350" t="str">
        <f>IF(B323="","",IF(ISNA(--VLOOKUP(A323,四面弹import!A:D,4,FALSE)),0,--VLOOKUP(A323,四面弹import!A:D,4,FALSE)))</f>
        <v/>
      </c>
      <c r="F323" s="351" t="str">
        <f>IF(B323="","",IF(ISNA(--VLOOKUP(A323,四面弹import!A:E,5,FALSE)),0,--VLOOKUP(A323,四面弹import!A:E,5,FALSE)))</f>
        <v/>
      </c>
    </row>
    <row r="324" spans="1:6" s="332" customFormat="1">
      <c r="A324" s="348" t="str">
        <f t="shared" si="6"/>
        <v/>
      </c>
      <c r="E324" s="350" t="str">
        <f>IF(B324="","",IF(ISNA(--VLOOKUP(A324,四面弹import!A:D,4,FALSE)),0,--VLOOKUP(A324,四面弹import!A:D,4,FALSE)))</f>
        <v/>
      </c>
      <c r="F324" s="351" t="str">
        <f>IF(B324="","",IF(ISNA(--VLOOKUP(A324,四面弹import!A:E,5,FALSE)),0,--VLOOKUP(A324,四面弹import!A:E,5,FALSE)))</f>
        <v/>
      </c>
    </row>
    <row r="325" spans="1:6" s="332" customFormat="1">
      <c r="A325" s="348" t="str">
        <f t="shared" si="6"/>
        <v/>
      </c>
      <c r="E325" s="350" t="str">
        <f>IF(B325="","",IF(ISNA(--VLOOKUP(A325,四面弹import!A:D,4,FALSE)),0,--VLOOKUP(A325,四面弹import!A:D,4,FALSE)))</f>
        <v/>
      </c>
      <c r="F325" s="351" t="str">
        <f>IF(B325="","",IF(ISNA(--VLOOKUP(A325,四面弹import!A:E,5,FALSE)),0,--VLOOKUP(A325,四面弹import!A:E,5,FALSE)))</f>
        <v/>
      </c>
    </row>
    <row r="326" spans="1:6" s="332" customFormat="1">
      <c r="A326" s="348" t="str">
        <f t="shared" si="6"/>
        <v/>
      </c>
      <c r="E326" s="350" t="str">
        <f>IF(B326="","",IF(ISNA(--VLOOKUP(A326,四面弹import!A:D,4,FALSE)),0,--VLOOKUP(A326,四面弹import!A:D,4,FALSE)))</f>
        <v/>
      </c>
      <c r="F326" s="351" t="str">
        <f>IF(B326="","",IF(ISNA(--VLOOKUP(A326,四面弹import!A:E,5,FALSE)),0,--VLOOKUP(A326,四面弹import!A:E,5,FALSE)))</f>
        <v/>
      </c>
    </row>
    <row r="327" spans="1:6" s="332" customFormat="1">
      <c r="A327" s="348" t="str">
        <f t="shared" si="6"/>
        <v/>
      </c>
      <c r="E327" s="350" t="str">
        <f>IF(B327="","",IF(ISNA(--VLOOKUP(A327,四面弹import!A:D,4,FALSE)),0,--VLOOKUP(A327,四面弹import!A:D,4,FALSE)))</f>
        <v/>
      </c>
      <c r="F327" s="351" t="str">
        <f>IF(B327="","",IF(ISNA(--VLOOKUP(A327,四面弹import!A:E,5,FALSE)),0,--VLOOKUP(A327,四面弹import!A:E,5,FALSE)))</f>
        <v/>
      </c>
    </row>
    <row r="328" spans="1:6" s="332" customFormat="1">
      <c r="A328" s="348" t="str">
        <f t="shared" si="6"/>
        <v/>
      </c>
      <c r="E328" s="350" t="str">
        <f>IF(B328="","",IF(ISNA(--VLOOKUP(A328,四面弹import!A:D,4,FALSE)),0,--VLOOKUP(A328,四面弹import!A:D,4,FALSE)))</f>
        <v/>
      </c>
      <c r="F328" s="351" t="str">
        <f>IF(B328="","",IF(ISNA(--VLOOKUP(A328,四面弹import!A:E,5,FALSE)),0,--VLOOKUP(A328,四面弹import!A:E,5,FALSE)))</f>
        <v/>
      </c>
    </row>
    <row r="329" spans="1:6" s="332" customFormat="1">
      <c r="A329" s="348" t="str">
        <f t="shared" si="6"/>
        <v/>
      </c>
      <c r="E329" s="350" t="str">
        <f>IF(B329="","",IF(ISNA(--VLOOKUP(A329,四面弹import!A:D,4,FALSE)),0,--VLOOKUP(A329,四面弹import!A:D,4,FALSE)))</f>
        <v/>
      </c>
      <c r="F329" s="351" t="str">
        <f>IF(B329="","",IF(ISNA(--VLOOKUP(A329,四面弹import!A:E,5,FALSE)),0,--VLOOKUP(A329,四面弹import!A:E,5,FALSE)))</f>
        <v/>
      </c>
    </row>
    <row r="330" spans="1:6" s="332" customFormat="1">
      <c r="A330" s="348" t="str">
        <f t="shared" ref="A330:A393" si="7">SUBSTITUTE(H330," ","")&amp;I330&amp;K330&amp;M330&amp;O330&amp;Q330</f>
        <v/>
      </c>
      <c r="E330" s="350" t="str">
        <f>IF(B330="","",IF(ISNA(--VLOOKUP(A330,四面弹import!A:D,4,FALSE)),0,--VLOOKUP(A330,四面弹import!A:D,4,FALSE)))</f>
        <v/>
      </c>
      <c r="F330" s="351" t="str">
        <f>IF(B330="","",IF(ISNA(--VLOOKUP(A330,四面弹import!A:E,5,FALSE)),0,--VLOOKUP(A330,四面弹import!A:E,5,FALSE)))</f>
        <v/>
      </c>
    </row>
    <row r="331" spans="1:6" s="332" customFormat="1">
      <c r="A331" s="348" t="str">
        <f t="shared" si="7"/>
        <v/>
      </c>
      <c r="E331" s="350" t="str">
        <f>IF(B331="","",IF(ISNA(--VLOOKUP(A331,四面弹import!A:D,4,FALSE)),0,--VLOOKUP(A331,四面弹import!A:D,4,FALSE)))</f>
        <v/>
      </c>
      <c r="F331" s="351" t="str">
        <f>IF(B331="","",IF(ISNA(--VLOOKUP(A331,四面弹import!A:E,5,FALSE)),0,--VLOOKUP(A331,四面弹import!A:E,5,FALSE)))</f>
        <v/>
      </c>
    </row>
    <row r="332" spans="1:6" s="332" customFormat="1">
      <c r="A332" s="348" t="str">
        <f t="shared" si="7"/>
        <v/>
      </c>
      <c r="E332" s="350" t="str">
        <f>IF(B332="","",IF(ISNA(--VLOOKUP(A332,四面弹import!A:D,4,FALSE)),0,--VLOOKUP(A332,四面弹import!A:D,4,FALSE)))</f>
        <v/>
      </c>
      <c r="F332" s="351" t="str">
        <f>IF(B332="","",IF(ISNA(--VLOOKUP(A332,四面弹import!A:E,5,FALSE)),0,--VLOOKUP(A332,四面弹import!A:E,5,FALSE)))</f>
        <v/>
      </c>
    </row>
    <row r="333" spans="1:6" s="332" customFormat="1">
      <c r="A333" s="348" t="str">
        <f t="shared" si="7"/>
        <v/>
      </c>
      <c r="E333" s="350" t="str">
        <f>IF(B333="","",IF(ISNA(--VLOOKUP(A333,四面弹import!A:D,4,FALSE)),0,--VLOOKUP(A333,四面弹import!A:D,4,FALSE)))</f>
        <v/>
      </c>
      <c r="F333" s="351" t="str">
        <f>IF(B333="","",IF(ISNA(--VLOOKUP(A333,四面弹import!A:E,5,FALSE)),0,--VLOOKUP(A333,四面弹import!A:E,5,FALSE)))</f>
        <v/>
      </c>
    </row>
    <row r="334" spans="1:6" s="332" customFormat="1">
      <c r="A334" s="348" t="str">
        <f t="shared" si="7"/>
        <v/>
      </c>
      <c r="E334" s="350" t="str">
        <f>IF(B334="","",IF(ISNA(--VLOOKUP(A334,四面弹import!A:D,4,FALSE)),0,--VLOOKUP(A334,四面弹import!A:D,4,FALSE)))</f>
        <v/>
      </c>
      <c r="F334" s="351" t="str">
        <f>IF(B334="","",IF(ISNA(--VLOOKUP(A334,四面弹import!A:E,5,FALSE)),0,--VLOOKUP(A334,四面弹import!A:E,5,FALSE)))</f>
        <v/>
      </c>
    </row>
    <row r="335" spans="1:6" s="332" customFormat="1">
      <c r="A335" s="348" t="str">
        <f t="shared" si="7"/>
        <v/>
      </c>
      <c r="E335" s="350" t="str">
        <f>IF(B335="","",IF(ISNA(--VLOOKUP(A335,四面弹import!A:D,4,FALSE)),0,--VLOOKUP(A335,四面弹import!A:D,4,FALSE)))</f>
        <v/>
      </c>
      <c r="F335" s="351" t="str">
        <f>IF(B335="","",IF(ISNA(--VLOOKUP(A335,四面弹import!A:E,5,FALSE)),0,--VLOOKUP(A335,四面弹import!A:E,5,FALSE)))</f>
        <v/>
      </c>
    </row>
    <row r="336" spans="1:6" s="332" customFormat="1">
      <c r="A336" s="348" t="str">
        <f t="shared" si="7"/>
        <v/>
      </c>
      <c r="E336" s="350" t="str">
        <f>IF(B336="","",IF(ISNA(--VLOOKUP(A336,四面弹import!A:D,4,FALSE)),0,--VLOOKUP(A336,四面弹import!A:D,4,FALSE)))</f>
        <v/>
      </c>
      <c r="F336" s="351" t="str">
        <f>IF(B336="","",IF(ISNA(--VLOOKUP(A336,四面弹import!A:E,5,FALSE)),0,--VLOOKUP(A336,四面弹import!A:E,5,FALSE)))</f>
        <v/>
      </c>
    </row>
    <row r="337" spans="1:6" s="332" customFormat="1">
      <c r="A337" s="348" t="str">
        <f t="shared" si="7"/>
        <v/>
      </c>
      <c r="E337" s="350" t="str">
        <f>IF(B337="","",IF(ISNA(--VLOOKUP(A337,四面弹import!A:D,4,FALSE)),0,--VLOOKUP(A337,四面弹import!A:D,4,FALSE)))</f>
        <v/>
      </c>
      <c r="F337" s="351" t="str">
        <f>IF(B337="","",IF(ISNA(--VLOOKUP(A337,四面弹import!A:E,5,FALSE)),0,--VLOOKUP(A337,四面弹import!A:E,5,FALSE)))</f>
        <v/>
      </c>
    </row>
    <row r="338" spans="1:6" s="332" customFormat="1">
      <c r="A338" s="348" t="str">
        <f t="shared" si="7"/>
        <v/>
      </c>
      <c r="E338" s="350" t="str">
        <f>IF(B338="","",IF(ISNA(--VLOOKUP(A338,四面弹import!A:D,4,FALSE)),0,--VLOOKUP(A338,四面弹import!A:D,4,FALSE)))</f>
        <v/>
      </c>
      <c r="F338" s="351" t="str">
        <f>IF(B338="","",IF(ISNA(--VLOOKUP(A338,四面弹import!A:E,5,FALSE)),0,--VLOOKUP(A338,四面弹import!A:E,5,FALSE)))</f>
        <v/>
      </c>
    </row>
    <row r="339" spans="1:6" s="332" customFormat="1">
      <c r="A339" s="348" t="str">
        <f t="shared" si="7"/>
        <v/>
      </c>
      <c r="E339" s="350" t="str">
        <f>IF(B339="","",IF(ISNA(--VLOOKUP(A339,四面弹import!A:D,4,FALSE)),0,--VLOOKUP(A339,四面弹import!A:D,4,FALSE)))</f>
        <v/>
      </c>
      <c r="F339" s="351" t="str">
        <f>IF(B339="","",IF(ISNA(--VLOOKUP(A339,四面弹import!A:E,5,FALSE)),0,--VLOOKUP(A339,四面弹import!A:E,5,FALSE)))</f>
        <v/>
      </c>
    </row>
    <row r="340" spans="1:6" s="332" customFormat="1">
      <c r="A340" s="348" t="str">
        <f t="shared" si="7"/>
        <v/>
      </c>
      <c r="E340" s="350" t="str">
        <f>IF(B340="","",IF(ISNA(--VLOOKUP(A340,四面弹import!A:D,4,FALSE)),0,--VLOOKUP(A340,四面弹import!A:D,4,FALSE)))</f>
        <v/>
      </c>
      <c r="F340" s="351" t="str">
        <f>IF(B340="","",IF(ISNA(--VLOOKUP(A340,四面弹import!A:E,5,FALSE)),0,--VLOOKUP(A340,四面弹import!A:E,5,FALSE)))</f>
        <v/>
      </c>
    </row>
    <row r="341" spans="1:6" s="332" customFormat="1">
      <c r="A341" s="348" t="str">
        <f t="shared" si="7"/>
        <v/>
      </c>
      <c r="E341" s="350" t="str">
        <f>IF(B341="","",IF(ISNA(--VLOOKUP(A341,四面弹import!A:D,4,FALSE)),0,--VLOOKUP(A341,四面弹import!A:D,4,FALSE)))</f>
        <v/>
      </c>
      <c r="F341" s="351" t="str">
        <f>IF(B341="","",IF(ISNA(--VLOOKUP(A341,四面弹import!A:E,5,FALSE)),0,--VLOOKUP(A341,四面弹import!A:E,5,FALSE)))</f>
        <v/>
      </c>
    </row>
    <row r="342" spans="1:6" s="332" customFormat="1">
      <c r="A342" s="348" t="str">
        <f t="shared" si="7"/>
        <v/>
      </c>
      <c r="E342" s="350" t="str">
        <f>IF(B342="","",IF(ISNA(--VLOOKUP(A342,四面弹import!A:D,4,FALSE)),0,--VLOOKUP(A342,四面弹import!A:D,4,FALSE)))</f>
        <v/>
      </c>
      <c r="F342" s="351" t="str">
        <f>IF(B342="","",IF(ISNA(--VLOOKUP(A342,四面弹import!A:E,5,FALSE)),0,--VLOOKUP(A342,四面弹import!A:E,5,FALSE)))</f>
        <v/>
      </c>
    </row>
    <row r="343" spans="1:6" s="332" customFormat="1">
      <c r="A343" s="348" t="str">
        <f t="shared" si="7"/>
        <v/>
      </c>
      <c r="E343" s="350" t="str">
        <f>IF(B343="","",IF(ISNA(--VLOOKUP(A343,四面弹import!A:D,4,FALSE)),0,--VLOOKUP(A343,四面弹import!A:D,4,FALSE)))</f>
        <v/>
      </c>
      <c r="F343" s="351" t="str">
        <f>IF(B343="","",IF(ISNA(--VLOOKUP(A343,四面弹import!A:E,5,FALSE)),0,--VLOOKUP(A343,四面弹import!A:E,5,FALSE)))</f>
        <v/>
      </c>
    </row>
    <row r="344" spans="1:6" s="332" customFormat="1">
      <c r="A344" s="348" t="str">
        <f t="shared" si="7"/>
        <v/>
      </c>
      <c r="E344" s="350" t="str">
        <f>IF(B344="","",IF(ISNA(--VLOOKUP(A344,四面弹import!A:D,4,FALSE)),0,--VLOOKUP(A344,四面弹import!A:D,4,FALSE)))</f>
        <v/>
      </c>
      <c r="F344" s="351" t="str">
        <f>IF(B344="","",IF(ISNA(--VLOOKUP(A344,四面弹import!A:E,5,FALSE)),0,--VLOOKUP(A344,四面弹import!A:E,5,FALSE)))</f>
        <v/>
      </c>
    </row>
    <row r="345" spans="1:6" s="332" customFormat="1">
      <c r="A345" s="348" t="str">
        <f t="shared" si="7"/>
        <v/>
      </c>
      <c r="E345" s="350" t="str">
        <f>IF(B345="","",IF(ISNA(--VLOOKUP(A345,四面弹import!A:D,4,FALSE)),0,--VLOOKUP(A345,四面弹import!A:D,4,FALSE)))</f>
        <v/>
      </c>
      <c r="F345" s="351" t="str">
        <f>IF(B345="","",IF(ISNA(--VLOOKUP(A345,四面弹import!A:E,5,FALSE)),0,--VLOOKUP(A345,四面弹import!A:E,5,FALSE)))</f>
        <v/>
      </c>
    </row>
    <row r="346" spans="1:6" s="332" customFormat="1">
      <c r="A346" s="348" t="str">
        <f t="shared" si="7"/>
        <v/>
      </c>
      <c r="E346" s="350" t="str">
        <f>IF(B346="","",IF(ISNA(--VLOOKUP(A346,四面弹import!A:D,4,FALSE)),0,--VLOOKUP(A346,四面弹import!A:D,4,FALSE)))</f>
        <v/>
      </c>
      <c r="F346" s="351" t="str">
        <f>IF(B346="","",IF(ISNA(--VLOOKUP(A346,四面弹import!A:E,5,FALSE)),0,--VLOOKUP(A346,四面弹import!A:E,5,FALSE)))</f>
        <v/>
      </c>
    </row>
    <row r="347" spans="1:6" s="332" customFormat="1">
      <c r="A347" s="348" t="str">
        <f t="shared" si="7"/>
        <v/>
      </c>
      <c r="E347" s="350" t="str">
        <f>IF(B347="","",IF(ISNA(--VLOOKUP(A347,四面弹import!A:D,4,FALSE)),0,--VLOOKUP(A347,四面弹import!A:D,4,FALSE)))</f>
        <v/>
      </c>
      <c r="F347" s="351" t="str">
        <f>IF(B347="","",IF(ISNA(--VLOOKUP(A347,四面弹import!A:E,5,FALSE)),0,--VLOOKUP(A347,四面弹import!A:E,5,FALSE)))</f>
        <v/>
      </c>
    </row>
    <row r="348" spans="1:6" s="332" customFormat="1">
      <c r="A348" s="348" t="str">
        <f t="shared" si="7"/>
        <v/>
      </c>
      <c r="E348" s="350" t="str">
        <f>IF(B348="","",IF(ISNA(--VLOOKUP(A348,四面弹import!A:D,4,FALSE)),0,--VLOOKUP(A348,四面弹import!A:D,4,FALSE)))</f>
        <v/>
      </c>
      <c r="F348" s="351" t="str">
        <f>IF(B348="","",IF(ISNA(--VLOOKUP(A348,四面弹import!A:E,5,FALSE)),0,--VLOOKUP(A348,四面弹import!A:E,5,FALSE)))</f>
        <v/>
      </c>
    </row>
    <row r="349" spans="1:6" s="332" customFormat="1">
      <c r="A349" s="348" t="str">
        <f t="shared" si="7"/>
        <v/>
      </c>
      <c r="E349" s="350" t="str">
        <f>IF(B349="","",IF(ISNA(--VLOOKUP(A349,四面弹import!A:D,4,FALSE)),0,--VLOOKUP(A349,四面弹import!A:D,4,FALSE)))</f>
        <v/>
      </c>
      <c r="F349" s="351" t="str">
        <f>IF(B349="","",IF(ISNA(--VLOOKUP(A349,四面弹import!A:E,5,FALSE)),0,--VLOOKUP(A349,四面弹import!A:E,5,FALSE)))</f>
        <v/>
      </c>
    </row>
    <row r="350" spans="1:6" s="332" customFormat="1">
      <c r="A350" s="348" t="str">
        <f t="shared" si="7"/>
        <v/>
      </c>
      <c r="E350" s="350" t="str">
        <f>IF(B350="","",IF(ISNA(--VLOOKUP(A350,四面弹import!A:D,4,FALSE)),0,--VLOOKUP(A350,四面弹import!A:D,4,FALSE)))</f>
        <v/>
      </c>
      <c r="F350" s="351" t="str">
        <f>IF(B350="","",IF(ISNA(--VLOOKUP(A350,四面弹import!A:E,5,FALSE)),0,--VLOOKUP(A350,四面弹import!A:E,5,FALSE)))</f>
        <v/>
      </c>
    </row>
    <row r="351" spans="1:6" s="332" customFormat="1">
      <c r="A351" s="348" t="str">
        <f t="shared" si="7"/>
        <v/>
      </c>
      <c r="E351" s="350" t="str">
        <f>IF(B351="","",IF(ISNA(--VLOOKUP(A351,四面弹import!A:D,4,FALSE)),0,--VLOOKUP(A351,四面弹import!A:D,4,FALSE)))</f>
        <v/>
      </c>
      <c r="F351" s="351" t="str">
        <f>IF(B351="","",IF(ISNA(--VLOOKUP(A351,四面弹import!A:E,5,FALSE)),0,--VLOOKUP(A351,四面弹import!A:E,5,FALSE)))</f>
        <v/>
      </c>
    </row>
    <row r="352" spans="1:6" s="332" customFormat="1">
      <c r="A352" s="348" t="str">
        <f t="shared" si="7"/>
        <v/>
      </c>
      <c r="E352" s="350" t="str">
        <f>IF(B352="","",IF(ISNA(--VLOOKUP(A352,四面弹import!A:D,4,FALSE)),0,--VLOOKUP(A352,四面弹import!A:D,4,FALSE)))</f>
        <v/>
      </c>
      <c r="F352" s="351" t="str">
        <f>IF(B352="","",IF(ISNA(--VLOOKUP(A352,四面弹import!A:E,5,FALSE)),0,--VLOOKUP(A352,四面弹import!A:E,5,FALSE)))</f>
        <v/>
      </c>
    </row>
    <row r="353" spans="1:6" s="332" customFormat="1">
      <c r="A353" s="348" t="str">
        <f t="shared" si="7"/>
        <v/>
      </c>
      <c r="E353" s="350" t="str">
        <f>IF(B353="","",IF(ISNA(--VLOOKUP(A353,四面弹import!A:D,4,FALSE)),0,--VLOOKUP(A353,四面弹import!A:D,4,FALSE)))</f>
        <v/>
      </c>
      <c r="F353" s="351" t="str">
        <f>IF(B353="","",IF(ISNA(--VLOOKUP(A353,四面弹import!A:E,5,FALSE)),0,--VLOOKUP(A353,四面弹import!A:E,5,FALSE)))</f>
        <v/>
      </c>
    </row>
    <row r="354" spans="1:6" s="332" customFormat="1">
      <c r="A354" s="348" t="str">
        <f t="shared" si="7"/>
        <v/>
      </c>
      <c r="E354" s="350" t="str">
        <f>IF(B354="","",IF(ISNA(--VLOOKUP(A354,四面弹import!A:D,4,FALSE)),0,--VLOOKUP(A354,四面弹import!A:D,4,FALSE)))</f>
        <v/>
      </c>
      <c r="F354" s="351" t="str">
        <f>IF(B354="","",IF(ISNA(--VLOOKUP(A354,四面弹import!A:E,5,FALSE)),0,--VLOOKUP(A354,四面弹import!A:E,5,FALSE)))</f>
        <v/>
      </c>
    </row>
    <row r="355" spans="1:6" s="332" customFormat="1">
      <c r="A355" s="348" t="str">
        <f t="shared" si="7"/>
        <v/>
      </c>
      <c r="E355" s="350" t="str">
        <f>IF(B355="","",IF(ISNA(--VLOOKUP(A355,四面弹import!A:D,4,FALSE)),0,--VLOOKUP(A355,四面弹import!A:D,4,FALSE)))</f>
        <v/>
      </c>
      <c r="F355" s="351" t="str">
        <f>IF(B355="","",IF(ISNA(--VLOOKUP(A355,四面弹import!A:E,5,FALSE)),0,--VLOOKUP(A355,四面弹import!A:E,5,FALSE)))</f>
        <v/>
      </c>
    </row>
    <row r="356" spans="1:6" s="332" customFormat="1">
      <c r="A356" s="348" t="str">
        <f t="shared" si="7"/>
        <v/>
      </c>
      <c r="E356" s="350" t="str">
        <f>IF(B356="","",IF(ISNA(--VLOOKUP(A356,四面弹import!A:D,4,FALSE)),0,--VLOOKUP(A356,四面弹import!A:D,4,FALSE)))</f>
        <v/>
      </c>
      <c r="F356" s="351" t="str">
        <f>IF(B356="","",IF(ISNA(--VLOOKUP(A356,四面弹import!A:E,5,FALSE)),0,--VLOOKUP(A356,四面弹import!A:E,5,FALSE)))</f>
        <v/>
      </c>
    </row>
    <row r="357" spans="1:6" s="332" customFormat="1">
      <c r="A357" s="348" t="str">
        <f t="shared" si="7"/>
        <v/>
      </c>
      <c r="E357" s="350" t="str">
        <f>IF(B357="","",IF(ISNA(--VLOOKUP(A357,四面弹import!A:D,4,FALSE)),0,--VLOOKUP(A357,四面弹import!A:D,4,FALSE)))</f>
        <v/>
      </c>
      <c r="F357" s="351" t="str">
        <f>IF(B357="","",IF(ISNA(--VLOOKUP(A357,四面弹import!A:E,5,FALSE)),0,--VLOOKUP(A357,四面弹import!A:E,5,FALSE)))</f>
        <v/>
      </c>
    </row>
    <row r="358" spans="1:6" s="332" customFormat="1">
      <c r="A358" s="348" t="str">
        <f t="shared" si="7"/>
        <v/>
      </c>
      <c r="E358" s="350" t="str">
        <f>IF(B358="","",IF(ISNA(--VLOOKUP(A358,四面弹import!A:D,4,FALSE)),0,--VLOOKUP(A358,四面弹import!A:D,4,FALSE)))</f>
        <v/>
      </c>
      <c r="F358" s="351" t="str">
        <f>IF(B358="","",IF(ISNA(--VLOOKUP(A358,四面弹import!A:E,5,FALSE)),0,--VLOOKUP(A358,四面弹import!A:E,5,FALSE)))</f>
        <v/>
      </c>
    </row>
    <row r="359" spans="1:6" s="332" customFormat="1">
      <c r="A359" s="348" t="str">
        <f t="shared" si="7"/>
        <v/>
      </c>
      <c r="E359" s="350" t="str">
        <f>IF(B359="","",IF(ISNA(--VLOOKUP(A359,四面弹import!A:D,4,FALSE)),0,--VLOOKUP(A359,四面弹import!A:D,4,FALSE)))</f>
        <v/>
      </c>
      <c r="F359" s="351" t="str">
        <f>IF(B359="","",IF(ISNA(--VLOOKUP(A359,四面弹import!A:E,5,FALSE)),0,--VLOOKUP(A359,四面弹import!A:E,5,FALSE)))</f>
        <v/>
      </c>
    </row>
    <row r="360" spans="1:6" s="332" customFormat="1">
      <c r="A360" s="348" t="str">
        <f t="shared" si="7"/>
        <v/>
      </c>
      <c r="E360" s="350" t="str">
        <f>IF(B360="","",IF(ISNA(--VLOOKUP(A360,四面弹import!A:D,4,FALSE)),0,--VLOOKUP(A360,四面弹import!A:D,4,FALSE)))</f>
        <v/>
      </c>
      <c r="F360" s="351" t="str">
        <f>IF(B360="","",IF(ISNA(--VLOOKUP(A360,四面弹import!A:E,5,FALSE)),0,--VLOOKUP(A360,四面弹import!A:E,5,FALSE)))</f>
        <v/>
      </c>
    </row>
    <row r="361" spans="1:6" s="332" customFormat="1">
      <c r="A361" s="348" t="str">
        <f t="shared" si="7"/>
        <v/>
      </c>
      <c r="E361" s="350" t="str">
        <f>IF(B361="","",IF(ISNA(--VLOOKUP(A361,四面弹import!A:D,4,FALSE)),0,--VLOOKUP(A361,四面弹import!A:D,4,FALSE)))</f>
        <v/>
      </c>
      <c r="F361" s="351" t="str">
        <f>IF(B361="","",IF(ISNA(--VLOOKUP(A361,四面弹import!A:E,5,FALSE)),0,--VLOOKUP(A361,四面弹import!A:E,5,FALSE)))</f>
        <v/>
      </c>
    </row>
    <row r="362" spans="1:6" s="332" customFormat="1">
      <c r="A362" s="348" t="str">
        <f t="shared" si="7"/>
        <v/>
      </c>
      <c r="E362" s="350" t="str">
        <f>IF(B362="","",IF(ISNA(--VLOOKUP(A362,四面弹import!A:D,4,FALSE)),0,--VLOOKUP(A362,四面弹import!A:D,4,FALSE)))</f>
        <v/>
      </c>
      <c r="F362" s="351" t="str">
        <f>IF(B362="","",IF(ISNA(--VLOOKUP(A362,四面弹import!A:E,5,FALSE)),0,--VLOOKUP(A362,四面弹import!A:E,5,FALSE)))</f>
        <v/>
      </c>
    </row>
    <row r="363" spans="1:6" s="332" customFormat="1">
      <c r="A363" s="348" t="str">
        <f t="shared" si="7"/>
        <v/>
      </c>
      <c r="E363" s="350" t="str">
        <f>IF(B363="","",IF(ISNA(--VLOOKUP(A363,四面弹import!A:D,4,FALSE)),0,--VLOOKUP(A363,四面弹import!A:D,4,FALSE)))</f>
        <v/>
      </c>
      <c r="F363" s="351" t="str">
        <f>IF(B363="","",IF(ISNA(--VLOOKUP(A363,四面弹import!A:E,5,FALSE)),0,--VLOOKUP(A363,四面弹import!A:E,5,FALSE)))</f>
        <v/>
      </c>
    </row>
    <row r="364" spans="1:6" s="332" customFormat="1">
      <c r="A364" s="348" t="str">
        <f t="shared" si="7"/>
        <v/>
      </c>
      <c r="E364" s="350" t="str">
        <f>IF(B364="","",IF(ISNA(--VLOOKUP(A364,四面弹import!A:D,4,FALSE)),0,--VLOOKUP(A364,四面弹import!A:D,4,FALSE)))</f>
        <v/>
      </c>
      <c r="F364" s="351" t="str">
        <f>IF(B364="","",IF(ISNA(--VLOOKUP(A364,四面弹import!A:E,5,FALSE)),0,--VLOOKUP(A364,四面弹import!A:E,5,FALSE)))</f>
        <v/>
      </c>
    </row>
    <row r="365" spans="1:6" s="332" customFormat="1">
      <c r="A365" s="348" t="str">
        <f t="shared" si="7"/>
        <v/>
      </c>
      <c r="E365" s="350" t="str">
        <f>IF(B365="","",IF(ISNA(--VLOOKUP(A365,四面弹import!A:D,4,FALSE)),0,--VLOOKUP(A365,四面弹import!A:D,4,FALSE)))</f>
        <v/>
      </c>
      <c r="F365" s="351" t="str">
        <f>IF(B365="","",IF(ISNA(--VLOOKUP(A365,四面弹import!A:E,5,FALSE)),0,--VLOOKUP(A365,四面弹import!A:E,5,FALSE)))</f>
        <v/>
      </c>
    </row>
    <row r="366" spans="1:6" s="332" customFormat="1">
      <c r="A366" s="348" t="str">
        <f t="shared" si="7"/>
        <v/>
      </c>
      <c r="E366" s="350" t="str">
        <f>IF(B366="","",IF(ISNA(--VLOOKUP(A366,四面弹import!A:D,4,FALSE)),0,--VLOOKUP(A366,四面弹import!A:D,4,FALSE)))</f>
        <v/>
      </c>
      <c r="F366" s="351" t="str">
        <f>IF(B366="","",IF(ISNA(--VLOOKUP(A366,四面弹import!A:E,5,FALSE)),0,--VLOOKUP(A366,四面弹import!A:E,5,FALSE)))</f>
        <v/>
      </c>
    </row>
    <row r="367" spans="1:6" s="332" customFormat="1">
      <c r="A367" s="348" t="str">
        <f t="shared" si="7"/>
        <v/>
      </c>
      <c r="E367" s="350" t="str">
        <f>IF(B367="","",IF(ISNA(--VLOOKUP(A367,四面弹import!A:D,4,FALSE)),0,--VLOOKUP(A367,四面弹import!A:D,4,FALSE)))</f>
        <v/>
      </c>
      <c r="F367" s="351" t="str">
        <f>IF(B367="","",IF(ISNA(--VLOOKUP(A367,四面弹import!A:E,5,FALSE)),0,--VLOOKUP(A367,四面弹import!A:E,5,FALSE)))</f>
        <v/>
      </c>
    </row>
    <row r="368" spans="1:6" s="332" customFormat="1">
      <c r="A368" s="348" t="str">
        <f t="shared" si="7"/>
        <v/>
      </c>
      <c r="E368" s="350" t="str">
        <f>IF(B368="","",IF(ISNA(--VLOOKUP(A368,四面弹import!A:D,4,FALSE)),0,--VLOOKUP(A368,四面弹import!A:D,4,FALSE)))</f>
        <v/>
      </c>
      <c r="F368" s="351" t="str">
        <f>IF(B368="","",IF(ISNA(--VLOOKUP(A368,四面弹import!A:E,5,FALSE)),0,--VLOOKUP(A368,四面弹import!A:E,5,FALSE)))</f>
        <v/>
      </c>
    </row>
    <row r="369" spans="1:6" s="332" customFormat="1">
      <c r="A369" s="348" t="str">
        <f t="shared" si="7"/>
        <v/>
      </c>
      <c r="E369" s="350" t="str">
        <f>IF(B369="","",IF(ISNA(--VLOOKUP(A369,四面弹import!A:D,4,FALSE)),0,--VLOOKUP(A369,四面弹import!A:D,4,FALSE)))</f>
        <v/>
      </c>
      <c r="F369" s="351" t="str">
        <f>IF(B369="","",IF(ISNA(--VLOOKUP(A369,四面弹import!A:E,5,FALSE)),0,--VLOOKUP(A369,四面弹import!A:E,5,FALSE)))</f>
        <v/>
      </c>
    </row>
    <row r="370" spans="1:6" s="332" customFormat="1">
      <c r="A370" s="348" t="str">
        <f t="shared" si="7"/>
        <v/>
      </c>
      <c r="E370" s="350" t="str">
        <f>IF(B370="","",IF(ISNA(--VLOOKUP(A370,四面弹import!A:D,4,FALSE)),0,--VLOOKUP(A370,四面弹import!A:D,4,FALSE)))</f>
        <v/>
      </c>
      <c r="F370" s="351" t="str">
        <f>IF(B370="","",IF(ISNA(--VLOOKUP(A370,四面弹import!A:E,5,FALSE)),0,--VLOOKUP(A370,四面弹import!A:E,5,FALSE)))</f>
        <v/>
      </c>
    </row>
    <row r="371" spans="1:6" s="332" customFormat="1">
      <c r="A371" s="348" t="str">
        <f t="shared" si="7"/>
        <v/>
      </c>
      <c r="E371" s="350" t="str">
        <f>IF(B371="","",IF(ISNA(--VLOOKUP(A371,四面弹import!A:D,4,FALSE)),0,--VLOOKUP(A371,四面弹import!A:D,4,FALSE)))</f>
        <v/>
      </c>
      <c r="F371" s="351" t="str">
        <f>IF(B371="","",IF(ISNA(--VLOOKUP(A371,四面弹import!A:E,5,FALSE)),0,--VLOOKUP(A371,四面弹import!A:E,5,FALSE)))</f>
        <v/>
      </c>
    </row>
    <row r="372" spans="1:6" s="332" customFormat="1">
      <c r="A372" s="348" t="str">
        <f t="shared" si="7"/>
        <v/>
      </c>
      <c r="E372" s="350" t="str">
        <f>IF(B372="","",IF(ISNA(--VLOOKUP(A372,四面弹import!A:D,4,FALSE)),0,--VLOOKUP(A372,四面弹import!A:D,4,FALSE)))</f>
        <v/>
      </c>
      <c r="F372" s="351" t="str">
        <f>IF(B372="","",IF(ISNA(--VLOOKUP(A372,四面弹import!A:E,5,FALSE)),0,--VLOOKUP(A372,四面弹import!A:E,5,FALSE)))</f>
        <v/>
      </c>
    </row>
    <row r="373" spans="1:6" s="332" customFormat="1">
      <c r="A373" s="348" t="str">
        <f t="shared" si="7"/>
        <v/>
      </c>
      <c r="E373" s="350" t="str">
        <f>IF(B373="","",IF(ISNA(--VLOOKUP(A373,四面弹import!A:D,4,FALSE)),0,--VLOOKUP(A373,四面弹import!A:D,4,FALSE)))</f>
        <v/>
      </c>
      <c r="F373" s="351" t="str">
        <f>IF(B373="","",IF(ISNA(--VLOOKUP(A373,四面弹import!A:E,5,FALSE)),0,--VLOOKUP(A373,四面弹import!A:E,5,FALSE)))</f>
        <v/>
      </c>
    </row>
    <row r="374" spans="1:6" s="332" customFormat="1">
      <c r="A374" s="348" t="str">
        <f t="shared" si="7"/>
        <v/>
      </c>
      <c r="E374" s="350" t="str">
        <f>IF(B374="","",IF(ISNA(--VLOOKUP(A374,四面弹import!A:D,4,FALSE)),0,--VLOOKUP(A374,四面弹import!A:D,4,FALSE)))</f>
        <v/>
      </c>
      <c r="F374" s="351" t="str">
        <f>IF(B374="","",IF(ISNA(--VLOOKUP(A374,四面弹import!A:E,5,FALSE)),0,--VLOOKUP(A374,四面弹import!A:E,5,FALSE)))</f>
        <v/>
      </c>
    </row>
    <row r="375" spans="1:6" s="332" customFormat="1">
      <c r="A375" s="348" t="str">
        <f t="shared" si="7"/>
        <v/>
      </c>
      <c r="E375" s="350" t="str">
        <f>IF(B375="","",IF(ISNA(--VLOOKUP(A375,四面弹import!A:D,4,FALSE)),0,--VLOOKUP(A375,四面弹import!A:D,4,FALSE)))</f>
        <v/>
      </c>
      <c r="F375" s="351" t="str">
        <f>IF(B375="","",IF(ISNA(--VLOOKUP(A375,四面弹import!A:E,5,FALSE)),0,--VLOOKUP(A375,四面弹import!A:E,5,FALSE)))</f>
        <v/>
      </c>
    </row>
    <row r="376" spans="1:6" s="332" customFormat="1">
      <c r="A376" s="348" t="str">
        <f t="shared" si="7"/>
        <v/>
      </c>
      <c r="E376" s="350" t="str">
        <f>IF(B376="","",IF(ISNA(--VLOOKUP(A376,四面弹import!A:D,4,FALSE)),0,--VLOOKUP(A376,四面弹import!A:D,4,FALSE)))</f>
        <v/>
      </c>
      <c r="F376" s="351" t="str">
        <f>IF(B376="","",IF(ISNA(--VLOOKUP(A376,四面弹import!A:E,5,FALSE)),0,--VLOOKUP(A376,四面弹import!A:E,5,FALSE)))</f>
        <v/>
      </c>
    </row>
    <row r="377" spans="1:6" s="332" customFormat="1">
      <c r="A377" s="348" t="str">
        <f t="shared" si="7"/>
        <v/>
      </c>
      <c r="E377" s="350" t="str">
        <f>IF(B377="","",IF(ISNA(--VLOOKUP(A377,四面弹import!A:D,4,FALSE)),0,--VLOOKUP(A377,四面弹import!A:D,4,FALSE)))</f>
        <v/>
      </c>
      <c r="F377" s="351" t="str">
        <f>IF(B377="","",IF(ISNA(--VLOOKUP(A377,四面弹import!A:E,5,FALSE)),0,--VLOOKUP(A377,四面弹import!A:E,5,FALSE)))</f>
        <v/>
      </c>
    </row>
    <row r="378" spans="1:6" s="332" customFormat="1">
      <c r="A378" s="348" t="str">
        <f t="shared" si="7"/>
        <v/>
      </c>
      <c r="E378" s="350" t="str">
        <f>IF(B378="","",IF(ISNA(--VLOOKUP(A378,四面弹import!A:D,4,FALSE)),0,--VLOOKUP(A378,四面弹import!A:D,4,FALSE)))</f>
        <v/>
      </c>
      <c r="F378" s="351" t="str">
        <f>IF(B378="","",IF(ISNA(--VLOOKUP(A378,四面弹import!A:E,5,FALSE)),0,--VLOOKUP(A378,四面弹import!A:E,5,FALSE)))</f>
        <v/>
      </c>
    </row>
    <row r="379" spans="1:6" s="332" customFormat="1">
      <c r="A379" s="348" t="str">
        <f t="shared" si="7"/>
        <v/>
      </c>
      <c r="E379" s="350" t="str">
        <f>IF(B379="","",IF(ISNA(--VLOOKUP(A379,四面弹import!A:D,4,FALSE)),0,--VLOOKUP(A379,四面弹import!A:D,4,FALSE)))</f>
        <v/>
      </c>
      <c r="F379" s="351" t="str">
        <f>IF(B379="","",IF(ISNA(--VLOOKUP(A379,四面弹import!A:E,5,FALSE)),0,--VLOOKUP(A379,四面弹import!A:E,5,FALSE)))</f>
        <v/>
      </c>
    </row>
    <row r="380" spans="1:6" s="332" customFormat="1">
      <c r="A380" s="348" t="str">
        <f t="shared" si="7"/>
        <v/>
      </c>
      <c r="E380" s="350" t="str">
        <f>IF(B380="","",IF(ISNA(--VLOOKUP(A380,四面弹import!A:D,4,FALSE)),0,--VLOOKUP(A380,四面弹import!A:D,4,FALSE)))</f>
        <v/>
      </c>
      <c r="F380" s="351" t="str">
        <f>IF(B380="","",IF(ISNA(--VLOOKUP(A380,四面弹import!A:E,5,FALSE)),0,--VLOOKUP(A380,四面弹import!A:E,5,FALSE)))</f>
        <v/>
      </c>
    </row>
    <row r="381" spans="1:6" s="332" customFormat="1">
      <c r="A381" s="348" t="str">
        <f t="shared" si="7"/>
        <v/>
      </c>
      <c r="E381" s="350" t="str">
        <f>IF(B381="","",IF(ISNA(--VLOOKUP(A381,四面弹import!A:D,4,FALSE)),0,--VLOOKUP(A381,四面弹import!A:D,4,FALSE)))</f>
        <v/>
      </c>
      <c r="F381" s="351" t="str">
        <f>IF(B381="","",IF(ISNA(--VLOOKUP(A381,四面弹import!A:E,5,FALSE)),0,--VLOOKUP(A381,四面弹import!A:E,5,FALSE)))</f>
        <v/>
      </c>
    </row>
    <row r="382" spans="1:6" s="332" customFormat="1">
      <c r="A382" s="348" t="str">
        <f t="shared" si="7"/>
        <v/>
      </c>
      <c r="E382" s="350" t="str">
        <f>IF(B382="","",IF(ISNA(--VLOOKUP(A382,四面弹import!A:D,4,FALSE)),0,--VLOOKUP(A382,四面弹import!A:D,4,FALSE)))</f>
        <v/>
      </c>
      <c r="F382" s="351" t="str">
        <f>IF(B382="","",IF(ISNA(--VLOOKUP(A382,四面弹import!A:E,5,FALSE)),0,--VLOOKUP(A382,四面弹import!A:E,5,FALSE)))</f>
        <v/>
      </c>
    </row>
    <row r="383" spans="1:6" s="332" customFormat="1">
      <c r="A383" s="348" t="str">
        <f t="shared" si="7"/>
        <v/>
      </c>
      <c r="E383" s="350" t="str">
        <f>IF(B383="","",IF(ISNA(--VLOOKUP(A383,四面弹import!A:D,4,FALSE)),0,--VLOOKUP(A383,四面弹import!A:D,4,FALSE)))</f>
        <v/>
      </c>
      <c r="F383" s="351" t="str">
        <f>IF(B383="","",IF(ISNA(--VLOOKUP(A383,四面弹import!A:E,5,FALSE)),0,--VLOOKUP(A383,四面弹import!A:E,5,FALSE)))</f>
        <v/>
      </c>
    </row>
    <row r="384" spans="1:6" s="332" customFormat="1">
      <c r="A384" s="348" t="str">
        <f t="shared" si="7"/>
        <v/>
      </c>
      <c r="E384" s="350" t="str">
        <f>IF(B384="","",IF(ISNA(--VLOOKUP(A384,四面弹import!A:D,4,FALSE)),0,--VLOOKUP(A384,四面弹import!A:D,4,FALSE)))</f>
        <v/>
      </c>
      <c r="F384" s="351" t="str">
        <f>IF(B384="","",IF(ISNA(--VLOOKUP(A384,四面弹import!A:E,5,FALSE)),0,--VLOOKUP(A384,四面弹import!A:E,5,FALSE)))</f>
        <v/>
      </c>
    </row>
    <row r="385" spans="1:6" s="332" customFormat="1">
      <c r="A385" s="348" t="str">
        <f t="shared" si="7"/>
        <v/>
      </c>
      <c r="E385" s="350" t="str">
        <f>IF(B385="","",IF(ISNA(--VLOOKUP(A385,四面弹import!A:D,4,FALSE)),0,--VLOOKUP(A385,四面弹import!A:D,4,FALSE)))</f>
        <v/>
      </c>
      <c r="F385" s="351" t="str">
        <f>IF(B385="","",IF(ISNA(--VLOOKUP(A385,四面弹import!A:E,5,FALSE)),0,--VLOOKUP(A385,四面弹import!A:E,5,FALSE)))</f>
        <v/>
      </c>
    </row>
    <row r="386" spans="1:6" s="332" customFormat="1">
      <c r="A386" s="348" t="str">
        <f t="shared" si="7"/>
        <v/>
      </c>
      <c r="E386" s="350" t="str">
        <f>IF(B386="","",IF(ISNA(--VLOOKUP(A386,四面弹import!A:D,4,FALSE)),0,--VLOOKUP(A386,四面弹import!A:D,4,FALSE)))</f>
        <v/>
      </c>
      <c r="F386" s="351" t="str">
        <f>IF(B386="","",IF(ISNA(--VLOOKUP(A386,四面弹import!A:E,5,FALSE)),0,--VLOOKUP(A386,四面弹import!A:E,5,FALSE)))</f>
        <v/>
      </c>
    </row>
    <row r="387" spans="1:6" s="332" customFormat="1">
      <c r="A387" s="348" t="str">
        <f t="shared" si="7"/>
        <v/>
      </c>
      <c r="E387" s="350" t="str">
        <f>IF(B387="","",IF(ISNA(--VLOOKUP(A387,四面弹import!A:D,4,FALSE)),0,--VLOOKUP(A387,四面弹import!A:D,4,FALSE)))</f>
        <v/>
      </c>
      <c r="F387" s="351" t="str">
        <f>IF(B387="","",IF(ISNA(--VLOOKUP(A387,四面弹import!A:E,5,FALSE)),0,--VLOOKUP(A387,四面弹import!A:E,5,FALSE)))</f>
        <v/>
      </c>
    </row>
    <row r="388" spans="1:6" s="332" customFormat="1">
      <c r="A388" s="348" t="str">
        <f t="shared" si="7"/>
        <v/>
      </c>
      <c r="E388" s="350" t="str">
        <f>IF(B388="","",IF(ISNA(--VLOOKUP(A388,四面弹import!A:D,4,FALSE)),0,--VLOOKUP(A388,四面弹import!A:D,4,FALSE)))</f>
        <v/>
      </c>
      <c r="F388" s="351" t="str">
        <f>IF(B388="","",IF(ISNA(--VLOOKUP(A388,四面弹import!A:E,5,FALSE)),0,--VLOOKUP(A388,四面弹import!A:E,5,FALSE)))</f>
        <v/>
      </c>
    </row>
    <row r="389" spans="1:6" s="332" customFormat="1">
      <c r="A389" s="348" t="str">
        <f t="shared" si="7"/>
        <v/>
      </c>
      <c r="E389" s="350" t="str">
        <f>IF(B389="","",IF(ISNA(--VLOOKUP(A389,四面弹import!A:D,4,FALSE)),0,--VLOOKUP(A389,四面弹import!A:D,4,FALSE)))</f>
        <v/>
      </c>
      <c r="F389" s="351" t="str">
        <f>IF(B389="","",IF(ISNA(--VLOOKUP(A389,四面弹import!A:E,5,FALSE)),0,--VLOOKUP(A389,四面弹import!A:E,5,FALSE)))</f>
        <v/>
      </c>
    </row>
    <row r="390" spans="1:6" s="332" customFormat="1">
      <c r="A390" s="348" t="str">
        <f t="shared" si="7"/>
        <v/>
      </c>
      <c r="E390" s="350" t="str">
        <f>IF(B390="","",IF(ISNA(--VLOOKUP(A390,四面弹import!A:D,4,FALSE)),0,--VLOOKUP(A390,四面弹import!A:D,4,FALSE)))</f>
        <v/>
      </c>
      <c r="F390" s="351" t="str">
        <f>IF(B390="","",IF(ISNA(--VLOOKUP(A390,四面弹import!A:E,5,FALSE)),0,--VLOOKUP(A390,四面弹import!A:E,5,FALSE)))</f>
        <v/>
      </c>
    </row>
    <row r="391" spans="1:6" s="332" customFormat="1">
      <c r="A391" s="348" t="str">
        <f t="shared" si="7"/>
        <v/>
      </c>
      <c r="E391" s="350" t="str">
        <f>IF(B391="","",IF(ISNA(--VLOOKUP(A391,四面弹import!A:D,4,FALSE)),0,--VLOOKUP(A391,四面弹import!A:D,4,FALSE)))</f>
        <v/>
      </c>
      <c r="F391" s="351" t="str">
        <f>IF(B391="","",IF(ISNA(--VLOOKUP(A391,四面弹import!A:E,5,FALSE)),0,--VLOOKUP(A391,四面弹import!A:E,5,FALSE)))</f>
        <v/>
      </c>
    </row>
    <row r="392" spans="1:6" s="332" customFormat="1">
      <c r="A392" s="348" t="str">
        <f t="shared" si="7"/>
        <v/>
      </c>
      <c r="E392" s="350" t="str">
        <f>IF(B392="","",IF(ISNA(--VLOOKUP(A392,四面弹import!A:D,4,FALSE)),0,--VLOOKUP(A392,四面弹import!A:D,4,FALSE)))</f>
        <v/>
      </c>
      <c r="F392" s="351" t="str">
        <f>IF(B392="","",IF(ISNA(--VLOOKUP(A392,四面弹import!A:E,5,FALSE)),0,--VLOOKUP(A392,四面弹import!A:E,5,FALSE)))</f>
        <v/>
      </c>
    </row>
    <row r="393" spans="1:6" s="332" customFormat="1">
      <c r="A393" s="348" t="str">
        <f t="shared" si="7"/>
        <v/>
      </c>
      <c r="E393" s="350" t="str">
        <f>IF(B393="","",IF(ISNA(--VLOOKUP(A393,四面弹import!A:D,4,FALSE)),0,--VLOOKUP(A393,四面弹import!A:D,4,FALSE)))</f>
        <v/>
      </c>
      <c r="F393" s="351" t="str">
        <f>IF(B393="","",IF(ISNA(--VLOOKUP(A393,四面弹import!A:E,5,FALSE)),0,--VLOOKUP(A393,四面弹import!A:E,5,FALSE)))</f>
        <v/>
      </c>
    </row>
    <row r="394" spans="1:6" s="332" customFormat="1">
      <c r="A394" s="348" t="str">
        <f t="shared" ref="A394:A457" si="8">SUBSTITUTE(H394," ","")&amp;I394&amp;K394&amp;M394&amp;O394&amp;Q394</f>
        <v/>
      </c>
      <c r="E394" s="350" t="str">
        <f>IF(B394="","",IF(ISNA(--VLOOKUP(A394,四面弹import!A:D,4,FALSE)),0,--VLOOKUP(A394,四面弹import!A:D,4,FALSE)))</f>
        <v/>
      </c>
      <c r="F394" s="351" t="str">
        <f>IF(B394="","",IF(ISNA(--VLOOKUP(A394,四面弹import!A:E,5,FALSE)),0,--VLOOKUP(A394,四面弹import!A:E,5,FALSE)))</f>
        <v/>
      </c>
    </row>
    <row r="395" spans="1:6" s="332" customFormat="1">
      <c r="A395" s="348" t="str">
        <f t="shared" si="8"/>
        <v/>
      </c>
      <c r="E395" s="350" t="str">
        <f>IF(B395="","",IF(ISNA(--VLOOKUP(A395,四面弹import!A:D,4,FALSE)),0,--VLOOKUP(A395,四面弹import!A:D,4,FALSE)))</f>
        <v/>
      </c>
      <c r="F395" s="351" t="str">
        <f>IF(B395="","",IF(ISNA(--VLOOKUP(A395,四面弹import!A:E,5,FALSE)),0,--VLOOKUP(A395,四面弹import!A:E,5,FALSE)))</f>
        <v/>
      </c>
    </row>
    <row r="396" spans="1:6" s="332" customFormat="1">
      <c r="A396" s="348" t="str">
        <f t="shared" si="8"/>
        <v/>
      </c>
      <c r="E396" s="350" t="str">
        <f>IF(B396="","",IF(ISNA(--VLOOKUP(A396,四面弹import!A:D,4,FALSE)),0,--VLOOKUP(A396,四面弹import!A:D,4,FALSE)))</f>
        <v/>
      </c>
      <c r="F396" s="351" t="str">
        <f>IF(B396="","",IF(ISNA(--VLOOKUP(A396,四面弹import!A:E,5,FALSE)),0,--VLOOKUP(A396,四面弹import!A:E,5,FALSE)))</f>
        <v/>
      </c>
    </row>
    <row r="397" spans="1:6" s="332" customFormat="1">
      <c r="A397" s="348" t="str">
        <f t="shared" si="8"/>
        <v/>
      </c>
      <c r="E397" s="350" t="str">
        <f>IF(B397="","",IF(ISNA(--VLOOKUP(A397,四面弹import!A:D,4,FALSE)),0,--VLOOKUP(A397,四面弹import!A:D,4,FALSE)))</f>
        <v/>
      </c>
      <c r="F397" s="351" t="str">
        <f>IF(B397="","",IF(ISNA(--VLOOKUP(A397,四面弹import!A:E,5,FALSE)),0,--VLOOKUP(A397,四面弹import!A:E,5,FALSE)))</f>
        <v/>
      </c>
    </row>
    <row r="398" spans="1:6" s="332" customFormat="1">
      <c r="A398" s="348" t="str">
        <f t="shared" si="8"/>
        <v/>
      </c>
      <c r="E398" s="350" t="str">
        <f>IF(B398="","",IF(ISNA(--VLOOKUP(A398,四面弹import!A:D,4,FALSE)),0,--VLOOKUP(A398,四面弹import!A:D,4,FALSE)))</f>
        <v/>
      </c>
      <c r="F398" s="351" t="str">
        <f>IF(B398="","",IF(ISNA(--VLOOKUP(A398,四面弹import!A:E,5,FALSE)),0,--VLOOKUP(A398,四面弹import!A:E,5,FALSE)))</f>
        <v/>
      </c>
    </row>
    <row r="399" spans="1:6" s="332" customFormat="1">
      <c r="A399" s="348" t="str">
        <f t="shared" si="8"/>
        <v/>
      </c>
      <c r="E399" s="350" t="str">
        <f>IF(B399="","",IF(ISNA(--VLOOKUP(A399,四面弹import!A:D,4,FALSE)),0,--VLOOKUP(A399,四面弹import!A:D,4,FALSE)))</f>
        <v/>
      </c>
      <c r="F399" s="351" t="str">
        <f>IF(B399="","",IF(ISNA(--VLOOKUP(A399,四面弹import!A:E,5,FALSE)),0,--VLOOKUP(A399,四面弹import!A:E,5,FALSE)))</f>
        <v/>
      </c>
    </row>
    <row r="400" spans="1:6" s="332" customFormat="1">
      <c r="A400" s="348" t="str">
        <f t="shared" si="8"/>
        <v/>
      </c>
      <c r="E400" s="350" t="str">
        <f>IF(B400="","",IF(ISNA(--VLOOKUP(A400,四面弹import!A:D,4,FALSE)),0,--VLOOKUP(A400,四面弹import!A:D,4,FALSE)))</f>
        <v/>
      </c>
      <c r="F400" s="351" t="str">
        <f>IF(B400="","",IF(ISNA(--VLOOKUP(A400,四面弹import!A:E,5,FALSE)),0,--VLOOKUP(A400,四面弹import!A:E,5,FALSE)))</f>
        <v/>
      </c>
    </row>
    <row r="401" spans="1:6" s="332" customFormat="1">
      <c r="A401" s="348" t="str">
        <f t="shared" si="8"/>
        <v/>
      </c>
      <c r="E401" s="350" t="str">
        <f>IF(B401="","",IF(ISNA(--VLOOKUP(A401,四面弹import!A:D,4,FALSE)),0,--VLOOKUP(A401,四面弹import!A:D,4,FALSE)))</f>
        <v/>
      </c>
      <c r="F401" s="351" t="str">
        <f>IF(B401="","",IF(ISNA(--VLOOKUP(A401,四面弹import!A:E,5,FALSE)),0,--VLOOKUP(A401,四面弹import!A:E,5,FALSE)))</f>
        <v/>
      </c>
    </row>
    <row r="402" spans="1:6" s="332" customFormat="1">
      <c r="A402" s="348" t="str">
        <f t="shared" si="8"/>
        <v/>
      </c>
      <c r="E402" s="350" t="str">
        <f>IF(B402="","",IF(ISNA(--VLOOKUP(A402,四面弹import!A:D,4,FALSE)),0,--VLOOKUP(A402,四面弹import!A:D,4,FALSE)))</f>
        <v/>
      </c>
      <c r="F402" s="351" t="str">
        <f>IF(B402="","",IF(ISNA(--VLOOKUP(A402,四面弹import!A:E,5,FALSE)),0,--VLOOKUP(A402,四面弹import!A:E,5,FALSE)))</f>
        <v/>
      </c>
    </row>
    <row r="403" spans="1:6" s="332" customFormat="1">
      <c r="A403" s="348" t="str">
        <f t="shared" si="8"/>
        <v/>
      </c>
      <c r="E403" s="350" t="str">
        <f>IF(B403="","",IF(ISNA(--VLOOKUP(A403,四面弹import!A:D,4,FALSE)),0,--VLOOKUP(A403,四面弹import!A:D,4,FALSE)))</f>
        <v/>
      </c>
      <c r="F403" s="351" t="str">
        <f>IF(B403="","",IF(ISNA(--VLOOKUP(A403,四面弹import!A:E,5,FALSE)),0,--VLOOKUP(A403,四面弹import!A:E,5,FALSE)))</f>
        <v/>
      </c>
    </row>
    <row r="404" spans="1:6" s="332" customFormat="1">
      <c r="A404" s="348" t="str">
        <f t="shared" si="8"/>
        <v/>
      </c>
      <c r="E404" s="350" t="str">
        <f>IF(B404="","",IF(ISNA(--VLOOKUP(A404,四面弹import!A:D,4,FALSE)),0,--VLOOKUP(A404,四面弹import!A:D,4,FALSE)))</f>
        <v/>
      </c>
      <c r="F404" s="351" t="str">
        <f>IF(B404="","",IF(ISNA(--VLOOKUP(A404,四面弹import!A:E,5,FALSE)),0,--VLOOKUP(A404,四面弹import!A:E,5,FALSE)))</f>
        <v/>
      </c>
    </row>
    <row r="405" spans="1:6" s="332" customFormat="1">
      <c r="A405" s="348" t="str">
        <f t="shared" si="8"/>
        <v/>
      </c>
      <c r="E405" s="350" t="str">
        <f>IF(B405="","",IF(ISNA(--VLOOKUP(A405,四面弹import!A:D,4,FALSE)),0,--VLOOKUP(A405,四面弹import!A:D,4,FALSE)))</f>
        <v/>
      </c>
      <c r="F405" s="351" t="str">
        <f>IF(B405="","",IF(ISNA(--VLOOKUP(A405,四面弹import!A:E,5,FALSE)),0,--VLOOKUP(A405,四面弹import!A:E,5,FALSE)))</f>
        <v/>
      </c>
    </row>
    <row r="406" spans="1:6" s="332" customFormat="1">
      <c r="A406" s="348" t="str">
        <f t="shared" si="8"/>
        <v/>
      </c>
      <c r="E406" s="350" t="str">
        <f>IF(B406="","",IF(ISNA(--VLOOKUP(A406,四面弹import!A:D,4,FALSE)),0,--VLOOKUP(A406,四面弹import!A:D,4,FALSE)))</f>
        <v/>
      </c>
      <c r="F406" s="351" t="str">
        <f>IF(B406="","",IF(ISNA(--VLOOKUP(A406,四面弹import!A:E,5,FALSE)),0,--VLOOKUP(A406,四面弹import!A:E,5,FALSE)))</f>
        <v/>
      </c>
    </row>
    <row r="407" spans="1:6" s="332" customFormat="1">
      <c r="A407" s="348" t="str">
        <f t="shared" si="8"/>
        <v/>
      </c>
      <c r="E407" s="350" t="str">
        <f>IF(B407="","",IF(ISNA(--VLOOKUP(A407,四面弹import!A:D,4,FALSE)),0,--VLOOKUP(A407,四面弹import!A:D,4,FALSE)))</f>
        <v/>
      </c>
      <c r="F407" s="351" t="str">
        <f>IF(B407="","",IF(ISNA(--VLOOKUP(A407,四面弹import!A:E,5,FALSE)),0,--VLOOKUP(A407,四面弹import!A:E,5,FALSE)))</f>
        <v/>
      </c>
    </row>
    <row r="408" spans="1:6" s="332" customFormat="1">
      <c r="A408" s="348" t="str">
        <f t="shared" si="8"/>
        <v/>
      </c>
      <c r="E408" s="350" t="str">
        <f>IF(B408="","",IF(ISNA(--VLOOKUP(A408,四面弹import!A:D,4,FALSE)),0,--VLOOKUP(A408,四面弹import!A:D,4,FALSE)))</f>
        <v/>
      </c>
      <c r="F408" s="351" t="str">
        <f>IF(B408="","",IF(ISNA(--VLOOKUP(A408,四面弹import!A:E,5,FALSE)),0,--VLOOKUP(A408,四面弹import!A:E,5,FALSE)))</f>
        <v/>
      </c>
    </row>
    <row r="409" spans="1:6" s="332" customFormat="1">
      <c r="A409" s="348" t="str">
        <f t="shared" si="8"/>
        <v/>
      </c>
      <c r="E409" s="350" t="str">
        <f>IF(B409="","",IF(ISNA(--VLOOKUP(A409,四面弹import!A:D,4,FALSE)),0,--VLOOKUP(A409,四面弹import!A:D,4,FALSE)))</f>
        <v/>
      </c>
      <c r="F409" s="351" t="str">
        <f>IF(B409="","",IF(ISNA(--VLOOKUP(A409,四面弹import!A:E,5,FALSE)),0,--VLOOKUP(A409,四面弹import!A:E,5,FALSE)))</f>
        <v/>
      </c>
    </row>
    <row r="410" spans="1:6" s="332" customFormat="1">
      <c r="A410" s="348" t="str">
        <f t="shared" si="8"/>
        <v/>
      </c>
      <c r="E410" s="350" t="str">
        <f>IF(B410="","",IF(ISNA(--VLOOKUP(A410,四面弹import!A:D,4,FALSE)),0,--VLOOKUP(A410,四面弹import!A:D,4,FALSE)))</f>
        <v/>
      </c>
      <c r="F410" s="351" t="str">
        <f>IF(B410="","",IF(ISNA(--VLOOKUP(A410,四面弹import!A:E,5,FALSE)),0,--VLOOKUP(A410,四面弹import!A:E,5,FALSE)))</f>
        <v/>
      </c>
    </row>
    <row r="411" spans="1:6" s="332" customFormat="1">
      <c r="A411" s="348" t="str">
        <f t="shared" si="8"/>
        <v/>
      </c>
      <c r="E411" s="350" t="str">
        <f>IF(B411="","",IF(ISNA(--VLOOKUP(A411,四面弹import!A:D,4,FALSE)),0,--VLOOKUP(A411,四面弹import!A:D,4,FALSE)))</f>
        <v/>
      </c>
      <c r="F411" s="351" t="str">
        <f>IF(B411="","",IF(ISNA(--VLOOKUP(A411,四面弹import!A:E,5,FALSE)),0,--VLOOKUP(A411,四面弹import!A:E,5,FALSE)))</f>
        <v/>
      </c>
    </row>
    <row r="412" spans="1:6" s="332" customFormat="1">
      <c r="A412" s="348" t="str">
        <f t="shared" si="8"/>
        <v/>
      </c>
      <c r="E412" s="350" t="str">
        <f>IF(B412="","",IF(ISNA(--VLOOKUP(A412,四面弹import!A:D,4,FALSE)),0,--VLOOKUP(A412,四面弹import!A:D,4,FALSE)))</f>
        <v/>
      </c>
      <c r="F412" s="351" t="str">
        <f>IF(B412="","",IF(ISNA(--VLOOKUP(A412,四面弹import!A:E,5,FALSE)),0,--VLOOKUP(A412,四面弹import!A:E,5,FALSE)))</f>
        <v/>
      </c>
    </row>
    <row r="413" spans="1:6" s="332" customFormat="1">
      <c r="A413" s="348" t="str">
        <f t="shared" si="8"/>
        <v/>
      </c>
      <c r="E413" s="350" t="str">
        <f>IF(B413="","",IF(ISNA(--VLOOKUP(A413,四面弹import!A:D,4,FALSE)),0,--VLOOKUP(A413,四面弹import!A:D,4,FALSE)))</f>
        <v/>
      </c>
      <c r="F413" s="351" t="str">
        <f>IF(B413="","",IF(ISNA(--VLOOKUP(A413,四面弹import!A:E,5,FALSE)),0,--VLOOKUP(A413,四面弹import!A:E,5,FALSE)))</f>
        <v/>
      </c>
    </row>
    <row r="414" spans="1:6" s="332" customFormat="1">
      <c r="A414" s="348" t="str">
        <f t="shared" si="8"/>
        <v/>
      </c>
      <c r="E414" s="350" t="str">
        <f>IF(B414="","",IF(ISNA(--VLOOKUP(A414,四面弹import!A:D,4,FALSE)),0,--VLOOKUP(A414,四面弹import!A:D,4,FALSE)))</f>
        <v/>
      </c>
      <c r="F414" s="351" t="str">
        <f>IF(B414="","",IF(ISNA(--VLOOKUP(A414,四面弹import!A:E,5,FALSE)),0,--VLOOKUP(A414,四面弹import!A:E,5,FALSE)))</f>
        <v/>
      </c>
    </row>
    <row r="415" spans="1:6" s="332" customFormat="1">
      <c r="A415" s="348" t="str">
        <f t="shared" si="8"/>
        <v/>
      </c>
      <c r="E415" s="350" t="str">
        <f>IF(B415="","",IF(ISNA(--VLOOKUP(A415,四面弹import!A:D,4,FALSE)),0,--VLOOKUP(A415,四面弹import!A:D,4,FALSE)))</f>
        <v/>
      </c>
      <c r="F415" s="351" t="str">
        <f>IF(B415="","",IF(ISNA(--VLOOKUP(A415,四面弹import!A:E,5,FALSE)),0,--VLOOKUP(A415,四面弹import!A:E,5,FALSE)))</f>
        <v/>
      </c>
    </row>
    <row r="416" spans="1:6" s="332" customFormat="1">
      <c r="A416" s="348" t="str">
        <f t="shared" si="8"/>
        <v/>
      </c>
      <c r="E416" s="350" t="str">
        <f>IF(B416="","",IF(ISNA(--VLOOKUP(A416,四面弹import!A:D,4,FALSE)),0,--VLOOKUP(A416,四面弹import!A:D,4,FALSE)))</f>
        <v/>
      </c>
      <c r="F416" s="351" t="str">
        <f>IF(B416="","",IF(ISNA(--VLOOKUP(A416,四面弹import!A:E,5,FALSE)),0,--VLOOKUP(A416,四面弹import!A:E,5,FALSE)))</f>
        <v/>
      </c>
    </row>
    <row r="417" spans="1:6" s="332" customFormat="1">
      <c r="A417" s="348" t="str">
        <f t="shared" si="8"/>
        <v/>
      </c>
      <c r="E417" s="350" t="str">
        <f>IF(B417="","",IF(ISNA(--VLOOKUP(A417,四面弹import!A:D,4,FALSE)),0,--VLOOKUP(A417,四面弹import!A:D,4,FALSE)))</f>
        <v/>
      </c>
      <c r="F417" s="351" t="str">
        <f>IF(B417="","",IF(ISNA(--VLOOKUP(A417,四面弹import!A:E,5,FALSE)),0,--VLOOKUP(A417,四面弹import!A:E,5,FALSE)))</f>
        <v/>
      </c>
    </row>
    <row r="418" spans="1:6" s="332" customFormat="1">
      <c r="A418" s="348" t="str">
        <f t="shared" si="8"/>
        <v/>
      </c>
      <c r="E418" s="350" t="str">
        <f>IF(B418="","",IF(ISNA(--VLOOKUP(A418,四面弹import!A:D,4,FALSE)),0,--VLOOKUP(A418,四面弹import!A:D,4,FALSE)))</f>
        <v/>
      </c>
      <c r="F418" s="351" t="str">
        <f>IF(B418="","",IF(ISNA(--VLOOKUP(A418,四面弹import!A:E,5,FALSE)),0,--VLOOKUP(A418,四面弹import!A:E,5,FALSE)))</f>
        <v/>
      </c>
    </row>
    <row r="419" spans="1:6" s="332" customFormat="1">
      <c r="A419" s="348" t="str">
        <f t="shared" si="8"/>
        <v/>
      </c>
      <c r="E419" s="350" t="str">
        <f>IF(B419="","",IF(ISNA(--VLOOKUP(A419,四面弹import!A:D,4,FALSE)),0,--VLOOKUP(A419,四面弹import!A:D,4,FALSE)))</f>
        <v/>
      </c>
      <c r="F419" s="351" t="str">
        <f>IF(B419="","",IF(ISNA(--VLOOKUP(A419,四面弹import!A:E,5,FALSE)),0,--VLOOKUP(A419,四面弹import!A:E,5,FALSE)))</f>
        <v/>
      </c>
    </row>
    <row r="420" spans="1:6" s="332" customFormat="1">
      <c r="A420" s="348" t="str">
        <f t="shared" si="8"/>
        <v/>
      </c>
      <c r="E420" s="350" t="str">
        <f>IF(B420="","",IF(ISNA(--VLOOKUP(A420,四面弹import!A:D,4,FALSE)),0,--VLOOKUP(A420,四面弹import!A:D,4,FALSE)))</f>
        <v/>
      </c>
      <c r="F420" s="351" t="str">
        <f>IF(B420="","",IF(ISNA(--VLOOKUP(A420,四面弹import!A:E,5,FALSE)),0,--VLOOKUP(A420,四面弹import!A:E,5,FALSE)))</f>
        <v/>
      </c>
    </row>
    <row r="421" spans="1:6" s="332" customFormat="1">
      <c r="A421" s="348" t="str">
        <f t="shared" si="8"/>
        <v/>
      </c>
      <c r="E421" s="350" t="str">
        <f>IF(B421="","",IF(ISNA(--VLOOKUP(A421,四面弹import!A:D,4,FALSE)),0,--VLOOKUP(A421,四面弹import!A:D,4,FALSE)))</f>
        <v/>
      </c>
      <c r="F421" s="351" t="str">
        <f>IF(B421="","",IF(ISNA(--VLOOKUP(A421,四面弹import!A:E,5,FALSE)),0,--VLOOKUP(A421,四面弹import!A:E,5,FALSE)))</f>
        <v/>
      </c>
    </row>
    <row r="422" spans="1:6" s="332" customFormat="1">
      <c r="A422" s="348" t="str">
        <f t="shared" si="8"/>
        <v/>
      </c>
      <c r="E422" s="350" t="str">
        <f>IF(B422="","",IF(ISNA(--VLOOKUP(A422,四面弹import!A:D,4,FALSE)),0,--VLOOKUP(A422,四面弹import!A:D,4,FALSE)))</f>
        <v/>
      </c>
      <c r="F422" s="351" t="str">
        <f>IF(B422="","",IF(ISNA(--VLOOKUP(A422,四面弹import!A:E,5,FALSE)),0,--VLOOKUP(A422,四面弹import!A:E,5,FALSE)))</f>
        <v/>
      </c>
    </row>
    <row r="423" spans="1:6" s="332" customFormat="1">
      <c r="A423" s="348" t="str">
        <f t="shared" si="8"/>
        <v/>
      </c>
      <c r="E423" s="350" t="str">
        <f>IF(B423="","",IF(ISNA(--VLOOKUP(A423,四面弹import!A:D,4,FALSE)),0,--VLOOKUP(A423,四面弹import!A:D,4,FALSE)))</f>
        <v/>
      </c>
      <c r="F423" s="351" t="str">
        <f>IF(B423="","",IF(ISNA(--VLOOKUP(A423,四面弹import!A:E,5,FALSE)),0,--VLOOKUP(A423,四面弹import!A:E,5,FALSE)))</f>
        <v/>
      </c>
    </row>
    <row r="424" spans="1:6" s="332" customFormat="1">
      <c r="A424" s="348" t="str">
        <f t="shared" si="8"/>
        <v/>
      </c>
      <c r="E424" s="350" t="str">
        <f>IF(B424="","",IF(ISNA(--VLOOKUP(A424,四面弹import!A:D,4,FALSE)),0,--VLOOKUP(A424,四面弹import!A:D,4,FALSE)))</f>
        <v/>
      </c>
      <c r="F424" s="351" t="str">
        <f>IF(B424="","",IF(ISNA(--VLOOKUP(A424,四面弹import!A:E,5,FALSE)),0,--VLOOKUP(A424,四面弹import!A:E,5,FALSE)))</f>
        <v/>
      </c>
    </row>
    <row r="425" spans="1:6" s="332" customFormat="1">
      <c r="A425" s="348" t="str">
        <f t="shared" si="8"/>
        <v/>
      </c>
      <c r="E425" s="350" t="str">
        <f>IF(B425="","",IF(ISNA(--VLOOKUP(A425,四面弹import!A:D,4,FALSE)),0,--VLOOKUP(A425,四面弹import!A:D,4,FALSE)))</f>
        <v/>
      </c>
      <c r="F425" s="351" t="str">
        <f>IF(B425="","",IF(ISNA(--VLOOKUP(A425,四面弹import!A:E,5,FALSE)),0,--VLOOKUP(A425,四面弹import!A:E,5,FALSE)))</f>
        <v/>
      </c>
    </row>
    <row r="426" spans="1:6" s="332" customFormat="1">
      <c r="A426" s="348" t="str">
        <f t="shared" si="8"/>
        <v/>
      </c>
      <c r="E426" s="350" t="str">
        <f>IF(B426="","",IF(ISNA(--VLOOKUP(A426,四面弹import!A:D,4,FALSE)),0,--VLOOKUP(A426,四面弹import!A:D,4,FALSE)))</f>
        <v/>
      </c>
      <c r="F426" s="351" t="str">
        <f>IF(B426="","",IF(ISNA(--VLOOKUP(A426,四面弹import!A:E,5,FALSE)),0,--VLOOKUP(A426,四面弹import!A:E,5,FALSE)))</f>
        <v/>
      </c>
    </row>
    <row r="427" spans="1:6" s="332" customFormat="1">
      <c r="A427" s="348" t="str">
        <f t="shared" si="8"/>
        <v/>
      </c>
      <c r="E427" s="350" t="str">
        <f>IF(B427="","",IF(ISNA(--VLOOKUP(A427,四面弹import!A:D,4,FALSE)),0,--VLOOKUP(A427,四面弹import!A:D,4,FALSE)))</f>
        <v/>
      </c>
      <c r="F427" s="351" t="str">
        <f>IF(B427="","",IF(ISNA(--VLOOKUP(A427,四面弹import!A:E,5,FALSE)),0,--VLOOKUP(A427,四面弹import!A:E,5,FALSE)))</f>
        <v/>
      </c>
    </row>
    <row r="428" spans="1:6" s="332" customFormat="1">
      <c r="A428" s="348" t="str">
        <f t="shared" si="8"/>
        <v/>
      </c>
      <c r="E428" s="350" t="str">
        <f>IF(B428="","",IF(ISNA(--VLOOKUP(A428,四面弹import!A:D,4,FALSE)),0,--VLOOKUP(A428,四面弹import!A:D,4,FALSE)))</f>
        <v/>
      </c>
      <c r="F428" s="351" t="str">
        <f>IF(B428="","",IF(ISNA(--VLOOKUP(A428,四面弹import!A:E,5,FALSE)),0,--VLOOKUP(A428,四面弹import!A:E,5,FALSE)))</f>
        <v/>
      </c>
    </row>
    <row r="429" spans="1:6" s="332" customFormat="1">
      <c r="A429" s="348" t="str">
        <f t="shared" si="8"/>
        <v/>
      </c>
      <c r="E429" s="350" t="str">
        <f>IF(B429="","",IF(ISNA(--VLOOKUP(A429,四面弹import!A:D,4,FALSE)),0,--VLOOKUP(A429,四面弹import!A:D,4,FALSE)))</f>
        <v/>
      </c>
      <c r="F429" s="351" t="str">
        <f>IF(B429="","",IF(ISNA(--VLOOKUP(A429,四面弹import!A:E,5,FALSE)),0,--VLOOKUP(A429,四面弹import!A:E,5,FALSE)))</f>
        <v/>
      </c>
    </row>
    <row r="430" spans="1:6" s="332" customFormat="1">
      <c r="A430" s="348" t="str">
        <f t="shared" si="8"/>
        <v/>
      </c>
      <c r="E430" s="350" t="str">
        <f>IF(B430="","",IF(ISNA(--VLOOKUP(A430,四面弹import!A:D,4,FALSE)),0,--VLOOKUP(A430,四面弹import!A:D,4,FALSE)))</f>
        <v/>
      </c>
      <c r="F430" s="351" t="str">
        <f>IF(B430="","",IF(ISNA(--VLOOKUP(A430,四面弹import!A:E,5,FALSE)),0,--VLOOKUP(A430,四面弹import!A:E,5,FALSE)))</f>
        <v/>
      </c>
    </row>
    <row r="431" spans="1:6" s="332" customFormat="1">
      <c r="A431" s="348" t="str">
        <f t="shared" si="8"/>
        <v/>
      </c>
      <c r="E431" s="350" t="str">
        <f>IF(B431="","",IF(ISNA(--VLOOKUP(A431,四面弹import!A:D,4,FALSE)),0,--VLOOKUP(A431,四面弹import!A:D,4,FALSE)))</f>
        <v/>
      </c>
      <c r="F431" s="351" t="str">
        <f>IF(B431="","",IF(ISNA(--VLOOKUP(A431,四面弹import!A:E,5,FALSE)),0,--VLOOKUP(A431,四面弹import!A:E,5,FALSE)))</f>
        <v/>
      </c>
    </row>
    <row r="432" spans="1:6" s="332" customFormat="1">
      <c r="A432" s="348" t="str">
        <f t="shared" si="8"/>
        <v/>
      </c>
      <c r="E432" s="350" t="str">
        <f>IF(B432="","",IF(ISNA(--VLOOKUP(A432,四面弹import!A:D,4,FALSE)),0,--VLOOKUP(A432,四面弹import!A:D,4,FALSE)))</f>
        <v/>
      </c>
      <c r="F432" s="351" t="str">
        <f>IF(B432="","",IF(ISNA(--VLOOKUP(A432,四面弹import!A:E,5,FALSE)),0,--VLOOKUP(A432,四面弹import!A:E,5,FALSE)))</f>
        <v/>
      </c>
    </row>
    <row r="433" spans="1:6" s="332" customFormat="1">
      <c r="A433" s="348" t="str">
        <f t="shared" si="8"/>
        <v/>
      </c>
      <c r="E433" s="350" t="str">
        <f>IF(B433="","",IF(ISNA(--VLOOKUP(A433,四面弹import!A:D,4,FALSE)),0,--VLOOKUP(A433,四面弹import!A:D,4,FALSE)))</f>
        <v/>
      </c>
      <c r="F433" s="351" t="str">
        <f>IF(B433="","",IF(ISNA(--VLOOKUP(A433,四面弹import!A:E,5,FALSE)),0,--VLOOKUP(A433,四面弹import!A:E,5,FALSE)))</f>
        <v/>
      </c>
    </row>
    <row r="434" spans="1:6" s="332" customFormat="1">
      <c r="A434" s="348" t="str">
        <f t="shared" si="8"/>
        <v/>
      </c>
      <c r="E434" s="350" t="str">
        <f>IF(B434="","",IF(ISNA(--VLOOKUP(A434,四面弹import!A:D,4,FALSE)),0,--VLOOKUP(A434,四面弹import!A:D,4,FALSE)))</f>
        <v/>
      </c>
      <c r="F434" s="351" t="str">
        <f>IF(B434="","",IF(ISNA(--VLOOKUP(A434,四面弹import!A:E,5,FALSE)),0,--VLOOKUP(A434,四面弹import!A:E,5,FALSE)))</f>
        <v/>
      </c>
    </row>
    <row r="435" spans="1:6" s="332" customFormat="1">
      <c r="A435" s="348" t="str">
        <f t="shared" si="8"/>
        <v/>
      </c>
      <c r="E435" s="350" t="str">
        <f>IF(B435="","",IF(ISNA(--VLOOKUP(A435,四面弹import!A:D,4,FALSE)),0,--VLOOKUP(A435,四面弹import!A:D,4,FALSE)))</f>
        <v/>
      </c>
      <c r="F435" s="351" t="str">
        <f>IF(B435="","",IF(ISNA(--VLOOKUP(A435,四面弹import!A:E,5,FALSE)),0,--VLOOKUP(A435,四面弹import!A:E,5,FALSE)))</f>
        <v/>
      </c>
    </row>
    <row r="436" spans="1:6" s="332" customFormat="1">
      <c r="A436" s="348" t="str">
        <f t="shared" si="8"/>
        <v/>
      </c>
      <c r="E436" s="350" t="str">
        <f>IF(B436="","",IF(ISNA(--VLOOKUP(A436,四面弹import!A:D,4,FALSE)),0,--VLOOKUP(A436,四面弹import!A:D,4,FALSE)))</f>
        <v/>
      </c>
      <c r="F436" s="351" t="str">
        <f>IF(B436="","",IF(ISNA(--VLOOKUP(A436,四面弹import!A:E,5,FALSE)),0,--VLOOKUP(A436,四面弹import!A:E,5,FALSE)))</f>
        <v/>
      </c>
    </row>
    <row r="437" spans="1:6" s="332" customFormat="1">
      <c r="A437" s="348" t="str">
        <f t="shared" si="8"/>
        <v/>
      </c>
      <c r="E437" s="350" t="str">
        <f>IF(B437="","",IF(ISNA(--VLOOKUP(A437,四面弹import!A:D,4,FALSE)),0,--VLOOKUP(A437,四面弹import!A:D,4,FALSE)))</f>
        <v/>
      </c>
      <c r="F437" s="351" t="str">
        <f>IF(B437="","",IF(ISNA(--VLOOKUP(A437,四面弹import!A:E,5,FALSE)),0,--VLOOKUP(A437,四面弹import!A:E,5,FALSE)))</f>
        <v/>
      </c>
    </row>
    <row r="438" spans="1:6" s="332" customFormat="1">
      <c r="A438" s="348" t="str">
        <f t="shared" si="8"/>
        <v/>
      </c>
      <c r="E438" s="350" t="str">
        <f>IF(B438="","",IF(ISNA(--VLOOKUP(A438,四面弹import!A:D,4,FALSE)),0,--VLOOKUP(A438,四面弹import!A:D,4,FALSE)))</f>
        <v/>
      </c>
      <c r="F438" s="351" t="str">
        <f>IF(B438="","",IF(ISNA(--VLOOKUP(A438,四面弹import!A:E,5,FALSE)),0,--VLOOKUP(A438,四面弹import!A:E,5,FALSE)))</f>
        <v/>
      </c>
    </row>
    <row r="439" spans="1:6" s="332" customFormat="1">
      <c r="A439" s="348" t="str">
        <f t="shared" si="8"/>
        <v/>
      </c>
      <c r="E439" s="350" t="str">
        <f>IF(B439="","",IF(ISNA(--VLOOKUP(A439,四面弹import!A:D,4,FALSE)),0,--VLOOKUP(A439,四面弹import!A:D,4,FALSE)))</f>
        <v/>
      </c>
      <c r="F439" s="351" t="str">
        <f>IF(B439="","",IF(ISNA(--VLOOKUP(A439,四面弹import!A:E,5,FALSE)),0,--VLOOKUP(A439,四面弹import!A:E,5,FALSE)))</f>
        <v/>
      </c>
    </row>
    <row r="440" spans="1:6" s="332" customFormat="1">
      <c r="A440" s="348" t="str">
        <f t="shared" si="8"/>
        <v/>
      </c>
      <c r="E440" s="350" t="str">
        <f>IF(B440="","",IF(ISNA(--VLOOKUP(A440,四面弹import!A:D,4,FALSE)),0,--VLOOKUP(A440,四面弹import!A:D,4,FALSE)))</f>
        <v/>
      </c>
      <c r="F440" s="351" t="str">
        <f>IF(B440="","",IF(ISNA(--VLOOKUP(A440,四面弹import!A:E,5,FALSE)),0,--VLOOKUP(A440,四面弹import!A:E,5,FALSE)))</f>
        <v/>
      </c>
    </row>
    <row r="441" spans="1:6" s="332" customFormat="1">
      <c r="A441" s="348" t="str">
        <f t="shared" si="8"/>
        <v/>
      </c>
      <c r="E441" s="350" t="str">
        <f>IF(B441="","",IF(ISNA(--VLOOKUP(A441,四面弹import!A:D,4,FALSE)),0,--VLOOKUP(A441,四面弹import!A:D,4,FALSE)))</f>
        <v/>
      </c>
      <c r="F441" s="351" t="str">
        <f>IF(B441="","",IF(ISNA(--VLOOKUP(A441,四面弹import!A:E,5,FALSE)),0,--VLOOKUP(A441,四面弹import!A:E,5,FALSE)))</f>
        <v/>
      </c>
    </row>
    <row r="442" spans="1:6" s="332" customFormat="1">
      <c r="A442" s="348" t="str">
        <f t="shared" si="8"/>
        <v/>
      </c>
      <c r="E442" s="350" t="str">
        <f>IF(B442="","",IF(ISNA(--VLOOKUP(A442,四面弹import!A:D,4,FALSE)),0,--VLOOKUP(A442,四面弹import!A:D,4,FALSE)))</f>
        <v/>
      </c>
      <c r="F442" s="351" t="str">
        <f>IF(B442="","",IF(ISNA(--VLOOKUP(A442,四面弹import!A:E,5,FALSE)),0,--VLOOKUP(A442,四面弹import!A:E,5,FALSE)))</f>
        <v/>
      </c>
    </row>
    <row r="443" spans="1:6" s="332" customFormat="1">
      <c r="A443" s="348" t="str">
        <f t="shared" si="8"/>
        <v/>
      </c>
      <c r="E443" s="350" t="str">
        <f>IF(B443="","",IF(ISNA(--VLOOKUP(A443,四面弹import!A:D,4,FALSE)),0,--VLOOKUP(A443,四面弹import!A:D,4,FALSE)))</f>
        <v/>
      </c>
      <c r="F443" s="351" t="str">
        <f>IF(B443="","",IF(ISNA(--VLOOKUP(A443,四面弹import!A:E,5,FALSE)),0,--VLOOKUP(A443,四面弹import!A:E,5,FALSE)))</f>
        <v/>
      </c>
    </row>
    <row r="444" spans="1:6" s="332" customFormat="1">
      <c r="A444" s="348" t="str">
        <f t="shared" si="8"/>
        <v/>
      </c>
      <c r="E444" s="350" t="str">
        <f>IF(B444="","",IF(ISNA(--VLOOKUP(A444,四面弹import!A:D,4,FALSE)),0,--VLOOKUP(A444,四面弹import!A:D,4,FALSE)))</f>
        <v/>
      </c>
      <c r="F444" s="351" t="str">
        <f>IF(B444="","",IF(ISNA(--VLOOKUP(A444,四面弹import!A:E,5,FALSE)),0,--VLOOKUP(A444,四面弹import!A:E,5,FALSE)))</f>
        <v/>
      </c>
    </row>
    <row r="445" spans="1:6" s="332" customFormat="1">
      <c r="A445" s="348" t="str">
        <f t="shared" si="8"/>
        <v/>
      </c>
      <c r="E445" s="350" t="str">
        <f>IF(B445="","",IF(ISNA(--VLOOKUP(A445,四面弹import!A:D,4,FALSE)),0,--VLOOKUP(A445,四面弹import!A:D,4,FALSE)))</f>
        <v/>
      </c>
      <c r="F445" s="351" t="str">
        <f>IF(B445="","",IF(ISNA(--VLOOKUP(A445,四面弹import!A:E,5,FALSE)),0,--VLOOKUP(A445,四面弹import!A:E,5,FALSE)))</f>
        <v/>
      </c>
    </row>
    <row r="446" spans="1:6" s="332" customFormat="1">
      <c r="A446" s="348" t="str">
        <f t="shared" si="8"/>
        <v/>
      </c>
      <c r="E446" s="350" t="str">
        <f>IF(B446="","",IF(ISNA(--VLOOKUP(A446,四面弹import!A:D,4,FALSE)),0,--VLOOKUP(A446,四面弹import!A:D,4,FALSE)))</f>
        <v/>
      </c>
      <c r="F446" s="351" t="str">
        <f>IF(B446="","",IF(ISNA(--VLOOKUP(A446,四面弹import!A:E,5,FALSE)),0,--VLOOKUP(A446,四面弹import!A:E,5,FALSE)))</f>
        <v/>
      </c>
    </row>
    <row r="447" spans="1:6" s="332" customFormat="1">
      <c r="A447" s="348" t="str">
        <f t="shared" si="8"/>
        <v/>
      </c>
      <c r="E447" s="350" t="str">
        <f>IF(B447="","",IF(ISNA(--VLOOKUP(A447,四面弹import!A:D,4,FALSE)),0,--VLOOKUP(A447,四面弹import!A:D,4,FALSE)))</f>
        <v/>
      </c>
      <c r="F447" s="351" t="str">
        <f>IF(B447="","",IF(ISNA(--VLOOKUP(A447,四面弹import!A:E,5,FALSE)),0,--VLOOKUP(A447,四面弹import!A:E,5,FALSE)))</f>
        <v/>
      </c>
    </row>
    <row r="448" spans="1:6" s="332" customFormat="1">
      <c r="A448" s="348" t="str">
        <f t="shared" si="8"/>
        <v/>
      </c>
      <c r="E448" s="350" t="str">
        <f>IF(B448="","",IF(ISNA(--VLOOKUP(A448,四面弹import!A:D,4,FALSE)),0,--VLOOKUP(A448,四面弹import!A:D,4,FALSE)))</f>
        <v/>
      </c>
      <c r="F448" s="351" t="str">
        <f>IF(B448="","",IF(ISNA(--VLOOKUP(A448,四面弹import!A:E,5,FALSE)),0,--VLOOKUP(A448,四面弹import!A:E,5,FALSE)))</f>
        <v/>
      </c>
    </row>
    <row r="449" spans="1:6" s="332" customFormat="1">
      <c r="A449" s="348" t="str">
        <f t="shared" si="8"/>
        <v/>
      </c>
      <c r="E449" s="350" t="str">
        <f>IF(B449="","",IF(ISNA(--VLOOKUP(A449,四面弹import!A:D,4,FALSE)),0,--VLOOKUP(A449,四面弹import!A:D,4,FALSE)))</f>
        <v/>
      </c>
      <c r="F449" s="351" t="str">
        <f>IF(B449="","",IF(ISNA(--VLOOKUP(A449,四面弹import!A:E,5,FALSE)),0,--VLOOKUP(A449,四面弹import!A:E,5,FALSE)))</f>
        <v/>
      </c>
    </row>
    <row r="450" spans="1:6" s="332" customFormat="1">
      <c r="A450" s="348" t="str">
        <f t="shared" si="8"/>
        <v/>
      </c>
      <c r="E450" s="350" t="str">
        <f>IF(B450="","",IF(ISNA(--VLOOKUP(A450,四面弹import!A:D,4,FALSE)),0,--VLOOKUP(A450,四面弹import!A:D,4,FALSE)))</f>
        <v/>
      </c>
      <c r="F450" s="351" t="str">
        <f>IF(B450="","",IF(ISNA(--VLOOKUP(A450,四面弹import!A:E,5,FALSE)),0,--VLOOKUP(A450,四面弹import!A:E,5,FALSE)))</f>
        <v/>
      </c>
    </row>
    <row r="451" spans="1:6" s="332" customFormat="1">
      <c r="A451" s="348" t="str">
        <f t="shared" si="8"/>
        <v/>
      </c>
      <c r="E451" s="350" t="str">
        <f>IF(B451="","",IF(ISNA(--VLOOKUP(A451,四面弹import!A:D,4,FALSE)),0,--VLOOKUP(A451,四面弹import!A:D,4,FALSE)))</f>
        <v/>
      </c>
      <c r="F451" s="351" t="str">
        <f>IF(B451="","",IF(ISNA(--VLOOKUP(A451,四面弹import!A:E,5,FALSE)),0,--VLOOKUP(A451,四面弹import!A:E,5,FALSE)))</f>
        <v/>
      </c>
    </row>
    <row r="452" spans="1:6" s="332" customFormat="1">
      <c r="A452" s="348" t="str">
        <f t="shared" si="8"/>
        <v/>
      </c>
      <c r="E452" s="350" t="str">
        <f>IF(B452="","",IF(ISNA(--VLOOKUP(A452,四面弹import!A:D,4,FALSE)),0,--VLOOKUP(A452,四面弹import!A:D,4,FALSE)))</f>
        <v/>
      </c>
      <c r="F452" s="351" t="str">
        <f>IF(B452="","",IF(ISNA(--VLOOKUP(A452,四面弹import!A:E,5,FALSE)),0,--VLOOKUP(A452,四面弹import!A:E,5,FALSE)))</f>
        <v/>
      </c>
    </row>
    <row r="453" spans="1:6" s="332" customFormat="1">
      <c r="A453" s="348" t="str">
        <f t="shared" si="8"/>
        <v/>
      </c>
      <c r="E453" s="350" t="str">
        <f>IF(B453="","",IF(ISNA(--VLOOKUP(A453,四面弹import!A:D,4,FALSE)),0,--VLOOKUP(A453,四面弹import!A:D,4,FALSE)))</f>
        <v/>
      </c>
      <c r="F453" s="351" t="str">
        <f>IF(B453="","",IF(ISNA(--VLOOKUP(A453,四面弹import!A:E,5,FALSE)),0,--VLOOKUP(A453,四面弹import!A:E,5,FALSE)))</f>
        <v/>
      </c>
    </row>
    <row r="454" spans="1:6" s="332" customFormat="1">
      <c r="A454" s="348" t="str">
        <f t="shared" si="8"/>
        <v/>
      </c>
      <c r="E454" s="350" t="str">
        <f>IF(B454="","",IF(ISNA(--VLOOKUP(A454,四面弹import!A:D,4,FALSE)),0,--VLOOKUP(A454,四面弹import!A:D,4,FALSE)))</f>
        <v/>
      </c>
      <c r="F454" s="351" t="str">
        <f>IF(B454="","",IF(ISNA(--VLOOKUP(A454,四面弹import!A:E,5,FALSE)),0,--VLOOKUP(A454,四面弹import!A:E,5,FALSE)))</f>
        <v/>
      </c>
    </row>
    <row r="455" spans="1:6" s="332" customFormat="1">
      <c r="A455" s="348" t="str">
        <f t="shared" si="8"/>
        <v/>
      </c>
      <c r="E455" s="350" t="str">
        <f>IF(B455="","",IF(ISNA(--VLOOKUP(A455,四面弹import!A:D,4,FALSE)),0,--VLOOKUP(A455,四面弹import!A:D,4,FALSE)))</f>
        <v/>
      </c>
      <c r="F455" s="351" t="str">
        <f>IF(B455="","",IF(ISNA(--VLOOKUP(A455,四面弹import!A:E,5,FALSE)),0,--VLOOKUP(A455,四面弹import!A:E,5,FALSE)))</f>
        <v/>
      </c>
    </row>
    <row r="456" spans="1:6" s="332" customFormat="1">
      <c r="A456" s="348" t="str">
        <f t="shared" si="8"/>
        <v/>
      </c>
      <c r="E456" s="350" t="str">
        <f>IF(B456="","",IF(ISNA(--VLOOKUP(A456,四面弹import!A:D,4,FALSE)),0,--VLOOKUP(A456,四面弹import!A:D,4,FALSE)))</f>
        <v/>
      </c>
      <c r="F456" s="351" t="str">
        <f>IF(B456="","",IF(ISNA(--VLOOKUP(A456,四面弹import!A:E,5,FALSE)),0,--VLOOKUP(A456,四面弹import!A:E,5,FALSE)))</f>
        <v/>
      </c>
    </row>
    <row r="457" spans="1:6" s="332" customFormat="1">
      <c r="A457" s="348" t="str">
        <f t="shared" si="8"/>
        <v/>
      </c>
      <c r="E457" s="350" t="str">
        <f>IF(B457="","",IF(ISNA(--VLOOKUP(A457,四面弹import!A:D,4,FALSE)),0,--VLOOKUP(A457,四面弹import!A:D,4,FALSE)))</f>
        <v/>
      </c>
      <c r="F457" s="351" t="str">
        <f>IF(B457="","",IF(ISNA(--VLOOKUP(A457,四面弹import!A:E,5,FALSE)),0,--VLOOKUP(A457,四面弹import!A:E,5,FALSE)))</f>
        <v/>
      </c>
    </row>
    <row r="458" spans="1:6" s="332" customFormat="1">
      <c r="A458" s="348" t="str">
        <f t="shared" ref="A458:A521" si="9">SUBSTITUTE(H458," ","")&amp;I458&amp;K458&amp;M458&amp;O458&amp;Q458</f>
        <v/>
      </c>
      <c r="E458" s="350" t="str">
        <f>IF(B458="","",IF(ISNA(--VLOOKUP(A458,四面弹import!A:D,4,FALSE)),0,--VLOOKUP(A458,四面弹import!A:D,4,FALSE)))</f>
        <v/>
      </c>
      <c r="F458" s="351" t="str">
        <f>IF(B458="","",IF(ISNA(--VLOOKUP(A458,四面弹import!A:E,5,FALSE)),0,--VLOOKUP(A458,四面弹import!A:E,5,FALSE)))</f>
        <v/>
      </c>
    </row>
    <row r="459" spans="1:6" s="332" customFormat="1">
      <c r="A459" s="348" t="str">
        <f t="shared" si="9"/>
        <v/>
      </c>
      <c r="E459" s="350" t="str">
        <f>IF(B459="","",IF(ISNA(--VLOOKUP(A459,四面弹import!A:D,4,FALSE)),0,--VLOOKUP(A459,四面弹import!A:D,4,FALSE)))</f>
        <v/>
      </c>
      <c r="F459" s="351" t="str">
        <f>IF(B459="","",IF(ISNA(--VLOOKUP(A459,四面弹import!A:E,5,FALSE)),0,--VLOOKUP(A459,四面弹import!A:E,5,FALSE)))</f>
        <v/>
      </c>
    </row>
    <row r="460" spans="1:6" s="332" customFormat="1">
      <c r="A460" s="348" t="str">
        <f t="shared" si="9"/>
        <v/>
      </c>
      <c r="E460" s="350" t="str">
        <f>IF(B460="","",IF(ISNA(--VLOOKUP(A460,四面弹import!A:D,4,FALSE)),0,--VLOOKUP(A460,四面弹import!A:D,4,FALSE)))</f>
        <v/>
      </c>
      <c r="F460" s="351" t="str">
        <f>IF(B460="","",IF(ISNA(--VLOOKUP(A460,四面弹import!A:E,5,FALSE)),0,--VLOOKUP(A460,四面弹import!A:E,5,FALSE)))</f>
        <v/>
      </c>
    </row>
    <row r="461" spans="1:6" s="332" customFormat="1">
      <c r="A461" s="348" t="str">
        <f t="shared" si="9"/>
        <v/>
      </c>
      <c r="E461" s="350" t="str">
        <f>IF(B461="","",IF(ISNA(--VLOOKUP(A461,四面弹import!A:D,4,FALSE)),0,--VLOOKUP(A461,四面弹import!A:D,4,FALSE)))</f>
        <v/>
      </c>
      <c r="F461" s="351" t="str">
        <f>IF(B461="","",IF(ISNA(--VLOOKUP(A461,四面弹import!A:E,5,FALSE)),0,--VLOOKUP(A461,四面弹import!A:E,5,FALSE)))</f>
        <v/>
      </c>
    </row>
    <row r="462" spans="1:6" s="332" customFormat="1">
      <c r="A462" s="348" t="str">
        <f t="shared" si="9"/>
        <v/>
      </c>
      <c r="E462" s="350" t="str">
        <f>IF(B462="","",IF(ISNA(--VLOOKUP(A462,四面弹import!A:D,4,FALSE)),0,--VLOOKUP(A462,四面弹import!A:D,4,FALSE)))</f>
        <v/>
      </c>
      <c r="F462" s="351" t="str">
        <f>IF(B462="","",IF(ISNA(--VLOOKUP(A462,四面弹import!A:E,5,FALSE)),0,--VLOOKUP(A462,四面弹import!A:E,5,FALSE)))</f>
        <v/>
      </c>
    </row>
    <row r="463" spans="1:6" s="332" customFormat="1">
      <c r="A463" s="348" t="str">
        <f t="shared" si="9"/>
        <v/>
      </c>
      <c r="E463" s="350" t="str">
        <f>IF(B463="","",IF(ISNA(--VLOOKUP(A463,四面弹import!A:D,4,FALSE)),0,--VLOOKUP(A463,四面弹import!A:D,4,FALSE)))</f>
        <v/>
      </c>
      <c r="F463" s="351" t="str">
        <f>IF(B463="","",IF(ISNA(--VLOOKUP(A463,四面弹import!A:E,5,FALSE)),0,--VLOOKUP(A463,四面弹import!A:E,5,FALSE)))</f>
        <v/>
      </c>
    </row>
    <row r="464" spans="1:6" s="332" customFormat="1">
      <c r="A464" s="348" t="str">
        <f t="shared" si="9"/>
        <v/>
      </c>
      <c r="E464" s="350" t="str">
        <f>IF(B464="","",IF(ISNA(--VLOOKUP(A464,四面弹import!A:D,4,FALSE)),0,--VLOOKUP(A464,四面弹import!A:D,4,FALSE)))</f>
        <v/>
      </c>
      <c r="F464" s="351" t="str">
        <f>IF(B464="","",IF(ISNA(--VLOOKUP(A464,四面弹import!A:E,5,FALSE)),0,--VLOOKUP(A464,四面弹import!A:E,5,FALSE)))</f>
        <v/>
      </c>
    </row>
    <row r="465" spans="1:6" s="332" customFormat="1">
      <c r="A465" s="348" t="str">
        <f t="shared" si="9"/>
        <v/>
      </c>
      <c r="E465" s="350" t="str">
        <f>IF(B465="","",IF(ISNA(--VLOOKUP(A465,四面弹import!A:D,4,FALSE)),0,--VLOOKUP(A465,四面弹import!A:D,4,FALSE)))</f>
        <v/>
      </c>
      <c r="F465" s="351" t="str">
        <f>IF(B465="","",IF(ISNA(--VLOOKUP(A465,四面弹import!A:E,5,FALSE)),0,--VLOOKUP(A465,四面弹import!A:E,5,FALSE)))</f>
        <v/>
      </c>
    </row>
    <row r="466" spans="1:6" s="332" customFormat="1">
      <c r="A466" s="348" t="str">
        <f t="shared" si="9"/>
        <v/>
      </c>
      <c r="E466" s="350" t="str">
        <f>IF(B466="","",IF(ISNA(--VLOOKUP(A466,四面弹import!A:D,4,FALSE)),0,--VLOOKUP(A466,四面弹import!A:D,4,FALSE)))</f>
        <v/>
      </c>
      <c r="F466" s="351" t="str">
        <f>IF(B466="","",IF(ISNA(--VLOOKUP(A466,四面弹import!A:E,5,FALSE)),0,--VLOOKUP(A466,四面弹import!A:E,5,FALSE)))</f>
        <v/>
      </c>
    </row>
    <row r="467" spans="1:6" s="332" customFormat="1">
      <c r="A467" s="348" t="str">
        <f t="shared" si="9"/>
        <v/>
      </c>
      <c r="E467" s="350" t="str">
        <f>IF(B467="","",IF(ISNA(--VLOOKUP(A467,四面弹import!A:D,4,FALSE)),0,--VLOOKUP(A467,四面弹import!A:D,4,FALSE)))</f>
        <v/>
      </c>
      <c r="F467" s="351" t="str">
        <f>IF(B467="","",IF(ISNA(--VLOOKUP(A467,四面弹import!A:E,5,FALSE)),0,--VLOOKUP(A467,四面弹import!A:E,5,FALSE)))</f>
        <v/>
      </c>
    </row>
    <row r="468" spans="1:6" s="332" customFormat="1">
      <c r="A468" s="348" t="str">
        <f t="shared" si="9"/>
        <v/>
      </c>
      <c r="E468" s="350" t="str">
        <f>IF(B468="","",IF(ISNA(--VLOOKUP(A468,四面弹import!A:D,4,FALSE)),0,--VLOOKUP(A468,四面弹import!A:D,4,FALSE)))</f>
        <v/>
      </c>
      <c r="F468" s="351" t="str">
        <f>IF(B468="","",IF(ISNA(--VLOOKUP(A468,四面弹import!A:E,5,FALSE)),0,--VLOOKUP(A468,四面弹import!A:E,5,FALSE)))</f>
        <v/>
      </c>
    </row>
    <row r="469" spans="1:6" s="332" customFormat="1">
      <c r="A469" s="348" t="str">
        <f t="shared" si="9"/>
        <v/>
      </c>
      <c r="E469" s="350" t="str">
        <f>IF(B469="","",IF(ISNA(--VLOOKUP(A469,四面弹import!A:D,4,FALSE)),0,--VLOOKUP(A469,四面弹import!A:D,4,FALSE)))</f>
        <v/>
      </c>
      <c r="F469" s="351" t="str">
        <f>IF(B469="","",IF(ISNA(--VLOOKUP(A469,四面弹import!A:E,5,FALSE)),0,--VLOOKUP(A469,四面弹import!A:E,5,FALSE)))</f>
        <v/>
      </c>
    </row>
    <row r="470" spans="1:6" s="332" customFormat="1">
      <c r="A470" s="348" t="str">
        <f t="shared" si="9"/>
        <v/>
      </c>
      <c r="E470" s="350" t="str">
        <f>IF(B470="","",IF(ISNA(--VLOOKUP(A470,四面弹import!A:D,4,FALSE)),0,--VLOOKUP(A470,四面弹import!A:D,4,FALSE)))</f>
        <v/>
      </c>
      <c r="F470" s="351" t="str">
        <f>IF(B470="","",IF(ISNA(--VLOOKUP(A470,四面弹import!A:E,5,FALSE)),0,--VLOOKUP(A470,四面弹import!A:E,5,FALSE)))</f>
        <v/>
      </c>
    </row>
    <row r="471" spans="1:6" s="332" customFormat="1">
      <c r="A471" s="348" t="str">
        <f t="shared" si="9"/>
        <v/>
      </c>
      <c r="E471" s="350" t="str">
        <f>IF(B471="","",IF(ISNA(--VLOOKUP(A471,四面弹import!A:D,4,FALSE)),0,--VLOOKUP(A471,四面弹import!A:D,4,FALSE)))</f>
        <v/>
      </c>
      <c r="F471" s="351" t="str">
        <f>IF(B471="","",IF(ISNA(--VLOOKUP(A471,四面弹import!A:E,5,FALSE)),0,--VLOOKUP(A471,四面弹import!A:E,5,FALSE)))</f>
        <v/>
      </c>
    </row>
    <row r="472" spans="1:6" s="332" customFormat="1">
      <c r="A472" s="348" t="str">
        <f t="shared" si="9"/>
        <v/>
      </c>
      <c r="E472" s="350" t="str">
        <f>IF(B472="","",IF(ISNA(--VLOOKUP(A472,四面弹import!A:D,4,FALSE)),0,--VLOOKUP(A472,四面弹import!A:D,4,FALSE)))</f>
        <v/>
      </c>
      <c r="F472" s="351" t="str">
        <f>IF(B472="","",IF(ISNA(--VLOOKUP(A472,四面弹import!A:E,5,FALSE)),0,--VLOOKUP(A472,四面弹import!A:E,5,FALSE)))</f>
        <v/>
      </c>
    </row>
    <row r="473" spans="1:6" s="332" customFormat="1">
      <c r="A473" s="348" t="str">
        <f t="shared" si="9"/>
        <v/>
      </c>
      <c r="E473" s="350" t="str">
        <f>IF(B473="","",IF(ISNA(--VLOOKUP(A473,四面弹import!A:D,4,FALSE)),0,--VLOOKUP(A473,四面弹import!A:D,4,FALSE)))</f>
        <v/>
      </c>
      <c r="F473" s="351" t="str">
        <f>IF(B473="","",IF(ISNA(--VLOOKUP(A473,四面弹import!A:E,5,FALSE)),0,--VLOOKUP(A473,四面弹import!A:E,5,FALSE)))</f>
        <v/>
      </c>
    </row>
    <row r="474" spans="1:6" s="332" customFormat="1">
      <c r="A474" s="348" t="str">
        <f t="shared" si="9"/>
        <v/>
      </c>
      <c r="E474" s="350" t="str">
        <f>IF(B474="","",IF(ISNA(--VLOOKUP(A474,四面弹import!A:D,4,FALSE)),0,--VLOOKUP(A474,四面弹import!A:D,4,FALSE)))</f>
        <v/>
      </c>
      <c r="F474" s="351" t="str">
        <f>IF(B474="","",IF(ISNA(--VLOOKUP(A474,四面弹import!A:E,5,FALSE)),0,--VLOOKUP(A474,四面弹import!A:E,5,FALSE)))</f>
        <v/>
      </c>
    </row>
    <row r="475" spans="1:6" s="332" customFormat="1">
      <c r="A475" s="348" t="str">
        <f t="shared" si="9"/>
        <v/>
      </c>
      <c r="E475" s="350" t="str">
        <f>IF(B475="","",IF(ISNA(--VLOOKUP(A475,四面弹import!A:D,4,FALSE)),0,--VLOOKUP(A475,四面弹import!A:D,4,FALSE)))</f>
        <v/>
      </c>
      <c r="F475" s="351" t="str">
        <f>IF(B475="","",IF(ISNA(--VLOOKUP(A475,四面弹import!A:E,5,FALSE)),0,--VLOOKUP(A475,四面弹import!A:E,5,FALSE)))</f>
        <v/>
      </c>
    </row>
    <row r="476" spans="1:6" s="332" customFormat="1">
      <c r="A476" s="348" t="str">
        <f t="shared" si="9"/>
        <v/>
      </c>
      <c r="E476" s="350" t="str">
        <f>IF(B476="","",IF(ISNA(--VLOOKUP(A476,四面弹import!A:D,4,FALSE)),0,--VLOOKUP(A476,四面弹import!A:D,4,FALSE)))</f>
        <v/>
      </c>
      <c r="F476" s="351" t="str">
        <f>IF(B476="","",IF(ISNA(--VLOOKUP(A476,四面弹import!A:E,5,FALSE)),0,--VLOOKUP(A476,四面弹import!A:E,5,FALSE)))</f>
        <v/>
      </c>
    </row>
    <row r="477" spans="1:6" s="332" customFormat="1">
      <c r="A477" s="348" t="str">
        <f t="shared" si="9"/>
        <v/>
      </c>
      <c r="E477" s="350" t="str">
        <f>IF(B477="","",IF(ISNA(--VLOOKUP(A477,四面弹import!A:D,4,FALSE)),0,--VLOOKUP(A477,四面弹import!A:D,4,FALSE)))</f>
        <v/>
      </c>
      <c r="F477" s="351" t="str">
        <f>IF(B477="","",IF(ISNA(--VLOOKUP(A477,四面弹import!A:E,5,FALSE)),0,--VLOOKUP(A477,四面弹import!A:E,5,FALSE)))</f>
        <v/>
      </c>
    </row>
    <row r="478" spans="1:6" s="332" customFormat="1">
      <c r="A478" s="348" t="str">
        <f t="shared" si="9"/>
        <v/>
      </c>
      <c r="E478" s="350" t="str">
        <f>IF(B478="","",IF(ISNA(--VLOOKUP(A478,四面弹import!A:D,4,FALSE)),0,--VLOOKUP(A478,四面弹import!A:D,4,FALSE)))</f>
        <v/>
      </c>
      <c r="F478" s="351" t="str">
        <f>IF(B478="","",IF(ISNA(--VLOOKUP(A478,四面弹import!A:E,5,FALSE)),0,--VLOOKUP(A478,四面弹import!A:E,5,FALSE)))</f>
        <v/>
      </c>
    </row>
    <row r="479" spans="1:6" s="332" customFormat="1">
      <c r="A479" s="348" t="str">
        <f t="shared" si="9"/>
        <v/>
      </c>
      <c r="E479" s="350" t="str">
        <f>IF(B479="","",IF(ISNA(--VLOOKUP(A479,四面弹import!A:D,4,FALSE)),0,--VLOOKUP(A479,四面弹import!A:D,4,FALSE)))</f>
        <v/>
      </c>
      <c r="F479" s="351" t="str">
        <f>IF(B479="","",IF(ISNA(--VLOOKUP(A479,四面弹import!A:E,5,FALSE)),0,--VLOOKUP(A479,四面弹import!A:E,5,FALSE)))</f>
        <v/>
      </c>
    </row>
    <row r="480" spans="1:6" s="332" customFormat="1">
      <c r="A480" s="348" t="str">
        <f t="shared" si="9"/>
        <v/>
      </c>
      <c r="E480" s="350" t="str">
        <f>IF(B480="","",IF(ISNA(--VLOOKUP(A480,四面弹import!A:D,4,FALSE)),0,--VLOOKUP(A480,四面弹import!A:D,4,FALSE)))</f>
        <v/>
      </c>
      <c r="F480" s="351" t="str">
        <f>IF(B480="","",IF(ISNA(--VLOOKUP(A480,四面弹import!A:E,5,FALSE)),0,--VLOOKUP(A480,四面弹import!A:E,5,FALSE)))</f>
        <v/>
      </c>
    </row>
    <row r="481" spans="1:6" s="332" customFormat="1">
      <c r="A481" s="348" t="str">
        <f t="shared" si="9"/>
        <v/>
      </c>
      <c r="E481" s="350" t="str">
        <f>IF(B481="","",IF(ISNA(--VLOOKUP(A481,四面弹import!A:D,4,FALSE)),0,--VLOOKUP(A481,四面弹import!A:D,4,FALSE)))</f>
        <v/>
      </c>
      <c r="F481" s="351" t="str">
        <f>IF(B481="","",IF(ISNA(--VLOOKUP(A481,四面弹import!A:E,5,FALSE)),0,--VLOOKUP(A481,四面弹import!A:E,5,FALSE)))</f>
        <v/>
      </c>
    </row>
    <row r="482" spans="1:6" s="332" customFormat="1">
      <c r="A482" s="348" t="str">
        <f t="shared" si="9"/>
        <v/>
      </c>
      <c r="E482" s="350" t="str">
        <f>IF(B482="","",IF(ISNA(--VLOOKUP(A482,四面弹import!A:D,4,FALSE)),0,--VLOOKUP(A482,四面弹import!A:D,4,FALSE)))</f>
        <v/>
      </c>
      <c r="F482" s="351" t="str">
        <f>IF(B482="","",IF(ISNA(--VLOOKUP(A482,四面弹import!A:E,5,FALSE)),0,--VLOOKUP(A482,四面弹import!A:E,5,FALSE)))</f>
        <v/>
      </c>
    </row>
    <row r="483" spans="1:6" s="332" customFormat="1">
      <c r="A483" s="348" t="str">
        <f t="shared" si="9"/>
        <v/>
      </c>
      <c r="E483" s="350" t="str">
        <f>IF(B483="","",IF(ISNA(--VLOOKUP(A483,四面弹import!A:D,4,FALSE)),0,--VLOOKUP(A483,四面弹import!A:D,4,FALSE)))</f>
        <v/>
      </c>
      <c r="F483" s="351" t="str">
        <f>IF(B483="","",IF(ISNA(--VLOOKUP(A483,四面弹import!A:E,5,FALSE)),0,--VLOOKUP(A483,四面弹import!A:E,5,FALSE)))</f>
        <v/>
      </c>
    </row>
    <row r="484" spans="1:6" s="332" customFormat="1">
      <c r="A484" s="348" t="str">
        <f t="shared" si="9"/>
        <v/>
      </c>
      <c r="E484" s="350" t="str">
        <f>IF(B484="","",IF(ISNA(--VLOOKUP(A484,四面弹import!A:D,4,FALSE)),0,--VLOOKUP(A484,四面弹import!A:D,4,FALSE)))</f>
        <v/>
      </c>
      <c r="F484" s="351" t="str">
        <f>IF(B484="","",IF(ISNA(--VLOOKUP(A484,四面弹import!A:E,5,FALSE)),0,--VLOOKUP(A484,四面弹import!A:E,5,FALSE)))</f>
        <v/>
      </c>
    </row>
    <row r="485" spans="1:6" s="332" customFormat="1">
      <c r="A485" s="348" t="str">
        <f t="shared" si="9"/>
        <v/>
      </c>
      <c r="E485" s="350" t="str">
        <f>IF(B485="","",IF(ISNA(--VLOOKUP(A485,四面弹import!A:D,4,FALSE)),0,--VLOOKUP(A485,四面弹import!A:D,4,FALSE)))</f>
        <v/>
      </c>
      <c r="F485" s="351" t="str">
        <f>IF(B485="","",IF(ISNA(--VLOOKUP(A485,四面弹import!A:E,5,FALSE)),0,--VLOOKUP(A485,四面弹import!A:E,5,FALSE)))</f>
        <v/>
      </c>
    </row>
    <row r="486" spans="1:6" s="332" customFormat="1">
      <c r="A486" s="348" t="str">
        <f t="shared" si="9"/>
        <v/>
      </c>
      <c r="E486" s="350" t="str">
        <f>IF(B486="","",IF(ISNA(--VLOOKUP(A486,四面弹import!A:D,4,FALSE)),0,--VLOOKUP(A486,四面弹import!A:D,4,FALSE)))</f>
        <v/>
      </c>
      <c r="F486" s="351" t="str">
        <f>IF(B486="","",IF(ISNA(--VLOOKUP(A486,四面弹import!A:E,5,FALSE)),0,--VLOOKUP(A486,四面弹import!A:E,5,FALSE)))</f>
        <v/>
      </c>
    </row>
    <row r="487" spans="1:6" s="332" customFormat="1">
      <c r="A487" s="348" t="str">
        <f t="shared" si="9"/>
        <v/>
      </c>
      <c r="E487" s="350" t="str">
        <f>IF(B487="","",IF(ISNA(--VLOOKUP(A487,四面弹import!A:D,4,FALSE)),0,--VLOOKUP(A487,四面弹import!A:D,4,FALSE)))</f>
        <v/>
      </c>
      <c r="F487" s="351" t="str">
        <f>IF(B487="","",IF(ISNA(--VLOOKUP(A487,四面弹import!A:E,5,FALSE)),0,--VLOOKUP(A487,四面弹import!A:E,5,FALSE)))</f>
        <v/>
      </c>
    </row>
    <row r="488" spans="1:6" s="332" customFormat="1">
      <c r="A488" s="348" t="str">
        <f t="shared" si="9"/>
        <v/>
      </c>
      <c r="E488" s="350" t="str">
        <f>IF(B488="","",IF(ISNA(--VLOOKUP(A488,四面弹import!A:D,4,FALSE)),0,--VLOOKUP(A488,四面弹import!A:D,4,FALSE)))</f>
        <v/>
      </c>
      <c r="F488" s="351" t="str">
        <f>IF(B488="","",IF(ISNA(--VLOOKUP(A488,四面弹import!A:E,5,FALSE)),0,--VLOOKUP(A488,四面弹import!A:E,5,FALSE)))</f>
        <v/>
      </c>
    </row>
    <row r="489" spans="1:6" s="332" customFormat="1">
      <c r="A489" s="348" t="str">
        <f t="shared" si="9"/>
        <v/>
      </c>
      <c r="E489" s="350" t="str">
        <f>IF(B489="","",IF(ISNA(--VLOOKUP(A489,四面弹import!A:D,4,FALSE)),0,--VLOOKUP(A489,四面弹import!A:D,4,FALSE)))</f>
        <v/>
      </c>
      <c r="F489" s="351" t="str">
        <f>IF(B489="","",IF(ISNA(--VLOOKUP(A489,四面弹import!A:E,5,FALSE)),0,--VLOOKUP(A489,四面弹import!A:E,5,FALSE)))</f>
        <v/>
      </c>
    </row>
    <row r="490" spans="1:6" s="332" customFormat="1">
      <c r="A490" s="348" t="str">
        <f t="shared" si="9"/>
        <v/>
      </c>
      <c r="E490" s="350" t="str">
        <f>IF(B490="","",IF(ISNA(--VLOOKUP(A490,四面弹import!A:D,4,FALSE)),0,--VLOOKUP(A490,四面弹import!A:D,4,FALSE)))</f>
        <v/>
      </c>
      <c r="F490" s="351" t="str">
        <f>IF(B490="","",IF(ISNA(--VLOOKUP(A490,四面弹import!A:E,5,FALSE)),0,--VLOOKUP(A490,四面弹import!A:E,5,FALSE)))</f>
        <v/>
      </c>
    </row>
    <row r="491" spans="1:6" s="332" customFormat="1">
      <c r="A491" s="348" t="str">
        <f t="shared" si="9"/>
        <v/>
      </c>
      <c r="E491" s="350" t="str">
        <f>IF(B491="","",IF(ISNA(--VLOOKUP(A491,四面弹import!A:D,4,FALSE)),0,--VLOOKUP(A491,四面弹import!A:D,4,FALSE)))</f>
        <v/>
      </c>
      <c r="F491" s="351" t="str">
        <f>IF(B491="","",IF(ISNA(--VLOOKUP(A491,四面弹import!A:E,5,FALSE)),0,--VLOOKUP(A491,四面弹import!A:E,5,FALSE)))</f>
        <v/>
      </c>
    </row>
    <row r="492" spans="1:6" s="332" customFormat="1">
      <c r="A492" s="348" t="str">
        <f t="shared" si="9"/>
        <v/>
      </c>
      <c r="E492" s="350" t="str">
        <f>IF(B492="","",IF(ISNA(--VLOOKUP(A492,四面弹import!A:D,4,FALSE)),0,--VLOOKUP(A492,四面弹import!A:D,4,FALSE)))</f>
        <v/>
      </c>
      <c r="F492" s="351" t="str">
        <f>IF(B492="","",IF(ISNA(--VLOOKUP(A492,四面弹import!A:E,5,FALSE)),0,--VLOOKUP(A492,四面弹import!A:E,5,FALSE)))</f>
        <v/>
      </c>
    </row>
    <row r="493" spans="1:6" s="332" customFormat="1">
      <c r="A493" s="348" t="str">
        <f t="shared" si="9"/>
        <v/>
      </c>
      <c r="E493" s="350" t="str">
        <f>IF(B493="","",IF(ISNA(--VLOOKUP(A493,四面弹import!A:D,4,FALSE)),0,--VLOOKUP(A493,四面弹import!A:D,4,FALSE)))</f>
        <v/>
      </c>
      <c r="F493" s="351" t="str">
        <f>IF(B493="","",IF(ISNA(--VLOOKUP(A493,四面弹import!A:E,5,FALSE)),0,--VLOOKUP(A493,四面弹import!A:E,5,FALSE)))</f>
        <v/>
      </c>
    </row>
    <row r="494" spans="1:6" s="332" customFormat="1">
      <c r="A494" s="348" t="str">
        <f t="shared" si="9"/>
        <v/>
      </c>
      <c r="E494" s="350" t="str">
        <f>IF(B494="","",IF(ISNA(--VLOOKUP(A494,四面弹import!A:D,4,FALSE)),0,--VLOOKUP(A494,四面弹import!A:D,4,FALSE)))</f>
        <v/>
      </c>
      <c r="F494" s="351" t="str">
        <f>IF(B494="","",IF(ISNA(--VLOOKUP(A494,四面弹import!A:E,5,FALSE)),0,--VLOOKUP(A494,四面弹import!A:E,5,FALSE)))</f>
        <v/>
      </c>
    </row>
    <row r="495" spans="1:6" s="332" customFormat="1">
      <c r="A495" s="348" t="str">
        <f t="shared" si="9"/>
        <v/>
      </c>
      <c r="E495" s="350" t="str">
        <f>IF(B495="","",IF(ISNA(--VLOOKUP(A495,四面弹import!A:D,4,FALSE)),0,--VLOOKUP(A495,四面弹import!A:D,4,FALSE)))</f>
        <v/>
      </c>
      <c r="F495" s="351" t="str">
        <f>IF(B495="","",IF(ISNA(--VLOOKUP(A495,四面弹import!A:E,5,FALSE)),0,--VLOOKUP(A495,四面弹import!A:E,5,FALSE)))</f>
        <v/>
      </c>
    </row>
    <row r="496" spans="1:6" s="332" customFormat="1">
      <c r="A496" s="348" t="str">
        <f t="shared" si="9"/>
        <v/>
      </c>
      <c r="E496" s="350" t="str">
        <f>IF(B496="","",IF(ISNA(--VLOOKUP(A496,四面弹import!A:D,4,FALSE)),0,--VLOOKUP(A496,四面弹import!A:D,4,FALSE)))</f>
        <v/>
      </c>
      <c r="F496" s="351" t="str">
        <f>IF(B496="","",IF(ISNA(--VLOOKUP(A496,四面弹import!A:E,5,FALSE)),0,--VLOOKUP(A496,四面弹import!A:E,5,FALSE)))</f>
        <v/>
      </c>
    </row>
    <row r="497" spans="1:6" s="332" customFormat="1">
      <c r="A497" s="348" t="str">
        <f t="shared" si="9"/>
        <v/>
      </c>
      <c r="E497" s="350" t="str">
        <f>IF(B497="","",IF(ISNA(--VLOOKUP(A497,四面弹import!A:D,4,FALSE)),0,--VLOOKUP(A497,四面弹import!A:D,4,FALSE)))</f>
        <v/>
      </c>
      <c r="F497" s="351" t="str">
        <f>IF(B497="","",IF(ISNA(--VLOOKUP(A497,四面弹import!A:E,5,FALSE)),0,--VLOOKUP(A497,四面弹import!A:E,5,FALSE)))</f>
        <v/>
      </c>
    </row>
    <row r="498" spans="1:6" s="332" customFormat="1">
      <c r="A498" s="348" t="str">
        <f t="shared" si="9"/>
        <v/>
      </c>
      <c r="E498" s="350" t="str">
        <f>IF(B498="","",IF(ISNA(--VLOOKUP(A498,四面弹import!A:D,4,FALSE)),0,--VLOOKUP(A498,四面弹import!A:D,4,FALSE)))</f>
        <v/>
      </c>
      <c r="F498" s="351" t="str">
        <f>IF(B498="","",IF(ISNA(--VLOOKUP(A498,四面弹import!A:E,5,FALSE)),0,--VLOOKUP(A498,四面弹import!A:E,5,FALSE)))</f>
        <v/>
      </c>
    </row>
    <row r="499" spans="1:6" s="332" customFormat="1">
      <c r="A499" s="348" t="str">
        <f t="shared" si="9"/>
        <v/>
      </c>
      <c r="E499" s="350" t="str">
        <f>IF(B499="","",IF(ISNA(--VLOOKUP(A499,四面弹import!A:D,4,FALSE)),0,--VLOOKUP(A499,四面弹import!A:D,4,FALSE)))</f>
        <v/>
      </c>
      <c r="F499" s="351" t="str">
        <f>IF(B499="","",IF(ISNA(--VLOOKUP(A499,四面弹import!A:E,5,FALSE)),0,--VLOOKUP(A499,四面弹import!A:E,5,FALSE)))</f>
        <v/>
      </c>
    </row>
    <row r="500" spans="1:6" s="332" customFormat="1">
      <c r="A500" s="348" t="str">
        <f t="shared" si="9"/>
        <v/>
      </c>
      <c r="E500" s="350" t="str">
        <f>IF(B500="","",IF(ISNA(--VLOOKUP(A500,四面弹import!A:D,4,FALSE)),0,--VLOOKUP(A500,四面弹import!A:D,4,FALSE)))</f>
        <v/>
      </c>
      <c r="F500" s="351" t="str">
        <f>IF(B500="","",IF(ISNA(--VLOOKUP(A500,四面弹import!A:E,5,FALSE)),0,--VLOOKUP(A500,四面弹import!A:E,5,FALSE)))</f>
        <v/>
      </c>
    </row>
    <row r="501" spans="1:6" s="332" customFormat="1">
      <c r="A501" s="348" t="str">
        <f t="shared" si="9"/>
        <v/>
      </c>
      <c r="E501" s="350" t="str">
        <f>IF(B501="","",IF(ISNA(--VLOOKUP(A501,四面弹import!A:D,4,FALSE)),0,--VLOOKUP(A501,四面弹import!A:D,4,FALSE)))</f>
        <v/>
      </c>
      <c r="F501" s="351" t="str">
        <f>IF(B501="","",IF(ISNA(--VLOOKUP(A501,四面弹import!A:E,5,FALSE)),0,--VLOOKUP(A501,四面弹import!A:E,5,FALSE)))</f>
        <v/>
      </c>
    </row>
    <row r="502" spans="1:6" s="332" customFormat="1">
      <c r="A502" s="348" t="str">
        <f t="shared" si="9"/>
        <v/>
      </c>
      <c r="E502" s="350" t="str">
        <f>IF(B502="","",IF(ISNA(--VLOOKUP(A502,四面弹import!A:D,4,FALSE)),0,--VLOOKUP(A502,四面弹import!A:D,4,FALSE)))</f>
        <v/>
      </c>
      <c r="F502" s="351" t="str">
        <f>IF(B502="","",IF(ISNA(--VLOOKUP(A502,四面弹import!A:E,5,FALSE)),0,--VLOOKUP(A502,四面弹import!A:E,5,FALSE)))</f>
        <v/>
      </c>
    </row>
    <row r="503" spans="1:6" s="332" customFormat="1">
      <c r="A503" s="348" t="str">
        <f t="shared" si="9"/>
        <v/>
      </c>
      <c r="E503" s="350" t="str">
        <f>IF(B503="","",IF(ISNA(--VLOOKUP(A503,四面弹import!A:D,4,FALSE)),0,--VLOOKUP(A503,四面弹import!A:D,4,FALSE)))</f>
        <v/>
      </c>
      <c r="F503" s="351" t="str">
        <f>IF(B503="","",IF(ISNA(--VLOOKUP(A503,四面弹import!A:E,5,FALSE)),0,--VLOOKUP(A503,四面弹import!A:E,5,FALSE)))</f>
        <v/>
      </c>
    </row>
    <row r="504" spans="1:6" s="332" customFormat="1">
      <c r="A504" s="348" t="str">
        <f t="shared" si="9"/>
        <v/>
      </c>
      <c r="E504" s="350" t="str">
        <f>IF(B504="","",IF(ISNA(--VLOOKUP(A504,四面弹import!A:D,4,FALSE)),0,--VLOOKUP(A504,四面弹import!A:D,4,FALSE)))</f>
        <v/>
      </c>
      <c r="F504" s="351" t="str">
        <f>IF(B504="","",IF(ISNA(--VLOOKUP(A504,四面弹import!A:E,5,FALSE)),0,--VLOOKUP(A504,四面弹import!A:E,5,FALSE)))</f>
        <v/>
      </c>
    </row>
    <row r="505" spans="1:6" s="332" customFormat="1">
      <c r="A505" s="348" t="str">
        <f t="shared" si="9"/>
        <v/>
      </c>
      <c r="E505" s="350" t="str">
        <f>IF(B505="","",IF(ISNA(--VLOOKUP(A505,四面弹import!A:D,4,FALSE)),0,--VLOOKUP(A505,四面弹import!A:D,4,FALSE)))</f>
        <v/>
      </c>
      <c r="F505" s="351" t="str">
        <f>IF(B505="","",IF(ISNA(--VLOOKUP(A505,四面弹import!A:E,5,FALSE)),0,--VLOOKUP(A505,四面弹import!A:E,5,FALSE)))</f>
        <v/>
      </c>
    </row>
    <row r="506" spans="1:6" s="332" customFormat="1">
      <c r="A506" s="348" t="str">
        <f t="shared" si="9"/>
        <v/>
      </c>
      <c r="E506" s="350" t="str">
        <f>IF(B506="","",IF(ISNA(--VLOOKUP(A506,四面弹import!A:D,4,FALSE)),0,--VLOOKUP(A506,四面弹import!A:D,4,FALSE)))</f>
        <v/>
      </c>
      <c r="F506" s="351" t="str">
        <f>IF(B506="","",IF(ISNA(--VLOOKUP(A506,四面弹import!A:E,5,FALSE)),0,--VLOOKUP(A506,四面弹import!A:E,5,FALSE)))</f>
        <v/>
      </c>
    </row>
    <row r="507" spans="1:6" s="332" customFormat="1">
      <c r="A507" s="348" t="str">
        <f t="shared" si="9"/>
        <v/>
      </c>
      <c r="E507" s="350" t="str">
        <f>IF(B507="","",IF(ISNA(--VLOOKUP(A507,四面弹import!A:D,4,FALSE)),0,--VLOOKUP(A507,四面弹import!A:D,4,FALSE)))</f>
        <v/>
      </c>
      <c r="F507" s="351" t="str">
        <f>IF(B507="","",IF(ISNA(--VLOOKUP(A507,四面弹import!A:E,5,FALSE)),0,--VLOOKUP(A507,四面弹import!A:E,5,FALSE)))</f>
        <v/>
      </c>
    </row>
    <row r="508" spans="1:6" s="332" customFormat="1">
      <c r="A508" s="348" t="str">
        <f t="shared" si="9"/>
        <v/>
      </c>
      <c r="E508" s="350" t="str">
        <f>IF(B508="","",IF(ISNA(--VLOOKUP(A508,四面弹import!A:D,4,FALSE)),0,--VLOOKUP(A508,四面弹import!A:D,4,FALSE)))</f>
        <v/>
      </c>
      <c r="F508" s="351" t="str">
        <f>IF(B508="","",IF(ISNA(--VLOOKUP(A508,四面弹import!A:E,5,FALSE)),0,--VLOOKUP(A508,四面弹import!A:E,5,FALSE)))</f>
        <v/>
      </c>
    </row>
    <row r="509" spans="1:6" s="332" customFormat="1">
      <c r="A509" s="348" t="str">
        <f t="shared" si="9"/>
        <v/>
      </c>
      <c r="E509" s="350" t="str">
        <f>IF(B509="","",IF(ISNA(--VLOOKUP(A509,四面弹import!A:D,4,FALSE)),0,--VLOOKUP(A509,四面弹import!A:D,4,FALSE)))</f>
        <v/>
      </c>
      <c r="F509" s="351" t="str">
        <f>IF(B509="","",IF(ISNA(--VLOOKUP(A509,四面弹import!A:E,5,FALSE)),0,--VLOOKUP(A509,四面弹import!A:E,5,FALSE)))</f>
        <v/>
      </c>
    </row>
    <row r="510" spans="1:6" s="332" customFormat="1">
      <c r="A510" s="348" t="str">
        <f t="shared" si="9"/>
        <v/>
      </c>
      <c r="E510" s="350" t="str">
        <f>IF(B510="","",IF(ISNA(--VLOOKUP(A510,四面弹import!A:D,4,FALSE)),0,--VLOOKUP(A510,四面弹import!A:D,4,FALSE)))</f>
        <v/>
      </c>
      <c r="F510" s="351" t="str">
        <f>IF(B510="","",IF(ISNA(--VLOOKUP(A510,四面弹import!A:E,5,FALSE)),0,--VLOOKUP(A510,四面弹import!A:E,5,FALSE)))</f>
        <v/>
      </c>
    </row>
    <row r="511" spans="1:6" s="332" customFormat="1">
      <c r="A511" s="348" t="str">
        <f t="shared" si="9"/>
        <v/>
      </c>
      <c r="E511" s="350" t="str">
        <f>IF(B511="","",IF(ISNA(--VLOOKUP(A511,四面弹import!A:D,4,FALSE)),0,--VLOOKUP(A511,四面弹import!A:D,4,FALSE)))</f>
        <v/>
      </c>
      <c r="F511" s="351" t="str">
        <f>IF(B511="","",IF(ISNA(--VLOOKUP(A511,四面弹import!A:E,5,FALSE)),0,--VLOOKUP(A511,四面弹import!A:E,5,FALSE)))</f>
        <v/>
      </c>
    </row>
    <row r="512" spans="1:6" s="332" customFormat="1">
      <c r="A512" s="348" t="str">
        <f t="shared" si="9"/>
        <v/>
      </c>
      <c r="E512" s="350" t="str">
        <f>IF(B512="","",IF(ISNA(--VLOOKUP(A512,四面弹import!A:D,4,FALSE)),0,--VLOOKUP(A512,四面弹import!A:D,4,FALSE)))</f>
        <v/>
      </c>
      <c r="F512" s="351" t="str">
        <f>IF(B512="","",IF(ISNA(--VLOOKUP(A512,四面弹import!A:E,5,FALSE)),0,--VLOOKUP(A512,四面弹import!A:E,5,FALSE)))</f>
        <v/>
      </c>
    </row>
    <row r="513" spans="1:6" s="332" customFormat="1">
      <c r="A513" s="348" t="str">
        <f t="shared" si="9"/>
        <v/>
      </c>
      <c r="E513" s="350" t="str">
        <f>IF(B513="","",IF(ISNA(--VLOOKUP(A513,四面弹import!A:D,4,FALSE)),0,--VLOOKUP(A513,四面弹import!A:D,4,FALSE)))</f>
        <v/>
      </c>
      <c r="F513" s="351" t="str">
        <f>IF(B513="","",IF(ISNA(--VLOOKUP(A513,四面弹import!A:E,5,FALSE)),0,--VLOOKUP(A513,四面弹import!A:E,5,FALSE)))</f>
        <v/>
      </c>
    </row>
    <row r="514" spans="1:6" s="332" customFormat="1">
      <c r="A514" s="348" t="str">
        <f t="shared" si="9"/>
        <v/>
      </c>
      <c r="E514" s="350" t="str">
        <f>IF(B514="","",IF(ISNA(--VLOOKUP(A514,四面弹import!A:D,4,FALSE)),0,--VLOOKUP(A514,四面弹import!A:D,4,FALSE)))</f>
        <v/>
      </c>
      <c r="F514" s="351" t="str">
        <f>IF(B514="","",IF(ISNA(--VLOOKUP(A514,四面弹import!A:E,5,FALSE)),0,--VLOOKUP(A514,四面弹import!A:E,5,FALSE)))</f>
        <v/>
      </c>
    </row>
    <row r="515" spans="1:6" s="332" customFormat="1">
      <c r="A515" s="348" t="str">
        <f t="shared" si="9"/>
        <v/>
      </c>
      <c r="E515" s="350" t="str">
        <f>IF(B515="","",IF(ISNA(--VLOOKUP(A515,四面弹import!A:D,4,FALSE)),0,--VLOOKUP(A515,四面弹import!A:D,4,FALSE)))</f>
        <v/>
      </c>
      <c r="F515" s="351" t="str">
        <f>IF(B515="","",IF(ISNA(--VLOOKUP(A515,四面弹import!A:E,5,FALSE)),0,--VLOOKUP(A515,四面弹import!A:E,5,FALSE)))</f>
        <v/>
      </c>
    </row>
    <row r="516" spans="1:6" s="332" customFormat="1">
      <c r="A516" s="348" t="str">
        <f t="shared" si="9"/>
        <v/>
      </c>
      <c r="E516" s="350" t="str">
        <f>IF(B516="","",IF(ISNA(--VLOOKUP(A516,四面弹import!A:D,4,FALSE)),0,--VLOOKUP(A516,四面弹import!A:D,4,FALSE)))</f>
        <v/>
      </c>
      <c r="F516" s="351" t="str">
        <f>IF(B516="","",IF(ISNA(--VLOOKUP(A516,四面弹import!A:E,5,FALSE)),0,--VLOOKUP(A516,四面弹import!A:E,5,FALSE)))</f>
        <v/>
      </c>
    </row>
    <row r="517" spans="1:6" s="332" customFormat="1">
      <c r="A517" s="348" t="str">
        <f t="shared" si="9"/>
        <v/>
      </c>
      <c r="E517" s="350" t="str">
        <f>IF(B517="","",IF(ISNA(--VLOOKUP(A517,四面弹import!A:D,4,FALSE)),0,--VLOOKUP(A517,四面弹import!A:D,4,FALSE)))</f>
        <v/>
      </c>
      <c r="F517" s="351" t="str">
        <f>IF(B517="","",IF(ISNA(--VLOOKUP(A517,四面弹import!A:E,5,FALSE)),0,--VLOOKUP(A517,四面弹import!A:E,5,FALSE)))</f>
        <v/>
      </c>
    </row>
    <row r="518" spans="1:6" s="332" customFormat="1">
      <c r="A518" s="348" t="str">
        <f t="shared" si="9"/>
        <v/>
      </c>
      <c r="E518" s="350" t="str">
        <f>IF(B518="","",IF(ISNA(--VLOOKUP(A518,四面弹import!A:D,4,FALSE)),0,--VLOOKUP(A518,四面弹import!A:D,4,FALSE)))</f>
        <v/>
      </c>
      <c r="F518" s="351" t="str">
        <f>IF(B518="","",IF(ISNA(--VLOOKUP(A518,四面弹import!A:E,5,FALSE)),0,--VLOOKUP(A518,四面弹import!A:E,5,FALSE)))</f>
        <v/>
      </c>
    </row>
    <row r="519" spans="1:6" s="332" customFormat="1">
      <c r="A519" s="348" t="str">
        <f t="shared" si="9"/>
        <v/>
      </c>
      <c r="E519" s="350" t="str">
        <f>IF(B519="","",IF(ISNA(--VLOOKUP(A519,四面弹import!A:D,4,FALSE)),0,--VLOOKUP(A519,四面弹import!A:D,4,FALSE)))</f>
        <v/>
      </c>
      <c r="F519" s="351" t="str">
        <f>IF(B519="","",IF(ISNA(--VLOOKUP(A519,四面弹import!A:E,5,FALSE)),0,--VLOOKUP(A519,四面弹import!A:E,5,FALSE)))</f>
        <v/>
      </c>
    </row>
    <row r="520" spans="1:6" s="332" customFormat="1">
      <c r="A520" s="348" t="str">
        <f t="shared" si="9"/>
        <v/>
      </c>
      <c r="E520" s="350" t="str">
        <f>IF(B520="","",IF(ISNA(--VLOOKUP(A520,四面弹import!A:D,4,FALSE)),0,--VLOOKUP(A520,四面弹import!A:D,4,FALSE)))</f>
        <v/>
      </c>
      <c r="F520" s="351" t="str">
        <f>IF(B520="","",IF(ISNA(--VLOOKUP(A520,四面弹import!A:E,5,FALSE)),0,--VLOOKUP(A520,四面弹import!A:E,5,FALSE)))</f>
        <v/>
      </c>
    </row>
    <row r="521" spans="1:6" s="332" customFormat="1">
      <c r="A521" s="348" t="str">
        <f t="shared" si="9"/>
        <v/>
      </c>
      <c r="E521" s="350" t="str">
        <f>IF(B521="","",IF(ISNA(--VLOOKUP(A521,四面弹import!A:D,4,FALSE)),0,--VLOOKUP(A521,四面弹import!A:D,4,FALSE)))</f>
        <v/>
      </c>
      <c r="F521" s="351" t="str">
        <f>IF(B521="","",IF(ISNA(--VLOOKUP(A521,四面弹import!A:E,5,FALSE)),0,--VLOOKUP(A521,四面弹import!A:E,5,FALSE)))</f>
        <v/>
      </c>
    </row>
    <row r="522" spans="1:6" s="332" customFormat="1">
      <c r="A522" s="348" t="str">
        <f t="shared" ref="A522:A529" si="10">SUBSTITUTE(H522," ","")&amp;I522&amp;K522&amp;M522&amp;O522&amp;Q522</f>
        <v/>
      </c>
      <c r="E522" s="350" t="str">
        <f>IF(B522="","",IF(ISNA(--VLOOKUP(A522,四面弹import!A:D,4,FALSE)),0,--VLOOKUP(A522,四面弹import!A:D,4,FALSE)))</f>
        <v/>
      </c>
      <c r="F522" s="351" t="str">
        <f>IF(B522="","",IF(ISNA(--VLOOKUP(A522,四面弹import!A:E,5,FALSE)),0,--VLOOKUP(A522,四面弹import!A:E,5,FALSE)))</f>
        <v/>
      </c>
    </row>
    <row r="523" spans="1:6" s="332" customFormat="1">
      <c r="A523" s="348" t="str">
        <f t="shared" si="10"/>
        <v/>
      </c>
      <c r="E523" s="350" t="str">
        <f>IF(B523="","",IF(ISNA(--VLOOKUP(A523,四面弹import!A:D,4,FALSE)),0,--VLOOKUP(A523,四面弹import!A:D,4,FALSE)))</f>
        <v/>
      </c>
      <c r="F523" s="351" t="str">
        <f>IF(B523="","",IF(ISNA(--VLOOKUP(A523,四面弹import!A:E,5,FALSE)),0,--VLOOKUP(A523,四面弹import!A:E,5,FALSE)))</f>
        <v/>
      </c>
    </row>
    <row r="524" spans="1:6" s="332" customFormat="1">
      <c r="A524" s="348" t="str">
        <f t="shared" si="10"/>
        <v/>
      </c>
      <c r="E524" s="350" t="str">
        <f>IF(B524="","",IF(ISNA(--VLOOKUP(A524,四面弹import!A:D,4,FALSE)),0,--VLOOKUP(A524,四面弹import!A:D,4,FALSE)))</f>
        <v/>
      </c>
      <c r="F524" s="351" t="str">
        <f>IF(B524="","",IF(ISNA(--VLOOKUP(A524,四面弹import!A:E,5,FALSE)),0,--VLOOKUP(A524,四面弹import!A:E,5,FALSE)))</f>
        <v/>
      </c>
    </row>
    <row r="525" spans="1:6" s="332" customFormat="1">
      <c r="A525" s="348" t="str">
        <f t="shared" si="10"/>
        <v/>
      </c>
      <c r="E525" s="350" t="str">
        <f>IF(B525="","",IF(ISNA(--VLOOKUP(A525,四面弹import!A:D,4,FALSE)),0,--VLOOKUP(A525,四面弹import!A:D,4,FALSE)))</f>
        <v/>
      </c>
      <c r="F525" s="351" t="str">
        <f>IF(B525="","",IF(ISNA(--VLOOKUP(A525,四面弹import!A:E,5,FALSE)),0,--VLOOKUP(A525,四面弹import!A:E,5,FALSE)))</f>
        <v/>
      </c>
    </row>
    <row r="526" spans="1:6" s="332" customFormat="1">
      <c r="A526" s="348" t="str">
        <f t="shared" si="10"/>
        <v/>
      </c>
      <c r="E526" s="350" t="str">
        <f>IF(B526="","",IF(ISNA(--VLOOKUP(A526,四面弹import!A:D,4,FALSE)),0,--VLOOKUP(A526,四面弹import!A:D,4,FALSE)))</f>
        <v/>
      </c>
      <c r="F526" s="351" t="str">
        <f>IF(B526="","",IF(ISNA(--VLOOKUP(A526,四面弹import!A:E,5,FALSE)),0,--VLOOKUP(A526,四面弹import!A:E,5,FALSE)))</f>
        <v/>
      </c>
    </row>
    <row r="527" spans="1:6" s="332" customFormat="1">
      <c r="A527" s="348" t="str">
        <f t="shared" si="10"/>
        <v/>
      </c>
      <c r="E527" s="350" t="str">
        <f>IF(B527="","",IF(ISNA(--VLOOKUP(A527,四面弹import!A:D,4,FALSE)),0,--VLOOKUP(A527,四面弹import!A:D,4,FALSE)))</f>
        <v/>
      </c>
      <c r="F527" s="351" t="str">
        <f>IF(B527="","",IF(ISNA(--VLOOKUP(A527,四面弹import!A:E,5,FALSE)),0,--VLOOKUP(A527,四面弹import!A:E,5,FALSE)))</f>
        <v/>
      </c>
    </row>
    <row r="528" spans="1:6" s="332" customFormat="1">
      <c r="A528" s="348" t="str">
        <f t="shared" si="10"/>
        <v/>
      </c>
      <c r="E528" s="350" t="str">
        <f>IF(B528="","",IF(ISNA(--VLOOKUP(A528,四面弹import!A:D,4,FALSE)),0,--VLOOKUP(A528,四面弹import!A:D,4,FALSE)))</f>
        <v/>
      </c>
      <c r="F528" s="351" t="str">
        <f>IF(B528="","",IF(ISNA(--VLOOKUP(A528,四面弹import!A:E,5,FALSE)),0,--VLOOKUP(A528,四面弹import!A:E,5,FALSE)))</f>
        <v/>
      </c>
    </row>
    <row r="529" spans="1:6" s="332" customFormat="1">
      <c r="A529" s="348" t="str">
        <f t="shared" si="10"/>
        <v/>
      </c>
      <c r="E529" s="350" t="str">
        <f>IF(B529="","",IF(ISNA(--VLOOKUP(A529,四面弹import!A:D,4,FALSE)),0,--VLOOKUP(A529,四面弹import!A:D,4,FALSE)))</f>
        <v/>
      </c>
      <c r="F529" s="351" t="str">
        <f>IF(B529="","",IF(ISNA(--VLOOKUP(A529,四面弹import!A:E,5,FALSE)),0,--VLOOKUP(A529,四面弹import!A:E,5,FALSE)))</f>
        <v/>
      </c>
    </row>
  </sheetData>
  <sortState ref="A2:U70">
    <sortCondition ref="A2:A70"/>
  </sortState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11"/>
  <dimension ref="A1:T499"/>
  <sheetViews>
    <sheetView topLeftCell="B19" workbookViewId="0">
      <selection activeCell="B1" sqref="B1:T65"/>
    </sheetView>
  </sheetViews>
  <sheetFormatPr defaultRowHeight="13.5"/>
  <cols>
    <col min="1" max="1" width="30.75" hidden="1" customWidth="1"/>
    <col min="2" max="2" width="14.125" bestFit="1" customWidth="1"/>
    <col min="3" max="3" width="9.375" bestFit="1" customWidth="1"/>
    <col min="4" max="7" width="9.5" bestFit="1" customWidth="1"/>
    <col min="8" max="8" width="30.5" bestFit="1" customWidth="1"/>
    <col min="9" max="9" width="18.375" bestFit="1" customWidth="1"/>
    <col min="11" max="11" width="5.5" bestFit="1" customWidth="1"/>
    <col min="12" max="12" width="9.5" bestFit="1" customWidth="1"/>
    <col min="13" max="13" width="7.5" bestFit="1" customWidth="1"/>
    <col min="14" max="16" width="5.5" bestFit="1" customWidth="1"/>
    <col min="17" max="17" width="22.5" bestFit="1" customWidth="1"/>
    <col min="18" max="18" width="6.5" bestFit="1" customWidth="1"/>
    <col min="19" max="19" width="10.5" bestFit="1" customWidth="1"/>
    <col min="20" max="20" width="22.5" bestFit="1" customWidth="1"/>
  </cols>
  <sheetData>
    <row r="1" spans="1:20" ht="15">
      <c r="B1" s="375" t="s">
        <v>260</v>
      </c>
      <c r="C1" s="375" t="s">
        <v>261</v>
      </c>
      <c r="D1" s="375" t="s">
        <v>262</v>
      </c>
      <c r="E1" s="375" t="s">
        <v>263</v>
      </c>
      <c r="F1" s="375" t="s">
        <v>264</v>
      </c>
      <c r="G1" s="375" t="s">
        <v>265</v>
      </c>
      <c r="H1" s="375" t="s">
        <v>266</v>
      </c>
      <c r="I1" s="375" t="s">
        <v>267</v>
      </c>
      <c r="J1" s="375" t="s">
        <v>268</v>
      </c>
      <c r="K1" s="375" t="s">
        <v>269</v>
      </c>
      <c r="L1" s="375" t="s">
        <v>126</v>
      </c>
      <c r="M1" s="375" t="s">
        <v>270</v>
      </c>
      <c r="N1" s="375" t="s">
        <v>271</v>
      </c>
      <c r="O1" s="375" t="s">
        <v>272</v>
      </c>
      <c r="P1" s="375" t="s">
        <v>124</v>
      </c>
      <c r="Q1" s="375" t="s">
        <v>273</v>
      </c>
      <c r="R1" s="375" t="s">
        <v>274</v>
      </c>
      <c r="S1" s="375" t="s">
        <v>275</v>
      </c>
      <c r="T1" s="375" t="s">
        <v>276</v>
      </c>
    </row>
    <row r="2" spans="1:20">
      <c r="A2" s="37" t="str">
        <f>SUBSTITUTE(I2," ","")&amp;J2&amp;L2&amp;N2&amp;P2&amp;T2</f>
        <v>20-30-36302438直平纹银宇18白老库存，1</v>
      </c>
      <c r="B2" s="374" t="s">
        <v>277</v>
      </c>
      <c r="C2" s="374" t="s">
        <v>278</v>
      </c>
      <c r="D2" s="374" t="s">
        <v>610</v>
      </c>
      <c r="E2" s="374" t="s">
        <v>611</v>
      </c>
      <c r="F2" s="374" t="s">
        <v>612</v>
      </c>
      <c r="G2" s="374" t="s">
        <v>612</v>
      </c>
      <c r="H2" s="374" t="s">
        <v>279</v>
      </c>
      <c r="I2" s="374" t="s">
        <v>280</v>
      </c>
      <c r="J2" s="374" t="s">
        <v>180</v>
      </c>
      <c r="K2" s="374" t="s">
        <v>613</v>
      </c>
      <c r="L2" s="374" t="s">
        <v>154</v>
      </c>
      <c r="M2" s="374" t="s">
        <v>281</v>
      </c>
      <c r="N2" s="374" t="s">
        <v>614</v>
      </c>
      <c r="O2" s="374" t="s">
        <v>282</v>
      </c>
      <c r="P2" s="374" t="s">
        <v>2</v>
      </c>
      <c r="Q2" s="374" t="s">
        <v>283</v>
      </c>
      <c r="R2" s="374" t="s">
        <v>615</v>
      </c>
      <c r="S2" s="374" t="s">
        <v>616</v>
      </c>
      <c r="T2" s="374" t="s">
        <v>284</v>
      </c>
    </row>
    <row r="3" spans="1:20">
      <c r="A3" s="37" t="str">
        <f t="shared" ref="A3:A64" si="0">SUBSTITUTE(I3," ","")&amp;J3&amp;L3&amp;N3&amp;P3&amp;T3</f>
        <v>200D乱花布乱花布荣盛白大圆机</v>
      </c>
      <c r="B3" s="374" t="s">
        <v>277</v>
      </c>
      <c r="C3" s="374" t="s">
        <v>285</v>
      </c>
      <c r="D3" s="374" t="s">
        <v>635</v>
      </c>
      <c r="E3" s="374" t="s">
        <v>641</v>
      </c>
      <c r="F3" s="374" t="s">
        <v>612</v>
      </c>
      <c r="G3" s="374" t="s">
        <v>612</v>
      </c>
      <c r="H3" s="374" t="s">
        <v>399</v>
      </c>
      <c r="I3" s="374" t="s">
        <v>1560</v>
      </c>
      <c r="J3" s="374" t="s">
        <v>1561</v>
      </c>
      <c r="K3" s="374" t="s">
        <v>612</v>
      </c>
      <c r="L3" s="374" t="s">
        <v>144</v>
      </c>
      <c r="M3" s="374" t="s">
        <v>281</v>
      </c>
      <c r="N3" s="374" t="s">
        <v>399</v>
      </c>
      <c r="O3" s="374" t="s">
        <v>281</v>
      </c>
      <c r="P3" s="374" t="s">
        <v>2</v>
      </c>
      <c r="Q3" s="374" t="s">
        <v>288</v>
      </c>
      <c r="R3" s="374" t="s">
        <v>1562</v>
      </c>
      <c r="S3" s="374" t="s">
        <v>1563</v>
      </c>
      <c r="T3" s="374" t="s">
        <v>288</v>
      </c>
    </row>
    <row r="4" spans="1:20">
      <c r="A4" s="37" t="str">
        <f t="shared" si="0"/>
        <v>200D提花布提花布荣盛0白</v>
      </c>
      <c r="B4" s="374" t="s">
        <v>277</v>
      </c>
      <c r="C4" s="374" t="s">
        <v>285</v>
      </c>
      <c r="D4" s="374" t="s">
        <v>3151</v>
      </c>
      <c r="E4" s="374" t="s">
        <v>1662</v>
      </c>
      <c r="F4" s="374" t="s">
        <v>612</v>
      </c>
      <c r="G4" s="374" t="s">
        <v>612</v>
      </c>
      <c r="H4" s="374" t="s">
        <v>286</v>
      </c>
      <c r="I4" s="374" t="s">
        <v>167</v>
      </c>
      <c r="J4" s="374" t="s">
        <v>182</v>
      </c>
      <c r="K4" s="374" t="s">
        <v>613</v>
      </c>
      <c r="L4" s="374" t="s">
        <v>144</v>
      </c>
      <c r="M4" s="374" t="s">
        <v>281</v>
      </c>
      <c r="N4" s="374" t="s">
        <v>612</v>
      </c>
      <c r="O4" s="374" t="s">
        <v>287</v>
      </c>
      <c r="P4" s="374" t="s">
        <v>2</v>
      </c>
      <c r="Q4" s="374" t="s">
        <v>288</v>
      </c>
      <c r="R4" s="374" t="s">
        <v>618</v>
      </c>
      <c r="S4" s="374" t="s">
        <v>3152</v>
      </c>
      <c r="T4" s="374" t="s">
        <v>399</v>
      </c>
    </row>
    <row r="5" spans="1:20">
      <c r="A5" s="37" t="str">
        <f t="shared" si="0"/>
        <v>20D36针直平纹涌金17白西3上</v>
      </c>
      <c r="B5" s="374" t="s">
        <v>277</v>
      </c>
      <c r="C5" s="374" t="s">
        <v>285</v>
      </c>
      <c r="D5" s="374" t="s">
        <v>619</v>
      </c>
      <c r="E5" s="374" t="s">
        <v>620</v>
      </c>
      <c r="F5" s="374" t="s">
        <v>612</v>
      </c>
      <c r="G5" s="374" t="s">
        <v>612</v>
      </c>
      <c r="H5" s="374" t="s">
        <v>289</v>
      </c>
      <c r="I5" s="374" t="s">
        <v>169</v>
      </c>
      <c r="J5" s="374" t="s">
        <v>180</v>
      </c>
      <c r="K5" s="374" t="s">
        <v>613</v>
      </c>
      <c r="L5" s="374" t="s">
        <v>156</v>
      </c>
      <c r="M5" s="374" t="s">
        <v>281</v>
      </c>
      <c r="N5" s="374" t="s">
        <v>621</v>
      </c>
      <c r="O5" s="374" t="s">
        <v>287</v>
      </c>
      <c r="P5" s="374" t="s">
        <v>2</v>
      </c>
      <c r="Q5" s="374" t="s">
        <v>612</v>
      </c>
      <c r="R5" s="374" t="s">
        <v>622</v>
      </c>
      <c r="S5" s="374" t="s">
        <v>623</v>
      </c>
      <c r="T5" s="374" t="s">
        <v>290</v>
      </c>
    </row>
    <row r="6" spans="1:20">
      <c r="A6" s="37" t="str">
        <f t="shared" si="0"/>
        <v>20D单面布单面布恒力27白大圆机S12151AS</v>
      </c>
      <c r="B6" s="374" t="s">
        <v>277</v>
      </c>
      <c r="C6" s="374" t="s">
        <v>285</v>
      </c>
      <c r="D6" s="374" t="s">
        <v>624</v>
      </c>
      <c r="E6" s="374" t="s">
        <v>625</v>
      </c>
      <c r="F6" s="374" t="s">
        <v>612</v>
      </c>
      <c r="G6" s="374" t="s">
        <v>612</v>
      </c>
      <c r="H6" s="374" t="s">
        <v>289</v>
      </c>
      <c r="I6" s="374" t="s">
        <v>171</v>
      </c>
      <c r="J6" s="374" t="s">
        <v>184</v>
      </c>
      <c r="K6" s="374" t="s">
        <v>612</v>
      </c>
      <c r="L6" s="374" t="s">
        <v>140</v>
      </c>
      <c r="M6" s="374" t="s">
        <v>281</v>
      </c>
      <c r="N6" s="374" t="s">
        <v>626</v>
      </c>
      <c r="O6" s="374" t="s">
        <v>287</v>
      </c>
      <c r="P6" s="374" t="s">
        <v>2</v>
      </c>
      <c r="Q6" s="374" t="s">
        <v>288</v>
      </c>
      <c r="R6" s="374" t="s">
        <v>627</v>
      </c>
      <c r="S6" s="374" t="s">
        <v>628</v>
      </c>
      <c r="T6" s="374" t="s">
        <v>291</v>
      </c>
    </row>
    <row r="7" spans="1:20">
      <c r="A7" s="37" t="str">
        <f t="shared" si="0"/>
        <v>20D单面布单面布涌金27白大圆机横条</v>
      </c>
      <c r="B7" s="374" t="s">
        <v>277</v>
      </c>
      <c r="C7" s="374" t="s">
        <v>285</v>
      </c>
      <c r="D7" s="374" t="s">
        <v>629</v>
      </c>
      <c r="E7" s="374" t="s">
        <v>630</v>
      </c>
      <c r="F7" s="374" t="s">
        <v>612</v>
      </c>
      <c r="G7" s="374" t="s">
        <v>612</v>
      </c>
      <c r="H7" s="374" t="s">
        <v>292</v>
      </c>
      <c r="I7" s="374" t="s">
        <v>171</v>
      </c>
      <c r="J7" s="374" t="s">
        <v>184</v>
      </c>
      <c r="K7" s="374" t="s">
        <v>612</v>
      </c>
      <c r="L7" s="374" t="s">
        <v>156</v>
      </c>
      <c r="M7" s="374" t="s">
        <v>281</v>
      </c>
      <c r="N7" s="374" t="s">
        <v>626</v>
      </c>
      <c r="O7" s="374" t="s">
        <v>282</v>
      </c>
      <c r="P7" s="374" t="s">
        <v>2</v>
      </c>
      <c r="Q7" s="374" t="s">
        <v>288</v>
      </c>
      <c r="R7" s="374" t="s">
        <v>627</v>
      </c>
      <c r="S7" s="374" t="s">
        <v>631</v>
      </c>
      <c r="T7" s="374" t="s">
        <v>293</v>
      </c>
    </row>
    <row r="8" spans="1:20">
      <c r="A8" s="37" t="str">
        <f t="shared" si="0"/>
        <v>20D单面布单面布盛虹27白J123/M000</v>
      </c>
      <c r="B8" s="374" t="s">
        <v>277</v>
      </c>
      <c r="C8" s="374" t="s">
        <v>285</v>
      </c>
      <c r="D8" s="374" t="s">
        <v>2519</v>
      </c>
      <c r="E8" s="374" t="s">
        <v>728</v>
      </c>
      <c r="F8" s="374" t="s">
        <v>612</v>
      </c>
      <c r="G8" s="374" t="s">
        <v>612</v>
      </c>
      <c r="H8" s="374" t="s">
        <v>399</v>
      </c>
      <c r="I8" s="374" t="s">
        <v>171</v>
      </c>
      <c r="J8" s="374" t="s">
        <v>184</v>
      </c>
      <c r="K8" s="374" t="s">
        <v>612</v>
      </c>
      <c r="L8" s="374" t="s">
        <v>148</v>
      </c>
      <c r="M8" s="374" t="s">
        <v>399</v>
      </c>
      <c r="N8" s="374" t="s">
        <v>626</v>
      </c>
      <c r="O8" s="374" t="s">
        <v>287</v>
      </c>
      <c r="P8" s="374" t="s">
        <v>2</v>
      </c>
      <c r="Q8" s="374" t="s">
        <v>288</v>
      </c>
      <c r="R8" s="374" t="s">
        <v>633</v>
      </c>
      <c r="S8" s="374" t="s">
        <v>2520</v>
      </c>
      <c r="T8" s="374" t="s">
        <v>294</v>
      </c>
    </row>
    <row r="9" spans="1:20">
      <c r="A9" s="37" t="str">
        <f t="shared" si="0"/>
        <v>20D单面布单面布恒德25白大圆机135度</v>
      </c>
      <c r="B9" s="374" t="s">
        <v>277</v>
      </c>
      <c r="C9" s="374" t="s">
        <v>285</v>
      </c>
      <c r="D9" s="374" t="s">
        <v>634</v>
      </c>
      <c r="E9" s="374" t="s">
        <v>620</v>
      </c>
      <c r="F9" s="374" t="s">
        <v>612</v>
      </c>
      <c r="G9" s="374" t="s">
        <v>612</v>
      </c>
      <c r="H9" s="374" t="s">
        <v>295</v>
      </c>
      <c r="I9" s="374" t="s">
        <v>171</v>
      </c>
      <c r="J9" s="374" t="s">
        <v>184</v>
      </c>
      <c r="K9" s="374" t="s">
        <v>612</v>
      </c>
      <c r="L9" s="374" t="s">
        <v>138</v>
      </c>
      <c r="M9" s="374" t="s">
        <v>281</v>
      </c>
      <c r="N9" s="374" t="s">
        <v>635</v>
      </c>
      <c r="O9" s="374" t="s">
        <v>287</v>
      </c>
      <c r="P9" s="374" t="s">
        <v>2</v>
      </c>
      <c r="Q9" s="374" t="s">
        <v>288</v>
      </c>
      <c r="R9" s="374" t="s">
        <v>627</v>
      </c>
      <c r="S9" s="374" t="s">
        <v>636</v>
      </c>
      <c r="T9" s="374" t="s">
        <v>296</v>
      </c>
    </row>
    <row r="10" spans="1:20">
      <c r="A10" s="37" t="str">
        <f t="shared" si="0"/>
        <v>20D单面布直平纹亚正27白大圆机</v>
      </c>
      <c r="B10" s="374" t="s">
        <v>277</v>
      </c>
      <c r="C10" s="374" t="s">
        <v>285</v>
      </c>
      <c r="D10" s="374" t="s">
        <v>637</v>
      </c>
      <c r="E10" s="374" t="s">
        <v>638</v>
      </c>
      <c r="F10" s="374" t="s">
        <v>612</v>
      </c>
      <c r="G10" s="374" t="s">
        <v>612</v>
      </c>
      <c r="H10" s="374" t="s">
        <v>289</v>
      </c>
      <c r="I10" s="374" t="s">
        <v>171</v>
      </c>
      <c r="J10" s="374" t="s">
        <v>180</v>
      </c>
      <c r="K10" s="374" t="s">
        <v>613</v>
      </c>
      <c r="L10" s="374" t="s">
        <v>152</v>
      </c>
      <c r="M10" s="374" t="s">
        <v>281</v>
      </c>
      <c r="N10" s="374" t="s">
        <v>626</v>
      </c>
      <c r="O10" s="374" t="s">
        <v>287</v>
      </c>
      <c r="P10" s="374" t="s">
        <v>2</v>
      </c>
      <c r="Q10" s="374" t="s">
        <v>288</v>
      </c>
      <c r="R10" s="374" t="s">
        <v>627</v>
      </c>
      <c r="S10" s="374" t="s">
        <v>639</v>
      </c>
      <c r="T10" s="374" t="s">
        <v>288</v>
      </c>
    </row>
    <row r="11" spans="1:20">
      <c r="A11" s="37" t="str">
        <f t="shared" si="0"/>
        <v>30D单面布单面布恒力28白211591AS6</v>
      </c>
      <c r="B11" s="374" t="s">
        <v>277</v>
      </c>
      <c r="C11" s="374" t="s">
        <v>285</v>
      </c>
      <c r="D11" s="374" t="s">
        <v>640</v>
      </c>
      <c r="E11" s="374" t="s">
        <v>641</v>
      </c>
      <c r="F11" s="374" t="s">
        <v>612</v>
      </c>
      <c r="G11" s="374" t="s">
        <v>612</v>
      </c>
      <c r="H11" s="374" t="s">
        <v>399</v>
      </c>
      <c r="I11" s="374" t="s">
        <v>172</v>
      </c>
      <c r="J11" s="374" t="s">
        <v>184</v>
      </c>
      <c r="K11" s="374" t="s">
        <v>613</v>
      </c>
      <c r="L11" s="374" t="s">
        <v>140</v>
      </c>
      <c r="M11" s="374" t="s">
        <v>281</v>
      </c>
      <c r="N11" s="374" t="s">
        <v>629</v>
      </c>
      <c r="O11" s="374" t="s">
        <v>287</v>
      </c>
      <c r="P11" s="374" t="s">
        <v>2</v>
      </c>
      <c r="Q11" s="374" t="s">
        <v>288</v>
      </c>
      <c r="R11" s="374" t="s">
        <v>642</v>
      </c>
      <c r="S11" s="374" t="s">
        <v>643</v>
      </c>
      <c r="T11" s="374" t="s">
        <v>297</v>
      </c>
    </row>
    <row r="12" spans="1:20">
      <c r="A12" s="37" t="str">
        <f t="shared" si="0"/>
        <v>30D单面布单面布恒力28白213531AS5</v>
      </c>
      <c r="B12" s="374" t="s">
        <v>277</v>
      </c>
      <c r="C12" s="374" t="s">
        <v>285</v>
      </c>
      <c r="D12" s="374" t="s">
        <v>1564</v>
      </c>
      <c r="E12" s="374" t="s">
        <v>719</v>
      </c>
      <c r="F12" s="374" t="s">
        <v>612</v>
      </c>
      <c r="G12" s="374" t="s">
        <v>612</v>
      </c>
      <c r="H12" s="374" t="s">
        <v>399</v>
      </c>
      <c r="I12" s="374" t="s">
        <v>172</v>
      </c>
      <c r="J12" s="374" t="s">
        <v>184</v>
      </c>
      <c r="K12" s="374" t="s">
        <v>612</v>
      </c>
      <c r="L12" s="374" t="s">
        <v>140</v>
      </c>
      <c r="M12" s="374" t="s">
        <v>281</v>
      </c>
      <c r="N12" s="374" t="s">
        <v>629</v>
      </c>
      <c r="O12" s="374" t="s">
        <v>287</v>
      </c>
      <c r="P12" s="374" t="s">
        <v>2</v>
      </c>
      <c r="Q12" s="374" t="s">
        <v>288</v>
      </c>
      <c r="R12" s="374" t="s">
        <v>644</v>
      </c>
      <c r="S12" s="374" t="s">
        <v>1565</v>
      </c>
      <c r="T12" s="374" t="s">
        <v>298</v>
      </c>
    </row>
    <row r="13" spans="1:20">
      <c r="A13" s="37" t="str">
        <f t="shared" si="0"/>
        <v>30D双面布双面布恒力68白老库存，大圆机试样</v>
      </c>
      <c r="B13" s="374" t="s">
        <v>277</v>
      </c>
      <c r="C13" s="374" t="s">
        <v>285</v>
      </c>
      <c r="D13" s="374" t="s">
        <v>645</v>
      </c>
      <c r="E13" s="374" t="s">
        <v>620</v>
      </c>
      <c r="F13" s="374" t="s">
        <v>612</v>
      </c>
      <c r="G13" s="374" t="s">
        <v>612</v>
      </c>
      <c r="H13" s="374" t="s">
        <v>299</v>
      </c>
      <c r="I13" s="374" t="s">
        <v>174</v>
      </c>
      <c r="J13" s="374" t="s">
        <v>186</v>
      </c>
      <c r="K13" s="374" t="s">
        <v>613</v>
      </c>
      <c r="L13" s="374" t="s">
        <v>140</v>
      </c>
      <c r="M13" s="374" t="s">
        <v>281</v>
      </c>
      <c r="N13" s="374" t="s">
        <v>611</v>
      </c>
      <c r="O13" s="374" t="s">
        <v>287</v>
      </c>
      <c r="P13" s="374" t="s">
        <v>2</v>
      </c>
      <c r="Q13" s="374" t="s">
        <v>288</v>
      </c>
      <c r="R13" s="374" t="s">
        <v>646</v>
      </c>
      <c r="S13" s="374" t="s">
        <v>647</v>
      </c>
      <c r="T13" s="374" t="s">
        <v>300</v>
      </c>
    </row>
    <row r="14" spans="1:20">
      <c r="A14" s="37" t="str">
        <f t="shared" si="0"/>
        <v>50-30-32小W长乐35白32针/常温</v>
      </c>
      <c r="B14" s="374" t="s">
        <v>277</v>
      </c>
      <c r="C14" s="374" t="s">
        <v>285</v>
      </c>
      <c r="D14" s="374" t="s">
        <v>3153</v>
      </c>
      <c r="E14" s="374" t="s">
        <v>670</v>
      </c>
      <c r="F14" s="374" t="s">
        <v>612</v>
      </c>
      <c r="G14" s="374" t="s">
        <v>612</v>
      </c>
      <c r="H14" s="374" t="s">
        <v>1821</v>
      </c>
      <c r="I14" s="374" t="s">
        <v>176</v>
      </c>
      <c r="J14" s="374" t="s">
        <v>301</v>
      </c>
      <c r="K14" s="374" t="s">
        <v>613</v>
      </c>
      <c r="L14" s="374" t="s">
        <v>158</v>
      </c>
      <c r="M14" s="374" t="s">
        <v>281</v>
      </c>
      <c r="N14" s="374" t="s">
        <v>663</v>
      </c>
      <c r="O14" s="374" t="s">
        <v>287</v>
      </c>
      <c r="P14" s="374" t="s">
        <v>2</v>
      </c>
      <c r="Q14" s="374" t="s">
        <v>612</v>
      </c>
      <c r="R14" s="374" t="s">
        <v>675</v>
      </c>
      <c r="S14" s="374" t="s">
        <v>3154</v>
      </c>
      <c r="T14" s="374" t="s">
        <v>1822</v>
      </c>
    </row>
    <row r="15" spans="1:20">
      <c r="A15" s="37" t="str">
        <f t="shared" si="0"/>
        <v>50D单面布直平纹长乐33白大圆机高温</v>
      </c>
      <c r="B15" s="374" t="s">
        <v>277</v>
      </c>
      <c r="C15" s="374" t="s">
        <v>285</v>
      </c>
      <c r="D15" s="374" t="s">
        <v>651</v>
      </c>
      <c r="E15" s="374" t="s">
        <v>641</v>
      </c>
      <c r="F15" s="374" t="s">
        <v>612</v>
      </c>
      <c r="G15" s="374" t="s">
        <v>612</v>
      </c>
      <c r="H15" s="374" t="s">
        <v>303</v>
      </c>
      <c r="I15" s="374" t="s">
        <v>178</v>
      </c>
      <c r="J15" s="374" t="s">
        <v>180</v>
      </c>
      <c r="K15" s="374" t="s">
        <v>612</v>
      </c>
      <c r="L15" s="374" t="s">
        <v>158</v>
      </c>
      <c r="M15" s="374" t="s">
        <v>281</v>
      </c>
      <c r="N15" s="374" t="s">
        <v>652</v>
      </c>
      <c r="O15" s="374" t="s">
        <v>287</v>
      </c>
      <c r="P15" s="374" t="s">
        <v>2</v>
      </c>
      <c r="Q15" s="374" t="s">
        <v>288</v>
      </c>
      <c r="R15" s="374" t="s">
        <v>653</v>
      </c>
      <c r="S15" s="374" t="s">
        <v>654</v>
      </c>
      <c r="T15" s="374" t="s">
        <v>304</v>
      </c>
    </row>
    <row r="16" spans="1:20">
      <c r="A16" s="37" t="str">
        <f t="shared" si="0"/>
        <v>50D单面布直平纹长乐39白7.8以后大圆机</v>
      </c>
      <c r="B16" s="374" t="s">
        <v>277</v>
      </c>
      <c r="C16" s="374" t="s">
        <v>285</v>
      </c>
      <c r="D16" s="374" t="s">
        <v>655</v>
      </c>
      <c r="E16" s="374" t="s">
        <v>656</v>
      </c>
      <c r="F16" s="374" t="s">
        <v>612</v>
      </c>
      <c r="G16" s="374" t="s">
        <v>612</v>
      </c>
      <c r="H16" s="374" t="s">
        <v>305</v>
      </c>
      <c r="I16" s="374" t="s">
        <v>178</v>
      </c>
      <c r="J16" s="374" t="s">
        <v>180</v>
      </c>
      <c r="K16" s="374" t="s">
        <v>613</v>
      </c>
      <c r="L16" s="374" t="s">
        <v>158</v>
      </c>
      <c r="M16" s="374" t="s">
        <v>281</v>
      </c>
      <c r="N16" s="374" t="s">
        <v>657</v>
      </c>
      <c r="O16" s="374" t="s">
        <v>287</v>
      </c>
      <c r="P16" s="374" t="s">
        <v>2</v>
      </c>
      <c r="Q16" s="374" t="s">
        <v>288</v>
      </c>
      <c r="R16" s="374" t="s">
        <v>658</v>
      </c>
      <c r="S16" s="374" t="s">
        <v>659</v>
      </c>
      <c r="T16" s="374" t="s">
        <v>306</v>
      </c>
    </row>
    <row r="17" spans="1:20">
      <c r="A17" s="37" t="str">
        <f t="shared" si="0"/>
        <v>50D四面弹小W35白东华外购</v>
      </c>
      <c r="B17" s="374" t="s">
        <v>277</v>
      </c>
      <c r="C17" s="374" t="s">
        <v>285</v>
      </c>
      <c r="D17" s="374" t="s">
        <v>3155</v>
      </c>
      <c r="E17" s="374" t="s">
        <v>3156</v>
      </c>
      <c r="F17" s="374" t="s">
        <v>612</v>
      </c>
      <c r="G17" s="374" t="s">
        <v>612</v>
      </c>
      <c r="H17" s="374" t="s">
        <v>399</v>
      </c>
      <c r="I17" s="374" t="s">
        <v>1566</v>
      </c>
      <c r="J17" s="374" t="s">
        <v>301</v>
      </c>
      <c r="K17" s="374" t="s">
        <v>613</v>
      </c>
      <c r="L17" s="374" t="s">
        <v>399</v>
      </c>
      <c r="M17" s="374" t="s">
        <v>399</v>
      </c>
      <c r="N17" s="374" t="s">
        <v>663</v>
      </c>
      <c r="O17" s="374" t="s">
        <v>287</v>
      </c>
      <c r="P17" s="374" t="s">
        <v>2</v>
      </c>
      <c r="Q17" s="374" t="s">
        <v>1658</v>
      </c>
      <c r="R17" s="374" t="s">
        <v>1657</v>
      </c>
      <c r="S17" s="374" t="s">
        <v>3157</v>
      </c>
      <c r="T17" s="374" t="s">
        <v>1658</v>
      </c>
    </row>
    <row r="18" spans="1:20">
      <c r="A18" s="37" t="str">
        <f t="shared" si="0"/>
        <v>50D四面弹小W威尔35白威尔外加工</v>
      </c>
      <c r="B18" s="374" t="s">
        <v>277</v>
      </c>
      <c r="C18" s="374" t="s">
        <v>285</v>
      </c>
      <c r="D18" s="374" t="s">
        <v>3023</v>
      </c>
      <c r="E18" s="374" t="s">
        <v>2226</v>
      </c>
      <c r="F18" s="374" t="s">
        <v>612</v>
      </c>
      <c r="G18" s="374" t="s">
        <v>612</v>
      </c>
      <c r="H18" s="374" t="s">
        <v>399</v>
      </c>
      <c r="I18" s="374" t="s">
        <v>1566</v>
      </c>
      <c r="J18" s="374" t="s">
        <v>301</v>
      </c>
      <c r="K18" s="374" t="s">
        <v>613</v>
      </c>
      <c r="L18" s="374" t="s">
        <v>563</v>
      </c>
      <c r="M18" s="374" t="s">
        <v>281</v>
      </c>
      <c r="N18" s="374" t="s">
        <v>663</v>
      </c>
      <c r="O18" s="374" t="s">
        <v>287</v>
      </c>
      <c r="P18" s="374" t="s">
        <v>2</v>
      </c>
      <c r="Q18" s="374" t="s">
        <v>2808</v>
      </c>
      <c r="R18" s="374" t="s">
        <v>2923</v>
      </c>
      <c r="S18" s="374" t="s">
        <v>3024</v>
      </c>
      <c r="T18" s="374" t="s">
        <v>2808</v>
      </c>
    </row>
    <row r="19" spans="1:20">
      <c r="A19" s="37" t="str">
        <f t="shared" si="0"/>
        <v>75-30-20大W长乐42白21325</v>
      </c>
      <c r="B19" s="374" t="s">
        <v>277</v>
      </c>
      <c r="C19" s="374" t="s">
        <v>285</v>
      </c>
      <c r="D19" s="374" t="s">
        <v>3158</v>
      </c>
      <c r="E19" s="374" t="s">
        <v>2757</v>
      </c>
      <c r="F19" s="374" t="s">
        <v>612</v>
      </c>
      <c r="G19" s="374" t="s">
        <v>612</v>
      </c>
      <c r="H19" s="374" t="s">
        <v>399</v>
      </c>
      <c r="I19" s="374" t="s">
        <v>1568</v>
      </c>
      <c r="J19" s="374" t="s">
        <v>168</v>
      </c>
      <c r="K19" s="374" t="s">
        <v>613</v>
      </c>
      <c r="L19" s="374" t="s">
        <v>158</v>
      </c>
      <c r="M19" s="374" t="s">
        <v>281</v>
      </c>
      <c r="N19" s="374" t="s">
        <v>681</v>
      </c>
      <c r="O19" s="374" t="s">
        <v>287</v>
      </c>
      <c r="P19" s="374" t="s">
        <v>2</v>
      </c>
      <c r="Q19" s="374" t="s">
        <v>612</v>
      </c>
      <c r="R19" s="374" t="s">
        <v>1569</v>
      </c>
      <c r="S19" s="374" t="s">
        <v>3159</v>
      </c>
      <c r="T19" s="374" t="s">
        <v>691</v>
      </c>
    </row>
    <row r="20" spans="1:20">
      <c r="A20" s="37" t="str">
        <f t="shared" si="0"/>
        <v>75D平纹平纹0白东华外购30上3个</v>
      </c>
      <c r="B20" s="374" t="s">
        <v>277</v>
      </c>
      <c r="C20" s="374" t="s">
        <v>285</v>
      </c>
      <c r="D20" s="374" t="s">
        <v>660</v>
      </c>
      <c r="E20" s="374" t="s">
        <v>630</v>
      </c>
      <c r="F20" s="374" t="s">
        <v>612</v>
      </c>
      <c r="G20" s="374" t="s">
        <v>612</v>
      </c>
      <c r="H20" s="374" t="s">
        <v>399</v>
      </c>
      <c r="I20" s="374" t="s">
        <v>179</v>
      </c>
      <c r="J20" s="374" t="s">
        <v>188</v>
      </c>
      <c r="K20" s="374" t="s">
        <v>613</v>
      </c>
      <c r="L20" s="374" t="s">
        <v>399</v>
      </c>
      <c r="M20" s="374" t="s">
        <v>399</v>
      </c>
      <c r="N20" s="374" t="s">
        <v>612</v>
      </c>
      <c r="O20" s="374" t="s">
        <v>287</v>
      </c>
      <c r="P20" s="374" t="s">
        <v>2</v>
      </c>
      <c r="Q20" s="374" t="s">
        <v>612</v>
      </c>
      <c r="R20" s="374" t="s">
        <v>661</v>
      </c>
      <c r="S20" s="374" t="s">
        <v>662</v>
      </c>
      <c r="T20" s="374" t="s">
        <v>307</v>
      </c>
    </row>
    <row r="21" spans="1:20">
      <c r="A21" s="37" t="str">
        <f t="shared" si="0"/>
        <v xml:space="preserve">A50-30-28直平纹长乐27白
</v>
      </c>
      <c r="B21" s="374" t="s">
        <v>277</v>
      </c>
      <c r="C21" s="374" t="s">
        <v>285</v>
      </c>
      <c r="D21" s="374" t="s">
        <v>3160</v>
      </c>
      <c r="E21" s="374" t="s">
        <v>2313</v>
      </c>
      <c r="F21" s="374" t="s">
        <v>612</v>
      </c>
      <c r="G21" s="374" t="s">
        <v>612</v>
      </c>
      <c r="H21" s="374" t="s">
        <v>2598</v>
      </c>
      <c r="I21" s="374" t="s">
        <v>309</v>
      </c>
      <c r="J21" s="374" t="s">
        <v>180</v>
      </c>
      <c r="K21" s="374" t="s">
        <v>613</v>
      </c>
      <c r="L21" s="374" t="s">
        <v>158</v>
      </c>
      <c r="M21" s="374" t="s">
        <v>281</v>
      </c>
      <c r="N21" s="374" t="s">
        <v>626</v>
      </c>
      <c r="O21" s="374" t="s">
        <v>287</v>
      </c>
      <c r="P21" s="374" t="s">
        <v>2</v>
      </c>
      <c r="Q21" s="374" t="s">
        <v>612</v>
      </c>
      <c r="R21" s="374" t="s">
        <v>2599</v>
      </c>
      <c r="S21" s="374" t="s">
        <v>3161</v>
      </c>
      <c r="T21" s="374" t="s">
        <v>2600</v>
      </c>
    </row>
    <row r="22" spans="1:20">
      <c r="A22" s="37" t="str">
        <f t="shared" si="0"/>
        <v>A50-30-28大W长乐38白</v>
      </c>
      <c r="B22" s="374" t="s">
        <v>277</v>
      </c>
      <c r="C22" s="374" t="s">
        <v>285</v>
      </c>
      <c r="D22" s="374" t="s">
        <v>2809</v>
      </c>
      <c r="E22" s="374" t="s">
        <v>1570</v>
      </c>
      <c r="F22" s="374" t="s">
        <v>612</v>
      </c>
      <c r="G22" s="374" t="s">
        <v>612</v>
      </c>
      <c r="H22" s="374" t="s">
        <v>2489</v>
      </c>
      <c r="I22" s="374" t="s">
        <v>309</v>
      </c>
      <c r="J22" s="374" t="s">
        <v>168</v>
      </c>
      <c r="K22" s="374" t="s">
        <v>613</v>
      </c>
      <c r="L22" s="374" t="s">
        <v>158</v>
      </c>
      <c r="M22" s="374" t="s">
        <v>281</v>
      </c>
      <c r="N22" s="374" t="s">
        <v>678</v>
      </c>
      <c r="O22" s="374" t="s">
        <v>287</v>
      </c>
      <c r="P22" s="374" t="s">
        <v>2</v>
      </c>
      <c r="Q22" s="374" t="s">
        <v>612</v>
      </c>
      <c r="R22" s="374" t="s">
        <v>2490</v>
      </c>
      <c r="S22" s="374" t="s">
        <v>2810</v>
      </c>
      <c r="T22" s="374" t="s">
        <v>399</v>
      </c>
    </row>
    <row r="23" spans="1:20">
      <c r="A23" s="37" t="str">
        <f t="shared" si="0"/>
        <v>A50-30-28小W固力35黑固力</v>
      </c>
      <c r="B23" s="374" t="s">
        <v>277</v>
      </c>
      <c r="C23" s="374" t="s">
        <v>285</v>
      </c>
      <c r="D23" s="374" t="s">
        <v>3162</v>
      </c>
      <c r="E23" s="374" t="s">
        <v>679</v>
      </c>
      <c r="F23" s="374" t="s">
        <v>612</v>
      </c>
      <c r="G23" s="374" t="s">
        <v>612</v>
      </c>
      <c r="H23" s="374" t="s">
        <v>308</v>
      </c>
      <c r="I23" s="374" t="s">
        <v>309</v>
      </c>
      <c r="J23" s="374" t="s">
        <v>301</v>
      </c>
      <c r="K23" s="374" t="s">
        <v>613</v>
      </c>
      <c r="L23" s="374" t="s">
        <v>136</v>
      </c>
      <c r="M23" s="374" t="s">
        <v>281</v>
      </c>
      <c r="N23" s="374" t="s">
        <v>663</v>
      </c>
      <c r="O23" s="374" t="s">
        <v>287</v>
      </c>
      <c r="P23" s="374" t="s">
        <v>1</v>
      </c>
      <c r="Q23" s="374" t="s">
        <v>612</v>
      </c>
      <c r="R23" s="374" t="s">
        <v>664</v>
      </c>
      <c r="S23" s="374" t="s">
        <v>3163</v>
      </c>
      <c r="T23" s="374" t="s">
        <v>136</v>
      </c>
    </row>
    <row r="24" spans="1:20">
      <c r="A24" s="37" t="str">
        <f t="shared" si="0"/>
        <v>A50-30-28小W长乐35白大机 常温</v>
      </c>
      <c r="B24" s="374" t="s">
        <v>277</v>
      </c>
      <c r="C24" s="374" t="s">
        <v>285</v>
      </c>
      <c r="D24" s="374" t="s">
        <v>3164</v>
      </c>
      <c r="E24" s="374" t="s">
        <v>3165</v>
      </c>
      <c r="F24" s="374" t="s">
        <v>612</v>
      </c>
      <c r="G24" s="374" t="s">
        <v>612</v>
      </c>
      <c r="H24" s="374" t="s">
        <v>1824</v>
      </c>
      <c r="I24" s="374" t="s">
        <v>309</v>
      </c>
      <c r="J24" s="374" t="s">
        <v>301</v>
      </c>
      <c r="K24" s="374" t="s">
        <v>613</v>
      </c>
      <c r="L24" s="374" t="s">
        <v>158</v>
      </c>
      <c r="M24" s="374" t="s">
        <v>281</v>
      </c>
      <c r="N24" s="374" t="s">
        <v>663</v>
      </c>
      <c r="O24" s="374" t="s">
        <v>287</v>
      </c>
      <c r="P24" s="374" t="s">
        <v>2</v>
      </c>
      <c r="Q24" s="374" t="s">
        <v>1825</v>
      </c>
      <c r="R24" s="374" t="s">
        <v>658</v>
      </c>
      <c r="S24" s="374" t="s">
        <v>3166</v>
      </c>
      <c r="T24" s="374" t="s">
        <v>1825</v>
      </c>
    </row>
    <row r="25" spans="1:20">
      <c r="A25" s="37" t="str">
        <f t="shared" si="0"/>
        <v>A50-30-28小W固力35黑有油</v>
      </c>
      <c r="B25" s="374" t="s">
        <v>277</v>
      </c>
      <c r="C25" s="374" t="s">
        <v>285</v>
      </c>
      <c r="D25" s="374" t="s">
        <v>2506</v>
      </c>
      <c r="E25" s="374" t="s">
        <v>679</v>
      </c>
      <c r="F25" s="374" t="s">
        <v>612</v>
      </c>
      <c r="G25" s="374" t="s">
        <v>612</v>
      </c>
      <c r="H25" s="374" t="s">
        <v>399</v>
      </c>
      <c r="I25" s="374" t="s">
        <v>309</v>
      </c>
      <c r="J25" s="374" t="s">
        <v>301</v>
      </c>
      <c r="K25" s="374" t="s">
        <v>613</v>
      </c>
      <c r="L25" s="374" t="s">
        <v>136</v>
      </c>
      <c r="M25" s="374" t="s">
        <v>281</v>
      </c>
      <c r="N25" s="374" t="s">
        <v>663</v>
      </c>
      <c r="O25" s="374" t="s">
        <v>287</v>
      </c>
      <c r="P25" s="374" t="s">
        <v>1</v>
      </c>
      <c r="Q25" s="374" t="s">
        <v>312</v>
      </c>
      <c r="R25" s="374" t="s">
        <v>668</v>
      </c>
      <c r="S25" s="374" t="s">
        <v>2507</v>
      </c>
      <c r="T25" s="374" t="s">
        <v>312</v>
      </c>
    </row>
    <row r="26" spans="1:20">
      <c r="A26" s="37" t="str">
        <f t="shared" si="0"/>
        <v>A50-30-28直平纹长乐36白</v>
      </c>
      <c r="B26" s="374" t="s">
        <v>277</v>
      </c>
      <c r="C26" s="374" t="s">
        <v>285</v>
      </c>
      <c r="D26" s="374" t="s">
        <v>1642</v>
      </c>
      <c r="E26" s="374" t="s">
        <v>715</v>
      </c>
      <c r="F26" s="374" t="s">
        <v>612</v>
      </c>
      <c r="G26" s="374" t="s">
        <v>612</v>
      </c>
      <c r="H26" s="374" t="s">
        <v>399</v>
      </c>
      <c r="I26" s="374" t="s">
        <v>309</v>
      </c>
      <c r="J26" s="374" t="s">
        <v>180</v>
      </c>
      <c r="K26" s="374" t="s">
        <v>613</v>
      </c>
      <c r="L26" s="374" t="s">
        <v>158</v>
      </c>
      <c r="M26" s="374" t="s">
        <v>281</v>
      </c>
      <c r="N26" s="374" t="s">
        <v>1570</v>
      </c>
      <c r="O26" s="374" t="s">
        <v>287</v>
      </c>
      <c r="P26" s="374" t="s">
        <v>2</v>
      </c>
      <c r="Q26" s="374" t="s">
        <v>612</v>
      </c>
      <c r="R26" s="374" t="s">
        <v>716</v>
      </c>
      <c r="S26" s="374" t="s">
        <v>1643</v>
      </c>
      <c r="T26" s="374" t="s">
        <v>399</v>
      </c>
    </row>
    <row r="27" spans="1:20">
      <c r="A27" s="37" t="str">
        <f t="shared" si="0"/>
        <v>A50-30-28小W长乐35白小机常温竖条</v>
      </c>
      <c r="B27" s="374" t="s">
        <v>277</v>
      </c>
      <c r="C27" s="374" t="s">
        <v>285</v>
      </c>
      <c r="D27" s="374" t="s">
        <v>671</v>
      </c>
      <c r="E27" s="374" t="s">
        <v>620</v>
      </c>
      <c r="F27" s="374" t="s">
        <v>612</v>
      </c>
      <c r="G27" s="374" t="s">
        <v>612</v>
      </c>
      <c r="H27" s="374" t="s">
        <v>399</v>
      </c>
      <c r="I27" s="374" t="s">
        <v>309</v>
      </c>
      <c r="J27" s="374" t="s">
        <v>301</v>
      </c>
      <c r="K27" s="374" t="s">
        <v>613</v>
      </c>
      <c r="L27" s="374" t="s">
        <v>158</v>
      </c>
      <c r="M27" s="374" t="s">
        <v>281</v>
      </c>
      <c r="N27" s="374" t="s">
        <v>663</v>
      </c>
      <c r="O27" s="374" t="s">
        <v>282</v>
      </c>
      <c r="P27" s="374" t="s">
        <v>2</v>
      </c>
      <c r="Q27" s="374" t="s">
        <v>315</v>
      </c>
      <c r="R27" s="374" t="s">
        <v>672</v>
      </c>
      <c r="S27" s="374" t="s">
        <v>673</v>
      </c>
      <c r="T27" s="374" t="s">
        <v>316</v>
      </c>
    </row>
    <row r="28" spans="1:20">
      <c r="A28" s="37" t="str">
        <f t="shared" si="0"/>
        <v>A50-30-28小W长乐32白大机/常温横条</v>
      </c>
      <c r="B28" s="374" t="s">
        <v>277</v>
      </c>
      <c r="C28" s="374" t="s">
        <v>278</v>
      </c>
      <c r="D28" s="374" t="s">
        <v>674</v>
      </c>
      <c r="E28" s="374" t="s">
        <v>641</v>
      </c>
      <c r="F28" s="374" t="s">
        <v>612</v>
      </c>
      <c r="G28" s="374" t="s">
        <v>612</v>
      </c>
      <c r="H28" s="374" t="s">
        <v>317</v>
      </c>
      <c r="I28" s="374" t="s">
        <v>309</v>
      </c>
      <c r="J28" s="374" t="s">
        <v>301</v>
      </c>
      <c r="K28" s="374" t="s">
        <v>613</v>
      </c>
      <c r="L28" s="374" t="s">
        <v>158</v>
      </c>
      <c r="M28" s="374" t="s">
        <v>281</v>
      </c>
      <c r="N28" s="374" t="s">
        <v>649</v>
      </c>
      <c r="O28" s="374" t="s">
        <v>282</v>
      </c>
      <c r="P28" s="374" t="s">
        <v>2</v>
      </c>
      <c r="Q28" s="374" t="s">
        <v>318</v>
      </c>
      <c r="R28" s="374" t="s">
        <v>675</v>
      </c>
      <c r="S28" s="374" t="s">
        <v>676</v>
      </c>
      <c r="T28" s="374" t="s">
        <v>319</v>
      </c>
    </row>
    <row r="29" spans="1:20">
      <c r="A29" s="37" t="str">
        <f t="shared" si="0"/>
        <v>A50-30-28大W长乐35白最新入库</v>
      </c>
      <c r="B29" s="374" t="s">
        <v>277</v>
      </c>
      <c r="C29" s="374" t="s">
        <v>285</v>
      </c>
      <c r="D29" s="374" t="s">
        <v>3167</v>
      </c>
      <c r="E29" s="374" t="s">
        <v>702</v>
      </c>
      <c r="F29" s="374" t="s">
        <v>612</v>
      </c>
      <c r="G29" s="374" t="s">
        <v>612</v>
      </c>
      <c r="H29" s="374" t="s">
        <v>399</v>
      </c>
      <c r="I29" s="374" t="s">
        <v>309</v>
      </c>
      <c r="J29" s="374" t="s">
        <v>168</v>
      </c>
      <c r="K29" s="374" t="s">
        <v>613</v>
      </c>
      <c r="L29" s="374" t="s">
        <v>158</v>
      </c>
      <c r="M29" s="374" t="s">
        <v>281</v>
      </c>
      <c r="N29" s="374" t="s">
        <v>663</v>
      </c>
      <c r="O29" s="374" t="s">
        <v>287</v>
      </c>
      <c r="P29" s="374" t="s">
        <v>2</v>
      </c>
      <c r="Q29" s="374" t="s">
        <v>612</v>
      </c>
      <c r="R29" s="374" t="s">
        <v>677</v>
      </c>
      <c r="S29" s="374" t="s">
        <v>3168</v>
      </c>
      <c r="T29" s="374" t="s">
        <v>320</v>
      </c>
    </row>
    <row r="30" spans="1:20">
      <c r="A30" s="37" t="str">
        <f t="shared" si="0"/>
        <v>A50-30-28大W长乐32白常温</v>
      </c>
      <c r="B30" s="374" t="s">
        <v>277</v>
      </c>
      <c r="C30" s="374" t="s">
        <v>285</v>
      </c>
      <c r="D30" s="374" t="s">
        <v>3169</v>
      </c>
      <c r="E30" s="374" t="s">
        <v>708</v>
      </c>
      <c r="F30" s="374" t="s">
        <v>612</v>
      </c>
      <c r="G30" s="374" t="s">
        <v>612</v>
      </c>
      <c r="H30" s="374" t="s">
        <v>321</v>
      </c>
      <c r="I30" s="374" t="s">
        <v>309</v>
      </c>
      <c r="J30" s="374" t="s">
        <v>168</v>
      </c>
      <c r="K30" s="374" t="s">
        <v>613</v>
      </c>
      <c r="L30" s="374" t="s">
        <v>158</v>
      </c>
      <c r="M30" s="374" t="s">
        <v>281</v>
      </c>
      <c r="N30" s="374" t="s">
        <v>649</v>
      </c>
      <c r="O30" s="374" t="s">
        <v>287</v>
      </c>
      <c r="P30" s="374" t="s">
        <v>2</v>
      </c>
      <c r="Q30" s="374" t="s">
        <v>612</v>
      </c>
      <c r="R30" s="374" t="s">
        <v>675</v>
      </c>
      <c r="S30" s="374" t="s">
        <v>3170</v>
      </c>
      <c r="T30" s="374" t="s">
        <v>322</v>
      </c>
    </row>
    <row r="31" spans="1:20">
      <c r="A31" s="37" t="str">
        <f t="shared" si="0"/>
        <v>A50-30-28小W长乐38白大机/常温</v>
      </c>
      <c r="B31" s="374" t="s">
        <v>277</v>
      </c>
      <c r="C31" s="374" t="s">
        <v>285</v>
      </c>
      <c r="D31" s="374" t="s">
        <v>3171</v>
      </c>
      <c r="E31" s="374" t="s">
        <v>2155</v>
      </c>
      <c r="F31" s="374" t="s">
        <v>612</v>
      </c>
      <c r="G31" s="374" t="s">
        <v>612</v>
      </c>
      <c r="H31" s="374" t="s">
        <v>323</v>
      </c>
      <c r="I31" s="374" t="s">
        <v>309</v>
      </c>
      <c r="J31" s="374" t="s">
        <v>301</v>
      </c>
      <c r="K31" s="374" t="s">
        <v>613</v>
      </c>
      <c r="L31" s="374" t="s">
        <v>158</v>
      </c>
      <c r="M31" s="374" t="s">
        <v>281</v>
      </c>
      <c r="N31" s="374" t="s">
        <v>678</v>
      </c>
      <c r="O31" s="374" t="s">
        <v>287</v>
      </c>
      <c r="P31" s="374" t="s">
        <v>2</v>
      </c>
      <c r="Q31" s="374" t="s">
        <v>612</v>
      </c>
      <c r="R31" s="374" t="s">
        <v>675</v>
      </c>
      <c r="S31" s="374" t="s">
        <v>3172</v>
      </c>
      <c r="T31" s="374" t="s">
        <v>324</v>
      </c>
    </row>
    <row r="32" spans="1:20">
      <c r="A32" s="37" t="str">
        <f t="shared" si="0"/>
        <v>A50-30-28小W春盛35白环保丝</v>
      </c>
      <c r="B32" s="374" t="s">
        <v>277</v>
      </c>
      <c r="C32" s="374" t="s">
        <v>285</v>
      </c>
      <c r="D32" s="374" t="s">
        <v>682</v>
      </c>
      <c r="E32" s="374" t="s">
        <v>625</v>
      </c>
      <c r="F32" s="374" t="s">
        <v>612</v>
      </c>
      <c r="G32" s="374" t="s">
        <v>612</v>
      </c>
      <c r="H32" s="374" t="s">
        <v>399</v>
      </c>
      <c r="I32" s="374" t="s">
        <v>309</v>
      </c>
      <c r="J32" s="374" t="s">
        <v>301</v>
      </c>
      <c r="K32" s="374" t="s">
        <v>613</v>
      </c>
      <c r="L32" s="374" t="s">
        <v>134</v>
      </c>
      <c r="M32" s="374" t="s">
        <v>281</v>
      </c>
      <c r="N32" s="374" t="s">
        <v>663</v>
      </c>
      <c r="O32" s="374" t="s">
        <v>287</v>
      </c>
      <c r="P32" s="374" t="s">
        <v>2</v>
      </c>
      <c r="Q32" s="374" t="s">
        <v>327</v>
      </c>
      <c r="R32" s="374" t="s">
        <v>683</v>
      </c>
      <c r="S32" s="374" t="s">
        <v>684</v>
      </c>
      <c r="T32" s="374" t="s">
        <v>173</v>
      </c>
    </row>
    <row r="33" spans="1:20">
      <c r="A33" s="37" t="str">
        <f t="shared" si="0"/>
        <v>A50-30-28小W长乐42白常温</v>
      </c>
      <c r="B33" s="374" t="s">
        <v>277</v>
      </c>
      <c r="C33" s="374" t="s">
        <v>285</v>
      </c>
      <c r="D33" s="374" t="s">
        <v>2521</v>
      </c>
      <c r="E33" s="374" t="s">
        <v>634</v>
      </c>
      <c r="F33" s="374" t="s">
        <v>612</v>
      </c>
      <c r="G33" s="374" t="s">
        <v>612</v>
      </c>
      <c r="H33" s="374" t="s">
        <v>325</v>
      </c>
      <c r="I33" s="374" t="s">
        <v>309</v>
      </c>
      <c r="J33" s="374" t="s">
        <v>301</v>
      </c>
      <c r="K33" s="374" t="s">
        <v>613</v>
      </c>
      <c r="L33" s="374" t="s">
        <v>158</v>
      </c>
      <c r="M33" s="374" t="s">
        <v>281</v>
      </c>
      <c r="N33" s="374" t="s">
        <v>681</v>
      </c>
      <c r="O33" s="374" t="s">
        <v>287</v>
      </c>
      <c r="P33" s="374" t="s">
        <v>2</v>
      </c>
      <c r="Q33" s="374" t="s">
        <v>612</v>
      </c>
      <c r="R33" s="374" t="s">
        <v>675</v>
      </c>
      <c r="S33" s="374" t="s">
        <v>2522</v>
      </c>
      <c r="T33" s="374" t="s">
        <v>322</v>
      </c>
    </row>
    <row r="34" spans="1:20">
      <c r="A34" s="37" t="str">
        <f t="shared" si="0"/>
        <v>A50-30-28小W固力35黑横条</v>
      </c>
      <c r="B34" s="374" t="s">
        <v>277</v>
      </c>
      <c r="C34" s="374" t="s">
        <v>278</v>
      </c>
      <c r="D34" s="374" t="s">
        <v>685</v>
      </c>
      <c r="E34" s="374" t="s">
        <v>620</v>
      </c>
      <c r="F34" s="374" t="s">
        <v>612</v>
      </c>
      <c r="G34" s="374" t="s">
        <v>612</v>
      </c>
      <c r="H34" s="374" t="s">
        <v>328</v>
      </c>
      <c r="I34" s="374" t="s">
        <v>309</v>
      </c>
      <c r="J34" s="374" t="s">
        <v>301</v>
      </c>
      <c r="K34" s="374" t="s">
        <v>613</v>
      </c>
      <c r="L34" s="374" t="s">
        <v>136</v>
      </c>
      <c r="M34" s="374" t="s">
        <v>281</v>
      </c>
      <c r="N34" s="374" t="s">
        <v>663</v>
      </c>
      <c r="O34" s="374" t="s">
        <v>282</v>
      </c>
      <c r="P34" s="374" t="s">
        <v>1</v>
      </c>
      <c r="Q34" s="374" t="s">
        <v>318</v>
      </c>
      <c r="R34" s="374" t="s">
        <v>686</v>
      </c>
      <c r="S34" s="374" t="s">
        <v>687</v>
      </c>
      <c r="T34" s="374" t="s">
        <v>329</v>
      </c>
    </row>
    <row r="35" spans="1:20">
      <c r="A35" s="37" t="str">
        <f t="shared" si="0"/>
        <v>A75-30-28斜乱平纹长乐45白21325</v>
      </c>
      <c r="B35" s="374" t="s">
        <v>277</v>
      </c>
      <c r="C35" s="374" t="s">
        <v>285</v>
      </c>
      <c r="D35" s="374" t="s">
        <v>3173</v>
      </c>
      <c r="E35" s="374" t="s">
        <v>635</v>
      </c>
      <c r="F35" s="374" t="s">
        <v>612</v>
      </c>
      <c r="G35" s="374" t="s">
        <v>612</v>
      </c>
      <c r="H35" s="374" t="s">
        <v>333</v>
      </c>
      <c r="I35" s="374" t="s">
        <v>331</v>
      </c>
      <c r="J35" s="374" t="s">
        <v>44</v>
      </c>
      <c r="K35" s="374" t="s">
        <v>613</v>
      </c>
      <c r="L35" s="374" t="s">
        <v>158</v>
      </c>
      <c r="M35" s="374" t="s">
        <v>281</v>
      </c>
      <c r="N35" s="374" t="s">
        <v>690</v>
      </c>
      <c r="O35" s="374" t="s">
        <v>287</v>
      </c>
      <c r="P35" s="374" t="s">
        <v>2</v>
      </c>
      <c r="Q35" s="374" t="s">
        <v>612</v>
      </c>
      <c r="R35" s="374" t="s">
        <v>689</v>
      </c>
      <c r="S35" s="374" t="s">
        <v>3174</v>
      </c>
      <c r="T35" s="374" t="s">
        <v>691</v>
      </c>
    </row>
    <row r="36" spans="1:20">
      <c r="A36" s="37" t="str">
        <f t="shared" si="0"/>
        <v>A75-30-28斜乱平纹长乐48白21325换丝了</v>
      </c>
      <c r="B36" s="374" t="s">
        <v>277</v>
      </c>
      <c r="C36" s="374" t="s">
        <v>285</v>
      </c>
      <c r="D36" s="374" t="s">
        <v>3175</v>
      </c>
      <c r="E36" s="374" t="s">
        <v>629</v>
      </c>
      <c r="F36" s="374" t="s">
        <v>612</v>
      </c>
      <c r="G36" s="374" t="s">
        <v>612</v>
      </c>
      <c r="H36" s="374" t="s">
        <v>399</v>
      </c>
      <c r="I36" s="374" t="s">
        <v>331</v>
      </c>
      <c r="J36" s="374" t="s">
        <v>44</v>
      </c>
      <c r="K36" s="374" t="s">
        <v>613</v>
      </c>
      <c r="L36" s="374" t="s">
        <v>158</v>
      </c>
      <c r="M36" s="374" t="s">
        <v>281</v>
      </c>
      <c r="N36" s="374" t="s">
        <v>688</v>
      </c>
      <c r="O36" s="374" t="s">
        <v>287</v>
      </c>
      <c r="P36" s="374" t="s">
        <v>2</v>
      </c>
      <c r="Q36" s="374" t="s">
        <v>334</v>
      </c>
      <c r="R36" s="374" t="s">
        <v>692</v>
      </c>
      <c r="S36" s="374" t="s">
        <v>3176</v>
      </c>
      <c r="T36" s="374" t="s">
        <v>335</v>
      </c>
    </row>
    <row r="37" spans="1:20">
      <c r="A37" s="37" t="str">
        <f t="shared" si="0"/>
        <v>A75-30-28斜乱平纹长乐49白</v>
      </c>
      <c r="B37" s="374" t="s">
        <v>277</v>
      </c>
      <c r="C37" s="374" t="s">
        <v>285</v>
      </c>
      <c r="D37" s="374" t="s">
        <v>2466</v>
      </c>
      <c r="E37" s="374" t="s">
        <v>667</v>
      </c>
      <c r="F37" s="374" t="s">
        <v>612</v>
      </c>
      <c r="G37" s="374" t="s">
        <v>612</v>
      </c>
      <c r="H37" s="374" t="s">
        <v>336</v>
      </c>
      <c r="I37" s="374" t="s">
        <v>331</v>
      </c>
      <c r="J37" s="374" t="s">
        <v>44</v>
      </c>
      <c r="K37" s="374" t="s">
        <v>613</v>
      </c>
      <c r="L37" s="374" t="s">
        <v>158</v>
      </c>
      <c r="M37" s="374" t="s">
        <v>281</v>
      </c>
      <c r="N37" s="374" t="s">
        <v>693</v>
      </c>
      <c r="O37" s="374" t="s">
        <v>287</v>
      </c>
      <c r="P37" s="374" t="s">
        <v>2</v>
      </c>
      <c r="Q37" s="374" t="s">
        <v>612</v>
      </c>
      <c r="R37" s="374" t="s">
        <v>689</v>
      </c>
      <c r="S37" s="374" t="s">
        <v>2467</v>
      </c>
      <c r="T37" s="374" t="s">
        <v>399</v>
      </c>
    </row>
    <row r="38" spans="1:20">
      <c r="A38" s="37" t="str">
        <f t="shared" si="0"/>
        <v>A50-30-28小W长乐35白大机/常温 横条</v>
      </c>
      <c r="B38" s="374" t="s">
        <v>277</v>
      </c>
      <c r="C38" s="374" t="s">
        <v>278</v>
      </c>
      <c r="D38" s="374" t="s">
        <v>694</v>
      </c>
      <c r="E38" s="374" t="s">
        <v>620</v>
      </c>
      <c r="F38" s="374" t="s">
        <v>612</v>
      </c>
      <c r="G38" s="374" t="s">
        <v>612</v>
      </c>
      <c r="H38" s="374" t="s">
        <v>337</v>
      </c>
      <c r="I38" s="374" t="s">
        <v>181</v>
      </c>
      <c r="J38" s="374" t="s">
        <v>301</v>
      </c>
      <c r="K38" s="374" t="s">
        <v>613</v>
      </c>
      <c r="L38" s="374" t="s">
        <v>158</v>
      </c>
      <c r="M38" s="374" t="s">
        <v>281</v>
      </c>
      <c r="N38" s="374" t="s">
        <v>663</v>
      </c>
      <c r="O38" s="374" t="s">
        <v>282</v>
      </c>
      <c r="P38" s="374" t="s">
        <v>2</v>
      </c>
      <c r="Q38" s="374" t="s">
        <v>318</v>
      </c>
      <c r="R38" s="374" t="s">
        <v>675</v>
      </c>
      <c r="S38" s="374" t="s">
        <v>695</v>
      </c>
      <c r="T38" s="374" t="s">
        <v>338</v>
      </c>
    </row>
    <row r="39" spans="1:20">
      <c r="A39" s="37" t="str">
        <f t="shared" si="0"/>
        <v>A50-30-28小W长乐32白大机常温</v>
      </c>
      <c r="B39" s="374" t="s">
        <v>277</v>
      </c>
      <c r="C39" s="374" t="s">
        <v>285</v>
      </c>
      <c r="D39" s="374" t="s">
        <v>3025</v>
      </c>
      <c r="E39" s="374" t="s">
        <v>3026</v>
      </c>
      <c r="F39" s="374" t="s">
        <v>612</v>
      </c>
      <c r="G39" s="374" t="s">
        <v>612</v>
      </c>
      <c r="H39" s="374" t="s">
        <v>339</v>
      </c>
      <c r="I39" s="374" t="s">
        <v>181</v>
      </c>
      <c r="J39" s="374" t="s">
        <v>301</v>
      </c>
      <c r="K39" s="374" t="s">
        <v>613</v>
      </c>
      <c r="L39" s="374" t="s">
        <v>158</v>
      </c>
      <c r="M39" s="374" t="s">
        <v>281</v>
      </c>
      <c r="N39" s="374" t="s">
        <v>649</v>
      </c>
      <c r="O39" s="374" t="s">
        <v>287</v>
      </c>
      <c r="P39" s="374" t="s">
        <v>2</v>
      </c>
      <c r="Q39" s="374" t="s">
        <v>612</v>
      </c>
      <c r="R39" s="374" t="s">
        <v>675</v>
      </c>
      <c r="S39" s="374" t="s">
        <v>3027</v>
      </c>
      <c r="T39" s="374" t="s">
        <v>340</v>
      </c>
    </row>
    <row r="40" spans="1:20">
      <c r="A40" s="37" t="str">
        <f t="shared" si="0"/>
        <v>A50-30-28小W长乐40白大机常温</v>
      </c>
      <c r="B40" s="374" t="s">
        <v>277</v>
      </c>
      <c r="C40" s="374" t="s">
        <v>285</v>
      </c>
      <c r="D40" s="374" t="s">
        <v>1827</v>
      </c>
      <c r="E40" s="374" t="s">
        <v>614</v>
      </c>
      <c r="F40" s="374" t="s">
        <v>612</v>
      </c>
      <c r="G40" s="374" t="s">
        <v>612</v>
      </c>
      <c r="H40" s="374" t="s">
        <v>1571</v>
      </c>
      <c r="I40" s="374" t="s">
        <v>181</v>
      </c>
      <c r="J40" s="374" t="s">
        <v>301</v>
      </c>
      <c r="K40" s="374" t="s">
        <v>613</v>
      </c>
      <c r="L40" s="374" t="s">
        <v>158</v>
      </c>
      <c r="M40" s="374" t="s">
        <v>281</v>
      </c>
      <c r="N40" s="374" t="s">
        <v>728</v>
      </c>
      <c r="O40" s="374" t="s">
        <v>287</v>
      </c>
      <c r="P40" s="374" t="s">
        <v>2</v>
      </c>
      <c r="Q40" s="374" t="s">
        <v>612</v>
      </c>
      <c r="R40" s="374" t="s">
        <v>675</v>
      </c>
      <c r="S40" s="374" t="s">
        <v>1828</v>
      </c>
      <c r="T40" s="374" t="s">
        <v>340</v>
      </c>
    </row>
    <row r="41" spans="1:20">
      <c r="A41" s="37" t="str">
        <f t="shared" si="0"/>
        <v>B100-30-24直平纹申久66白染黑</v>
      </c>
      <c r="B41" s="374" t="s">
        <v>277</v>
      </c>
      <c r="C41" s="374" t="s">
        <v>278</v>
      </c>
      <c r="D41" s="374" t="s">
        <v>696</v>
      </c>
      <c r="E41" s="374" t="s">
        <v>641</v>
      </c>
      <c r="F41" s="374" t="s">
        <v>612</v>
      </c>
      <c r="G41" s="374" t="s">
        <v>612</v>
      </c>
      <c r="H41" s="374" t="s">
        <v>399</v>
      </c>
      <c r="I41" s="374" t="s">
        <v>341</v>
      </c>
      <c r="J41" s="374" t="s">
        <v>180</v>
      </c>
      <c r="K41" s="374" t="s">
        <v>613</v>
      </c>
      <c r="L41" s="374" t="s">
        <v>146</v>
      </c>
      <c r="M41" s="374" t="s">
        <v>281</v>
      </c>
      <c r="N41" s="374" t="s">
        <v>666</v>
      </c>
      <c r="O41" s="374" t="s">
        <v>282</v>
      </c>
      <c r="P41" s="374" t="s">
        <v>2</v>
      </c>
      <c r="Q41" s="374" t="s">
        <v>313</v>
      </c>
      <c r="R41" s="374" t="s">
        <v>697</v>
      </c>
      <c r="S41" s="374" t="s">
        <v>698</v>
      </c>
      <c r="T41" s="374" t="s">
        <v>342</v>
      </c>
    </row>
    <row r="42" spans="1:20">
      <c r="A42" s="37" t="str">
        <f t="shared" si="0"/>
        <v>B30-30-32大W银宇23白302409</v>
      </c>
      <c r="B42" s="374" t="s">
        <v>277</v>
      </c>
      <c r="C42" s="374" t="s">
        <v>285</v>
      </c>
      <c r="D42" s="374" t="s">
        <v>3028</v>
      </c>
      <c r="E42" s="374" t="s">
        <v>630</v>
      </c>
      <c r="F42" s="374" t="s">
        <v>612</v>
      </c>
      <c r="G42" s="374" t="s">
        <v>612</v>
      </c>
      <c r="H42" s="374" t="s">
        <v>399</v>
      </c>
      <c r="I42" s="374" t="s">
        <v>344</v>
      </c>
      <c r="J42" s="374" t="s">
        <v>168</v>
      </c>
      <c r="K42" s="374" t="s">
        <v>613</v>
      </c>
      <c r="L42" s="374" t="s">
        <v>154</v>
      </c>
      <c r="M42" s="374" t="s">
        <v>281</v>
      </c>
      <c r="N42" s="374" t="s">
        <v>617</v>
      </c>
      <c r="O42" s="374" t="s">
        <v>287</v>
      </c>
      <c r="P42" s="374" t="s">
        <v>2</v>
      </c>
      <c r="Q42" s="374" t="s">
        <v>612</v>
      </c>
      <c r="R42" s="374" t="s">
        <v>2924</v>
      </c>
      <c r="S42" s="374" t="s">
        <v>3029</v>
      </c>
      <c r="T42" s="374" t="s">
        <v>943</v>
      </c>
    </row>
    <row r="43" spans="1:20">
      <c r="A43" s="37" t="str">
        <f t="shared" si="0"/>
        <v>B30-30-32乱平纹长乐23白S22101</v>
      </c>
      <c r="B43" s="374" t="s">
        <v>277</v>
      </c>
      <c r="C43" s="374" t="s">
        <v>285</v>
      </c>
      <c r="D43" s="374" t="s">
        <v>2508</v>
      </c>
      <c r="E43" s="374" t="s">
        <v>617</v>
      </c>
      <c r="F43" s="374" t="s">
        <v>612</v>
      </c>
      <c r="G43" s="374" t="s">
        <v>612</v>
      </c>
      <c r="H43" s="374" t="s">
        <v>699</v>
      </c>
      <c r="I43" s="374" t="s">
        <v>344</v>
      </c>
      <c r="J43" s="374" t="s">
        <v>175</v>
      </c>
      <c r="K43" s="374" t="s">
        <v>613</v>
      </c>
      <c r="L43" s="374" t="s">
        <v>158</v>
      </c>
      <c r="M43" s="374" t="s">
        <v>281</v>
      </c>
      <c r="N43" s="374" t="s">
        <v>617</v>
      </c>
      <c r="O43" s="374" t="s">
        <v>287</v>
      </c>
      <c r="P43" s="374" t="s">
        <v>2</v>
      </c>
      <c r="Q43" s="374" t="s">
        <v>350</v>
      </c>
      <c r="R43" s="374" t="s">
        <v>700</v>
      </c>
      <c r="S43" s="374" t="s">
        <v>2509</v>
      </c>
      <c r="T43" s="374" t="s">
        <v>701</v>
      </c>
    </row>
    <row r="44" spans="1:20">
      <c r="A44" s="37" t="str">
        <f t="shared" si="0"/>
        <v>B30-30-32直平纹恒力29白213531/AA丝</v>
      </c>
      <c r="B44" s="374" t="s">
        <v>277</v>
      </c>
      <c r="C44" s="374" t="s">
        <v>285</v>
      </c>
      <c r="D44" s="374" t="s">
        <v>3030</v>
      </c>
      <c r="E44" s="374" t="s">
        <v>1820</v>
      </c>
      <c r="F44" s="374" t="s">
        <v>612</v>
      </c>
      <c r="G44" s="374" t="s">
        <v>612</v>
      </c>
      <c r="H44" s="374" t="s">
        <v>343</v>
      </c>
      <c r="I44" s="374" t="s">
        <v>344</v>
      </c>
      <c r="J44" s="374" t="s">
        <v>180</v>
      </c>
      <c r="K44" s="374" t="s">
        <v>613</v>
      </c>
      <c r="L44" s="374" t="s">
        <v>140</v>
      </c>
      <c r="M44" s="374" t="s">
        <v>281</v>
      </c>
      <c r="N44" s="374" t="s">
        <v>702</v>
      </c>
      <c r="O44" s="374" t="s">
        <v>287</v>
      </c>
      <c r="P44" s="374" t="s">
        <v>2</v>
      </c>
      <c r="Q44" s="374" t="s">
        <v>345</v>
      </c>
      <c r="R44" s="374" t="s">
        <v>627</v>
      </c>
      <c r="S44" s="374" t="s">
        <v>3031</v>
      </c>
      <c r="T44" s="374" t="s">
        <v>346</v>
      </c>
    </row>
    <row r="45" spans="1:20">
      <c r="A45" s="37" t="str">
        <f t="shared" si="0"/>
        <v>B30-30-32直平纹隆顺31白细丝圆机库顶，</v>
      </c>
      <c r="B45" s="374" t="s">
        <v>277</v>
      </c>
      <c r="C45" s="374" t="s">
        <v>285</v>
      </c>
      <c r="D45" s="374" t="s">
        <v>703</v>
      </c>
      <c r="E45" s="374" t="s">
        <v>641</v>
      </c>
      <c r="F45" s="374" t="s">
        <v>612</v>
      </c>
      <c r="G45" s="374" t="s">
        <v>612</v>
      </c>
      <c r="H45" s="374" t="s">
        <v>347</v>
      </c>
      <c r="I45" s="374" t="s">
        <v>344</v>
      </c>
      <c r="J45" s="374" t="s">
        <v>180</v>
      </c>
      <c r="K45" s="374" t="s">
        <v>613</v>
      </c>
      <c r="L45" s="374" t="s">
        <v>142</v>
      </c>
      <c r="M45" s="374" t="s">
        <v>281</v>
      </c>
      <c r="N45" s="374" t="s">
        <v>704</v>
      </c>
      <c r="O45" s="374" t="s">
        <v>282</v>
      </c>
      <c r="P45" s="374" t="s">
        <v>2</v>
      </c>
      <c r="Q45" s="374" t="s">
        <v>318</v>
      </c>
      <c r="R45" s="374" t="s">
        <v>705</v>
      </c>
      <c r="S45" s="374" t="s">
        <v>706</v>
      </c>
      <c r="T45" s="374" t="s">
        <v>348</v>
      </c>
    </row>
    <row r="46" spans="1:20">
      <c r="A46" s="37" t="str">
        <f t="shared" si="0"/>
        <v>B30-30-32直平纹长乐21白S22101P</v>
      </c>
      <c r="B46" s="374" t="s">
        <v>277</v>
      </c>
      <c r="C46" s="374" t="s">
        <v>285</v>
      </c>
      <c r="D46" s="374" t="s">
        <v>707</v>
      </c>
      <c r="E46" s="374" t="s">
        <v>708</v>
      </c>
      <c r="F46" s="374" t="s">
        <v>612</v>
      </c>
      <c r="G46" s="374" t="s">
        <v>612</v>
      </c>
      <c r="H46" s="374" t="s">
        <v>349</v>
      </c>
      <c r="I46" s="374" t="s">
        <v>344</v>
      </c>
      <c r="J46" s="374" t="s">
        <v>180</v>
      </c>
      <c r="K46" s="374" t="s">
        <v>613</v>
      </c>
      <c r="L46" s="374" t="s">
        <v>158</v>
      </c>
      <c r="M46" s="374" t="s">
        <v>281</v>
      </c>
      <c r="N46" s="374" t="s">
        <v>709</v>
      </c>
      <c r="O46" s="374" t="s">
        <v>287</v>
      </c>
      <c r="P46" s="374" t="s">
        <v>2</v>
      </c>
      <c r="Q46" s="374" t="s">
        <v>350</v>
      </c>
      <c r="R46" s="374" t="s">
        <v>710</v>
      </c>
      <c r="S46" s="374" t="s">
        <v>711</v>
      </c>
      <c r="T46" s="374" t="s">
        <v>351</v>
      </c>
    </row>
    <row r="47" spans="1:20">
      <c r="A47" s="37" t="str">
        <f t="shared" si="0"/>
        <v>B30-30-32小W银宇21白59上2个老库存</v>
      </c>
      <c r="B47" s="374" t="s">
        <v>277</v>
      </c>
      <c r="C47" s="374" t="s">
        <v>352</v>
      </c>
      <c r="D47" s="374" t="s">
        <v>712</v>
      </c>
      <c r="E47" s="374" t="s">
        <v>641</v>
      </c>
      <c r="F47" s="374" t="s">
        <v>612</v>
      </c>
      <c r="G47" s="374" t="s">
        <v>612</v>
      </c>
      <c r="H47" s="374" t="s">
        <v>353</v>
      </c>
      <c r="I47" s="374" t="s">
        <v>344</v>
      </c>
      <c r="J47" s="374" t="s">
        <v>301</v>
      </c>
      <c r="K47" s="374" t="s">
        <v>613</v>
      </c>
      <c r="L47" s="374" t="s">
        <v>154</v>
      </c>
      <c r="M47" s="374" t="s">
        <v>281</v>
      </c>
      <c r="N47" s="374" t="s">
        <v>709</v>
      </c>
      <c r="O47" s="374" t="s">
        <v>287</v>
      </c>
      <c r="P47" s="374" t="s">
        <v>2</v>
      </c>
      <c r="Q47" s="374" t="s">
        <v>612</v>
      </c>
      <c r="R47" s="374" t="s">
        <v>713</v>
      </c>
      <c r="S47" s="374" t="s">
        <v>714</v>
      </c>
      <c r="T47" s="374" t="s">
        <v>354</v>
      </c>
    </row>
    <row r="48" spans="1:20">
      <c r="A48" s="37" t="str">
        <f t="shared" si="0"/>
        <v>B30-30-32乱平纹长乐23白只做白的</v>
      </c>
      <c r="B48" s="374" t="s">
        <v>277</v>
      </c>
      <c r="C48" s="374" t="s">
        <v>285</v>
      </c>
      <c r="D48" s="374" t="s">
        <v>2510</v>
      </c>
      <c r="E48" s="374" t="s">
        <v>656</v>
      </c>
      <c r="F48" s="374" t="s">
        <v>612</v>
      </c>
      <c r="G48" s="374" t="s">
        <v>612</v>
      </c>
      <c r="H48" s="374" t="s">
        <v>399</v>
      </c>
      <c r="I48" s="374" t="s">
        <v>344</v>
      </c>
      <c r="J48" s="374" t="s">
        <v>175</v>
      </c>
      <c r="K48" s="374" t="s">
        <v>613</v>
      </c>
      <c r="L48" s="374" t="s">
        <v>158</v>
      </c>
      <c r="M48" s="374" t="s">
        <v>281</v>
      </c>
      <c r="N48" s="374" t="s">
        <v>617</v>
      </c>
      <c r="O48" s="374" t="s">
        <v>287</v>
      </c>
      <c r="P48" s="374" t="s">
        <v>2</v>
      </c>
      <c r="Q48" s="374" t="s">
        <v>2511</v>
      </c>
      <c r="R48" s="374" t="s">
        <v>2813</v>
      </c>
      <c r="S48" s="374" t="s">
        <v>2925</v>
      </c>
      <c r="T48" s="374" t="s">
        <v>2511</v>
      </c>
    </row>
    <row r="49" spans="1:20">
      <c r="A49" s="37" t="str">
        <f t="shared" si="0"/>
        <v>B50-30-24大W长乐34白高温1</v>
      </c>
      <c r="B49" s="374" t="s">
        <v>277</v>
      </c>
      <c r="C49" s="374" t="s">
        <v>285</v>
      </c>
      <c r="D49" s="374" t="s">
        <v>3177</v>
      </c>
      <c r="E49" s="374" t="s">
        <v>693</v>
      </c>
      <c r="F49" s="374" t="s">
        <v>612</v>
      </c>
      <c r="G49" s="374" t="s">
        <v>612</v>
      </c>
      <c r="H49" s="374" t="s">
        <v>399</v>
      </c>
      <c r="I49" s="374" t="s">
        <v>355</v>
      </c>
      <c r="J49" s="374" t="s">
        <v>168</v>
      </c>
      <c r="K49" s="374" t="s">
        <v>613</v>
      </c>
      <c r="L49" s="374" t="s">
        <v>158</v>
      </c>
      <c r="M49" s="374" t="s">
        <v>281</v>
      </c>
      <c r="N49" s="374" t="s">
        <v>648</v>
      </c>
      <c r="O49" s="374" t="s">
        <v>287</v>
      </c>
      <c r="P49" s="374" t="s">
        <v>2</v>
      </c>
      <c r="Q49" s="374" t="s">
        <v>612</v>
      </c>
      <c r="R49" s="374" t="s">
        <v>716</v>
      </c>
      <c r="S49" s="374" t="s">
        <v>3178</v>
      </c>
      <c r="T49" s="374" t="s">
        <v>356</v>
      </c>
    </row>
    <row r="50" spans="1:20">
      <c r="A50" s="37" t="str">
        <f t="shared" si="0"/>
        <v>B50-30-24大W长乐34白高温没开幅1</v>
      </c>
      <c r="B50" s="374" t="s">
        <v>277</v>
      </c>
      <c r="C50" s="374" t="s">
        <v>278</v>
      </c>
      <c r="D50" s="374" t="s">
        <v>669</v>
      </c>
      <c r="E50" s="374" t="s">
        <v>641</v>
      </c>
      <c r="F50" s="374" t="s">
        <v>612</v>
      </c>
      <c r="G50" s="374" t="s">
        <v>612</v>
      </c>
      <c r="H50" s="374" t="s">
        <v>399</v>
      </c>
      <c r="I50" s="374" t="s">
        <v>355</v>
      </c>
      <c r="J50" s="374" t="s">
        <v>168</v>
      </c>
      <c r="K50" s="374" t="s">
        <v>613</v>
      </c>
      <c r="L50" s="374" t="s">
        <v>158</v>
      </c>
      <c r="M50" s="374" t="s">
        <v>281</v>
      </c>
      <c r="N50" s="374" t="s">
        <v>648</v>
      </c>
      <c r="O50" s="374" t="s">
        <v>287</v>
      </c>
      <c r="P50" s="374" t="s">
        <v>2</v>
      </c>
      <c r="Q50" s="374" t="s">
        <v>313</v>
      </c>
      <c r="R50" s="374" t="s">
        <v>716</v>
      </c>
      <c r="S50" s="374" t="s">
        <v>717</v>
      </c>
      <c r="T50" s="374" t="s">
        <v>357</v>
      </c>
    </row>
    <row r="51" spans="1:20">
      <c r="A51" s="37" t="str">
        <f t="shared" si="0"/>
        <v>B50-30-24大W长乐36白高温</v>
      </c>
      <c r="B51" s="374" t="s">
        <v>277</v>
      </c>
      <c r="C51" s="374" t="s">
        <v>285</v>
      </c>
      <c r="D51" s="374" t="s">
        <v>3179</v>
      </c>
      <c r="E51" s="374" t="s">
        <v>2018</v>
      </c>
      <c r="F51" s="374" t="s">
        <v>612</v>
      </c>
      <c r="G51" s="374" t="s">
        <v>612</v>
      </c>
      <c r="H51" s="374" t="s">
        <v>1608</v>
      </c>
      <c r="I51" s="374" t="s">
        <v>355</v>
      </c>
      <c r="J51" s="374" t="s">
        <v>168</v>
      </c>
      <c r="K51" s="374" t="s">
        <v>613</v>
      </c>
      <c r="L51" s="374" t="s">
        <v>158</v>
      </c>
      <c r="M51" s="374" t="s">
        <v>281</v>
      </c>
      <c r="N51" s="374" t="s">
        <v>1570</v>
      </c>
      <c r="O51" s="374" t="s">
        <v>287</v>
      </c>
      <c r="P51" s="374" t="s">
        <v>2</v>
      </c>
      <c r="Q51" s="374" t="s">
        <v>612</v>
      </c>
      <c r="R51" s="374" t="s">
        <v>677</v>
      </c>
      <c r="S51" s="374" t="s">
        <v>3180</v>
      </c>
      <c r="T51" s="374" t="s">
        <v>332</v>
      </c>
    </row>
    <row r="52" spans="1:20">
      <c r="A52" s="37" t="str">
        <f t="shared" si="0"/>
        <v>B50-30-24大W长乐34白车间退脏1</v>
      </c>
      <c r="B52" s="374" t="s">
        <v>277</v>
      </c>
      <c r="C52" s="374" t="s">
        <v>285</v>
      </c>
      <c r="D52" s="374" t="s">
        <v>669</v>
      </c>
      <c r="E52" s="374" t="s">
        <v>641</v>
      </c>
      <c r="F52" s="374" t="s">
        <v>612</v>
      </c>
      <c r="G52" s="374" t="s">
        <v>612</v>
      </c>
      <c r="H52" s="374" t="s">
        <v>399</v>
      </c>
      <c r="I52" s="374" t="s">
        <v>355</v>
      </c>
      <c r="J52" s="374" t="s">
        <v>168</v>
      </c>
      <c r="K52" s="374" t="s">
        <v>613</v>
      </c>
      <c r="L52" s="374" t="s">
        <v>158</v>
      </c>
      <c r="M52" s="374" t="s">
        <v>281</v>
      </c>
      <c r="N52" s="374" t="s">
        <v>648</v>
      </c>
      <c r="O52" s="374" t="s">
        <v>282</v>
      </c>
      <c r="P52" s="374" t="s">
        <v>2</v>
      </c>
      <c r="Q52" s="374" t="s">
        <v>313</v>
      </c>
      <c r="R52" s="374" t="s">
        <v>716</v>
      </c>
      <c r="S52" s="374" t="s">
        <v>717</v>
      </c>
      <c r="T52" s="374" t="s">
        <v>358</v>
      </c>
    </row>
    <row r="53" spans="1:20">
      <c r="A53" s="37" t="str">
        <f t="shared" si="0"/>
        <v>B50-30-24大W长乐34白高温染黑1</v>
      </c>
      <c r="B53" s="374" t="s">
        <v>277</v>
      </c>
      <c r="C53" s="374" t="s">
        <v>278</v>
      </c>
      <c r="D53" s="374" t="s">
        <v>718</v>
      </c>
      <c r="E53" s="374" t="s">
        <v>719</v>
      </c>
      <c r="F53" s="374" t="s">
        <v>612</v>
      </c>
      <c r="G53" s="374" t="s">
        <v>612</v>
      </c>
      <c r="H53" s="374" t="s">
        <v>399</v>
      </c>
      <c r="I53" s="374" t="s">
        <v>355</v>
      </c>
      <c r="J53" s="374" t="s">
        <v>168</v>
      </c>
      <c r="K53" s="374" t="s">
        <v>613</v>
      </c>
      <c r="L53" s="374" t="s">
        <v>158</v>
      </c>
      <c r="M53" s="374" t="s">
        <v>281</v>
      </c>
      <c r="N53" s="374" t="s">
        <v>648</v>
      </c>
      <c r="O53" s="374" t="s">
        <v>282</v>
      </c>
      <c r="P53" s="374" t="s">
        <v>2</v>
      </c>
      <c r="Q53" s="374" t="s">
        <v>313</v>
      </c>
      <c r="R53" s="374" t="s">
        <v>650</v>
      </c>
      <c r="S53" s="374" t="s">
        <v>720</v>
      </c>
      <c r="T53" s="374" t="s">
        <v>359</v>
      </c>
    </row>
    <row r="54" spans="1:20">
      <c r="A54" s="37" t="str">
        <f t="shared" si="0"/>
        <v>B50-30-24小W35白袋子</v>
      </c>
      <c r="B54" s="374" t="s">
        <v>277</v>
      </c>
      <c r="C54" s="374" t="s">
        <v>285</v>
      </c>
      <c r="D54" s="374" t="s">
        <v>721</v>
      </c>
      <c r="E54" s="374" t="s">
        <v>666</v>
      </c>
      <c r="F54" s="374" t="s">
        <v>612</v>
      </c>
      <c r="G54" s="374" t="s">
        <v>612</v>
      </c>
      <c r="H54" s="374" t="s">
        <v>399</v>
      </c>
      <c r="I54" s="374" t="s">
        <v>355</v>
      </c>
      <c r="J54" s="374" t="s">
        <v>301</v>
      </c>
      <c r="K54" s="374" t="s">
        <v>613</v>
      </c>
      <c r="L54" s="374" t="s">
        <v>399</v>
      </c>
      <c r="M54" s="374" t="s">
        <v>281</v>
      </c>
      <c r="N54" s="374" t="s">
        <v>663</v>
      </c>
      <c r="O54" s="374" t="s">
        <v>282</v>
      </c>
      <c r="P54" s="374" t="s">
        <v>2</v>
      </c>
      <c r="Q54" s="374" t="s">
        <v>313</v>
      </c>
      <c r="R54" s="374" t="s">
        <v>716</v>
      </c>
      <c r="S54" s="374" t="s">
        <v>722</v>
      </c>
      <c r="T54" s="374" t="s">
        <v>360</v>
      </c>
    </row>
    <row r="55" spans="1:20">
      <c r="A55" s="37" t="str">
        <f t="shared" si="0"/>
        <v>B75-30-24斜乱平纹申久39白东13中高温丝</v>
      </c>
      <c r="B55" s="374" t="s">
        <v>277</v>
      </c>
      <c r="C55" s="374" t="s">
        <v>285</v>
      </c>
      <c r="D55" s="374" t="s">
        <v>723</v>
      </c>
      <c r="E55" s="374" t="s">
        <v>630</v>
      </c>
      <c r="F55" s="374" t="s">
        <v>612</v>
      </c>
      <c r="G55" s="374" t="s">
        <v>612</v>
      </c>
      <c r="H55" s="374" t="s">
        <v>399</v>
      </c>
      <c r="I55" s="374" t="s">
        <v>361</v>
      </c>
      <c r="J55" s="374" t="s">
        <v>44</v>
      </c>
      <c r="K55" s="374" t="s">
        <v>613</v>
      </c>
      <c r="L55" s="374" t="s">
        <v>146</v>
      </c>
      <c r="M55" s="374" t="s">
        <v>281</v>
      </c>
      <c r="N55" s="374" t="s">
        <v>657</v>
      </c>
      <c r="O55" s="374" t="s">
        <v>287</v>
      </c>
      <c r="P55" s="374" t="s">
        <v>2</v>
      </c>
      <c r="Q55" s="374" t="s">
        <v>362</v>
      </c>
      <c r="R55" s="374" t="s">
        <v>661</v>
      </c>
      <c r="S55" s="374" t="s">
        <v>724</v>
      </c>
      <c r="T55" s="374" t="s">
        <v>363</v>
      </c>
    </row>
    <row r="56" spans="1:20">
      <c r="A56" s="37" t="str">
        <f t="shared" si="0"/>
        <v>B75-30-24斜乱平纹盛元39白</v>
      </c>
      <c r="B56" s="374" t="s">
        <v>277</v>
      </c>
      <c r="C56" s="374" t="s">
        <v>285</v>
      </c>
      <c r="D56" s="374" t="s">
        <v>2601</v>
      </c>
      <c r="E56" s="374" t="s">
        <v>2602</v>
      </c>
      <c r="F56" s="374" t="s">
        <v>612</v>
      </c>
      <c r="G56" s="374" t="s">
        <v>612</v>
      </c>
      <c r="H56" s="374" t="s">
        <v>399</v>
      </c>
      <c r="I56" s="374" t="s">
        <v>361</v>
      </c>
      <c r="J56" s="374" t="s">
        <v>44</v>
      </c>
      <c r="K56" s="374" t="s">
        <v>613</v>
      </c>
      <c r="L56" s="374" t="s">
        <v>150</v>
      </c>
      <c r="M56" s="374" t="s">
        <v>281</v>
      </c>
      <c r="N56" s="374" t="s">
        <v>657</v>
      </c>
      <c r="O56" s="374" t="s">
        <v>287</v>
      </c>
      <c r="P56" s="374" t="s">
        <v>2</v>
      </c>
      <c r="Q56" s="374" t="s">
        <v>612</v>
      </c>
      <c r="R56" s="374" t="s">
        <v>725</v>
      </c>
      <c r="S56" s="374" t="s">
        <v>2603</v>
      </c>
      <c r="T56" s="374" t="s">
        <v>399</v>
      </c>
    </row>
    <row r="57" spans="1:20">
      <c r="A57" s="37" t="str">
        <f t="shared" si="0"/>
        <v>B75-30-24小W长乐45白大机</v>
      </c>
      <c r="B57" s="374" t="s">
        <v>277</v>
      </c>
      <c r="C57" s="374" t="s">
        <v>285</v>
      </c>
      <c r="D57" s="374" t="s">
        <v>3181</v>
      </c>
      <c r="E57" s="374" t="s">
        <v>2926</v>
      </c>
      <c r="F57" s="374" t="s">
        <v>612</v>
      </c>
      <c r="G57" s="374" t="s">
        <v>612</v>
      </c>
      <c r="H57" s="374" t="s">
        <v>364</v>
      </c>
      <c r="I57" s="374" t="s">
        <v>361</v>
      </c>
      <c r="J57" s="374" t="s">
        <v>301</v>
      </c>
      <c r="K57" s="374" t="s">
        <v>613</v>
      </c>
      <c r="L57" s="374" t="s">
        <v>158</v>
      </c>
      <c r="M57" s="374" t="s">
        <v>281</v>
      </c>
      <c r="N57" s="374" t="s">
        <v>690</v>
      </c>
      <c r="O57" s="374" t="s">
        <v>287</v>
      </c>
      <c r="P57" s="374" t="s">
        <v>2</v>
      </c>
      <c r="Q57" s="374" t="s">
        <v>612</v>
      </c>
      <c r="R57" s="374" t="s">
        <v>689</v>
      </c>
      <c r="S57" s="374" t="s">
        <v>3182</v>
      </c>
      <c r="T57" s="374" t="s">
        <v>365</v>
      </c>
    </row>
    <row r="58" spans="1:20">
      <c r="A58" s="37" t="str">
        <f t="shared" si="0"/>
        <v>B75-30-24小W长乐49白试样</v>
      </c>
      <c r="B58" s="374" t="s">
        <v>277</v>
      </c>
      <c r="C58" s="374" t="s">
        <v>285</v>
      </c>
      <c r="D58" s="374" t="s">
        <v>2728</v>
      </c>
      <c r="E58" s="374" t="s">
        <v>918</v>
      </c>
      <c r="F58" s="374" t="s">
        <v>612</v>
      </c>
      <c r="G58" s="374" t="s">
        <v>612</v>
      </c>
      <c r="H58" s="374" t="s">
        <v>726</v>
      </c>
      <c r="I58" s="374" t="s">
        <v>361</v>
      </c>
      <c r="J58" s="374" t="s">
        <v>301</v>
      </c>
      <c r="K58" s="374" t="s">
        <v>613</v>
      </c>
      <c r="L58" s="374" t="s">
        <v>158</v>
      </c>
      <c r="M58" s="374" t="s">
        <v>281</v>
      </c>
      <c r="N58" s="374" t="s">
        <v>693</v>
      </c>
      <c r="O58" s="374" t="s">
        <v>287</v>
      </c>
      <c r="P58" s="374" t="s">
        <v>2</v>
      </c>
      <c r="Q58" s="374" t="s">
        <v>612</v>
      </c>
      <c r="R58" s="374" t="s">
        <v>689</v>
      </c>
      <c r="S58" s="374" t="s">
        <v>2729</v>
      </c>
      <c r="T58" s="374" t="s">
        <v>727</v>
      </c>
    </row>
    <row r="59" spans="1:20">
      <c r="A59" s="37" t="str">
        <f t="shared" si="0"/>
        <v>B30-30-32乱平纹恒力23白</v>
      </c>
      <c r="B59" s="374" t="s">
        <v>277</v>
      </c>
      <c r="C59" s="374" t="s">
        <v>285</v>
      </c>
      <c r="D59" s="374" t="s">
        <v>2512</v>
      </c>
      <c r="E59" s="374" t="s">
        <v>709</v>
      </c>
      <c r="F59" s="374" t="s">
        <v>612</v>
      </c>
      <c r="G59" s="374" t="s">
        <v>612</v>
      </c>
      <c r="H59" s="374" t="s">
        <v>1574</v>
      </c>
      <c r="I59" s="374" t="s">
        <v>187</v>
      </c>
      <c r="J59" s="374" t="s">
        <v>175</v>
      </c>
      <c r="K59" s="374" t="s">
        <v>613</v>
      </c>
      <c r="L59" s="374" t="s">
        <v>140</v>
      </c>
      <c r="M59" s="374" t="s">
        <v>281</v>
      </c>
      <c r="N59" s="374" t="s">
        <v>617</v>
      </c>
      <c r="O59" s="374" t="s">
        <v>287</v>
      </c>
      <c r="P59" s="374" t="s">
        <v>2</v>
      </c>
      <c r="Q59" s="374" t="s">
        <v>612</v>
      </c>
      <c r="R59" s="374" t="s">
        <v>713</v>
      </c>
      <c r="S59" s="374" t="s">
        <v>2513</v>
      </c>
      <c r="T59" s="374" t="s">
        <v>399</v>
      </c>
    </row>
    <row r="60" spans="1:20">
      <c r="A60" s="37" t="str">
        <f t="shared" si="0"/>
        <v>B30-30-32乱平纹银宇23白302409</v>
      </c>
      <c r="B60" s="374" t="s">
        <v>277</v>
      </c>
      <c r="C60" s="374" t="s">
        <v>285</v>
      </c>
      <c r="D60" s="374" t="s">
        <v>3032</v>
      </c>
      <c r="E60" s="374" t="s">
        <v>629</v>
      </c>
      <c r="F60" s="374" t="s">
        <v>612</v>
      </c>
      <c r="G60" s="374" t="s">
        <v>612</v>
      </c>
      <c r="H60" s="374" t="s">
        <v>1574</v>
      </c>
      <c r="I60" s="374" t="s">
        <v>187</v>
      </c>
      <c r="J60" s="374" t="s">
        <v>175</v>
      </c>
      <c r="K60" s="374" t="s">
        <v>613</v>
      </c>
      <c r="L60" s="374" t="s">
        <v>154</v>
      </c>
      <c r="M60" s="374" t="s">
        <v>281</v>
      </c>
      <c r="N60" s="374" t="s">
        <v>617</v>
      </c>
      <c r="O60" s="374" t="s">
        <v>287</v>
      </c>
      <c r="P60" s="374" t="s">
        <v>2</v>
      </c>
      <c r="Q60" s="374" t="s">
        <v>612</v>
      </c>
      <c r="R60" s="374" t="s">
        <v>705</v>
      </c>
      <c r="S60" s="374" t="s">
        <v>3033</v>
      </c>
      <c r="T60" s="374" t="s">
        <v>943</v>
      </c>
    </row>
    <row r="61" spans="1:20">
      <c r="A61" s="37" t="str">
        <f t="shared" si="0"/>
        <v>C50-26-28小W固力34黑</v>
      </c>
      <c r="B61" s="374" t="s">
        <v>277</v>
      </c>
      <c r="C61" s="374" t="s">
        <v>285</v>
      </c>
      <c r="D61" s="374" t="s">
        <v>1575</v>
      </c>
      <c r="E61" s="374" t="s">
        <v>620</v>
      </c>
      <c r="F61" s="374" t="s">
        <v>612</v>
      </c>
      <c r="G61" s="374" t="s">
        <v>612</v>
      </c>
      <c r="H61" s="374" t="s">
        <v>1576</v>
      </c>
      <c r="I61" s="374" t="s">
        <v>367</v>
      </c>
      <c r="J61" s="374" t="s">
        <v>301</v>
      </c>
      <c r="K61" s="374" t="s">
        <v>613</v>
      </c>
      <c r="L61" s="374" t="s">
        <v>136</v>
      </c>
      <c r="M61" s="374" t="s">
        <v>281</v>
      </c>
      <c r="N61" s="374" t="s">
        <v>648</v>
      </c>
      <c r="O61" s="374" t="s">
        <v>287</v>
      </c>
      <c r="P61" s="374" t="s">
        <v>1</v>
      </c>
      <c r="Q61" s="374" t="s">
        <v>612</v>
      </c>
      <c r="R61" s="374" t="s">
        <v>686</v>
      </c>
      <c r="S61" s="374" t="s">
        <v>1577</v>
      </c>
      <c r="T61" s="374" t="s">
        <v>399</v>
      </c>
    </row>
    <row r="62" spans="1:20">
      <c r="A62" s="37" t="str">
        <f t="shared" si="0"/>
        <v>C50-26-28小W申久40白32605</v>
      </c>
      <c r="B62" s="374" t="s">
        <v>277</v>
      </c>
      <c r="C62" s="374" t="s">
        <v>285</v>
      </c>
      <c r="D62" s="374" t="s">
        <v>3183</v>
      </c>
      <c r="E62" s="374" t="s">
        <v>3184</v>
      </c>
      <c r="F62" s="374" t="s">
        <v>612</v>
      </c>
      <c r="G62" s="374" t="s">
        <v>612</v>
      </c>
      <c r="H62" s="374" t="s">
        <v>366</v>
      </c>
      <c r="I62" s="374" t="s">
        <v>367</v>
      </c>
      <c r="J62" s="374" t="s">
        <v>301</v>
      </c>
      <c r="K62" s="374" t="s">
        <v>613</v>
      </c>
      <c r="L62" s="374" t="s">
        <v>146</v>
      </c>
      <c r="M62" s="374" t="s">
        <v>399</v>
      </c>
      <c r="N62" s="374" t="s">
        <v>728</v>
      </c>
      <c r="O62" s="374" t="s">
        <v>287</v>
      </c>
      <c r="P62" s="374" t="s">
        <v>2</v>
      </c>
      <c r="Q62" s="374" t="s">
        <v>368</v>
      </c>
      <c r="R62" s="374" t="s">
        <v>680</v>
      </c>
      <c r="S62" s="374" t="s">
        <v>3185</v>
      </c>
      <c r="T62" s="374" t="s">
        <v>2227</v>
      </c>
    </row>
    <row r="63" spans="1:20">
      <c r="A63" s="37" t="str">
        <f t="shared" si="0"/>
        <v>C50-26-28小W长乐34白小机常温毛点/猫抓的，</v>
      </c>
      <c r="B63" s="374" t="s">
        <v>277</v>
      </c>
      <c r="C63" s="374" t="s">
        <v>278</v>
      </c>
      <c r="D63" s="374" t="s">
        <v>1578</v>
      </c>
      <c r="E63" s="374" t="s">
        <v>635</v>
      </c>
      <c r="F63" s="374" t="s">
        <v>612</v>
      </c>
      <c r="G63" s="374" t="s">
        <v>612</v>
      </c>
      <c r="H63" s="374" t="s">
        <v>369</v>
      </c>
      <c r="I63" s="374" t="s">
        <v>367</v>
      </c>
      <c r="J63" s="374" t="s">
        <v>301</v>
      </c>
      <c r="K63" s="374" t="s">
        <v>613</v>
      </c>
      <c r="L63" s="374" t="s">
        <v>158</v>
      </c>
      <c r="M63" s="374" t="s">
        <v>281</v>
      </c>
      <c r="N63" s="374" t="s">
        <v>648</v>
      </c>
      <c r="O63" s="374" t="s">
        <v>282</v>
      </c>
      <c r="P63" s="374" t="s">
        <v>2</v>
      </c>
      <c r="Q63" s="374" t="s">
        <v>370</v>
      </c>
      <c r="R63" s="374" t="s">
        <v>729</v>
      </c>
      <c r="S63" s="374" t="s">
        <v>1579</v>
      </c>
      <c r="T63" s="374" t="s">
        <v>370</v>
      </c>
    </row>
    <row r="64" spans="1:20">
      <c r="A64" s="37" t="str">
        <f t="shared" si="0"/>
        <v>C50-26-28小W长乐34白小机常温横条</v>
      </c>
      <c r="B64" s="374" t="s">
        <v>277</v>
      </c>
      <c r="C64" s="374" t="s">
        <v>278</v>
      </c>
      <c r="D64" s="374" t="s">
        <v>670</v>
      </c>
      <c r="E64" s="374" t="s">
        <v>641</v>
      </c>
      <c r="F64" s="374" t="s">
        <v>612</v>
      </c>
      <c r="G64" s="374" t="s">
        <v>612</v>
      </c>
      <c r="H64" s="374" t="s">
        <v>399</v>
      </c>
      <c r="I64" s="374" t="s">
        <v>367</v>
      </c>
      <c r="J64" s="374" t="s">
        <v>301</v>
      </c>
      <c r="K64" s="374" t="s">
        <v>613</v>
      </c>
      <c r="L64" s="374" t="s">
        <v>158</v>
      </c>
      <c r="M64" s="374" t="s">
        <v>281</v>
      </c>
      <c r="N64" s="374" t="s">
        <v>648</v>
      </c>
      <c r="O64" s="374" t="s">
        <v>282</v>
      </c>
      <c r="P64" s="374" t="s">
        <v>2</v>
      </c>
      <c r="Q64" s="374" t="s">
        <v>371</v>
      </c>
      <c r="R64" s="374" t="s">
        <v>680</v>
      </c>
      <c r="S64" s="374" t="s">
        <v>730</v>
      </c>
      <c r="T64" s="374" t="s">
        <v>372</v>
      </c>
    </row>
    <row r="65" spans="1:20">
      <c r="A65" s="37" t="str">
        <f t="shared" ref="A65:A126" si="1">SUBSTITUTE(I65," ","")&amp;J65&amp;L65&amp;N65&amp;P65&amp;T65</f>
        <v>C50-26-28小W长乐34白大机常温</v>
      </c>
      <c r="B65" s="374" t="s">
        <v>277</v>
      </c>
      <c r="C65" s="374" t="s">
        <v>285</v>
      </c>
      <c r="D65" s="374" t="s">
        <v>2552</v>
      </c>
      <c r="E65" s="374" t="s">
        <v>2498</v>
      </c>
      <c r="F65" s="374" t="s">
        <v>612</v>
      </c>
      <c r="G65" s="374" t="s">
        <v>612</v>
      </c>
      <c r="H65" s="374" t="s">
        <v>399</v>
      </c>
      <c r="I65" s="374" t="s">
        <v>367</v>
      </c>
      <c r="J65" s="374" t="s">
        <v>301</v>
      </c>
      <c r="K65" s="374" t="s">
        <v>613</v>
      </c>
      <c r="L65" s="374" t="s">
        <v>158</v>
      </c>
      <c r="M65" s="374" t="s">
        <v>281</v>
      </c>
      <c r="N65" s="374" t="s">
        <v>648</v>
      </c>
      <c r="O65" s="374" t="s">
        <v>287</v>
      </c>
      <c r="P65" s="374" t="s">
        <v>2</v>
      </c>
      <c r="Q65" s="374" t="s">
        <v>322</v>
      </c>
      <c r="R65" s="374" t="s">
        <v>731</v>
      </c>
      <c r="S65" s="374" t="s">
        <v>2553</v>
      </c>
      <c r="T65" s="374" t="s">
        <v>340</v>
      </c>
    </row>
    <row r="66" spans="1:20">
      <c r="A66" s="37" t="str">
        <f t="shared" si="1"/>
        <v/>
      </c>
    </row>
    <row r="67" spans="1:20">
      <c r="A67" s="37" t="str">
        <f t="shared" si="1"/>
        <v/>
      </c>
    </row>
    <row r="68" spans="1:20">
      <c r="A68" s="37" t="str">
        <f t="shared" si="1"/>
        <v/>
      </c>
    </row>
    <row r="69" spans="1:20">
      <c r="A69" s="37" t="str">
        <f t="shared" si="1"/>
        <v/>
      </c>
    </row>
    <row r="70" spans="1:20">
      <c r="A70" s="37" t="str">
        <f t="shared" si="1"/>
        <v/>
      </c>
    </row>
    <row r="71" spans="1:20">
      <c r="A71" s="37" t="str">
        <f t="shared" si="1"/>
        <v/>
      </c>
    </row>
    <row r="72" spans="1:20">
      <c r="A72" s="37" t="str">
        <f t="shared" si="1"/>
        <v/>
      </c>
    </row>
    <row r="73" spans="1:20">
      <c r="A73" s="37" t="str">
        <f t="shared" si="1"/>
        <v/>
      </c>
    </row>
    <row r="74" spans="1:20">
      <c r="A74" s="37" t="str">
        <f t="shared" si="1"/>
        <v/>
      </c>
    </row>
    <row r="75" spans="1:20">
      <c r="A75" s="37" t="str">
        <f t="shared" si="1"/>
        <v/>
      </c>
    </row>
    <row r="76" spans="1:20">
      <c r="A76" s="37" t="str">
        <f t="shared" si="1"/>
        <v/>
      </c>
    </row>
    <row r="77" spans="1:20">
      <c r="A77" s="37" t="str">
        <f t="shared" si="1"/>
        <v/>
      </c>
    </row>
    <row r="78" spans="1:20">
      <c r="A78" s="37" t="str">
        <f t="shared" si="1"/>
        <v/>
      </c>
    </row>
    <row r="79" spans="1:20">
      <c r="A79" s="37" t="str">
        <f t="shared" si="1"/>
        <v/>
      </c>
    </row>
    <row r="80" spans="1:20">
      <c r="A80" s="37" t="str">
        <f t="shared" si="1"/>
        <v/>
      </c>
    </row>
    <row r="81" spans="1:1">
      <c r="A81" s="37" t="str">
        <f t="shared" si="1"/>
        <v/>
      </c>
    </row>
    <row r="82" spans="1:1">
      <c r="A82" s="37" t="str">
        <f t="shared" si="1"/>
        <v/>
      </c>
    </row>
    <row r="83" spans="1:1">
      <c r="A83" s="37" t="str">
        <f t="shared" si="1"/>
        <v/>
      </c>
    </row>
    <row r="84" spans="1:1">
      <c r="A84" s="37" t="str">
        <f t="shared" si="1"/>
        <v/>
      </c>
    </row>
    <row r="85" spans="1:1">
      <c r="A85" s="37" t="str">
        <f t="shared" si="1"/>
        <v/>
      </c>
    </row>
    <row r="86" spans="1:1">
      <c r="A86" s="37" t="str">
        <f t="shared" si="1"/>
        <v/>
      </c>
    </row>
    <row r="87" spans="1:1">
      <c r="A87" s="37" t="str">
        <f t="shared" si="1"/>
        <v/>
      </c>
    </row>
    <row r="88" spans="1:1">
      <c r="A88" s="37" t="str">
        <f t="shared" si="1"/>
        <v/>
      </c>
    </row>
    <row r="89" spans="1:1">
      <c r="A89" s="37" t="str">
        <f t="shared" si="1"/>
        <v/>
      </c>
    </row>
    <row r="90" spans="1:1">
      <c r="A90" s="37" t="str">
        <f t="shared" si="1"/>
        <v/>
      </c>
    </row>
    <row r="91" spans="1:1">
      <c r="A91" s="37" t="str">
        <f t="shared" si="1"/>
        <v/>
      </c>
    </row>
    <row r="92" spans="1:1">
      <c r="A92" s="37" t="str">
        <f t="shared" si="1"/>
        <v/>
      </c>
    </row>
    <row r="93" spans="1:1">
      <c r="A93" s="37" t="str">
        <f t="shared" si="1"/>
        <v/>
      </c>
    </row>
    <row r="94" spans="1:1">
      <c r="A94" s="37" t="str">
        <f t="shared" si="1"/>
        <v/>
      </c>
    </row>
    <row r="95" spans="1:1">
      <c r="A95" s="37" t="str">
        <f t="shared" si="1"/>
        <v/>
      </c>
    </row>
    <row r="96" spans="1:1">
      <c r="A96" s="37" t="str">
        <f t="shared" si="1"/>
        <v/>
      </c>
    </row>
    <row r="97" spans="1:1">
      <c r="A97" s="37" t="str">
        <f t="shared" si="1"/>
        <v/>
      </c>
    </row>
    <row r="98" spans="1:1">
      <c r="A98" s="37" t="str">
        <f t="shared" si="1"/>
        <v/>
      </c>
    </row>
    <row r="99" spans="1:1">
      <c r="A99" s="37" t="str">
        <f t="shared" si="1"/>
        <v/>
      </c>
    </row>
    <row r="100" spans="1:1">
      <c r="A100" s="37" t="str">
        <f t="shared" si="1"/>
        <v/>
      </c>
    </row>
    <row r="101" spans="1:1">
      <c r="A101" s="37" t="str">
        <f t="shared" si="1"/>
        <v/>
      </c>
    </row>
    <row r="102" spans="1:1">
      <c r="A102" s="37" t="str">
        <f t="shared" si="1"/>
        <v/>
      </c>
    </row>
    <row r="103" spans="1:1">
      <c r="A103" s="37" t="str">
        <f t="shared" si="1"/>
        <v/>
      </c>
    </row>
    <row r="104" spans="1:1">
      <c r="A104" s="37" t="str">
        <f t="shared" si="1"/>
        <v/>
      </c>
    </row>
    <row r="105" spans="1:1">
      <c r="A105" s="37" t="str">
        <f t="shared" si="1"/>
        <v/>
      </c>
    </row>
    <row r="106" spans="1:1">
      <c r="A106" s="37" t="str">
        <f t="shared" si="1"/>
        <v/>
      </c>
    </row>
    <row r="107" spans="1:1">
      <c r="A107" s="37" t="str">
        <f t="shared" si="1"/>
        <v/>
      </c>
    </row>
    <row r="108" spans="1:1">
      <c r="A108" s="37" t="str">
        <f t="shared" si="1"/>
        <v/>
      </c>
    </row>
    <row r="109" spans="1:1">
      <c r="A109" s="37" t="str">
        <f t="shared" si="1"/>
        <v/>
      </c>
    </row>
    <row r="110" spans="1:1">
      <c r="A110" s="37" t="str">
        <f t="shared" si="1"/>
        <v/>
      </c>
    </row>
    <row r="111" spans="1:1">
      <c r="A111" s="37" t="str">
        <f t="shared" si="1"/>
        <v/>
      </c>
    </row>
    <row r="112" spans="1:1">
      <c r="A112" s="37" t="str">
        <f t="shared" si="1"/>
        <v/>
      </c>
    </row>
    <row r="113" spans="1:1">
      <c r="A113" s="37" t="str">
        <f t="shared" si="1"/>
        <v/>
      </c>
    </row>
    <row r="114" spans="1:1">
      <c r="A114" s="37" t="str">
        <f t="shared" si="1"/>
        <v/>
      </c>
    </row>
    <row r="115" spans="1:1">
      <c r="A115" s="37" t="str">
        <f t="shared" si="1"/>
        <v/>
      </c>
    </row>
    <row r="116" spans="1:1">
      <c r="A116" s="37" t="str">
        <f t="shared" si="1"/>
        <v/>
      </c>
    </row>
    <row r="117" spans="1:1">
      <c r="A117" s="37" t="str">
        <f t="shared" si="1"/>
        <v/>
      </c>
    </row>
    <row r="118" spans="1:1">
      <c r="A118" s="37" t="str">
        <f t="shared" si="1"/>
        <v/>
      </c>
    </row>
    <row r="119" spans="1:1">
      <c r="A119" s="37" t="str">
        <f t="shared" si="1"/>
        <v/>
      </c>
    </row>
    <row r="120" spans="1:1">
      <c r="A120" s="37" t="str">
        <f t="shared" si="1"/>
        <v/>
      </c>
    </row>
    <row r="121" spans="1:1">
      <c r="A121" s="37" t="str">
        <f t="shared" si="1"/>
        <v/>
      </c>
    </row>
    <row r="122" spans="1:1">
      <c r="A122" s="37" t="str">
        <f t="shared" si="1"/>
        <v/>
      </c>
    </row>
    <row r="123" spans="1:1">
      <c r="A123" s="37" t="str">
        <f t="shared" si="1"/>
        <v/>
      </c>
    </row>
    <row r="124" spans="1:1">
      <c r="A124" s="37" t="str">
        <f t="shared" si="1"/>
        <v/>
      </c>
    </row>
    <row r="125" spans="1:1">
      <c r="A125" s="37" t="str">
        <f t="shared" si="1"/>
        <v/>
      </c>
    </row>
    <row r="126" spans="1:1">
      <c r="A126" s="37" t="str">
        <f t="shared" si="1"/>
        <v/>
      </c>
    </row>
    <row r="127" spans="1:1">
      <c r="A127" s="37" t="str">
        <f t="shared" ref="A127:A190" si="2">SUBSTITUTE(I127," ","")&amp;J127&amp;L127&amp;N127&amp;P127&amp;T127</f>
        <v/>
      </c>
    </row>
    <row r="128" spans="1:1">
      <c r="A128" s="37" t="str">
        <f t="shared" si="2"/>
        <v/>
      </c>
    </row>
    <row r="129" spans="1:1">
      <c r="A129" s="37" t="str">
        <f t="shared" si="2"/>
        <v/>
      </c>
    </row>
    <row r="130" spans="1:1">
      <c r="A130" s="37" t="str">
        <f t="shared" si="2"/>
        <v/>
      </c>
    </row>
    <row r="131" spans="1:1">
      <c r="A131" s="37" t="str">
        <f t="shared" si="2"/>
        <v/>
      </c>
    </row>
    <row r="132" spans="1:1">
      <c r="A132" s="37" t="str">
        <f t="shared" si="2"/>
        <v/>
      </c>
    </row>
    <row r="133" spans="1:1">
      <c r="A133" s="37" t="str">
        <f t="shared" si="2"/>
        <v/>
      </c>
    </row>
    <row r="134" spans="1:1">
      <c r="A134" s="37" t="str">
        <f t="shared" si="2"/>
        <v/>
      </c>
    </row>
    <row r="135" spans="1:1">
      <c r="A135" s="37" t="str">
        <f t="shared" si="2"/>
        <v/>
      </c>
    </row>
    <row r="136" spans="1:1">
      <c r="A136" s="37" t="str">
        <f t="shared" si="2"/>
        <v/>
      </c>
    </row>
    <row r="137" spans="1:1">
      <c r="A137" s="37" t="str">
        <f t="shared" si="2"/>
        <v/>
      </c>
    </row>
    <row r="138" spans="1:1">
      <c r="A138" s="37" t="str">
        <f t="shared" si="2"/>
        <v/>
      </c>
    </row>
    <row r="139" spans="1:1">
      <c r="A139" s="37" t="str">
        <f t="shared" si="2"/>
        <v/>
      </c>
    </row>
    <row r="140" spans="1:1">
      <c r="A140" s="37" t="str">
        <f t="shared" si="2"/>
        <v/>
      </c>
    </row>
    <row r="141" spans="1:1">
      <c r="A141" s="37" t="str">
        <f t="shared" si="2"/>
        <v/>
      </c>
    </row>
    <row r="142" spans="1:1">
      <c r="A142" s="37" t="str">
        <f t="shared" si="2"/>
        <v/>
      </c>
    </row>
    <row r="143" spans="1:1">
      <c r="A143" s="37" t="str">
        <f t="shared" si="2"/>
        <v/>
      </c>
    </row>
    <row r="144" spans="1:1">
      <c r="A144" s="37" t="str">
        <f t="shared" si="2"/>
        <v/>
      </c>
    </row>
    <row r="145" spans="1:1">
      <c r="A145" s="37" t="str">
        <f t="shared" si="2"/>
        <v/>
      </c>
    </row>
    <row r="146" spans="1:1">
      <c r="A146" s="37" t="str">
        <f t="shared" si="2"/>
        <v/>
      </c>
    </row>
    <row r="147" spans="1:1">
      <c r="A147" s="37" t="str">
        <f t="shared" si="2"/>
        <v/>
      </c>
    </row>
    <row r="148" spans="1:1">
      <c r="A148" s="37" t="str">
        <f t="shared" si="2"/>
        <v/>
      </c>
    </row>
    <row r="149" spans="1:1">
      <c r="A149" s="37" t="str">
        <f t="shared" si="2"/>
        <v/>
      </c>
    </row>
    <row r="150" spans="1:1">
      <c r="A150" s="37" t="str">
        <f t="shared" si="2"/>
        <v/>
      </c>
    </row>
    <row r="151" spans="1:1">
      <c r="A151" s="37" t="str">
        <f t="shared" si="2"/>
        <v/>
      </c>
    </row>
    <row r="152" spans="1:1">
      <c r="A152" s="37" t="str">
        <f t="shared" si="2"/>
        <v/>
      </c>
    </row>
    <row r="153" spans="1:1">
      <c r="A153" s="37" t="str">
        <f t="shared" si="2"/>
        <v/>
      </c>
    </row>
    <row r="154" spans="1:1">
      <c r="A154" s="37" t="str">
        <f t="shared" si="2"/>
        <v/>
      </c>
    </row>
    <row r="155" spans="1:1">
      <c r="A155" s="37" t="str">
        <f t="shared" si="2"/>
        <v/>
      </c>
    </row>
    <row r="156" spans="1:1">
      <c r="A156" s="37" t="str">
        <f t="shared" si="2"/>
        <v/>
      </c>
    </row>
    <row r="157" spans="1:1">
      <c r="A157" s="37" t="str">
        <f t="shared" si="2"/>
        <v/>
      </c>
    </row>
    <row r="158" spans="1:1">
      <c r="A158" s="37" t="str">
        <f t="shared" si="2"/>
        <v/>
      </c>
    </row>
    <row r="159" spans="1:1">
      <c r="A159" s="37" t="str">
        <f t="shared" si="2"/>
        <v/>
      </c>
    </row>
    <row r="160" spans="1:1">
      <c r="A160" s="37" t="str">
        <f t="shared" si="2"/>
        <v/>
      </c>
    </row>
    <row r="161" spans="1:1">
      <c r="A161" s="37" t="str">
        <f t="shared" si="2"/>
        <v/>
      </c>
    </row>
    <row r="162" spans="1:1">
      <c r="A162" s="37" t="str">
        <f t="shared" si="2"/>
        <v/>
      </c>
    </row>
    <row r="163" spans="1:1">
      <c r="A163" s="37" t="str">
        <f t="shared" si="2"/>
        <v/>
      </c>
    </row>
    <row r="164" spans="1:1">
      <c r="A164" s="37" t="str">
        <f t="shared" si="2"/>
        <v/>
      </c>
    </row>
    <row r="165" spans="1:1">
      <c r="A165" s="37" t="str">
        <f t="shared" si="2"/>
        <v/>
      </c>
    </row>
    <row r="166" spans="1:1">
      <c r="A166" s="37" t="str">
        <f t="shared" si="2"/>
        <v/>
      </c>
    </row>
    <row r="167" spans="1:1">
      <c r="A167" s="37" t="str">
        <f t="shared" si="2"/>
        <v/>
      </c>
    </row>
    <row r="168" spans="1:1">
      <c r="A168" s="37" t="str">
        <f t="shared" si="2"/>
        <v/>
      </c>
    </row>
    <row r="169" spans="1:1">
      <c r="A169" s="37" t="str">
        <f t="shared" si="2"/>
        <v/>
      </c>
    </row>
    <row r="170" spans="1:1">
      <c r="A170" s="37" t="str">
        <f t="shared" si="2"/>
        <v/>
      </c>
    </row>
    <row r="171" spans="1:1">
      <c r="A171" s="37" t="str">
        <f t="shared" si="2"/>
        <v/>
      </c>
    </row>
    <row r="172" spans="1:1">
      <c r="A172" s="37" t="str">
        <f t="shared" si="2"/>
        <v/>
      </c>
    </row>
    <row r="173" spans="1:1">
      <c r="A173" s="37" t="str">
        <f t="shared" si="2"/>
        <v/>
      </c>
    </row>
    <row r="174" spans="1:1">
      <c r="A174" s="37" t="str">
        <f t="shared" si="2"/>
        <v/>
      </c>
    </row>
    <row r="175" spans="1:1">
      <c r="A175" s="37" t="str">
        <f t="shared" si="2"/>
        <v/>
      </c>
    </row>
    <row r="176" spans="1:1">
      <c r="A176" s="37" t="str">
        <f t="shared" si="2"/>
        <v/>
      </c>
    </row>
    <row r="177" spans="1:1">
      <c r="A177" s="37" t="str">
        <f t="shared" si="2"/>
        <v/>
      </c>
    </row>
    <row r="178" spans="1:1">
      <c r="A178" s="37" t="str">
        <f t="shared" si="2"/>
        <v/>
      </c>
    </row>
    <row r="179" spans="1:1">
      <c r="A179" s="37" t="str">
        <f t="shared" si="2"/>
        <v/>
      </c>
    </row>
    <row r="180" spans="1:1">
      <c r="A180" s="37" t="str">
        <f t="shared" si="2"/>
        <v/>
      </c>
    </row>
    <row r="181" spans="1:1">
      <c r="A181" s="37" t="str">
        <f t="shared" si="2"/>
        <v/>
      </c>
    </row>
    <row r="182" spans="1:1">
      <c r="A182" s="37" t="str">
        <f t="shared" si="2"/>
        <v/>
      </c>
    </row>
    <row r="183" spans="1:1">
      <c r="A183" s="37" t="str">
        <f t="shared" si="2"/>
        <v/>
      </c>
    </row>
    <row r="184" spans="1:1">
      <c r="A184" s="37" t="str">
        <f t="shared" si="2"/>
        <v/>
      </c>
    </row>
    <row r="185" spans="1:1">
      <c r="A185" s="37" t="str">
        <f t="shared" si="2"/>
        <v/>
      </c>
    </row>
    <row r="186" spans="1:1">
      <c r="A186" s="37" t="str">
        <f t="shared" si="2"/>
        <v/>
      </c>
    </row>
    <row r="187" spans="1:1">
      <c r="A187" s="37" t="str">
        <f t="shared" si="2"/>
        <v/>
      </c>
    </row>
    <row r="188" spans="1:1">
      <c r="A188" s="37" t="str">
        <f t="shared" si="2"/>
        <v/>
      </c>
    </row>
    <row r="189" spans="1:1">
      <c r="A189" s="37" t="str">
        <f t="shared" si="2"/>
        <v/>
      </c>
    </row>
    <row r="190" spans="1:1">
      <c r="A190" s="37" t="str">
        <f t="shared" si="2"/>
        <v/>
      </c>
    </row>
    <row r="191" spans="1:1">
      <c r="A191" s="37" t="str">
        <f t="shared" ref="A191:A254" si="3">SUBSTITUTE(I191," ","")&amp;J191&amp;L191&amp;N191&amp;P191&amp;T191</f>
        <v/>
      </c>
    </row>
    <row r="192" spans="1:1">
      <c r="A192" s="37" t="str">
        <f t="shared" si="3"/>
        <v/>
      </c>
    </row>
    <row r="193" spans="1:1">
      <c r="A193" s="37" t="str">
        <f t="shared" si="3"/>
        <v/>
      </c>
    </row>
    <row r="194" spans="1:1">
      <c r="A194" s="37" t="str">
        <f t="shared" si="3"/>
        <v/>
      </c>
    </row>
    <row r="195" spans="1:1">
      <c r="A195" s="37" t="str">
        <f t="shared" si="3"/>
        <v/>
      </c>
    </row>
    <row r="196" spans="1:1">
      <c r="A196" s="37" t="str">
        <f t="shared" si="3"/>
        <v/>
      </c>
    </row>
    <row r="197" spans="1:1">
      <c r="A197" s="37" t="str">
        <f t="shared" si="3"/>
        <v/>
      </c>
    </row>
    <row r="198" spans="1:1">
      <c r="A198" s="37" t="str">
        <f t="shared" si="3"/>
        <v/>
      </c>
    </row>
    <row r="199" spans="1:1">
      <c r="A199" s="37" t="str">
        <f t="shared" si="3"/>
        <v/>
      </c>
    </row>
    <row r="200" spans="1:1">
      <c r="A200" s="37" t="str">
        <f t="shared" si="3"/>
        <v/>
      </c>
    </row>
    <row r="201" spans="1:1">
      <c r="A201" s="37" t="str">
        <f t="shared" si="3"/>
        <v/>
      </c>
    </row>
    <row r="202" spans="1:1">
      <c r="A202" s="37" t="str">
        <f t="shared" si="3"/>
        <v/>
      </c>
    </row>
    <row r="203" spans="1:1">
      <c r="A203" s="37" t="str">
        <f t="shared" si="3"/>
        <v/>
      </c>
    </row>
    <row r="204" spans="1:1">
      <c r="A204" s="37" t="str">
        <f t="shared" si="3"/>
        <v/>
      </c>
    </row>
    <row r="205" spans="1:1">
      <c r="A205" s="37" t="str">
        <f t="shared" si="3"/>
        <v/>
      </c>
    </row>
    <row r="206" spans="1:1">
      <c r="A206" s="37" t="str">
        <f t="shared" si="3"/>
        <v/>
      </c>
    </row>
    <row r="207" spans="1:1">
      <c r="A207" s="37" t="str">
        <f t="shared" si="3"/>
        <v/>
      </c>
    </row>
    <row r="208" spans="1:1">
      <c r="A208" s="37" t="str">
        <f t="shared" si="3"/>
        <v/>
      </c>
    </row>
    <row r="209" spans="1:1">
      <c r="A209" s="37" t="str">
        <f t="shared" si="3"/>
        <v/>
      </c>
    </row>
    <row r="210" spans="1:1">
      <c r="A210" s="37" t="str">
        <f t="shared" si="3"/>
        <v/>
      </c>
    </row>
    <row r="211" spans="1:1">
      <c r="A211" s="37" t="str">
        <f t="shared" si="3"/>
        <v/>
      </c>
    </row>
    <row r="212" spans="1:1">
      <c r="A212" s="37" t="str">
        <f t="shared" si="3"/>
        <v/>
      </c>
    </row>
    <row r="213" spans="1:1">
      <c r="A213" s="37" t="str">
        <f t="shared" si="3"/>
        <v/>
      </c>
    </row>
    <row r="214" spans="1:1">
      <c r="A214" s="37" t="str">
        <f t="shared" si="3"/>
        <v/>
      </c>
    </row>
    <row r="215" spans="1:1">
      <c r="A215" s="37" t="str">
        <f t="shared" si="3"/>
        <v/>
      </c>
    </row>
    <row r="216" spans="1:1">
      <c r="A216" s="37" t="str">
        <f t="shared" si="3"/>
        <v/>
      </c>
    </row>
    <row r="217" spans="1:1">
      <c r="A217" s="37" t="str">
        <f t="shared" si="3"/>
        <v/>
      </c>
    </row>
    <row r="218" spans="1:1">
      <c r="A218" s="37" t="str">
        <f t="shared" si="3"/>
        <v/>
      </c>
    </row>
    <row r="219" spans="1:1">
      <c r="A219" s="37" t="str">
        <f t="shared" si="3"/>
        <v/>
      </c>
    </row>
    <row r="220" spans="1:1">
      <c r="A220" s="37" t="str">
        <f t="shared" si="3"/>
        <v/>
      </c>
    </row>
    <row r="221" spans="1:1">
      <c r="A221" s="37" t="str">
        <f t="shared" si="3"/>
        <v/>
      </c>
    </row>
    <row r="222" spans="1:1">
      <c r="A222" s="37" t="str">
        <f t="shared" si="3"/>
        <v/>
      </c>
    </row>
    <row r="223" spans="1:1">
      <c r="A223" s="37" t="str">
        <f t="shared" si="3"/>
        <v/>
      </c>
    </row>
    <row r="224" spans="1:1">
      <c r="A224" s="37" t="str">
        <f t="shared" si="3"/>
        <v/>
      </c>
    </row>
    <row r="225" spans="1:1">
      <c r="A225" s="37" t="str">
        <f t="shared" si="3"/>
        <v/>
      </c>
    </row>
    <row r="226" spans="1:1">
      <c r="A226" s="37" t="str">
        <f t="shared" si="3"/>
        <v/>
      </c>
    </row>
    <row r="227" spans="1:1">
      <c r="A227" s="37" t="str">
        <f t="shared" si="3"/>
        <v/>
      </c>
    </row>
    <row r="228" spans="1:1">
      <c r="A228" s="37" t="str">
        <f t="shared" si="3"/>
        <v/>
      </c>
    </row>
    <row r="229" spans="1:1">
      <c r="A229" s="37" t="str">
        <f t="shared" si="3"/>
        <v/>
      </c>
    </row>
    <row r="230" spans="1:1">
      <c r="A230" s="37" t="str">
        <f t="shared" si="3"/>
        <v/>
      </c>
    </row>
    <row r="231" spans="1:1">
      <c r="A231" s="37" t="str">
        <f t="shared" si="3"/>
        <v/>
      </c>
    </row>
    <row r="232" spans="1:1">
      <c r="A232" s="37" t="str">
        <f t="shared" si="3"/>
        <v/>
      </c>
    </row>
    <row r="233" spans="1:1">
      <c r="A233" s="37" t="str">
        <f t="shared" si="3"/>
        <v/>
      </c>
    </row>
    <row r="234" spans="1:1">
      <c r="A234" s="37" t="str">
        <f t="shared" si="3"/>
        <v/>
      </c>
    </row>
    <row r="235" spans="1:1">
      <c r="A235" s="37" t="str">
        <f t="shared" si="3"/>
        <v/>
      </c>
    </row>
    <row r="236" spans="1:1">
      <c r="A236" s="37" t="str">
        <f t="shared" si="3"/>
        <v/>
      </c>
    </row>
    <row r="237" spans="1:1">
      <c r="A237" s="37" t="str">
        <f t="shared" si="3"/>
        <v/>
      </c>
    </row>
    <row r="238" spans="1:1">
      <c r="A238" s="37" t="str">
        <f t="shared" si="3"/>
        <v/>
      </c>
    </row>
    <row r="239" spans="1:1">
      <c r="A239" s="37" t="str">
        <f t="shared" si="3"/>
        <v/>
      </c>
    </row>
    <row r="240" spans="1:1">
      <c r="A240" s="37" t="str">
        <f t="shared" si="3"/>
        <v/>
      </c>
    </row>
    <row r="241" spans="1:1">
      <c r="A241" s="37" t="str">
        <f t="shared" si="3"/>
        <v/>
      </c>
    </row>
    <row r="242" spans="1:1">
      <c r="A242" s="37" t="str">
        <f t="shared" si="3"/>
        <v/>
      </c>
    </row>
    <row r="243" spans="1:1">
      <c r="A243" s="37" t="str">
        <f t="shared" si="3"/>
        <v/>
      </c>
    </row>
    <row r="244" spans="1:1">
      <c r="A244" s="37" t="str">
        <f t="shared" si="3"/>
        <v/>
      </c>
    </row>
    <row r="245" spans="1:1">
      <c r="A245" s="37" t="str">
        <f t="shared" si="3"/>
        <v/>
      </c>
    </row>
    <row r="246" spans="1:1">
      <c r="A246" s="37" t="str">
        <f t="shared" si="3"/>
        <v/>
      </c>
    </row>
    <row r="247" spans="1:1">
      <c r="A247" s="37" t="str">
        <f t="shared" si="3"/>
        <v/>
      </c>
    </row>
    <row r="248" spans="1:1">
      <c r="A248" s="37" t="str">
        <f t="shared" si="3"/>
        <v/>
      </c>
    </row>
    <row r="249" spans="1:1">
      <c r="A249" s="37" t="str">
        <f t="shared" si="3"/>
        <v/>
      </c>
    </row>
    <row r="250" spans="1:1">
      <c r="A250" s="37" t="str">
        <f t="shared" si="3"/>
        <v/>
      </c>
    </row>
    <row r="251" spans="1:1">
      <c r="A251" s="37" t="str">
        <f t="shared" si="3"/>
        <v/>
      </c>
    </row>
    <row r="252" spans="1:1">
      <c r="A252" s="37" t="str">
        <f t="shared" si="3"/>
        <v/>
      </c>
    </row>
    <row r="253" spans="1:1">
      <c r="A253" s="37" t="str">
        <f t="shared" si="3"/>
        <v/>
      </c>
    </row>
    <row r="254" spans="1:1">
      <c r="A254" s="37" t="str">
        <f t="shared" si="3"/>
        <v/>
      </c>
    </row>
    <row r="255" spans="1:1">
      <c r="A255" s="37" t="str">
        <f t="shared" ref="A255:A318" si="4">SUBSTITUTE(I255," ","")&amp;J255&amp;L255&amp;N255&amp;P255&amp;T255</f>
        <v/>
      </c>
    </row>
    <row r="256" spans="1:1">
      <c r="A256" s="37" t="str">
        <f t="shared" si="4"/>
        <v/>
      </c>
    </row>
    <row r="257" spans="1:1">
      <c r="A257" s="37" t="str">
        <f t="shared" si="4"/>
        <v/>
      </c>
    </row>
    <row r="258" spans="1:1">
      <c r="A258" s="37" t="str">
        <f t="shared" si="4"/>
        <v/>
      </c>
    </row>
    <row r="259" spans="1:1">
      <c r="A259" s="37" t="str">
        <f t="shared" si="4"/>
        <v/>
      </c>
    </row>
    <row r="260" spans="1:1">
      <c r="A260" s="37" t="str">
        <f t="shared" si="4"/>
        <v/>
      </c>
    </row>
    <row r="261" spans="1:1">
      <c r="A261" s="37" t="str">
        <f t="shared" si="4"/>
        <v/>
      </c>
    </row>
    <row r="262" spans="1:1">
      <c r="A262" s="37" t="str">
        <f t="shared" si="4"/>
        <v/>
      </c>
    </row>
    <row r="263" spans="1:1">
      <c r="A263" s="37" t="str">
        <f t="shared" si="4"/>
        <v/>
      </c>
    </row>
    <row r="264" spans="1:1">
      <c r="A264" s="37" t="str">
        <f t="shared" si="4"/>
        <v/>
      </c>
    </row>
    <row r="265" spans="1:1">
      <c r="A265" s="37" t="str">
        <f t="shared" si="4"/>
        <v/>
      </c>
    </row>
    <row r="266" spans="1:1">
      <c r="A266" s="37" t="str">
        <f t="shared" si="4"/>
        <v/>
      </c>
    </row>
    <row r="267" spans="1:1">
      <c r="A267" s="37" t="str">
        <f t="shared" si="4"/>
        <v/>
      </c>
    </row>
    <row r="268" spans="1:1">
      <c r="A268" s="37" t="str">
        <f t="shared" si="4"/>
        <v/>
      </c>
    </row>
    <row r="269" spans="1:1">
      <c r="A269" s="37" t="str">
        <f t="shared" si="4"/>
        <v/>
      </c>
    </row>
    <row r="270" spans="1:1">
      <c r="A270" s="37" t="str">
        <f t="shared" si="4"/>
        <v/>
      </c>
    </row>
    <row r="271" spans="1:1">
      <c r="A271" s="37" t="str">
        <f t="shared" si="4"/>
        <v/>
      </c>
    </row>
    <row r="272" spans="1:1">
      <c r="A272" s="37" t="str">
        <f t="shared" si="4"/>
        <v/>
      </c>
    </row>
    <row r="273" spans="1:1">
      <c r="A273" s="37" t="str">
        <f t="shared" si="4"/>
        <v/>
      </c>
    </row>
    <row r="274" spans="1:1">
      <c r="A274" s="37" t="str">
        <f t="shared" si="4"/>
        <v/>
      </c>
    </row>
    <row r="275" spans="1:1">
      <c r="A275" s="37" t="str">
        <f t="shared" si="4"/>
        <v/>
      </c>
    </row>
    <row r="276" spans="1:1">
      <c r="A276" s="37" t="str">
        <f t="shared" si="4"/>
        <v/>
      </c>
    </row>
    <row r="277" spans="1:1">
      <c r="A277" s="37" t="str">
        <f t="shared" si="4"/>
        <v/>
      </c>
    </row>
    <row r="278" spans="1:1">
      <c r="A278" s="37" t="str">
        <f t="shared" si="4"/>
        <v/>
      </c>
    </row>
    <row r="279" spans="1:1">
      <c r="A279" s="37" t="str">
        <f t="shared" si="4"/>
        <v/>
      </c>
    </row>
    <row r="280" spans="1:1">
      <c r="A280" s="37" t="str">
        <f t="shared" si="4"/>
        <v/>
      </c>
    </row>
    <row r="281" spans="1:1">
      <c r="A281" s="37" t="str">
        <f t="shared" si="4"/>
        <v/>
      </c>
    </row>
    <row r="282" spans="1:1">
      <c r="A282" s="37" t="str">
        <f t="shared" si="4"/>
        <v/>
      </c>
    </row>
    <row r="283" spans="1:1">
      <c r="A283" s="37" t="str">
        <f t="shared" si="4"/>
        <v/>
      </c>
    </row>
    <row r="284" spans="1:1">
      <c r="A284" s="37" t="str">
        <f t="shared" si="4"/>
        <v/>
      </c>
    </row>
    <row r="285" spans="1:1">
      <c r="A285" s="37" t="str">
        <f t="shared" si="4"/>
        <v/>
      </c>
    </row>
    <row r="286" spans="1:1">
      <c r="A286" s="37" t="str">
        <f t="shared" si="4"/>
        <v/>
      </c>
    </row>
    <row r="287" spans="1:1">
      <c r="A287" s="37" t="str">
        <f t="shared" si="4"/>
        <v/>
      </c>
    </row>
    <row r="288" spans="1:1">
      <c r="A288" s="37" t="str">
        <f t="shared" si="4"/>
        <v/>
      </c>
    </row>
    <row r="289" spans="1:1">
      <c r="A289" s="37" t="str">
        <f t="shared" si="4"/>
        <v/>
      </c>
    </row>
    <row r="290" spans="1:1">
      <c r="A290" s="37" t="str">
        <f t="shared" si="4"/>
        <v/>
      </c>
    </row>
    <row r="291" spans="1:1">
      <c r="A291" s="37" t="str">
        <f t="shared" si="4"/>
        <v/>
      </c>
    </row>
    <row r="292" spans="1:1">
      <c r="A292" s="37" t="str">
        <f t="shared" si="4"/>
        <v/>
      </c>
    </row>
    <row r="293" spans="1:1">
      <c r="A293" s="37" t="str">
        <f t="shared" si="4"/>
        <v/>
      </c>
    </row>
    <row r="294" spans="1:1">
      <c r="A294" s="37" t="str">
        <f t="shared" si="4"/>
        <v/>
      </c>
    </row>
    <row r="295" spans="1:1">
      <c r="A295" s="37" t="str">
        <f t="shared" si="4"/>
        <v/>
      </c>
    </row>
    <row r="296" spans="1:1">
      <c r="A296" s="37" t="str">
        <f t="shared" si="4"/>
        <v/>
      </c>
    </row>
    <row r="297" spans="1:1">
      <c r="A297" s="37" t="str">
        <f t="shared" si="4"/>
        <v/>
      </c>
    </row>
    <row r="298" spans="1:1">
      <c r="A298" s="37" t="str">
        <f t="shared" si="4"/>
        <v/>
      </c>
    </row>
    <row r="299" spans="1:1">
      <c r="A299" s="37" t="str">
        <f t="shared" si="4"/>
        <v/>
      </c>
    </row>
    <row r="300" spans="1:1">
      <c r="A300" s="37" t="str">
        <f t="shared" si="4"/>
        <v/>
      </c>
    </row>
    <row r="301" spans="1:1">
      <c r="A301" s="37" t="str">
        <f t="shared" si="4"/>
        <v/>
      </c>
    </row>
    <row r="302" spans="1:1">
      <c r="A302" s="37" t="str">
        <f t="shared" si="4"/>
        <v/>
      </c>
    </row>
    <row r="303" spans="1:1">
      <c r="A303" s="37" t="str">
        <f t="shared" si="4"/>
        <v/>
      </c>
    </row>
    <row r="304" spans="1:1">
      <c r="A304" s="37" t="str">
        <f t="shared" si="4"/>
        <v/>
      </c>
    </row>
    <row r="305" spans="1:1">
      <c r="A305" s="37" t="str">
        <f t="shared" si="4"/>
        <v/>
      </c>
    </row>
    <row r="306" spans="1:1">
      <c r="A306" s="37" t="str">
        <f t="shared" si="4"/>
        <v/>
      </c>
    </row>
    <row r="307" spans="1:1">
      <c r="A307" s="37" t="str">
        <f t="shared" si="4"/>
        <v/>
      </c>
    </row>
    <row r="308" spans="1:1">
      <c r="A308" s="37" t="str">
        <f t="shared" si="4"/>
        <v/>
      </c>
    </row>
    <row r="309" spans="1:1">
      <c r="A309" s="37" t="str">
        <f t="shared" si="4"/>
        <v/>
      </c>
    </row>
    <row r="310" spans="1:1">
      <c r="A310" s="37" t="str">
        <f t="shared" si="4"/>
        <v/>
      </c>
    </row>
    <row r="311" spans="1:1">
      <c r="A311" s="37" t="str">
        <f t="shared" si="4"/>
        <v/>
      </c>
    </row>
    <row r="312" spans="1:1">
      <c r="A312" s="37" t="str">
        <f t="shared" si="4"/>
        <v/>
      </c>
    </row>
    <row r="313" spans="1:1">
      <c r="A313" s="37" t="str">
        <f t="shared" si="4"/>
        <v/>
      </c>
    </row>
    <row r="314" spans="1:1">
      <c r="A314" s="37" t="str">
        <f t="shared" si="4"/>
        <v/>
      </c>
    </row>
    <row r="315" spans="1:1">
      <c r="A315" s="37" t="str">
        <f t="shared" si="4"/>
        <v/>
      </c>
    </row>
    <row r="316" spans="1:1">
      <c r="A316" s="37" t="str">
        <f t="shared" si="4"/>
        <v/>
      </c>
    </row>
    <row r="317" spans="1:1">
      <c r="A317" s="37" t="str">
        <f t="shared" si="4"/>
        <v/>
      </c>
    </row>
    <row r="318" spans="1:1">
      <c r="A318" s="37" t="str">
        <f t="shared" si="4"/>
        <v/>
      </c>
    </row>
    <row r="319" spans="1:1">
      <c r="A319" s="37" t="str">
        <f t="shared" ref="A319:A382" si="5">SUBSTITUTE(I319," ","")&amp;J319&amp;L319&amp;N319&amp;P319&amp;T319</f>
        <v/>
      </c>
    </row>
    <row r="320" spans="1:1">
      <c r="A320" s="37" t="str">
        <f t="shared" si="5"/>
        <v/>
      </c>
    </row>
    <row r="321" spans="1:1">
      <c r="A321" s="37" t="str">
        <f t="shared" si="5"/>
        <v/>
      </c>
    </row>
    <row r="322" spans="1:1">
      <c r="A322" s="37" t="str">
        <f t="shared" si="5"/>
        <v/>
      </c>
    </row>
    <row r="323" spans="1:1">
      <c r="A323" s="37" t="str">
        <f t="shared" si="5"/>
        <v/>
      </c>
    </row>
    <row r="324" spans="1:1">
      <c r="A324" s="37" t="str">
        <f t="shared" si="5"/>
        <v/>
      </c>
    </row>
    <row r="325" spans="1:1">
      <c r="A325" s="37" t="str">
        <f t="shared" si="5"/>
        <v/>
      </c>
    </row>
    <row r="326" spans="1:1">
      <c r="A326" s="37" t="str">
        <f t="shared" si="5"/>
        <v/>
      </c>
    </row>
    <row r="327" spans="1:1">
      <c r="A327" s="37" t="str">
        <f t="shared" si="5"/>
        <v/>
      </c>
    </row>
    <row r="328" spans="1:1">
      <c r="A328" s="37" t="str">
        <f t="shared" si="5"/>
        <v/>
      </c>
    </row>
    <row r="329" spans="1:1">
      <c r="A329" s="37" t="str">
        <f t="shared" si="5"/>
        <v/>
      </c>
    </row>
    <row r="330" spans="1:1">
      <c r="A330" s="37" t="str">
        <f t="shared" si="5"/>
        <v/>
      </c>
    </row>
    <row r="331" spans="1:1">
      <c r="A331" s="37" t="str">
        <f t="shared" si="5"/>
        <v/>
      </c>
    </row>
    <row r="332" spans="1:1">
      <c r="A332" s="37" t="str">
        <f t="shared" si="5"/>
        <v/>
      </c>
    </row>
    <row r="333" spans="1:1">
      <c r="A333" s="37" t="str">
        <f t="shared" si="5"/>
        <v/>
      </c>
    </row>
    <row r="334" spans="1:1">
      <c r="A334" s="37" t="str">
        <f t="shared" si="5"/>
        <v/>
      </c>
    </row>
    <row r="335" spans="1:1">
      <c r="A335" s="37" t="str">
        <f t="shared" si="5"/>
        <v/>
      </c>
    </row>
    <row r="336" spans="1:1">
      <c r="A336" s="37" t="str">
        <f t="shared" si="5"/>
        <v/>
      </c>
    </row>
    <row r="337" spans="1:1">
      <c r="A337" s="37" t="str">
        <f t="shared" si="5"/>
        <v/>
      </c>
    </row>
    <row r="338" spans="1:1">
      <c r="A338" s="37" t="str">
        <f t="shared" si="5"/>
        <v/>
      </c>
    </row>
    <row r="339" spans="1:1">
      <c r="A339" s="37" t="str">
        <f t="shared" si="5"/>
        <v/>
      </c>
    </row>
    <row r="340" spans="1:1">
      <c r="A340" s="37" t="str">
        <f t="shared" si="5"/>
        <v/>
      </c>
    </row>
    <row r="341" spans="1:1">
      <c r="A341" s="37" t="str">
        <f t="shared" si="5"/>
        <v/>
      </c>
    </row>
    <row r="342" spans="1:1">
      <c r="A342" s="37" t="str">
        <f t="shared" si="5"/>
        <v/>
      </c>
    </row>
    <row r="343" spans="1:1">
      <c r="A343" s="37" t="str">
        <f t="shared" si="5"/>
        <v/>
      </c>
    </row>
    <row r="344" spans="1:1">
      <c r="A344" s="37" t="str">
        <f t="shared" si="5"/>
        <v/>
      </c>
    </row>
    <row r="345" spans="1:1">
      <c r="A345" s="37" t="str">
        <f t="shared" si="5"/>
        <v/>
      </c>
    </row>
    <row r="346" spans="1:1">
      <c r="A346" s="37" t="str">
        <f t="shared" si="5"/>
        <v/>
      </c>
    </row>
    <row r="347" spans="1:1">
      <c r="A347" s="37" t="str">
        <f t="shared" si="5"/>
        <v/>
      </c>
    </row>
    <row r="348" spans="1:1">
      <c r="A348" s="37" t="str">
        <f t="shared" si="5"/>
        <v/>
      </c>
    </row>
    <row r="349" spans="1:1">
      <c r="A349" s="37" t="str">
        <f t="shared" si="5"/>
        <v/>
      </c>
    </row>
    <row r="350" spans="1:1">
      <c r="A350" s="37" t="str">
        <f t="shared" si="5"/>
        <v/>
      </c>
    </row>
    <row r="351" spans="1:1">
      <c r="A351" s="37" t="str">
        <f t="shared" si="5"/>
        <v/>
      </c>
    </row>
    <row r="352" spans="1:1">
      <c r="A352" s="37" t="str">
        <f t="shared" si="5"/>
        <v/>
      </c>
    </row>
    <row r="353" spans="1:1">
      <c r="A353" s="37" t="str">
        <f t="shared" si="5"/>
        <v/>
      </c>
    </row>
    <row r="354" spans="1:1">
      <c r="A354" s="37" t="str">
        <f t="shared" si="5"/>
        <v/>
      </c>
    </row>
    <row r="355" spans="1:1">
      <c r="A355" s="37" t="str">
        <f t="shared" si="5"/>
        <v/>
      </c>
    </row>
    <row r="356" spans="1:1">
      <c r="A356" s="37" t="str">
        <f t="shared" si="5"/>
        <v/>
      </c>
    </row>
    <row r="357" spans="1:1">
      <c r="A357" s="37" t="str">
        <f t="shared" si="5"/>
        <v/>
      </c>
    </row>
    <row r="358" spans="1:1">
      <c r="A358" s="37" t="str">
        <f t="shared" si="5"/>
        <v/>
      </c>
    </row>
    <row r="359" spans="1:1">
      <c r="A359" s="37" t="str">
        <f t="shared" si="5"/>
        <v/>
      </c>
    </row>
    <row r="360" spans="1:1">
      <c r="A360" s="37" t="str">
        <f t="shared" si="5"/>
        <v/>
      </c>
    </row>
    <row r="361" spans="1:1">
      <c r="A361" s="37" t="str">
        <f t="shared" si="5"/>
        <v/>
      </c>
    </row>
    <row r="362" spans="1:1">
      <c r="A362" s="37" t="str">
        <f t="shared" si="5"/>
        <v/>
      </c>
    </row>
    <row r="363" spans="1:1">
      <c r="A363" s="37" t="str">
        <f t="shared" si="5"/>
        <v/>
      </c>
    </row>
    <row r="364" spans="1:1">
      <c r="A364" s="37" t="str">
        <f t="shared" si="5"/>
        <v/>
      </c>
    </row>
    <row r="365" spans="1:1">
      <c r="A365" s="37" t="str">
        <f t="shared" si="5"/>
        <v/>
      </c>
    </row>
    <row r="366" spans="1:1">
      <c r="A366" s="37" t="str">
        <f t="shared" si="5"/>
        <v/>
      </c>
    </row>
    <row r="367" spans="1:1">
      <c r="A367" s="37" t="str">
        <f t="shared" si="5"/>
        <v/>
      </c>
    </row>
    <row r="368" spans="1:1">
      <c r="A368" s="37" t="str">
        <f t="shared" si="5"/>
        <v/>
      </c>
    </row>
    <row r="369" spans="1:1">
      <c r="A369" s="37" t="str">
        <f t="shared" si="5"/>
        <v/>
      </c>
    </row>
    <row r="370" spans="1:1">
      <c r="A370" s="37" t="str">
        <f t="shared" si="5"/>
        <v/>
      </c>
    </row>
    <row r="371" spans="1:1">
      <c r="A371" s="37" t="str">
        <f t="shared" si="5"/>
        <v/>
      </c>
    </row>
    <row r="372" spans="1:1">
      <c r="A372" s="37" t="str">
        <f t="shared" si="5"/>
        <v/>
      </c>
    </row>
    <row r="373" spans="1:1">
      <c r="A373" s="37" t="str">
        <f t="shared" si="5"/>
        <v/>
      </c>
    </row>
    <row r="374" spans="1:1">
      <c r="A374" s="37" t="str">
        <f t="shared" si="5"/>
        <v/>
      </c>
    </row>
    <row r="375" spans="1:1">
      <c r="A375" s="37" t="str">
        <f t="shared" si="5"/>
        <v/>
      </c>
    </row>
    <row r="376" spans="1:1">
      <c r="A376" s="37" t="str">
        <f t="shared" si="5"/>
        <v/>
      </c>
    </row>
    <row r="377" spans="1:1">
      <c r="A377" s="37" t="str">
        <f t="shared" si="5"/>
        <v/>
      </c>
    </row>
    <row r="378" spans="1:1">
      <c r="A378" s="37" t="str">
        <f t="shared" si="5"/>
        <v/>
      </c>
    </row>
    <row r="379" spans="1:1">
      <c r="A379" s="37" t="str">
        <f t="shared" si="5"/>
        <v/>
      </c>
    </row>
    <row r="380" spans="1:1">
      <c r="A380" s="37" t="str">
        <f t="shared" si="5"/>
        <v/>
      </c>
    </row>
    <row r="381" spans="1:1">
      <c r="A381" s="37" t="str">
        <f t="shared" si="5"/>
        <v/>
      </c>
    </row>
    <row r="382" spans="1:1">
      <c r="A382" s="37" t="str">
        <f t="shared" si="5"/>
        <v/>
      </c>
    </row>
    <row r="383" spans="1:1">
      <c r="A383" s="37" t="str">
        <f t="shared" ref="A383:A446" si="6">SUBSTITUTE(I383," ","")&amp;J383&amp;L383&amp;N383&amp;P383&amp;T383</f>
        <v/>
      </c>
    </row>
    <row r="384" spans="1:1">
      <c r="A384" s="37" t="str">
        <f t="shared" si="6"/>
        <v/>
      </c>
    </row>
    <row r="385" spans="1:1">
      <c r="A385" s="37" t="str">
        <f t="shared" si="6"/>
        <v/>
      </c>
    </row>
    <row r="386" spans="1:1">
      <c r="A386" s="37" t="str">
        <f t="shared" si="6"/>
        <v/>
      </c>
    </row>
    <row r="387" spans="1:1">
      <c r="A387" s="37" t="str">
        <f t="shared" si="6"/>
        <v/>
      </c>
    </row>
    <row r="388" spans="1:1">
      <c r="A388" s="37" t="str">
        <f t="shared" si="6"/>
        <v/>
      </c>
    </row>
    <row r="389" spans="1:1">
      <c r="A389" s="37" t="str">
        <f t="shared" si="6"/>
        <v/>
      </c>
    </row>
    <row r="390" spans="1:1">
      <c r="A390" s="37" t="str">
        <f t="shared" si="6"/>
        <v/>
      </c>
    </row>
    <row r="391" spans="1:1">
      <c r="A391" s="37" t="str">
        <f t="shared" si="6"/>
        <v/>
      </c>
    </row>
    <row r="392" spans="1:1">
      <c r="A392" s="37" t="str">
        <f t="shared" si="6"/>
        <v/>
      </c>
    </row>
    <row r="393" spans="1:1">
      <c r="A393" s="37" t="str">
        <f t="shared" si="6"/>
        <v/>
      </c>
    </row>
    <row r="394" spans="1:1">
      <c r="A394" s="37" t="str">
        <f t="shared" si="6"/>
        <v/>
      </c>
    </row>
    <row r="395" spans="1:1">
      <c r="A395" s="37" t="str">
        <f t="shared" si="6"/>
        <v/>
      </c>
    </row>
    <row r="396" spans="1:1">
      <c r="A396" s="37" t="str">
        <f t="shared" si="6"/>
        <v/>
      </c>
    </row>
    <row r="397" spans="1:1">
      <c r="A397" s="37" t="str">
        <f t="shared" si="6"/>
        <v/>
      </c>
    </row>
    <row r="398" spans="1:1">
      <c r="A398" s="37" t="str">
        <f t="shared" si="6"/>
        <v/>
      </c>
    </row>
    <row r="399" spans="1:1">
      <c r="A399" s="37" t="str">
        <f t="shared" si="6"/>
        <v/>
      </c>
    </row>
    <row r="400" spans="1:1">
      <c r="A400" s="37" t="str">
        <f t="shared" si="6"/>
        <v/>
      </c>
    </row>
    <row r="401" spans="1:1">
      <c r="A401" s="37" t="str">
        <f t="shared" si="6"/>
        <v/>
      </c>
    </row>
    <row r="402" spans="1:1">
      <c r="A402" s="37" t="str">
        <f t="shared" si="6"/>
        <v/>
      </c>
    </row>
    <row r="403" spans="1:1">
      <c r="A403" s="37" t="str">
        <f t="shared" si="6"/>
        <v/>
      </c>
    </row>
    <row r="404" spans="1:1">
      <c r="A404" s="37" t="str">
        <f t="shared" si="6"/>
        <v/>
      </c>
    </row>
    <row r="405" spans="1:1">
      <c r="A405" s="37" t="str">
        <f t="shared" si="6"/>
        <v/>
      </c>
    </row>
    <row r="406" spans="1:1">
      <c r="A406" s="37" t="str">
        <f t="shared" si="6"/>
        <v/>
      </c>
    </row>
    <row r="407" spans="1:1">
      <c r="A407" s="37" t="str">
        <f t="shared" si="6"/>
        <v/>
      </c>
    </row>
    <row r="408" spans="1:1">
      <c r="A408" s="37" t="str">
        <f t="shared" si="6"/>
        <v/>
      </c>
    </row>
    <row r="409" spans="1:1">
      <c r="A409" s="37" t="str">
        <f t="shared" si="6"/>
        <v/>
      </c>
    </row>
    <row r="410" spans="1:1">
      <c r="A410" s="37" t="str">
        <f t="shared" si="6"/>
        <v/>
      </c>
    </row>
    <row r="411" spans="1:1">
      <c r="A411" s="37" t="str">
        <f t="shared" si="6"/>
        <v/>
      </c>
    </row>
    <row r="412" spans="1:1">
      <c r="A412" s="37" t="str">
        <f t="shared" si="6"/>
        <v/>
      </c>
    </row>
    <row r="413" spans="1:1">
      <c r="A413" s="37" t="str">
        <f t="shared" si="6"/>
        <v/>
      </c>
    </row>
    <row r="414" spans="1:1">
      <c r="A414" s="37" t="str">
        <f t="shared" si="6"/>
        <v/>
      </c>
    </row>
    <row r="415" spans="1:1">
      <c r="A415" s="37" t="str">
        <f t="shared" si="6"/>
        <v/>
      </c>
    </row>
    <row r="416" spans="1:1">
      <c r="A416" s="37" t="str">
        <f t="shared" si="6"/>
        <v/>
      </c>
    </row>
    <row r="417" spans="1:1">
      <c r="A417" s="37" t="str">
        <f t="shared" si="6"/>
        <v/>
      </c>
    </row>
    <row r="418" spans="1:1">
      <c r="A418" s="37" t="str">
        <f t="shared" si="6"/>
        <v/>
      </c>
    </row>
    <row r="419" spans="1:1">
      <c r="A419" s="37" t="str">
        <f t="shared" si="6"/>
        <v/>
      </c>
    </row>
    <row r="420" spans="1:1">
      <c r="A420" s="37" t="str">
        <f t="shared" si="6"/>
        <v/>
      </c>
    </row>
    <row r="421" spans="1:1">
      <c r="A421" s="37" t="str">
        <f t="shared" si="6"/>
        <v/>
      </c>
    </row>
    <row r="422" spans="1:1">
      <c r="A422" s="37" t="str">
        <f t="shared" si="6"/>
        <v/>
      </c>
    </row>
    <row r="423" spans="1:1">
      <c r="A423" s="37" t="str">
        <f t="shared" si="6"/>
        <v/>
      </c>
    </row>
    <row r="424" spans="1:1">
      <c r="A424" s="37" t="str">
        <f t="shared" si="6"/>
        <v/>
      </c>
    </row>
    <row r="425" spans="1:1">
      <c r="A425" s="37" t="str">
        <f t="shared" si="6"/>
        <v/>
      </c>
    </row>
    <row r="426" spans="1:1">
      <c r="A426" s="37" t="str">
        <f t="shared" si="6"/>
        <v/>
      </c>
    </row>
    <row r="427" spans="1:1">
      <c r="A427" s="37" t="str">
        <f t="shared" si="6"/>
        <v/>
      </c>
    </row>
    <row r="428" spans="1:1">
      <c r="A428" s="37" t="str">
        <f t="shared" si="6"/>
        <v/>
      </c>
    </row>
    <row r="429" spans="1:1">
      <c r="A429" s="37" t="str">
        <f t="shared" si="6"/>
        <v/>
      </c>
    </row>
    <row r="430" spans="1:1">
      <c r="A430" s="37" t="str">
        <f t="shared" si="6"/>
        <v/>
      </c>
    </row>
    <row r="431" spans="1:1">
      <c r="A431" s="37" t="str">
        <f t="shared" si="6"/>
        <v/>
      </c>
    </row>
    <row r="432" spans="1:1">
      <c r="A432" s="37" t="str">
        <f t="shared" si="6"/>
        <v/>
      </c>
    </row>
    <row r="433" spans="1:1">
      <c r="A433" s="37" t="str">
        <f t="shared" si="6"/>
        <v/>
      </c>
    </row>
    <row r="434" spans="1:1">
      <c r="A434" s="37" t="str">
        <f t="shared" si="6"/>
        <v/>
      </c>
    </row>
    <row r="435" spans="1:1">
      <c r="A435" s="37" t="str">
        <f t="shared" si="6"/>
        <v/>
      </c>
    </row>
    <row r="436" spans="1:1">
      <c r="A436" s="37" t="str">
        <f t="shared" si="6"/>
        <v/>
      </c>
    </row>
    <row r="437" spans="1:1">
      <c r="A437" s="37" t="str">
        <f t="shared" si="6"/>
        <v/>
      </c>
    </row>
    <row r="438" spans="1:1">
      <c r="A438" s="37" t="str">
        <f t="shared" si="6"/>
        <v/>
      </c>
    </row>
    <row r="439" spans="1:1">
      <c r="A439" s="37" t="str">
        <f t="shared" si="6"/>
        <v/>
      </c>
    </row>
    <row r="440" spans="1:1">
      <c r="A440" s="37" t="str">
        <f t="shared" si="6"/>
        <v/>
      </c>
    </row>
    <row r="441" spans="1:1">
      <c r="A441" s="37" t="str">
        <f t="shared" si="6"/>
        <v/>
      </c>
    </row>
    <row r="442" spans="1:1">
      <c r="A442" s="37" t="str">
        <f t="shared" si="6"/>
        <v/>
      </c>
    </row>
    <row r="443" spans="1:1">
      <c r="A443" s="37" t="str">
        <f t="shared" si="6"/>
        <v/>
      </c>
    </row>
    <row r="444" spans="1:1">
      <c r="A444" s="37" t="str">
        <f t="shared" si="6"/>
        <v/>
      </c>
    </row>
    <row r="445" spans="1:1">
      <c r="A445" s="37" t="str">
        <f t="shared" si="6"/>
        <v/>
      </c>
    </row>
    <row r="446" spans="1:1">
      <c r="A446" s="37" t="str">
        <f t="shared" si="6"/>
        <v/>
      </c>
    </row>
    <row r="447" spans="1:1">
      <c r="A447" s="37" t="str">
        <f t="shared" ref="A447:A499" si="7">SUBSTITUTE(I447," ","")&amp;J447&amp;L447&amp;N447&amp;P447&amp;T447</f>
        <v/>
      </c>
    </row>
    <row r="448" spans="1:1">
      <c r="A448" s="37" t="str">
        <f t="shared" si="7"/>
        <v/>
      </c>
    </row>
    <row r="449" spans="1:1">
      <c r="A449" s="37" t="str">
        <f t="shared" si="7"/>
        <v/>
      </c>
    </row>
    <row r="450" spans="1:1">
      <c r="A450" s="37" t="str">
        <f t="shared" si="7"/>
        <v/>
      </c>
    </row>
    <row r="451" spans="1:1">
      <c r="A451" s="37" t="str">
        <f t="shared" si="7"/>
        <v/>
      </c>
    </row>
    <row r="452" spans="1:1">
      <c r="A452" s="37" t="str">
        <f t="shared" si="7"/>
        <v/>
      </c>
    </row>
    <row r="453" spans="1:1">
      <c r="A453" s="37" t="str">
        <f t="shared" si="7"/>
        <v/>
      </c>
    </row>
    <row r="454" spans="1:1">
      <c r="A454" s="37" t="str">
        <f t="shared" si="7"/>
        <v/>
      </c>
    </row>
    <row r="455" spans="1:1">
      <c r="A455" s="37" t="str">
        <f t="shared" si="7"/>
        <v/>
      </c>
    </row>
    <row r="456" spans="1:1">
      <c r="A456" s="37" t="str">
        <f t="shared" si="7"/>
        <v/>
      </c>
    </row>
    <row r="457" spans="1:1">
      <c r="A457" s="37" t="str">
        <f t="shared" si="7"/>
        <v/>
      </c>
    </row>
    <row r="458" spans="1:1">
      <c r="A458" s="37" t="str">
        <f t="shared" si="7"/>
        <v/>
      </c>
    </row>
    <row r="459" spans="1:1">
      <c r="A459" s="37" t="str">
        <f t="shared" si="7"/>
        <v/>
      </c>
    </row>
    <row r="460" spans="1:1">
      <c r="A460" s="37" t="str">
        <f t="shared" si="7"/>
        <v/>
      </c>
    </row>
    <row r="461" spans="1:1">
      <c r="A461" s="37" t="str">
        <f t="shared" si="7"/>
        <v/>
      </c>
    </row>
    <row r="462" spans="1:1">
      <c r="A462" s="37" t="str">
        <f t="shared" si="7"/>
        <v/>
      </c>
    </row>
    <row r="463" spans="1:1">
      <c r="A463" s="37" t="str">
        <f t="shared" si="7"/>
        <v/>
      </c>
    </row>
    <row r="464" spans="1:1">
      <c r="A464" s="37" t="str">
        <f t="shared" si="7"/>
        <v/>
      </c>
    </row>
    <row r="465" spans="1:1">
      <c r="A465" s="37" t="str">
        <f t="shared" si="7"/>
        <v/>
      </c>
    </row>
    <row r="466" spans="1:1">
      <c r="A466" s="37" t="str">
        <f t="shared" si="7"/>
        <v/>
      </c>
    </row>
    <row r="467" spans="1:1">
      <c r="A467" s="37" t="str">
        <f t="shared" si="7"/>
        <v/>
      </c>
    </row>
    <row r="468" spans="1:1">
      <c r="A468" s="37" t="str">
        <f t="shared" si="7"/>
        <v/>
      </c>
    </row>
    <row r="469" spans="1:1">
      <c r="A469" s="37" t="str">
        <f t="shared" si="7"/>
        <v/>
      </c>
    </row>
    <row r="470" spans="1:1">
      <c r="A470" s="37" t="str">
        <f t="shared" si="7"/>
        <v/>
      </c>
    </row>
    <row r="471" spans="1:1">
      <c r="A471" s="37" t="str">
        <f t="shared" si="7"/>
        <v/>
      </c>
    </row>
    <row r="472" spans="1:1">
      <c r="A472" s="37" t="str">
        <f t="shared" si="7"/>
        <v/>
      </c>
    </row>
    <row r="473" spans="1:1">
      <c r="A473" s="37" t="str">
        <f t="shared" si="7"/>
        <v/>
      </c>
    </row>
    <row r="474" spans="1:1">
      <c r="A474" s="37" t="str">
        <f t="shared" si="7"/>
        <v/>
      </c>
    </row>
    <row r="475" spans="1:1">
      <c r="A475" s="37" t="str">
        <f t="shared" si="7"/>
        <v/>
      </c>
    </row>
    <row r="476" spans="1:1">
      <c r="A476" s="37" t="str">
        <f t="shared" si="7"/>
        <v/>
      </c>
    </row>
    <row r="477" spans="1:1">
      <c r="A477" s="37" t="str">
        <f t="shared" si="7"/>
        <v/>
      </c>
    </row>
    <row r="478" spans="1:1">
      <c r="A478" s="37" t="str">
        <f t="shared" si="7"/>
        <v/>
      </c>
    </row>
    <row r="479" spans="1:1">
      <c r="A479" s="37" t="str">
        <f t="shared" si="7"/>
        <v/>
      </c>
    </row>
    <row r="480" spans="1:1">
      <c r="A480" s="37" t="str">
        <f t="shared" si="7"/>
        <v/>
      </c>
    </row>
    <row r="481" spans="1:1">
      <c r="A481" s="37" t="str">
        <f t="shared" si="7"/>
        <v/>
      </c>
    </row>
    <row r="482" spans="1:1">
      <c r="A482" s="37" t="str">
        <f t="shared" si="7"/>
        <v/>
      </c>
    </row>
    <row r="483" spans="1:1">
      <c r="A483" s="37" t="str">
        <f t="shared" si="7"/>
        <v/>
      </c>
    </row>
    <row r="484" spans="1:1">
      <c r="A484" s="37" t="str">
        <f t="shared" si="7"/>
        <v/>
      </c>
    </row>
    <row r="485" spans="1:1">
      <c r="A485" s="37" t="str">
        <f t="shared" si="7"/>
        <v/>
      </c>
    </row>
    <row r="486" spans="1:1">
      <c r="A486" s="37" t="str">
        <f t="shared" si="7"/>
        <v/>
      </c>
    </row>
    <row r="487" spans="1:1">
      <c r="A487" s="37" t="str">
        <f t="shared" si="7"/>
        <v/>
      </c>
    </row>
    <row r="488" spans="1:1">
      <c r="A488" s="37" t="str">
        <f t="shared" si="7"/>
        <v/>
      </c>
    </row>
    <row r="489" spans="1:1">
      <c r="A489" s="37" t="str">
        <f t="shared" si="7"/>
        <v/>
      </c>
    </row>
    <row r="490" spans="1:1">
      <c r="A490" s="37" t="str">
        <f t="shared" si="7"/>
        <v/>
      </c>
    </row>
    <row r="491" spans="1:1">
      <c r="A491" s="37" t="str">
        <f t="shared" si="7"/>
        <v/>
      </c>
    </row>
    <row r="492" spans="1:1">
      <c r="A492" s="37" t="str">
        <f t="shared" si="7"/>
        <v/>
      </c>
    </row>
    <row r="493" spans="1:1">
      <c r="A493" s="37" t="str">
        <f t="shared" si="7"/>
        <v/>
      </c>
    </row>
    <row r="494" spans="1:1">
      <c r="A494" s="37" t="str">
        <f t="shared" si="7"/>
        <v/>
      </c>
    </row>
    <row r="495" spans="1:1">
      <c r="A495" s="37" t="str">
        <f t="shared" si="7"/>
        <v/>
      </c>
    </row>
    <row r="496" spans="1:1">
      <c r="A496" s="37" t="str">
        <f t="shared" si="7"/>
        <v/>
      </c>
    </row>
    <row r="497" spans="1:1">
      <c r="A497" s="37" t="str">
        <f t="shared" si="7"/>
        <v/>
      </c>
    </row>
    <row r="498" spans="1:1">
      <c r="A498" s="37" t="str">
        <f t="shared" si="7"/>
        <v/>
      </c>
    </row>
    <row r="499" spans="1:1">
      <c r="A499" s="37" t="str">
        <f t="shared" si="7"/>
        <v/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2"/>
  <dimension ref="A1:U505"/>
  <sheetViews>
    <sheetView tabSelected="1" topLeftCell="B66" zoomScaleNormal="100" workbookViewId="0">
      <selection activeCell="R92" sqref="R92"/>
    </sheetView>
  </sheetViews>
  <sheetFormatPr defaultRowHeight="13.5" outlineLevelRow="1"/>
  <cols>
    <col min="1" max="1" width="22.375" style="250" hidden="1" customWidth="1"/>
    <col min="2" max="2" width="10.25" style="3" customWidth="1"/>
    <col min="3" max="3" width="17.75" style="250" customWidth="1"/>
    <col min="4" max="4" width="8.5" style="250" bestFit="1" customWidth="1"/>
    <col min="5" max="5" width="12.25" style="250" bestFit="1" customWidth="1"/>
    <col min="6" max="6" width="9.5" style="250" bestFit="1" customWidth="1"/>
    <col min="7" max="7" width="15" style="250" bestFit="1" customWidth="1"/>
    <col min="8" max="8" width="19.375" style="250" bestFit="1" customWidth="1"/>
    <col min="9" max="9" width="21.625" style="250" bestFit="1" customWidth="1"/>
    <col min="10" max="10" width="10" style="250" bestFit="1" customWidth="1"/>
    <col min="11" max="11" width="12.25" style="250" bestFit="1" customWidth="1"/>
    <col min="12" max="12" width="9" style="2" customWidth="1"/>
    <col min="13" max="13" width="15" style="250" bestFit="1" customWidth="1"/>
    <col min="14" max="14" width="12.75" style="250" bestFit="1" customWidth="1"/>
    <col min="15" max="15" width="14.25" style="250" customWidth="1"/>
    <col min="16" max="16" width="14.125" style="250" bestFit="1" customWidth="1"/>
    <col min="17" max="17" width="9.5" style="250" bestFit="1" customWidth="1"/>
    <col min="18" max="18" width="12.75" style="250" customWidth="1"/>
    <col min="19" max="19" width="29.625" style="250" bestFit="1" customWidth="1"/>
    <col min="20" max="20" width="7.125" style="250" bestFit="1" customWidth="1"/>
    <col min="21" max="21" width="12.75" style="250" bestFit="1" customWidth="1"/>
    <col min="22" max="16384" width="9" style="250"/>
  </cols>
  <sheetData>
    <row r="1" spans="1:21" ht="15" outlineLevel="1">
      <c r="A1" s="74" t="s">
        <v>374</v>
      </c>
      <c r="B1" s="3" t="s">
        <v>1660</v>
      </c>
      <c r="C1" s="266" t="s">
        <v>260</v>
      </c>
      <c r="D1" s="266" t="s">
        <v>261</v>
      </c>
      <c r="E1" s="266" t="s">
        <v>262</v>
      </c>
      <c r="F1" s="266" t="s">
        <v>263</v>
      </c>
      <c r="G1" s="266" t="s">
        <v>264</v>
      </c>
      <c r="H1" s="266" t="s">
        <v>265</v>
      </c>
      <c r="I1" s="266" t="s">
        <v>266</v>
      </c>
      <c r="J1" s="266" t="s">
        <v>375</v>
      </c>
      <c r="K1" s="266" t="s">
        <v>376</v>
      </c>
      <c r="L1" s="378" t="s">
        <v>126</v>
      </c>
      <c r="M1" s="266" t="s">
        <v>378</v>
      </c>
      <c r="N1" s="266" t="s">
        <v>267</v>
      </c>
      <c r="O1" s="266" t="s">
        <v>379</v>
      </c>
      <c r="P1" s="266" t="s">
        <v>377</v>
      </c>
      <c r="Q1" s="266" t="s">
        <v>274</v>
      </c>
      <c r="R1" s="266" t="s">
        <v>275</v>
      </c>
      <c r="S1" s="266" t="s">
        <v>276</v>
      </c>
      <c r="T1" s="250" t="s">
        <v>2335</v>
      </c>
      <c r="U1" s="250" t="s">
        <v>2343</v>
      </c>
    </row>
    <row r="2" spans="1:21" s="269" customFormat="1" outlineLevel="1">
      <c r="A2" s="269" t="str">
        <f t="shared" ref="A2:A36" si="0">I2&amp;K2&amp;M2&amp;N2&amp;Q2</f>
        <v>D/130/48/W/AAAA/0DTY喷水经丝S21325130/487.79</v>
      </c>
      <c r="B2" s="3" t="s">
        <v>2340</v>
      </c>
      <c r="C2" s="270" t="s">
        <v>386</v>
      </c>
      <c r="D2" s="270" t="s">
        <v>285</v>
      </c>
      <c r="E2" s="270" t="str">
        <f>VLOOKUP(A2,原丝import!A:E,4,FALSE)</f>
        <v>46787.61</v>
      </c>
      <c r="F2" s="270" t="str">
        <f>VLOOKUP(A2,原丝import!A:E,5,FALSE)</f>
        <v>1526</v>
      </c>
      <c r="G2" s="270" t="s">
        <v>612</v>
      </c>
      <c r="H2" s="270" t="s">
        <v>612</v>
      </c>
      <c r="I2" s="270" t="s">
        <v>385</v>
      </c>
      <c r="J2" s="270" t="s">
        <v>2</v>
      </c>
      <c r="K2" s="270" t="s">
        <v>382</v>
      </c>
      <c r="L2" s="379" t="s">
        <v>158</v>
      </c>
      <c r="M2" s="270" t="s">
        <v>384</v>
      </c>
      <c r="N2" s="270" t="s">
        <v>381</v>
      </c>
      <c r="O2" s="270" t="s">
        <v>387</v>
      </c>
      <c r="P2" s="270" t="s">
        <v>383</v>
      </c>
      <c r="Q2" s="270" t="s">
        <v>388</v>
      </c>
      <c r="R2" s="270" t="s">
        <v>2280</v>
      </c>
      <c r="S2" s="270" t="s">
        <v>389</v>
      </c>
      <c r="T2" s="269">
        <f ca="1">SUMIFS(加弹汇总表!I:I,加弹汇总表!E:E,inventory!B2,加弹汇总表!F:F,inventory!J2,加弹汇总表!B:B,inventory!M2)</f>
        <v>0</v>
      </c>
      <c r="U2" s="269">
        <f>IF(P2="喷水领用",SUMIFS(ps!L:L,ps!J:J,LEFT(B2,FIND("网",B2)-1),ps!F:F,J2,ps!$I:$I,喷水汇总表!$T$4)+SUMIFS(ps!$M:$M,ps!$K:$K,LEFT(B2,FIND("网",B2)-1),ps!$F:$F,J2,ps!$I:$I,喷水汇总表!$T$4),SUMIFS(小圆机汇总表!$J$15:$J$60,小圆机汇总表!$C$15:$C$60,inventory!B2,小圆机汇总表!$E$15:$E$60,inventory!J2))</f>
        <v>747.68481999999983</v>
      </c>
    </row>
    <row r="3" spans="1:21" s="269" customFormat="1" outlineLevel="1">
      <c r="A3" s="269" t="str">
        <f t="shared" si="0"/>
        <v>D/132/48/B/AAAA/0DTY喷水经丝84132132/487.36</v>
      </c>
      <c r="B3" s="3" t="s">
        <v>2340</v>
      </c>
      <c r="C3" s="270" t="s">
        <v>386</v>
      </c>
      <c r="D3" s="270" t="s">
        <v>285</v>
      </c>
      <c r="E3" s="270" t="str">
        <f>VLOOKUP(A3,原丝import!A:E,4,FALSE)</f>
        <v>14066.32</v>
      </c>
      <c r="F3" s="270" t="str">
        <f>VLOOKUP(A3,原丝import!A:E,5,FALSE)</f>
        <v>456</v>
      </c>
      <c r="G3" s="270" t="s">
        <v>612</v>
      </c>
      <c r="H3" s="270" t="s">
        <v>612</v>
      </c>
      <c r="I3" s="270" t="s">
        <v>392</v>
      </c>
      <c r="J3" s="270" t="s">
        <v>1</v>
      </c>
      <c r="K3" s="270" t="s">
        <v>382</v>
      </c>
      <c r="L3" s="379" t="s">
        <v>136</v>
      </c>
      <c r="M3" s="270" t="s">
        <v>921</v>
      </c>
      <c r="N3" s="270" t="s">
        <v>391</v>
      </c>
      <c r="O3" s="270" t="s">
        <v>387</v>
      </c>
      <c r="P3" s="270" t="s">
        <v>383</v>
      </c>
      <c r="Q3" s="270" t="s">
        <v>393</v>
      </c>
      <c r="R3" s="270" t="s">
        <v>2312</v>
      </c>
      <c r="S3" s="270" t="s">
        <v>922</v>
      </c>
      <c r="T3" s="269">
        <f ca="1">SUMIFS(加弹汇总表!I:I,加弹汇总表!E:E,inventory!B3,加弹汇总表!F:F,inventory!J3,加弹汇总表!B:B,inventory!M3)</f>
        <v>2548.9119999999998</v>
      </c>
      <c r="U3" s="269">
        <f>IF(P3="喷水领用",SUMIFS(ps!L:L,ps!J:J,LEFT(B3,FIND("网",B3)-1),ps!F:F,J3,ps!$I:$I,喷水汇总表!$T$4)+SUMIFS(ps!$M:$M,ps!$K:$K,LEFT(B3,FIND("网",B3)-1),ps!$F:$F,J3,ps!$I:$I,喷水汇总表!$T$4),SUMIFS(小圆机汇总表!$J$15:$J$60,小圆机汇总表!$C$15:$C$60,inventory!B3,小圆机汇总表!$E$15:$E$60,inventory!J3))</f>
        <v>2868.6507833858263</v>
      </c>
    </row>
    <row r="4" spans="1:21" outlineLevel="1">
      <c r="A4" s="74" t="str">
        <f t="shared" si="0"/>
        <v>D/15/12/W/AAAA/0DTY喷水经丝KJ-15123015/1255.0</v>
      </c>
      <c r="C4" s="267" t="s">
        <v>386</v>
      </c>
      <c r="D4" s="267" t="s">
        <v>285</v>
      </c>
      <c r="E4" s="267" t="e">
        <f>VLOOKUP(A4,原丝import!A:E,4,FALSE)</f>
        <v>#N/A</v>
      </c>
      <c r="F4" s="267" t="e">
        <f>VLOOKUP(A4,原丝import!A:E,5,FALSE)</f>
        <v>#N/A</v>
      </c>
      <c r="G4" s="267" t="s">
        <v>612</v>
      </c>
      <c r="H4" s="267" t="s">
        <v>612</v>
      </c>
      <c r="I4" s="267" t="s">
        <v>2281</v>
      </c>
      <c r="J4" s="267" t="s">
        <v>2</v>
      </c>
      <c r="K4" s="267" t="s">
        <v>382</v>
      </c>
      <c r="L4" s="380" t="s">
        <v>154</v>
      </c>
      <c r="M4" s="267" t="s">
        <v>2282</v>
      </c>
      <c r="N4" s="267" t="s">
        <v>2283</v>
      </c>
      <c r="O4" s="267" t="s">
        <v>387</v>
      </c>
      <c r="P4" s="267" t="s">
        <v>383</v>
      </c>
      <c r="Q4" s="267" t="s">
        <v>2284</v>
      </c>
      <c r="R4" s="267" t="s">
        <v>2285</v>
      </c>
      <c r="S4" s="267" t="s">
        <v>399</v>
      </c>
      <c r="T4" s="269">
        <f ca="1">SUMIFS(加弹汇总表!I:I,加弹汇总表!E:E,inventory!B4,加弹汇总表!F:F,inventory!J4,加弹汇总表!B:B,inventory!M4)</f>
        <v>0</v>
      </c>
      <c r="U4" s="269">
        <f>IF(P4="喷水领用",SUMIFS(ps!L:L,ps!J:J,LEFT(B4,FIND("网",B4)-1),ps!F:F,J4,ps!$I:$I,喷水汇总表!$T$4)+SUMIFS(ps!$M:$M,ps!$K:$K,LEFT(B4,FIND("网",B4)-1),ps!$F:$F,J4,ps!$I:$I,喷水汇总表!$T$4),SUMIFS(小圆机汇总表!$J$15:$J$60,小圆机汇总表!$C$15:$C$60,inventory!B4,小圆机汇总表!$E$15:$E$60,inventory!J4))</f>
        <v>0</v>
      </c>
    </row>
    <row r="5" spans="1:21" outlineLevel="1">
      <c r="A5" s="74" t="str">
        <f t="shared" si="0"/>
        <v>D/167/48/B/AAAA/0DTY喷水经丝J-HQ1674811167/489.83</v>
      </c>
      <c r="C5" s="267" t="s">
        <v>386</v>
      </c>
      <c r="D5" s="267" t="s">
        <v>285</v>
      </c>
      <c r="E5" s="267" t="str">
        <f>VLOOKUP(A5,原丝import!A:E,4,FALSE)</f>
        <v>2505.6</v>
      </c>
      <c r="F5" s="267" t="str">
        <f>VLOOKUP(A5,原丝import!A:E,5,FALSE)</f>
        <v>72</v>
      </c>
      <c r="G5" s="267" t="s">
        <v>612</v>
      </c>
      <c r="H5" s="267" t="s">
        <v>612</v>
      </c>
      <c r="I5" s="267" t="s">
        <v>1582</v>
      </c>
      <c r="J5" s="267" t="s">
        <v>1</v>
      </c>
      <c r="K5" s="267" t="s">
        <v>382</v>
      </c>
      <c r="L5" s="380" t="s">
        <v>435</v>
      </c>
      <c r="M5" s="267" t="s">
        <v>1583</v>
      </c>
      <c r="N5" s="267" t="s">
        <v>394</v>
      </c>
      <c r="O5" s="267" t="s">
        <v>387</v>
      </c>
      <c r="P5" s="267" t="s">
        <v>383</v>
      </c>
      <c r="Q5" s="267" t="s">
        <v>1584</v>
      </c>
      <c r="R5" s="267" t="s">
        <v>1670</v>
      </c>
      <c r="S5" s="267" t="s">
        <v>399</v>
      </c>
      <c r="T5" s="269">
        <f ca="1">SUMIFS(加弹汇总表!I:I,加弹汇总表!E:E,inventory!B5,加弹汇总表!F:F,inventory!J5,加弹汇总表!B:B,inventory!M5)</f>
        <v>0</v>
      </c>
      <c r="U5" s="269">
        <f>IF(P5="喷水领用",SUMIFS(ps!L:L,ps!J:J,LEFT(B5,FIND("网",B5)-1),ps!F:F,J5,ps!$I:$I,喷水汇总表!$T$4)+SUMIFS(ps!$M:$M,ps!$K:$K,LEFT(B5,FIND("网",B5)-1),ps!$F:$F,J5,ps!$I:$I,喷水汇总表!$T$4),SUMIFS(小圆机汇总表!$J$15:$J$60,小圆机汇总表!$C$15:$C$60,inventory!B5,小圆机汇总表!$E$15:$E$60,inventory!J5))</f>
        <v>0</v>
      </c>
    </row>
    <row r="6" spans="1:21" outlineLevel="1">
      <c r="A6" s="74" t="str">
        <f t="shared" si="0"/>
        <v>D/167/48/W/AAAA/0DTY喷水经丝M15081167/489.16</v>
      </c>
      <c r="C6" s="267" t="s">
        <v>386</v>
      </c>
      <c r="D6" s="267" t="s">
        <v>285</v>
      </c>
      <c r="E6" s="267" t="str">
        <f>VLOOKUP(A6,原丝import!A:E,4,FALSE)</f>
        <v>1872</v>
      </c>
      <c r="F6" s="267" t="str">
        <f>VLOOKUP(A6,原丝import!A:E,5,FALSE)</f>
        <v>60</v>
      </c>
      <c r="G6" s="267" t="s">
        <v>612</v>
      </c>
      <c r="H6" s="267" t="s">
        <v>612</v>
      </c>
      <c r="I6" s="267" t="s">
        <v>960</v>
      </c>
      <c r="J6" s="267" t="s">
        <v>2</v>
      </c>
      <c r="K6" s="267" t="s">
        <v>382</v>
      </c>
      <c r="L6" s="380" t="s">
        <v>397</v>
      </c>
      <c r="M6" s="267" t="s">
        <v>395</v>
      </c>
      <c r="N6" s="267" t="s">
        <v>394</v>
      </c>
      <c r="O6" s="267" t="s">
        <v>387</v>
      </c>
      <c r="P6" s="267" t="s">
        <v>383</v>
      </c>
      <c r="Q6" s="267" t="s">
        <v>398</v>
      </c>
      <c r="R6" s="267" t="s">
        <v>1586</v>
      </c>
      <c r="S6" s="267" t="s">
        <v>399</v>
      </c>
      <c r="T6" s="269">
        <f ca="1">SUMIFS(加弹汇总表!I:I,加弹汇总表!E:E,inventory!B6,加弹汇总表!F:F,inventory!J6,加弹汇总表!B:B,inventory!M6)</f>
        <v>0</v>
      </c>
      <c r="U6" s="269">
        <f>IF(P6="喷水领用",SUMIFS(ps!L:L,ps!J:J,LEFT(B6,FIND("网",B6)-1),ps!F:F,J6,ps!$I:$I,喷水汇总表!$T$4)+SUMIFS(ps!$M:$M,ps!$K:$K,LEFT(B6,FIND("网",B6)-1),ps!$F:$F,J6,ps!$I:$I,喷水汇总表!$T$4),SUMIFS(小圆机汇总表!$J$15:$J$60,小圆机汇总表!$C$15:$C$60,inventory!B6,小圆机汇总表!$E$15:$E$60,inventory!J6))</f>
        <v>0</v>
      </c>
    </row>
    <row r="7" spans="1:21" outlineLevel="1">
      <c r="A7" s="74" t="str">
        <f t="shared" si="0"/>
        <v>D/167/48/W/AAA/0DTY喷水经丝M15081167/489.16</v>
      </c>
      <c r="C7" s="267" t="s">
        <v>386</v>
      </c>
      <c r="D7" s="267" t="s">
        <v>285</v>
      </c>
      <c r="E7" s="267" t="str">
        <f>VLOOKUP(A7,原丝import!A:E,4,FALSE)</f>
        <v>1920</v>
      </c>
      <c r="F7" s="267" t="str">
        <f>VLOOKUP(A7,原丝import!A:E,5,FALSE)</f>
        <v>60</v>
      </c>
      <c r="G7" s="267" t="s">
        <v>612</v>
      </c>
      <c r="H7" s="267" t="s">
        <v>612</v>
      </c>
      <c r="I7" s="267" t="s">
        <v>396</v>
      </c>
      <c r="J7" s="267" t="s">
        <v>2</v>
      </c>
      <c r="K7" s="267" t="s">
        <v>382</v>
      </c>
      <c r="L7" s="380" t="s">
        <v>397</v>
      </c>
      <c r="M7" s="267" t="s">
        <v>395</v>
      </c>
      <c r="N7" s="267" t="s">
        <v>394</v>
      </c>
      <c r="O7" s="267" t="s">
        <v>287</v>
      </c>
      <c r="P7" s="267" t="s">
        <v>383</v>
      </c>
      <c r="Q7" s="267" t="s">
        <v>398</v>
      </c>
      <c r="R7" s="267" t="s">
        <v>2314</v>
      </c>
      <c r="S7" s="267" t="s">
        <v>399</v>
      </c>
      <c r="T7" s="269">
        <f ca="1">SUMIFS(加弹汇总表!I:I,加弹汇总表!E:E,inventory!B7,加弹汇总表!F:F,inventory!J7,加弹汇总表!B:B,inventory!M7)</f>
        <v>0</v>
      </c>
      <c r="U7" s="269">
        <f>IF(P7="喷水领用",SUMIFS(ps!L:L,ps!J:J,LEFT(B7,FIND("网",B7)-1),ps!F:F,J7,ps!$I:$I,喷水汇总表!$T$4)+SUMIFS(ps!$M:$M,ps!$K:$K,LEFT(B7,FIND("网",B7)-1),ps!$F:$F,J7,ps!$I:$I,喷水汇总表!$T$4),SUMIFS(小圆机汇总表!$J$15:$J$60,小圆机汇总表!$C$15:$C$60,inventory!B7,小圆机汇总表!$E$15:$E$60,inventory!J7))</f>
        <v>0</v>
      </c>
    </row>
    <row r="8" spans="1:21" outlineLevel="1">
      <c r="A8" s="74" t="str">
        <f t="shared" si="0"/>
        <v>D/150/48*2/B/AAAA/0DTY喷水经丝30017H167/48*211.98</v>
      </c>
      <c r="C8" s="267" t="s">
        <v>386</v>
      </c>
      <c r="D8" s="267" t="s">
        <v>285</v>
      </c>
      <c r="E8" s="267" t="str">
        <f>VLOOKUP(A8,原丝import!A:E,4,FALSE)</f>
        <v>3947.64</v>
      </c>
      <c r="F8" s="267" t="str">
        <f>VLOOKUP(A8,原丝import!A:E,5,FALSE)</f>
        <v>127</v>
      </c>
      <c r="G8" s="267" t="s">
        <v>612</v>
      </c>
      <c r="H8" s="267" t="s">
        <v>612</v>
      </c>
      <c r="I8" s="267" t="s">
        <v>402</v>
      </c>
      <c r="J8" s="267" t="s">
        <v>1</v>
      </c>
      <c r="K8" s="267" t="s">
        <v>382</v>
      </c>
      <c r="L8" s="380" t="s">
        <v>154</v>
      </c>
      <c r="M8" s="267" t="s">
        <v>401</v>
      </c>
      <c r="N8" s="267" t="s">
        <v>400</v>
      </c>
      <c r="O8" s="267" t="s">
        <v>387</v>
      </c>
      <c r="P8" s="267" t="s">
        <v>383</v>
      </c>
      <c r="Q8" s="267" t="s">
        <v>403</v>
      </c>
      <c r="R8" s="267" t="s">
        <v>2286</v>
      </c>
      <c r="S8" s="267" t="s">
        <v>399</v>
      </c>
      <c r="T8" s="269">
        <f ca="1">SUMIFS(加弹汇总表!I:I,加弹汇总表!E:E,inventory!B8,加弹汇总表!F:F,inventory!J8,加弹汇总表!B:B,inventory!M8)</f>
        <v>0</v>
      </c>
      <c r="U8" s="269">
        <f>IF(P8="喷水领用",SUMIFS(ps!L:L,ps!J:J,LEFT(B8,FIND("网",B8)-1),ps!F:F,J8,ps!$I:$I,喷水汇总表!$T$4)+SUMIFS(ps!$M:$M,ps!$K:$K,LEFT(B8,FIND("网",B8)-1),ps!$F:$F,J8,ps!$I:$I,喷水汇总表!$T$4),SUMIFS(小圆机汇总表!$J$15:$J$60,小圆机汇总表!$C$15:$C$60,inventory!B8,小圆机汇总表!$E$15:$E$60,inventory!J8))</f>
        <v>0</v>
      </c>
    </row>
    <row r="9" spans="1:21" s="269" customFormat="1" outlineLevel="1">
      <c r="A9" s="269" t="str">
        <f t="shared" si="0"/>
        <v>D/100/48/W/AAAA/0DTY喷水经丝73003172/488.34</v>
      </c>
      <c r="B9" s="3" t="s">
        <v>2341</v>
      </c>
      <c r="C9" s="270" t="s">
        <v>386</v>
      </c>
      <c r="D9" s="270" t="s">
        <v>285</v>
      </c>
      <c r="E9" s="270" t="str">
        <f>VLOOKUP(A9,原丝import!A:E,4,FALSE)</f>
        <v>12050</v>
      </c>
      <c r="F9" s="270" t="str">
        <f>VLOOKUP(A9,原丝import!A:E,5,FALSE)</f>
        <v>398.5</v>
      </c>
      <c r="G9" s="270" t="s">
        <v>612</v>
      </c>
      <c r="H9" s="270" t="s">
        <v>612</v>
      </c>
      <c r="I9" s="270" t="s">
        <v>405</v>
      </c>
      <c r="J9" s="270" t="s">
        <v>2</v>
      </c>
      <c r="K9" s="270" t="s">
        <v>382</v>
      </c>
      <c r="L9" s="379" t="s">
        <v>146</v>
      </c>
      <c r="M9" s="270" t="s">
        <v>925</v>
      </c>
      <c r="N9" s="270" t="s">
        <v>404</v>
      </c>
      <c r="O9" s="270" t="s">
        <v>387</v>
      </c>
      <c r="P9" s="270" t="s">
        <v>383</v>
      </c>
      <c r="Q9" s="270" t="s">
        <v>406</v>
      </c>
      <c r="R9" s="270" t="s">
        <v>2315</v>
      </c>
      <c r="S9" s="270" t="s">
        <v>407</v>
      </c>
      <c r="T9" s="269">
        <f ca="1">SUMIFS(加弹汇总表!I:I,加弹汇总表!E:E,inventory!B9,加弹汇总表!F:F,inventory!J9,加弹汇总表!B:B,inventory!M9)</f>
        <v>1331.4</v>
      </c>
      <c r="U9" s="269">
        <f>IF(P9="喷水领用",SUMIFS(ps!L:L,ps!J:J,LEFT(B9,FIND("网",B9)-1),ps!F:F,J9,ps!$I:$I,喷水汇总表!$T$4)+SUMIFS(ps!$M:$M,ps!$K:$K,LEFT(B9,FIND("网",B9)-1),ps!$F:$F,J9,ps!$I:$I,喷水汇总表!$T$4),SUMIFS(小圆机汇总表!$J$15:$J$60,小圆机汇总表!$C$15:$C$60,inventory!B9,小圆机汇总表!$E$15:$E$60,inventory!J9))</f>
        <v>218.87500000000003</v>
      </c>
    </row>
    <row r="10" spans="1:21" s="269" customFormat="1" outlineLevel="1">
      <c r="A10" s="269" t="str">
        <f t="shared" si="0"/>
        <v>D/175/48/B/AAAA/0DTY喷水经丝H-H5121750482175/489.41</v>
      </c>
      <c r="B10" s="3" t="s">
        <v>2341</v>
      </c>
      <c r="C10" s="270" t="s">
        <v>386</v>
      </c>
      <c r="D10" s="270" t="s">
        <v>285</v>
      </c>
      <c r="E10" s="270" t="e">
        <f>VLOOKUP(A10,原丝import!A:E,4,FALSE)</f>
        <v>#N/A</v>
      </c>
      <c r="F10" s="270" t="e">
        <f>VLOOKUP(A10,原丝import!A:E,5,FALSE)</f>
        <v>#N/A</v>
      </c>
      <c r="G10" s="270" t="s">
        <v>612</v>
      </c>
      <c r="H10" s="270" t="s">
        <v>612</v>
      </c>
      <c r="I10" s="270" t="s">
        <v>410</v>
      </c>
      <c r="J10" s="270" t="s">
        <v>1</v>
      </c>
      <c r="K10" s="270" t="s">
        <v>382</v>
      </c>
      <c r="L10" s="379" t="s">
        <v>411</v>
      </c>
      <c r="M10" s="270" t="s">
        <v>409</v>
      </c>
      <c r="N10" s="270" t="s">
        <v>408</v>
      </c>
      <c r="O10" s="270" t="s">
        <v>387</v>
      </c>
      <c r="P10" s="270" t="s">
        <v>383</v>
      </c>
      <c r="Q10" s="270" t="s">
        <v>412</v>
      </c>
      <c r="R10" s="270" t="s">
        <v>1782</v>
      </c>
      <c r="S10" s="270" t="s">
        <v>399</v>
      </c>
      <c r="T10" s="269">
        <f ca="1">SUMIFS(加弹汇总表!I:I,加弹汇总表!E:E,inventory!B10,加弹汇总表!F:F,inventory!J10,加弹汇总表!B:B,inventory!M10)</f>
        <v>0</v>
      </c>
      <c r="U10" s="269">
        <f>IF(P10="喷水领用",SUMIFS(ps!L:L,ps!J:J,LEFT(B10,FIND("网",B10)-1),ps!F:F,J10,ps!$I:$I,喷水汇总表!$T$4)+SUMIFS(ps!$M:$M,ps!$K:$K,LEFT(B10,FIND("网",B10)-1),ps!$F:$F,J10,ps!$I:$I,喷水汇总表!$T$4),SUMIFS(小圆机汇总表!$J$15:$J$60,小圆机汇总表!$C$15:$C$60,inventory!B10,小圆机汇总表!$E$15:$E$60,inventory!J10))</f>
        <v>769.25</v>
      </c>
    </row>
    <row r="11" spans="1:21" outlineLevel="1">
      <c r="A11" s="74" t="str">
        <f t="shared" si="0"/>
        <v>D/22/24/W/AAAA/0DTY喷水经丝DE71222422/2449.5</v>
      </c>
      <c r="C11" s="267" t="s">
        <v>386</v>
      </c>
      <c r="D11" s="267" t="s">
        <v>285</v>
      </c>
      <c r="E11" s="267" t="e">
        <f>VLOOKUP(A11,原丝import!A:E,4,FALSE)</f>
        <v>#N/A</v>
      </c>
      <c r="F11" s="267" t="e">
        <f>VLOOKUP(A11,原丝import!A:E,5,FALSE)</f>
        <v>#N/A</v>
      </c>
      <c r="G11" s="267" t="s">
        <v>612</v>
      </c>
      <c r="H11" s="267" t="s">
        <v>612</v>
      </c>
      <c r="I11" s="267" t="s">
        <v>415</v>
      </c>
      <c r="J11" s="267" t="s">
        <v>2</v>
      </c>
      <c r="K11" s="267" t="s">
        <v>382</v>
      </c>
      <c r="L11" s="380" t="s">
        <v>134</v>
      </c>
      <c r="M11" s="267" t="s">
        <v>414</v>
      </c>
      <c r="N11" s="267" t="s">
        <v>413</v>
      </c>
      <c r="O11" s="267" t="s">
        <v>387</v>
      </c>
      <c r="P11" s="267" t="s">
        <v>383</v>
      </c>
      <c r="Q11" s="267" t="s">
        <v>416</v>
      </c>
      <c r="R11" s="267" t="s">
        <v>417</v>
      </c>
      <c r="S11" s="267" t="s">
        <v>399</v>
      </c>
      <c r="T11" s="269">
        <f ca="1">SUMIFS(加弹汇总表!I:I,加弹汇总表!E:E,inventory!B11,加弹汇总表!F:F,inventory!J11,加弹汇总表!B:B,inventory!M11)</f>
        <v>0</v>
      </c>
      <c r="U11" s="269">
        <f>IF(P11="喷水领用",SUMIFS(ps!L:L,ps!J:J,LEFT(B11,FIND("网",B11)-1),ps!F:F,J11,ps!$I:$I,喷水汇总表!$T$4)+SUMIFS(ps!$M:$M,ps!$K:$K,LEFT(B11,FIND("网",B11)-1),ps!$F:$F,J11,ps!$I:$I,喷水汇总表!$T$4),SUMIFS(小圆机汇总表!$J$15:$J$60,小圆机汇总表!$C$15:$C$60,inventory!B11,小圆机汇总表!$E$15:$E$60,inventory!J11))</f>
        <v>0</v>
      </c>
    </row>
    <row r="12" spans="1:21" outlineLevel="1">
      <c r="A12" s="74" t="str">
        <f t="shared" si="0"/>
        <v>D/222/96/W/AAAA/0DTY喷水经丝DE7122296Z222/9616.51</v>
      </c>
      <c r="C12" s="267" t="s">
        <v>386</v>
      </c>
      <c r="D12" s="267" t="s">
        <v>285</v>
      </c>
      <c r="E12" s="267" t="str">
        <f>VLOOKUP(A12,原丝import!A:E,4,FALSE)</f>
        <v>144</v>
      </c>
      <c r="F12" s="267" t="str">
        <f>VLOOKUP(A12,原丝import!A:E,5,FALSE)</f>
        <v>6</v>
      </c>
      <c r="G12" s="267" t="s">
        <v>612</v>
      </c>
      <c r="H12" s="267" t="s">
        <v>612</v>
      </c>
      <c r="I12" s="267" t="s">
        <v>420</v>
      </c>
      <c r="J12" s="267" t="s">
        <v>2</v>
      </c>
      <c r="K12" s="267" t="s">
        <v>382</v>
      </c>
      <c r="L12" s="380" t="s">
        <v>134</v>
      </c>
      <c r="M12" s="267" t="s">
        <v>419</v>
      </c>
      <c r="N12" s="267" t="s">
        <v>418</v>
      </c>
      <c r="O12" s="267" t="s">
        <v>387</v>
      </c>
      <c r="P12" s="267" t="s">
        <v>383</v>
      </c>
      <c r="Q12" s="267" t="s">
        <v>421</v>
      </c>
      <c r="R12" s="267" t="s">
        <v>422</v>
      </c>
      <c r="S12" s="267" t="s">
        <v>399</v>
      </c>
      <c r="T12" s="269">
        <f ca="1">SUMIFS(加弹汇总表!I:I,加弹汇总表!E:E,inventory!B12,加弹汇总表!F:F,inventory!J12,加弹汇总表!B:B,inventory!M12)</f>
        <v>0</v>
      </c>
      <c r="U12" s="269">
        <f>IF(P12="喷水领用",SUMIFS(ps!L:L,ps!J:J,LEFT(B12,FIND("网",B12)-1),ps!F:F,J12,ps!$I:$I,喷水汇总表!$T$4)+SUMIFS(ps!$M:$M,ps!$K:$K,LEFT(B12,FIND("网",B12)-1),ps!$F:$F,J12,ps!$I:$I,喷水汇总表!$T$4),SUMIFS(小圆机汇总表!$J$15:$J$60,小圆机汇总表!$C$15:$C$60,inventory!B12,小圆机汇总表!$E$15:$E$60,inventory!J12))</f>
        <v>0</v>
      </c>
    </row>
    <row r="13" spans="1:21" outlineLevel="1">
      <c r="A13" s="74" t="str">
        <f t="shared" si="0"/>
        <v>D/30/24/W/AAA/0DTY喷水经丝1580230/2418.56</v>
      </c>
      <c r="B13" s="3" t="s">
        <v>3144</v>
      </c>
      <c r="C13" s="267" t="s">
        <v>386</v>
      </c>
      <c r="D13" s="267" t="s">
        <v>285</v>
      </c>
      <c r="E13" s="267" t="str">
        <f>VLOOKUP(A13,原丝import!A:E,4,FALSE)</f>
        <v>100</v>
      </c>
      <c r="F13" s="267" t="str">
        <f>VLOOKUP(A13,原丝import!A:E,5,FALSE)</f>
        <v>4</v>
      </c>
      <c r="G13" s="267" t="s">
        <v>612</v>
      </c>
      <c r="H13" s="267" t="s">
        <v>612</v>
      </c>
      <c r="I13" s="267" t="s">
        <v>424</v>
      </c>
      <c r="J13" s="267" t="s">
        <v>2</v>
      </c>
      <c r="K13" s="267" t="s">
        <v>382</v>
      </c>
      <c r="L13" s="380" t="s">
        <v>142</v>
      </c>
      <c r="M13" s="267" t="s">
        <v>942</v>
      </c>
      <c r="N13" s="267" t="s">
        <v>423</v>
      </c>
      <c r="O13" s="267" t="s">
        <v>287</v>
      </c>
      <c r="P13" s="267" t="s">
        <v>383</v>
      </c>
      <c r="Q13" s="267" t="s">
        <v>425</v>
      </c>
      <c r="R13" s="267" t="s">
        <v>2209</v>
      </c>
      <c r="S13" s="267" t="s">
        <v>399</v>
      </c>
      <c r="T13" s="269">
        <f ca="1">SUMIFS(加弹汇总表!I:I,加弹汇总表!E:E,inventory!B13,加弹汇总表!F:F,inventory!J13,加弹汇总表!B:B,inventory!M13)</f>
        <v>0</v>
      </c>
      <c r="U13" s="269">
        <f>IF(P13="喷水领用",SUMIFS(ps!L:L,ps!J:J,LEFT(B13,FIND("网",B13)-1),ps!F:F,J13,ps!$I:$I,喷水汇总表!$T$4)+SUMIFS(ps!$M:$M,ps!$K:$K,LEFT(B13,FIND("网",B13)-1),ps!$F:$F,J13,ps!$I:$I,喷水汇总表!$T$4),SUMIFS(小圆机汇总表!$J$15:$J$60,小圆机汇总表!$C$15:$C$60,inventory!B13,小圆机汇总表!$E$15:$E$60,inventory!J13))</f>
        <v>775.96804387191605</v>
      </c>
    </row>
    <row r="14" spans="1:21" outlineLevel="1">
      <c r="A14" s="74" t="str">
        <f t="shared" si="0"/>
        <v>D/30/24/W/AAAA/0DTY喷水经丝1580230/2418.96</v>
      </c>
      <c r="B14" s="3" t="s">
        <v>3144</v>
      </c>
      <c r="C14" s="267" t="s">
        <v>386</v>
      </c>
      <c r="D14" s="267" t="s">
        <v>285</v>
      </c>
      <c r="E14" s="267" t="str">
        <f>VLOOKUP(A14,原丝import!A:E,4,FALSE)</f>
        <v>12615.3</v>
      </c>
      <c r="F14" s="267" t="str">
        <f>VLOOKUP(A14,原丝import!A:E,5,FALSE)</f>
        <v>434</v>
      </c>
      <c r="G14" s="267" t="s">
        <v>612</v>
      </c>
      <c r="H14" s="267" t="s">
        <v>612</v>
      </c>
      <c r="I14" s="267" t="s">
        <v>426</v>
      </c>
      <c r="J14" s="267" t="s">
        <v>2</v>
      </c>
      <c r="K14" s="267" t="s">
        <v>382</v>
      </c>
      <c r="L14" s="380" t="s">
        <v>142</v>
      </c>
      <c r="M14" s="267" t="s">
        <v>942</v>
      </c>
      <c r="N14" s="267" t="s">
        <v>423</v>
      </c>
      <c r="O14" s="267" t="s">
        <v>387</v>
      </c>
      <c r="P14" s="267" t="s">
        <v>383</v>
      </c>
      <c r="Q14" s="267" t="s">
        <v>427</v>
      </c>
      <c r="R14" s="267" t="s">
        <v>2210</v>
      </c>
      <c r="S14" s="267" t="s">
        <v>399</v>
      </c>
      <c r="T14" s="269">
        <f ca="1">SUMIFS(加弹汇总表!I:I,加弹汇总表!E:E,inventory!B14,加弹汇总表!F:F,inventory!J14,加弹汇总表!B:B,inventory!M14)</f>
        <v>0</v>
      </c>
      <c r="U14" s="269">
        <f>IF(P14="喷水领用",SUMIFS(ps!L:L,ps!J:J,LEFT(B14,FIND("网",B14)-1),ps!F:F,J14,ps!$I:$I,喷水汇总表!$T$4)+SUMIFS(ps!$M:$M,ps!$K:$K,LEFT(B14,FIND("网",B14)-1),ps!$F:$F,J14,ps!$I:$I,喷水汇总表!$T$4),SUMIFS(小圆机汇总表!$J$15:$J$60,小圆机汇总表!$C$15:$C$60,inventory!B14,小圆机汇总表!$E$15:$E$60,inventory!J14))</f>
        <v>775.96804387191605</v>
      </c>
    </row>
    <row r="15" spans="1:21" outlineLevel="1">
      <c r="A15" s="74" t="str">
        <f t="shared" si="0"/>
        <v>D/333/72/W/AAAA/0DTY喷水经丝A30120333/7210.0</v>
      </c>
      <c r="C15" s="267" t="s">
        <v>386</v>
      </c>
      <c r="D15" s="267" t="s">
        <v>285</v>
      </c>
      <c r="E15" s="267" t="str">
        <f>VLOOKUP(A15,原丝import!A:E,4,FALSE)</f>
        <v>2160</v>
      </c>
      <c r="F15" s="267" t="str">
        <f>VLOOKUP(A15,原丝import!A:E,5,FALSE)</f>
        <v>60</v>
      </c>
      <c r="G15" s="267" t="s">
        <v>612</v>
      </c>
      <c r="H15" s="267" t="s">
        <v>612</v>
      </c>
      <c r="I15" s="267" t="s">
        <v>430</v>
      </c>
      <c r="J15" s="267" t="s">
        <v>2</v>
      </c>
      <c r="K15" s="267" t="s">
        <v>382</v>
      </c>
      <c r="L15" s="380" t="s">
        <v>397</v>
      </c>
      <c r="M15" s="267" t="s">
        <v>429</v>
      </c>
      <c r="N15" s="267" t="s">
        <v>428</v>
      </c>
      <c r="O15" s="267" t="s">
        <v>387</v>
      </c>
      <c r="P15" s="267" t="s">
        <v>383</v>
      </c>
      <c r="Q15" s="267" t="s">
        <v>431</v>
      </c>
      <c r="R15" s="267" t="s">
        <v>1783</v>
      </c>
      <c r="S15" s="267" t="s">
        <v>399</v>
      </c>
      <c r="T15" s="269">
        <f ca="1">SUMIFS(加弹汇总表!I:I,加弹汇总表!E:E,inventory!B15,加弹汇总表!F:F,inventory!J15,加弹汇总表!B:B,inventory!M15)</f>
        <v>0</v>
      </c>
      <c r="U15" s="269">
        <f>IF(P15="喷水领用",SUMIFS(ps!L:L,ps!J:J,LEFT(B15,FIND("网",B15)-1),ps!F:F,J15,ps!$I:$I,喷水汇总表!$T$4)+SUMIFS(ps!$M:$M,ps!$K:$K,LEFT(B15,FIND("网",B15)-1),ps!$F:$F,J15,ps!$I:$I,喷水汇总表!$T$4),SUMIFS(小圆机汇总表!$J$15:$J$60,小圆机汇总表!$C$15:$C$60,inventory!B15,小圆机汇总表!$E$15:$E$60,inventory!J15))</f>
        <v>0</v>
      </c>
    </row>
    <row r="16" spans="1:21" outlineLevel="1">
      <c r="A16" s="74" t="str">
        <f t="shared" si="0"/>
        <v>D/333/96/B/AAAA/0DTY喷水经丝J-HQ3339611333/969.03</v>
      </c>
      <c r="C16" s="267" t="s">
        <v>386</v>
      </c>
      <c r="D16" s="267" t="s">
        <v>285</v>
      </c>
      <c r="E16" s="267" t="str">
        <f>VLOOKUP(A16,原丝import!A:E,4,FALSE)</f>
        <v>6542.4</v>
      </c>
      <c r="F16" s="267" t="str">
        <f>VLOOKUP(A16,原丝import!A:E,5,FALSE)</f>
        <v>188</v>
      </c>
      <c r="G16" s="267" t="s">
        <v>612</v>
      </c>
      <c r="H16" s="267" t="s">
        <v>612</v>
      </c>
      <c r="I16" s="267" t="s">
        <v>434</v>
      </c>
      <c r="J16" s="267" t="s">
        <v>1</v>
      </c>
      <c r="K16" s="267" t="s">
        <v>382</v>
      </c>
      <c r="L16" s="380" t="s">
        <v>435</v>
      </c>
      <c r="M16" s="267" t="s">
        <v>433</v>
      </c>
      <c r="N16" s="267" t="s">
        <v>432</v>
      </c>
      <c r="O16" s="267" t="s">
        <v>387</v>
      </c>
      <c r="P16" s="267" t="s">
        <v>383</v>
      </c>
      <c r="Q16" s="267" t="s">
        <v>436</v>
      </c>
      <c r="R16" s="267" t="s">
        <v>1785</v>
      </c>
      <c r="S16" s="267" t="s">
        <v>399</v>
      </c>
      <c r="T16" s="269">
        <f ca="1">SUMIFS(加弹汇总表!I:I,加弹汇总表!E:E,inventory!B16,加弹汇总表!F:F,inventory!J16,加弹汇总表!B:B,inventory!M16)</f>
        <v>0</v>
      </c>
      <c r="U16" s="269">
        <f>IF(P16="喷水领用",SUMIFS(ps!L:L,ps!J:J,LEFT(B16,FIND("网",B16)-1),ps!F:F,J16,ps!$I:$I,喷水汇总表!$T$4)+SUMIFS(ps!$M:$M,ps!$K:$K,LEFT(B16,FIND("网",B16)-1),ps!$F:$F,J16,ps!$I:$I,喷水汇总表!$T$4),SUMIFS(小圆机汇总表!$J$15:$J$60,小圆机汇总表!$C$15:$C$60,inventory!B16,小圆机汇总表!$E$15:$E$60,inventory!J16))</f>
        <v>0</v>
      </c>
    </row>
    <row r="17" spans="1:21" s="269" customFormat="1" outlineLevel="1">
      <c r="A17" s="269" t="str">
        <f t="shared" si="0"/>
        <v>D/35/24/W/AAAA/0DTY喷水经丝S21102P35/2416.98</v>
      </c>
      <c r="B17" s="3" t="s">
        <v>2337</v>
      </c>
      <c r="C17" s="270" t="s">
        <v>386</v>
      </c>
      <c r="D17" s="270" t="s">
        <v>285</v>
      </c>
      <c r="E17" s="270" t="str">
        <f>VLOOKUP(A17,原丝import!A:E,4,FALSE)</f>
        <v>4567.8</v>
      </c>
      <c r="F17" s="270" t="str">
        <f>VLOOKUP(A17,原丝import!A:E,5,FALSE)</f>
        <v>156.5</v>
      </c>
      <c r="G17" s="270" t="s">
        <v>612</v>
      </c>
      <c r="H17" s="270" t="s">
        <v>612</v>
      </c>
      <c r="I17" s="270" t="s">
        <v>439</v>
      </c>
      <c r="J17" s="270" t="s">
        <v>2</v>
      </c>
      <c r="K17" s="270" t="s">
        <v>382</v>
      </c>
      <c r="L17" s="379" t="s">
        <v>158</v>
      </c>
      <c r="M17" s="270" t="s">
        <v>438</v>
      </c>
      <c r="N17" s="270" t="s">
        <v>437</v>
      </c>
      <c r="O17" s="270" t="s">
        <v>387</v>
      </c>
      <c r="P17" s="270" t="s">
        <v>383</v>
      </c>
      <c r="Q17" s="270" t="s">
        <v>440</v>
      </c>
      <c r="R17" s="270" t="s">
        <v>2276</v>
      </c>
      <c r="S17" s="270" t="s">
        <v>399</v>
      </c>
      <c r="T17" s="269">
        <f ca="1">SUMIFS(加弹汇总表!I:I,加弹汇总表!E:E,inventory!B17,加弹汇总表!F:F,inventory!J17,加弹汇总表!B:B,inventory!M17)</f>
        <v>0</v>
      </c>
      <c r="U17" s="269">
        <f>IF(P17="喷水领用",SUMIFS(ps!L:L,ps!J:J,LEFT(B17,FIND("网",B17)-1),ps!F:F,J17,ps!$I:$I,喷水汇总表!$T$4)+SUMIFS(ps!$M:$M,ps!$K:$K,LEFT(B17,FIND("网",B17)-1),ps!$F:$F,J17,ps!$I:$I,喷水汇总表!$T$4),SUMIFS(小圆机汇总表!$J$15:$J$60,小圆机汇总表!$C$15:$C$60,inventory!B17,小圆机汇总表!$E$15:$E$60,inventory!J17))</f>
        <v>523.61646520314957</v>
      </c>
    </row>
    <row r="18" spans="1:21" s="269" customFormat="1" outlineLevel="1">
      <c r="A18" s="269" t="str">
        <f t="shared" si="0"/>
        <v>DTY喷水经丝HP06074355/966.86</v>
      </c>
      <c r="B18" s="3" t="s">
        <v>2342</v>
      </c>
      <c r="C18" s="270" t="s">
        <v>386</v>
      </c>
      <c r="D18" s="270" t="s">
        <v>285</v>
      </c>
      <c r="E18" s="270" t="str">
        <f>VLOOKUP(A18,原丝import!A:E,4,FALSE)</f>
        <v>4785</v>
      </c>
      <c r="F18" s="270" t="str">
        <f>VLOOKUP(A18,原丝import!A:E,5,FALSE)</f>
        <v>155</v>
      </c>
      <c r="G18" s="270" t="s">
        <v>612</v>
      </c>
      <c r="H18" s="270" t="s">
        <v>612</v>
      </c>
      <c r="I18" s="270" t="s">
        <v>399</v>
      </c>
      <c r="J18" s="270" t="s">
        <v>1727</v>
      </c>
      <c r="K18" s="270" t="s">
        <v>382</v>
      </c>
      <c r="L18" s="379" t="s">
        <v>443</v>
      </c>
      <c r="M18" s="270" t="s">
        <v>2452</v>
      </c>
      <c r="N18" s="270" t="s">
        <v>441</v>
      </c>
      <c r="O18" s="270" t="s">
        <v>387</v>
      </c>
      <c r="P18" s="270" t="s">
        <v>383</v>
      </c>
      <c r="Q18" s="270">
        <v>6.86</v>
      </c>
      <c r="R18" s="270">
        <v>0</v>
      </c>
      <c r="S18" s="270" t="s">
        <v>399</v>
      </c>
      <c r="T18" s="269">
        <f ca="1">SUMIFS(加弹汇总表!I:I,加弹汇总表!E:E,inventory!B18,加弹汇总表!F:F,inventory!J18,加弹汇总表!B:B,inventory!M18)</f>
        <v>0</v>
      </c>
      <c r="U18" s="269">
        <f>IF(P18="喷水领用",SUMIFS(ps!L:L,ps!J:J,LEFT(B18,FIND("网",B18)-1),ps!F:F,J18,ps!$I:$I,喷水汇总表!$T$4)+SUMIFS(ps!$M:$M,ps!$K:$K,LEFT(B18,FIND("网",B18)-1),ps!$F:$F,J18,ps!$I:$I,喷水汇总表!$T$4),SUMIFS(小圆机汇总表!$J$15:$J$60,小圆机汇总表!$C$15:$C$60,inventory!B18,小圆机汇总表!$E$15:$E$60,inventory!J18))</f>
        <v>1166.7848000000001</v>
      </c>
    </row>
    <row r="19" spans="1:21" s="269" customFormat="1" outlineLevel="1">
      <c r="A19" s="269" t="str">
        <f t="shared" si="0"/>
        <v>D/355/96/W/AAAA/0DTY喷水经丝KP12005355/969.09</v>
      </c>
      <c r="B19" s="3" t="s">
        <v>2342</v>
      </c>
      <c r="C19" s="270" t="s">
        <v>386</v>
      </c>
      <c r="D19" s="270" t="s">
        <v>285</v>
      </c>
      <c r="E19" s="270" t="str">
        <f>VLOOKUP(A19,原丝import!A:E,4,FALSE)</f>
        <v>3891.3</v>
      </c>
      <c r="F19" s="270" t="str">
        <f>VLOOKUP(A19,原丝import!A:E,5,FALSE)</f>
        <v>120</v>
      </c>
      <c r="G19" s="270" t="s">
        <v>612</v>
      </c>
      <c r="H19" s="270" t="s">
        <v>612</v>
      </c>
      <c r="I19" s="270" t="s">
        <v>445</v>
      </c>
      <c r="J19" s="270" t="s">
        <v>2</v>
      </c>
      <c r="K19" s="270" t="s">
        <v>382</v>
      </c>
      <c r="L19" s="379" t="s">
        <v>443</v>
      </c>
      <c r="M19" s="270" t="s">
        <v>444</v>
      </c>
      <c r="N19" s="270" t="s">
        <v>441</v>
      </c>
      <c r="O19" s="270" t="s">
        <v>287</v>
      </c>
      <c r="P19" s="270" t="s">
        <v>383</v>
      </c>
      <c r="Q19" s="270" t="s">
        <v>446</v>
      </c>
      <c r="R19" s="270" t="s">
        <v>2211</v>
      </c>
      <c r="S19" s="270" t="s">
        <v>399</v>
      </c>
      <c r="T19" s="269">
        <f ca="1">SUMIFS(加弹汇总表!I:I,加弹汇总表!E:E,inventory!B19,加弹汇总表!F:F,inventory!J19,加弹汇总表!B:B,inventory!M19)</f>
        <v>0</v>
      </c>
      <c r="U19" s="269">
        <f>IF(P19="喷水领用",SUMIFS(ps!L:L,ps!J:J,LEFT(B19,FIND("网",B19)-1),ps!F:F,J19,ps!$I:$I,喷水汇总表!$T$4)+SUMIFS(ps!$M:$M,ps!$K:$K,LEFT(B19,FIND("网",B19)-1),ps!$F:$F,J19,ps!$I:$I,喷水汇总表!$T$4),SUMIFS(小圆机汇总表!$J$15:$J$60,小圆机汇总表!$C$15:$C$60,inventory!B19,小圆机汇总表!$E$15:$E$60,inventory!J19))</f>
        <v>695.42719160104991</v>
      </c>
    </row>
    <row r="20" spans="1:21" s="269" customFormat="1" outlineLevel="1">
      <c r="A20" s="269" t="str">
        <f t="shared" si="0"/>
        <v>D/36/24/B/AAAA/0DTY喷水经丝24003636/2416.24</v>
      </c>
      <c r="B20" s="3" t="s">
        <v>2337</v>
      </c>
      <c r="C20" s="270" t="s">
        <v>386</v>
      </c>
      <c r="D20" s="270" t="s">
        <v>285</v>
      </c>
      <c r="E20" s="270" t="str">
        <f>VLOOKUP(A20,原丝import!A:E,4,FALSE)</f>
        <v>12738</v>
      </c>
      <c r="F20" s="270" t="str">
        <f>VLOOKUP(A20,原丝import!A:E,5,FALSE)</f>
        <v>476</v>
      </c>
      <c r="G20" s="270" t="s">
        <v>612</v>
      </c>
      <c r="H20" s="270" t="s">
        <v>612</v>
      </c>
      <c r="I20" s="270" t="s">
        <v>448</v>
      </c>
      <c r="J20" s="270" t="s">
        <v>1</v>
      </c>
      <c r="K20" s="270" t="s">
        <v>382</v>
      </c>
      <c r="L20" s="379" t="s">
        <v>136</v>
      </c>
      <c r="M20" s="270" t="s">
        <v>946</v>
      </c>
      <c r="N20" s="270" t="s">
        <v>447</v>
      </c>
      <c r="O20" s="270" t="s">
        <v>387</v>
      </c>
      <c r="P20" s="270" t="s">
        <v>383</v>
      </c>
      <c r="Q20" s="270" t="s">
        <v>449</v>
      </c>
      <c r="R20" s="270" t="s">
        <v>2316</v>
      </c>
      <c r="S20" s="270" t="s">
        <v>450</v>
      </c>
      <c r="T20" s="269">
        <f ca="1">SUMIFS(加弹汇总表!I:I,加弹汇总表!E:E,inventory!B20,加弹汇总表!F:F,inventory!J20,加弹汇总表!B:B,inventory!M20)</f>
        <v>0</v>
      </c>
      <c r="U20" s="269">
        <f>IF(P20="喷水领用",SUMIFS(ps!L:L,ps!J:J,LEFT(B20,FIND("网",B20)-1),ps!F:F,J20,ps!$I:$I,喷水汇总表!$T$4)+SUMIFS(ps!$M:$M,ps!$K:$K,LEFT(B20,FIND("网",B20)-1),ps!$F:$F,J20,ps!$I:$I,喷水汇总表!$T$4),SUMIFS(小圆机汇总表!$J$15:$J$60,小圆机汇总表!$C$15:$C$60,inventory!B20,小圆机汇总表!$E$15:$E$60,inventory!J20))</f>
        <v>318.76655660752402</v>
      </c>
    </row>
    <row r="21" spans="1:21" s="269" customFormat="1" outlineLevel="1">
      <c r="A21" s="269" t="str">
        <f t="shared" si="0"/>
        <v>D/55/24/B/AAAA/0DTY喷水经丝24005555/2414.05</v>
      </c>
      <c r="B21" s="3" t="s">
        <v>2338</v>
      </c>
      <c r="C21" s="270" t="s">
        <v>386</v>
      </c>
      <c r="D21" s="270" t="s">
        <v>285</v>
      </c>
      <c r="E21" s="270" t="str">
        <f>VLOOKUP(A21,原丝import!A:E,4,FALSE)</f>
        <v>8638.32</v>
      </c>
      <c r="F21" s="270" t="str">
        <f>VLOOKUP(A21,原丝import!A:E,5,FALSE)</f>
        <v>251.5</v>
      </c>
      <c r="G21" s="270" t="s">
        <v>612</v>
      </c>
      <c r="H21" s="270" t="s">
        <v>612</v>
      </c>
      <c r="I21" s="270" t="s">
        <v>453</v>
      </c>
      <c r="J21" s="270" t="s">
        <v>1</v>
      </c>
      <c r="K21" s="270" t="s">
        <v>382</v>
      </c>
      <c r="L21" s="379" t="s">
        <v>136</v>
      </c>
      <c r="M21" s="270" t="s">
        <v>947</v>
      </c>
      <c r="N21" s="270" t="s">
        <v>452</v>
      </c>
      <c r="O21" s="270" t="s">
        <v>387</v>
      </c>
      <c r="P21" s="270" t="s">
        <v>383</v>
      </c>
      <c r="Q21" s="270" t="s">
        <v>454</v>
      </c>
      <c r="R21" s="270" t="s">
        <v>2317</v>
      </c>
      <c r="S21" s="270" t="s">
        <v>399</v>
      </c>
      <c r="T21" s="269">
        <f ca="1">SUMIFS(加弹汇总表!I:I,加弹汇总表!E:E,inventory!B21,加弹汇总表!F:F,inventory!J21,加弹汇总表!B:B,inventory!M21)</f>
        <v>621.11599999999999</v>
      </c>
      <c r="U21" s="269">
        <f>IF(P21="喷水领用",SUMIFS(ps!L:L,ps!J:J,LEFT(B21,FIND("网",B21)-1),ps!F:F,J21,ps!$I:$I,喷水汇总表!$T$4)+SUMIFS(ps!$M:$M,ps!$K:$K,LEFT(B21,FIND("网",B21)-1),ps!$F:$F,J21,ps!$I:$I,喷水汇总表!$T$4),SUMIFS(小圆机汇总表!$J$15:$J$60,小圆机汇总表!$C$15:$C$60,inventory!B21,小圆机汇总表!$E$15:$E$60,inventory!J21))</f>
        <v>299.58280419947505</v>
      </c>
    </row>
    <row r="22" spans="1:21" s="269" customFormat="1" outlineLevel="1">
      <c r="A22" s="269" t="str">
        <f t="shared" si="0"/>
        <v>DTY喷水经丝PE61552455/2419.92</v>
      </c>
      <c r="B22" s="3"/>
      <c r="C22" s="333" t="s">
        <v>386</v>
      </c>
      <c r="D22" s="333" t="s">
        <v>285</v>
      </c>
      <c r="E22" s="270" t="str">
        <f>VLOOKUP(A22,原丝import!A:E,4,FALSE)</f>
        <v>802</v>
      </c>
      <c r="F22" s="270" t="str">
        <f>VLOOKUP(A22,原丝import!A:E,5,FALSE)</f>
        <v>31</v>
      </c>
      <c r="G22" s="333" t="s">
        <v>612</v>
      </c>
      <c r="H22" s="333" t="s">
        <v>612</v>
      </c>
      <c r="I22" s="333" t="s">
        <v>399</v>
      </c>
      <c r="J22" s="333" t="s">
        <v>2551</v>
      </c>
      <c r="K22" s="333" t="s">
        <v>382</v>
      </c>
      <c r="L22" s="381" t="s">
        <v>134</v>
      </c>
      <c r="M22" s="333" t="s">
        <v>2524</v>
      </c>
      <c r="N22" s="333" t="s">
        <v>452</v>
      </c>
      <c r="O22" s="333" t="s">
        <v>387</v>
      </c>
      <c r="P22" s="333" t="s">
        <v>383</v>
      </c>
      <c r="Q22" s="333">
        <v>19.920000000000002</v>
      </c>
      <c r="R22" s="333" t="s">
        <v>612</v>
      </c>
      <c r="S22" s="333" t="s">
        <v>399</v>
      </c>
      <c r="T22" s="269">
        <f ca="1">SUMIFS(加弹汇总表!I:I,加弹汇总表!E:E,inventory!B22,加弹汇总表!F:F,inventory!J22,加弹汇总表!B:B,inventory!M22)</f>
        <v>0</v>
      </c>
      <c r="U22" s="269">
        <f>IF(P22="喷水领用",SUMIFS(ps!L:L,ps!J:J,LEFT(B22,FIND("网",B22)-1),ps!F:F,J22,ps!$I:$I,喷水汇总表!$T$4)+SUMIFS(ps!$M:$M,ps!$K:$K,LEFT(B22,FIND("网",B22)-1),ps!$F:$F,J22,ps!$I:$I,喷水汇总表!$T$4),SUMIFS(小圆机汇总表!$J$15:$J$60,小圆机汇总表!$C$15:$C$60,inventory!B22,小圆机汇总表!$E$15:$E$60,inventory!J22))</f>
        <v>0</v>
      </c>
    </row>
    <row r="23" spans="1:21" s="269" customFormat="1" outlineLevel="1">
      <c r="A23" s="269" t="str">
        <f t="shared" si="0"/>
        <v>D89/48/W/AAAA/0DTY喷水经丝S2121189/489.56</v>
      </c>
      <c r="B23" s="3" t="s">
        <v>2339</v>
      </c>
      <c r="C23" s="270" t="s">
        <v>386</v>
      </c>
      <c r="D23" s="270" t="s">
        <v>285</v>
      </c>
      <c r="E23" s="270" t="str">
        <f>VLOOKUP(A23,原丝import!A:E,4,FALSE)</f>
        <v>22627.7</v>
      </c>
      <c r="F23" s="270" t="str">
        <f>VLOOKUP(A23,原丝import!A:E,5,FALSE)</f>
        <v>732.5</v>
      </c>
      <c r="G23" s="270" t="s">
        <v>612</v>
      </c>
      <c r="H23" s="270" t="s">
        <v>612</v>
      </c>
      <c r="I23" s="270" t="s">
        <v>457</v>
      </c>
      <c r="J23" s="270" t="s">
        <v>2</v>
      </c>
      <c r="K23" s="270" t="s">
        <v>382</v>
      </c>
      <c r="L23" s="379" t="s">
        <v>158</v>
      </c>
      <c r="M23" s="270" t="s">
        <v>456</v>
      </c>
      <c r="N23" s="270" t="s">
        <v>455</v>
      </c>
      <c r="O23" s="270" t="s">
        <v>387</v>
      </c>
      <c r="P23" s="270" t="s">
        <v>383</v>
      </c>
      <c r="Q23" s="270" t="s">
        <v>458</v>
      </c>
      <c r="R23" s="270" t="s">
        <v>2318</v>
      </c>
      <c r="S23" s="270" t="s">
        <v>459</v>
      </c>
      <c r="T23" s="269">
        <f ca="1">SUMIFS(加弹汇总表!I:I,加弹汇总表!E:E,inventory!B23,加弹汇总表!F:F,inventory!J23,加弹汇总表!B:B,inventory!M23)</f>
        <v>0</v>
      </c>
      <c r="U23" s="269">
        <f>IF(P23="喷水领用",SUMIFS(ps!L:L,ps!J:J,LEFT(B23,FIND("网",B23)-1),ps!F:F,J23,ps!$I:$I,喷水汇总表!$T$4)+SUMIFS(ps!$M:$M,ps!$K:$K,LEFT(B23,FIND("网",B23)-1),ps!$F:$F,J23,ps!$I:$I,喷水汇总表!$T$4),SUMIFS(小圆机汇总表!$J$15:$J$60,小圆机汇总表!$C$15:$C$60,inventory!B23,小圆机汇总表!$E$15:$E$60,inventory!J23))</f>
        <v>0</v>
      </c>
    </row>
    <row r="24" spans="1:21" s="269" customFormat="1" outlineLevel="1">
      <c r="A24" s="269" t="str">
        <f t="shared" si="0"/>
        <v>D/94/36/B/AAAA/0DTY喷水经丝64009494/369.48</v>
      </c>
      <c r="B24" s="3" t="s">
        <v>2339</v>
      </c>
      <c r="C24" s="270" t="s">
        <v>386</v>
      </c>
      <c r="D24" s="270" t="s">
        <v>285</v>
      </c>
      <c r="E24" s="270" t="e">
        <f>VLOOKUP(A24,原丝import!A:E,4,FALSE)</f>
        <v>#N/A</v>
      </c>
      <c r="F24" s="270" t="e">
        <f>VLOOKUP(A24,原丝import!A:E,5,FALSE)</f>
        <v>#N/A</v>
      </c>
      <c r="G24" s="270" t="s">
        <v>612</v>
      </c>
      <c r="H24" s="270" t="s">
        <v>612</v>
      </c>
      <c r="I24" s="270" t="s">
        <v>461</v>
      </c>
      <c r="J24" s="270" t="s">
        <v>1</v>
      </c>
      <c r="K24" s="270" t="s">
        <v>382</v>
      </c>
      <c r="L24" s="379" t="s">
        <v>136</v>
      </c>
      <c r="M24" s="270" t="s">
        <v>955</v>
      </c>
      <c r="N24" s="270" t="s">
        <v>460</v>
      </c>
      <c r="O24" s="270" t="s">
        <v>387</v>
      </c>
      <c r="P24" s="270" t="s">
        <v>383</v>
      </c>
      <c r="Q24" s="270" t="s">
        <v>462</v>
      </c>
      <c r="R24" s="270" t="s">
        <v>2324</v>
      </c>
      <c r="S24" s="270" t="s">
        <v>956</v>
      </c>
      <c r="T24" s="269">
        <f ca="1">SUMIFS(加弹汇总表!I:I,加弹汇总表!E:E,inventory!B24,加弹汇总表!F:F,inventory!J24,加弹汇总表!B:B,inventory!M24)</f>
        <v>628.6</v>
      </c>
      <c r="U24" s="269">
        <f>IF(P24="喷水领用",SUMIFS(ps!L:L,ps!J:J,LEFT(B24,FIND("网",B24)-1),ps!F:F,J24,ps!$I:$I,喷水汇总表!$T$4)+SUMIFS(ps!$M:$M,ps!$K:$K,LEFT(B24,FIND("网",B24)-1),ps!$F:$F,J24,ps!$I:$I,喷水汇总表!$T$4),SUMIFS(小圆机汇总表!$J$15:$J$60,小圆机汇总表!$C$15:$C$60,inventory!B24,小圆机汇总表!$E$15:$E$60,inventory!J24))</f>
        <v>234.410779007874</v>
      </c>
    </row>
    <row r="25" spans="1:21" s="269" customFormat="1" outlineLevel="1">
      <c r="A25" s="269" t="str">
        <f t="shared" si="0"/>
        <v>DTY喷水经丝H-H5563550961355/967.53</v>
      </c>
      <c r="B25" s="3" t="s">
        <v>2853</v>
      </c>
      <c r="C25" s="347" t="s">
        <v>386</v>
      </c>
      <c r="D25" s="347" t="s">
        <v>285</v>
      </c>
      <c r="E25" s="270" t="str">
        <f>VLOOKUP(A25,原丝import!A:E,4,FALSE)</f>
        <v>7041</v>
      </c>
      <c r="F25" s="270" t="str">
        <f>VLOOKUP(A25,原丝import!A:E,5,FALSE)</f>
        <v>222</v>
      </c>
      <c r="G25" s="347" t="s">
        <v>612</v>
      </c>
      <c r="H25" s="347" t="s">
        <v>612</v>
      </c>
      <c r="I25" s="347" t="s">
        <v>399</v>
      </c>
      <c r="J25" s="347" t="s">
        <v>2527</v>
      </c>
      <c r="K25" s="347" t="s">
        <v>382</v>
      </c>
      <c r="L25" s="382" t="s">
        <v>411</v>
      </c>
      <c r="M25" s="347" t="s">
        <v>2751</v>
      </c>
      <c r="N25" s="347" t="s">
        <v>441</v>
      </c>
      <c r="O25" s="347" t="s">
        <v>387</v>
      </c>
      <c r="P25" s="347" t="s">
        <v>383</v>
      </c>
      <c r="Q25" s="347">
        <v>7.53</v>
      </c>
      <c r="R25" s="347" t="s">
        <v>612</v>
      </c>
      <c r="S25" s="347" t="s">
        <v>399</v>
      </c>
      <c r="T25" s="269">
        <f ca="1">SUMIFS(加弹汇总表!I:I,加弹汇总表!E:E,inventory!B25,加弹汇总表!F:F,inventory!J25,加弹汇总表!B:B,inventory!M25)</f>
        <v>1760.25</v>
      </c>
      <c r="U25" s="269">
        <f>IF(P25="喷水领用",SUMIFS(ps!L:L,ps!J:J,LEFT(B25,FIND("网",B25)-1),ps!F:F,J25,ps!$I:$I,喷水汇总表!$T$4)+SUMIFS(ps!$M:$M,ps!$K:$K,LEFT(B25,FIND("网",B25)-1),ps!$F:$F,J25,ps!$I:$I,喷水汇总表!$T$4),SUMIFS(小圆机汇总表!$J$15:$J$60,小圆机汇总表!$C$15:$C$60,inventory!B25,小圆机汇总表!$E$15:$E$60,inventory!J25))</f>
        <v>1166.7848000000001</v>
      </c>
    </row>
    <row r="26" spans="1:21" outlineLevel="1">
      <c r="A26" s="74" t="str">
        <f t="shared" si="0"/>
        <v>DTY圆机丝D八1-T 18S12.33</v>
      </c>
      <c r="C26" s="267" t="s">
        <v>467</v>
      </c>
      <c r="D26" s="267" t="s">
        <v>285</v>
      </c>
      <c r="E26" s="267" t="str">
        <f>VLOOKUP(A26,原丝import!A:E,4,FALSE)</f>
        <v>175</v>
      </c>
      <c r="F26" s="267" t="str">
        <f>VLOOKUP(A26,原丝import!A:E,5,FALSE)</f>
        <v>7</v>
      </c>
      <c r="G26" s="267" t="s">
        <v>612</v>
      </c>
      <c r="H26" s="267" t="s">
        <v>612</v>
      </c>
      <c r="I26" s="267" t="s">
        <v>399</v>
      </c>
      <c r="J26" s="267" t="s">
        <v>2</v>
      </c>
      <c r="K26" s="267" t="s">
        <v>464</v>
      </c>
      <c r="L26" s="380" t="s">
        <v>399</v>
      </c>
      <c r="M26" s="267" t="s">
        <v>466</v>
      </c>
      <c r="N26" s="267" t="s">
        <v>463</v>
      </c>
      <c r="O26" s="267" t="s">
        <v>387</v>
      </c>
      <c r="P26" s="267" t="s">
        <v>465</v>
      </c>
      <c r="Q26" s="267" t="s">
        <v>468</v>
      </c>
      <c r="R26" s="267" t="s">
        <v>469</v>
      </c>
      <c r="S26" s="267" t="s">
        <v>399</v>
      </c>
      <c r="T26" s="269">
        <f ca="1">SUMIFS(加弹汇总表!I:I,加弹汇总表!E:E,inventory!B26,加弹汇总表!F:F,inventory!J26,加弹汇总表!B:B,inventory!M26)</f>
        <v>0</v>
      </c>
      <c r="U26" s="269">
        <f>IF(P26="喷水领用",SUMIFS(ps!L:L,ps!J:J,LEFT(B26,FIND("网",B26)-1),ps!F:F,J26,ps!$I:$I,喷水汇总表!$T$4)+SUMIFS(ps!$M:$M,ps!$K:$K,LEFT(B26,FIND("网",B26)-1),ps!$F:$F,J26,ps!$I:$I,喷水汇总表!$T$4),SUMIFS(小圆机汇总表!$J$15:$J$60,小圆机汇总表!$C$15:$C$60,inventory!B26,小圆机汇总表!$E$15:$E$60,inventory!J26))</f>
        <v>0</v>
      </c>
    </row>
    <row r="27" spans="1:21" outlineLevel="1">
      <c r="A27" s="74" t="str">
        <f t="shared" si="0"/>
        <v>D/100/36/W/AAAA/0DTY圆机丝DFB1003610SSZ100/3618.1</v>
      </c>
      <c r="C27" s="267" t="s">
        <v>467</v>
      </c>
      <c r="D27" s="267" t="s">
        <v>285</v>
      </c>
      <c r="E27" s="267" t="str">
        <f>VLOOKUP(A27,原丝import!A:E,4,FALSE)</f>
        <v>21.7</v>
      </c>
      <c r="F27" s="267" t="str">
        <f>VLOOKUP(A27,原丝import!A:E,5,FALSE)</f>
        <v>2</v>
      </c>
      <c r="G27" s="267" t="s">
        <v>612</v>
      </c>
      <c r="H27" s="267" t="s">
        <v>612</v>
      </c>
      <c r="I27" s="267" t="s">
        <v>472</v>
      </c>
      <c r="J27" s="267" t="s">
        <v>2</v>
      </c>
      <c r="K27" s="267" t="s">
        <v>464</v>
      </c>
      <c r="L27" s="380" t="s">
        <v>399</v>
      </c>
      <c r="M27" s="267" t="s">
        <v>471</v>
      </c>
      <c r="N27" s="267" t="s">
        <v>470</v>
      </c>
      <c r="O27" s="267" t="s">
        <v>387</v>
      </c>
      <c r="P27" s="267" t="s">
        <v>465</v>
      </c>
      <c r="Q27" s="267" t="s">
        <v>473</v>
      </c>
      <c r="R27" s="267" t="s">
        <v>474</v>
      </c>
      <c r="S27" s="267" t="s">
        <v>475</v>
      </c>
      <c r="T27" s="269">
        <f ca="1">SUMIFS(加弹汇总表!I:I,加弹汇总表!E:E,inventory!B27,加弹汇总表!F:F,inventory!J27,加弹汇总表!B:B,inventory!M27)</f>
        <v>0</v>
      </c>
      <c r="U27" s="269">
        <f>IF(P27="喷水领用",SUMIFS(ps!L:L,ps!J:J,LEFT(B27,FIND("网",B27)-1),ps!F:F,J27,ps!$I:$I,喷水汇总表!$T$4)+SUMIFS(ps!$M:$M,ps!$K:$K,LEFT(B27,FIND("网",B27)-1),ps!$F:$F,J27,ps!$I:$I,喷水汇总表!$T$4),SUMIFS(小圆机汇总表!$J$15:$J$60,小圆机汇总表!$C$15:$C$60,inventory!B27,小圆机汇总表!$E$15:$E$60,inventory!J27))</f>
        <v>0</v>
      </c>
    </row>
    <row r="28" spans="1:21" s="27" customFormat="1" outlineLevel="1">
      <c r="A28" s="27" t="str">
        <f t="shared" si="0"/>
        <v>D/104/36/W/AAAA/0DTY圆机丝32605104/369.0</v>
      </c>
      <c r="B28" s="3">
        <v>50</v>
      </c>
      <c r="C28" s="268" t="s">
        <v>467</v>
      </c>
      <c r="D28" s="268" t="s">
        <v>285</v>
      </c>
      <c r="E28" s="268" t="str">
        <f>VLOOKUP(A28,原丝import!A:E,4,FALSE)</f>
        <v>3621</v>
      </c>
      <c r="F28" s="268" t="str">
        <f>VLOOKUP(A28,原丝import!A:E,5,FALSE)</f>
        <v>123</v>
      </c>
      <c r="G28" s="268" t="s">
        <v>612</v>
      </c>
      <c r="H28" s="268" t="s">
        <v>612</v>
      </c>
      <c r="I28" s="268" t="s">
        <v>2275</v>
      </c>
      <c r="J28" s="268" t="s">
        <v>2345</v>
      </c>
      <c r="K28" s="268" t="s">
        <v>464</v>
      </c>
      <c r="L28" s="383" t="s">
        <v>146</v>
      </c>
      <c r="M28" s="268" t="s">
        <v>2227</v>
      </c>
      <c r="N28" s="268" t="s">
        <v>368</v>
      </c>
      <c r="O28" s="268" t="s">
        <v>387</v>
      </c>
      <c r="P28" s="268" t="s">
        <v>465</v>
      </c>
      <c r="Q28" s="268" t="s">
        <v>496</v>
      </c>
      <c r="R28" s="268" t="s">
        <v>2309</v>
      </c>
      <c r="S28" s="268" t="s">
        <v>399</v>
      </c>
      <c r="T28" s="269">
        <f ca="1">SUMIFS(加弹汇总表!I:I,加弹汇总表!E:E,inventory!B28,加弹汇总表!F:F,inventory!J28,加弹汇总表!B:B,inventory!M28)</f>
        <v>856.5</v>
      </c>
      <c r="U28" s="269">
        <f ca="1">IF(P28="喷水领用",SUMIFS(ps!L:L,ps!J:J,LEFT(B28,FIND("网",B28)-1),ps!F:F,J28,ps!$I:$I,喷水汇总表!$T$4)+SUMIFS(ps!$M:$M,ps!$K:$K,LEFT(B28,FIND("网",B28)-1),ps!$F:$F,J28,ps!$I:$I,喷水汇总表!$T$4),SUMIFS(小圆机汇总表!$J$15:$J$60,小圆机汇总表!$C$15:$C$60,inventory!B28,小圆机汇总表!$E$15:$E$60,inventory!J28))</f>
        <v>504.4</v>
      </c>
    </row>
    <row r="29" spans="1:21" outlineLevel="1">
      <c r="A29" s="74" t="str">
        <f t="shared" si="0"/>
        <v>D/109/36/W/AAAA/0DTY圆机丝6021109/3615.91</v>
      </c>
      <c r="C29" s="267" t="s">
        <v>467</v>
      </c>
      <c r="D29" s="267" t="s">
        <v>285</v>
      </c>
      <c r="E29" s="267" t="str">
        <f>VLOOKUP(A29,原丝import!A:E,4,FALSE)</f>
        <v>65.5</v>
      </c>
      <c r="F29" s="267" t="str">
        <f>VLOOKUP(A29,原丝import!A:E,5,FALSE)</f>
        <v>3</v>
      </c>
      <c r="G29" s="267" t="s">
        <v>612</v>
      </c>
      <c r="H29" s="267" t="s">
        <v>612</v>
      </c>
      <c r="I29" s="267" t="s">
        <v>477</v>
      </c>
      <c r="J29" s="267" t="s">
        <v>2</v>
      </c>
      <c r="K29" s="267" t="s">
        <v>464</v>
      </c>
      <c r="L29" s="380" t="s">
        <v>478</v>
      </c>
      <c r="M29" s="267" t="s">
        <v>911</v>
      </c>
      <c r="N29" s="267" t="s">
        <v>476</v>
      </c>
      <c r="O29" s="267" t="s">
        <v>387</v>
      </c>
      <c r="P29" s="267" t="s">
        <v>465</v>
      </c>
      <c r="Q29" s="267" t="s">
        <v>479</v>
      </c>
      <c r="R29" s="267" t="s">
        <v>480</v>
      </c>
      <c r="S29" s="267" t="s">
        <v>481</v>
      </c>
      <c r="T29" s="269">
        <f ca="1">SUMIFS(加弹汇总表!I:I,加弹汇总表!E:E,inventory!B29,加弹汇总表!F:F,inventory!J29,加弹汇总表!B:B,inventory!M29)</f>
        <v>0</v>
      </c>
      <c r="U29" s="269">
        <f>IF(P29="喷水领用",SUMIFS(ps!L:L,ps!J:J,LEFT(B29,FIND("网",B29)-1),ps!F:F,J29,ps!$I:$I,喷水汇总表!$T$4)+SUMIFS(ps!$M:$M,ps!$K:$K,LEFT(B29,FIND("网",B29)-1),ps!$F:$F,J29,ps!$I:$I,喷水汇总表!$T$4),SUMIFS(小圆机汇总表!$J$15:$J$60,小圆机汇总表!$C$15:$C$60,inventory!B29,小圆机汇总表!$E$15:$E$60,inventory!J29))</f>
        <v>0</v>
      </c>
    </row>
    <row r="30" spans="1:21" outlineLevel="1">
      <c r="A30" s="74" t="str">
        <f t="shared" si="0"/>
        <v>D/109/36/W/AAAA/0DTY圆机丝6025109/3615.91</v>
      </c>
      <c r="C30" s="267" t="s">
        <v>467</v>
      </c>
      <c r="D30" s="267" t="s">
        <v>285</v>
      </c>
      <c r="E30" s="267" t="str">
        <f>VLOOKUP(A30,原丝import!A:E,4,FALSE)</f>
        <v>66.7</v>
      </c>
      <c r="F30" s="267" t="str">
        <f>VLOOKUP(A30,原丝import!A:E,5,FALSE)</f>
        <v>3</v>
      </c>
      <c r="G30" s="267" t="s">
        <v>612</v>
      </c>
      <c r="H30" s="267" t="s">
        <v>612</v>
      </c>
      <c r="I30" s="267" t="s">
        <v>477</v>
      </c>
      <c r="J30" s="267" t="s">
        <v>2</v>
      </c>
      <c r="K30" s="267" t="s">
        <v>464</v>
      </c>
      <c r="L30" s="380" t="s">
        <v>478</v>
      </c>
      <c r="M30" s="267" t="s">
        <v>913</v>
      </c>
      <c r="N30" s="267" t="s">
        <v>476</v>
      </c>
      <c r="O30" s="267" t="s">
        <v>387</v>
      </c>
      <c r="P30" s="267" t="s">
        <v>465</v>
      </c>
      <c r="Q30" s="267" t="s">
        <v>479</v>
      </c>
      <c r="R30" s="267" t="s">
        <v>482</v>
      </c>
      <c r="S30" s="267" t="s">
        <v>481</v>
      </c>
      <c r="T30" s="269">
        <f ca="1">SUMIFS(加弹汇总表!I:I,加弹汇总表!E:E,inventory!B30,加弹汇总表!F:F,inventory!J30,加弹汇总表!B:B,inventory!M30)</f>
        <v>0</v>
      </c>
      <c r="U30" s="269">
        <f>IF(P30="喷水领用",SUMIFS(ps!L:L,ps!J:J,LEFT(B30,FIND("网",B30)-1),ps!F:F,J30,ps!$I:$I,喷水汇总表!$T$4)+SUMIFS(ps!$M:$M,ps!$K:$K,LEFT(B30,FIND("网",B30)-1),ps!$F:$F,J30,ps!$I:$I,喷水汇总表!$T$4),SUMIFS(小圆机汇总表!$J$15:$J$60,小圆机汇总表!$C$15:$C$60,inventory!B30,小圆机汇总表!$E$15:$E$60,inventory!J30))</f>
        <v>0</v>
      </c>
    </row>
    <row r="31" spans="1:21" outlineLevel="1">
      <c r="A31" s="74" t="str">
        <f t="shared" si="0"/>
        <v>D/120/36/W/AAAA/0DTY圆机丝PBT120/3618.1</v>
      </c>
      <c r="C31" s="267" t="s">
        <v>467</v>
      </c>
      <c r="D31" s="267" t="s">
        <v>285</v>
      </c>
      <c r="E31" s="267" t="str">
        <f>VLOOKUP(A31,原丝import!A:E,4,FALSE)</f>
        <v>63</v>
      </c>
      <c r="F31" s="267" t="str">
        <f>VLOOKUP(A31,原丝import!A:E,5,FALSE)</f>
        <v>2</v>
      </c>
      <c r="G31" s="267" t="s">
        <v>612</v>
      </c>
      <c r="H31" s="267" t="s">
        <v>612</v>
      </c>
      <c r="I31" s="267" t="s">
        <v>485</v>
      </c>
      <c r="J31" s="267" t="s">
        <v>2</v>
      </c>
      <c r="K31" s="267" t="s">
        <v>464</v>
      </c>
      <c r="L31" s="380" t="s">
        <v>399</v>
      </c>
      <c r="M31" s="267" t="s">
        <v>484</v>
      </c>
      <c r="N31" s="267" t="s">
        <v>483</v>
      </c>
      <c r="O31" s="267" t="s">
        <v>282</v>
      </c>
      <c r="P31" s="267" t="s">
        <v>465</v>
      </c>
      <c r="Q31" s="267" t="s">
        <v>473</v>
      </c>
      <c r="R31" s="267" t="s">
        <v>486</v>
      </c>
      <c r="S31" s="267" t="s">
        <v>399</v>
      </c>
      <c r="T31" s="269">
        <f ca="1">SUMIFS(加弹汇总表!I:I,加弹汇总表!E:E,inventory!B31,加弹汇总表!F:F,inventory!J31,加弹汇总表!B:B,inventory!M31)</f>
        <v>0</v>
      </c>
      <c r="U31" s="269">
        <f>IF(P31="喷水领用",SUMIFS(ps!L:L,ps!J:J,LEFT(B31,FIND("网",B31)-1),ps!F:F,J31,ps!$I:$I,喷水汇总表!$T$4)+SUMIFS(ps!$M:$M,ps!$K:$K,LEFT(B31,FIND("网",B31)-1),ps!$F:$F,J31,ps!$I:$I,喷水汇总表!$T$4),SUMIFS(小圆机汇总表!$J$15:$J$60,小圆机汇总表!$C$15:$C$60,inventory!B31,小圆机汇总表!$E$15:$E$60,inventory!J31))</f>
        <v>0</v>
      </c>
    </row>
    <row r="32" spans="1:21" s="27" customFormat="1" outlineLevel="1">
      <c r="A32" s="27" t="str">
        <f t="shared" si="0"/>
        <v>D/130/48/W/AAAA/0DTY圆机丝S21325130/488.26</v>
      </c>
      <c r="B32" s="3">
        <v>75</v>
      </c>
      <c r="C32" s="268" t="s">
        <v>467</v>
      </c>
      <c r="D32" s="268" t="s">
        <v>285</v>
      </c>
      <c r="E32" s="268" t="str">
        <f>VLOOKUP(A32,原丝import!A:E,4,FALSE)</f>
        <v>5036</v>
      </c>
      <c r="F32" s="268" t="str">
        <f>VLOOKUP(A32,原丝import!A:E,5,FALSE)</f>
        <v>248.5</v>
      </c>
      <c r="G32" s="268" t="s">
        <v>612</v>
      </c>
      <c r="H32" s="268" t="s">
        <v>612</v>
      </c>
      <c r="I32" s="268" t="s">
        <v>385</v>
      </c>
      <c r="J32" s="268" t="s">
        <v>2</v>
      </c>
      <c r="K32" s="268" t="s">
        <v>464</v>
      </c>
      <c r="L32" s="383" t="s">
        <v>158</v>
      </c>
      <c r="M32" s="268" t="s">
        <v>384</v>
      </c>
      <c r="N32" s="268" t="s">
        <v>381</v>
      </c>
      <c r="O32" s="268" t="s">
        <v>387</v>
      </c>
      <c r="P32" s="268" t="s">
        <v>465</v>
      </c>
      <c r="Q32" s="268" t="s">
        <v>487</v>
      </c>
      <c r="R32" s="268" t="s">
        <v>2310</v>
      </c>
      <c r="S32" s="268" t="s">
        <v>488</v>
      </c>
      <c r="T32" s="269">
        <f ca="1">SUMIFS(加弹汇总表!I:I,加弹汇总表!E:E,inventory!B32,加弹汇总表!F:F,inventory!J32,加弹汇总表!B:B,inventory!M32)</f>
        <v>1066.7</v>
      </c>
      <c r="U32" s="269">
        <f ca="1">IF(P32="喷水领用",SUMIFS(ps!L:L,ps!J:J,LEFT(B32,FIND("网",B32)-1),ps!F:F,J32,ps!$I:$I,喷水汇总表!$T$4)+SUMIFS(ps!$M:$M,ps!$K:$K,LEFT(B32,FIND("网",B32)-1),ps!$F:$F,J32,ps!$I:$I,喷水汇总表!$T$4),SUMIFS(小圆机汇总表!$J$15:$J$60,小圆机汇总表!$C$15:$C$60,inventory!B32,小圆机汇总表!$E$15:$E$60,inventory!J32))</f>
        <v>1182.2</v>
      </c>
    </row>
    <row r="33" spans="1:21" s="27" customFormat="1" outlineLevel="1">
      <c r="A33" s="27" t="str">
        <f t="shared" si="0"/>
        <v>DTY圆机丝S21325130/488.56</v>
      </c>
      <c r="B33" s="3">
        <v>75</v>
      </c>
      <c r="C33" s="268" t="s">
        <v>467</v>
      </c>
      <c r="D33" s="268" t="s">
        <v>285</v>
      </c>
      <c r="E33" s="268" t="e">
        <f>VLOOKUP(A33,原丝import!A:E,4,FALSE)</f>
        <v>#N/A</v>
      </c>
      <c r="F33" s="268" t="e">
        <f>VLOOKUP(A33,原丝import!A:E,5,FALSE)</f>
        <v>#N/A</v>
      </c>
      <c r="G33" s="268" t="s">
        <v>612</v>
      </c>
      <c r="H33" s="268" t="s">
        <v>612</v>
      </c>
      <c r="I33" s="268" t="s">
        <v>399</v>
      </c>
      <c r="J33" s="268" t="s">
        <v>1603</v>
      </c>
      <c r="K33" s="268" t="s">
        <v>464</v>
      </c>
      <c r="L33" s="383" t="s">
        <v>158</v>
      </c>
      <c r="M33" s="268" t="s">
        <v>384</v>
      </c>
      <c r="N33" s="268" t="s">
        <v>381</v>
      </c>
      <c r="O33" s="268" t="s">
        <v>287</v>
      </c>
      <c r="P33" s="268" t="s">
        <v>465</v>
      </c>
      <c r="Q33" s="268" t="s">
        <v>489</v>
      </c>
      <c r="R33" s="268" t="s">
        <v>2311</v>
      </c>
      <c r="S33" s="268" t="s">
        <v>490</v>
      </c>
      <c r="T33" s="269">
        <f ca="1">SUMIFS(加弹汇总表!I:I,加弹汇总表!E:E,inventory!B33,加弹汇总表!F:F,inventory!J33,加弹汇总表!B:B,inventory!M33)</f>
        <v>0</v>
      </c>
      <c r="U33" s="269">
        <f ca="1">IF(P33="喷水领用",SUMIFS(ps!L:L,ps!J:J,LEFT(B33,FIND("网",B33)-1),ps!F:F,J33,ps!$I:$I,喷水汇总表!$T$4)+SUMIFS(ps!$M:$M,ps!$K:$K,LEFT(B33,FIND("网",B33)-1),ps!$F:$F,J33,ps!$I:$I,喷水汇总表!$T$4),SUMIFS(小圆机汇总表!$J$15:$J$60,小圆机汇总表!$C$15:$C$60,inventory!B33,小圆机汇总表!$E$15:$E$60,inventory!J33))</f>
        <v>706.5</v>
      </c>
    </row>
    <row r="34" spans="1:21" s="27" customFormat="1" outlineLevel="1">
      <c r="A34" s="27" t="str">
        <f t="shared" si="0"/>
        <v>D/130/48/W/AAAA/0DTY圆机丝S21325130/4811.05</v>
      </c>
      <c r="B34" s="3">
        <v>75</v>
      </c>
      <c r="C34" s="373" t="s">
        <v>467</v>
      </c>
      <c r="D34" s="373" t="s">
        <v>285</v>
      </c>
      <c r="E34" s="268" t="str">
        <f>VLOOKUP(A34,原丝import!A:E,4,FALSE)</f>
        <v>580</v>
      </c>
      <c r="F34" s="268" t="str">
        <f>VLOOKUP(A34,原丝import!A:E,5,FALSE)</f>
        <v>19.5</v>
      </c>
      <c r="G34" s="373" t="s">
        <v>612</v>
      </c>
      <c r="H34" s="373" t="s">
        <v>612</v>
      </c>
      <c r="I34" s="373" t="s">
        <v>385</v>
      </c>
      <c r="J34" s="373" t="s">
        <v>3124</v>
      </c>
      <c r="K34" s="373" t="s">
        <v>464</v>
      </c>
      <c r="L34" s="384" t="s">
        <v>158</v>
      </c>
      <c r="M34" s="373" t="s">
        <v>384</v>
      </c>
      <c r="N34" s="373" t="s">
        <v>381</v>
      </c>
      <c r="O34" s="373" t="s">
        <v>387</v>
      </c>
      <c r="P34" s="373" t="s">
        <v>465</v>
      </c>
      <c r="Q34" s="373" t="s">
        <v>3004</v>
      </c>
      <c r="R34" s="373" t="s">
        <v>3005</v>
      </c>
      <c r="S34" s="373" t="s">
        <v>3006</v>
      </c>
      <c r="T34" s="269">
        <f ca="1">SUMIFS(加弹汇总表!I:I,加弹汇总表!E:E,inventory!B34,加弹汇总表!F:F,inventory!J34,加弹汇总表!B:B,inventory!M34)</f>
        <v>0</v>
      </c>
      <c r="U34" s="269">
        <f ca="1">IF(P34="喷水领用",SUMIFS(ps!L:L,ps!J:J,LEFT(B34,FIND("网",B34)-1),ps!F:F,J34,ps!$I:$I,喷水汇总表!$T$4)+SUMIFS(ps!$M:$M,ps!$K:$K,LEFT(B34,FIND("网",B34)-1),ps!$F:$F,J34,ps!$I:$I,喷水汇总表!$T$4),SUMIFS(小圆机汇总表!$J$15:$J$60,小圆机汇总表!$C$15:$C$60,inventory!B34,小圆机汇总表!$E$15:$E$60,inventory!J34))</f>
        <v>706.5</v>
      </c>
    </row>
    <row r="35" spans="1:21" outlineLevel="1">
      <c r="A35" s="74" t="str">
        <f t="shared" si="0"/>
        <v>D/130/48/W/AAAA/0DTY圆机丝32115130/487.35</v>
      </c>
      <c r="C35" s="267" t="s">
        <v>467</v>
      </c>
      <c r="D35" s="267" t="s">
        <v>285</v>
      </c>
      <c r="E35" s="268" t="str">
        <f>VLOOKUP(A35,原丝import!A:E,4,FALSE)</f>
        <v>334.7</v>
      </c>
      <c r="F35" s="268" t="str">
        <f>VLOOKUP(A35,原丝import!A:E,5,FALSE)</f>
        <v>12</v>
      </c>
      <c r="G35" s="267" t="s">
        <v>612</v>
      </c>
      <c r="H35" s="267" t="s">
        <v>612</v>
      </c>
      <c r="I35" s="267" t="s">
        <v>385</v>
      </c>
      <c r="J35" s="267" t="s">
        <v>2</v>
      </c>
      <c r="K35" s="267" t="s">
        <v>464</v>
      </c>
      <c r="L35" s="380" t="s">
        <v>399</v>
      </c>
      <c r="M35" s="267" t="s">
        <v>919</v>
      </c>
      <c r="N35" s="267" t="s">
        <v>381</v>
      </c>
      <c r="O35" s="267" t="s">
        <v>387</v>
      </c>
      <c r="P35" s="267" t="s">
        <v>465</v>
      </c>
      <c r="Q35" s="267" t="s">
        <v>491</v>
      </c>
      <c r="R35" s="267" t="s">
        <v>492</v>
      </c>
      <c r="S35" s="267" t="s">
        <v>475</v>
      </c>
      <c r="T35" s="269">
        <f ca="1">SUMIFS(加弹汇总表!I:I,加弹汇总表!E:E,inventory!B35,加弹汇总表!F:F,inventory!J35,加弹汇总表!B:B,inventory!M35)</f>
        <v>0</v>
      </c>
      <c r="U35" s="269">
        <f>IF(P35="喷水领用",SUMIFS(ps!L:L,ps!J:J,LEFT(B35,FIND("网",B35)-1),ps!F:F,J35,ps!$I:$I,喷水汇总表!$T$4)+SUMIFS(ps!$M:$M,ps!$K:$K,LEFT(B35,FIND("网",B35)-1),ps!$F:$F,J35,ps!$I:$I,喷水汇总表!$T$4),SUMIFS(小圆机汇总表!$J$15:$J$60,小圆机汇总表!$C$15:$C$60,inventory!B35,小圆机汇总表!$E$15:$E$60,inventory!J35))</f>
        <v>0</v>
      </c>
    </row>
    <row r="36" spans="1:21" s="27" customFormat="1" outlineLevel="1">
      <c r="A36" s="27" t="str">
        <f t="shared" si="0"/>
        <v>D/130/48/W/AAAA/0DTY圆机丝32115130/4810.52</v>
      </c>
      <c r="B36" s="3">
        <v>75</v>
      </c>
      <c r="C36" s="268" t="s">
        <v>467</v>
      </c>
      <c r="D36" s="268" t="s">
        <v>285</v>
      </c>
      <c r="E36" s="268" t="str">
        <f>VLOOKUP(A36,原丝import!A:E,4,FALSE)</f>
        <v>54.7</v>
      </c>
      <c r="F36" s="268" t="str">
        <f>VLOOKUP(A36,原丝import!A:E,5,FALSE)</f>
        <v>2</v>
      </c>
      <c r="G36" s="268" t="s">
        <v>612</v>
      </c>
      <c r="H36" s="268" t="s">
        <v>612</v>
      </c>
      <c r="I36" s="268" t="s">
        <v>385</v>
      </c>
      <c r="J36" s="268" t="s">
        <v>2</v>
      </c>
      <c r="K36" s="268" t="s">
        <v>464</v>
      </c>
      <c r="L36" s="383" t="s">
        <v>146</v>
      </c>
      <c r="M36" s="268" t="s">
        <v>919</v>
      </c>
      <c r="N36" s="268" t="s">
        <v>381</v>
      </c>
      <c r="O36" s="268" t="s">
        <v>387</v>
      </c>
      <c r="P36" s="268" t="s">
        <v>465</v>
      </c>
      <c r="Q36" s="268" t="s">
        <v>493</v>
      </c>
      <c r="R36" s="268" t="s">
        <v>494</v>
      </c>
      <c r="S36" s="268" t="s">
        <v>588</v>
      </c>
      <c r="T36" s="269">
        <f ca="1">SUMIFS(加弹汇总表!I:I,加弹汇总表!E:E,inventory!B36,加弹汇总表!F:F,inventory!J36,加弹汇总表!B:B,inventory!M36)</f>
        <v>0</v>
      </c>
      <c r="U36" s="269">
        <f ca="1">IF(P36="喷水领用",SUMIFS(ps!L:L,ps!J:J,LEFT(B36,FIND("网",B36)-1),ps!F:F,J36,ps!$I:$I,喷水汇总表!$T$4)+SUMIFS(ps!$M:$M,ps!$K:$K,LEFT(B36,FIND("网",B36)-1),ps!$F:$F,J36,ps!$I:$I,喷水汇总表!$T$4),SUMIFS(小圆机汇总表!$J$15:$J$60,小圆机汇总表!$C$15:$C$60,inventory!B36,小圆机汇总表!$E$15:$E$60,inventory!J36))</f>
        <v>1182.2</v>
      </c>
    </row>
    <row r="37" spans="1:21" s="27" customFormat="1" outlineLevel="1">
      <c r="A37" s="27" t="str">
        <f t="shared" ref="A37:A64" si="1">I37&amp;K37&amp;M37&amp;N37&amp;Q37</f>
        <v>D/132/48/B/AAAA/0DTY圆机丝84132132/489.0</v>
      </c>
      <c r="B37" s="3">
        <v>75</v>
      </c>
      <c r="C37" s="268" t="s">
        <v>467</v>
      </c>
      <c r="D37" s="268" t="s">
        <v>285</v>
      </c>
      <c r="E37" s="268" t="str">
        <f>VLOOKUP(A37,原丝import!A:E,4,FALSE)</f>
        <v>5155.52</v>
      </c>
      <c r="F37" s="268" t="str">
        <f>VLOOKUP(A37,原丝import!A:E,5,FALSE)</f>
        <v>166</v>
      </c>
      <c r="G37" s="268" t="s">
        <v>612</v>
      </c>
      <c r="H37" s="268" t="s">
        <v>612</v>
      </c>
      <c r="I37" s="268" t="s">
        <v>392</v>
      </c>
      <c r="J37" s="268" t="s">
        <v>1727</v>
      </c>
      <c r="K37" s="268" t="s">
        <v>464</v>
      </c>
      <c r="L37" s="383" t="s">
        <v>136</v>
      </c>
      <c r="M37" s="268" t="s">
        <v>921</v>
      </c>
      <c r="N37" s="268" t="s">
        <v>391</v>
      </c>
      <c r="O37" s="268" t="s">
        <v>387</v>
      </c>
      <c r="P37" s="268" t="s">
        <v>465</v>
      </c>
      <c r="Q37" s="268" t="s">
        <v>496</v>
      </c>
      <c r="R37" s="268" t="s">
        <v>958</v>
      </c>
      <c r="S37" s="268" t="s">
        <v>497</v>
      </c>
      <c r="T37" s="269">
        <f ca="1">SUMIFS(加弹汇总表!I:I,加弹汇总表!E:E,inventory!B37,加弹汇总表!F:F,inventory!J37,加弹汇总表!B:B,inventory!M37)</f>
        <v>0</v>
      </c>
      <c r="U37" s="269">
        <f ca="1">IF(P37="喷水领用",SUMIFS(ps!L:L,ps!J:J,LEFT(B37,FIND("网",B37)-1),ps!F:F,J37,ps!$I:$I,喷水汇总表!$T$4)+SUMIFS(ps!$M:$M,ps!$K:$K,LEFT(B37,FIND("网",B37)-1),ps!$F:$F,J37,ps!$I:$I,喷水汇总表!$T$4),SUMIFS(小圆机汇总表!$J$15:$J$60,小圆机汇总表!$C$15:$C$60,inventory!B37,小圆机汇总表!$E$15:$E$60,inventory!J37))</f>
        <v>0</v>
      </c>
    </row>
    <row r="38" spans="1:21" outlineLevel="1">
      <c r="A38" s="74" t="str">
        <f t="shared" si="1"/>
        <v>D/140/48/B/AAAADTY圆机丝140/48140/488.97</v>
      </c>
      <c r="C38" s="267" t="s">
        <v>467</v>
      </c>
      <c r="D38" s="267" t="s">
        <v>285</v>
      </c>
      <c r="E38" s="268" t="str">
        <f>VLOOKUP(A38,原丝import!A:E,4,FALSE)</f>
        <v>220</v>
      </c>
      <c r="F38" s="268" t="str">
        <f>VLOOKUP(A38,原丝import!A:E,5,FALSE)</f>
        <v>11</v>
      </c>
      <c r="G38" s="267" t="s">
        <v>612</v>
      </c>
      <c r="H38" s="267" t="s">
        <v>612</v>
      </c>
      <c r="I38" s="267" t="s">
        <v>499</v>
      </c>
      <c r="J38" s="267" t="s">
        <v>1</v>
      </c>
      <c r="K38" s="267" t="s">
        <v>464</v>
      </c>
      <c r="L38" s="380" t="s">
        <v>411</v>
      </c>
      <c r="M38" s="267" t="s">
        <v>498</v>
      </c>
      <c r="N38" s="267" t="s">
        <v>498</v>
      </c>
      <c r="O38" s="267" t="s">
        <v>387</v>
      </c>
      <c r="P38" s="267" t="s">
        <v>465</v>
      </c>
      <c r="Q38" s="267" t="s">
        <v>500</v>
      </c>
      <c r="R38" s="267" t="s">
        <v>501</v>
      </c>
      <c r="S38" s="267" t="s">
        <v>399</v>
      </c>
      <c r="T38" s="269">
        <f ca="1">SUMIFS(加弹汇总表!I:I,加弹汇总表!E:E,inventory!B38,加弹汇总表!F:F,inventory!J38,加弹汇总表!B:B,inventory!M38)</f>
        <v>0</v>
      </c>
      <c r="U38" s="269">
        <f>IF(P38="喷水领用",SUMIFS(ps!L:L,ps!J:J,LEFT(B38,FIND("网",B38)-1),ps!F:F,J38,ps!$I:$I,喷水汇总表!$T$4)+SUMIFS(ps!$M:$M,ps!$K:$K,LEFT(B38,FIND("网",B38)-1),ps!$F:$F,J38,ps!$I:$I,喷水汇总表!$T$4),SUMIFS(小圆机汇总表!$J$15:$J$60,小圆机汇总表!$C$15:$C$60,inventory!B38,小圆机汇总表!$E$15:$E$60,inventory!J38))</f>
        <v>0</v>
      </c>
    </row>
    <row r="39" spans="1:21" s="27" customFormat="1" outlineLevel="1">
      <c r="A39" s="27" t="str">
        <f t="shared" si="1"/>
        <v>D/172/48/W/AAAA/0DTY圆机丝73003172/487.51</v>
      </c>
      <c r="B39" s="3">
        <v>100</v>
      </c>
      <c r="C39" s="268" t="s">
        <v>467</v>
      </c>
      <c r="D39" s="268" t="s">
        <v>285</v>
      </c>
      <c r="E39" s="268" t="str">
        <f>VLOOKUP(A39,原丝import!A:E,4,FALSE)</f>
        <v>2768</v>
      </c>
      <c r="F39" s="268" t="str">
        <f>VLOOKUP(A39,原丝import!A:E,5,FALSE)</f>
        <v>89.5</v>
      </c>
      <c r="G39" s="268" t="s">
        <v>612</v>
      </c>
      <c r="H39" s="268" t="s">
        <v>612</v>
      </c>
      <c r="I39" s="268" t="s">
        <v>502</v>
      </c>
      <c r="J39" s="268" t="s">
        <v>2</v>
      </c>
      <c r="K39" s="268" t="s">
        <v>464</v>
      </c>
      <c r="L39" s="383" t="s">
        <v>146</v>
      </c>
      <c r="M39" s="268" t="s">
        <v>925</v>
      </c>
      <c r="N39" s="268" t="s">
        <v>404</v>
      </c>
      <c r="O39" s="268" t="s">
        <v>387</v>
      </c>
      <c r="P39" s="268" t="s">
        <v>465</v>
      </c>
      <c r="Q39" s="268" t="s">
        <v>503</v>
      </c>
      <c r="R39" s="268" t="s">
        <v>1194</v>
      </c>
      <c r="S39" s="268" t="s">
        <v>504</v>
      </c>
      <c r="T39" s="269">
        <f ca="1">SUMIFS(加弹汇总表!I:I,加弹汇总表!E:E,inventory!B39,加弹汇总表!F:F,inventory!J39,加弹汇总表!B:B,inventory!M39)</f>
        <v>0</v>
      </c>
      <c r="U39" s="269">
        <f ca="1">IF(P39="喷水领用",SUMIFS(ps!L:L,ps!J:J,LEFT(B39,FIND("网",B39)-1),ps!F:F,J39,ps!$I:$I,喷水汇总表!$T$4)+SUMIFS(ps!$M:$M,ps!$K:$K,LEFT(B39,FIND("网",B39)-1),ps!$F:$F,J39,ps!$I:$I,喷水汇总表!$T$4),SUMIFS(小圆机汇总表!$J$15:$J$60,小圆机汇总表!$C$15:$C$60,inventory!B39,小圆机汇总表!$E$15:$E$60,inventory!J39))</f>
        <v>0</v>
      </c>
    </row>
    <row r="40" spans="1:21" outlineLevel="1">
      <c r="A40" s="74" t="str">
        <f t="shared" si="1"/>
        <v>DTY圆机丝200820/2433.0</v>
      </c>
      <c r="C40" s="267" t="s">
        <v>467</v>
      </c>
      <c r="D40" s="267" t="s">
        <v>285</v>
      </c>
      <c r="E40" s="267" t="str">
        <f>VLOOKUP(A40,原丝import!A:E,4,FALSE)</f>
        <v>1534.13</v>
      </c>
      <c r="F40" s="267" t="str">
        <f>VLOOKUP(A40,原丝import!A:E,5,FALSE)</f>
        <v>66</v>
      </c>
      <c r="G40" s="267" t="s">
        <v>612</v>
      </c>
      <c r="H40" s="267" t="s">
        <v>612</v>
      </c>
      <c r="I40" s="267" t="s">
        <v>399</v>
      </c>
      <c r="J40" s="267" t="s">
        <v>2</v>
      </c>
      <c r="K40" s="267" t="s">
        <v>464</v>
      </c>
      <c r="L40" s="380" t="s">
        <v>138</v>
      </c>
      <c r="M40" s="267" t="s">
        <v>927</v>
      </c>
      <c r="N40" s="267" t="s">
        <v>505</v>
      </c>
      <c r="O40" s="267" t="s">
        <v>387</v>
      </c>
      <c r="P40" s="267" t="s">
        <v>465</v>
      </c>
      <c r="Q40" s="267" t="s">
        <v>506</v>
      </c>
      <c r="R40" s="267" t="s">
        <v>507</v>
      </c>
      <c r="S40" s="267" t="s">
        <v>399</v>
      </c>
      <c r="T40" s="269">
        <f ca="1">SUMIFS(加弹汇总表!I:I,加弹汇总表!E:E,inventory!B40,加弹汇总表!F:F,inventory!J40,加弹汇总表!B:B,inventory!M40)</f>
        <v>0</v>
      </c>
      <c r="U40" s="269">
        <f>IF(P40="喷水领用",SUMIFS(ps!L:L,ps!J:J,LEFT(B40,FIND("网",B40)-1),ps!F:F,J40,ps!$I:$I,喷水汇总表!$T$4)+SUMIFS(ps!$M:$M,ps!$K:$K,LEFT(B40,FIND("网",B40)-1),ps!$F:$F,J40,ps!$I:$I,喷水汇总表!$T$4),SUMIFS(小圆机汇总表!$J$15:$J$60,小圆机汇总表!$C$15:$C$60,inventory!B40,小圆机汇总表!$E$15:$E$60,inventory!J40))</f>
        <v>0</v>
      </c>
    </row>
    <row r="41" spans="1:21" outlineLevel="1">
      <c r="A41" s="74" t="str">
        <f t="shared" si="1"/>
        <v>D/20/24/W/AAAAA/0DTY圆机丝200320/2430.17</v>
      </c>
      <c r="C41" s="267" t="s">
        <v>467</v>
      </c>
      <c r="D41" s="267" t="s">
        <v>285</v>
      </c>
      <c r="E41" s="267" t="str">
        <f>VLOOKUP(A41,原丝import!A:E,4,FALSE)</f>
        <v>3271</v>
      </c>
      <c r="F41" s="267" t="str">
        <f>VLOOKUP(A41,原丝import!A:E,5,FALSE)</f>
        <v>134</v>
      </c>
      <c r="G41" s="267" t="s">
        <v>612</v>
      </c>
      <c r="H41" s="267" t="s">
        <v>612</v>
      </c>
      <c r="I41" s="267" t="s">
        <v>508</v>
      </c>
      <c r="J41" s="267" t="s">
        <v>2</v>
      </c>
      <c r="K41" s="267" t="s">
        <v>464</v>
      </c>
      <c r="L41" s="380" t="s">
        <v>138</v>
      </c>
      <c r="M41" s="267" t="s">
        <v>930</v>
      </c>
      <c r="N41" s="267" t="s">
        <v>505</v>
      </c>
      <c r="O41" s="267" t="s">
        <v>387</v>
      </c>
      <c r="P41" s="267" t="s">
        <v>465</v>
      </c>
      <c r="Q41" s="267" t="s">
        <v>509</v>
      </c>
      <c r="R41" s="267" t="s">
        <v>510</v>
      </c>
      <c r="S41" s="267" t="s">
        <v>399</v>
      </c>
      <c r="T41" s="269">
        <f ca="1">SUMIFS(加弹汇总表!I:I,加弹汇总表!E:E,inventory!B41,加弹汇总表!F:F,inventory!J41,加弹汇总表!B:B,inventory!M41)</f>
        <v>0</v>
      </c>
      <c r="U41" s="269">
        <f>IF(P41="喷水领用",SUMIFS(ps!L:L,ps!J:J,LEFT(B41,FIND("网",B41)-1),ps!F:F,J41,ps!$I:$I,喷水汇总表!$T$4)+SUMIFS(ps!$M:$M,ps!$K:$K,LEFT(B41,FIND("网",B41)-1),ps!$F:$F,J41,ps!$I:$I,喷水汇总表!$T$4),SUMIFS(小圆机汇总表!$J$15:$J$60,小圆机汇总表!$C$15:$C$60,inventory!B41,小圆机汇总表!$E$15:$E$60,inventory!J41))</f>
        <v>0</v>
      </c>
    </row>
    <row r="42" spans="1:21" outlineLevel="1">
      <c r="A42" s="74" t="str">
        <f t="shared" si="1"/>
        <v>D/20/24/W/AAAA/0DTY圆机丝/20/2434.31</v>
      </c>
      <c r="C42" s="267" t="s">
        <v>467</v>
      </c>
      <c r="D42" s="267" t="s">
        <v>285</v>
      </c>
      <c r="E42" s="267" t="str">
        <f>VLOOKUP(A42,原丝import!A:E,4,FALSE)</f>
        <v>485</v>
      </c>
      <c r="F42" s="267" t="str">
        <f>VLOOKUP(A42,原丝import!A:E,5,FALSE)</f>
        <v>14</v>
      </c>
      <c r="G42" s="267" t="s">
        <v>612</v>
      </c>
      <c r="H42" s="267" t="s">
        <v>612</v>
      </c>
      <c r="I42" s="267" t="s">
        <v>512</v>
      </c>
      <c r="J42" s="267" t="s">
        <v>2</v>
      </c>
      <c r="K42" s="267" t="s">
        <v>464</v>
      </c>
      <c r="L42" s="380" t="s">
        <v>158</v>
      </c>
      <c r="M42" s="267" t="s">
        <v>511</v>
      </c>
      <c r="N42" s="267" t="s">
        <v>505</v>
      </c>
      <c r="O42" s="267" t="s">
        <v>282</v>
      </c>
      <c r="P42" s="267" t="s">
        <v>465</v>
      </c>
      <c r="Q42" s="267" t="s">
        <v>513</v>
      </c>
      <c r="R42" s="267" t="s">
        <v>514</v>
      </c>
      <c r="S42" s="267" t="s">
        <v>515</v>
      </c>
      <c r="T42" s="269">
        <f ca="1">SUMIFS(加弹汇总表!I:I,加弹汇总表!E:E,inventory!B42,加弹汇总表!F:F,inventory!J42,加弹汇总表!B:B,inventory!M42)</f>
        <v>0</v>
      </c>
      <c r="U42" s="269">
        <f>IF(P42="喷水领用",SUMIFS(ps!L:L,ps!J:J,LEFT(B42,FIND("网",B42)-1),ps!F:F,J42,ps!$I:$I,喷水汇总表!$T$4)+SUMIFS(ps!$M:$M,ps!$K:$K,LEFT(B42,FIND("网",B42)-1),ps!$F:$F,J42,ps!$I:$I,喷水汇总表!$T$4),SUMIFS(小圆机汇总表!$J$15:$J$60,小圆机汇总表!$C$15:$C$60,inventory!B42,小圆机汇总表!$E$15:$E$60,inventory!J42))</f>
        <v>0</v>
      </c>
    </row>
    <row r="43" spans="1:21" outlineLevel="1">
      <c r="A43" s="74" t="str">
        <f t="shared" si="1"/>
        <v>D/20/24/W/AAAA/0DTY圆机丝200320/2430.17</v>
      </c>
      <c r="C43" s="267" t="s">
        <v>467</v>
      </c>
      <c r="D43" s="267" t="s">
        <v>285</v>
      </c>
      <c r="E43" s="267" t="str">
        <f>VLOOKUP(A43,原丝import!A:E,4,FALSE)</f>
        <v>581.87</v>
      </c>
      <c r="F43" s="267" t="str">
        <f>VLOOKUP(A43,原丝import!A:E,5,FALSE)</f>
        <v>31</v>
      </c>
      <c r="G43" s="267" t="s">
        <v>612</v>
      </c>
      <c r="H43" s="267" t="s">
        <v>612</v>
      </c>
      <c r="I43" s="267" t="s">
        <v>512</v>
      </c>
      <c r="J43" s="267" t="s">
        <v>2</v>
      </c>
      <c r="K43" s="267" t="s">
        <v>464</v>
      </c>
      <c r="L43" s="380" t="s">
        <v>138</v>
      </c>
      <c r="M43" s="267" t="s">
        <v>930</v>
      </c>
      <c r="N43" s="267" t="s">
        <v>505</v>
      </c>
      <c r="O43" s="267" t="s">
        <v>287</v>
      </c>
      <c r="P43" s="267" t="s">
        <v>465</v>
      </c>
      <c r="Q43" s="267" t="s">
        <v>509</v>
      </c>
      <c r="R43" s="267" t="s">
        <v>516</v>
      </c>
      <c r="S43" s="267" t="s">
        <v>399</v>
      </c>
      <c r="T43" s="269">
        <f ca="1">SUMIFS(加弹汇总表!I:I,加弹汇总表!E:E,inventory!B43,加弹汇总表!F:F,inventory!J43,加弹汇总表!B:B,inventory!M43)</f>
        <v>0</v>
      </c>
      <c r="U43" s="269">
        <f>IF(P43="喷水领用",SUMIFS(ps!L:L,ps!J:J,LEFT(B43,FIND("网",B43)-1),ps!F:F,J43,ps!$I:$I,喷水汇总表!$T$4)+SUMIFS(ps!$M:$M,ps!$K:$K,LEFT(B43,FIND("网",B43)-1),ps!$F:$F,J43,ps!$I:$I,喷水汇总表!$T$4),SUMIFS(小圆机汇总表!$J$15:$J$60,小圆机汇总表!$C$15:$C$60,inventory!B43,小圆机汇总表!$E$15:$E$60,inventory!J43))</f>
        <v>0</v>
      </c>
    </row>
    <row r="44" spans="1:21" outlineLevel="1">
      <c r="A44" s="74" t="str">
        <f t="shared" si="1"/>
        <v>D/20/24/W/AAA/0DTY圆机丝200820/2428.02</v>
      </c>
      <c r="C44" s="267" t="s">
        <v>467</v>
      </c>
      <c r="D44" s="267" t="s">
        <v>285</v>
      </c>
      <c r="E44" s="267" t="str">
        <f>VLOOKUP(A44,原丝import!A:E,4,FALSE)</f>
        <v>210.88</v>
      </c>
      <c r="F44" s="267" t="str">
        <f>VLOOKUP(A44,原丝import!A:E,5,FALSE)</f>
        <v>10</v>
      </c>
      <c r="G44" s="267" t="s">
        <v>612</v>
      </c>
      <c r="H44" s="267" t="s">
        <v>612</v>
      </c>
      <c r="I44" s="267" t="s">
        <v>517</v>
      </c>
      <c r="J44" s="267" t="s">
        <v>2</v>
      </c>
      <c r="K44" s="267" t="s">
        <v>464</v>
      </c>
      <c r="L44" s="380" t="s">
        <v>138</v>
      </c>
      <c r="M44" s="267" t="s">
        <v>927</v>
      </c>
      <c r="N44" s="267" t="s">
        <v>505</v>
      </c>
      <c r="O44" s="267" t="s">
        <v>282</v>
      </c>
      <c r="P44" s="267" t="s">
        <v>465</v>
      </c>
      <c r="Q44" s="267" t="s">
        <v>518</v>
      </c>
      <c r="R44" s="267" t="s">
        <v>519</v>
      </c>
      <c r="S44" s="267" t="s">
        <v>520</v>
      </c>
      <c r="T44" s="269">
        <f ca="1">SUMIFS(加弹汇总表!I:I,加弹汇总表!E:E,inventory!B44,加弹汇总表!F:F,inventory!J44,加弹汇总表!B:B,inventory!M44)</f>
        <v>0</v>
      </c>
      <c r="U44" s="269">
        <f>IF(P44="喷水领用",SUMIFS(ps!L:L,ps!J:J,LEFT(B44,FIND("网",B44)-1),ps!F:F,J44,ps!$I:$I,喷水汇总表!$T$4)+SUMIFS(ps!$M:$M,ps!$K:$K,LEFT(B44,FIND("网",B44)-1),ps!$F:$F,J44,ps!$I:$I,喷水汇总表!$T$4),SUMIFS(小圆机汇总表!$J$15:$J$60,小圆机汇总表!$C$15:$C$60,inventory!B44,小圆机汇总表!$E$15:$E$60,inventory!J44))</f>
        <v>0</v>
      </c>
    </row>
    <row r="45" spans="1:21" outlineLevel="1">
      <c r="A45" s="74" t="str">
        <f t="shared" si="1"/>
        <v>D/200/96/B/AAAA/0DTY圆机丝D15200200/9610.27</v>
      </c>
      <c r="C45" s="267" t="s">
        <v>467</v>
      </c>
      <c r="D45" s="267" t="s">
        <v>285</v>
      </c>
      <c r="E45" s="267" t="str">
        <f>VLOOKUP(A45,原丝import!A:E,4,FALSE)</f>
        <v>496</v>
      </c>
      <c r="F45" s="267" t="str">
        <f>VLOOKUP(A45,原丝import!A:E,5,FALSE)</f>
        <v>16</v>
      </c>
      <c r="G45" s="267" t="s">
        <v>612</v>
      </c>
      <c r="H45" s="267" t="s">
        <v>612</v>
      </c>
      <c r="I45" s="267" t="s">
        <v>523</v>
      </c>
      <c r="J45" s="267" t="s">
        <v>1</v>
      </c>
      <c r="K45" s="267" t="s">
        <v>464</v>
      </c>
      <c r="L45" s="380" t="s">
        <v>524</v>
      </c>
      <c r="M45" s="267" t="s">
        <v>522</v>
      </c>
      <c r="N45" s="267" t="s">
        <v>521</v>
      </c>
      <c r="O45" s="267" t="s">
        <v>387</v>
      </c>
      <c r="P45" s="267" t="s">
        <v>465</v>
      </c>
      <c r="Q45" s="267" t="s">
        <v>525</v>
      </c>
      <c r="R45" s="267" t="s">
        <v>526</v>
      </c>
      <c r="S45" s="267" t="s">
        <v>399</v>
      </c>
      <c r="T45" s="269">
        <f ca="1">SUMIFS(加弹汇总表!I:I,加弹汇总表!E:E,inventory!B45,加弹汇总表!F:F,inventory!J45,加弹汇总表!B:B,inventory!M45)</f>
        <v>0</v>
      </c>
      <c r="U45" s="269">
        <f>IF(P45="喷水领用",SUMIFS(ps!L:L,ps!J:J,LEFT(B45,FIND("网",B45)-1),ps!F:F,J45,ps!$I:$I,喷水汇总表!$T$4)+SUMIFS(ps!$M:$M,ps!$K:$K,LEFT(B45,FIND("网",B45)-1),ps!$F:$F,J45,ps!$I:$I,喷水汇总表!$T$4),SUMIFS(小圆机汇总表!$J$15:$J$60,小圆机汇总表!$C$15:$C$60,inventory!B45,小圆机汇总表!$E$15:$E$60,inventory!J45))</f>
        <v>0</v>
      </c>
    </row>
    <row r="46" spans="1:21" outlineLevel="1">
      <c r="A46" s="74" t="str">
        <f t="shared" si="1"/>
        <v>DTY圆机丝T/R21支16.81</v>
      </c>
      <c r="C46" s="267" t="s">
        <v>467</v>
      </c>
      <c r="D46" s="267" t="s">
        <v>285</v>
      </c>
      <c r="E46" s="267" t="str">
        <f>VLOOKUP(A46,原丝import!A:E,4,FALSE)</f>
        <v>115</v>
      </c>
      <c r="F46" s="267" t="str">
        <f>VLOOKUP(A46,原丝import!A:E,5,FALSE)</f>
        <v>6</v>
      </c>
      <c r="G46" s="267" t="s">
        <v>612</v>
      </c>
      <c r="H46" s="267" t="s">
        <v>612</v>
      </c>
      <c r="I46" s="267" t="s">
        <v>399</v>
      </c>
      <c r="J46" s="267" t="s">
        <v>527</v>
      </c>
      <c r="K46" s="267" t="s">
        <v>464</v>
      </c>
      <c r="L46" s="380" t="s">
        <v>399</v>
      </c>
      <c r="M46" s="267" t="s">
        <v>529</v>
      </c>
      <c r="N46" s="267" t="s">
        <v>528</v>
      </c>
      <c r="O46" s="267" t="s">
        <v>287</v>
      </c>
      <c r="P46" s="267" t="s">
        <v>465</v>
      </c>
      <c r="Q46" s="267" t="s">
        <v>530</v>
      </c>
      <c r="R46" s="267" t="s">
        <v>531</v>
      </c>
      <c r="S46" s="267" t="s">
        <v>399</v>
      </c>
      <c r="T46" s="269">
        <f ca="1">SUMIFS(加弹汇总表!I:I,加弹汇总表!E:E,inventory!B46,加弹汇总表!F:F,inventory!J46,加弹汇总表!B:B,inventory!M46)</f>
        <v>0</v>
      </c>
      <c r="U46" s="269">
        <f>IF(P46="喷水领用",SUMIFS(ps!L:L,ps!J:J,LEFT(B46,FIND("网",B46)-1),ps!F:F,J46,ps!$I:$I,喷水汇总表!$T$4)+SUMIFS(ps!$M:$M,ps!$K:$K,LEFT(B46,FIND("网",B46)-1),ps!$F:$F,J46,ps!$I:$I,喷水汇总表!$T$4),SUMIFS(小圆机汇总表!$J$15:$J$60,小圆机汇总表!$C$15:$C$60,inventory!B46,小圆机汇总表!$E$15:$E$60,inventory!J46))</f>
        <v>0</v>
      </c>
    </row>
    <row r="47" spans="1:21" outlineLevel="1">
      <c r="A47" s="74" t="str">
        <f t="shared" si="1"/>
        <v>D/22/24/W/AAAA/0DTY圆机丝2002222/2432.0</v>
      </c>
      <c r="C47" s="267" t="s">
        <v>467</v>
      </c>
      <c r="D47" s="267" t="s">
        <v>285</v>
      </c>
      <c r="E47" s="267" t="str">
        <f>VLOOKUP(A47,原丝import!A:E,4,FALSE)</f>
        <v>337</v>
      </c>
      <c r="F47" s="267" t="str">
        <f>VLOOKUP(A47,原丝import!A:E,5,FALSE)</f>
        <v>12</v>
      </c>
      <c r="G47" s="267" t="s">
        <v>612</v>
      </c>
      <c r="H47" s="267" t="s">
        <v>612</v>
      </c>
      <c r="I47" s="267" t="s">
        <v>415</v>
      </c>
      <c r="J47" s="267" t="s">
        <v>2</v>
      </c>
      <c r="K47" s="267" t="s">
        <v>464</v>
      </c>
      <c r="L47" s="380" t="s">
        <v>156</v>
      </c>
      <c r="M47" s="267" t="s">
        <v>938</v>
      </c>
      <c r="N47" s="267" t="s">
        <v>413</v>
      </c>
      <c r="O47" s="267" t="s">
        <v>387</v>
      </c>
      <c r="P47" s="267" t="s">
        <v>465</v>
      </c>
      <c r="Q47" s="267" t="s">
        <v>532</v>
      </c>
      <c r="R47" s="267" t="s">
        <v>533</v>
      </c>
      <c r="S47" s="267" t="s">
        <v>534</v>
      </c>
      <c r="T47" s="269">
        <f ca="1">SUMIFS(加弹汇总表!I:I,加弹汇总表!E:E,inventory!B47,加弹汇总表!F:F,inventory!J47,加弹汇总表!B:B,inventory!M47)</f>
        <v>0</v>
      </c>
      <c r="U47" s="269">
        <f>IF(P47="喷水领用",SUMIFS(ps!L:L,ps!J:J,LEFT(B47,FIND("网",B47)-1),ps!F:F,J47,ps!$I:$I,喷水汇总表!$T$4)+SUMIFS(ps!$M:$M,ps!$K:$K,LEFT(B47,FIND("网",B47)-1),ps!$F:$F,J47,ps!$I:$I,喷水汇总表!$T$4),SUMIFS(小圆机汇总表!$J$15:$J$60,小圆机汇总表!$C$15:$C$60,inventory!B47,小圆机汇总表!$E$15:$E$60,inventory!J47))</f>
        <v>0</v>
      </c>
    </row>
    <row r="48" spans="1:21" outlineLevel="1">
      <c r="A48" s="74" t="str">
        <f t="shared" si="1"/>
        <v>F/222/96/W/AAAA/0DTY圆机丝IT2059ZC40222/9610.41</v>
      </c>
      <c r="C48" s="267" t="s">
        <v>467</v>
      </c>
      <c r="D48" s="267" t="s">
        <v>285</v>
      </c>
      <c r="E48" s="267" t="str">
        <f>VLOOKUP(A48,原丝import!A:E,4,FALSE)</f>
        <v>415.5</v>
      </c>
      <c r="F48" s="267" t="str">
        <f>VLOOKUP(A48,原丝import!A:E,5,FALSE)</f>
        <v>16</v>
      </c>
      <c r="G48" s="267" t="s">
        <v>612</v>
      </c>
      <c r="H48" s="267" t="s">
        <v>612</v>
      </c>
      <c r="I48" s="267" t="s">
        <v>536</v>
      </c>
      <c r="J48" s="267" t="s">
        <v>2</v>
      </c>
      <c r="K48" s="267" t="s">
        <v>464</v>
      </c>
      <c r="L48" s="380" t="s">
        <v>144</v>
      </c>
      <c r="M48" s="267" t="s">
        <v>535</v>
      </c>
      <c r="N48" s="267" t="s">
        <v>418</v>
      </c>
      <c r="O48" s="267" t="s">
        <v>387</v>
      </c>
      <c r="P48" s="267" t="s">
        <v>465</v>
      </c>
      <c r="Q48" s="267" t="s">
        <v>537</v>
      </c>
      <c r="R48" s="267" t="s">
        <v>538</v>
      </c>
      <c r="S48" s="267" t="s">
        <v>288</v>
      </c>
      <c r="T48" s="269">
        <f ca="1">SUMIFS(加弹汇总表!I:I,加弹汇总表!E:E,inventory!B48,加弹汇总表!F:F,inventory!J48,加弹汇总表!B:B,inventory!M48)</f>
        <v>0</v>
      </c>
      <c r="U48" s="269">
        <f>IF(P48="喷水领用",SUMIFS(ps!L:L,ps!J:J,LEFT(B48,FIND("网",B48)-1),ps!F:F,J48,ps!$I:$I,喷水汇总表!$T$4)+SUMIFS(ps!$M:$M,ps!$K:$K,LEFT(B48,FIND("网",B48)-1),ps!$F:$F,J48,ps!$I:$I,喷水汇总表!$T$4),SUMIFS(小圆机汇总表!$J$15:$J$60,小圆机汇总表!$C$15:$C$60,inventory!B48,小圆机汇总表!$E$15:$E$60,inventory!J48))</f>
        <v>0</v>
      </c>
    </row>
    <row r="49" spans="1:21" outlineLevel="1">
      <c r="A49" s="74" t="str">
        <f t="shared" si="1"/>
        <v>D/275/48/W/AAAA/0DTY圆机丝H278275485275/487.64</v>
      </c>
      <c r="C49" s="267" t="s">
        <v>467</v>
      </c>
      <c r="D49" s="267" t="s">
        <v>285</v>
      </c>
      <c r="E49" s="267" t="str">
        <f>VLOOKUP(A49,原丝import!A:E,4,FALSE)</f>
        <v>114</v>
      </c>
      <c r="F49" s="267" t="str">
        <f>VLOOKUP(A49,原丝import!A:E,5,FALSE)</f>
        <v>8</v>
      </c>
      <c r="G49" s="267" t="s">
        <v>612</v>
      </c>
      <c r="H49" s="267" t="s">
        <v>612</v>
      </c>
      <c r="I49" s="267" t="s">
        <v>541</v>
      </c>
      <c r="J49" s="267" t="s">
        <v>2</v>
      </c>
      <c r="K49" s="267" t="s">
        <v>464</v>
      </c>
      <c r="L49" s="380" t="s">
        <v>411</v>
      </c>
      <c r="M49" s="267" t="s">
        <v>540</v>
      </c>
      <c r="N49" s="267" t="s">
        <v>539</v>
      </c>
      <c r="O49" s="267" t="s">
        <v>387</v>
      </c>
      <c r="P49" s="267" t="s">
        <v>465</v>
      </c>
      <c r="Q49" s="267" t="s">
        <v>542</v>
      </c>
      <c r="R49" s="267" t="s">
        <v>543</v>
      </c>
      <c r="S49" s="267" t="s">
        <v>399</v>
      </c>
      <c r="T49" s="269">
        <f ca="1">SUMIFS(加弹汇总表!I:I,加弹汇总表!E:E,inventory!B49,加弹汇总表!F:F,inventory!J49,加弹汇总表!B:B,inventory!M49)</f>
        <v>0</v>
      </c>
      <c r="U49" s="269">
        <f>IF(P49="喷水领用",SUMIFS(ps!L:L,ps!J:J,LEFT(B49,FIND("网",B49)-1),ps!F:F,J49,ps!$I:$I,喷水汇总表!$T$4)+SUMIFS(ps!$M:$M,ps!$K:$K,LEFT(B49,FIND("网",B49)-1),ps!$F:$F,J49,ps!$I:$I,喷水汇总表!$T$4),SUMIFS(小圆机汇总表!$J$15:$J$60,小圆机汇总表!$C$15:$C$60,inventory!B49,小圆机汇总表!$E$15:$E$60,inventory!J49))</f>
        <v>0</v>
      </c>
    </row>
    <row r="50" spans="1:21" outlineLevel="1">
      <c r="A50" s="74" t="str">
        <f t="shared" si="1"/>
        <v>D/278/96/W/AAAA/0DTY圆机丝1T2529ZC-34278/9610.06</v>
      </c>
      <c r="C50" s="267" t="s">
        <v>467</v>
      </c>
      <c r="D50" s="267" t="s">
        <v>285</v>
      </c>
      <c r="E50" s="267" t="str">
        <f>VLOOKUP(A50,原丝import!A:E,4,FALSE)</f>
        <v>35</v>
      </c>
      <c r="F50" s="267" t="str">
        <f>VLOOKUP(A50,原丝import!A:E,5,FALSE)</f>
        <v>1</v>
      </c>
      <c r="G50" s="267" t="s">
        <v>612</v>
      </c>
      <c r="H50" s="267" t="s">
        <v>612</v>
      </c>
      <c r="I50" s="267" t="s">
        <v>546</v>
      </c>
      <c r="J50" s="267" t="s">
        <v>2</v>
      </c>
      <c r="K50" s="267" t="s">
        <v>464</v>
      </c>
      <c r="L50" s="380" t="s">
        <v>144</v>
      </c>
      <c r="M50" s="267" t="s">
        <v>545</v>
      </c>
      <c r="N50" s="267" t="s">
        <v>544</v>
      </c>
      <c r="O50" s="267" t="s">
        <v>387</v>
      </c>
      <c r="P50" s="267" t="s">
        <v>465</v>
      </c>
      <c r="Q50" s="267" t="s">
        <v>547</v>
      </c>
      <c r="R50" s="267" t="s">
        <v>548</v>
      </c>
      <c r="S50" s="267" t="s">
        <v>481</v>
      </c>
      <c r="T50" s="269">
        <f ca="1">SUMIFS(加弹汇总表!I:I,加弹汇总表!E:E,inventory!B50,加弹汇总表!F:F,inventory!J50,加弹汇总表!B:B,inventory!M50)</f>
        <v>0</v>
      </c>
      <c r="U50" s="269">
        <f>IF(P50="喷水领用",SUMIFS(ps!L:L,ps!J:J,LEFT(B50,FIND("网",B50)-1),ps!F:F,J50,ps!$I:$I,喷水汇总表!$T$4)+SUMIFS(ps!$M:$M,ps!$K:$K,LEFT(B50,FIND("网",B50)-1),ps!$F:$F,J50,ps!$I:$I,喷水汇总表!$T$4),SUMIFS(小圆机汇总表!$J$15:$J$60,小圆机汇总表!$C$15:$C$60,inventory!B50,小圆机汇总表!$E$15:$E$60,inventory!J50))</f>
        <v>0</v>
      </c>
    </row>
    <row r="51" spans="1:21" outlineLevel="1">
      <c r="A51" s="74" t="str">
        <f t="shared" si="1"/>
        <v>DTY圆机丝30240930/2418.6</v>
      </c>
      <c r="C51" s="267" t="s">
        <v>467</v>
      </c>
      <c r="D51" s="267" t="s">
        <v>285</v>
      </c>
      <c r="E51" s="267" t="str">
        <f>VLOOKUP(A51,原丝import!A:E,4,FALSE)</f>
        <v>280</v>
      </c>
      <c r="F51" s="267" t="str">
        <f>VLOOKUP(A51,原丝import!A:E,5,FALSE)</f>
        <v>10</v>
      </c>
      <c r="G51" s="267" t="s">
        <v>612</v>
      </c>
      <c r="H51" s="267" t="s">
        <v>612</v>
      </c>
      <c r="I51" s="267" t="s">
        <v>399</v>
      </c>
      <c r="J51" s="267" t="s">
        <v>2</v>
      </c>
      <c r="K51" s="267" t="s">
        <v>464</v>
      </c>
      <c r="L51" s="380" t="s">
        <v>154</v>
      </c>
      <c r="M51" s="267" t="s">
        <v>943</v>
      </c>
      <c r="N51" s="267" t="s">
        <v>423</v>
      </c>
      <c r="O51" s="267" t="s">
        <v>387</v>
      </c>
      <c r="P51" s="267" t="s">
        <v>465</v>
      </c>
      <c r="Q51" s="267" t="s">
        <v>944</v>
      </c>
      <c r="R51" s="267" t="s">
        <v>1056</v>
      </c>
      <c r="S51" s="267" t="s">
        <v>399</v>
      </c>
      <c r="T51" s="269">
        <f ca="1">SUMIFS(加弹汇总表!I:I,加弹汇总表!E:E,inventory!B51,加弹汇总表!F:F,inventory!J51,加弹汇总表!B:B,inventory!M51)</f>
        <v>0</v>
      </c>
      <c r="U51" s="269">
        <f>IF(P51="喷水领用",SUMIFS(ps!L:L,ps!J:J,LEFT(B51,FIND("网",B51)-1),ps!F:F,J51,ps!$I:$I,喷水汇总表!$T$4)+SUMIFS(ps!$M:$M,ps!$K:$K,LEFT(B51,FIND("网",B51)-1),ps!$F:$F,J51,ps!$I:$I,喷水汇总表!$T$4),SUMIFS(小圆机汇总表!$J$15:$J$60,小圆机汇总表!$C$15:$C$60,inventory!B51,小圆机汇总表!$E$15:$E$60,inventory!J51))</f>
        <v>0</v>
      </c>
    </row>
    <row r="52" spans="1:21" outlineLevel="1">
      <c r="A52" s="74" t="str">
        <f t="shared" si="1"/>
        <v>D/355/96/B/AAAA/0DTY圆机丝H-114355962355/968.81</v>
      </c>
      <c r="C52" s="267" t="s">
        <v>467</v>
      </c>
      <c r="D52" s="267" t="s">
        <v>285</v>
      </c>
      <c r="E52" s="267" t="str">
        <f>VLOOKUP(A52,原丝import!A:E,4,FALSE)</f>
        <v>351</v>
      </c>
      <c r="F52" s="267" t="str">
        <f>VLOOKUP(A52,原丝import!A:E,5,FALSE)</f>
        <v>8</v>
      </c>
      <c r="G52" s="267" t="s">
        <v>612</v>
      </c>
      <c r="H52" s="267" t="s">
        <v>612</v>
      </c>
      <c r="I52" s="267" t="s">
        <v>442</v>
      </c>
      <c r="J52" s="267" t="s">
        <v>2</v>
      </c>
      <c r="K52" s="267" t="s">
        <v>464</v>
      </c>
      <c r="L52" s="380" t="s">
        <v>411</v>
      </c>
      <c r="M52" s="267" t="s">
        <v>549</v>
      </c>
      <c r="N52" s="267" t="s">
        <v>441</v>
      </c>
      <c r="O52" s="267" t="s">
        <v>387</v>
      </c>
      <c r="P52" s="267" t="s">
        <v>465</v>
      </c>
      <c r="Q52" s="267" t="s">
        <v>550</v>
      </c>
      <c r="R52" s="267" t="s">
        <v>551</v>
      </c>
      <c r="S52" s="267" t="s">
        <v>552</v>
      </c>
      <c r="T52" s="269">
        <f ca="1">SUMIFS(加弹汇总表!I:I,加弹汇总表!E:E,inventory!B52,加弹汇总表!F:F,inventory!J52,加弹汇总表!B:B,inventory!M52)</f>
        <v>0</v>
      </c>
      <c r="U52" s="269">
        <f>IF(P52="喷水领用",SUMIFS(ps!L:L,ps!J:J,LEFT(B52,FIND("网",B52)-1),ps!F:F,J52,ps!$I:$I,喷水汇总表!$T$4)+SUMIFS(ps!$M:$M,ps!$K:$K,LEFT(B52,FIND("网",B52)-1),ps!$F:$F,J52,ps!$I:$I,喷水汇总表!$T$4),SUMIFS(小圆机汇总表!$J$15:$J$60,小圆机汇总表!$C$15:$C$60,inventory!B52,小圆机汇总表!$E$15:$E$60,inventory!J52))</f>
        <v>0</v>
      </c>
    </row>
    <row r="53" spans="1:21" s="27" customFormat="1" outlineLevel="1">
      <c r="A53" s="27" t="str">
        <f t="shared" si="1"/>
        <v>DTY圆机丝DE715536-155/3611.2</v>
      </c>
      <c r="B53" s="3">
        <v>30</v>
      </c>
      <c r="C53" s="268" t="s">
        <v>467</v>
      </c>
      <c r="D53" s="268" t="s">
        <v>285</v>
      </c>
      <c r="E53" s="268" t="str">
        <f>VLOOKUP(A53,原丝import!A:E,4,FALSE)</f>
        <v>528</v>
      </c>
      <c r="F53" s="268" t="str">
        <f>VLOOKUP(A53,原丝import!A:E,5,FALSE)</f>
        <v>16</v>
      </c>
      <c r="G53" s="268" t="s">
        <v>612</v>
      </c>
      <c r="H53" s="268" t="s">
        <v>612</v>
      </c>
      <c r="I53" s="268" t="s">
        <v>399</v>
      </c>
      <c r="J53" s="268" t="s">
        <v>2</v>
      </c>
      <c r="K53" s="268" t="s">
        <v>464</v>
      </c>
      <c r="L53" s="383" t="s">
        <v>134</v>
      </c>
      <c r="M53" s="268" t="s">
        <v>554</v>
      </c>
      <c r="N53" s="268" t="s">
        <v>553</v>
      </c>
      <c r="O53" s="268" t="s">
        <v>282</v>
      </c>
      <c r="P53" s="268" t="s">
        <v>465</v>
      </c>
      <c r="Q53" s="268" t="s">
        <v>555</v>
      </c>
      <c r="R53" s="268" t="s">
        <v>556</v>
      </c>
      <c r="S53" s="268" t="s">
        <v>399</v>
      </c>
      <c r="T53" s="269">
        <f ca="1">SUMIFS(加弹汇总表!I:I,加弹汇总表!E:E,inventory!B53,加弹汇总表!F:F,inventory!J53,加弹汇总表!B:B,inventory!M53)</f>
        <v>0</v>
      </c>
      <c r="U53" s="269">
        <f ca="1">IF(P53="喷水领用",SUMIFS(ps!L:L,ps!J:J,LEFT(B53,FIND("网",B53)-1),ps!F:F,J53,ps!$I:$I,喷水汇总表!$T$4)+SUMIFS(ps!$M:$M,ps!$K:$K,LEFT(B53,FIND("网",B53)-1),ps!$F:$F,J53,ps!$I:$I,喷水汇总表!$T$4),SUMIFS(小圆机汇总表!$J$15:$J$60,小圆机汇总表!$C$15:$C$60,inventory!B53,小圆机汇总表!$E$15:$E$60,inventory!J53))</f>
        <v>0</v>
      </c>
    </row>
    <row r="54" spans="1:21" outlineLevel="1">
      <c r="A54" s="74" t="str">
        <f t="shared" si="1"/>
        <v>D/70/24/W/AAAA/0DTY圆机丝DJA702412SZ70/2418.1</v>
      </c>
      <c r="C54" s="267" t="s">
        <v>467</v>
      </c>
      <c r="D54" s="267" t="s">
        <v>285</v>
      </c>
      <c r="E54" s="267" t="str">
        <f>VLOOKUP(A54,原丝import!A:E,4,FALSE)</f>
        <v>45.7</v>
      </c>
      <c r="F54" s="267" t="str">
        <f>VLOOKUP(A54,原丝import!A:E,5,FALSE)</f>
        <v>3</v>
      </c>
      <c r="G54" s="267" t="s">
        <v>612</v>
      </c>
      <c r="H54" s="267" t="s">
        <v>612</v>
      </c>
      <c r="I54" s="267" t="s">
        <v>559</v>
      </c>
      <c r="J54" s="267" t="s">
        <v>2</v>
      </c>
      <c r="K54" s="267" t="s">
        <v>464</v>
      </c>
      <c r="L54" s="380" t="s">
        <v>399</v>
      </c>
      <c r="M54" s="267" t="s">
        <v>558</v>
      </c>
      <c r="N54" s="267" t="s">
        <v>557</v>
      </c>
      <c r="O54" s="267" t="s">
        <v>387</v>
      </c>
      <c r="P54" s="267" t="s">
        <v>465</v>
      </c>
      <c r="Q54" s="267" t="s">
        <v>473</v>
      </c>
      <c r="R54" s="267" t="s">
        <v>560</v>
      </c>
      <c r="S54" s="267" t="s">
        <v>475</v>
      </c>
      <c r="T54" s="269">
        <f ca="1">SUMIFS(加弹汇总表!I:I,加弹汇总表!E:E,inventory!B54,加弹汇总表!F:F,inventory!J54,加弹汇总表!B:B,inventory!M54)</f>
        <v>0</v>
      </c>
      <c r="U54" s="269">
        <f>IF(P54="喷水领用",SUMIFS(ps!L:L,ps!J:J,LEFT(B54,FIND("网",B54)-1),ps!F:F,J54,ps!$I:$I,喷水汇总表!$T$4)+SUMIFS(ps!$M:$M,ps!$K:$K,LEFT(B54,FIND("网",B54)-1),ps!$F:$F,J54,ps!$I:$I,喷水汇总表!$T$4),SUMIFS(小圆机汇总表!$J$15:$J$60,小圆机汇总表!$C$15:$C$60,inventory!B54,小圆机汇总表!$E$15:$E$60,inventory!J54))</f>
        <v>0</v>
      </c>
    </row>
    <row r="55" spans="1:21" outlineLevel="1">
      <c r="A55" s="74" t="str">
        <f t="shared" si="1"/>
        <v>D/75/48/W/AAAA/0DTY圆机丝3217175/4810.69</v>
      </c>
      <c r="C55" s="267" t="s">
        <v>467</v>
      </c>
      <c r="D55" s="267" t="s">
        <v>285</v>
      </c>
      <c r="E55" s="267" t="str">
        <f>VLOOKUP(A55,原丝import!A:E,4,FALSE)</f>
        <v>278.2</v>
      </c>
      <c r="F55" s="267" t="str">
        <f>VLOOKUP(A55,原丝import!A:E,5,FALSE)</f>
        <v>10</v>
      </c>
      <c r="G55" s="267" t="s">
        <v>612</v>
      </c>
      <c r="H55" s="267" t="s">
        <v>612</v>
      </c>
      <c r="I55" s="267" t="s">
        <v>562</v>
      </c>
      <c r="J55" s="267" t="s">
        <v>2</v>
      </c>
      <c r="K55" s="267" t="s">
        <v>464</v>
      </c>
      <c r="L55" s="380" t="s">
        <v>563</v>
      </c>
      <c r="M55" s="267" t="s">
        <v>951</v>
      </c>
      <c r="N55" s="267" t="s">
        <v>561</v>
      </c>
      <c r="O55" s="267" t="s">
        <v>387</v>
      </c>
      <c r="P55" s="267" t="s">
        <v>465</v>
      </c>
      <c r="Q55" s="267" t="s">
        <v>564</v>
      </c>
      <c r="R55" s="267" t="s">
        <v>565</v>
      </c>
      <c r="S55" s="267" t="s">
        <v>399</v>
      </c>
      <c r="T55" s="269">
        <f ca="1">SUMIFS(加弹汇总表!I:I,加弹汇总表!E:E,inventory!B55,加弹汇总表!F:F,inventory!J55,加弹汇总表!B:B,inventory!M55)</f>
        <v>0</v>
      </c>
      <c r="U55" s="269">
        <f>IF(P55="喷水领用",SUMIFS(ps!L:L,ps!J:J,LEFT(B55,FIND("网",B55)-1),ps!F:F,J55,ps!$I:$I,喷水汇总表!$T$4)+SUMIFS(ps!$M:$M,ps!$K:$K,LEFT(B55,FIND("网",B55)-1),ps!$F:$F,J55,ps!$I:$I,喷水汇总表!$T$4),SUMIFS(小圆机汇总表!$J$15:$J$60,小圆机汇总表!$C$15:$C$60,inventory!B55,小圆机汇总表!$E$15:$E$60,inventory!J55))</f>
        <v>0</v>
      </c>
    </row>
    <row r="56" spans="1:21" outlineLevel="1">
      <c r="A56" s="74" t="str">
        <f t="shared" si="1"/>
        <v>D/76/36/W/AAAA/0DTY圆机丝3R0775SC76/3611.26</v>
      </c>
      <c r="C56" s="267" t="s">
        <v>467</v>
      </c>
      <c r="D56" s="267" t="s">
        <v>285</v>
      </c>
      <c r="E56" s="267" t="e">
        <f>VLOOKUP(A56,原丝import!A:E,4,FALSE)</f>
        <v>#N/A</v>
      </c>
      <c r="F56" s="267" t="e">
        <f>VLOOKUP(A56,原丝import!A:E,5,FALSE)</f>
        <v>#N/A</v>
      </c>
      <c r="G56" s="267" t="s">
        <v>612</v>
      </c>
      <c r="H56" s="267" t="s">
        <v>612</v>
      </c>
      <c r="I56" s="267" t="s">
        <v>567</v>
      </c>
      <c r="J56" s="267" t="s">
        <v>2</v>
      </c>
      <c r="K56" s="267" t="s">
        <v>464</v>
      </c>
      <c r="L56" s="380" t="s">
        <v>150</v>
      </c>
      <c r="M56" s="267" t="s">
        <v>895</v>
      </c>
      <c r="N56" s="267" t="s">
        <v>566</v>
      </c>
      <c r="O56" s="267" t="s">
        <v>387</v>
      </c>
      <c r="P56" s="267" t="s">
        <v>465</v>
      </c>
      <c r="Q56" s="267" t="s">
        <v>451</v>
      </c>
      <c r="R56" s="267" t="s">
        <v>1786</v>
      </c>
      <c r="S56" s="267" t="s">
        <v>399</v>
      </c>
      <c r="T56" s="269">
        <f ca="1">SUMIFS(加弹汇总表!I:I,加弹汇总表!E:E,inventory!B56,加弹汇总表!F:F,inventory!J56,加弹汇总表!B:B,inventory!M56)</f>
        <v>0</v>
      </c>
      <c r="U56" s="269">
        <f>IF(P56="喷水领用",SUMIFS(ps!L:L,ps!J:J,LEFT(B56,FIND("网",B56)-1),ps!F:F,J56,ps!$I:$I,喷水汇总表!$T$4)+SUMIFS(ps!$M:$M,ps!$K:$K,LEFT(B56,FIND("网",B56)-1),ps!$F:$F,J56,ps!$I:$I,喷水汇总表!$T$4),SUMIFS(小圆机汇总表!$J$15:$J$60,小圆机汇总表!$C$15:$C$60,inventory!B56,小圆机汇总表!$E$15:$E$60,inventory!J56))</f>
        <v>0</v>
      </c>
    </row>
    <row r="57" spans="1:21" outlineLevel="1">
      <c r="A57" s="74" t="str">
        <f t="shared" si="1"/>
        <v>D/80/36/W/AAAA/0DTY圆机丝DE71803680/3619.31</v>
      </c>
      <c r="C57" s="267" t="s">
        <v>467</v>
      </c>
      <c r="D57" s="267" t="s">
        <v>285</v>
      </c>
      <c r="E57" s="267" t="str">
        <f>VLOOKUP(A57,原丝import!A:E,4,FALSE)</f>
        <v>173.8</v>
      </c>
      <c r="F57" s="267" t="str">
        <f>VLOOKUP(A57,原丝import!A:E,5,FALSE)</f>
        <v>7</v>
      </c>
      <c r="G57" s="267" t="s">
        <v>612</v>
      </c>
      <c r="H57" s="267" t="s">
        <v>612</v>
      </c>
      <c r="I57" s="267" t="s">
        <v>570</v>
      </c>
      <c r="J57" s="267" t="s">
        <v>2</v>
      </c>
      <c r="K57" s="267" t="s">
        <v>464</v>
      </c>
      <c r="L57" s="380" t="s">
        <v>134</v>
      </c>
      <c r="M57" s="267" t="s">
        <v>569</v>
      </c>
      <c r="N57" s="267" t="s">
        <v>568</v>
      </c>
      <c r="O57" s="267" t="s">
        <v>387</v>
      </c>
      <c r="P57" s="267" t="s">
        <v>465</v>
      </c>
      <c r="Q57" s="267" t="s">
        <v>571</v>
      </c>
      <c r="R57" s="267" t="s">
        <v>572</v>
      </c>
      <c r="S57" s="267" t="s">
        <v>399</v>
      </c>
      <c r="T57" s="269">
        <f ca="1">SUMIFS(加弹汇总表!I:I,加弹汇总表!E:E,inventory!B57,加弹汇总表!F:F,inventory!J57,加弹汇总表!B:B,inventory!M57)</f>
        <v>0</v>
      </c>
      <c r="U57" s="269">
        <f>IF(P57="喷水领用",SUMIFS(ps!L:L,ps!J:J,LEFT(B57,FIND("网",B57)-1),ps!F:F,J57,ps!$I:$I,喷水汇总表!$T$4)+SUMIFS(ps!$M:$M,ps!$K:$K,LEFT(B57,FIND("网",B57)-1),ps!$F:$F,J57,ps!$I:$I,喷水汇总表!$T$4),SUMIFS(小圆机汇总表!$J$15:$J$60,小圆机汇总表!$C$15:$C$60,inventory!B57,小圆机汇总表!$E$15:$E$60,inventory!J57))</f>
        <v>0</v>
      </c>
    </row>
    <row r="58" spans="1:21" outlineLevel="1">
      <c r="A58" s="74" t="str">
        <f t="shared" si="1"/>
        <v>D/80/36/W/AAAA/0DTY圆机丝DE718036-180/369.8</v>
      </c>
      <c r="C58" s="267" t="s">
        <v>467</v>
      </c>
      <c r="D58" s="267" t="s">
        <v>285</v>
      </c>
      <c r="E58" s="267" t="str">
        <f>VLOOKUP(A58,原丝import!A:E,4,FALSE)</f>
        <v>528</v>
      </c>
      <c r="F58" s="267" t="str">
        <f>VLOOKUP(A58,原丝import!A:E,5,FALSE)</f>
        <v>16</v>
      </c>
      <c r="G58" s="267" t="s">
        <v>612</v>
      </c>
      <c r="H58" s="267" t="s">
        <v>612</v>
      </c>
      <c r="I58" s="267" t="s">
        <v>570</v>
      </c>
      <c r="J58" s="267" t="s">
        <v>2</v>
      </c>
      <c r="K58" s="267" t="s">
        <v>464</v>
      </c>
      <c r="L58" s="380" t="s">
        <v>134</v>
      </c>
      <c r="M58" s="267" t="s">
        <v>573</v>
      </c>
      <c r="N58" s="267" t="s">
        <v>568</v>
      </c>
      <c r="O58" s="267" t="s">
        <v>387</v>
      </c>
      <c r="P58" s="267" t="s">
        <v>465</v>
      </c>
      <c r="Q58" s="267" t="s">
        <v>574</v>
      </c>
      <c r="R58" s="267" t="s">
        <v>575</v>
      </c>
      <c r="S58" s="267" t="s">
        <v>399</v>
      </c>
      <c r="T58" s="269">
        <f ca="1">SUMIFS(加弹汇总表!I:I,加弹汇总表!E:E,inventory!B58,加弹汇总表!F:F,inventory!J58,加弹汇总表!B:B,inventory!M58)</f>
        <v>0</v>
      </c>
      <c r="U58" s="269">
        <f>IF(P58="喷水领用",SUMIFS(ps!L:L,ps!J:J,LEFT(B58,FIND("网",B58)-1),ps!F:F,J58,ps!$I:$I,喷水汇总表!$T$4)+SUMIFS(ps!$M:$M,ps!$K:$K,LEFT(B58,FIND("网",B58)-1),ps!$F:$F,J58,ps!$I:$I,喷水汇总表!$T$4),SUMIFS(小圆机汇总表!$J$15:$J$60,小圆机汇总表!$C$15:$C$60,inventory!B58,小圆机汇总表!$E$15:$E$60,inventory!J58))</f>
        <v>0</v>
      </c>
    </row>
    <row r="59" spans="1:21" outlineLevel="1">
      <c r="A59" s="74" t="str">
        <f t="shared" si="1"/>
        <v>DTY圆机丝F845/M0B083/3612.1</v>
      </c>
      <c r="C59" s="267" t="s">
        <v>467</v>
      </c>
      <c r="D59" s="267" t="s">
        <v>285</v>
      </c>
      <c r="E59" s="267" t="str">
        <f>VLOOKUP(A59,原丝import!A:E,4,FALSE)</f>
        <v>528</v>
      </c>
      <c r="F59" s="267" t="str">
        <f>VLOOKUP(A59,原丝import!A:E,5,FALSE)</f>
        <v>16</v>
      </c>
      <c r="G59" s="267" t="s">
        <v>612</v>
      </c>
      <c r="H59" s="267" t="s">
        <v>612</v>
      </c>
      <c r="I59" s="267" t="s">
        <v>399</v>
      </c>
      <c r="J59" s="267" t="s">
        <v>2</v>
      </c>
      <c r="K59" s="267" t="s">
        <v>464</v>
      </c>
      <c r="L59" s="380" t="s">
        <v>399</v>
      </c>
      <c r="M59" s="267" t="s">
        <v>577</v>
      </c>
      <c r="N59" s="267" t="s">
        <v>576</v>
      </c>
      <c r="O59" s="267" t="s">
        <v>287</v>
      </c>
      <c r="P59" s="267" t="s">
        <v>465</v>
      </c>
      <c r="Q59" s="267" t="s">
        <v>578</v>
      </c>
      <c r="R59" s="267" t="s">
        <v>579</v>
      </c>
      <c r="S59" s="267" t="s">
        <v>148</v>
      </c>
      <c r="T59" s="269">
        <f ca="1">SUMIFS(加弹汇总表!I:I,加弹汇总表!E:E,inventory!B59,加弹汇总表!F:F,inventory!J59,加弹汇总表!B:B,inventory!M59)</f>
        <v>0</v>
      </c>
      <c r="U59" s="269">
        <f>IF(P59="喷水领用",SUMIFS(ps!L:L,ps!J:J,LEFT(B59,FIND("网",B59)-1),ps!F:F,J59,ps!$I:$I,喷水汇总表!$T$4)+SUMIFS(ps!$M:$M,ps!$K:$K,LEFT(B59,FIND("网",B59)-1),ps!$F:$F,J59,ps!$I:$I,喷水汇总表!$T$4),SUMIFS(小圆机汇总表!$J$15:$J$60,小圆机汇总表!$C$15:$C$60,inventory!B59,小圆机汇总表!$E$15:$E$60,inventory!J59))</f>
        <v>0</v>
      </c>
    </row>
    <row r="60" spans="1:21" s="27" customFormat="1" outlineLevel="1">
      <c r="A60" s="27" t="str">
        <f t="shared" si="1"/>
        <v>D/89/48/W/AAAA/0DTY圆机丝S2121189/4812.13</v>
      </c>
      <c r="B60" s="3">
        <v>50</v>
      </c>
      <c r="C60" s="268" t="s">
        <v>467</v>
      </c>
      <c r="D60" s="268" t="s">
        <v>285</v>
      </c>
      <c r="E60" s="268" t="str">
        <f>VLOOKUP(A60,原丝import!A:E,4,FALSE)</f>
        <v>17316</v>
      </c>
      <c r="F60" s="268" t="str">
        <f>VLOOKUP(A60,原丝import!A:E,5,FALSE)</f>
        <v>551</v>
      </c>
      <c r="G60" s="268" t="s">
        <v>612</v>
      </c>
      <c r="H60" s="268" t="s">
        <v>612</v>
      </c>
      <c r="I60" s="268" t="s">
        <v>580</v>
      </c>
      <c r="J60" s="268" t="s">
        <v>2</v>
      </c>
      <c r="K60" s="268" t="s">
        <v>464</v>
      </c>
      <c r="L60" s="383" t="s">
        <v>158</v>
      </c>
      <c r="M60" s="268" t="s">
        <v>456</v>
      </c>
      <c r="N60" s="268" t="s">
        <v>455</v>
      </c>
      <c r="O60" s="268" t="s">
        <v>387</v>
      </c>
      <c r="P60" s="268" t="s">
        <v>465</v>
      </c>
      <c r="Q60" s="268" t="s">
        <v>581</v>
      </c>
      <c r="R60" s="268" t="s">
        <v>2319</v>
      </c>
      <c r="S60" s="268" t="s">
        <v>582</v>
      </c>
      <c r="T60" s="269">
        <f ca="1">SUMIFS(加弹汇总表!I:I,加弹汇总表!E:E,inventory!B60,加弹汇总表!F:F,inventory!J60,加弹汇总表!B:B,inventory!M60)</f>
        <v>1912.9</v>
      </c>
      <c r="U60" s="269">
        <f ca="1">IF(P60="喷水领用",SUMIFS(ps!L:L,ps!J:J,LEFT(B60,FIND("网",B60)-1),ps!F:F,J60,ps!$I:$I,喷水汇总表!$T$4)+SUMIFS(ps!$M:$M,ps!$K:$K,LEFT(B60,FIND("网",B60)-1),ps!$F:$F,J60,ps!$I:$I,喷水汇总表!$T$4),SUMIFS(小圆机汇总表!$J$15:$J$60,小圆机汇总表!$C$15:$C$60,inventory!B60,小圆机汇总表!$E$15:$E$60,inventory!J60))</f>
        <v>1284.3</v>
      </c>
    </row>
    <row r="61" spans="1:21" outlineLevel="1">
      <c r="A61" s="74" t="str">
        <f t="shared" si="1"/>
        <v>D/89/48/W/AAAA/DTY圆机丝S2121189/488.11</v>
      </c>
      <c r="C61" s="267" t="s">
        <v>467</v>
      </c>
      <c r="D61" s="267" t="s">
        <v>285</v>
      </c>
      <c r="E61" s="267" t="str">
        <f>VLOOKUP(A61,原丝import!A:E,4,FALSE)</f>
        <v>148</v>
      </c>
      <c r="F61" s="267" t="str">
        <f>VLOOKUP(A61,原丝import!A:E,5,FALSE)</f>
        <v>6</v>
      </c>
      <c r="G61" s="267" t="s">
        <v>612</v>
      </c>
      <c r="H61" s="267" t="s">
        <v>612</v>
      </c>
      <c r="I61" s="267" t="s">
        <v>583</v>
      </c>
      <c r="J61" s="267" t="s">
        <v>2</v>
      </c>
      <c r="K61" s="267" t="s">
        <v>464</v>
      </c>
      <c r="L61" s="380" t="s">
        <v>158</v>
      </c>
      <c r="M61" s="267" t="s">
        <v>456</v>
      </c>
      <c r="N61" s="267" t="s">
        <v>455</v>
      </c>
      <c r="O61" s="267" t="s">
        <v>282</v>
      </c>
      <c r="P61" s="267" t="s">
        <v>465</v>
      </c>
      <c r="Q61" s="267" t="s">
        <v>584</v>
      </c>
      <c r="R61" s="267" t="s">
        <v>585</v>
      </c>
      <c r="S61" s="267" t="s">
        <v>586</v>
      </c>
      <c r="T61" s="269">
        <f ca="1">SUMIFS(加弹汇总表!I:I,加弹汇总表!E:E,inventory!B61,加弹汇总表!F:F,inventory!J61,加弹汇总表!B:B,inventory!M61)</f>
        <v>0</v>
      </c>
      <c r="U61" s="269">
        <f>IF(P61="喷水领用",SUMIFS(ps!L:L,ps!J:J,LEFT(B61,FIND("网",B61)-1),ps!F:F,J61,ps!$I:$I,喷水汇总表!$T$4)+SUMIFS(ps!$M:$M,ps!$K:$K,LEFT(B61,FIND("网",B61)-1),ps!$F:$F,J61,ps!$I:$I,喷水汇总表!$T$4),SUMIFS(小圆机汇总表!$J$15:$J$60,小圆机汇总表!$C$15:$C$60,inventory!B61,小圆机汇总表!$E$15:$E$60,inventory!J61))</f>
        <v>0</v>
      </c>
    </row>
    <row r="62" spans="1:21" s="27" customFormat="1" outlineLevel="1">
      <c r="A62" s="27" t="str">
        <f t="shared" si="1"/>
        <v>D/89/48/W/AAAA/0DTY圆机丝S2121189/4811.95</v>
      </c>
      <c r="B62" s="3">
        <v>50</v>
      </c>
      <c r="C62" s="268" t="s">
        <v>467</v>
      </c>
      <c r="D62" s="268" t="s">
        <v>285</v>
      </c>
      <c r="E62" s="268" t="str">
        <f>VLOOKUP(A62,原丝import!A:E,4,FALSE)</f>
        <v>16414.82</v>
      </c>
      <c r="F62" s="268" t="str">
        <f>VLOOKUP(A62,原丝import!A:E,5,FALSE)</f>
        <v>546</v>
      </c>
      <c r="G62" s="268" t="s">
        <v>612</v>
      </c>
      <c r="H62" s="268" t="s">
        <v>612</v>
      </c>
      <c r="I62" s="268" t="s">
        <v>580</v>
      </c>
      <c r="J62" s="268" t="s">
        <v>1616</v>
      </c>
      <c r="K62" s="268" t="s">
        <v>464</v>
      </c>
      <c r="L62" s="383" t="s">
        <v>158</v>
      </c>
      <c r="M62" s="268" t="s">
        <v>456</v>
      </c>
      <c r="N62" s="268" t="s">
        <v>455</v>
      </c>
      <c r="O62" s="268" t="s">
        <v>387</v>
      </c>
      <c r="P62" s="268" t="s">
        <v>465</v>
      </c>
      <c r="Q62" s="268" t="s">
        <v>587</v>
      </c>
      <c r="R62" s="268" t="s">
        <v>2322</v>
      </c>
      <c r="S62" s="268" t="s">
        <v>2330</v>
      </c>
      <c r="T62" s="269">
        <f ca="1">SUMIFS(加弹汇总表!I:I,加弹汇总表!E:E,inventory!B62,加弹汇总表!F:F,inventory!J62,加弹汇总表!B:B,inventory!M62)</f>
        <v>1912.9</v>
      </c>
      <c r="U62" s="269">
        <f ca="1">IF(P62="喷水领用",SUMIFS(ps!L:L,ps!J:J,LEFT(B62,FIND("网",B62)-1),ps!F:F,J62,ps!$I:$I,喷水汇总表!$T$4)+SUMIFS(ps!$M:$M,ps!$K:$K,LEFT(B62,FIND("网",B62)-1),ps!$F:$F,J62,ps!$I:$I,喷水汇总表!$T$4),SUMIFS(小圆机汇总表!$J$15:$J$60,小圆机汇总表!$C$15:$C$60,inventory!B62,小圆机汇总表!$E$15:$E$60,inventory!J62))</f>
        <v>1284.3</v>
      </c>
    </row>
    <row r="63" spans="1:21" s="27" customFormat="1" outlineLevel="1">
      <c r="A63" s="27" t="str">
        <f t="shared" si="1"/>
        <v>DTY圆机丝S2121189/488.28</v>
      </c>
      <c r="B63" s="3">
        <v>50</v>
      </c>
      <c r="C63" s="268" t="s">
        <v>467</v>
      </c>
      <c r="D63" s="268" t="s">
        <v>285</v>
      </c>
      <c r="E63" s="268" t="str">
        <f>VLOOKUP(A63,原丝import!A:E,4,FALSE)</f>
        <v>4770.7</v>
      </c>
      <c r="F63" s="268" t="str">
        <f>VLOOKUP(A63,原丝import!A:E,5,FALSE)</f>
        <v>156</v>
      </c>
      <c r="G63" s="268" t="s">
        <v>612</v>
      </c>
      <c r="H63" s="268" t="s">
        <v>612</v>
      </c>
      <c r="I63" s="268" t="s">
        <v>399</v>
      </c>
      <c r="J63" s="268" t="s">
        <v>1603</v>
      </c>
      <c r="K63" s="268" t="s">
        <v>464</v>
      </c>
      <c r="L63" s="383" t="s">
        <v>158</v>
      </c>
      <c r="M63" s="268" t="s">
        <v>456</v>
      </c>
      <c r="N63" s="268" t="s">
        <v>455</v>
      </c>
      <c r="O63" s="268" t="s">
        <v>387</v>
      </c>
      <c r="P63" s="268" t="s">
        <v>465</v>
      </c>
      <c r="Q63" s="268" t="s">
        <v>589</v>
      </c>
      <c r="R63" s="268" t="s">
        <v>2323</v>
      </c>
      <c r="S63" s="268" t="s">
        <v>2329</v>
      </c>
      <c r="T63" s="269">
        <f ca="1">SUMIFS(加弹汇总表!I:I,加弹汇总表!E:E,inventory!B63,加弹汇总表!F:F,inventory!J63,加弹汇总表!B:B,inventory!M63)</f>
        <v>0</v>
      </c>
      <c r="U63" s="269">
        <f ca="1">IF(P63="喷水领用",SUMIFS(ps!L:L,ps!J:J,LEFT(B63,FIND("网",B63)-1),ps!F:F,J63,ps!$I:$I,喷水汇总表!$T$4)+SUMIFS(ps!$M:$M,ps!$K:$K,LEFT(B63,FIND("网",B63)-1),ps!$F:$F,J63,ps!$I:$I,喷水汇总表!$T$4),SUMIFS(小圆机汇总表!$J$15:$J$60,小圆机汇总表!$C$15:$C$60,inventory!B63,小圆机汇总表!$E$15:$E$60,inventory!J63))</f>
        <v>1328.1</v>
      </c>
    </row>
    <row r="64" spans="1:21" outlineLevel="1">
      <c r="A64" s="74" t="str">
        <f t="shared" si="1"/>
        <v>D/89/48/W/AAA/0DTY圆机丝S2121189/489.56</v>
      </c>
      <c r="B64" s="3">
        <v>50</v>
      </c>
      <c r="C64" s="267" t="s">
        <v>467</v>
      </c>
      <c r="D64" s="267" t="s">
        <v>285</v>
      </c>
      <c r="E64" s="267" t="str">
        <f>VLOOKUP(A64,原丝import!A:E,4,FALSE)</f>
        <v>360</v>
      </c>
      <c r="F64" s="267" t="str">
        <f>VLOOKUP(A64,原丝import!A:E,5,FALSE)</f>
        <v>12</v>
      </c>
      <c r="G64" s="267" t="s">
        <v>612</v>
      </c>
      <c r="H64" s="267" t="s">
        <v>612</v>
      </c>
      <c r="I64" s="267" t="s">
        <v>590</v>
      </c>
      <c r="J64" s="268" t="s">
        <v>1603</v>
      </c>
      <c r="K64" s="267" t="s">
        <v>464</v>
      </c>
      <c r="L64" s="380" t="s">
        <v>158</v>
      </c>
      <c r="M64" s="267" t="s">
        <v>456</v>
      </c>
      <c r="N64" s="267" t="s">
        <v>455</v>
      </c>
      <c r="O64" s="267" t="s">
        <v>387</v>
      </c>
      <c r="P64" s="267" t="s">
        <v>465</v>
      </c>
      <c r="Q64" s="267">
        <v>9.56</v>
      </c>
      <c r="R64" s="267" t="s">
        <v>591</v>
      </c>
      <c r="S64" s="267" t="s">
        <v>592</v>
      </c>
      <c r="T64" s="269">
        <f ca="1">SUMIFS(加弹汇总表!I:I,加弹汇总表!E:E,inventory!B64,加弹汇总表!F:F,inventory!J64,加弹汇总表!B:B,inventory!M64)</f>
        <v>0</v>
      </c>
      <c r="U64" s="269">
        <f ca="1">IF(P64="喷水领用",SUMIFS(ps!L:L,ps!J:J,LEFT(B64,FIND("网",B64)-1),ps!F:F,J64,ps!$I:$I,喷水汇总表!$T$4)+SUMIFS(ps!$M:$M,ps!$K:$K,LEFT(B64,FIND("网",B64)-1),ps!$F:$F,J64,ps!$I:$I,喷水汇总表!$T$4),SUMIFS(小圆机汇总表!$J$15:$J$60,小圆机汇总表!$C$15:$C$60,inventory!B64,小圆机汇总表!$E$15:$E$60,inventory!J64))</f>
        <v>1328.1</v>
      </c>
    </row>
    <row r="65" spans="1:21" s="27" customFormat="1" outlineLevel="1">
      <c r="A65" s="74" t="str">
        <f t="shared" ref="A65:A68" si="2">I65&amp;K65&amp;M65&amp;N65&amp;Q65</f>
        <v>DTY圆机丝64009494/368.58</v>
      </c>
      <c r="B65" s="3">
        <v>50</v>
      </c>
      <c r="C65" s="282" t="s">
        <v>467</v>
      </c>
      <c r="D65" s="282" t="s">
        <v>285</v>
      </c>
      <c r="E65" s="267" t="str">
        <f>VLOOKUP(A65,原丝import!A:E,4,FALSE)</f>
        <v>675.31</v>
      </c>
      <c r="F65" s="267" t="str">
        <f>VLOOKUP(A65,原丝import!A:E,5,FALSE)</f>
        <v>22</v>
      </c>
      <c r="G65" s="282" t="s">
        <v>612</v>
      </c>
      <c r="H65" s="282" t="s">
        <v>612</v>
      </c>
      <c r="I65" s="282" t="s">
        <v>399</v>
      </c>
      <c r="J65" s="282" t="s">
        <v>1727</v>
      </c>
      <c r="K65" s="282" t="s">
        <v>464</v>
      </c>
      <c r="L65" s="385" t="s">
        <v>136</v>
      </c>
      <c r="M65" s="282">
        <v>640094</v>
      </c>
      <c r="N65" s="282" t="s">
        <v>2484</v>
      </c>
      <c r="O65" s="282" t="s">
        <v>387</v>
      </c>
      <c r="P65" s="282" t="s">
        <v>465</v>
      </c>
      <c r="Q65" s="282" t="s">
        <v>2325</v>
      </c>
      <c r="R65" s="282" t="s">
        <v>2483</v>
      </c>
      <c r="S65" s="282" t="s">
        <v>588</v>
      </c>
      <c r="T65" s="269">
        <f ca="1">SUMIFS(加弹汇总表!I:I,加弹汇总表!E:E,inventory!B65,加弹汇总表!F:F,inventory!J65,加弹汇总表!B:B,inventory!M65)</f>
        <v>604.29999999999995</v>
      </c>
      <c r="U65" s="269">
        <f ca="1">IF(P65="喷水领用",SUMIFS(ps!L:L,ps!J:J,LEFT(B65,FIND("网",B65)-1),ps!F:F,J65,ps!$I:$I,喷水汇总表!$T$4)+SUMIFS(ps!$M:$M,ps!$K:$K,LEFT(B65,FIND("网",B65)-1),ps!$F:$F,J65,ps!$I:$I,喷水汇总表!$T$4),SUMIFS(小圆机汇总表!$J$15:$J$60,小圆机汇总表!$C$15:$C$60,inventory!B65,小圆机汇总表!$E$15:$E$60,inventory!J65))</f>
        <v>1166.5999999999999</v>
      </c>
    </row>
    <row r="66" spans="1:21" s="27" customFormat="1" outlineLevel="1">
      <c r="A66" s="74" t="str">
        <f t="shared" si="2"/>
        <v>D94/36/B/AAA/0DTY圆机丝64009494/3610.52</v>
      </c>
      <c r="B66" s="3">
        <v>50</v>
      </c>
      <c r="C66" s="268" t="s">
        <v>467</v>
      </c>
      <c r="D66" s="268" t="s">
        <v>285</v>
      </c>
      <c r="E66" s="267" t="str">
        <f>VLOOKUP(A66,原丝import!A:E,4,FALSE)</f>
        <v>2037.5</v>
      </c>
      <c r="F66" s="267" t="str">
        <f>VLOOKUP(A66,原丝import!A:E,5,FALSE)</f>
        <v>74.5</v>
      </c>
      <c r="G66" s="268" t="s">
        <v>612</v>
      </c>
      <c r="H66" s="268" t="s">
        <v>612</v>
      </c>
      <c r="I66" s="268" t="s">
        <v>593</v>
      </c>
      <c r="J66" s="268" t="s">
        <v>1</v>
      </c>
      <c r="K66" s="268" t="s">
        <v>464</v>
      </c>
      <c r="L66" s="383" t="s">
        <v>136</v>
      </c>
      <c r="M66" s="268" t="s">
        <v>955</v>
      </c>
      <c r="N66" s="268" t="s">
        <v>460</v>
      </c>
      <c r="O66" s="268" t="s">
        <v>387</v>
      </c>
      <c r="P66" s="268" t="s">
        <v>465</v>
      </c>
      <c r="Q66" s="268" t="s">
        <v>493</v>
      </c>
      <c r="R66" s="268" t="s">
        <v>2326</v>
      </c>
      <c r="S66" s="268" t="s">
        <v>594</v>
      </c>
      <c r="T66" s="269">
        <f ca="1">SUMIFS(加弹汇总表!I:I,加弹汇总表!E:E,inventory!B66,加弹汇总表!F:F,inventory!J66,加弹汇总表!B:B,inventory!M66)</f>
        <v>604.29999999999995</v>
      </c>
      <c r="U66" s="269">
        <f ca="1">IF(P66="喷水领用",SUMIFS(ps!L:L,ps!J:J,LEFT(B66,FIND("网",B66)-1),ps!F:F,J66,ps!$I:$I,喷水汇总表!$T$4)+SUMIFS(ps!$M:$M,ps!$K:$K,LEFT(B66,FIND("网",B66)-1),ps!$F:$F,J66,ps!$I:$I,喷水汇总表!$T$4),SUMIFS(小圆机汇总表!$J$15:$J$60,小圆机汇总表!$C$15:$C$60,inventory!B66,小圆机汇总表!$E$15:$E$60,inventory!J66))</f>
        <v>1166.5999999999999</v>
      </c>
    </row>
    <row r="67" spans="1:21" outlineLevel="1">
      <c r="A67" s="74" t="str">
        <f t="shared" si="2"/>
        <v>D/115/36/W/AAAAPOY原丝H-2011150368115/3610.4</v>
      </c>
      <c r="C67" s="267" t="s">
        <v>602</v>
      </c>
      <c r="D67" s="267" t="s">
        <v>601</v>
      </c>
      <c r="E67" s="267" t="str">
        <f>VLOOKUP(A67,原丝import!A:E,4,FALSE)</f>
        <v>1511.5</v>
      </c>
      <c r="F67" s="267" t="str">
        <f>VLOOKUP(A67,原丝import!A:E,5,FALSE)</f>
        <v>2</v>
      </c>
      <c r="G67" s="267" t="s">
        <v>612</v>
      </c>
      <c r="H67" s="267" t="s">
        <v>612</v>
      </c>
      <c r="I67" s="267" t="s">
        <v>600</v>
      </c>
      <c r="J67" s="267" t="s">
        <v>595</v>
      </c>
      <c r="K67" s="267" t="s">
        <v>597</v>
      </c>
      <c r="L67" s="380" t="s">
        <v>411</v>
      </c>
      <c r="M67" s="267" t="s">
        <v>599</v>
      </c>
      <c r="N67" s="267" t="s">
        <v>596</v>
      </c>
      <c r="O67" s="267" t="s">
        <v>387</v>
      </c>
      <c r="P67" s="267" t="s">
        <v>598</v>
      </c>
      <c r="Q67" s="267" t="s">
        <v>603</v>
      </c>
      <c r="R67" s="267" t="s">
        <v>604</v>
      </c>
      <c r="S67" s="267" t="s">
        <v>399</v>
      </c>
      <c r="T67" s="269">
        <f ca="1">SUMIFS(加弹汇总表!I:I,加弹汇总表!E:E,inventory!B67,加弹汇总表!F:F,inventory!J67,加弹汇总表!B:B,inventory!M67)</f>
        <v>0</v>
      </c>
      <c r="U67" s="269">
        <f>IF(P67="喷水领用",SUMIFS(ps!L:L,ps!J:J,LEFT(B67,FIND("网",B67)-1),ps!F:F,J67,ps!$I:$I,喷水汇总表!$T$4)+SUMIFS(ps!$M:$M,ps!$K:$K,LEFT(B67,FIND("网",B67)-1),ps!$F:$F,J67,ps!$I:$I,喷水汇总表!$T$4),SUMIFS(小圆机汇总表!$J$15:$J$60,小圆机汇总表!$C$15:$C$60,inventory!B67,小圆机汇总表!$E$15:$E$60,inventory!J67))</f>
        <v>0</v>
      </c>
    </row>
    <row r="68" spans="1:21" outlineLevel="1">
      <c r="A68" s="74" t="str">
        <f t="shared" si="2"/>
        <v>POY原丝IP05010125/367.27</v>
      </c>
      <c r="C68" s="267" t="s">
        <v>602</v>
      </c>
      <c r="D68" s="267" t="s">
        <v>601</v>
      </c>
      <c r="E68" s="267" t="str">
        <f>VLOOKUP(A68,原丝import!A:E,4,FALSE)</f>
        <v>1980</v>
      </c>
      <c r="F68" s="267" t="str">
        <f>VLOOKUP(A68,原丝import!A:E,5,FALSE)</f>
        <v>3</v>
      </c>
      <c r="G68" s="267" t="s">
        <v>612</v>
      </c>
      <c r="H68" s="267" t="s">
        <v>612</v>
      </c>
      <c r="I68" s="267" t="s">
        <v>399</v>
      </c>
      <c r="J68" s="267" t="s">
        <v>605</v>
      </c>
      <c r="K68" s="267" t="s">
        <v>597</v>
      </c>
      <c r="L68" s="380" t="s">
        <v>443</v>
      </c>
      <c r="M68" s="267" t="s">
        <v>607</v>
      </c>
      <c r="N68" s="267" t="s">
        <v>606</v>
      </c>
      <c r="O68" s="267" t="s">
        <v>387</v>
      </c>
      <c r="P68" s="267" t="s">
        <v>598</v>
      </c>
      <c r="Q68" s="267" t="s">
        <v>608</v>
      </c>
      <c r="R68" s="267" t="s">
        <v>609</v>
      </c>
      <c r="S68" s="267" t="s">
        <v>399</v>
      </c>
      <c r="T68" s="269">
        <f ca="1">SUMIFS(加弹汇总表!I:I,加弹汇总表!E:E,inventory!B68,加弹汇总表!F:F,inventory!J68,加弹汇总表!B:B,inventory!M68)</f>
        <v>0</v>
      </c>
      <c r="U68" s="269">
        <f>IF(P68="喷水领用",SUMIFS(ps!L:L,ps!J:J,LEFT(B68,FIND("网",B68)-1),ps!F:F,J68,ps!$I:$I,喷水汇总表!$T$4)+SUMIFS(ps!$M:$M,ps!$K:$K,LEFT(B68,FIND("网",B68)-1),ps!$F:$F,J68,ps!$I:$I,喷水汇总表!$T$4),SUMIFS(小圆机汇总表!$J$15:$J$60,小圆机汇总表!$C$15:$C$60,inventory!B68,小圆机汇总表!$E$15:$E$60,inventory!J68))</f>
        <v>0</v>
      </c>
    </row>
    <row r="69" spans="1:21">
      <c r="A69" s="74" t="str">
        <f t="shared" ref="A69" si="3">I69&amp;K69&amp;M69&amp;N69&amp;Q69</f>
        <v/>
      </c>
    </row>
    <row r="70" spans="1:21">
      <c r="A70" s="74" t="str">
        <f t="shared" ref="A70:A73" si="4">I70&amp;K70&amp;M70&amp;N70&amp;Q70</f>
        <v/>
      </c>
    </row>
    <row r="71" spans="1:21">
      <c r="A71" s="74" t="str">
        <f t="shared" si="4"/>
        <v/>
      </c>
    </row>
    <row r="72" spans="1:21">
      <c r="A72" s="74" t="str">
        <f t="shared" si="4"/>
        <v/>
      </c>
    </row>
    <row r="73" spans="1:21">
      <c r="A73" s="74" t="str">
        <f t="shared" si="4"/>
        <v/>
      </c>
    </row>
    <row r="74" spans="1:21" ht="26.25" customHeight="1">
      <c r="A74" s="74"/>
      <c r="B74" s="273" t="s">
        <v>1057</v>
      </c>
      <c r="C74" s="273" t="s">
        <v>124</v>
      </c>
      <c r="D74" s="273" t="s">
        <v>267</v>
      </c>
      <c r="E74" s="273" t="s">
        <v>376</v>
      </c>
      <c r="F74" s="273" t="s">
        <v>377</v>
      </c>
      <c r="G74" s="274" t="s">
        <v>378</v>
      </c>
      <c r="H74" s="273" t="s">
        <v>266</v>
      </c>
      <c r="I74" s="273" t="s">
        <v>126</v>
      </c>
      <c r="J74" s="273" t="s">
        <v>262</v>
      </c>
      <c r="K74" s="275" t="s">
        <v>1059</v>
      </c>
      <c r="L74" s="386" t="s">
        <v>2336</v>
      </c>
      <c r="M74" s="275" t="s">
        <v>1066</v>
      </c>
      <c r="N74" s="276" t="s">
        <v>1210</v>
      </c>
      <c r="O74" s="66" t="s">
        <v>1669</v>
      </c>
      <c r="P74" s="66" t="s">
        <v>1668</v>
      </c>
      <c r="Q74" s="66" t="s">
        <v>2792</v>
      </c>
    </row>
    <row r="75" spans="1:21" ht="18" customHeight="1">
      <c r="A75" s="74" t="s">
        <v>1209</v>
      </c>
      <c r="B75" s="87">
        <f>VLOOKUP(A75,A:S,2,FALSE)</f>
        <v>30</v>
      </c>
      <c r="C75" s="246" t="str">
        <f>VLOOKUP(A75,A:S,10,FALSE)</f>
        <v>白</v>
      </c>
      <c r="D75" s="246" t="str">
        <f>VLOOKUP(A75,A:S,14,FALSE)</f>
        <v>55/36</v>
      </c>
      <c r="E75" s="246" t="str">
        <f>VLOOKUP(A75,A:S,11,FALSE)</f>
        <v>DTY圆机丝</v>
      </c>
      <c r="F75" s="246" t="str">
        <f>VLOOKUP(A75,A:S,16,FALSE)</f>
        <v>圆机领用</v>
      </c>
      <c r="G75" s="246" t="str">
        <f>VLOOKUP(A75,A:S,13,FALSE)</f>
        <v>DE715536-1</v>
      </c>
      <c r="H75" s="246" t="str">
        <f>VLOOKUP(A75,A:S,9,FALSE)</f>
        <v/>
      </c>
      <c r="I75" s="246" t="str">
        <f>VLOOKUP(A75,A:S,12,FALSE)</f>
        <v>春盛</v>
      </c>
      <c r="J75" s="246" t="str">
        <f>IF(ISNA(VLOOKUP(A75,A:S,5,FALSE)),0,VLOOKUP(A75,A:S,5,FALSE))</f>
        <v>528</v>
      </c>
      <c r="K75" s="246">
        <f ca="1">IF(L75&lt;&gt;"",L75,VLOOKUP(A75,A:T,20,FALSE))</f>
        <v>0</v>
      </c>
      <c r="L75" s="248"/>
      <c r="M75" s="246">
        <f ca="1">--VLOOKUP(A75,A:U,21,FALSE)</f>
        <v>0</v>
      </c>
      <c r="N75" s="246" t="e">
        <f ca="1">(J75+K75-M75)/M75</f>
        <v>#DIV/0!</v>
      </c>
      <c r="O75" s="246"/>
      <c r="P75" s="246">
        <f t="array" ref="P75">IF(F75="圆机领用",IF(C75="白高温",SUM(SUMIFS(plan!$X:$X,plan!$C:$C,inventory!B75,plan!$A:$A,{"B5034W","B5036Wgw","A7548xl","C7542wb"})),IF(C75="白无温",SUM(SUMIFS(plan!X:X,plan!A:A,"C5040wsj",plan!C:C,inventory!B75)),SUM(SUMIFS(plan!$X:$X,plan!$C:$C,inventory!B75,plan!$H:$H,IF(C75&lt;&gt;"黑",{"本白","漂白","灰色","黑色","亚白"},"黑丝"),plan!$D:$D,"")))),SUM(SUMIFS(plan!$Z:$Z,plan!$C:$C,LEFT(B75,LEN(B75)-2),plan!$H:$H,IF(C75&lt;&gt;"黑",{"本白","漂白","灰色","黑色","亚白"},"黑丝")))+SUM(SUMIFS(plan!$AA:$AA,plan!$D:$D,LEFT(B75,LEN(B75)-2),plan!$H:$H,IF(C75&lt;&gt;"黑",{"本白","漂白","灰色","黑色","亚白"},"黑丝"))))</f>
        <v>122.24409448818901</v>
      </c>
      <c r="Q75" s="246" t="str">
        <f ca="1">IF((M75*10+P75-J75)&lt;0,"",M75*10+P75-J75)</f>
        <v/>
      </c>
      <c r="R75" s="250" t="str">
        <f>LEFT(B75,LEN(B75)-2)</f>
        <v/>
      </c>
    </row>
    <row r="76" spans="1:21" ht="18" customHeight="1">
      <c r="A76" s="74" t="s">
        <v>1211</v>
      </c>
      <c r="B76" s="87">
        <f>VLOOKUP(A76,A:S,2,FALSE)</f>
        <v>50</v>
      </c>
      <c r="C76" s="246" t="str">
        <f>VLOOKUP(A76,A:S,10,FALSE)</f>
        <v>白</v>
      </c>
      <c r="D76" s="246" t="str">
        <f>VLOOKUP(A76,A:S,14,FALSE)</f>
        <v>89/48</v>
      </c>
      <c r="E76" s="246" t="str">
        <f>VLOOKUP(A76,A:S,11,FALSE)</f>
        <v>DTY圆机丝</v>
      </c>
      <c r="F76" s="246" t="str">
        <f>VLOOKUP(A76,A:S,16,FALSE)</f>
        <v>圆机领用</v>
      </c>
      <c r="G76" s="246" t="str">
        <f>VLOOKUP(A76,A:S,13,FALSE)</f>
        <v>S21211</v>
      </c>
      <c r="H76" s="246" t="str">
        <f>VLOOKUP(A76,A:S,9,FALSE)</f>
        <v>D/89/48/W/AAAA/0</v>
      </c>
      <c r="I76" s="246" t="str">
        <f>VLOOKUP(A76,A:S,12,FALSE)</f>
        <v>长乐</v>
      </c>
      <c r="J76" s="246" t="str">
        <f>IF(ISNA(VLOOKUP(A76,A:S,5,FALSE)),0,VLOOKUP(A76,A:S,5,FALSE))</f>
        <v>17316</v>
      </c>
      <c r="K76" s="246">
        <f ca="1">IF(L76&lt;&gt;"",L76,VLOOKUP(A76,A:T,20,FALSE))</f>
        <v>1912.9</v>
      </c>
      <c r="L76" s="248"/>
      <c r="M76" s="313">
        <f ca="1">--VLOOKUP(A76,A:U,21,FALSE)</f>
        <v>1284.3</v>
      </c>
      <c r="N76" s="313">
        <f t="shared" ref="N76:N85" ca="1" si="5">(J76+K76-M76)/M76</f>
        <v>13.972280619792885</v>
      </c>
      <c r="O76" s="246" t="s">
        <v>2347</v>
      </c>
      <c r="P76" s="313">
        <f t="array" ref="P76">IF(F76="圆机领用",IF(C76="白高温",SUM(SUMIFS(plan!$X:$X,plan!$C:$C,inventory!B76,plan!$A:$A,{"B5034W","B5036Wgw","A7548xl","C7542wb"})),IF(C76="白无温",SUM(SUMIFS(plan!X:X,plan!A:A,"C5040wsj",plan!C:C,inventory!B76)),SUM(SUMIFS(plan!$X:$X,plan!$C:$C,inventory!B76,plan!$H:$H,IF(C76&lt;&gt;"黑",{"本白","漂白","灰色","黑色","亚白"},"黑丝"),plan!$D:$D,"")))),SUM(SUMIFS(plan!$Z:$Z,plan!$C:$C,LEFT(B76,LEN(B76)-2),plan!$H:$H,IF(C76&lt;&gt;"黑",{"本白","漂白","灰色","黑色","亚白"},"黑丝")))+SUM(SUMIFS(plan!$AA:$AA,plan!$D:$D,LEFT(B76,LEN(B76)-2),plan!$H:$H,IF(C76&lt;&gt;"黑",{"本白","漂白","灰色","黑色","亚白"},"黑丝"))))-P78-P80</f>
        <v>36151.054243219602</v>
      </c>
      <c r="Q76" s="313">
        <f t="shared" ref="Q76:Q101" ca="1" si="6">IF((M76*10+P76-J76)&lt;0,"",M76*10+P76-J76)</f>
        <v>31678.054243219602</v>
      </c>
      <c r="R76" s="250" t="str">
        <f t="shared" ref="R76:R87" si="7">LEFT(B76,LEN(B76)-2)</f>
        <v/>
      </c>
    </row>
    <row r="77" spans="1:21" ht="18" customHeight="1">
      <c r="A77" s="74" t="s">
        <v>1588</v>
      </c>
      <c r="B77" s="87">
        <f>VLOOKUP(A77,A:S,2,FALSE)</f>
        <v>50</v>
      </c>
      <c r="C77" s="246" t="str">
        <f>VLOOKUP(A77,A:S,10,FALSE)</f>
        <v>白</v>
      </c>
      <c r="D77" s="246" t="str">
        <f>VLOOKUP(A77,A:S,14,FALSE)</f>
        <v>89/48</v>
      </c>
      <c r="E77" s="246" t="str">
        <f>VLOOKUP(A77,A:S,11,FALSE)</f>
        <v>DTY圆机丝</v>
      </c>
      <c r="F77" s="246" t="str">
        <f>VLOOKUP(A77,A:S,16,FALSE)</f>
        <v>圆机领用</v>
      </c>
      <c r="G77" s="246" t="str">
        <f>VLOOKUP(A77,A:S,13,FALSE)</f>
        <v>S21211</v>
      </c>
      <c r="H77" s="246" t="str">
        <f>VLOOKUP(A77,A:S,9,FALSE)</f>
        <v>D/89/48/W/AAAA/0</v>
      </c>
      <c r="I77" s="246" t="str">
        <f>VLOOKUP(A77,A:S,12,FALSE)</f>
        <v>长乐</v>
      </c>
      <c r="J77" s="246" t="str">
        <f>IF(ISNA(VLOOKUP(A77,A:S,5,FALSE)),0,VLOOKUP(A77,A:S,5,FALSE))</f>
        <v>16414.82</v>
      </c>
      <c r="K77" s="246">
        <f>IF(L77&lt;&gt;"",L77,VLOOKUP(A77,A:T,20,FALSE))</f>
        <v>0</v>
      </c>
      <c r="L77" s="248">
        <v>0</v>
      </c>
      <c r="M77" s="314"/>
      <c r="N77" s="314"/>
      <c r="O77" s="246" t="s">
        <v>2330</v>
      </c>
      <c r="P77" s="314"/>
      <c r="Q77" s="314"/>
      <c r="R77" s="250" t="str">
        <f t="shared" si="7"/>
        <v/>
      </c>
    </row>
    <row r="78" spans="1:21" ht="18" customHeight="1">
      <c r="A78" s="74" t="s">
        <v>1212</v>
      </c>
      <c r="B78" s="87">
        <f>VLOOKUP(A78,A:S,2,FALSE)</f>
        <v>50</v>
      </c>
      <c r="C78" s="246" t="str">
        <f>VLOOKUP(A78,A:S,10,FALSE)</f>
        <v>白高温</v>
      </c>
      <c r="D78" s="246" t="str">
        <f>VLOOKUP(A78,A:S,14,FALSE)</f>
        <v>89/48</v>
      </c>
      <c r="E78" s="246" t="str">
        <f>VLOOKUP(A78,A:S,11,FALSE)</f>
        <v>DTY圆机丝</v>
      </c>
      <c r="F78" s="246" t="str">
        <f>VLOOKUP(A78,A:S,16,FALSE)</f>
        <v>圆机领用</v>
      </c>
      <c r="G78" s="246" t="str">
        <f>VLOOKUP(A78,A:S,13,FALSE)</f>
        <v>S21211</v>
      </c>
      <c r="H78" s="246" t="str">
        <f>VLOOKUP(A78,A:S,9,FALSE)</f>
        <v/>
      </c>
      <c r="I78" s="246" t="str">
        <f>VLOOKUP(A78,A:S,12,FALSE)</f>
        <v>长乐</v>
      </c>
      <c r="J78" s="246" t="str">
        <f>IF(ISNA(VLOOKUP(A78,A:S,5,FALSE)),0,VLOOKUP(A78,A:S,5,FALSE))</f>
        <v>4770.7</v>
      </c>
      <c r="K78" s="246">
        <f ca="1">IF(L78&lt;&gt;"",L78,VLOOKUP(A78,A:T,20,FALSE))</f>
        <v>0</v>
      </c>
      <c r="L78" s="248"/>
      <c r="M78" s="313">
        <f ca="1">--VLOOKUP(A78,A:U,21,FALSE)</f>
        <v>1328.1</v>
      </c>
      <c r="N78" s="313">
        <f ca="1">(J78+K78+J79+K79-M78)/M78</f>
        <v>2.863188012950832</v>
      </c>
      <c r="O78" s="246" t="s">
        <v>2348</v>
      </c>
      <c r="P78" s="313">
        <f t="array" ref="P78">IF(F78="圆机领用",IF(C78="白高温",SUM(SUMIFS(plan!$X:$X,plan!$C:$C,inventory!B78,plan!$A:$A,{"B5034W","B5036Wgw","A7548xl","C7542wb"})),IF(C78="白无温",SUM(SUMIFS(plan!X:X,plan!A:A,"C5040wsj",plan!C:C,inventory!B78)),SUM(SUMIFS(plan!$X:$X,plan!$C:$C,inventory!B78,plan!$H:$H,IF(C78&lt;&gt;"黑",{"本白","漂白","灰色","黑色","亚白"},"黑丝"),plan!$D:$D,"")))),SUM(SUMIFS(plan!$Z:$Z,plan!$C:$C,LEFT(B78,LEN(B78)-2),plan!$H:$H,IF(C78&lt;&gt;"黑",{"本白","漂白","灰色","黑色","亚白"},"黑丝")))+SUM(SUMIFS(plan!$AA:$AA,plan!$D:$D,LEFT(B78,LEN(B78)-2),plan!$H:$H,IF(C78&lt;&gt;"黑",{"本白","漂白","灰色","黑色","亚白"},"黑丝"))))</f>
        <v>0</v>
      </c>
      <c r="Q78" s="313">
        <f t="shared" ca="1" si="6"/>
        <v>8510.2999999999993</v>
      </c>
      <c r="R78" s="250" t="str">
        <f t="shared" si="7"/>
        <v/>
      </c>
    </row>
    <row r="79" spans="1:21" ht="18" customHeight="1">
      <c r="A79" s="74" t="s">
        <v>3196</v>
      </c>
      <c r="B79" s="87">
        <f>VLOOKUP(A79,A:S,2,FALSE)</f>
        <v>50</v>
      </c>
      <c r="C79" s="246" t="str">
        <f>VLOOKUP(A79,A:S,10,FALSE)</f>
        <v>白高温</v>
      </c>
      <c r="D79" s="246" t="str">
        <f>VLOOKUP(A79,A:S,14,FALSE)</f>
        <v>89/48</v>
      </c>
      <c r="E79" s="246" t="str">
        <f>VLOOKUP(A79,A:S,11,FALSE)</f>
        <v>DTY圆机丝</v>
      </c>
      <c r="F79" s="246" t="str">
        <f>VLOOKUP(A79,A:S,16,FALSE)</f>
        <v>圆机领用</v>
      </c>
      <c r="G79" s="246" t="str">
        <f>VLOOKUP(A79,A:S,13,FALSE)</f>
        <v>S21211</v>
      </c>
      <c r="H79" s="246" t="str">
        <f>VLOOKUP(A79,A:S,9,FALSE)</f>
        <v>D/89/48/W/AAA/0</v>
      </c>
      <c r="I79" s="246" t="str">
        <f>VLOOKUP(A79,A:S,12,FALSE)</f>
        <v>长乐</v>
      </c>
      <c r="J79" s="246" t="str">
        <f>IF(ISNA(VLOOKUP(A79,A:S,5,FALSE)),0,VLOOKUP(A79,A:S,5,FALSE))</f>
        <v>360</v>
      </c>
      <c r="K79" s="246">
        <f ca="1">IF(L79&lt;&gt;"",L79,VLOOKUP(A79,A:T,20,FALSE))</f>
        <v>0</v>
      </c>
      <c r="L79" s="248"/>
      <c r="M79" s="314"/>
      <c r="N79" s="314"/>
      <c r="O79" s="246" t="s">
        <v>2331</v>
      </c>
      <c r="P79" s="392"/>
      <c r="Q79" s="314"/>
    </row>
    <row r="80" spans="1:21" ht="18" customHeight="1">
      <c r="A80" s="74" t="s">
        <v>2332</v>
      </c>
      <c r="B80" s="87">
        <f>VLOOKUP(A80,A:S,2,FALSE)</f>
        <v>50</v>
      </c>
      <c r="C80" s="246" t="str">
        <f>VLOOKUP(A80,A:S,10,FALSE)</f>
        <v>白无温</v>
      </c>
      <c r="D80" s="246" t="str">
        <f>VLOOKUP(A80,A:S,14,FALSE)</f>
        <v>104/36</v>
      </c>
      <c r="E80" s="246" t="str">
        <f>VLOOKUP(A80,A:S,11,FALSE)</f>
        <v>DTY圆机丝</v>
      </c>
      <c r="F80" s="246" t="str">
        <f>VLOOKUP(A80,A:S,16,FALSE)</f>
        <v>圆机领用</v>
      </c>
      <c r="G80" s="246" t="str">
        <f>VLOOKUP(A80,A:S,13,FALSE)</f>
        <v>32605</v>
      </c>
      <c r="H80" s="246" t="str">
        <f>VLOOKUP(A80,A:S,9,FALSE)</f>
        <v>D/104/36/W/AAAA/0</v>
      </c>
      <c r="I80" s="246" t="str">
        <f>VLOOKUP(A80,A:S,12,FALSE)</f>
        <v>申久</v>
      </c>
      <c r="J80" s="246" t="str">
        <f>IF(ISNA(VLOOKUP(A80,A:S,5,FALSE)),0,VLOOKUP(A80,A:S,5,FALSE))</f>
        <v>3621</v>
      </c>
      <c r="K80" s="246">
        <f ca="1">IF(L80&lt;&gt;"",L80,VLOOKUP(A80,A:T,20,FALSE))</f>
        <v>856.5</v>
      </c>
      <c r="L80" s="248"/>
      <c r="M80" s="246">
        <f ca="1">--VLOOKUP(A80,A:U,21,FALSE)</f>
        <v>504.4</v>
      </c>
      <c r="N80" s="246">
        <f t="shared" ca="1" si="5"/>
        <v>7.8768834258524985</v>
      </c>
      <c r="O80" s="246" t="s">
        <v>2349</v>
      </c>
      <c r="P80" s="246">
        <f t="array" ref="P80">IF(F80="圆机领用",IF(C80="白高温",SUM(SUMIFS(plan!$X:$X,plan!$C:$C,inventory!B80,plan!$A:$A,{"B5034W","B5036Wgw","A7548xl","C7542wb"})),IF(C80="白无温",SUM(SUMIFS(plan!X:X,plan!A:A,"C5040wsj",plan!C:C,inventory!B80)),SUM(SUMIFS(plan!$X:$X,plan!$C:$C,inventory!B80,plan!$H:$H,IF(C80&lt;&gt;"黑",{"本白","漂白","灰色","黑色","亚白"},"黑丝"),plan!$D:$D,"")))),SUM(SUMIFS(plan!$Z:$Z,plan!$C:$C,LEFT(B80,LEN(B80)-2),plan!$H:$H,IF(C80&lt;&gt;"黑",{"本白","漂白","灰色","黑色","亚白"},"黑丝")))+SUM(SUMIFS(plan!$AA:$AA,plan!$D:$D,LEFT(B80,LEN(B80)-2),plan!$H:$H,IF(C80&lt;&gt;"黑",{"本白","漂白","灰色","黑色","亚白"},"黑丝"))))</f>
        <v>1701.2598425196848</v>
      </c>
      <c r="Q80" s="246">
        <f t="shared" ca="1" si="6"/>
        <v>3124.2598425196848</v>
      </c>
      <c r="R80" s="250" t="str">
        <f t="shared" si="7"/>
        <v/>
      </c>
    </row>
    <row r="81" spans="1:18" ht="18" customHeight="1">
      <c r="A81" s="74" t="s">
        <v>1213</v>
      </c>
      <c r="B81" s="87">
        <f>VLOOKUP(A81,A:S,2,FALSE)</f>
        <v>50</v>
      </c>
      <c r="C81" s="246" t="str">
        <f>VLOOKUP(A81,A:S,10,FALSE)</f>
        <v>黑</v>
      </c>
      <c r="D81" s="246" t="str">
        <f>VLOOKUP(A81,A:S,14,FALSE)</f>
        <v>94/36</v>
      </c>
      <c r="E81" s="246" t="str">
        <f>VLOOKUP(A81,A:S,11,FALSE)</f>
        <v>DTY圆机丝</v>
      </c>
      <c r="F81" s="246" t="str">
        <f>VLOOKUP(A81,A:S,16,FALSE)</f>
        <v>圆机领用</v>
      </c>
      <c r="G81" s="246" t="str">
        <f>VLOOKUP(A81,A:S,13,FALSE)</f>
        <v>640094</v>
      </c>
      <c r="H81" s="246" t="str">
        <f>VLOOKUP(A81,A:S,9,FALSE)</f>
        <v>D94/36/B/AAA/0</v>
      </c>
      <c r="I81" s="246" t="str">
        <f>VLOOKUP(A81,A:S,12,FALSE)</f>
        <v>固力</v>
      </c>
      <c r="J81" s="246" t="str">
        <f>IF(ISNA(VLOOKUP(A81,A:S,5,FALSE)),0,VLOOKUP(A81,A:S,5,FALSE))</f>
        <v>2037.5</v>
      </c>
      <c r="K81" s="246">
        <f ca="1">IF(L81&lt;&gt;"",L81,VLOOKUP(A81,A:T,20,FALSE))</f>
        <v>604.29999999999995</v>
      </c>
      <c r="L81" s="248"/>
      <c r="M81" s="246">
        <f ca="1">--VLOOKUP(A81,A:U,21,FALSE)</f>
        <v>1166.5999999999999</v>
      </c>
      <c r="N81" s="246">
        <f t="shared" ca="1" si="5"/>
        <v>1.2645294016800963</v>
      </c>
      <c r="O81" s="246" t="s">
        <v>2331</v>
      </c>
      <c r="P81" s="313">
        <f t="array" ref="P81">IF(F81="圆机领用",IF(C81="白高温",SUM(SUMIFS(plan!$X:$X,plan!$C:$C,inventory!B81,plan!$A:$A,{"B5034W","B5036Wgw","A7548xl","C7542wb"})),IF(C81="白无温",SUM(SUMIFS(plan!X:X,plan!A:A,"C5040wsj",plan!C:C,inventory!B81)),SUM(SUMIFS(plan!$X:$X,plan!$C:$C,inventory!B81,plan!$H:$H,IF(C81&lt;&gt;"黑",{"本白","漂白","灰色","黑色","亚白"},"黑丝"),plan!$D:$D,"")))),SUM(SUMIFS(plan!$Z:$Z,plan!$C:$C,LEFT(B81,LEN(B81)-2),plan!$H:$H,IF(C81&lt;&gt;"黑",{"本白","漂白","灰色","黑色","亚白"},"黑丝")))+SUM(SUMIFS(plan!$AA:$AA,plan!$D:$D,LEFT(B81,LEN(B81)-2),plan!$H:$H,IF(C81&lt;&gt;"黑",{"本白","漂白","灰色","黑色","亚白"},"黑丝"))))</f>
        <v>15820.916010498688</v>
      </c>
      <c r="Q81" s="313">
        <f t="shared" ca="1" si="6"/>
        <v>25449.416010498688</v>
      </c>
      <c r="R81" s="250" t="str">
        <f t="shared" si="7"/>
        <v/>
      </c>
    </row>
    <row r="82" spans="1:18" ht="18" customHeight="1">
      <c r="A82" s="74" t="s">
        <v>2327</v>
      </c>
      <c r="B82" s="87">
        <f>VLOOKUP(A82,A:S,2,FALSE)</f>
        <v>50</v>
      </c>
      <c r="C82" s="246" t="str">
        <f>VLOOKUP(A82,A:S,10,FALSE)</f>
        <v>黑</v>
      </c>
      <c r="D82" s="246" t="str">
        <f>VLOOKUP(A82,A:S,14,FALSE)</f>
        <v>94/36</v>
      </c>
      <c r="E82" s="246" t="str">
        <f>VLOOKUP(A82,A:S,11,FALSE)</f>
        <v>DTY圆机丝</v>
      </c>
      <c r="F82" s="246" t="str">
        <f>VLOOKUP(A82,A:S,16,FALSE)</f>
        <v>圆机领用</v>
      </c>
      <c r="G82" s="246">
        <f>VLOOKUP(A82,A:S,13,FALSE)</f>
        <v>640094</v>
      </c>
      <c r="H82" s="246" t="str">
        <f>VLOOKUP(A82,A:S,9,FALSE)</f>
        <v/>
      </c>
      <c r="I82" s="246" t="str">
        <f>VLOOKUP(A82,A:S,12,FALSE)</f>
        <v>固力</v>
      </c>
      <c r="J82" s="246" t="str">
        <f>IF(ISNA(VLOOKUP(A82,A:S,5,FALSE)),0,VLOOKUP(A82,A:S,5,FALSE))</f>
        <v>675.31</v>
      </c>
      <c r="K82" s="246">
        <f>IF(L82&lt;&gt;"",L82,VLOOKUP(A82,A:T,20,FALSE))</f>
        <v>0</v>
      </c>
      <c r="L82" s="248">
        <v>0</v>
      </c>
      <c r="M82" s="246"/>
      <c r="N82" s="246" t="e">
        <f t="shared" si="5"/>
        <v>#DIV/0!</v>
      </c>
      <c r="O82" s="277" t="s">
        <v>2457</v>
      </c>
      <c r="P82" s="392"/>
      <c r="Q82" s="314"/>
      <c r="R82" s="250" t="str">
        <f t="shared" si="7"/>
        <v/>
      </c>
    </row>
    <row r="83" spans="1:18" ht="18" customHeight="1">
      <c r="A83" s="74" t="s">
        <v>1214</v>
      </c>
      <c r="B83" s="87">
        <f>VLOOKUP(A83,A:S,2,FALSE)</f>
        <v>75</v>
      </c>
      <c r="C83" s="246" t="str">
        <f>VLOOKUP(A83,A:S,10,FALSE)</f>
        <v>白</v>
      </c>
      <c r="D83" s="246" t="str">
        <f>VLOOKUP(A83,A:S,14,FALSE)</f>
        <v>130/48</v>
      </c>
      <c r="E83" s="246" t="str">
        <f>VLOOKUP(A83,A:S,11,FALSE)</f>
        <v>DTY圆机丝</v>
      </c>
      <c r="F83" s="246" t="str">
        <f>VLOOKUP(A83,A:S,16,FALSE)</f>
        <v>圆机领用</v>
      </c>
      <c r="G83" s="246" t="str">
        <f>VLOOKUP(A83,A:S,13,FALSE)</f>
        <v>S21325</v>
      </c>
      <c r="H83" s="246" t="str">
        <f>VLOOKUP(A83,A:S,9,FALSE)</f>
        <v>D/130/48/W/AAAA/0</v>
      </c>
      <c r="I83" s="246" t="str">
        <f>VLOOKUP(A83,A:S,12,FALSE)</f>
        <v>长乐</v>
      </c>
      <c r="J83" s="246" t="str">
        <f>IF(ISNA(VLOOKUP(A83,A:S,5,FALSE)),0,VLOOKUP(A83,A:S,5,FALSE))</f>
        <v>5036</v>
      </c>
      <c r="K83" s="246">
        <f ca="1">IF(L83&lt;&gt;"",L83,VLOOKUP(A83,A:T,20,FALSE))</f>
        <v>1066.7</v>
      </c>
      <c r="L83" s="248"/>
      <c r="M83" s="246">
        <f ca="1">--VLOOKUP(A83,A:U,21,FALSE)</f>
        <v>1182.2</v>
      </c>
      <c r="N83" s="246">
        <f t="shared" ca="1" si="5"/>
        <v>4.1621553036711214</v>
      </c>
      <c r="O83" s="246" t="s">
        <v>2331</v>
      </c>
      <c r="P83" s="313">
        <f t="array" ref="P83">IF(F83="圆机领用",IF(C83="白高温",SUM(SUMIFS(plan!$X:$X,plan!$C:$C,inventory!B83,plan!$A:$A,{"B5034W","B5036Wgw","A7548xl","C7542wb"})),IF(C83="白无温",SUM(SUMIFS(plan!X:X,plan!A:A,"C5040wsj",plan!C:C,inventory!B83)),SUM(SUMIFS(plan!$X:$X,plan!$C:$C,inventory!B83,plan!$H:$H,IF(C83&lt;&gt;"黑",{"本白","漂白","灰色","黑色","亚白"},"黑丝"),plan!$D:$D,"")))),SUM(SUMIFS(plan!$Z:$Z,plan!$C:$C,LEFT(B83,LEN(B83)-2),plan!$H:$H,IF(C83&lt;&gt;"黑",{"本白","漂白","灰色","黑色","亚白"},"黑丝")))+SUM(SUMIFS(plan!$AA:$AA,plan!$D:$D,LEFT(B83,LEN(B83)-2),plan!$H:$H,IF(C83&lt;&gt;"黑",{"本白","漂白","灰色","黑色","亚白"},"黑丝"))))-P85</f>
        <v>16725.721784776906</v>
      </c>
      <c r="Q83" s="313">
        <f t="shared" ca="1" si="6"/>
        <v>23511.721784776906</v>
      </c>
      <c r="R83" s="250" t="str">
        <f t="shared" si="7"/>
        <v/>
      </c>
    </row>
    <row r="84" spans="1:18" ht="18" customHeight="1">
      <c r="A84" s="74" t="s">
        <v>1216</v>
      </c>
      <c r="B84" s="87">
        <f>VLOOKUP(A84,A:S,2,FALSE)</f>
        <v>75</v>
      </c>
      <c r="C84" s="246" t="str">
        <f>VLOOKUP(A84,A:S,10,FALSE)</f>
        <v>白</v>
      </c>
      <c r="D84" s="246" t="str">
        <f>VLOOKUP(A84,A:S,14,FALSE)</f>
        <v>130/48</v>
      </c>
      <c r="E84" s="246" t="str">
        <f>VLOOKUP(A84,A:S,11,FALSE)</f>
        <v>DTY圆机丝</v>
      </c>
      <c r="F84" s="246" t="str">
        <f>VLOOKUP(A84,A:S,16,FALSE)</f>
        <v>圆机领用</v>
      </c>
      <c r="G84" s="246" t="str">
        <f>VLOOKUP(A84,A:S,13,FALSE)</f>
        <v>32115</v>
      </c>
      <c r="H84" s="246" t="str">
        <f>VLOOKUP(A84,A:S,9,FALSE)</f>
        <v>D/130/48/W/AAAA/0</v>
      </c>
      <c r="I84" s="246" t="str">
        <f>VLOOKUP(A84,A:S,12,FALSE)</f>
        <v>申久</v>
      </c>
      <c r="J84" s="246" t="str">
        <f>IF(ISNA(VLOOKUP(A84,A:S,5,FALSE)),0,VLOOKUP(A84,A:S,5,FALSE))</f>
        <v>54.7</v>
      </c>
      <c r="K84" s="246">
        <f>IF(L84&lt;&gt;"",L84,VLOOKUP(A84,A:T,20,FALSE))</f>
        <v>0</v>
      </c>
      <c r="L84" s="248">
        <v>0</v>
      </c>
      <c r="M84" s="246"/>
      <c r="N84" s="246" t="e">
        <f t="shared" si="5"/>
        <v>#DIV/0!</v>
      </c>
      <c r="O84" s="277" t="s">
        <v>2333</v>
      </c>
      <c r="P84" s="314"/>
      <c r="Q84" s="314"/>
      <c r="R84" s="250" t="str">
        <f t="shared" si="7"/>
        <v/>
      </c>
    </row>
    <row r="85" spans="1:18" ht="18" customHeight="1">
      <c r="A85" s="74" t="s">
        <v>1215</v>
      </c>
      <c r="B85" s="87">
        <f>VLOOKUP(A85,A:S,2,FALSE)</f>
        <v>75</v>
      </c>
      <c r="C85" s="246" t="str">
        <f>VLOOKUP(A85,A:S,10,FALSE)</f>
        <v>白高温</v>
      </c>
      <c r="D85" s="246" t="str">
        <f>VLOOKUP(A85,A:S,14,FALSE)</f>
        <v>130/48</v>
      </c>
      <c r="E85" s="246" t="str">
        <f>VLOOKUP(A85,A:S,11,FALSE)</f>
        <v>DTY圆机丝</v>
      </c>
      <c r="F85" s="246" t="str">
        <f>VLOOKUP(A85,A:S,16,FALSE)</f>
        <v>圆机领用</v>
      </c>
      <c r="G85" s="246" t="str">
        <f>VLOOKUP(A85,A:S,13,FALSE)</f>
        <v>S21325</v>
      </c>
      <c r="H85" s="246" t="str">
        <f>VLOOKUP(A85,A:S,9,FALSE)</f>
        <v/>
      </c>
      <c r="I85" s="246" t="str">
        <f>VLOOKUP(A85,A:S,12,FALSE)</f>
        <v>长乐</v>
      </c>
      <c r="J85" s="246">
        <f>IF(ISNA(VLOOKUP(A85,A:S,5,FALSE)),0,VLOOKUP(A85,A:S,5,FALSE))</f>
        <v>0</v>
      </c>
      <c r="K85" s="246">
        <f>IF(L85&lt;&gt;"",L85,VLOOKUP(A85,A:T,20,FALSE))</f>
        <v>0</v>
      </c>
      <c r="L85" s="248">
        <v>0</v>
      </c>
      <c r="M85" s="313">
        <f ca="1">--VLOOKUP(A85,A:U,21,FALSE)</f>
        <v>706.5</v>
      </c>
      <c r="N85" s="313">
        <f t="shared" ca="1" si="5"/>
        <v>-1</v>
      </c>
      <c r="O85" s="246" t="s">
        <v>2334</v>
      </c>
      <c r="P85" s="313">
        <f t="array" ref="P85">IF(F85="圆机领用",IF(C85="白高温",SUM(SUMIFS(plan!$X:$X,plan!$C:$C,inventory!B85,plan!$A:$A,{"B5034W","B5036Wgw","A7548xl","C7542wb"})),IF(C85="白无温",SUM(SUMIFS(plan!X:X,plan!A:A,"C5040wsj",plan!C:C,inventory!B85)),SUM(SUMIFS(plan!$X:$X,plan!$C:$C,inventory!B85,plan!$H:$H,IF(C85&lt;&gt;"黑",{"本白","漂白","灰色","黑色","亚白"},"黑丝"),plan!$D:$D,"")))),SUM(SUMIFS(plan!$Z:$Z,plan!$C:$C,LEFT(B85,LEN(B85)-2),plan!$H:$H,IF(C85&lt;&gt;"黑",{"本白","漂白","灰色","黑色","亚白"},"黑丝")))+SUM(SUMIFS(plan!$AA:$AA,plan!$D:$D,LEFT(B85,LEN(B85)-2),plan!$H:$H,IF(C85&lt;&gt;"黑",{"本白","漂白","灰色","黑色","亚白"},"黑丝"))))</f>
        <v>4334.2629046369202</v>
      </c>
      <c r="Q85" s="313">
        <f t="shared" ca="1" si="6"/>
        <v>11399.26290463692</v>
      </c>
      <c r="R85" s="250" t="str">
        <f t="shared" si="7"/>
        <v/>
      </c>
    </row>
    <row r="86" spans="1:18" ht="18" customHeight="1">
      <c r="A86" s="74" t="s">
        <v>3125</v>
      </c>
      <c r="B86" s="87">
        <v>75</v>
      </c>
      <c r="C86" s="246" t="str">
        <f>VLOOKUP(A86,A:S,10,FALSE)</f>
        <v>白高温</v>
      </c>
      <c r="D86" s="246" t="str">
        <f>VLOOKUP(A86,A:S,14,FALSE)</f>
        <v>130/48</v>
      </c>
      <c r="E86" s="246" t="str">
        <f>VLOOKUP(A86,A:S,11,FALSE)</f>
        <v>DTY圆机丝</v>
      </c>
      <c r="F86" s="246" t="str">
        <f>VLOOKUP(A86,A:S,16,FALSE)</f>
        <v>圆机领用</v>
      </c>
      <c r="G86" s="246" t="str">
        <f>VLOOKUP(A86,A:S,13,FALSE)</f>
        <v>S21325</v>
      </c>
      <c r="H86" s="246" t="str">
        <f>VLOOKUP(A86,A:S,9,FALSE)</f>
        <v>D/130/48/W/AAAA/0</v>
      </c>
      <c r="I86" s="246" t="str">
        <f>VLOOKUP(A86,A:S,12,FALSE)</f>
        <v>长乐</v>
      </c>
      <c r="J86" s="246" t="str">
        <f>IF(ISNA(VLOOKUP(A86,A:S,5,FALSE)),0,VLOOKUP(A86,A:S,5,FALSE))</f>
        <v>580</v>
      </c>
      <c r="K86" s="246">
        <f ca="1">IF(L86&lt;&gt;"",L86,VLOOKUP(A86,A:T,20,FALSE))</f>
        <v>0</v>
      </c>
      <c r="L86" s="248"/>
      <c r="M86" s="314"/>
      <c r="N86" s="314"/>
      <c r="O86" s="246" t="s">
        <v>2331</v>
      </c>
      <c r="P86" s="314"/>
      <c r="Q86" s="314"/>
    </row>
    <row r="87" spans="1:18" ht="18" customHeight="1">
      <c r="A87" s="74" t="s">
        <v>1217</v>
      </c>
      <c r="B87" s="87">
        <f>VLOOKUP(A87,A:S,2,FALSE)</f>
        <v>75</v>
      </c>
      <c r="C87" s="246" t="str">
        <f>VLOOKUP(A87,A:S,10,FALSE)</f>
        <v>黑</v>
      </c>
      <c r="D87" s="246" t="str">
        <f>VLOOKUP(A87,A:S,14,FALSE)</f>
        <v>132/48</v>
      </c>
      <c r="E87" s="246" t="str">
        <f>VLOOKUP(A87,A:S,11,FALSE)</f>
        <v>DTY圆机丝</v>
      </c>
      <c r="F87" s="246" t="str">
        <f>VLOOKUP(A87,A:S,16,FALSE)</f>
        <v>圆机领用</v>
      </c>
      <c r="G87" s="246" t="str">
        <f>VLOOKUP(A87,A:S,13,FALSE)</f>
        <v>84132</v>
      </c>
      <c r="H87" s="246" t="str">
        <f>VLOOKUP(A87,A:S,9,FALSE)</f>
        <v>D/132/48/B/AAAA/0</v>
      </c>
      <c r="I87" s="246" t="str">
        <f>VLOOKUP(A87,A:S,12,FALSE)</f>
        <v>固力</v>
      </c>
      <c r="J87" s="246" t="str">
        <f>IF(ISNA(VLOOKUP(A87,A:S,5,FALSE)),0,VLOOKUP(A87,A:S,5,FALSE))</f>
        <v>5155.52</v>
      </c>
      <c r="K87" s="246">
        <f ca="1">IF(L87&lt;&gt;"",L87,VLOOKUP(A87,A:T,20,FALSE))</f>
        <v>0</v>
      </c>
      <c r="L87" s="248"/>
      <c r="M87" s="246">
        <f ca="1">--VLOOKUP(A87,A:U,21,FALSE)</f>
        <v>0</v>
      </c>
      <c r="N87" s="246" t="e">
        <f t="shared" ref="N87:N101" ca="1" si="8">(J87+K87-M87)/M87</f>
        <v>#DIV/0!</v>
      </c>
      <c r="O87" s="246"/>
      <c r="P87" s="246">
        <f t="array" ref="P87">IF(F87="圆机领用",IF(C87="白高温",SUM(SUMIFS(plan!$X:$X,plan!$C:$C,inventory!B87,plan!$A:$A,{"B5034W","B5036Wgw","A7548xl","C7542wb"})),IF(C87="白无温",SUM(SUMIFS(plan!X:X,plan!A:A,"C5040wsj",plan!C:C,inventory!B87)),SUM(SUMIFS(plan!$X:$X,plan!$C:$C,inventory!B87,plan!$H:$H,IF(C87&lt;&gt;"黑",{"本白","漂白","灰色","黑色","亚白"},"黑丝"),plan!$D:$D,"")))),SUM(SUMIFS(plan!$Z:$Z,plan!$C:$C,LEFT(B87,LEN(B87)-2),plan!$H:$H,IF(C87&lt;&gt;"黑",{"本白","漂白","灰色","黑色","亚白"},"黑丝")))+SUM(SUMIFS(plan!$AA:$AA,plan!$D:$D,LEFT(B87,LEN(B87)-2),plan!$H:$H,IF(C87&lt;&gt;"黑",{"本白","漂白","灰色","黑色","亚白"},"黑丝"))))</f>
        <v>0</v>
      </c>
      <c r="Q87" s="246" t="str">
        <f t="shared" ca="1" si="6"/>
        <v/>
      </c>
      <c r="R87" s="250" t="str">
        <f t="shared" si="7"/>
        <v/>
      </c>
    </row>
    <row r="88" spans="1:18" ht="18" customHeight="1">
      <c r="A88" s="74" t="s">
        <v>1218</v>
      </c>
      <c r="B88" s="87">
        <f>VLOOKUP(A88,A:S,2,FALSE)</f>
        <v>100</v>
      </c>
      <c r="C88" s="246" t="str">
        <f>VLOOKUP(A88,A:S,10,FALSE)</f>
        <v>白</v>
      </c>
      <c r="D88" s="246" t="str">
        <f>VLOOKUP(A88,A:S,14,FALSE)</f>
        <v>172/48</v>
      </c>
      <c r="E88" s="246" t="str">
        <f>VLOOKUP(A88,A:S,11,FALSE)</f>
        <v>DTY圆机丝</v>
      </c>
      <c r="F88" s="246" t="str">
        <f>VLOOKUP(A88,A:S,16,FALSE)</f>
        <v>圆机领用</v>
      </c>
      <c r="G88" s="246" t="str">
        <f>VLOOKUP(A88,A:S,13,FALSE)</f>
        <v>73003</v>
      </c>
      <c r="H88" s="246" t="str">
        <f>VLOOKUP(A88,A:S,9,FALSE)</f>
        <v>D/172/48/W/AAAA/0</v>
      </c>
      <c r="I88" s="246" t="str">
        <f>VLOOKUP(A88,A:S,12,FALSE)</f>
        <v>申久</v>
      </c>
      <c r="J88" s="246" t="str">
        <f>IF(ISNA(VLOOKUP(A88,A:S,5,FALSE)),0,VLOOKUP(A88,A:S,5,FALSE))</f>
        <v>2768</v>
      </c>
      <c r="K88" s="246">
        <f ca="1">IF(L88&lt;&gt;"",L88,VLOOKUP(A88,A:T,20,FALSE))</f>
        <v>0</v>
      </c>
      <c r="L88" s="248"/>
      <c r="M88" s="246">
        <f ca="1">--VLOOKUP(A88,A:U,21,FALSE)</f>
        <v>0</v>
      </c>
      <c r="N88" s="246" t="e">
        <f t="shared" ca="1" si="8"/>
        <v>#DIV/0!</v>
      </c>
      <c r="O88" s="246"/>
      <c r="P88" s="246">
        <f t="array" ref="P88">IF(F88="圆机领用",IF(C88="白高温",SUM(SUMIFS(plan!$X:$X,plan!$C:$C,inventory!B88,plan!$A:$A,{"B5034W","B5036Wgw","A7548xl","C7542wb"})),IF(C88="白无温",SUM(SUMIFS(plan!X:X,plan!A:A,"C5040wsj",plan!C:C,inventory!B88)),SUM(SUMIFS(plan!$X:$X,plan!$C:$C,inventory!B88,plan!$H:$H,IF(C88&lt;&gt;"黑",{"本白","漂白","灰色","黑色","亚白"},"黑丝"),plan!$D:$D,"")))),SUM(SUMIFS(plan!$Z:$Z,plan!$C:$C,LEFT(B88,LEN(B88)-2),plan!$H:$H,IF(C88&lt;&gt;"黑",{"本白","漂白","灰色","黑色","亚白"},"黑丝")))+SUM(SUMIFS(plan!$AA:$AA,plan!$D:$D,LEFT(B88,LEN(B88)-2),plan!$H:$H,IF(C88&lt;&gt;"黑",{"本白","漂白","灰色","黑色","亚白"},"黑丝"))))</f>
        <v>0</v>
      </c>
      <c r="Q88" s="246" t="str">
        <f t="shared" ca="1" si="6"/>
        <v/>
      </c>
    </row>
    <row r="89" spans="1:18" ht="18" customHeight="1">
      <c r="A89" s="74" t="s">
        <v>1219</v>
      </c>
      <c r="B89" s="60" t="str">
        <f>VLOOKUP(A89,A:S,2,FALSE)</f>
        <v>20网络</v>
      </c>
      <c r="C89" s="60" t="str">
        <f>VLOOKUP(A89,A:S,10,FALSE)</f>
        <v>白</v>
      </c>
      <c r="D89" s="60" t="str">
        <f>VLOOKUP(A89,A:S,14,FALSE)</f>
        <v>35/24</v>
      </c>
      <c r="E89" s="60" t="str">
        <f>VLOOKUP(A89,A:S,11,FALSE)</f>
        <v>DTY喷水经丝</v>
      </c>
      <c r="F89" s="60" t="str">
        <f>VLOOKUP(A89,A:S,16,FALSE)</f>
        <v>喷水领用</v>
      </c>
      <c r="G89" s="60" t="str">
        <f>VLOOKUP(A89,A:S,13,FALSE)</f>
        <v>S21102P</v>
      </c>
      <c r="H89" s="60" t="str">
        <f>VLOOKUP(A89,A:S,9,FALSE)</f>
        <v>D/35/24/W/AAAA/0</v>
      </c>
      <c r="I89" s="60" t="str">
        <f>VLOOKUP(A89,A:S,12,FALSE)</f>
        <v>长乐</v>
      </c>
      <c r="J89" s="60" t="str">
        <f>IF(ISNA(VLOOKUP(A89,A:S,5,FALSE)),0,VLOOKUP(A89,A:S,5,FALSE))</f>
        <v>4567.8</v>
      </c>
      <c r="K89" s="60">
        <f ca="1">IF(L89&lt;&gt;"",L89,VLOOKUP(A89,A:T,20,FALSE))</f>
        <v>0</v>
      </c>
      <c r="L89" s="387"/>
      <c r="M89" s="60">
        <f>--VLOOKUP(A89,A:U,21,FALSE)</f>
        <v>523.61646520314957</v>
      </c>
      <c r="N89" s="60">
        <f t="shared" ca="1" si="8"/>
        <v>7.7235606661601306</v>
      </c>
      <c r="O89" s="60"/>
      <c r="P89" s="246">
        <f t="array" ref="P89">IF(F89="圆机领用",IF(C89="白高温",SUM(SUMIFS(plan!$X:$X,plan!$C:$C,inventory!B89,plan!$A:$A,{"B5034W","B5036Wgw","A7548xl","C7542wb"})),IF(C89="白无温",SUM(SUMIFS(plan!X:X,plan!A:A,"C5040wsj",plan!C:C,inventory!B89)),SUM(SUMIFS(plan!$X:$X,plan!$C:$C,inventory!B89,plan!$H:$H,IF(C89&lt;&gt;"黑",{"本白","漂白","灰色","黑色","亚白"},"黑丝"),plan!$D:$D,"")))),SUM(SUMIFS(plan!$Z:$Z,plan!$C:$C,LEFT(B89,LEN(B89)-2),plan!$H:$H,IF(C89&lt;&gt;"黑",{"本白","漂白","灰色","黑色","亚白"},"黑丝")))+SUM(SUMIFS(plan!$AA:$AA,plan!$D:$D,LEFT(B89,LEN(B89)-2),plan!$H:$H,IF(C89&lt;&gt;"黑",{"本白","漂白","灰色","黑色","亚白"},"黑丝"))))</f>
        <v>293.87377427821519</v>
      </c>
      <c r="Q89" s="246">
        <f t="shared" si="6"/>
        <v>962.23842630971012</v>
      </c>
    </row>
    <row r="90" spans="1:18" ht="18" customHeight="1">
      <c r="A90" s="74" t="s">
        <v>1220</v>
      </c>
      <c r="B90" s="60" t="str">
        <f>VLOOKUP(A90,A:S,2,FALSE)</f>
        <v>20网络</v>
      </c>
      <c r="C90" s="60" t="str">
        <f>VLOOKUP(A90,A:S,10,FALSE)</f>
        <v>黑</v>
      </c>
      <c r="D90" s="60" t="str">
        <f>VLOOKUP(A90,A:S,14,FALSE)</f>
        <v>36/24</v>
      </c>
      <c r="E90" s="60" t="str">
        <f>VLOOKUP(A90,A:S,11,FALSE)</f>
        <v>DTY喷水经丝</v>
      </c>
      <c r="F90" s="60" t="str">
        <f>VLOOKUP(A90,A:S,16,FALSE)</f>
        <v>喷水领用</v>
      </c>
      <c r="G90" s="60" t="str">
        <f>VLOOKUP(A90,A:S,13,FALSE)</f>
        <v>240036</v>
      </c>
      <c r="H90" s="60" t="str">
        <f>VLOOKUP(A90,A:S,9,FALSE)</f>
        <v>D/36/24/B/AAAA/0</v>
      </c>
      <c r="I90" s="60" t="str">
        <f>VLOOKUP(A90,A:S,12,FALSE)</f>
        <v>固力</v>
      </c>
      <c r="J90" s="60" t="str">
        <f>IF(ISNA(VLOOKUP(A90,A:S,5,FALSE)),0,VLOOKUP(A90,A:S,5,FALSE))</f>
        <v>12738</v>
      </c>
      <c r="K90" s="60">
        <f ca="1">IF(L90&lt;&gt;"",L90,VLOOKUP(A90,A:T,20,FALSE))</f>
        <v>0</v>
      </c>
      <c r="L90" s="387"/>
      <c r="M90" s="60">
        <f>--VLOOKUP(A90,A:U,21,FALSE)</f>
        <v>318.76655660752402</v>
      </c>
      <c r="N90" s="60">
        <f t="shared" ca="1" si="8"/>
        <v>38.96027731253956</v>
      </c>
      <c r="O90" s="60"/>
      <c r="P90" s="246">
        <f t="array" ref="P90">IF(F90="圆机领用",IF(C90="白高温",SUM(SUMIFS(plan!$X:$X,plan!$C:$C,inventory!B90,plan!$A:$A,{"B5034W","B5036Wgw","A7548xl","C7542wb"})),IF(C90="白无温",SUM(SUMIFS(plan!X:X,plan!A:A,"C5040wsj",plan!C:C,inventory!B90)),SUM(SUMIFS(plan!$X:$X,plan!$C:$C,inventory!B90,plan!$H:$H,IF(C90&lt;&gt;"黑",{"本白","漂白","灰色","黑色","亚白"},"黑丝"),plan!$D:$D,"")))),SUM(SUMIFS(plan!$Z:$Z,plan!$C:$C,LEFT(B90,LEN(B90)-2),plan!$H:$H,IF(C90&lt;&gt;"黑",{"本白","漂白","灰色","黑色","亚白"},"黑丝")))+SUM(SUMIFS(plan!$AA:$AA,plan!$D:$D,LEFT(B90,LEN(B90)-2),plan!$H:$H,IF(C90&lt;&gt;"黑",{"本白","漂白","灰色","黑色","亚白"},"黑丝"))))</f>
        <v>0</v>
      </c>
      <c r="Q90" s="246" t="str">
        <f t="shared" si="6"/>
        <v/>
      </c>
    </row>
    <row r="91" spans="1:18" ht="18" customHeight="1">
      <c r="A91" s="74" t="s">
        <v>3145</v>
      </c>
      <c r="B91" s="60" t="str">
        <f>VLOOKUP(A91,A:S,2,FALSE)</f>
        <v>30网络</v>
      </c>
      <c r="C91" s="60" t="str">
        <f>VLOOKUP(A91,A:S,10,FALSE)</f>
        <v>白</v>
      </c>
      <c r="D91" s="60" t="str">
        <f>VLOOKUP(A91,A:S,14,FALSE)</f>
        <v>30/24</v>
      </c>
      <c r="E91" s="60" t="str">
        <f>VLOOKUP(A91,A:S,11,FALSE)</f>
        <v>DTY喷水经丝</v>
      </c>
      <c r="F91" s="60" t="str">
        <f>VLOOKUP(A91,A:S,16,FALSE)</f>
        <v>喷水领用</v>
      </c>
      <c r="G91" s="60" t="str">
        <f>VLOOKUP(A91,A:S,13,FALSE)</f>
        <v>15802</v>
      </c>
      <c r="H91" s="60" t="str">
        <f>VLOOKUP(A91,A:S,9,FALSE)</f>
        <v>D/30/24/W/AAAA/0</v>
      </c>
      <c r="I91" s="60" t="str">
        <f>VLOOKUP(A91,A:S,12,FALSE)</f>
        <v>隆顺</v>
      </c>
      <c r="J91" s="60" t="str">
        <f>IF(ISNA(VLOOKUP(A91,A:S,5,FALSE)),0,VLOOKUP(A91,A:S,5,FALSE))</f>
        <v>12615.3</v>
      </c>
      <c r="K91" s="60">
        <f ca="1">IF(L91&lt;&gt;"",L91,VLOOKUP(A91,A:T,20,FALSE))</f>
        <v>0</v>
      </c>
      <c r="L91" s="387"/>
      <c r="M91" s="60">
        <f>--VLOOKUP(A91,A:U,21,FALSE)</f>
        <v>775.96804387191605</v>
      </c>
      <c r="N91" s="60">
        <f t="shared" ref="N91" ca="1" si="9">(J91+K91-M91)/M91</f>
        <v>15.257499390119634</v>
      </c>
      <c r="O91" s="60" t="s">
        <v>3143</v>
      </c>
      <c r="P91" s="246">
        <f t="array" ref="P91">IF(F91="圆机领用",IF(C91="白高温",SUM(SUMIFS(plan!$X:$X,plan!$C:$C,inventory!B91,plan!$A:$A,{"B5034W","B5036Wgw","A7548xl","C7542wb"})),IF(C91="白无温",SUM(SUMIFS(plan!X:X,plan!A:A,"C5040wsj",plan!C:C,inventory!B91)),SUM(SUMIFS(plan!$X:$X,plan!$C:$C,inventory!B91,plan!$H:$H,IF(C91&lt;&gt;"黑",{"本白","漂白","灰色","黑色","亚白"},"黑丝"),plan!$D:$D,"")))),SUM(SUMIFS(plan!$Z:$Z,plan!$C:$C,LEFT(B91,LEN(B91)-2),plan!$H:$H,IF(C91&lt;&gt;"黑",{"本白","漂白","灰色","黑色","亚白"},"黑丝")))+SUM(SUMIFS(plan!$AA:$AA,plan!$D:$D,LEFT(B91,LEN(B91)-2),plan!$H:$H,IF(C91&lt;&gt;"黑",{"本白","漂白","灰色","黑色","亚白"},"黑丝"))))</f>
        <v>5711.7645150656172</v>
      </c>
      <c r="Q91" s="246">
        <f t="shared" si="6"/>
        <v>856.14495378477841</v>
      </c>
    </row>
    <row r="92" spans="1:18" ht="18" customHeight="1">
      <c r="A92" s="74" t="s">
        <v>1221</v>
      </c>
      <c r="B92" s="60" t="str">
        <f>VLOOKUP(A92,A:S,2,FALSE)</f>
        <v>30网络</v>
      </c>
      <c r="C92" s="60" t="str">
        <f>VLOOKUP(A92,A:S,10,FALSE)</f>
        <v>黑</v>
      </c>
      <c r="D92" s="60" t="str">
        <f>VLOOKUP(A92,A:S,14,FALSE)</f>
        <v>55/24</v>
      </c>
      <c r="E92" s="60" t="str">
        <f>VLOOKUP(A92,A:S,11,FALSE)</f>
        <v>DTY喷水经丝</v>
      </c>
      <c r="F92" s="60" t="str">
        <f>VLOOKUP(A92,A:S,16,FALSE)</f>
        <v>喷水领用</v>
      </c>
      <c r="G92" s="60" t="str">
        <f>VLOOKUP(A92,A:S,13,FALSE)</f>
        <v>240055</v>
      </c>
      <c r="H92" s="60" t="str">
        <f>VLOOKUP(A92,A:S,9,FALSE)</f>
        <v>D/55/24/B/AAAA/0</v>
      </c>
      <c r="I92" s="60" t="str">
        <f>VLOOKUP(A92,A:S,12,FALSE)</f>
        <v>固力</v>
      </c>
      <c r="J92" s="60" t="str">
        <f>IF(ISNA(VLOOKUP(A92,A:S,5,FALSE)),0,VLOOKUP(A92,A:S,5,FALSE))</f>
        <v>8638.32</v>
      </c>
      <c r="K92" s="60">
        <f ca="1">IF(L92&lt;&gt;"",L92,VLOOKUP(A92,A:T,20,FALSE))</f>
        <v>621.11599999999999</v>
      </c>
      <c r="L92" s="387"/>
      <c r="M92" s="60">
        <f>--VLOOKUP(A92,A:U,21,FALSE)</f>
        <v>299.58280419947505</v>
      </c>
      <c r="N92" s="60">
        <f t="shared" ca="1" si="8"/>
        <v>29.907768637597339</v>
      </c>
      <c r="O92" s="60"/>
      <c r="P92" s="246">
        <f t="array" ref="P92">IF(F92="圆机领用",IF(C92="白高温",SUM(SUMIFS(plan!$X:$X,plan!$C:$C,inventory!B92,plan!$A:$A,{"B5034W","B5036Wgw","A7548xl","C7542wb"})),IF(C92="白无温",SUM(SUMIFS(plan!X:X,plan!A:A,"C5040wsj",plan!C:C,inventory!B92)),SUM(SUMIFS(plan!$X:$X,plan!$C:$C,inventory!B92,plan!$H:$H,IF(C92&lt;&gt;"黑",{"本白","漂白","灰色","黑色","亚白"},"黑丝"),plan!$D:$D,"")))),SUM(SUMIFS(plan!$Z:$Z,plan!$C:$C,LEFT(B92,LEN(B92)-2),plan!$H:$H,IF(C92&lt;&gt;"黑",{"本白","漂白","灰色","黑色","亚白"},"黑丝")))+SUM(SUMIFS(plan!$AA:$AA,plan!$D:$D,LEFT(B92,LEN(B92)-2),plan!$H:$H,IF(C92&lt;&gt;"黑",{"本白","漂白","灰色","黑色","亚白"},"黑丝"))))</f>
        <v>25.909864146981626</v>
      </c>
      <c r="Q92" s="246" t="str">
        <f t="shared" si="6"/>
        <v/>
      </c>
    </row>
    <row r="93" spans="1:18" ht="18" customHeight="1">
      <c r="A93" s="74" t="s">
        <v>1222</v>
      </c>
      <c r="B93" s="60" t="str">
        <f>VLOOKUP(A93,A:S,2,FALSE)</f>
        <v>50网络</v>
      </c>
      <c r="C93" s="60" t="str">
        <f>VLOOKUP(A93,A:S,10,FALSE)</f>
        <v>白</v>
      </c>
      <c r="D93" s="60" t="str">
        <f>VLOOKUP(A93,A:S,14,FALSE)</f>
        <v>89/48</v>
      </c>
      <c r="E93" s="60" t="str">
        <f>VLOOKUP(A93,A:S,11,FALSE)</f>
        <v>DTY喷水经丝</v>
      </c>
      <c r="F93" s="60" t="str">
        <f>VLOOKUP(A93,A:S,16,FALSE)</f>
        <v>喷水领用</v>
      </c>
      <c r="G93" s="60" t="str">
        <f>VLOOKUP(A93,A:S,13,FALSE)</f>
        <v>S21211</v>
      </c>
      <c r="H93" s="60" t="str">
        <f>VLOOKUP(A93,A:S,9,FALSE)</f>
        <v>D89/48/W/AAAA/0</v>
      </c>
      <c r="I93" s="60" t="str">
        <f>VLOOKUP(A93,A:S,12,FALSE)</f>
        <v>长乐</v>
      </c>
      <c r="J93" s="60" t="str">
        <f>IF(ISNA(VLOOKUP(A93,A:S,5,FALSE)),0,VLOOKUP(A93,A:S,5,FALSE))</f>
        <v>22627.7</v>
      </c>
      <c r="K93" s="60">
        <f ca="1">IF(L93&lt;&gt;"",L93,VLOOKUP(A93,A:T,20,FALSE))</f>
        <v>0</v>
      </c>
      <c r="L93" s="387"/>
      <c r="M93" s="60">
        <f>--VLOOKUP(A93,A:U,21,FALSE)</f>
        <v>0</v>
      </c>
      <c r="N93" s="60" t="e">
        <f t="shared" ca="1" si="8"/>
        <v>#DIV/0!</v>
      </c>
      <c r="O93" s="60"/>
      <c r="P93" s="246">
        <f t="array" ref="P93">IF(F93="圆机领用",IF(C93="白高温",SUM(SUMIFS(plan!$X:$X,plan!$C:$C,inventory!B93,plan!$A:$A,{"B5034W","B5036Wgw","A7548xl","C7542wb"})),IF(C93="白无温",SUM(SUMIFS(plan!X:X,plan!A:A,"C5040wsj",plan!C:C,inventory!B93)),SUM(SUMIFS(plan!$X:$X,plan!$C:$C,inventory!B93,plan!$H:$H,IF(C93&lt;&gt;"黑",{"本白","漂白","灰色","黑色","亚白"},"黑丝"),plan!$D:$D,"")))),SUM(SUMIFS(plan!$Z:$Z,plan!$C:$C,LEFT(B93,LEN(B93)-2),plan!$H:$H,IF(C93&lt;&gt;"黑",{"本白","漂白","灰色","黑色","亚白"},"黑丝")))+SUM(SUMIFS(plan!$AA:$AA,plan!$D:$D,LEFT(B93,LEN(B93)-2),plan!$H:$H,IF(C93&lt;&gt;"黑",{"本白","漂白","灰色","黑色","亚白"},"黑丝"))))</f>
        <v>2587.1260761154858</v>
      </c>
      <c r="Q93" s="246" t="str">
        <f t="shared" si="6"/>
        <v/>
      </c>
    </row>
    <row r="94" spans="1:18" ht="18" customHeight="1">
      <c r="A94" s="74" t="s">
        <v>1223</v>
      </c>
      <c r="B94" s="60" t="str">
        <f>VLOOKUP(A94,A:S,2,FALSE)</f>
        <v>50网络</v>
      </c>
      <c r="C94" s="60" t="str">
        <f>VLOOKUP(A94,A:S,10,FALSE)</f>
        <v>黑</v>
      </c>
      <c r="D94" s="60" t="str">
        <f>VLOOKUP(A94,A:S,14,FALSE)</f>
        <v>94/36</v>
      </c>
      <c r="E94" s="60" t="str">
        <f>VLOOKUP(A94,A:S,11,FALSE)</f>
        <v>DTY喷水经丝</v>
      </c>
      <c r="F94" s="60" t="str">
        <f>VLOOKUP(A94,A:S,16,FALSE)</f>
        <v>喷水领用</v>
      </c>
      <c r="G94" s="60" t="str">
        <f>VLOOKUP(A94,A:S,13,FALSE)</f>
        <v>640094</v>
      </c>
      <c r="H94" s="60" t="str">
        <f>VLOOKUP(A94,A:S,9,FALSE)</f>
        <v>D/94/36/B/AAAA/0</v>
      </c>
      <c r="I94" s="60" t="str">
        <f>VLOOKUP(A94,A:S,12,FALSE)</f>
        <v>固力</v>
      </c>
      <c r="J94" s="60">
        <f>IF(ISNA(VLOOKUP(A94,A:S,5,FALSE)),0,VLOOKUP(A94,A:S,5,FALSE))</f>
        <v>0</v>
      </c>
      <c r="K94" s="60">
        <f ca="1">IF(L94&lt;&gt;"",L94,VLOOKUP(A94,A:T,20,FALSE))</f>
        <v>628.6</v>
      </c>
      <c r="L94" s="387"/>
      <c r="M94" s="60">
        <f>--VLOOKUP(A94,A:U,21,FALSE)</f>
        <v>234.410779007874</v>
      </c>
      <c r="N94" s="60">
        <f t="shared" ca="1" si="8"/>
        <v>1.6816172987458267</v>
      </c>
      <c r="O94" s="60"/>
      <c r="P94" s="246">
        <f t="array" ref="P94">IF(F94="圆机领用",IF(C94="白高温",SUM(SUMIFS(plan!$X:$X,plan!$C:$C,inventory!B94,plan!$A:$A,{"B5034W","B5036Wgw","A7548xl","C7542wb"})),IF(C94="白无温",SUM(SUMIFS(plan!X:X,plan!A:A,"C5040wsj",plan!C:C,inventory!B94)),SUM(SUMIFS(plan!$X:$X,plan!$C:$C,inventory!B94,plan!$H:$H,IF(C94&lt;&gt;"黑",{"本白","漂白","灰色","黑色","亚白"},"黑丝"),plan!$D:$D,"")))),SUM(SUMIFS(plan!$Z:$Z,plan!$C:$C,LEFT(B94,LEN(B94)-2),plan!$H:$H,IF(C94&lt;&gt;"黑",{"本白","漂白","灰色","黑色","亚白"},"黑丝")))+SUM(SUMIFS(plan!$AA:$AA,plan!$D:$D,LEFT(B94,LEN(B94)-2),plan!$H:$H,IF(C94&lt;&gt;"黑",{"本白","漂白","灰色","黑色","亚白"},"黑丝"))))</f>
        <v>0</v>
      </c>
      <c r="Q94" s="246">
        <f t="shared" si="6"/>
        <v>2344.10779007874</v>
      </c>
    </row>
    <row r="95" spans="1:18" ht="18" customHeight="1">
      <c r="A95" s="74" t="s">
        <v>1224</v>
      </c>
      <c r="B95" s="60" t="str">
        <f>VLOOKUP(A95,A:S,2,FALSE)</f>
        <v>75网络</v>
      </c>
      <c r="C95" s="60" t="str">
        <f>VLOOKUP(A95,A:S,10,FALSE)</f>
        <v>白</v>
      </c>
      <c r="D95" s="60" t="str">
        <f>VLOOKUP(A95,A:S,14,FALSE)</f>
        <v>130/48</v>
      </c>
      <c r="E95" s="60" t="str">
        <f>VLOOKUP(A95,A:S,11,FALSE)</f>
        <v>DTY喷水经丝</v>
      </c>
      <c r="F95" s="60" t="str">
        <f>VLOOKUP(A95,A:S,16,FALSE)</f>
        <v>喷水领用</v>
      </c>
      <c r="G95" s="60" t="str">
        <f>VLOOKUP(A95,A:S,13,FALSE)</f>
        <v>S21325</v>
      </c>
      <c r="H95" s="60" t="str">
        <f>VLOOKUP(A95,A:S,9,FALSE)</f>
        <v>D/130/48/W/AAAA/0</v>
      </c>
      <c r="I95" s="60" t="str">
        <f>VLOOKUP(A95,A:S,12,FALSE)</f>
        <v>长乐</v>
      </c>
      <c r="J95" s="60" t="str">
        <f>IF(ISNA(VLOOKUP(A95,A:S,5,FALSE)),0,VLOOKUP(A95,A:S,5,FALSE))</f>
        <v>46787.61</v>
      </c>
      <c r="K95" s="60">
        <f ca="1">IF(L95&lt;&gt;"",L95,VLOOKUP(A95,A:T,20,FALSE))</f>
        <v>0</v>
      </c>
      <c r="L95" s="387"/>
      <c r="M95" s="60">
        <f>--VLOOKUP(A95,A:U,21,FALSE)</f>
        <v>747.68481999999983</v>
      </c>
      <c r="N95" s="60">
        <f t="shared" ca="1" si="8"/>
        <v>61.576648272730758</v>
      </c>
      <c r="O95" s="60"/>
      <c r="P95" s="246">
        <f t="array" ref="P95">IF(F95="圆机领用",IF(C95="白高温",SUM(SUMIFS(plan!$X:$X,plan!$C:$C,inventory!B95,plan!$A:$A,{"B5034W","B5036Wgw","A7548xl","C7542wb"})),IF(C95="白无温",SUM(SUMIFS(plan!X:X,plan!A:A,"C5040wsj",plan!C:C,inventory!B95)),SUM(SUMIFS(plan!$X:$X,plan!$C:$C,inventory!B95,plan!$H:$H,IF(C95&lt;&gt;"黑",{"本白","漂白","灰色","黑色","亚白"},"黑丝"),plan!$D:$D,"")))),SUM(SUMIFS(plan!$Z:$Z,plan!$C:$C,LEFT(B95,LEN(B95)-2),plan!$H:$H,IF(C95&lt;&gt;"黑",{"本白","漂白","灰色","黑色","亚白"},"黑丝")))+SUM(SUMIFS(plan!$AA:$AA,plan!$D:$D,LEFT(B95,LEN(B95)-2),plan!$H:$H,IF(C95&lt;&gt;"黑",{"本白","漂白","灰色","黑色","亚白"},"黑丝"))))</f>
        <v>1333.3595173228346</v>
      </c>
      <c r="Q95" s="246" t="str">
        <f t="shared" si="6"/>
        <v/>
      </c>
    </row>
    <row r="96" spans="1:18" ht="18" customHeight="1">
      <c r="A96" s="74" t="s">
        <v>1225</v>
      </c>
      <c r="B96" s="60" t="str">
        <f>VLOOKUP(A96,A:S,2,FALSE)</f>
        <v>75网络</v>
      </c>
      <c r="C96" s="60" t="str">
        <f>VLOOKUP(A96,A:S,10,FALSE)</f>
        <v>黑</v>
      </c>
      <c r="D96" s="60" t="str">
        <f>VLOOKUP(A96,A:S,14,FALSE)</f>
        <v>132/48</v>
      </c>
      <c r="E96" s="60" t="str">
        <f>VLOOKUP(A96,A:S,11,FALSE)</f>
        <v>DTY喷水经丝</v>
      </c>
      <c r="F96" s="60" t="str">
        <f>VLOOKUP(A96,A:S,16,FALSE)</f>
        <v>喷水领用</v>
      </c>
      <c r="G96" s="60" t="str">
        <f>VLOOKUP(A96,A:S,13,FALSE)</f>
        <v>84132</v>
      </c>
      <c r="H96" s="60" t="str">
        <f>VLOOKUP(A96,A:S,9,FALSE)</f>
        <v>D/132/48/B/AAAA/0</v>
      </c>
      <c r="I96" s="60" t="str">
        <f>VLOOKUP(A96,A:S,12,FALSE)</f>
        <v>固力</v>
      </c>
      <c r="J96" s="60" t="str">
        <f>IF(ISNA(VLOOKUP(A96,A:S,5,FALSE)),0,VLOOKUP(A96,A:S,5,FALSE))</f>
        <v>14066.32</v>
      </c>
      <c r="K96" s="60">
        <f ca="1">IF(L96&lt;&gt;"",L96,VLOOKUP(A96,A:T,20,FALSE))</f>
        <v>2548.9119999999998</v>
      </c>
      <c r="L96" s="387"/>
      <c r="M96" s="60">
        <f>--VLOOKUP(A96,A:U,21,FALSE)</f>
        <v>2868.6507833858263</v>
      </c>
      <c r="N96" s="60">
        <f t="shared" ca="1" si="8"/>
        <v>4.7920023225654838</v>
      </c>
      <c r="O96" s="60"/>
      <c r="P96" s="246">
        <f t="array" ref="P96">IF(F96="圆机领用",IF(C96="白高温",SUM(SUMIFS(plan!$X:$X,plan!$C:$C,inventory!B96,plan!$A:$A,{"B5034W","B5036Wgw","A7548xl","C7542wb"})),IF(C96="白无温",SUM(SUMIFS(plan!X:X,plan!A:A,"C5040wsj",plan!C:C,inventory!B96)),SUM(SUMIFS(plan!$X:$X,plan!$C:$C,inventory!B96,plan!$H:$H,IF(C96&lt;&gt;"黑",{"本白","漂白","灰色","黑色","亚白"},"黑丝"),plan!$D:$D,"")))),SUM(SUMIFS(plan!$Z:$Z,plan!$C:$C,LEFT(B96,LEN(B96)-2),plan!$H:$H,IF(C96&lt;&gt;"黑",{"本白","漂白","灰色","黑色","亚白"},"黑丝")))+SUM(SUMIFS(plan!$AA:$AA,plan!$D:$D,LEFT(B96,LEN(B96)-2),plan!$H:$H,IF(C96&lt;&gt;"黑",{"本白","漂白","灰色","黑色","亚白"},"黑丝"))))</f>
        <v>4182.4436384251967</v>
      </c>
      <c r="Q96" s="246">
        <f t="shared" si="6"/>
        <v>18802.631472283458</v>
      </c>
    </row>
    <row r="97" spans="1:17" ht="18" customHeight="1">
      <c r="A97" s="74" t="s">
        <v>1226</v>
      </c>
      <c r="B97" s="60" t="str">
        <f>VLOOKUP(A97,A:S,2,FALSE)</f>
        <v>100网络</v>
      </c>
      <c r="C97" s="60" t="str">
        <f>VLOOKUP(A97,A:S,10,FALSE)</f>
        <v>白</v>
      </c>
      <c r="D97" s="60" t="str">
        <f>VLOOKUP(A97,A:S,14,FALSE)</f>
        <v>172/48</v>
      </c>
      <c r="E97" s="60" t="str">
        <f>VLOOKUP(A97,A:S,11,FALSE)</f>
        <v>DTY喷水经丝</v>
      </c>
      <c r="F97" s="60" t="str">
        <f>VLOOKUP(A97,A:S,16,FALSE)</f>
        <v>喷水领用</v>
      </c>
      <c r="G97" s="60" t="str">
        <f>VLOOKUP(A97,A:S,13,FALSE)</f>
        <v>73003</v>
      </c>
      <c r="H97" s="60" t="str">
        <f>VLOOKUP(A97,A:S,9,FALSE)</f>
        <v>D/100/48/W/AAAA/0</v>
      </c>
      <c r="I97" s="60" t="str">
        <f>VLOOKUP(A97,A:S,12,FALSE)</f>
        <v>申久</v>
      </c>
      <c r="J97" s="60" t="str">
        <f>IF(ISNA(VLOOKUP(A97,A:S,5,FALSE)),0,VLOOKUP(A97,A:S,5,FALSE))</f>
        <v>12050</v>
      </c>
      <c r="K97" s="60">
        <f ca="1">IF(L97&lt;&gt;"",L97,VLOOKUP(A97,A:T,20,FALSE))</f>
        <v>1331.4</v>
      </c>
      <c r="L97" s="387"/>
      <c r="M97" s="60">
        <f>--VLOOKUP(A97,A:U,21,FALSE)</f>
        <v>218.87500000000003</v>
      </c>
      <c r="N97" s="60">
        <f t="shared" ca="1" si="8"/>
        <v>60.137178754997137</v>
      </c>
      <c r="O97" s="60"/>
      <c r="P97" s="246">
        <f t="array" ref="P97">IF(F97="圆机领用",IF(C97="白高温",SUM(SUMIFS(plan!$X:$X,plan!$C:$C,inventory!B97,plan!$A:$A,{"B5034W","B5036Wgw","A7548xl","C7542wb"})),IF(C97="白无温",SUM(SUMIFS(plan!X:X,plan!A:A,"C5040wsj",plan!C:C,inventory!B97)),SUM(SUMIFS(plan!$X:$X,plan!$C:$C,inventory!B97,plan!$H:$H,IF(C97&lt;&gt;"黑",{"本白","漂白","灰色","黑色","亚白"},"黑丝"),plan!$D:$D,"")))),SUM(SUMIFS(plan!$Z:$Z,plan!$C:$C,LEFT(B97,LEN(B97)-2),plan!$H:$H,IF(C97&lt;&gt;"黑",{"本白","漂白","灰色","黑色","亚白"},"黑丝")))+SUM(SUMIFS(plan!$AA:$AA,plan!$D:$D,LEFT(B97,LEN(B97)-2),plan!$H:$H,IF(C97&lt;&gt;"黑",{"本白","漂白","灰色","黑色","亚白"},"黑丝"))))</f>
        <v>1406.6630796150482</v>
      </c>
      <c r="Q97" s="246" t="str">
        <f t="shared" si="6"/>
        <v/>
      </c>
    </row>
    <row r="98" spans="1:17" ht="18" customHeight="1">
      <c r="A98" s="74" t="s">
        <v>1227</v>
      </c>
      <c r="B98" s="60" t="str">
        <f>VLOOKUP(A98,A:S,2,FALSE)</f>
        <v>100网络</v>
      </c>
      <c r="C98" s="60" t="str">
        <f>VLOOKUP(A98,A:S,10,FALSE)</f>
        <v>黑</v>
      </c>
      <c r="D98" s="60" t="str">
        <f>VLOOKUP(A98,A:S,14,FALSE)</f>
        <v>175/48</v>
      </c>
      <c r="E98" s="60" t="str">
        <f>VLOOKUP(A98,A:S,11,FALSE)</f>
        <v>DTY喷水经丝</v>
      </c>
      <c r="F98" s="60" t="str">
        <f>VLOOKUP(A98,A:S,16,FALSE)</f>
        <v>喷水领用</v>
      </c>
      <c r="G98" s="60" t="str">
        <f>VLOOKUP(A98,A:S,13,FALSE)</f>
        <v>H-H5121750482</v>
      </c>
      <c r="H98" s="60" t="str">
        <f>VLOOKUP(A98,A:S,9,FALSE)</f>
        <v>D/175/48/B/AAAA/0</v>
      </c>
      <c r="I98" s="60" t="str">
        <f>VLOOKUP(A98,A:S,12,FALSE)</f>
        <v>恒盛</v>
      </c>
      <c r="J98" s="60">
        <f>IF(ISNA(VLOOKUP(A98,A:S,5,FALSE)),0,VLOOKUP(A98,A:S,5,FALSE))</f>
        <v>0</v>
      </c>
      <c r="K98" s="60">
        <f ca="1">IF(L98&lt;&gt;"",L98,VLOOKUP(A98,A:T,20,FALSE))</f>
        <v>0</v>
      </c>
      <c r="L98" s="387"/>
      <c r="M98" s="60">
        <f>--VLOOKUP(A98,A:U,21,FALSE)</f>
        <v>769.25</v>
      </c>
      <c r="N98" s="60">
        <f t="shared" ca="1" si="8"/>
        <v>-1</v>
      </c>
      <c r="O98" s="60"/>
      <c r="P98" s="246">
        <f t="array" ref="P98">IF(F98="圆机领用",IF(C98="白高温",SUM(SUMIFS(plan!$X:$X,plan!$C:$C,inventory!B98,plan!$A:$A,{"B5034W","B5036Wgw","A7548xl","C7542wb"})),IF(C98="白无温",SUM(SUMIFS(plan!X:X,plan!A:A,"C5040wsj",plan!C:C,inventory!B98)),SUM(SUMIFS(plan!$X:$X,plan!$C:$C,inventory!B98,plan!$H:$H,IF(C98&lt;&gt;"黑",{"本白","漂白","灰色","黑色","亚白"},"黑丝"),plan!$D:$D,"")))),SUM(SUMIFS(plan!$Z:$Z,plan!$C:$C,LEFT(B98,LEN(B98)-2),plan!$H:$H,IF(C98&lt;&gt;"黑",{"本白","漂白","灰色","黑色","亚白"},"黑丝")))+SUM(SUMIFS(plan!$AA:$AA,plan!$D:$D,LEFT(B98,LEN(B98)-2),plan!$H:$H,IF(C98&lt;&gt;"黑",{"本白","漂白","灰色","黑色","亚白"},"黑丝"))))</f>
        <v>535.5</v>
      </c>
      <c r="Q98" s="246">
        <f t="shared" si="6"/>
        <v>8228</v>
      </c>
    </row>
    <row r="99" spans="1:17" ht="18" customHeight="1">
      <c r="A99" s="74" t="s">
        <v>2987</v>
      </c>
      <c r="B99" s="60" t="str">
        <f>VLOOKUP(A99,A:S,2,FALSE)</f>
        <v>200网络</v>
      </c>
      <c r="C99" s="60" t="str">
        <f>VLOOKUP(A99,A:S,10,FALSE)</f>
        <v>黑</v>
      </c>
      <c r="D99" s="60" t="str">
        <f>VLOOKUP(A99,A:S,14,FALSE)</f>
        <v>355/96</v>
      </c>
      <c r="E99" s="60" t="str">
        <f>VLOOKUP(A99,A:S,11,FALSE)</f>
        <v>DTY喷水经丝</v>
      </c>
      <c r="F99" s="60" t="str">
        <f>VLOOKUP(A99,A:S,16,FALSE)</f>
        <v>喷水领用</v>
      </c>
      <c r="G99" s="60" t="str">
        <f>VLOOKUP(A99,A:S,13,FALSE)</f>
        <v>HP06074</v>
      </c>
      <c r="H99" s="60" t="str">
        <f>VLOOKUP(A99,A:S,9,FALSE)</f>
        <v/>
      </c>
      <c r="I99" s="60" t="str">
        <f>VLOOKUP(A99,A:S,12,FALSE)</f>
        <v>新凤鸣</v>
      </c>
      <c r="J99" s="60" t="str">
        <f>IF(ISNA(VLOOKUP(A99,A:S,5,FALSE)),0,VLOOKUP(A99,A:S,5,FALSE))</f>
        <v>4785</v>
      </c>
      <c r="K99" s="60">
        <f ca="1">IF(L99&lt;&gt;"",L99,VLOOKUP(A99,A:T,20,FALSE))</f>
        <v>0</v>
      </c>
      <c r="L99" s="387"/>
      <c r="M99" s="60">
        <f>--VLOOKUP(A99,A:U,21,FALSE)</f>
        <v>1166.7848000000001</v>
      </c>
      <c r="N99" s="60">
        <f t="shared" ca="1" si="8"/>
        <v>3.1010133145375214</v>
      </c>
      <c r="O99" s="60"/>
      <c r="P99" s="246">
        <f t="array" ref="P99">IF(F99="圆机领用",IF(C99="白高温",SUM(SUMIFS(plan!$X:$X,plan!$C:$C,inventory!B99,plan!$A:$A,{"B5034W","B5036Wgw","A7548xl","C7542wb"})),IF(C99="白无温",SUM(SUMIFS(plan!X:X,plan!A:A,"C5040wsj",plan!C:C,inventory!B99)),SUM(SUMIFS(plan!$X:$X,plan!$C:$C,inventory!B99,plan!$H:$H,IF(C99&lt;&gt;"黑",{"本白","漂白","灰色","黑色","亚白"},"黑丝"),plan!$D:$D,"")))),SUM(SUMIFS(plan!$Z:$Z,plan!$C:$C,LEFT(B99,LEN(B99)-2),plan!$H:$H,IF(C99&lt;&gt;"黑",{"本白","漂白","灰色","黑色","亚白"},"黑丝")))+SUM(SUMIFS(plan!$AA:$AA,plan!$D:$D,LEFT(B99,LEN(B99)-2),plan!$H:$H,IF(C99&lt;&gt;"黑",{"本白","漂白","灰色","黑色","亚白"},"黑丝"))))</f>
        <v>4218.4098687664045</v>
      </c>
      <c r="Q99" s="246">
        <f t="shared" si="6"/>
        <v>11101.257868766406</v>
      </c>
    </row>
    <row r="100" spans="1:17" ht="18" customHeight="1">
      <c r="A100" s="74" t="s">
        <v>2988</v>
      </c>
      <c r="B100" s="60" t="str">
        <f>VLOOKUP(A100,A:S,2,FALSE)</f>
        <v>200网络</v>
      </c>
      <c r="C100" s="60" t="str">
        <f>VLOOKUP(A100,A:S,10,FALSE)</f>
        <v>黑</v>
      </c>
      <c r="D100" s="60" t="str">
        <f>VLOOKUP(A100,A:S,14,FALSE)</f>
        <v>355/96</v>
      </c>
      <c r="E100" s="60" t="str">
        <f>VLOOKUP(A100,A:S,11,FALSE)</f>
        <v>DTY喷水经丝</v>
      </c>
      <c r="F100" s="60" t="str">
        <f>VLOOKUP(A100,A:S,16,FALSE)</f>
        <v>喷水领用</v>
      </c>
      <c r="G100" s="60" t="s">
        <v>2852</v>
      </c>
      <c r="H100" s="60"/>
      <c r="I100" s="60" t="str">
        <f>VLOOKUP(A100,A:S,12,FALSE)</f>
        <v>恒盛</v>
      </c>
      <c r="J100" s="60" t="str">
        <f>IF(ISNA(VLOOKUP(A100,A:S,5,FALSE)),0,VLOOKUP(A100,A:S,5,FALSE))</f>
        <v>7041</v>
      </c>
      <c r="K100" s="60">
        <f ca="1">IF(L100&lt;&gt;"",L100,VLOOKUP(A100,A:T,20,FALSE))</f>
        <v>1760.25</v>
      </c>
      <c r="L100" s="387"/>
      <c r="M100" s="60">
        <f>--VLOOKUP(A100,A:U,21,FALSE)</f>
        <v>1166.7848000000001</v>
      </c>
      <c r="N100" s="60">
        <f t="shared" ref="N100" ca="1" si="10">(J100+K100-M100)/M100</f>
        <v>6.5431647721156452</v>
      </c>
      <c r="O100" s="60"/>
      <c r="P100" s="246"/>
      <c r="Q100" s="246">
        <f t="shared" si="6"/>
        <v>4626.8480000000018</v>
      </c>
    </row>
    <row r="101" spans="1:17" ht="18" customHeight="1">
      <c r="A101" s="74" t="s">
        <v>1228</v>
      </c>
      <c r="B101" s="60" t="str">
        <f>VLOOKUP(A101,A:S,2,FALSE)</f>
        <v>200网络</v>
      </c>
      <c r="C101" s="60" t="str">
        <f>VLOOKUP(A101,A:S,10,FALSE)</f>
        <v>白</v>
      </c>
      <c r="D101" s="60" t="str">
        <f>VLOOKUP(A101,A:S,14,FALSE)</f>
        <v>355/96</v>
      </c>
      <c r="E101" s="60" t="str">
        <f>VLOOKUP(A101,A:S,11,FALSE)</f>
        <v>DTY喷水经丝</v>
      </c>
      <c r="F101" s="60" t="str">
        <f>VLOOKUP(A101,A:S,16,FALSE)</f>
        <v>喷水领用</v>
      </c>
      <c r="G101" s="60" t="s">
        <v>2458</v>
      </c>
      <c r="H101" s="60" t="str">
        <f>VLOOKUP(A101,A:S,9,FALSE)</f>
        <v>D/355/96/W/AAAA/0</v>
      </c>
      <c r="I101" s="60" t="str">
        <f>VLOOKUP(A101,A:S,12,FALSE)</f>
        <v>新凤鸣</v>
      </c>
      <c r="J101" s="60" t="str">
        <f>IF(ISNA(VLOOKUP(A101,A:S,5,FALSE)),0,VLOOKUP(A101,A:S,5,FALSE))</f>
        <v>3891.3</v>
      </c>
      <c r="K101" s="60">
        <f ca="1">IF(L101&lt;&gt;"",L101,VLOOKUP(A101,A:T,20,FALSE))</f>
        <v>0</v>
      </c>
      <c r="L101" s="387"/>
      <c r="M101" s="60">
        <f>--VLOOKUP(A101,A:U,21,FALSE)</f>
        <v>695.42719160104991</v>
      </c>
      <c r="N101" s="60">
        <f t="shared" ca="1" si="8"/>
        <v>4.59555341953374</v>
      </c>
      <c r="O101" s="60"/>
      <c r="P101" s="246">
        <f t="array" ref="P101">IF(F101="圆机领用",IF(C101="白高温",SUM(SUMIFS(plan!$X:$X,plan!$C:$C,inventory!B101,plan!$A:$A,{"B5034W","B5036Wgw","A7548xl","C7542wb"})),IF(C101="白无温",SUM(SUMIFS(plan!X:X,plan!A:A,"C5040wsj",plan!C:C,inventory!B101)),SUM(SUMIFS(plan!$X:$X,plan!$C:$C,inventory!B101,plan!$H:$H,IF(C101&lt;&gt;"黑",{"本白","漂白","灰色","黑色","亚白"},"黑丝"),plan!$D:$D,"")))),SUM(SUMIFS(plan!$Z:$Z,plan!$C:$C,LEFT(B101,LEN(B101)-2),plan!$H:$H,IF(C101&lt;&gt;"黑",{"本白","漂白","灰色","黑色","亚白"},"黑丝")))+SUM(SUMIFS(plan!$AA:$AA,plan!$D:$D,LEFT(B101,LEN(B101)-2),plan!$H:$H,IF(C101&lt;&gt;"黑",{"本白","漂白","灰色","黑色","亚白"},"黑丝"))))</f>
        <v>2095.0940332458445</v>
      </c>
      <c r="Q101" s="246">
        <f t="shared" si="6"/>
        <v>5158.0659492563436</v>
      </c>
    </row>
    <row r="102" spans="1:17">
      <c r="A102" s="74"/>
      <c r="K102" s="250">
        <f ca="1">SUM(K75:K101)</f>
        <v>11330.678</v>
      </c>
    </row>
    <row r="103" spans="1:17">
      <c r="A103" s="74"/>
    </row>
    <row r="104" spans="1:17">
      <c r="A104" s="74"/>
    </row>
    <row r="105" spans="1:17">
      <c r="A105" s="74"/>
    </row>
    <row r="106" spans="1:17">
      <c r="A106" s="74" t="str">
        <f t="shared" ref="A106:A169" si="11">I106&amp;K106&amp;M106&amp;N106&amp;Q106</f>
        <v/>
      </c>
    </row>
    <row r="107" spans="1:17">
      <c r="A107" s="74" t="str">
        <f t="shared" si="11"/>
        <v/>
      </c>
    </row>
    <row r="108" spans="1:17">
      <c r="A108" s="74" t="str">
        <f t="shared" si="11"/>
        <v/>
      </c>
    </row>
    <row r="109" spans="1:17">
      <c r="A109" s="74" t="str">
        <f t="shared" si="11"/>
        <v/>
      </c>
    </row>
    <row r="110" spans="1:17">
      <c r="A110" s="74" t="str">
        <f t="shared" si="11"/>
        <v/>
      </c>
    </row>
    <row r="111" spans="1:17">
      <c r="A111" s="74" t="str">
        <f t="shared" si="11"/>
        <v/>
      </c>
    </row>
    <row r="112" spans="1:17">
      <c r="A112" s="74" t="str">
        <f t="shared" si="11"/>
        <v/>
      </c>
    </row>
    <row r="113" spans="1:1">
      <c r="A113" s="74" t="str">
        <f t="shared" si="11"/>
        <v/>
      </c>
    </row>
    <row r="114" spans="1:1">
      <c r="A114" s="74" t="str">
        <f t="shared" si="11"/>
        <v/>
      </c>
    </row>
    <row r="115" spans="1:1">
      <c r="A115" s="74" t="str">
        <f t="shared" si="11"/>
        <v/>
      </c>
    </row>
    <row r="116" spans="1:1">
      <c r="A116" s="74" t="str">
        <f t="shared" si="11"/>
        <v/>
      </c>
    </row>
    <row r="117" spans="1:1">
      <c r="A117" s="74" t="str">
        <f t="shared" si="11"/>
        <v/>
      </c>
    </row>
    <row r="118" spans="1:1">
      <c r="A118" s="74" t="str">
        <f t="shared" si="11"/>
        <v/>
      </c>
    </row>
    <row r="119" spans="1:1">
      <c r="A119" s="74" t="str">
        <f t="shared" si="11"/>
        <v/>
      </c>
    </row>
    <row r="120" spans="1:1">
      <c r="A120" s="74" t="str">
        <f t="shared" si="11"/>
        <v/>
      </c>
    </row>
    <row r="121" spans="1:1">
      <c r="A121" s="74" t="str">
        <f t="shared" si="11"/>
        <v/>
      </c>
    </row>
    <row r="122" spans="1:1">
      <c r="A122" s="74" t="str">
        <f t="shared" si="11"/>
        <v/>
      </c>
    </row>
    <row r="123" spans="1:1">
      <c r="A123" s="74" t="str">
        <f t="shared" si="11"/>
        <v/>
      </c>
    </row>
    <row r="124" spans="1:1">
      <c r="A124" s="74" t="str">
        <f t="shared" si="11"/>
        <v/>
      </c>
    </row>
    <row r="125" spans="1:1">
      <c r="A125" s="74" t="str">
        <f t="shared" si="11"/>
        <v/>
      </c>
    </row>
    <row r="126" spans="1:1">
      <c r="A126" s="74" t="str">
        <f t="shared" si="11"/>
        <v/>
      </c>
    </row>
    <row r="127" spans="1:1">
      <c r="A127" s="74" t="str">
        <f t="shared" si="11"/>
        <v/>
      </c>
    </row>
    <row r="128" spans="1:1">
      <c r="A128" s="74" t="str">
        <f t="shared" si="11"/>
        <v/>
      </c>
    </row>
    <row r="129" spans="1:1">
      <c r="A129" s="74" t="str">
        <f t="shared" si="11"/>
        <v/>
      </c>
    </row>
    <row r="130" spans="1:1">
      <c r="A130" s="74" t="str">
        <f t="shared" si="11"/>
        <v/>
      </c>
    </row>
    <row r="131" spans="1:1">
      <c r="A131" s="74" t="str">
        <f t="shared" si="11"/>
        <v/>
      </c>
    </row>
    <row r="132" spans="1:1">
      <c r="A132" s="74" t="str">
        <f t="shared" si="11"/>
        <v/>
      </c>
    </row>
    <row r="133" spans="1:1">
      <c r="A133" s="74" t="str">
        <f t="shared" si="11"/>
        <v/>
      </c>
    </row>
    <row r="134" spans="1:1">
      <c r="A134" s="74" t="str">
        <f t="shared" si="11"/>
        <v/>
      </c>
    </row>
    <row r="135" spans="1:1">
      <c r="A135" s="74" t="str">
        <f t="shared" si="11"/>
        <v/>
      </c>
    </row>
    <row r="136" spans="1:1">
      <c r="A136" s="74" t="str">
        <f t="shared" si="11"/>
        <v/>
      </c>
    </row>
    <row r="137" spans="1:1">
      <c r="A137" s="74" t="str">
        <f t="shared" si="11"/>
        <v/>
      </c>
    </row>
    <row r="138" spans="1:1">
      <c r="A138" s="74" t="str">
        <f t="shared" si="11"/>
        <v/>
      </c>
    </row>
    <row r="139" spans="1:1">
      <c r="A139" s="74" t="str">
        <f t="shared" si="11"/>
        <v/>
      </c>
    </row>
    <row r="140" spans="1:1">
      <c r="A140" s="74" t="str">
        <f t="shared" si="11"/>
        <v/>
      </c>
    </row>
    <row r="141" spans="1:1">
      <c r="A141" s="74" t="str">
        <f t="shared" si="11"/>
        <v/>
      </c>
    </row>
    <row r="142" spans="1:1">
      <c r="A142" s="74" t="str">
        <f t="shared" si="11"/>
        <v/>
      </c>
    </row>
    <row r="143" spans="1:1">
      <c r="A143" s="74" t="str">
        <f t="shared" si="11"/>
        <v/>
      </c>
    </row>
    <row r="144" spans="1:1">
      <c r="A144" s="74" t="str">
        <f t="shared" si="11"/>
        <v/>
      </c>
    </row>
    <row r="145" spans="1:1">
      <c r="A145" s="74" t="str">
        <f t="shared" si="11"/>
        <v/>
      </c>
    </row>
    <row r="146" spans="1:1">
      <c r="A146" s="74" t="str">
        <f t="shared" si="11"/>
        <v/>
      </c>
    </row>
    <row r="147" spans="1:1">
      <c r="A147" s="74" t="str">
        <f t="shared" si="11"/>
        <v/>
      </c>
    </row>
    <row r="148" spans="1:1">
      <c r="A148" s="74" t="str">
        <f t="shared" si="11"/>
        <v/>
      </c>
    </row>
    <row r="149" spans="1:1">
      <c r="A149" s="74" t="str">
        <f t="shared" si="11"/>
        <v/>
      </c>
    </row>
    <row r="150" spans="1:1">
      <c r="A150" s="74" t="str">
        <f t="shared" si="11"/>
        <v/>
      </c>
    </row>
    <row r="151" spans="1:1">
      <c r="A151" s="74" t="str">
        <f t="shared" si="11"/>
        <v/>
      </c>
    </row>
    <row r="152" spans="1:1">
      <c r="A152" s="74" t="str">
        <f t="shared" si="11"/>
        <v/>
      </c>
    </row>
    <row r="153" spans="1:1">
      <c r="A153" s="74" t="str">
        <f t="shared" si="11"/>
        <v/>
      </c>
    </row>
    <row r="154" spans="1:1">
      <c r="A154" s="74" t="str">
        <f t="shared" si="11"/>
        <v/>
      </c>
    </row>
    <row r="155" spans="1:1">
      <c r="A155" s="74" t="str">
        <f t="shared" si="11"/>
        <v/>
      </c>
    </row>
    <row r="156" spans="1:1">
      <c r="A156" s="74" t="str">
        <f t="shared" si="11"/>
        <v/>
      </c>
    </row>
    <row r="157" spans="1:1">
      <c r="A157" s="74" t="str">
        <f t="shared" si="11"/>
        <v/>
      </c>
    </row>
    <row r="158" spans="1:1">
      <c r="A158" s="74" t="str">
        <f t="shared" si="11"/>
        <v/>
      </c>
    </row>
    <row r="159" spans="1:1">
      <c r="A159" s="74" t="str">
        <f t="shared" si="11"/>
        <v/>
      </c>
    </row>
    <row r="160" spans="1:1">
      <c r="A160" s="74" t="str">
        <f t="shared" si="11"/>
        <v/>
      </c>
    </row>
    <row r="161" spans="1:1">
      <c r="A161" s="74" t="str">
        <f t="shared" si="11"/>
        <v/>
      </c>
    </row>
    <row r="162" spans="1:1">
      <c r="A162" s="74" t="str">
        <f t="shared" si="11"/>
        <v/>
      </c>
    </row>
    <row r="163" spans="1:1">
      <c r="A163" s="74" t="str">
        <f t="shared" si="11"/>
        <v/>
      </c>
    </row>
    <row r="164" spans="1:1">
      <c r="A164" s="74" t="str">
        <f t="shared" si="11"/>
        <v/>
      </c>
    </row>
    <row r="165" spans="1:1">
      <c r="A165" s="74" t="str">
        <f t="shared" si="11"/>
        <v/>
      </c>
    </row>
    <row r="166" spans="1:1">
      <c r="A166" s="74" t="str">
        <f t="shared" si="11"/>
        <v/>
      </c>
    </row>
    <row r="167" spans="1:1">
      <c r="A167" s="74" t="str">
        <f t="shared" si="11"/>
        <v/>
      </c>
    </row>
    <row r="168" spans="1:1">
      <c r="A168" s="74" t="str">
        <f t="shared" si="11"/>
        <v/>
      </c>
    </row>
    <row r="169" spans="1:1">
      <c r="A169" s="74" t="str">
        <f t="shared" si="11"/>
        <v/>
      </c>
    </row>
    <row r="170" spans="1:1">
      <c r="A170" s="74" t="str">
        <f t="shared" ref="A170:A233" si="12">I170&amp;K170&amp;M170&amp;N170&amp;Q170</f>
        <v/>
      </c>
    </row>
    <row r="171" spans="1:1">
      <c r="A171" s="74" t="str">
        <f t="shared" si="12"/>
        <v/>
      </c>
    </row>
    <row r="172" spans="1:1">
      <c r="A172" s="74" t="str">
        <f t="shared" si="12"/>
        <v/>
      </c>
    </row>
    <row r="173" spans="1:1">
      <c r="A173" s="74" t="str">
        <f t="shared" si="12"/>
        <v/>
      </c>
    </row>
    <row r="174" spans="1:1">
      <c r="A174" s="74" t="str">
        <f t="shared" si="12"/>
        <v/>
      </c>
    </row>
    <row r="175" spans="1:1">
      <c r="A175" s="74" t="str">
        <f t="shared" si="12"/>
        <v/>
      </c>
    </row>
    <row r="176" spans="1:1">
      <c r="A176" s="74" t="str">
        <f t="shared" si="12"/>
        <v/>
      </c>
    </row>
    <row r="177" spans="1:1">
      <c r="A177" s="74" t="str">
        <f t="shared" si="12"/>
        <v/>
      </c>
    </row>
    <row r="178" spans="1:1">
      <c r="A178" s="74" t="str">
        <f t="shared" si="12"/>
        <v/>
      </c>
    </row>
    <row r="179" spans="1:1">
      <c r="A179" s="74" t="str">
        <f t="shared" si="12"/>
        <v/>
      </c>
    </row>
    <row r="180" spans="1:1">
      <c r="A180" s="74" t="str">
        <f t="shared" si="12"/>
        <v/>
      </c>
    </row>
    <row r="181" spans="1:1">
      <c r="A181" s="74" t="str">
        <f t="shared" si="12"/>
        <v/>
      </c>
    </row>
    <row r="182" spans="1:1">
      <c r="A182" s="74" t="str">
        <f t="shared" si="12"/>
        <v/>
      </c>
    </row>
    <row r="183" spans="1:1">
      <c r="A183" s="74" t="str">
        <f t="shared" si="12"/>
        <v/>
      </c>
    </row>
    <row r="184" spans="1:1">
      <c r="A184" s="74" t="str">
        <f t="shared" si="12"/>
        <v/>
      </c>
    </row>
    <row r="185" spans="1:1">
      <c r="A185" s="74" t="str">
        <f t="shared" si="12"/>
        <v/>
      </c>
    </row>
    <row r="186" spans="1:1">
      <c r="A186" s="74" t="str">
        <f t="shared" si="12"/>
        <v/>
      </c>
    </row>
    <row r="187" spans="1:1">
      <c r="A187" s="74" t="str">
        <f t="shared" si="12"/>
        <v/>
      </c>
    </row>
    <row r="188" spans="1:1">
      <c r="A188" s="74" t="str">
        <f t="shared" si="12"/>
        <v/>
      </c>
    </row>
    <row r="189" spans="1:1">
      <c r="A189" s="74" t="str">
        <f t="shared" si="12"/>
        <v/>
      </c>
    </row>
    <row r="190" spans="1:1">
      <c r="A190" s="74" t="str">
        <f t="shared" si="12"/>
        <v/>
      </c>
    </row>
    <row r="191" spans="1:1">
      <c r="A191" s="74" t="str">
        <f t="shared" si="12"/>
        <v/>
      </c>
    </row>
    <row r="192" spans="1:1">
      <c r="A192" s="74" t="str">
        <f t="shared" si="12"/>
        <v/>
      </c>
    </row>
    <row r="193" spans="1:1">
      <c r="A193" s="74" t="str">
        <f t="shared" si="12"/>
        <v/>
      </c>
    </row>
    <row r="194" spans="1:1">
      <c r="A194" s="74" t="str">
        <f t="shared" si="12"/>
        <v/>
      </c>
    </row>
    <row r="195" spans="1:1">
      <c r="A195" s="74" t="str">
        <f t="shared" si="12"/>
        <v/>
      </c>
    </row>
    <row r="196" spans="1:1">
      <c r="A196" s="74" t="str">
        <f t="shared" si="12"/>
        <v/>
      </c>
    </row>
    <row r="197" spans="1:1">
      <c r="A197" s="74" t="str">
        <f t="shared" si="12"/>
        <v/>
      </c>
    </row>
    <row r="198" spans="1:1">
      <c r="A198" s="74" t="str">
        <f t="shared" si="12"/>
        <v/>
      </c>
    </row>
    <row r="199" spans="1:1">
      <c r="A199" s="74" t="str">
        <f t="shared" si="12"/>
        <v/>
      </c>
    </row>
    <row r="200" spans="1:1">
      <c r="A200" s="74" t="str">
        <f t="shared" si="12"/>
        <v/>
      </c>
    </row>
    <row r="201" spans="1:1">
      <c r="A201" s="74" t="str">
        <f t="shared" si="12"/>
        <v/>
      </c>
    </row>
    <row r="202" spans="1:1">
      <c r="A202" s="74" t="str">
        <f t="shared" si="12"/>
        <v/>
      </c>
    </row>
    <row r="203" spans="1:1">
      <c r="A203" s="74" t="str">
        <f t="shared" si="12"/>
        <v/>
      </c>
    </row>
    <row r="204" spans="1:1">
      <c r="A204" s="74" t="str">
        <f t="shared" si="12"/>
        <v/>
      </c>
    </row>
    <row r="205" spans="1:1">
      <c r="A205" s="74" t="str">
        <f t="shared" si="12"/>
        <v/>
      </c>
    </row>
    <row r="206" spans="1:1">
      <c r="A206" s="74" t="str">
        <f t="shared" si="12"/>
        <v/>
      </c>
    </row>
    <row r="207" spans="1:1">
      <c r="A207" s="74" t="str">
        <f t="shared" si="12"/>
        <v/>
      </c>
    </row>
    <row r="208" spans="1:1">
      <c r="A208" s="74" t="str">
        <f t="shared" si="12"/>
        <v/>
      </c>
    </row>
    <row r="209" spans="1:1">
      <c r="A209" s="74" t="str">
        <f t="shared" si="12"/>
        <v/>
      </c>
    </row>
    <row r="210" spans="1:1">
      <c r="A210" s="74" t="str">
        <f t="shared" si="12"/>
        <v/>
      </c>
    </row>
    <row r="211" spans="1:1">
      <c r="A211" s="74" t="str">
        <f t="shared" si="12"/>
        <v/>
      </c>
    </row>
    <row r="212" spans="1:1">
      <c r="A212" s="74" t="str">
        <f t="shared" si="12"/>
        <v/>
      </c>
    </row>
    <row r="213" spans="1:1">
      <c r="A213" s="74" t="str">
        <f t="shared" si="12"/>
        <v/>
      </c>
    </row>
    <row r="214" spans="1:1">
      <c r="A214" s="74" t="str">
        <f t="shared" si="12"/>
        <v/>
      </c>
    </row>
    <row r="215" spans="1:1">
      <c r="A215" s="74" t="str">
        <f t="shared" si="12"/>
        <v/>
      </c>
    </row>
    <row r="216" spans="1:1">
      <c r="A216" s="74" t="str">
        <f t="shared" si="12"/>
        <v/>
      </c>
    </row>
    <row r="217" spans="1:1">
      <c r="A217" s="74" t="str">
        <f t="shared" si="12"/>
        <v/>
      </c>
    </row>
    <row r="218" spans="1:1">
      <c r="A218" s="74" t="str">
        <f t="shared" si="12"/>
        <v/>
      </c>
    </row>
    <row r="219" spans="1:1">
      <c r="A219" s="74" t="str">
        <f t="shared" si="12"/>
        <v/>
      </c>
    </row>
    <row r="220" spans="1:1">
      <c r="A220" s="74" t="str">
        <f t="shared" si="12"/>
        <v/>
      </c>
    </row>
    <row r="221" spans="1:1">
      <c r="A221" s="74" t="str">
        <f t="shared" si="12"/>
        <v/>
      </c>
    </row>
    <row r="222" spans="1:1">
      <c r="A222" s="74" t="str">
        <f t="shared" si="12"/>
        <v/>
      </c>
    </row>
    <row r="223" spans="1:1">
      <c r="A223" s="74" t="str">
        <f t="shared" si="12"/>
        <v/>
      </c>
    </row>
    <row r="224" spans="1:1">
      <c r="A224" s="74" t="str">
        <f t="shared" si="12"/>
        <v/>
      </c>
    </row>
    <row r="225" spans="1:1">
      <c r="A225" s="74" t="str">
        <f t="shared" si="12"/>
        <v/>
      </c>
    </row>
    <row r="226" spans="1:1">
      <c r="A226" s="74" t="str">
        <f t="shared" si="12"/>
        <v/>
      </c>
    </row>
    <row r="227" spans="1:1">
      <c r="A227" s="74" t="str">
        <f t="shared" si="12"/>
        <v/>
      </c>
    </row>
    <row r="228" spans="1:1">
      <c r="A228" s="74" t="str">
        <f t="shared" si="12"/>
        <v/>
      </c>
    </row>
    <row r="229" spans="1:1">
      <c r="A229" s="74" t="str">
        <f t="shared" si="12"/>
        <v/>
      </c>
    </row>
    <row r="230" spans="1:1">
      <c r="A230" s="74" t="str">
        <f t="shared" si="12"/>
        <v/>
      </c>
    </row>
    <row r="231" spans="1:1">
      <c r="A231" s="74" t="str">
        <f t="shared" si="12"/>
        <v/>
      </c>
    </row>
    <row r="232" spans="1:1">
      <c r="A232" s="74" t="str">
        <f t="shared" si="12"/>
        <v/>
      </c>
    </row>
    <row r="233" spans="1:1">
      <c r="A233" s="74" t="str">
        <f t="shared" si="12"/>
        <v/>
      </c>
    </row>
    <row r="234" spans="1:1">
      <c r="A234" s="74" t="str">
        <f t="shared" ref="A234:A297" si="13">I234&amp;K234&amp;M234&amp;N234&amp;Q234</f>
        <v/>
      </c>
    </row>
    <row r="235" spans="1:1">
      <c r="A235" s="74" t="str">
        <f t="shared" si="13"/>
        <v/>
      </c>
    </row>
    <row r="236" spans="1:1">
      <c r="A236" s="74" t="str">
        <f t="shared" si="13"/>
        <v/>
      </c>
    </row>
    <row r="237" spans="1:1">
      <c r="A237" s="74" t="str">
        <f t="shared" si="13"/>
        <v/>
      </c>
    </row>
    <row r="238" spans="1:1">
      <c r="A238" s="74" t="str">
        <f t="shared" si="13"/>
        <v/>
      </c>
    </row>
    <row r="239" spans="1:1">
      <c r="A239" s="74" t="str">
        <f t="shared" si="13"/>
        <v/>
      </c>
    </row>
    <row r="240" spans="1:1">
      <c r="A240" s="74" t="str">
        <f t="shared" si="13"/>
        <v/>
      </c>
    </row>
    <row r="241" spans="1:1">
      <c r="A241" s="74" t="str">
        <f t="shared" si="13"/>
        <v/>
      </c>
    </row>
    <row r="242" spans="1:1">
      <c r="A242" s="74" t="str">
        <f t="shared" si="13"/>
        <v/>
      </c>
    </row>
    <row r="243" spans="1:1">
      <c r="A243" s="74" t="str">
        <f t="shared" si="13"/>
        <v/>
      </c>
    </row>
    <row r="244" spans="1:1">
      <c r="A244" s="74" t="str">
        <f t="shared" si="13"/>
        <v/>
      </c>
    </row>
    <row r="245" spans="1:1">
      <c r="A245" s="74" t="str">
        <f t="shared" si="13"/>
        <v/>
      </c>
    </row>
    <row r="246" spans="1:1">
      <c r="A246" s="74" t="str">
        <f t="shared" si="13"/>
        <v/>
      </c>
    </row>
    <row r="247" spans="1:1">
      <c r="A247" s="74" t="str">
        <f t="shared" si="13"/>
        <v/>
      </c>
    </row>
    <row r="248" spans="1:1">
      <c r="A248" s="74" t="str">
        <f t="shared" si="13"/>
        <v/>
      </c>
    </row>
    <row r="249" spans="1:1">
      <c r="A249" s="74" t="str">
        <f t="shared" si="13"/>
        <v/>
      </c>
    </row>
    <row r="250" spans="1:1">
      <c r="A250" s="74" t="str">
        <f t="shared" si="13"/>
        <v/>
      </c>
    </row>
    <row r="251" spans="1:1">
      <c r="A251" s="74" t="str">
        <f t="shared" si="13"/>
        <v/>
      </c>
    </row>
    <row r="252" spans="1:1">
      <c r="A252" s="74" t="str">
        <f t="shared" si="13"/>
        <v/>
      </c>
    </row>
    <row r="253" spans="1:1">
      <c r="A253" s="74" t="str">
        <f t="shared" si="13"/>
        <v/>
      </c>
    </row>
    <row r="254" spans="1:1">
      <c r="A254" s="74" t="str">
        <f t="shared" si="13"/>
        <v/>
      </c>
    </row>
    <row r="255" spans="1:1">
      <c r="A255" s="74" t="str">
        <f t="shared" si="13"/>
        <v/>
      </c>
    </row>
    <row r="256" spans="1:1">
      <c r="A256" s="74" t="str">
        <f t="shared" si="13"/>
        <v/>
      </c>
    </row>
    <row r="257" spans="1:1">
      <c r="A257" s="74" t="str">
        <f t="shared" si="13"/>
        <v/>
      </c>
    </row>
    <row r="258" spans="1:1">
      <c r="A258" s="74" t="str">
        <f t="shared" si="13"/>
        <v/>
      </c>
    </row>
    <row r="259" spans="1:1">
      <c r="A259" s="74" t="str">
        <f t="shared" si="13"/>
        <v/>
      </c>
    </row>
    <row r="260" spans="1:1">
      <c r="A260" s="74" t="str">
        <f t="shared" si="13"/>
        <v/>
      </c>
    </row>
    <row r="261" spans="1:1">
      <c r="A261" s="74" t="str">
        <f t="shared" si="13"/>
        <v/>
      </c>
    </row>
    <row r="262" spans="1:1">
      <c r="A262" s="74" t="str">
        <f t="shared" si="13"/>
        <v/>
      </c>
    </row>
    <row r="263" spans="1:1">
      <c r="A263" s="74" t="str">
        <f t="shared" si="13"/>
        <v/>
      </c>
    </row>
    <row r="264" spans="1:1">
      <c r="A264" s="74" t="str">
        <f t="shared" si="13"/>
        <v/>
      </c>
    </row>
    <row r="265" spans="1:1">
      <c r="A265" s="74" t="str">
        <f t="shared" si="13"/>
        <v/>
      </c>
    </row>
    <row r="266" spans="1:1">
      <c r="A266" s="74" t="str">
        <f t="shared" si="13"/>
        <v/>
      </c>
    </row>
    <row r="267" spans="1:1">
      <c r="A267" s="74" t="str">
        <f t="shared" si="13"/>
        <v/>
      </c>
    </row>
    <row r="268" spans="1:1">
      <c r="A268" s="74" t="str">
        <f t="shared" si="13"/>
        <v/>
      </c>
    </row>
    <row r="269" spans="1:1">
      <c r="A269" s="74" t="str">
        <f t="shared" si="13"/>
        <v/>
      </c>
    </row>
    <row r="270" spans="1:1">
      <c r="A270" s="74" t="str">
        <f t="shared" si="13"/>
        <v/>
      </c>
    </row>
    <row r="271" spans="1:1">
      <c r="A271" s="74" t="str">
        <f t="shared" si="13"/>
        <v/>
      </c>
    </row>
    <row r="272" spans="1:1">
      <c r="A272" s="74" t="str">
        <f t="shared" si="13"/>
        <v/>
      </c>
    </row>
    <row r="273" spans="1:1">
      <c r="A273" s="74" t="str">
        <f t="shared" si="13"/>
        <v/>
      </c>
    </row>
    <row r="274" spans="1:1">
      <c r="A274" s="74" t="str">
        <f t="shared" si="13"/>
        <v/>
      </c>
    </row>
    <row r="275" spans="1:1">
      <c r="A275" s="74" t="str">
        <f t="shared" si="13"/>
        <v/>
      </c>
    </row>
    <row r="276" spans="1:1">
      <c r="A276" s="74" t="str">
        <f t="shared" si="13"/>
        <v/>
      </c>
    </row>
    <row r="277" spans="1:1">
      <c r="A277" s="74" t="str">
        <f t="shared" si="13"/>
        <v/>
      </c>
    </row>
    <row r="278" spans="1:1">
      <c r="A278" s="74" t="str">
        <f t="shared" si="13"/>
        <v/>
      </c>
    </row>
    <row r="279" spans="1:1">
      <c r="A279" s="74" t="str">
        <f t="shared" si="13"/>
        <v/>
      </c>
    </row>
    <row r="280" spans="1:1">
      <c r="A280" s="74" t="str">
        <f t="shared" si="13"/>
        <v/>
      </c>
    </row>
    <row r="281" spans="1:1">
      <c r="A281" s="74" t="str">
        <f t="shared" si="13"/>
        <v/>
      </c>
    </row>
    <row r="282" spans="1:1">
      <c r="A282" s="74" t="str">
        <f t="shared" si="13"/>
        <v/>
      </c>
    </row>
    <row r="283" spans="1:1">
      <c r="A283" s="74" t="str">
        <f t="shared" si="13"/>
        <v/>
      </c>
    </row>
    <row r="284" spans="1:1">
      <c r="A284" s="74" t="str">
        <f t="shared" si="13"/>
        <v/>
      </c>
    </row>
    <row r="285" spans="1:1">
      <c r="A285" s="74" t="str">
        <f t="shared" si="13"/>
        <v/>
      </c>
    </row>
    <row r="286" spans="1:1">
      <c r="A286" s="74" t="str">
        <f t="shared" si="13"/>
        <v/>
      </c>
    </row>
    <row r="287" spans="1:1">
      <c r="A287" s="74" t="str">
        <f t="shared" si="13"/>
        <v/>
      </c>
    </row>
    <row r="288" spans="1:1">
      <c r="A288" s="74" t="str">
        <f t="shared" si="13"/>
        <v/>
      </c>
    </row>
    <row r="289" spans="1:1">
      <c r="A289" s="74" t="str">
        <f t="shared" si="13"/>
        <v/>
      </c>
    </row>
    <row r="290" spans="1:1">
      <c r="A290" s="74" t="str">
        <f t="shared" si="13"/>
        <v/>
      </c>
    </row>
    <row r="291" spans="1:1">
      <c r="A291" s="74" t="str">
        <f t="shared" si="13"/>
        <v/>
      </c>
    </row>
    <row r="292" spans="1:1">
      <c r="A292" s="74" t="str">
        <f t="shared" si="13"/>
        <v/>
      </c>
    </row>
    <row r="293" spans="1:1">
      <c r="A293" s="74" t="str">
        <f t="shared" si="13"/>
        <v/>
      </c>
    </row>
    <row r="294" spans="1:1">
      <c r="A294" s="74" t="str">
        <f t="shared" si="13"/>
        <v/>
      </c>
    </row>
    <row r="295" spans="1:1">
      <c r="A295" s="74" t="str">
        <f t="shared" si="13"/>
        <v/>
      </c>
    </row>
    <row r="296" spans="1:1">
      <c r="A296" s="74" t="str">
        <f t="shared" si="13"/>
        <v/>
      </c>
    </row>
    <row r="297" spans="1:1">
      <c r="A297" s="74" t="str">
        <f t="shared" si="13"/>
        <v/>
      </c>
    </row>
    <row r="298" spans="1:1">
      <c r="A298" s="74" t="str">
        <f t="shared" ref="A298:A361" si="14">I298&amp;K298&amp;M298&amp;N298&amp;Q298</f>
        <v/>
      </c>
    </row>
    <row r="299" spans="1:1">
      <c r="A299" s="74" t="str">
        <f t="shared" si="14"/>
        <v/>
      </c>
    </row>
    <row r="300" spans="1:1">
      <c r="A300" s="74" t="str">
        <f t="shared" si="14"/>
        <v/>
      </c>
    </row>
    <row r="301" spans="1:1">
      <c r="A301" s="74" t="str">
        <f t="shared" si="14"/>
        <v/>
      </c>
    </row>
    <row r="302" spans="1:1">
      <c r="A302" s="74" t="str">
        <f t="shared" si="14"/>
        <v/>
      </c>
    </row>
    <row r="303" spans="1:1">
      <c r="A303" s="74" t="str">
        <f t="shared" si="14"/>
        <v/>
      </c>
    </row>
    <row r="304" spans="1:1">
      <c r="A304" s="74" t="str">
        <f t="shared" si="14"/>
        <v/>
      </c>
    </row>
    <row r="305" spans="1:1">
      <c r="A305" s="74" t="str">
        <f t="shared" si="14"/>
        <v/>
      </c>
    </row>
    <row r="306" spans="1:1">
      <c r="A306" s="74" t="str">
        <f t="shared" si="14"/>
        <v/>
      </c>
    </row>
    <row r="307" spans="1:1">
      <c r="A307" s="74" t="str">
        <f t="shared" si="14"/>
        <v/>
      </c>
    </row>
    <row r="308" spans="1:1">
      <c r="A308" s="74" t="str">
        <f t="shared" si="14"/>
        <v/>
      </c>
    </row>
    <row r="309" spans="1:1">
      <c r="A309" s="74" t="str">
        <f t="shared" si="14"/>
        <v/>
      </c>
    </row>
    <row r="310" spans="1:1">
      <c r="A310" s="74" t="str">
        <f t="shared" si="14"/>
        <v/>
      </c>
    </row>
    <row r="311" spans="1:1">
      <c r="A311" s="74" t="str">
        <f t="shared" si="14"/>
        <v/>
      </c>
    </row>
    <row r="312" spans="1:1">
      <c r="A312" s="74" t="str">
        <f t="shared" si="14"/>
        <v/>
      </c>
    </row>
    <row r="313" spans="1:1">
      <c r="A313" s="74" t="str">
        <f t="shared" si="14"/>
        <v/>
      </c>
    </row>
    <row r="314" spans="1:1">
      <c r="A314" s="74" t="str">
        <f t="shared" si="14"/>
        <v/>
      </c>
    </row>
    <row r="315" spans="1:1">
      <c r="A315" s="74" t="str">
        <f t="shared" si="14"/>
        <v/>
      </c>
    </row>
    <row r="316" spans="1:1">
      <c r="A316" s="74" t="str">
        <f t="shared" si="14"/>
        <v/>
      </c>
    </row>
    <row r="317" spans="1:1">
      <c r="A317" s="74" t="str">
        <f t="shared" si="14"/>
        <v/>
      </c>
    </row>
    <row r="318" spans="1:1">
      <c r="A318" s="74" t="str">
        <f t="shared" si="14"/>
        <v/>
      </c>
    </row>
    <row r="319" spans="1:1">
      <c r="A319" s="74" t="str">
        <f t="shared" si="14"/>
        <v/>
      </c>
    </row>
    <row r="320" spans="1:1">
      <c r="A320" s="74" t="str">
        <f t="shared" si="14"/>
        <v/>
      </c>
    </row>
    <row r="321" spans="1:1">
      <c r="A321" s="74" t="str">
        <f t="shared" si="14"/>
        <v/>
      </c>
    </row>
    <row r="322" spans="1:1">
      <c r="A322" s="74" t="str">
        <f t="shared" si="14"/>
        <v/>
      </c>
    </row>
    <row r="323" spans="1:1">
      <c r="A323" s="74" t="str">
        <f t="shared" si="14"/>
        <v/>
      </c>
    </row>
    <row r="324" spans="1:1">
      <c r="A324" s="74" t="str">
        <f t="shared" si="14"/>
        <v/>
      </c>
    </row>
    <row r="325" spans="1:1">
      <c r="A325" s="74" t="str">
        <f t="shared" si="14"/>
        <v/>
      </c>
    </row>
    <row r="326" spans="1:1">
      <c r="A326" s="74" t="str">
        <f t="shared" si="14"/>
        <v/>
      </c>
    </row>
    <row r="327" spans="1:1">
      <c r="A327" s="74" t="str">
        <f t="shared" si="14"/>
        <v/>
      </c>
    </row>
    <row r="328" spans="1:1">
      <c r="A328" s="74" t="str">
        <f t="shared" si="14"/>
        <v/>
      </c>
    </row>
    <row r="329" spans="1:1">
      <c r="A329" s="74" t="str">
        <f t="shared" si="14"/>
        <v/>
      </c>
    </row>
    <row r="330" spans="1:1">
      <c r="A330" s="74" t="str">
        <f t="shared" si="14"/>
        <v/>
      </c>
    </row>
    <row r="331" spans="1:1">
      <c r="A331" s="74" t="str">
        <f t="shared" si="14"/>
        <v/>
      </c>
    </row>
    <row r="332" spans="1:1">
      <c r="A332" s="74" t="str">
        <f t="shared" si="14"/>
        <v/>
      </c>
    </row>
    <row r="333" spans="1:1">
      <c r="A333" s="74" t="str">
        <f t="shared" si="14"/>
        <v/>
      </c>
    </row>
    <row r="334" spans="1:1">
      <c r="A334" s="74" t="str">
        <f t="shared" si="14"/>
        <v/>
      </c>
    </row>
    <row r="335" spans="1:1">
      <c r="A335" s="74" t="str">
        <f t="shared" si="14"/>
        <v/>
      </c>
    </row>
    <row r="336" spans="1:1">
      <c r="A336" s="74" t="str">
        <f t="shared" si="14"/>
        <v/>
      </c>
    </row>
    <row r="337" spans="1:1">
      <c r="A337" s="74" t="str">
        <f t="shared" si="14"/>
        <v/>
      </c>
    </row>
    <row r="338" spans="1:1">
      <c r="A338" s="74" t="str">
        <f t="shared" si="14"/>
        <v/>
      </c>
    </row>
    <row r="339" spans="1:1">
      <c r="A339" s="74" t="str">
        <f t="shared" si="14"/>
        <v/>
      </c>
    </row>
    <row r="340" spans="1:1">
      <c r="A340" s="74" t="str">
        <f t="shared" si="14"/>
        <v/>
      </c>
    </row>
    <row r="341" spans="1:1">
      <c r="A341" s="74" t="str">
        <f t="shared" si="14"/>
        <v/>
      </c>
    </row>
    <row r="342" spans="1:1">
      <c r="A342" s="74" t="str">
        <f t="shared" si="14"/>
        <v/>
      </c>
    </row>
    <row r="343" spans="1:1">
      <c r="A343" s="74" t="str">
        <f t="shared" si="14"/>
        <v/>
      </c>
    </row>
    <row r="344" spans="1:1">
      <c r="A344" s="74" t="str">
        <f t="shared" si="14"/>
        <v/>
      </c>
    </row>
    <row r="345" spans="1:1">
      <c r="A345" s="74" t="str">
        <f t="shared" si="14"/>
        <v/>
      </c>
    </row>
    <row r="346" spans="1:1">
      <c r="A346" s="74" t="str">
        <f t="shared" si="14"/>
        <v/>
      </c>
    </row>
    <row r="347" spans="1:1">
      <c r="A347" s="74" t="str">
        <f t="shared" si="14"/>
        <v/>
      </c>
    </row>
    <row r="348" spans="1:1">
      <c r="A348" s="74" t="str">
        <f t="shared" si="14"/>
        <v/>
      </c>
    </row>
    <row r="349" spans="1:1">
      <c r="A349" s="74" t="str">
        <f t="shared" si="14"/>
        <v/>
      </c>
    </row>
    <row r="350" spans="1:1">
      <c r="A350" s="74" t="str">
        <f t="shared" si="14"/>
        <v/>
      </c>
    </row>
    <row r="351" spans="1:1">
      <c r="A351" s="74" t="str">
        <f t="shared" si="14"/>
        <v/>
      </c>
    </row>
    <row r="352" spans="1:1">
      <c r="A352" s="74" t="str">
        <f t="shared" si="14"/>
        <v/>
      </c>
    </row>
    <row r="353" spans="1:1">
      <c r="A353" s="74" t="str">
        <f t="shared" si="14"/>
        <v/>
      </c>
    </row>
    <row r="354" spans="1:1">
      <c r="A354" s="74" t="str">
        <f t="shared" si="14"/>
        <v/>
      </c>
    </row>
    <row r="355" spans="1:1">
      <c r="A355" s="74" t="str">
        <f t="shared" si="14"/>
        <v/>
      </c>
    </row>
    <row r="356" spans="1:1">
      <c r="A356" s="74" t="str">
        <f t="shared" si="14"/>
        <v/>
      </c>
    </row>
    <row r="357" spans="1:1">
      <c r="A357" s="74" t="str">
        <f t="shared" si="14"/>
        <v/>
      </c>
    </row>
    <row r="358" spans="1:1">
      <c r="A358" s="74" t="str">
        <f t="shared" si="14"/>
        <v/>
      </c>
    </row>
    <row r="359" spans="1:1">
      <c r="A359" s="74" t="str">
        <f t="shared" si="14"/>
        <v/>
      </c>
    </row>
    <row r="360" spans="1:1">
      <c r="A360" s="74" t="str">
        <f t="shared" si="14"/>
        <v/>
      </c>
    </row>
    <row r="361" spans="1:1">
      <c r="A361" s="74" t="str">
        <f t="shared" si="14"/>
        <v/>
      </c>
    </row>
    <row r="362" spans="1:1">
      <c r="A362" s="74" t="str">
        <f t="shared" ref="A362:A425" si="15">I362&amp;K362&amp;M362&amp;N362&amp;Q362</f>
        <v/>
      </c>
    </row>
    <row r="363" spans="1:1">
      <c r="A363" s="74" t="str">
        <f t="shared" si="15"/>
        <v/>
      </c>
    </row>
    <row r="364" spans="1:1">
      <c r="A364" s="74" t="str">
        <f t="shared" si="15"/>
        <v/>
      </c>
    </row>
    <row r="365" spans="1:1">
      <c r="A365" s="74" t="str">
        <f t="shared" si="15"/>
        <v/>
      </c>
    </row>
    <row r="366" spans="1:1">
      <c r="A366" s="74" t="str">
        <f t="shared" si="15"/>
        <v/>
      </c>
    </row>
    <row r="367" spans="1:1">
      <c r="A367" s="74" t="str">
        <f t="shared" si="15"/>
        <v/>
      </c>
    </row>
    <row r="368" spans="1:1">
      <c r="A368" s="74" t="str">
        <f t="shared" si="15"/>
        <v/>
      </c>
    </row>
    <row r="369" spans="1:1">
      <c r="A369" s="74" t="str">
        <f t="shared" si="15"/>
        <v/>
      </c>
    </row>
    <row r="370" spans="1:1">
      <c r="A370" s="74" t="str">
        <f t="shared" si="15"/>
        <v/>
      </c>
    </row>
    <row r="371" spans="1:1">
      <c r="A371" s="74" t="str">
        <f t="shared" si="15"/>
        <v/>
      </c>
    </row>
    <row r="372" spans="1:1">
      <c r="A372" s="74" t="str">
        <f t="shared" si="15"/>
        <v/>
      </c>
    </row>
    <row r="373" spans="1:1">
      <c r="A373" s="74" t="str">
        <f t="shared" si="15"/>
        <v/>
      </c>
    </row>
    <row r="374" spans="1:1">
      <c r="A374" s="74" t="str">
        <f t="shared" si="15"/>
        <v/>
      </c>
    </row>
    <row r="375" spans="1:1">
      <c r="A375" s="74" t="str">
        <f t="shared" si="15"/>
        <v/>
      </c>
    </row>
    <row r="376" spans="1:1">
      <c r="A376" s="74" t="str">
        <f t="shared" si="15"/>
        <v/>
      </c>
    </row>
    <row r="377" spans="1:1">
      <c r="A377" s="74" t="str">
        <f t="shared" si="15"/>
        <v/>
      </c>
    </row>
    <row r="378" spans="1:1">
      <c r="A378" s="74" t="str">
        <f t="shared" si="15"/>
        <v/>
      </c>
    </row>
    <row r="379" spans="1:1">
      <c r="A379" s="74" t="str">
        <f t="shared" si="15"/>
        <v/>
      </c>
    </row>
    <row r="380" spans="1:1">
      <c r="A380" s="74" t="str">
        <f t="shared" si="15"/>
        <v/>
      </c>
    </row>
    <row r="381" spans="1:1">
      <c r="A381" s="74" t="str">
        <f t="shared" si="15"/>
        <v/>
      </c>
    </row>
    <row r="382" spans="1:1">
      <c r="A382" s="74" t="str">
        <f t="shared" si="15"/>
        <v/>
      </c>
    </row>
    <row r="383" spans="1:1">
      <c r="A383" s="74" t="str">
        <f t="shared" si="15"/>
        <v/>
      </c>
    </row>
    <row r="384" spans="1:1">
      <c r="A384" s="74" t="str">
        <f t="shared" si="15"/>
        <v/>
      </c>
    </row>
    <row r="385" spans="1:1">
      <c r="A385" s="74" t="str">
        <f t="shared" si="15"/>
        <v/>
      </c>
    </row>
    <row r="386" spans="1:1">
      <c r="A386" s="74" t="str">
        <f t="shared" si="15"/>
        <v/>
      </c>
    </row>
    <row r="387" spans="1:1">
      <c r="A387" s="74" t="str">
        <f t="shared" si="15"/>
        <v/>
      </c>
    </row>
    <row r="388" spans="1:1">
      <c r="A388" s="74" t="str">
        <f t="shared" si="15"/>
        <v/>
      </c>
    </row>
    <row r="389" spans="1:1">
      <c r="A389" s="74" t="str">
        <f t="shared" si="15"/>
        <v/>
      </c>
    </row>
    <row r="390" spans="1:1">
      <c r="A390" s="74" t="str">
        <f t="shared" si="15"/>
        <v/>
      </c>
    </row>
    <row r="391" spans="1:1">
      <c r="A391" s="74" t="str">
        <f t="shared" si="15"/>
        <v/>
      </c>
    </row>
    <row r="392" spans="1:1">
      <c r="A392" s="74" t="str">
        <f t="shared" si="15"/>
        <v/>
      </c>
    </row>
    <row r="393" spans="1:1">
      <c r="A393" s="74" t="str">
        <f t="shared" si="15"/>
        <v/>
      </c>
    </row>
    <row r="394" spans="1:1">
      <c r="A394" s="74" t="str">
        <f t="shared" si="15"/>
        <v/>
      </c>
    </row>
    <row r="395" spans="1:1">
      <c r="A395" s="74" t="str">
        <f t="shared" si="15"/>
        <v/>
      </c>
    </row>
    <row r="396" spans="1:1">
      <c r="A396" s="74" t="str">
        <f t="shared" si="15"/>
        <v/>
      </c>
    </row>
    <row r="397" spans="1:1">
      <c r="A397" s="74" t="str">
        <f t="shared" si="15"/>
        <v/>
      </c>
    </row>
    <row r="398" spans="1:1">
      <c r="A398" s="74" t="str">
        <f t="shared" si="15"/>
        <v/>
      </c>
    </row>
    <row r="399" spans="1:1">
      <c r="A399" s="74" t="str">
        <f t="shared" si="15"/>
        <v/>
      </c>
    </row>
    <row r="400" spans="1:1">
      <c r="A400" s="74" t="str">
        <f t="shared" si="15"/>
        <v/>
      </c>
    </row>
    <row r="401" spans="1:1">
      <c r="A401" s="74" t="str">
        <f t="shared" si="15"/>
        <v/>
      </c>
    </row>
    <row r="402" spans="1:1">
      <c r="A402" s="74" t="str">
        <f t="shared" si="15"/>
        <v/>
      </c>
    </row>
    <row r="403" spans="1:1">
      <c r="A403" s="74" t="str">
        <f t="shared" si="15"/>
        <v/>
      </c>
    </row>
    <row r="404" spans="1:1">
      <c r="A404" s="74" t="str">
        <f t="shared" si="15"/>
        <v/>
      </c>
    </row>
    <row r="405" spans="1:1">
      <c r="A405" s="74" t="str">
        <f t="shared" si="15"/>
        <v/>
      </c>
    </row>
    <row r="406" spans="1:1">
      <c r="A406" s="74" t="str">
        <f t="shared" si="15"/>
        <v/>
      </c>
    </row>
    <row r="407" spans="1:1">
      <c r="A407" s="74" t="str">
        <f t="shared" si="15"/>
        <v/>
      </c>
    </row>
    <row r="408" spans="1:1">
      <c r="A408" s="74" t="str">
        <f t="shared" si="15"/>
        <v/>
      </c>
    </row>
    <row r="409" spans="1:1">
      <c r="A409" s="74" t="str">
        <f t="shared" si="15"/>
        <v/>
      </c>
    </row>
    <row r="410" spans="1:1">
      <c r="A410" s="74" t="str">
        <f t="shared" si="15"/>
        <v/>
      </c>
    </row>
    <row r="411" spans="1:1">
      <c r="A411" s="74" t="str">
        <f t="shared" si="15"/>
        <v/>
      </c>
    </row>
    <row r="412" spans="1:1">
      <c r="A412" s="74" t="str">
        <f t="shared" si="15"/>
        <v/>
      </c>
    </row>
    <row r="413" spans="1:1">
      <c r="A413" s="74" t="str">
        <f t="shared" si="15"/>
        <v/>
      </c>
    </row>
    <row r="414" spans="1:1">
      <c r="A414" s="74" t="str">
        <f t="shared" si="15"/>
        <v/>
      </c>
    </row>
    <row r="415" spans="1:1">
      <c r="A415" s="74" t="str">
        <f t="shared" si="15"/>
        <v/>
      </c>
    </row>
    <row r="416" spans="1:1">
      <c r="A416" s="74" t="str">
        <f t="shared" si="15"/>
        <v/>
      </c>
    </row>
    <row r="417" spans="1:1">
      <c r="A417" s="74" t="str">
        <f t="shared" si="15"/>
        <v/>
      </c>
    </row>
    <row r="418" spans="1:1">
      <c r="A418" s="74" t="str">
        <f t="shared" si="15"/>
        <v/>
      </c>
    </row>
    <row r="419" spans="1:1">
      <c r="A419" s="74" t="str">
        <f t="shared" si="15"/>
        <v/>
      </c>
    </row>
    <row r="420" spans="1:1">
      <c r="A420" s="74" t="str">
        <f t="shared" si="15"/>
        <v/>
      </c>
    </row>
    <row r="421" spans="1:1">
      <c r="A421" s="74" t="str">
        <f t="shared" si="15"/>
        <v/>
      </c>
    </row>
    <row r="422" spans="1:1">
      <c r="A422" s="74" t="str">
        <f t="shared" si="15"/>
        <v/>
      </c>
    </row>
    <row r="423" spans="1:1">
      <c r="A423" s="74" t="str">
        <f t="shared" si="15"/>
        <v/>
      </c>
    </row>
    <row r="424" spans="1:1">
      <c r="A424" s="74" t="str">
        <f t="shared" si="15"/>
        <v/>
      </c>
    </row>
    <row r="425" spans="1:1">
      <c r="A425" s="74" t="str">
        <f t="shared" si="15"/>
        <v/>
      </c>
    </row>
    <row r="426" spans="1:1">
      <c r="A426" s="74" t="str">
        <f t="shared" ref="A426:A489" si="16">I426&amp;K426&amp;M426&amp;N426&amp;Q426</f>
        <v/>
      </c>
    </row>
    <row r="427" spans="1:1">
      <c r="A427" s="74" t="str">
        <f t="shared" si="16"/>
        <v/>
      </c>
    </row>
    <row r="428" spans="1:1">
      <c r="A428" s="74" t="str">
        <f t="shared" si="16"/>
        <v/>
      </c>
    </row>
    <row r="429" spans="1:1">
      <c r="A429" s="74" t="str">
        <f t="shared" si="16"/>
        <v/>
      </c>
    </row>
    <row r="430" spans="1:1">
      <c r="A430" s="74" t="str">
        <f t="shared" si="16"/>
        <v/>
      </c>
    </row>
    <row r="431" spans="1:1">
      <c r="A431" s="74" t="str">
        <f t="shared" si="16"/>
        <v/>
      </c>
    </row>
    <row r="432" spans="1:1">
      <c r="A432" s="74" t="str">
        <f t="shared" si="16"/>
        <v/>
      </c>
    </row>
    <row r="433" spans="1:1">
      <c r="A433" s="74" t="str">
        <f t="shared" si="16"/>
        <v/>
      </c>
    </row>
    <row r="434" spans="1:1">
      <c r="A434" s="74" t="str">
        <f t="shared" si="16"/>
        <v/>
      </c>
    </row>
    <row r="435" spans="1:1">
      <c r="A435" s="74" t="str">
        <f t="shared" si="16"/>
        <v/>
      </c>
    </row>
    <row r="436" spans="1:1">
      <c r="A436" s="74" t="str">
        <f t="shared" si="16"/>
        <v/>
      </c>
    </row>
    <row r="437" spans="1:1">
      <c r="A437" s="74" t="str">
        <f t="shared" si="16"/>
        <v/>
      </c>
    </row>
    <row r="438" spans="1:1">
      <c r="A438" s="74" t="str">
        <f t="shared" si="16"/>
        <v/>
      </c>
    </row>
    <row r="439" spans="1:1">
      <c r="A439" s="74" t="str">
        <f t="shared" si="16"/>
        <v/>
      </c>
    </row>
    <row r="440" spans="1:1">
      <c r="A440" s="74" t="str">
        <f t="shared" si="16"/>
        <v/>
      </c>
    </row>
    <row r="441" spans="1:1">
      <c r="A441" s="74" t="str">
        <f t="shared" si="16"/>
        <v/>
      </c>
    </row>
    <row r="442" spans="1:1">
      <c r="A442" s="74" t="str">
        <f t="shared" si="16"/>
        <v/>
      </c>
    </row>
    <row r="443" spans="1:1">
      <c r="A443" s="74" t="str">
        <f t="shared" si="16"/>
        <v/>
      </c>
    </row>
    <row r="444" spans="1:1">
      <c r="A444" s="74" t="str">
        <f t="shared" si="16"/>
        <v/>
      </c>
    </row>
    <row r="445" spans="1:1">
      <c r="A445" s="74" t="str">
        <f t="shared" si="16"/>
        <v/>
      </c>
    </row>
    <row r="446" spans="1:1">
      <c r="A446" s="74" t="str">
        <f t="shared" si="16"/>
        <v/>
      </c>
    </row>
    <row r="447" spans="1:1">
      <c r="A447" s="74" t="str">
        <f t="shared" si="16"/>
        <v/>
      </c>
    </row>
    <row r="448" spans="1:1">
      <c r="A448" s="74" t="str">
        <f t="shared" si="16"/>
        <v/>
      </c>
    </row>
    <row r="449" spans="1:1">
      <c r="A449" s="74" t="str">
        <f t="shared" si="16"/>
        <v/>
      </c>
    </row>
    <row r="450" spans="1:1">
      <c r="A450" s="74" t="str">
        <f t="shared" si="16"/>
        <v/>
      </c>
    </row>
    <row r="451" spans="1:1">
      <c r="A451" s="74" t="str">
        <f t="shared" si="16"/>
        <v/>
      </c>
    </row>
    <row r="452" spans="1:1">
      <c r="A452" s="74" t="str">
        <f t="shared" si="16"/>
        <v/>
      </c>
    </row>
    <row r="453" spans="1:1">
      <c r="A453" s="74" t="str">
        <f t="shared" si="16"/>
        <v/>
      </c>
    </row>
    <row r="454" spans="1:1">
      <c r="A454" s="74" t="str">
        <f t="shared" si="16"/>
        <v/>
      </c>
    </row>
    <row r="455" spans="1:1">
      <c r="A455" s="74" t="str">
        <f t="shared" si="16"/>
        <v/>
      </c>
    </row>
    <row r="456" spans="1:1">
      <c r="A456" s="74" t="str">
        <f t="shared" si="16"/>
        <v/>
      </c>
    </row>
    <row r="457" spans="1:1">
      <c r="A457" s="74" t="str">
        <f t="shared" si="16"/>
        <v/>
      </c>
    </row>
    <row r="458" spans="1:1">
      <c r="A458" s="74" t="str">
        <f t="shared" si="16"/>
        <v/>
      </c>
    </row>
    <row r="459" spans="1:1">
      <c r="A459" s="74" t="str">
        <f t="shared" si="16"/>
        <v/>
      </c>
    </row>
    <row r="460" spans="1:1">
      <c r="A460" s="74" t="str">
        <f t="shared" si="16"/>
        <v/>
      </c>
    </row>
    <row r="461" spans="1:1">
      <c r="A461" s="74" t="str">
        <f t="shared" si="16"/>
        <v/>
      </c>
    </row>
    <row r="462" spans="1:1">
      <c r="A462" s="74" t="str">
        <f t="shared" si="16"/>
        <v/>
      </c>
    </row>
    <row r="463" spans="1:1">
      <c r="A463" s="74" t="str">
        <f t="shared" si="16"/>
        <v/>
      </c>
    </row>
    <row r="464" spans="1:1">
      <c r="A464" s="74" t="str">
        <f t="shared" si="16"/>
        <v/>
      </c>
    </row>
    <row r="465" spans="1:1">
      <c r="A465" s="74" t="str">
        <f t="shared" si="16"/>
        <v/>
      </c>
    </row>
    <row r="466" spans="1:1">
      <c r="A466" s="74" t="str">
        <f t="shared" si="16"/>
        <v/>
      </c>
    </row>
    <row r="467" spans="1:1">
      <c r="A467" s="74" t="str">
        <f t="shared" si="16"/>
        <v/>
      </c>
    </row>
    <row r="468" spans="1:1">
      <c r="A468" s="74" t="str">
        <f t="shared" si="16"/>
        <v/>
      </c>
    </row>
    <row r="469" spans="1:1">
      <c r="A469" s="74" t="str">
        <f t="shared" si="16"/>
        <v/>
      </c>
    </row>
    <row r="470" spans="1:1">
      <c r="A470" s="74" t="str">
        <f t="shared" si="16"/>
        <v/>
      </c>
    </row>
    <row r="471" spans="1:1">
      <c r="A471" s="74" t="str">
        <f t="shared" si="16"/>
        <v/>
      </c>
    </row>
    <row r="472" spans="1:1">
      <c r="A472" s="74" t="str">
        <f t="shared" si="16"/>
        <v/>
      </c>
    </row>
    <row r="473" spans="1:1">
      <c r="A473" s="74" t="str">
        <f t="shared" si="16"/>
        <v/>
      </c>
    </row>
    <row r="474" spans="1:1">
      <c r="A474" s="74" t="str">
        <f t="shared" si="16"/>
        <v/>
      </c>
    </row>
    <row r="475" spans="1:1">
      <c r="A475" s="74" t="str">
        <f t="shared" si="16"/>
        <v/>
      </c>
    </row>
    <row r="476" spans="1:1">
      <c r="A476" s="74" t="str">
        <f t="shared" si="16"/>
        <v/>
      </c>
    </row>
    <row r="477" spans="1:1">
      <c r="A477" s="74" t="str">
        <f t="shared" si="16"/>
        <v/>
      </c>
    </row>
    <row r="478" spans="1:1">
      <c r="A478" s="74" t="str">
        <f t="shared" si="16"/>
        <v/>
      </c>
    </row>
    <row r="479" spans="1:1">
      <c r="A479" s="74" t="str">
        <f t="shared" si="16"/>
        <v/>
      </c>
    </row>
    <row r="480" spans="1:1">
      <c r="A480" s="74" t="str">
        <f t="shared" si="16"/>
        <v/>
      </c>
    </row>
    <row r="481" spans="1:1">
      <c r="A481" s="74" t="str">
        <f t="shared" si="16"/>
        <v/>
      </c>
    </row>
    <row r="482" spans="1:1">
      <c r="A482" s="74" t="str">
        <f t="shared" si="16"/>
        <v/>
      </c>
    </row>
    <row r="483" spans="1:1">
      <c r="A483" s="74" t="str">
        <f t="shared" si="16"/>
        <v/>
      </c>
    </row>
    <row r="484" spans="1:1">
      <c r="A484" s="74" t="str">
        <f t="shared" si="16"/>
        <v/>
      </c>
    </row>
    <row r="485" spans="1:1">
      <c r="A485" s="74" t="str">
        <f t="shared" si="16"/>
        <v/>
      </c>
    </row>
    <row r="486" spans="1:1">
      <c r="A486" s="74" t="str">
        <f t="shared" si="16"/>
        <v/>
      </c>
    </row>
    <row r="487" spans="1:1">
      <c r="A487" s="74" t="str">
        <f t="shared" si="16"/>
        <v/>
      </c>
    </row>
    <row r="488" spans="1:1">
      <c r="A488" s="74" t="str">
        <f t="shared" si="16"/>
        <v/>
      </c>
    </row>
    <row r="489" spans="1:1">
      <c r="A489" s="74" t="str">
        <f t="shared" si="16"/>
        <v/>
      </c>
    </row>
    <row r="490" spans="1:1">
      <c r="A490" s="74" t="str">
        <f t="shared" ref="A490:A505" si="17">I490&amp;K490&amp;M490&amp;N490&amp;Q490</f>
        <v/>
      </c>
    </row>
    <row r="491" spans="1:1">
      <c r="A491" s="74" t="str">
        <f t="shared" si="17"/>
        <v/>
      </c>
    </row>
    <row r="492" spans="1:1">
      <c r="A492" s="74" t="str">
        <f t="shared" si="17"/>
        <v/>
      </c>
    </row>
    <row r="493" spans="1:1">
      <c r="A493" s="74" t="str">
        <f t="shared" si="17"/>
        <v/>
      </c>
    </row>
    <row r="494" spans="1:1">
      <c r="A494" s="74" t="str">
        <f t="shared" si="17"/>
        <v/>
      </c>
    </row>
    <row r="495" spans="1:1">
      <c r="A495" s="74" t="str">
        <f t="shared" si="17"/>
        <v/>
      </c>
    </row>
    <row r="496" spans="1:1">
      <c r="A496" s="74" t="str">
        <f t="shared" si="17"/>
        <v/>
      </c>
    </row>
    <row r="497" spans="1:1">
      <c r="A497" s="74" t="str">
        <f t="shared" si="17"/>
        <v/>
      </c>
    </row>
    <row r="498" spans="1:1">
      <c r="A498" s="74" t="str">
        <f t="shared" si="17"/>
        <v/>
      </c>
    </row>
    <row r="499" spans="1:1">
      <c r="A499" s="74" t="str">
        <f t="shared" si="17"/>
        <v/>
      </c>
    </row>
    <row r="500" spans="1:1">
      <c r="A500" s="74" t="str">
        <f t="shared" si="17"/>
        <v/>
      </c>
    </row>
    <row r="501" spans="1:1">
      <c r="A501" s="74" t="str">
        <f t="shared" si="17"/>
        <v/>
      </c>
    </row>
    <row r="502" spans="1:1">
      <c r="A502" s="74" t="str">
        <f t="shared" si="17"/>
        <v/>
      </c>
    </row>
    <row r="503" spans="1:1">
      <c r="A503" s="74" t="str">
        <f t="shared" si="17"/>
        <v/>
      </c>
    </row>
    <row r="504" spans="1:1">
      <c r="A504" s="74" t="str">
        <f t="shared" si="17"/>
        <v/>
      </c>
    </row>
    <row r="505" spans="1:1">
      <c r="A505" s="74" t="str">
        <f t="shared" si="17"/>
        <v/>
      </c>
    </row>
  </sheetData>
  <autoFilter ref="A1:U1"/>
  <sortState ref="A2:S65">
    <sortCondition ref="K2:K65"/>
  </sortState>
  <mergeCells count="16">
    <mergeCell ref="Q85:Q86"/>
    <mergeCell ref="P85:P86"/>
    <mergeCell ref="P83:P84"/>
    <mergeCell ref="P76:P77"/>
    <mergeCell ref="P81:P82"/>
    <mergeCell ref="M85:M86"/>
    <mergeCell ref="N85:N86"/>
    <mergeCell ref="N76:N77"/>
    <mergeCell ref="P78:P79"/>
    <mergeCell ref="M76:M77"/>
    <mergeCell ref="Q76:Q77"/>
    <mergeCell ref="Q81:Q82"/>
    <mergeCell ref="Q83:Q84"/>
    <mergeCell ref="M78:M79"/>
    <mergeCell ref="Q78:Q79"/>
    <mergeCell ref="N78:N79"/>
  </mergeCells>
  <phoneticPr fontId="1" type="noConversion"/>
  <conditionalFormatting sqref="Q75:Q101">
    <cfRule type="expression" dxfId="0" priority="3">
      <formula>$Q75&gt;0</formula>
    </cfRule>
  </conditionalFormatting>
  <pageMargins left="0.7" right="0.7" top="0.75" bottom="0.75" header="0.3" footer="0.3"/>
  <ignoredErrors>
    <ignoredError sqref="M3:M17 M66:M67 M35:M64 M19:M21 M23:M24 M26:M33" numberStoredAsText="1"/>
    <ignoredError sqref="N4:N17 N66:N68 N35:N64 N19:N21 N23:N24 N26:N33" twoDigitTextYear="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sheetPr codeName="Sheet13" filterMode="1"/>
  <dimension ref="A1:R487"/>
  <sheetViews>
    <sheetView topLeftCell="B1" workbookViewId="0">
      <selection activeCell="D61" sqref="D61"/>
    </sheetView>
  </sheetViews>
  <sheetFormatPr defaultRowHeight="13.5"/>
  <cols>
    <col min="1" max="1" width="23.625" hidden="1" customWidth="1"/>
    <col min="2" max="2" width="19.5" bestFit="1" customWidth="1"/>
    <col min="3" max="3" width="5.5" bestFit="1" customWidth="1"/>
    <col min="4" max="7" width="9.5" bestFit="1" customWidth="1"/>
    <col min="8" max="8" width="21.625" bestFit="1" customWidth="1"/>
    <col min="9" max="9" width="9.5" bestFit="1" customWidth="1"/>
    <col min="10" max="10" width="12.25" bestFit="1" customWidth="1"/>
    <col min="11" max="11" width="9.5" bestFit="1" customWidth="1"/>
    <col min="12" max="12" width="15" bestFit="1" customWidth="1"/>
    <col min="13" max="14" width="9.5" bestFit="1" customWidth="1"/>
    <col min="16" max="16" width="6.5" customWidth="1"/>
    <col min="17" max="17" width="12.75" customWidth="1"/>
    <col min="18" max="18" width="29.625" bestFit="1" customWidth="1"/>
  </cols>
  <sheetData>
    <row r="1" spans="1:18" ht="15">
      <c r="A1" s="74" t="s">
        <v>374</v>
      </c>
      <c r="B1" s="377" t="s">
        <v>260</v>
      </c>
      <c r="C1" s="377" t="s">
        <v>261</v>
      </c>
      <c r="D1" s="377" t="s">
        <v>262</v>
      </c>
      <c r="E1" s="377" t="s">
        <v>263</v>
      </c>
      <c r="F1" s="377" t="s">
        <v>264</v>
      </c>
      <c r="G1" s="377" t="s">
        <v>265</v>
      </c>
      <c r="H1" s="377" t="s">
        <v>266</v>
      </c>
      <c r="I1" s="377" t="s">
        <v>375</v>
      </c>
      <c r="J1" s="377" t="s">
        <v>376</v>
      </c>
      <c r="K1" s="377" t="s">
        <v>126</v>
      </c>
      <c r="L1" s="377" t="s">
        <v>378</v>
      </c>
      <c r="M1" s="377" t="s">
        <v>267</v>
      </c>
      <c r="N1" s="377" t="s">
        <v>379</v>
      </c>
      <c r="O1" s="377" t="s">
        <v>377</v>
      </c>
      <c r="P1" s="377" t="s">
        <v>274</v>
      </c>
      <c r="Q1" s="377" t="s">
        <v>275</v>
      </c>
      <c r="R1" s="377" t="s">
        <v>276</v>
      </c>
    </row>
    <row r="2" spans="1:18">
      <c r="A2" s="74" t="str">
        <f>H2&amp;J2&amp;L2&amp;M2&amp;P2</f>
        <v>DTY圆机丝D八1-T 18S12.33</v>
      </c>
      <c r="B2" s="376" t="s">
        <v>467</v>
      </c>
      <c r="C2" s="376" t="s">
        <v>285</v>
      </c>
      <c r="D2" s="376" t="s">
        <v>908</v>
      </c>
      <c r="E2" s="376" t="s">
        <v>625</v>
      </c>
      <c r="F2" s="376" t="s">
        <v>612</v>
      </c>
      <c r="G2" s="376" t="s">
        <v>612</v>
      </c>
      <c r="H2" s="376" t="s">
        <v>399</v>
      </c>
      <c r="I2" s="376" t="s">
        <v>380</v>
      </c>
      <c r="J2" s="376" t="s">
        <v>464</v>
      </c>
      <c r="K2" s="376" t="s">
        <v>399</v>
      </c>
      <c r="L2" s="376" t="s">
        <v>466</v>
      </c>
      <c r="M2" s="376" t="s">
        <v>463</v>
      </c>
      <c r="N2" s="376" t="s">
        <v>387</v>
      </c>
      <c r="O2" s="376" t="s">
        <v>465</v>
      </c>
      <c r="P2" s="376" t="s">
        <v>468</v>
      </c>
      <c r="Q2" s="376" t="s">
        <v>469</v>
      </c>
      <c r="R2" s="376" t="s">
        <v>399</v>
      </c>
    </row>
    <row r="3" spans="1:18">
      <c r="A3" s="74" t="str">
        <f t="shared" ref="A3:A64" si="0">H3&amp;J3&amp;L3&amp;M3&amp;P3</f>
        <v>D/100/36/W/AAAA/0DTY圆机丝DFB1003610SSZ100/3618.1</v>
      </c>
      <c r="B3" s="376" t="s">
        <v>467</v>
      </c>
      <c r="C3" s="376" t="s">
        <v>285</v>
      </c>
      <c r="D3" s="376" t="s">
        <v>909</v>
      </c>
      <c r="E3" s="376" t="s">
        <v>620</v>
      </c>
      <c r="F3" s="376" t="s">
        <v>612</v>
      </c>
      <c r="G3" s="376" t="s">
        <v>612</v>
      </c>
      <c r="H3" s="376" t="s">
        <v>472</v>
      </c>
      <c r="I3" s="376" t="s">
        <v>380</v>
      </c>
      <c r="J3" s="376" t="s">
        <v>464</v>
      </c>
      <c r="K3" s="376" t="s">
        <v>399</v>
      </c>
      <c r="L3" s="376" t="s">
        <v>471</v>
      </c>
      <c r="M3" s="376" t="s">
        <v>470</v>
      </c>
      <c r="N3" s="376" t="s">
        <v>387</v>
      </c>
      <c r="O3" s="376" t="s">
        <v>465</v>
      </c>
      <c r="P3" s="376" t="s">
        <v>473</v>
      </c>
      <c r="Q3" s="376" t="s">
        <v>474</v>
      </c>
      <c r="R3" s="376" t="s">
        <v>475</v>
      </c>
    </row>
    <row r="4" spans="1:18">
      <c r="A4" s="74" t="str">
        <f t="shared" si="0"/>
        <v>D/104/36/W/AAAA/0DTY圆机丝32605104/369.0</v>
      </c>
      <c r="B4" s="376" t="s">
        <v>467</v>
      </c>
      <c r="C4" s="376" t="s">
        <v>285</v>
      </c>
      <c r="D4" s="376" t="s">
        <v>3186</v>
      </c>
      <c r="E4" s="376" t="s">
        <v>3001</v>
      </c>
      <c r="F4" s="376" t="s">
        <v>612</v>
      </c>
      <c r="G4" s="376" t="s">
        <v>612</v>
      </c>
      <c r="H4" s="376" t="s">
        <v>2275</v>
      </c>
      <c r="I4" s="376" t="s">
        <v>380</v>
      </c>
      <c r="J4" s="376" t="s">
        <v>464</v>
      </c>
      <c r="K4" s="376" t="s">
        <v>146</v>
      </c>
      <c r="L4" s="376" t="s">
        <v>2227</v>
      </c>
      <c r="M4" s="376" t="s">
        <v>368</v>
      </c>
      <c r="N4" s="376" t="s">
        <v>387</v>
      </c>
      <c r="O4" s="376" t="s">
        <v>465</v>
      </c>
      <c r="P4" s="376" t="s">
        <v>496</v>
      </c>
      <c r="Q4" s="376" t="s">
        <v>3187</v>
      </c>
      <c r="R4" s="376" t="s">
        <v>399</v>
      </c>
    </row>
    <row r="5" spans="1:18">
      <c r="A5" s="74" t="str">
        <f t="shared" si="0"/>
        <v>D/109/36/W/AAAA/0DTY圆机丝6021109/3615.91</v>
      </c>
      <c r="B5" s="376" t="s">
        <v>467</v>
      </c>
      <c r="C5" s="376" t="s">
        <v>285</v>
      </c>
      <c r="D5" s="376" t="s">
        <v>910</v>
      </c>
      <c r="E5" s="376" t="s">
        <v>630</v>
      </c>
      <c r="F5" s="376" t="s">
        <v>612</v>
      </c>
      <c r="G5" s="376" t="s">
        <v>612</v>
      </c>
      <c r="H5" s="376" t="s">
        <v>477</v>
      </c>
      <c r="I5" s="376" t="s">
        <v>380</v>
      </c>
      <c r="J5" s="376" t="s">
        <v>464</v>
      </c>
      <c r="K5" s="376" t="s">
        <v>478</v>
      </c>
      <c r="L5" s="376" t="s">
        <v>911</v>
      </c>
      <c r="M5" s="376" t="s">
        <v>476</v>
      </c>
      <c r="N5" s="376" t="s">
        <v>387</v>
      </c>
      <c r="O5" s="376" t="s">
        <v>465</v>
      </c>
      <c r="P5" s="376" t="s">
        <v>479</v>
      </c>
      <c r="Q5" s="376" t="s">
        <v>480</v>
      </c>
      <c r="R5" s="376" t="s">
        <v>481</v>
      </c>
    </row>
    <row r="6" spans="1:18">
      <c r="A6" s="74" t="str">
        <f t="shared" si="0"/>
        <v>D/109/36/W/AAAA/0DTY圆机丝6025109/3615.91</v>
      </c>
      <c r="B6" s="376" t="s">
        <v>467</v>
      </c>
      <c r="C6" s="376" t="s">
        <v>285</v>
      </c>
      <c r="D6" s="376" t="s">
        <v>912</v>
      </c>
      <c r="E6" s="376" t="s">
        <v>630</v>
      </c>
      <c r="F6" s="376" t="s">
        <v>612</v>
      </c>
      <c r="G6" s="376" t="s">
        <v>612</v>
      </c>
      <c r="H6" s="376" t="s">
        <v>477</v>
      </c>
      <c r="I6" s="376" t="s">
        <v>380</v>
      </c>
      <c r="J6" s="376" t="s">
        <v>464</v>
      </c>
      <c r="K6" s="376" t="s">
        <v>478</v>
      </c>
      <c r="L6" s="376" t="s">
        <v>913</v>
      </c>
      <c r="M6" s="376" t="s">
        <v>476</v>
      </c>
      <c r="N6" s="376" t="s">
        <v>387</v>
      </c>
      <c r="O6" s="376" t="s">
        <v>465</v>
      </c>
      <c r="P6" s="376" t="s">
        <v>479</v>
      </c>
      <c r="Q6" s="376" t="s">
        <v>482</v>
      </c>
      <c r="R6" s="376" t="s">
        <v>481</v>
      </c>
    </row>
    <row r="7" spans="1:18" hidden="1">
      <c r="A7" s="74" t="str">
        <f t="shared" si="0"/>
        <v>D/115/36/W/AAAAPOY原丝H-2011150368115/3610.4</v>
      </c>
      <c r="B7" s="376" t="s">
        <v>602</v>
      </c>
      <c r="C7" s="376" t="s">
        <v>601</v>
      </c>
      <c r="D7" s="376" t="s">
        <v>914</v>
      </c>
      <c r="E7" s="376" t="s">
        <v>620</v>
      </c>
      <c r="F7" s="376" t="s">
        <v>612</v>
      </c>
      <c r="G7" s="376" t="s">
        <v>612</v>
      </c>
      <c r="H7" s="376" t="s">
        <v>600</v>
      </c>
      <c r="I7" s="376" t="s">
        <v>595</v>
      </c>
      <c r="J7" s="376" t="s">
        <v>597</v>
      </c>
      <c r="K7" s="376" t="s">
        <v>411</v>
      </c>
      <c r="L7" s="376" t="s">
        <v>599</v>
      </c>
      <c r="M7" s="376" t="s">
        <v>596</v>
      </c>
      <c r="N7" s="376" t="s">
        <v>387</v>
      </c>
      <c r="O7" s="376" t="s">
        <v>598</v>
      </c>
      <c r="P7" s="376" t="s">
        <v>603</v>
      </c>
      <c r="Q7" s="376" t="s">
        <v>604</v>
      </c>
      <c r="R7" s="376" t="s">
        <v>399</v>
      </c>
    </row>
    <row r="8" spans="1:18">
      <c r="A8" s="74" t="str">
        <f t="shared" si="0"/>
        <v>D/120/36/W/AAAA/0DTY圆机丝PBT120/3618.1</v>
      </c>
      <c r="B8" s="376" t="s">
        <v>467</v>
      </c>
      <c r="C8" s="376" t="s">
        <v>285</v>
      </c>
      <c r="D8" s="376" t="s">
        <v>915</v>
      </c>
      <c r="E8" s="376" t="s">
        <v>620</v>
      </c>
      <c r="F8" s="376" t="s">
        <v>612</v>
      </c>
      <c r="G8" s="376" t="s">
        <v>612</v>
      </c>
      <c r="H8" s="376" t="s">
        <v>485</v>
      </c>
      <c r="I8" s="376" t="s">
        <v>380</v>
      </c>
      <c r="J8" s="376" t="s">
        <v>464</v>
      </c>
      <c r="K8" s="376" t="s">
        <v>399</v>
      </c>
      <c r="L8" s="376" t="s">
        <v>484</v>
      </c>
      <c r="M8" s="376" t="s">
        <v>483</v>
      </c>
      <c r="N8" s="376" t="s">
        <v>282</v>
      </c>
      <c r="O8" s="376" t="s">
        <v>465</v>
      </c>
      <c r="P8" s="376" t="s">
        <v>473</v>
      </c>
      <c r="Q8" s="376" t="s">
        <v>486</v>
      </c>
      <c r="R8" s="376" t="s">
        <v>399</v>
      </c>
    </row>
    <row r="9" spans="1:18" hidden="1">
      <c r="A9" s="74" t="str">
        <f t="shared" si="0"/>
        <v>POY原丝IP05010125/367.27</v>
      </c>
      <c r="B9" s="376" t="s">
        <v>602</v>
      </c>
      <c r="C9" s="376" t="s">
        <v>601</v>
      </c>
      <c r="D9" s="376" t="s">
        <v>916</v>
      </c>
      <c r="E9" s="376" t="s">
        <v>630</v>
      </c>
      <c r="F9" s="376" t="s">
        <v>612</v>
      </c>
      <c r="G9" s="376" t="s">
        <v>612</v>
      </c>
      <c r="H9" s="376" t="s">
        <v>399</v>
      </c>
      <c r="I9" s="376" t="s">
        <v>605</v>
      </c>
      <c r="J9" s="376" t="s">
        <v>597</v>
      </c>
      <c r="K9" s="376" t="s">
        <v>443</v>
      </c>
      <c r="L9" s="376" t="s">
        <v>607</v>
      </c>
      <c r="M9" s="376" t="s">
        <v>606</v>
      </c>
      <c r="N9" s="376" t="s">
        <v>387</v>
      </c>
      <c r="O9" s="376" t="s">
        <v>598</v>
      </c>
      <c r="P9" s="376" t="s">
        <v>608</v>
      </c>
      <c r="Q9" s="376" t="s">
        <v>609</v>
      </c>
      <c r="R9" s="376" t="s">
        <v>399</v>
      </c>
    </row>
    <row r="10" spans="1:18">
      <c r="A10" s="74" t="str">
        <f t="shared" si="0"/>
        <v>D/130/48/W/AAAA/0DTY圆机丝S21325130/488.26</v>
      </c>
      <c r="B10" s="376" t="s">
        <v>467</v>
      </c>
      <c r="C10" s="376" t="s">
        <v>285</v>
      </c>
      <c r="D10" s="376" t="s">
        <v>3188</v>
      </c>
      <c r="E10" s="376" t="s">
        <v>2936</v>
      </c>
      <c r="F10" s="376" t="s">
        <v>612</v>
      </c>
      <c r="G10" s="376" t="s">
        <v>612</v>
      </c>
      <c r="H10" s="376" t="s">
        <v>385</v>
      </c>
      <c r="I10" s="376" t="s">
        <v>380</v>
      </c>
      <c r="J10" s="376" t="s">
        <v>464</v>
      </c>
      <c r="K10" s="376" t="s">
        <v>158</v>
      </c>
      <c r="L10" s="376" t="s">
        <v>384</v>
      </c>
      <c r="M10" s="376" t="s">
        <v>381</v>
      </c>
      <c r="N10" s="376" t="s">
        <v>387</v>
      </c>
      <c r="O10" s="376" t="s">
        <v>465</v>
      </c>
      <c r="P10" s="376" t="s">
        <v>487</v>
      </c>
      <c r="Q10" s="376" t="s">
        <v>3189</v>
      </c>
      <c r="R10" s="376" t="s">
        <v>488</v>
      </c>
    </row>
    <row r="11" spans="1:18">
      <c r="A11" s="74" t="str">
        <f t="shared" si="0"/>
        <v>D/130/48/W/AAAA/0DTY圆机丝S21325130/4811.05</v>
      </c>
      <c r="B11" s="376" t="s">
        <v>467</v>
      </c>
      <c r="C11" s="376" t="s">
        <v>285</v>
      </c>
      <c r="D11" s="376" t="s">
        <v>3002</v>
      </c>
      <c r="E11" s="376" t="s">
        <v>3003</v>
      </c>
      <c r="F11" s="376" t="s">
        <v>612</v>
      </c>
      <c r="G11" s="376" t="s">
        <v>612</v>
      </c>
      <c r="H11" s="376" t="s">
        <v>385</v>
      </c>
      <c r="I11" s="376" t="s">
        <v>380</v>
      </c>
      <c r="J11" s="376" t="s">
        <v>464</v>
      </c>
      <c r="K11" s="376" t="s">
        <v>158</v>
      </c>
      <c r="L11" s="376" t="s">
        <v>384</v>
      </c>
      <c r="M11" s="376" t="s">
        <v>381</v>
      </c>
      <c r="N11" s="376" t="s">
        <v>387</v>
      </c>
      <c r="O11" s="376" t="s">
        <v>465</v>
      </c>
      <c r="P11" s="376" t="s">
        <v>3004</v>
      </c>
      <c r="Q11" s="376" t="s">
        <v>3005</v>
      </c>
      <c r="R11" s="376" t="s">
        <v>3006</v>
      </c>
    </row>
    <row r="12" spans="1:18">
      <c r="A12" s="74" t="str">
        <f t="shared" si="0"/>
        <v>D/130/48/W/AAAA/0DTY圆机丝32115130/487.35</v>
      </c>
      <c r="B12" s="376" t="s">
        <v>467</v>
      </c>
      <c r="C12" s="376" t="s">
        <v>285</v>
      </c>
      <c r="D12" s="376" t="s">
        <v>917</v>
      </c>
      <c r="E12" s="376" t="s">
        <v>918</v>
      </c>
      <c r="F12" s="376" t="s">
        <v>612</v>
      </c>
      <c r="G12" s="376" t="s">
        <v>612</v>
      </c>
      <c r="H12" s="376" t="s">
        <v>385</v>
      </c>
      <c r="I12" s="376" t="s">
        <v>380</v>
      </c>
      <c r="J12" s="376" t="s">
        <v>464</v>
      </c>
      <c r="K12" s="376" t="s">
        <v>399</v>
      </c>
      <c r="L12" s="376" t="s">
        <v>919</v>
      </c>
      <c r="M12" s="376" t="s">
        <v>381</v>
      </c>
      <c r="N12" s="376" t="s">
        <v>387</v>
      </c>
      <c r="O12" s="376" t="s">
        <v>465</v>
      </c>
      <c r="P12" s="376" t="s">
        <v>491</v>
      </c>
      <c r="Q12" s="376" t="s">
        <v>492</v>
      </c>
      <c r="R12" s="376" t="s">
        <v>475</v>
      </c>
    </row>
    <row r="13" spans="1:18">
      <c r="A13" s="74" t="str">
        <f t="shared" si="0"/>
        <v>D/130/48/W/AAAA/0DTY圆机丝32115130/4810.52</v>
      </c>
      <c r="B13" s="376" t="s">
        <v>467</v>
      </c>
      <c r="C13" s="376" t="s">
        <v>285</v>
      </c>
      <c r="D13" s="376" t="s">
        <v>920</v>
      </c>
      <c r="E13" s="376" t="s">
        <v>620</v>
      </c>
      <c r="F13" s="376" t="s">
        <v>612</v>
      </c>
      <c r="G13" s="376" t="s">
        <v>612</v>
      </c>
      <c r="H13" s="376" t="s">
        <v>385</v>
      </c>
      <c r="I13" s="376" t="s">
        <v>380</v>
      </c>
      <c r="J13" s="376" t="s">
        <v>464</v>
      </c>
      <c r="K13" s="376" t="s">
        <v>146</v>
      </c>
      <c r="L13" s="376" t="s">
        <v>919</v>
      </c>
      <c r="M13" s="376" t="s">
        <v>381</v>
      </c>
      <c r="N13" s="376" t="s">
        <v>387</v>
      </c>
      <c r="O13" s="376" t="s">
        <v>465</v>
      </c>
      <c r="P13" s="376" t="s">
        <v>493</v>
      </c>
      <c r="Q13" s="376" t="s">
        <v>494</v>
      </c>
      <c r="R13" s="376" t="s">
        <v>588</v>
      </c>
    </row>
    <row r="14" spans="1:18" hidden="1">
      <c r="A14" s="74" t="str">
        <f t="shared" si="0"/>
        <v>D/130/48/W/AAAA/0DTY喷水经丝S21325130/487.79</v>
      </c>
      <c r="B14" s="376" t="s">
        <v>386</v>
      </c>
      <c r="C14" s="376" t="s">
        <v>285</v>
      </c>
      <c r="D14" s="376" t="s">
        <v>2447</v>
      </c>
      <c r="E14" s="376" t="s">
        <v>2448</v>
      </c>
      <c r="F14" s="376" t="s">
        <v>612</v>
      </c>
      <c r="G14" s="376" t="s">
        <v>612</v>
      </c>
      <c r="H14" s="376" t="s">
        <v>385</v>
      </c>
      <c r="I14" s="376" t="s">
        <v>380</v>
      </c>
      <c r="J14" s="376" t="s">
        <v>382</v>
      </c>
      <c r="K14" s="376" t="s">
        <v>158</v>
      </c>
      <c r="L14" s="376" t="s">
        <v>384</v>
      </c>
      <c r="M14" s="376" t="s">
        <v>381</v>
      </c>
      <c r="N14" s="376" t="s">
        <v>387</v>
      </c>
      <c r="O14" s="376" t="s">
        <v>383</v>
      </c>
      <c r="P14" s="376" t="s">
        <v>388</v>
      </c>
      <c r="Q14" s="376" t="s">
        <v>2449</v>
      </c>
      <c r="R14" s="376" t="s">
        <v>389</v>
      </c>
    </row>
    <row r="15" spans="1:18" hidden="1">
      <c r="A15" s="74" t="str">
        <f t="shared" si="0"/>
        <v>D/132/48/B/AAAA/0DTY喷水经丝84132132/487.36</v>
      </c>
      <c r="B15" s="376" t="s">
        <v>386</v>
      </c>
      <c r="C15" s="376" t="s">
        <v>285</v>
      </c>
      <c r="D15" s="376" t="s">
        <v>3007</v>
      </c>
      <c r="E15" s="376" t="s">
        <v>2517</v>
      </c>
      <c r="F15" s="376" t="s">
        <v>612</v>
      </c>
      <c r="G15" s="376" t="s">
        <v>612</v>
      </c>
      <c r="H15" s="376" t="s">
        <v>392</v>
      </c>
      <c r="I15" s="376" t="s">
        <v>390</v>
      </c>
      <c r="J15" s="376" t="s">
        <v>382</v>
      </c>
      <c r="K15" s="376" t="s">
        <v>136</v>
      </c>
      <c r="L15" s="376" t="s">
        <v>921</v>
      </c>
      <c r="M15" s="376" t="s">
        <v>391</v>
      </c>
      <c r="N15" s="376" t="s">
        <v>387</v>
      </c>
      <c r="O15" s="376" t="s">
        <v>383</v>
      </c>
      <c r="P15" s="376" t="s">
        <v>393</v>
      </c>
      <c r="Q15" s="376" t="s">
        <v>3008</v>
      </c>
      <c r="R15" s="376" t="s">
        <v>922</v>
      </c>
    </row>
    <row r="16" spans="1:18" hidden="1">
      <c r="A16" s="74" t="str">
        <f t="shared" si="0"/>
        <v>D/132/48/B/AAAA/0DTY圆机丝84132132/489.0</v>
      </c>
      <c r="B16" s="376" t="s">
        <v>467</v>
      </c>
      <c r="C16" s="376" t="s">
        <v>285</v>
      </c>
      <c r="D16" s="376" t="s">
        <v>957</v>
      </c>
      <c r="E16" s="376" t="s">
        <v>923</v>
      </c>
      <c r="F16" s="376" t="s">
        <v>612</v>
      </c>
      <c r="G16" s="376" t="s">
        <v>612</v>
      </c>
      <c r="H16" s="376" t="s">
        <v>392</v>
      </c>
      <c r="I16" s="376" t="s">
        <v>495</v>
      </c>
      <c r="J16" s="376" t="s">
        <v>464</v>
      </c>
      <c r="K16" s="376" t="s">
        <v>136</v>
      </c>
      <c r="L16" s="376" t="s">
        <v>921</v>
      </c>
      <c r="M16" s="376" t="s">
        <v>391</v>
      </c>
      <c r="N16" s="376" t="s">
        <v>387</v>
      </c>
      <c r="O16" s="376" t="s">
        <v>465</v>
      </c>
      <c r="P16" s="376" t="s">
        <v>496</v>
      </c>
      <c r="Q16" s="376" t="s">
        <v>958</v>
      </c>
      <c r="R16" s="376" t="s">
        <v>497</v>
      </c>
    </row>
    <row r="17" spans="1:18" hidden="1">
      <c r="A17" s="74" t="str">
        <f t="shared" si="0"/>
        <v>D/140/48/B/AAAADTY圆机丝140/48140/488.97</v>
      </c>
      <c r="B17" s="376" t="s">
        <v>467</v>
      </c>
      <c r="C17" s="376" t="s">
        <v>285</v>
      </c>
      <c r="D17" s="376" t="s">
        <v>924</v>
      </c>
      <c r="E17" s="376" t="s">
        <v>656</v>
      </c>
      <c r="F17" s="376" t="s">
        <v>612</v>
      </c>
      <c r="G17" s="376" t="s">
        <v>612</v>
      </c>
      <c r="H17" s="376" t="s">
        <v>499</v>
      </c>
      <c r="I17" s="376" t="s">
        <v>390</v>
      </c>
      <c r="J17" s="376" t="s">
        <v>464</v>
      </c>
      <c r="K17" s="376" t="s">
        <v>411</v>
      </c>
      <c r="L17" s="376" t="s">
        <v>498</v>
      </c>
      <c r="M17" s="376" t="s">
        <v>498</v>
      </c>
      <c r="N17" s="376" t="s">
        <v>387</v>
      </c>
      <c r="O17" s="376" t="s">
        <v>465</v>
      </c>
      <c r="P17" s="376" t="s">
        <v>500</v>
      </c>
      <c r="Q17" s="376" t="s">
        <v>501</v>
      </c>
      <c r="R17" s="376" t="s">
        <v>399</v>
      </c>
    </row>
    <row r="18" spans="1:18" hidden="1">
      <c r="A18" s="74" t="str">
        <f t="shared" si="0"/>
        <v>D/167/48/B/AAA/0DTY喷水经丝J-HQ1674811167/489.83</v>
      </c>
      <c r="B18" s="376" t="s">
        <v>386</v>
      </c>
      <c r="C18" s="376" t="s">
        <v>285</v>
      </c>
      <c r="D18" s="376" t="s">
        <v>2755</v>
      </c>
      <c r="E18" s="376" t="s">
        <v>679</v>
      </c>
      <c r="F18" s="376" t="s">
        <v>612</v>
      </c>
      <c r="G18" s="376" t="s">
        <v>612</v>
      </c>
      <c r="H18" s="376" t="s">
        <v>2541</v>
      </c>
      <c r="I18" s="376" t="s">
        <v>390</v>
      </c>
      <c r="J18" s="376" t="s">
        <v>382</v>
      </c>
      <c r="K18" s="376" t="s">
        <v>435</v>
      </c>
      <c r="L18" s="376" t="s">
        <v>1583</v>
      </c>
      <c r="M18" s="376" t="s">
        <v>394</v>
      </c>
      <c r="N18" s="376" t="s">
        <v>287</v>
      </c>
      <c r="O18" s="376" t="s">
        <v>383</v>
      </c>
      <c r="P18" s="376" t="s">
        <v>1584</v>
      </c>
      <c r="Q18" s="376" t="s">
        <v>2756</v>
      </c>
      <c r="R18" s="376" t="s">
        <v>399</v>
      </c>
    </row>
    <row r="19" spans="1:18" hidden="1">
      <c r="A19" s="74" t="str">
        <f t="shared" si="0"/>
        <v>D/167/48/B/AAAA/0DTY喷水经丝J-HQ1674811167/489.83</v>
      </c>
      <c r="B19" s="376" t="s">
        <v>386</v>
      </c>
      <c r="C19" s="376" t="s">
        <v>285</v>
      </c>
      <c r="D19" s="376" t="s">
        <v>2542</v>
      </c>
      <c r="E19" s="376" t="s">
        <v>638</v>
      </c>
      <c r="F19" s="376" t="s">
        <v>612</v>
      </c>
      <c r="G19" s="376" t="s">
        <v>612</v>
      </c>
      <c r="H19" s="376" t="s">
        <v>1582</v>
      </c>
      <c r="I19" s="376" t="s">
        <v>390</v>
      </c>
      <c r="J19" s="376" t="s">
        <v>382</v>
      </c>
      <c r="K19" s="376" t="s">
        <v>435</v>
      </c>
      <c r="L19" s="376" t="s">
        <v>1583</v>
      </c>
      <c r="M19" s="376" t="s">
        <v>394</v>
      </c>
      <c r="N19" s="376" t="s">
        <v>387</v>
      </c>
      <c r="O19" s="376" t="s">
        <v>383</v>
      </c>
      <c r="P19" s="376" t="s">
        <v>1584</v>
      </c>
      <c r="Q19" s="376" t="s">
        <v>2543</v>
      </c>
      <c r="R19" s="376" t="s">
        <v>399</v>
      </c>
    </row>
    <row r="20" spans="1:18" hidden="1">
      <c r="A20" s="74" t="str">
        <f t="shared" si="0"/>
        <v>D/167/48/W/AAAA/0DTY喷水经丝M15081167/489.16</v>
      </c>
      <c r="B20" s="376" t="s">
        <v>386</v>
      </c>
      <c r="C20" s="376" t="s">
        <v>285</v>
      </c>
      <c r="D20" s="376" t="s">
        <v>1585</v>
      </c>
      <c r="E20" s="376" t="s">
        <v>632</v>
      </c>
      <c r="F20" s="376" t="s">
        <v>612</v>
      </c>
      <c r="G20" s="376" t="s">
        <v>612</v>
      </c>
      <c r="H20" s="376" t="s">
        <v>960</v>
      </c>
      <c r="I20" s="376" t="s">
        <v>380</v>
      </c>
      <c r="J20" s="376" t="s">
        <v>382</v>
      </c>
      <c r="K20" s="376" t="s">
        <v>397</v>
      </c>
      <c r="L20" s="376" t="s">
        <v>395</v>
      </c>
      <c r="M20" s="376" t="s">
        <v>394</v>
      </c>
      <c r="N20" s="376" t="s">
        <v>387</v>
      </c>
      <c r="O20" s="376" t="s">
        <v>383</v>
      </c>
      <c r="P20" s="376" t="s">
        <v>398</v>
      </c>
      <c r="Q20" s="376" t="s">
        <v>1586</v>
      </c>
      <c r="R20" s="376" t="s">
        <v>399</v>
      </c>
    </row>
    <row r="21" spans="1:18" hidden="1">
      <c r="A21" s="74" t="str">
        <f t="shared" si="0"/>
        <v>D/167/48/W/AAA/0DTY喷水经丝M15081167/489.16</v>
      </c>
      <c r="B21" s="376" t="s">
        <v>386</v>
      </c>
      <c r="C21" s="376" t="s">
        <v>285</v>
      </c>
      <c r="D21" s="376" t="s">
        <v>2733</v>
      </c>
      <c r="E21" s="376" t="s">
        <v>632</v>
      </c>
      <c r="F21" s="376" t="s">
        <v>612</v>
      </c>
      <c r="G21" s="376" t="s">
        <v>612</v>
      </c>
      <c r="H21" s="376" t="s">
        <v>396</v>
      </c>
      <c r="I21" s="376" t="s">
        <v>380</v>
      </c>
      <c r="J21" s="376" t="s">
        <v>382</v>
      </c>
      <c r="K21" s="376" t="s">
        <v>397</v>
      </c>
      <c r="L21" s="376" t="s">
        <v>395</v>
      </c>
      <c r="M21" s="376" t="s">
        <v>394</v>
      </c>
      <c r="N21" s="376" t="s">
        <v>287</v>
      </c>
      <c r="O21" s="376" t="s">
        <v>383</v>
      </c>
      <c r="P21" s="376" t="s">
        <v>398</v>
      </c>
      <c r="Q21" s="376" t="s">
        <v>2734</v>
      </c>
      <c r="R21" s="376" t="s">
        <v>399</v>
      </c>
    </row>
    <row r="22" spans="1:18" hidden="1">
      <c r="A22" s="74" t="str">
        <f t="shared" si="0"/>
        <v>D/150/48*2/B/AAAA/0DTY喷水经丝30017H167/48*211.98</v>
      </c>
      <c r="B22" s="376" t="s">
        <v>386</v>
      </c>
      <c r="C22" s="376" t="s">
        <v>285</v>
      </c>
      <c r="D22" s="376" t="s">
        <v>3009</v>
      </c>
      <c r="E22" s="376" t="s">
        <v>3010</v>
      </c>
      <c r="F22" s="376" t="s">
        <v>612</v>
      </c>
      <c r="G22" s="376" t="s">
        <v>612</v>
      </c>
      <c r="H22" s="376" t="s">
        <v>402</v>
      </c>
      <c r="I22" s="376" t="s">
        <v>390</v>
      </c>
      <c r="J22" s="376" t="s">
        <v>382</v>
      </c>
      <c r="K22" s="376" t="s">
        <v>154</v>
      </c>
      <c r="L22" s="376" t="s">
        <v>401</v>
      </c>
      <c r="M22" s="376" t="s">
        <v>400</v>
      </c>
      <c r="N22" s="376" t="s">
        <v>387</v>
      </c>
      <c r="O22" s="376" t="s">
        <v>383</v>
      </c>
      <c r="P22" s="376" t="s">
        <v>403</v>
      </c>
      <c r="Q22" s="376" t="s">
        <v>3011</v>
      </c>
      <c r="R22" s="376" t="s">
        <v>399</v>
      </c>
    </row>
    <row r="23" spans="1:18">
      <c r="A23" s="74" t="str">
        <f t="shared" si="0"/>
        <v>D/172/48/W/AAAA/0DTY圆机丝73003172/487.51</v>
      </c>
      <c r="B23" s="376" t="s">
        <v>467</v>
      </c>
      <c r="C23" s="376" t="s">
        <v>285</v>
      </c>
      <c r="D23" s="376" t="s">
        <v>1192</v>
      </c>
      <c r="E23" s="376" t="s">
        <v>1193</v>
      </c>
      <c r="F23" s="376" t="s">
        <v>612</v>
      </c>
      <c r="G23" s="376" t="s">
        <v>612</v>
      </c>
      <c r="H23" s="376" t="s">
        <v>502</v>
      </c>
      <c r="I23" s="376" t="s">
        <v>380</v>
      </c>
      <c r="J23" s="376" t="s">
        <v>464</v>
      </c>
      <c r="K23" s="376" t="s">
        <v>146</v>
      </c>
      <c r="L23" s="376" t="s">
        <v>925</v>
      </c>
      <c r="M23" s="376" t="s">
        <v>404</v>
      </c>
      <c r="N23" s="376" t="s">
        <v>387</v>
      </c>
      <c r="O23" s="376" t="s">
        <v>465</v>
      </c>
      <c r="P23" s="376" t="s">
        <v>503</v>
      </c>
      <c r="Q23" s="376" t="s">
        <v>1194</v>
      </c>
      <c r="R23" s="376" t="s">
        <v>504</v>
      </c>
    </row>
    <row r="24" spans="1:18" hidden="1">
      <c r="A24" s="74" t="str">
        <f t="shared" si="0"/>
        <v>D/100/48/W/AAAA/0DTY喷水经丝73003172/488.34</v>
      </c>
      <c r="B24" s="376" t="s">
        <v>386</v>
      </c>
      <c r="C24" s="376" t="s">
        <v>285</v>
      </c>
      <c r="D24" s="376" t="s">
        <v>3012</v>
      </c>
      <c r="E24" s="376" t="s">
        <v>3013</v>
      </c>
      <c r="F24" s="376" t="s">
        <v>612</v>
      </c>
      <c r="G24" s="376" t="s">
        <v>612</v>
      </c>
      <c r="H24" s="376" t="s">
        <v>405</v>
      </c>
      <c r="I24" s="376" t="s">
        <v>380</v>
      </c>
      <c r="J24" s="376" t="s">
        <v>382</v>
      </c>
      <c r="K24" s="376" t="s">
        <v>146</v>
      </c>
      <c r="L24" s="376" t="s">
        <v>925</v>
      </c>
      <c r="M24" s="376" t="s">
        <v>404</v>
      </c>
      <c r="N24" s="376" t="s">
        <v>387</v>
      </c>
      <c r="O24" s="376" t="s">
        <v>383</v>
      </c>
      <c r="P24" s="376" t="s">
        <v>406</v>
      </c>
      <c r="Q24" s="376" t="s">
        <v>3014</v>
      </c>
      <c r="R24" s="376" t="s">
        <v>407</v>
      </c>
    </row>
    <row r="25" spans="1:18">
      <c r="A25" s="74" t="str">
        <f t="shared" si="0"/>
        <v>DTY圆机丝200820/2433.0</v>
      </c>
      <c r="B25" s="376" t="s">
        <v>467</v>
      </c>
      <c r="C25" s="376" t="s">
        <v>285</v>
      </c>
      <c r="D25" s="376" t="s">
        <v>926</v>
      </c>
      <c r="E25" s="376" t="s">
        <v>666</v>
      </c>
      <c r="F25" s="376" t="s">
        <v>612</v>
      </c>
      <c r="G25" s="376" t="s">
        <v>612</v>
      </c>
      <c r="H25" s="376" t="s">
        <v>399</v>
      </c>
      <c r="I25" s="376" t="s">
        <v>380</v>
      </c>
      <c r="J25" s="376" t="s">
        <v>464</v>
      </c>
      <c r="K25" s="376" t="s">
        <v>138</v>
      </c>
      <c r="L25" s="376" t="s">
        <v>927</v>
      </c>
      <c r="M25" s="376" t="s">
        <v>505</v>
      </c>
      <c r="N25" s="376" t="s">
        <v>387</v>
      </c>
      <c r="O25" s="376" t="s">
        <v>465</v>
      </c>
      <c r="P25" s="376" t="s">
        <v>506</v>
      </c>
      <c r="Q25" s="376" t="s">
        <v>507</v>
      </c>
      <c r="R25" s="376" t="s">
        <v>399</v>
      </c>
    </row>
    <row r="26" spans="1:18">
      <c r="A26" s="74" t="str">
        <f t="shared" si="0"/>
        <v>D/20/24/W/AAAAA/0DTY圆机丝200320/2430.17</v>
      </c>
      <c r="B26" s="376" t="s">
        <v>467</v>
      </c>
      <c r="C26" s="376" t="s">
        <v>285</v>
      </c>
      <c r="D26" s="376" t="s">
        <v>928</v>
      </c>
      <c r="E26" s="376" t="s">
        <v>929</v>
      </c>
      <c r="F26" s="376" t="s">
        <v>612</v>
      </c>
      <c r="G26" s="376" t="s">
        <v>612</v>
      </c>
      <c r="H26" s="376" t="s">
        <v>508</v>
      </c>
      <c r="I26" s="376" t="s">
        <v>380</v>
      </c>
      <c r="J26" s="376" t="s">
        <v>464</v>
      </c>
      <c r="K26" s="376" t="s">
        <v>138</v>
      </c>
      <c r="L26" s="376" t="s">
        <v>930</v>
      </c>
      <c r="M26" s="376" t="s">
        <v>505</v>
      </c>
      <c r="N26" s="376" t="s">
        <v>387</v>
      </c>
      <c r="O26" s="376" t="s">
        <v>465</v>
      </c>
      <c r="P26" s="376" t="s">
        <v>509</v>
      </c>
      <c r="Q26" s="376" t="s">
        <v>510</v>
      </c>
      <c r="R26" s="376" t="s">
        <v>399</v>
      </c>
    </row>
    <row r="27" spans="1:18">
      <c r="A27" s="74" t="str">
        <f t="shared" si="0"/>
        <v>D/20/24/W/AAAA/0DTY圆机丝/20/2434.31</v>
      </c>
      <c r="B27" s="376" t="s">
        <v>467</v>
      </c>
      <c r="C27" s="376" t="s">
        <v>285</v>
      </c>
      <c r="D27" s="376" t="s">
        <v>931</v>
      </c>
      <c r="E27" s="376" t="s">
        <v>932</v>
      </c>
      <c r="F27" s="376" t="s">
        <v>612</v>
      </c>
      <c r="G27" s="376" t="s">
        <v>612</v>
      </c>
      <c r="H27" s="376" t="s">
        <v>512</v>
      </c>
      <c r="I27" s="376" t="s">
        <v>380</v>
      </c>
      <c r="J27" s="376" t="s">
        <v>464</v>
      </c>
      <c r="K27" s="376" t="s">
        <v>158</v>
      </c>
      <c r="L27" s="376" t="s">
        <v>511</v>
      </c>
      <c r="M27" s="376" t="s">
        <v>505</v>
      </c>
      <c r="N27" s="376" t="s">
        <v>282</v>
      </c>
      <c r="O27" s="376" t="s">
        <v>465</v>
      </c>
      <c r="P27" s="376" t="s">
        <v>513</v>
      </c>
      <c r="Q27" s="376" t="s">
        <v>514</v>
      </c>
      <c r="R27" s="376" t="s">
        <v>515</v>
      </c>
    </row>
    <row r="28" spans="1:18">
      <c r="A28" s="74" t="str">
        <f t="shared" si="0"/>
        <v>D/20/24/W/AAAA/0DTY圆机丝200320/2430.17</v>
      </c>
      <c r="B28" s="376" t="s">
        <v>467</v>
      </c>
      <c r="C28" s="376" t="s">
        <v>285</v>
      </c>
      <c r="D28" s="376" t="s">
        <v>933</v>
      </c>
      <c r="E28" s="376" t="s">
        <v>704</v>
      </c>
      <c r="F28" s="376" t="s">
        <v>612</v>
      </c>
      <c r="G28" s="376" t="s">
        <v>612</v>
      </c>
      <c r="H28" s="376" t="s">
        <v>512</v>
      </c>
      <c r="I28" s="376" t="s">
        <v>380</v>
      </c>
      <c r="J28" s="376" t="s">
        <v>464</v>
      </c>
      <c r="K28" s="376" t="s">
        <v>138</v>
      </c>
      <c r="L28" s="376" t="s">
        <v>930</v>
      </c>
      <c r="M28" s="376" t="s">
        <v>505</v>
      </c>
      <c r="N28" s="376" t="s">
        <v>287</v>
      </c>
      <c r="O28" s="376" t="s">
        <v>465</v>
      </c>
      <c r="P28" s="376" t="s">
        <v>509</v>
      </c>
      <c r="Q28" s="376" t="s">
        <v>516</v>
      </c>
      <c r="R28" s="376" t="s">
        <v>399</v>
      </c>
    </row>
    <row r="29" spans="1:18">
      <c r="A29" s="74" t="str">
        <f t="shared" si="0"/>
        <v>D/20/24/W/AAA/0DTY圆机丝200820/2428.02</v>
      </c>
      <c r="B29" s="376" t="s">
        <v>467</v>
      </c>
      <c r="C29" s="376" t="s">
        <v>285</v>
      </c>
      <c r="D29" s="376" t="s">
        <v>934</v>
      </c>
      <c r="E29" s="376" t="s">
        <v>667</v>
      </c>
      <c r="F29" s="376" t="s">
        <v>612</v>
      </c>
      <c r="G29" s="376" t="s">
        <v>612</v>
      </c>
      <c r="H29" s="376" t="s">
        <v>517</v>
      </c>
      <c r="I29" s="376" t="s">
        <v>380</v>
      </c>
      <c r="J29" s="376" t="s">
        <v>464</v>
      </c>
      <c r="K29" s="376" t="s">
        <v>138</v>
      </c>
      <c r="L29" s="376" t="s">
        <v>927</v>
      </c>
      <c r="M29" s="376" t="s">
        <v>505</v>
      </c>
      <c r="N29" s="376" t="s">
        <v>282</v>
      </c>
      <c r="O29" s="376" t="s">
        <v>465</v>
      </c>
      <c r="P29" s="376" t="s">
        <v>518</v>
      </c>
      <c r="Q29" s="376" t="s">
        <v>519</v>
      </c>
      <c r="R29" s="376" t="s">
        <v>520</v>
      </c>
    </row>
    <row r="30" spans="1:18" hidden="1">
      <c r="A30" s="74" t="str">
        <f t="shared" si="0"/>
        <v>D/200/96/B/AAAA/0DTY圆机丝D15200200/9610.27</v>
      </c>
      <c r="B30" s="376" t="s">
        <v>467</v>
      </c>
      <c r="C30" s="376" t="s">
        <v>285</v>
      </c>
      <c r="D30" s="376" t="s">
        <v>935</v>
      </c>
      <c r="E30" s="376" t="s">
        <v>715</v>
      </c>
      <c r="F30" s="376" t="s">
        <v>612</v>
      </c>
      <c r="G30" s="376" t="s">
        <v>612</v>
      </c>
      <c r="H30" s="376" t="s">
        <v>523</v>
      </c>
      <c r="I30" s="376" t="s">
        <v>390</v>
      </c>
      <c r="J30" s="376" t="s">
        <v>464</v>
      </c>
      <c r="K30" s="376" t="s">
        <v>524</v>
      </c>
      <c r="L30" s="376" t="s">
        <v>522</v>
      </c>
      <c r="M30" s="376" t="s">
        <v>521</v>
      </c>
      <c r="N30" s="376" t="s">
        <v>387</v>
      </c>
      <c r="O30" s="376" t="s">
        <v>465</v>
      </c>
      <c r="P30" s="376" t="s">
        <v>525</v>
      </c>
      <c r="Q30" s="376" t="s">
        <v>526</v>
      </c>
      <c r="R30" s="376" t="s">
        <v>399</v>
      </c>
    </row>
    <row r="31" spans="1:18">
      <c r="A31" s="74" t="str">
        <f t="shared" si="0"/>
        <v>DTY圆机丝T/R21支16.81</v>
      </c>
      <c r="B31" s="376" t="s">
        <v>467</v>
      </c>
      <c r="C31" s="376" t="s">
        <v>285</v>
      </c>
      <c r="D31" s="376" t="s">
        <v>936</v>
      </c>
      <c r="E31" s="376" t="s">
        <v>634</v>
      </c>
      <c r="F31" s="376" t="s">
        <v>612</v>
      </c>
      <c r="G31" s="376" t="s">
        <v>612</v>
      </c>
      <c r="H31" s="376" t="s">
        <v>399</v>
      </c>
      <c r="I31" s="376" t="s">
        <v>527</v>
      </c>
      <c r="J31" s="376" t="s">
        <v>464</v>
      </c>
      <c r="K31" s="376" t="s">
        <v>399</v>
      </c>
      <c r="L31" s="376" t="s">
        <v>529</v>
      </c>
      <c r="M31" s="376" t="s">
        <v>528</v>
      </c>
      <c r="N31" s="376" t="s">
        <v>287</v>
      </c>
      <c r="O31" s="376" t="s">
        <v>465</v>
      </c>
      <c r="P31" s="376" t="s">
        <v>530</v>
      </c>
      <c r="Q31" s="376" t="s">
        <v>531</v>
      </c>
      <c r="R31" s="376" t="s">
        <v>399</v>
      </c>
    </row>
    <row r="32" spans="1:18">
      <c r="A32" s="74" t="str">
        <f t="shared" si="0"/>
        <v>D/22/24/W/AAAA/0DTY圆机丝2002222/2432.0</v>
      </c>
      <c r="B32" s="376" t="s">
        <v>467</v>
      </c>
      <c r="C32" s="376" t="s">
        <v>285</v>
      </c>
      <c r="D32" s="376" t="s">
        <v>937</v>
      </c>
      <c r="E32" s="376" t="s">
        <v>918</v>
      </c>
      <c r="F32" s="376" t="s">
        <v>612</v>
      </c>
      <c r="G32" s="376" t="s">
        <v>612</v>
      </c>
      <c r="H32" s="376" t="s">
        <v>415</v>
      </c>
      <c r="I32" s="376" t="s">
        <v>380</v>
      </c>
      <c r="J32" s="376" t="s">
        <v>464</v>
      </c>
      <c r="K32" s="376" t="s">
        <v>156</v>
      </c>
      <c r="L32" s="376" t="s">
        <v>938</v>
      </c>
      <c r="M32" s="376" t="s">
        <v>413</v>
      </c>
      <c r="N32" s="376" t="s">
        <v>387</v>
      </c>
      <c r="O32" s="376" t="s">
        <v>465</v>
      </c>
      <c r="P32" s="376" t="s">
        <v>532</v>
      </c>
      <c r="Q32" s="376" t="s">
        <v>533</v>
      </c>
      <c r="R32" s="376" t="s">
        <v>534</v>
      </c>
    </row>
    <row r="33" spans="1:18" hidden="1">
      <c r="A33" s="74" t="str">
        <f t="shared" si="0"/>
        <v>D/222/96/W/AAAA/0DTY喷水经丝DE7122296Z222/9616.51</v>
      </c>
      <c r="B33" s="376" t="s">
        <v>386</v>
      </c>
      <c r="C33" s="376" t="s">
        <v>285</v>
      </c>
      <c r="D33" s="376" t="s">
        <v>939</v>
      </c>
      <c r="E33" s="376" t="s">
        <v>634</v>
      </c>
      <c r="F33" s="376" t="s">
        <v>612</v>
      </c>
      <c r="G33" s="376" t="s">
        <v>612</v>
      </c>
      <c r="H33" s="376" t="s">
        <v>420</v>
      </c>
      <c r="I33" s="376" t="s">
        <v>380</v>
      </c>
      <c r="J33" s="376" t="s">
        <v>382</v>
      </c>
      <c r="K33" s="376" t="s">
        <v>134</v>
      </c>
      <c r="L33" s="376" t="s">
        <v>419</v>
      </c>
      <c r="M33" s="376" t="s">
        <v>418</v>
      </c>
      <c r="N33" s="376" t="s">
        <v>387</v>
      </c>
      <c r="O33" s="376" t="s">
        <v>383</v>
      </c>
      <c r="P33" s="376" t="s">
        <v>421</v>
      </c>
      <c r="Q33" s="376" t="s">
        <v>422</v>
      </c>
      <c r="R33" s="376" t="s">
        <v>399</v>
      </c>
    </row>
    <row r="34" spans="1:18">
      <c r="A34" s="74" t="str">
        <f t="shared" si="0"/>
        <v>F/222/96/W/AAAA/0DTY圆机丝IT2059ZC40222/9610.41</v>
      </c>
      <c r="B34" s="376" t="s">
        <v>467</v>
      </c>
      <c r="C34" s="376" t="s">
        <v>285</v>
      </c>
      <c r="D34" s="376" t="s">
        <v>940</v>
      </c>
      <c r="E34" s="376" t="s">
        <v>715</v>
      </c>
      <c r="F34" s="376" t="s">
        <v>612</v>
      </c>
      <c r="G34" s="376" t="s">
        <v>612</v>
      </c>
      <c r="H34" s="376" t="s">
        <v>536</v>
      </c>
      <c r="I34" s="376" t="s">
        <v>380</v>
      </c>
      <c r="J34" s="376" t="s">
        <v>464</v>
      </c>
      <c r="K34" s="376" t="s">
        <v>144</v>
      </c>
      <c r="L34" s="376" t="s">
        <v>535</v>
      </c>
      <c r="M34" s="376" t="s">
        <v>418</v>
      </c>
      <c r="N34" s="376" t="s">
        <v>387</v>
      </c>
      <c r="O34" s="376" t="s">
        <v>465</v>
      </c>
      <c r="P34" s="376" t="s">
        <v>537</v>
      </c>
      <c r="Q34" s="376" t="s">
        <v>538</v>
      </c>
      <c r="R34" s="376" t="s">
        <v>288</v>
      </c>
    </row>
    <row r="35" spans="1:18">
      <c r="A35" s="74" t="str">
        <f t="shared" si="0"/>
        <v>D/275/48/W/AAAA/0DTY圆机丝H278275485275/487.64</v>
      </c>
      <c r="B35" s="376" t="s">
        <v>467</v>
      </c>
      <c r="C35" s="376" t="s">
        <v>285</v>
      </c>
      <c r="D35" s="376" t="s">
        <v>941</v>
      </c>
      <c r="E35" s="376" t="s">
        <v>708</v>
      </c>
      <c r="F35" s="376" t="s">
        <v>612</v>
      </c>
      <c r="G35" s="376" t="s">
        <v>612</v>
      </c>
      <c r="H35" s="376" t="s">
        <v>541</v>
      </c>
      <c r="I35" s="376" t="s">
        <v>380</v>
      </c>
      <c r="J35" s="376" t="s">
        <v>464</v>
      </c>
      <c r="K35" s="376" t="s">
        <v>411</v>
      </c>
      <c r="L35" s="376" t="s">
        <v>540</v>
      </c>
      <c r="M35" s="376" t="s">
        <v>539</v>
      </c>
      <c r="N35" s="376" t="s">
        <v>387</v>
      </c>
      <c r="O35" s="376" t="s">
        <v>465</v>
      </c>
      <c r="P35" s="376" t="s">
        <v>542</v>
      </c>
      <c r="Q35" s="376" t="s">
        <v>543</v>
      </c>
      <c r="R35" s="376" t="s">
        <v>399</v>
      </c>
    </row>
    <row r="36" spans="1:18">
      <c r="A36" s="74" t="str">
        <f t="shared" si="0"/>
        <v>D/278/96/W/AAAA/0DTY圆机丝1T2529ZC-34278/9610.06</v>
      </c>
      <c r="B36" s="376" t="s">
        <v>467</v>
      </c>
      <c r="C36" s="376" t="s">
        <v>285</v>
      </c>
      <c r="D36" s="376" t="s">
        <v>663</v>
      </c>
      <c r="E36" s="376" t="s">
        <v>641</v>
      </c>
      <c r="F36" s="376" t="s">
        <v>612</v>
      </c>
      <c r="G36" s="376" t="s">
        <v>612</v>
      </c>
      <c r="H36" s="376" t="s">
        <v>546</v>
      </c>
      <c r="I36" s="376" t="s">
        <v>380</v>
      </c>
      <c r="J36" s="376" t="s">
        <v>464</v>
      </c>
      <c r="K36" s="376" t="s">
        <v>144</v>
      </c>
      <c r="L36" s="376" t="s">
        <v>545</v>
      </c>
      <c r="M36" s="376" t="s">
        <v>544</v>
      </c>
      <c r="N36" s="376" t="s">
        <v>387</v>
      </c>
      <c r="O36" s="376" t="s">
        <v>465</v>
      </c>
      <c r="P36" s="376" t="s">
        <v>547</v>
      </c>
      <c r="Q36" s="376" t="s">
        <v>2497</v>
      </c>
      <c r="R36" s="376" t="s">
        <v>481</v>
      </c>
    </row>
    <row r="37" spans="1:18" s="284" customFormat="1" hidden="1">
      <c r="A37" s="74" t="str">
        <f t="shared" si="0"/>
        <v>D/30/24/W/AAA/0DTY喷水经丝1580230/2418.56</v>
      </c>
      <c r="B37" s="376" t="s">
        <v>386</v>
      </c>
      <c r="C37" s="376" t="s">
        <v>285</v>
      </c>
      <c r="D37" s="376" t="s">
        <v>2735</v>
      </c>
      <c r="E37" s="376" t="s">
        <v>719</v>
      </c>
      <c r="F37" s="376" t="s">
        <v>612</v>
      </c>
      <c r="G37" s="376" t="s">
        <v>612</v>
      </c>
      <c r="H37" s="376" t="s">
        <v>424</v>
      </c>
      <c r="I37" s="376" t="s">
        <v>380</v>
      </c>
      <c r="J37" s="376" t="s">
        <v>382</v>
      </c>
      <c r="K37" s="376" t="s">
        <v>142</v>
      </c>
      <c r="L37" s="376" t="s">
        <v>942</v>
      </c>
      <c r="M37" s="376" t="s">
        <v>423</v>
      </c>
      <c r="N37" s="376" t="s">
        <v>287</v>
      </c>
      <c r="O37" s="376" t="s">
        <v>383</v>
      </c>
      <c r="P37" s="376" t="s">
        <v>425</v>
      </c>
      <c r="Q37" s="376" t="s">
        <v>2736</v>
      </c>
      <c r="R37" s="376" t="s">
        <v>399</v>
      </c>
    </row>
    <row r="38" spans="1:18">
      <c r="A38" s="74" t="str">
        <f t="shared" si="0"/>
        <v>DTY圆机丝30240930/2418.6</v>
      </c>
      <c r="B38" s="376" t="s">
        <v>467</v>
      </c>
      <c r="C38" s="376" t="s">
        <v>285</v>
      </c>
      <c r="D38" s="376" t="s">
        <v>2737</v>
      </c>
      <c r="E38" s="376" t="s">
        <v>667</v>
      </c>
      <c r="F38" s="376" t="s">
        <v>612</v>
      </c>
      <c r="G38" s="376" t="s">
        <v>612</v>
      </c>
      <c r="H38" s="376" t="s">
        <v>399</v>
      </c>
      <c r="I38" s="376" t="s">
        <v>380</v>
      </c>
      <c r="J38" s="376" t="s">
        <v>464</v>
      </c>
      <c r="K38" s="376" t="s">
        <v>154</v>
      </c>
      <c r="L38" s="376" t="s">
        <v>943</v>
      </c>
      <c r="M38" s="376" t="s">
        <v>423</v>
      </c>
      <c r="N38" s="376" t="s">
        <v>387</v>
      </c>
      <c r="O38" s="376" t="s">
        <v>465</v>
      </c>
      <c r="P38" s="376" t="s">
        <v>944</v>
      </c>
      <c r="Q38" s="376" t="s">
        <v>2738</v>
      </c>
      <c r="R38" s="376" t="s">
        <v>399</v>
      </c>
    </row>
    <row r="39" spans="1:18" s="284" customFormat="1" hidden="1">
      <c r="A39" s="74" t="str">
        <f t="shared" si="0"/>
        <v>D/30/24/W/AAAA/0DTY喷水经丝1580230/2418.96</v>
      </c>
      <c r="B39" s="376" t="s">
        <v>386</v>
      </c>
      <c r="C39" s="376" t="s">
        <v>285</v>
      </c>
      <c r="D39" s="376" t="s">
        <v>2982</v>
      </c>
      <c r="E39" s="376" t="s">
        <v>2983</v>
      </c>
      <c r="F39" s="376" t="s">
        <v>612</v>
      </c>
      <c r="G39" s="376" t="s">
        <v>612</v>
      </c>
      <c r="H39" s="376" t="s">
        <v>426</v>
      </c>
      <c r="I39" s="376" t="s">
        <v>380</v>
      </c>
      <c r="J39" s="376" t="s">
        <v>382</v>
      </c>
      <c r="K39" s="376" t="s">
        <v>142</v>
      </c>
      <c r="L39" s="376" t="s">
        <v>942</v>
      </c>
      <c r="M39" s="376" t="s">
        <v>423</v>
      </c>
      <c r="N39" s="376" t="s">
        <v>387</v>
      </c>
      <c r="O39" s="376" t="s">
        <v>383</v>
      </c>
      <c r="P39" s="376" t="s">
        <v>427</v>
      </c>
      <c r="Q39" s="376" t="s">
        <v>2984</v>
      </c>
      <c r="R39" s="376" t="s">
        <v>399</v>
      </c>
    </row>
    <row r="40" spans="1:18">
      <c r="A40" s="74" t="str">
        <f t="shared" si="0"/>
        <v>D/33/24/W/AAAA/DTY圆机丝213531AS33/2418.81</v>
      </c>
      <c r="B40" s="376" t="s">
        <v>467</v>
      </c>
      <c r="C40" s="376" t="s">
        <v>285</v>
      </c>
      <c r="D40" s="376" t="s">
        <v>2544</v>
      </c>
      <c r="E40" s="376" t="s">
        <v>2545</v>
      </c>
      <c r="F40" s="376" t="s">
        <v>612</v>
      </c>
      <c r="G40" s="376" t="s">
        <v>612</v>
      </c>
      <c r="H40" s="376" t="s">
        <v>2546</v>
      </c>
      <c r="I40" s="376" t="s">
        <v>380</v>
      </c>
      <c r="J40" s="376" t="s">
        <v>464</v>
      </c>
      <c r="K40" s="376" t="s">
        <v>140</v>
      </c>
      <c r="L40" s="376" t="s">
        <v>2547</v>
      </c>
      <c r="M40" s="376" t="s">
        <v>2548</v>
      </c>
      <c r="N40" s="376" t="s">
        <v>387</v>
      </c>
      <c r="O40" s="376" t="s">
        <v>465</v>
      </c>
      <c r="P40" s="376" t="s">
        <v>2549</v>
      </c>
      <c r="Q40" s="376" t="s">
        <v>2550</v>
      </c>
      <c r="R40" s="376" t="s">
        <v>399</v>
      </c>
    </row>
    <row r="41" spans="1:18" hidden="1">
      <c r="A41" s="74" t="str">
        <f t="shared" si="0"/>
        <v>D/333/72/W/AAAA/0DTY喷水经丝A30120333/7210.0</v>
      </c>
      <c r="B41" s="376" t="s">
        <v>386</v>
      </c>
      <c r="C41" s="376" t="s">
        <v>285</v>
      </c>
      <c r="D41" s="376" t="s">
        <v>2450</v>
      </c>
      <c r="E41" s="376" t="s">
        <v>632</v>
      </c>
      <c r="F41" s="376" t="s">
        <v>612</v>
      </c>
      <c r="G41" s="376" t="s">
        <v>612</v>
      </c>
      <c r="H41" s="376" t="s">
        <v>430</v>
      </c>
      <c r="I41" s="376" t="s">
        <v>380</v>
      </c>
      <c r="J41" s="376" t="s">
        <v>382</v>
      </c>
      <c r="K41" s="376" t="s">
        <v>397</v>
      </c>
      <c r="L41" s="376" t="s">
        <v>429</v>
      </c>
      <c r="M41" s="376" t="s">
        <v>428</v>
      </c>
      <c r="N41" s="376" t="s">
        <v>387</v>
      </c>
      <c r="O41" s="376" t="s">
        <v>383</v>
      </c>
      <c r="P41" s="376" t="s">
        <v>431</v>
      </c>
      <c r="Q41" s="376" t="s">
        <v>2451</v>
      </c>
      <c r="R41" s="376" t="s">
        <v>399</v>
      </c>
    </row>
    <row r="42" spans="1:18" s="284" customFormat="1" hidden="1">
      <c r="A42" s="74" t="str">
        <f t="shared" si="0"/>
        <v>D/333/96/B/AAAA/0DTY喷水经丝J-HQ3339611333/969.03</v>
      </c>
      <c r="B42" s="376" t="s">
        <v>386</v>
      </c>
      <c r="C42" s="376" t="s">
        <v>285</v>
      </c>
      <c r="D42" s="376" t="s">
        <v>2937</v>
      </c>
      <c r="E42" s="376" t="s">
        <v>1835</v>
      </c>
      <c r="F42" s="376" t="s">
        <v>612</v>
      </c>
      <c r="G42" s="376" t="s">
        <v>612</v>
      </c>
      <c r="H42" s="376" t="s">
        <v>434</v>
      </c>
      <c r="I42" s="376" t="s">
        <v>390</v>
      </c>
      <c r="J42" s="376" t="s">
        <v>382</v>
      </c>
      <c r="K42" s="376" t="s">
        <v>435</v>
      </c>
      <c r="L42" s="376" t="s">
        <v>433</v>
      </c>
      <c r="M42" s="376" t="s">
        <v>432</v>
      </c>
      <c r="N42" s="376" t="s">
        <v>387</v>
      </c>
      <c r="O42" s="376" t="s">
        <v>383</v>
      </c>
      <c r="P42" s="376" t="s">
        <v>436</v>
      </c>
      <c r="Q42" s="376" t="s">
        <v>2938</v>
      </c>
      <c r="R42" s="376" t="s">
        <v>399</v>
      </c>
    </row>
    <row r="43" spans="1:18" hidden="1">
      <c r="A43" s="74" t="str">
        <f t="shared" si="0"/>
        <v>D/35/24/W/AAAA/0DTY喷水经丝S21102P35/2416.98</v>
      </c>
      <c r="B43" s="376" t="s">
        <v>386</v>
      </c>
      <c r="C43" s="376" t="s">
        <v>285</v>
      </c>
      <c r="D43" s="376" t="s">
        <v>3015</v>
      </c>
      <c r="E43" s="376" t="s">
        <v>3016</v>
      </c>
      <c r="F43" s="376" t="s">
        <v>612</v>
      </c>
      <c r="G43" s="376" t="s">
        <v>612</v>
      </c>
      <c r="H43" s="376" t="s">
        <v>439</v>
      </c>
      <c r="I43" s="376" t="s">
        <v>380</v>
      </c>
      <c r="J43" s="376" t="s">
        <v>382</v>
      </c>
      <c r="K43" s="376" t="s">
        <v>158</v>
      </c>
      <c r="L43" s="376" t="s">
        <v>438</v>
      </c>
      <c r="M43" s="376" t="s">
        <v>437</v>
      </c>
      <c r="N43" s="376" t="s">
        <v>387</v>
      </c>
      <c r="O43" s="376" t="s">
        <v>383</v>
      </c>
      <c r="P43" s="376" t="s">
        <v>440</v>
      </c>
      <c r="Q43" s="376" t="s">
        <v>3017</v>
      </c>
      <c r="R43" s="376" t="s">
        <v>399</v>
      </c>
    </row>
    <row r="44" spans="1:18" hidden="1">
      <c r="A44" s="74" t="str">
        <f t="shared" si="0"/>
        <v>D/355/96/W/AAAA/0DTY喷水经丝KP12005355/969.09</v>
      </c>
      <c r="B44" s="376" t="s">
        <v>386</v>
      </c>
      <c r="C44" s="376" t="s">
        <v>285</v>
      </c>
      <c r="D44" s="376" t="s">
        <v>2739</v>
      </c>
      <c r="E44" s="376" t="s">
        <v>2740</v>
      </c>
      <c r="F44" s="376" t="s">
        <v>612</v>
      </c>
      <c r="G44" s="376" t="s">
        <v>612</v>
      </c>
      <c r="H44" s="376" t="s">
        <v>445</v>
      </c>
      <c r="I44" s="376" t="s">
        <v>380</v>
      </c>
      <c r="J44" s="376" t="s">
        <v>382</v>
      </c>
      <c r="K44" s="376" t="s">
        <v>443</v>
      </c>
      <c r="L44" s="376" t="s">
        <v>444</v>
      </c>
      <c r="M44" s="376" t="s">
        <v>441</v>
      </c>
      <c r="N44" s="376" t="s">
        <v>287</v>
      </c>
      <c r="O44" s="376" t="s">
        <v>383</v>
      </c>
      <c r="P44" s="376" t="s">
        <v>446</v>
      </c>
      <c r="Q44" s="376" t="s">
        <v>2741</v>
      </c>
      <c r="R44" s="376" t="s">
        <v>399</v>
      </c>
    </row>
    <row r="45" spans="1:18" hidden="1">
      <c r="A45" s="74" t="str">
        <f t="shared" si="0"/>
        <v>DTY喷水经丝H-H5563550961355/967.53</v>
      </c>
      <c r="B45" s="376" t="s">
        <v>386</v>
      </c>
      <c r="C45" s="376" t="s">
        <v>285</v>
      </c>
      <c r="D45" s="376" t="s">
        <v>3018</v>
      </c>
      <c r="E45" s="376" t="s">
        <v>2726</v>
      </c>
      <c r="F45" s="376" t="s">
        <v>612</v>
      </c>
      <c r="G45" s="376" t="s">
        <v>612</v>
      </c>
      <c r="H45" s="376" t="s">
        <v>399</v>
      </c>
      <c r="I45" s="376" t="s">
        <v>390</v>
      </c>
      <c r="J45" s="376" t="s">
        <v>382</v>
      </c>
      <c r="K45" s="376" t="s">
        <v>411</v>
      </c>
      <c r="L45" s="376" t="s">
        <v>2751</v>
      </c>
      <c r="M45" s="376" t="s">
        <v>441</v>
      </c>
      <c r="N45" s="376" t="s">
        <v>387</v>
      </c>
      <c r="O45" s="376" t="s">
        <v>383</v>
      </c>
      <c r="P45" s="376" t="s">
        <v>2939</v>
      </c>
      <c r="Q45" s="376" t="s">
        <v>3019</v>
      </c>
      <c r="R45" s="376" t="s">
        <v>399</v>
      </c>
    </row>
    <row r="46" spans="1:18">
      <c r="A46" s="74" t="str">
        <f t="shared" si="0"/>
        <v>D/355/96/B/AAAA/0DTY圆机丝H-114355962355/968.81</v>
      </c>
      <c r="B46" s="376" t="s">
        <v>467</v>
      </c>
      <c r="C46" s="376" t="s">
        <v>285</v>
      </c>
      <c r="D46" s="376" t="s">
        <v>945</v>
      </c>
      <c r="E46" s="376" t="s">
        <v>708</v>
      </c>
      <c r="F46" s="376" t="s">
        <v>612</v>
      </c>
      <c r="G46" s="376" t="s">
        <v>612</v>
      </c>
      <c r="H46" s="376" t="s">
        <v>442</v>
      </c>
      <c r="I46" s="376" t="s">
        <v>380</v>
      </c>
      <c r="J46" s="376" t="s">
        <v>464</v>
      </c>
      <c r="K46" s="376" t="s">
        <v>411</v>
      </c>
      <c r="L46" s="376" t="s">
        <v>549</v>
      </c>
      <c r="M46" s="376" t="s">
        <v>441</v>
      </c>
      <c r="N46" s="376" t="s">
        <v>387</v>
      </c>
      <c r="O46" s="376" t="s">
        <v>465</v>
      </c>
      <c r="P46" s="376" t="s">
        <v>550</v>
      </c>
      <c r="Q46" s="376" t="s">
        <v>551</v>
      </c>
      <c r="R46" s="376" t="s">
        <v>552</v>
      </c>
    </row>
    <row r="47" spans="1:18" hidden="1">
      <c r="A47" s="74" t="str">
        <f t="shared" si="0"/>
        <v>DTY喷水经丝HP06074355/966.86</v>
      </c>
      <c r="B47" s="376" t="s">
        <v>386</v>
      </c>
      <c r="C47" s="376" t="s">
        <v>285</v>
      </c>
      <c r="D47" s="376" t="s">
        <v>2940</v>
      </c>
      <c r="E47" s="376" t="s">
        <v>2523</v>
      </c>
      <c r="F47" s="376" t="s">
        <v>612</v>
      </c>
      <c r="G47" s="376" t="s">
        <v>612</v>
      </c>
      <c r="H47" s="376" t="s">
        <v>399</v>
      </c>
      <c r="I47" s="376" t="s">
        <v>390</v>
      </c>
      <c r="J47" s="376" t="s">
        <v>382</v>
      </c>
      <c r="K47" s="376" t="s">
        <v>443</v>
      </c>
      <c r="L47" s="376" t="s">
        <v>2452</v>
      </c>
      <c r="M47" s="376" t="s">
        <v>441</v>
      </c>
      <c r="N47" s="376" t="s">
        <v>387</v>
      </c>
      <c r="O47" s="376" t="s">
        <v>383</v>
      </c>
      <c r="P47" s="376" t="s">
        <v>2941</v>
      </c>
      <c r="Q47" s="376" t="s">
        <v>2942</v>
      </c>
      <c r="R47" s="376" t="s">
        <v>399</v>
      </c>
    </row>
    <row r="48" spans="1:18" hidden="1">
      <c r="A48" s="74" t="str">
        <f t="shared" si="0"/>
        <v>D/36/24/B/AAAA/0DTY喷水经丝24003636/2416.24</v>
      </c>
      <c r="B48" s="376" t="s">
        <v>386</v>
      </c>
      <c r="C48" s="376" t="s">
        <v>285</v>
      </c>
      <c r="D48" s="376" t="s">
        <v>2514</v>
      </c>
      <c r="E48" s="376" t="s">
        <v>2515</v>
      </c>
      <c r="F48" s="376" t="s">
        <v>612</v>
      </c>
      <c r="G48" s="376" t="s">
        <v>612</v>
      </c>
      <c r="H48" s="376" t="s">
        <v>448</v>
      </c>
      <c r="I48" s="376" t="s">
        <v>390</v>
      </c>
      <c r="J48" s="376" t="s">
        <v>382</v>
      </c>
      <c r="K48" s="376" t="s">
        <v>136</v>
      </c>
      <c r="L48" s="376" t="s">
        <v>946</v>
      </c>
      <c r="M48" s="376" t="s">
        <v>447</v>
      </c>
      <c r="N48" s="376" t="s">
        <v>387</v>
      </c>
      <c r="O48" s="376" t="s">
        <v>383</v>
      </c>
      <c r="P48" s="376" t="s">
        <v>449</v>
      </c>
      <c r="Q48" s="376" t="s">
        <v>2516</v>
      </c>
      <c r="R48" s="376" t="s">
        <v>450</v>
      </c>
    </row>
    <row r="49" spans="1:18" hidden="1">
      <c r="A49" s="74" t="str">
        <f t="shared" si="0"/>
        <v>DTY喷水经丝PE61552455/2419.92</v>
      </c>
      <c r="B49" s="376" t="s">
        <v>386</v>
      </c>
      <c r="C49" s="376" t="s">
        <v>285</v>
      </c>
      <c r="D49" s="376" t="s">
        <v>2943</v>
      </c>
      <c r="E49" s="376" t="s">
        <v>704</v>
      </c>
      <c r="F49" s="376" t="s">
        <v>612</v>
      </c>
      <c r="G49" s="376" t="s">
        <v>612</v>
      </c>
      <c r="H49" s="376" t="s">
        <v>399</v>
      </c>
      <c r="I49" s="376" t="s">
        <v>380</v>
      </c>
      <c r="J49" s="376" t="s">
        <v>382</v>
      </c>
      <c r="K49" s="376" t="s">
        <v>134</v>
      </c>
      <c r="L49" s="376" t="s">
        <v>2524</v>
      </c>
      <c r="M49" s="376" t="s">
        <v>452</v>
      </c>
      <c r="N49" s="376" t="s">
        <v>387</v>
      </c>
      <c r="O49" s="376" t="s">
        <v>383</v>
      </c>
      <c r="P49" s="376" t="s">
        <v>2944</v>
      </c>
      <c r="Q49" s="376" t="s">
        <v>2945</v>
      </c>
      <c r="R49" s="376" t="s">
        <v>399</v>
      </c>
    </row>
    <row r="50" spans="1:18" hidden="1">
      <c r="A50" s="74" t="str">
        <f t="shared" si="0"/>
        <v>D/55/24/B/AAAA/0DTY喷水经丝24005555/2414.05</v>
      </c>
      <c r="B50" s="376" t="s">
        <v>386</v>
      </c>
      <c r="C50" s="376" t="s">
        <v>285</v>
      </c>
      <c r="D50" s="376" t="s">
        <v>3020</v>
      </c>
      <c r="E50" s="376" t="s">
        <v>3021</v>
      </c>
      <c r="F50" s="376" t="s">
        <v>612</v>
      </c>
      <c r="G50" s="376" t="s">
        <v>612</v>
      </c>
      <c r="H50" s="376" t="s">
        <v>453</v>
      </c>
      <c r="I50" s="376" t="s">
        <v>390</v>
      </c>
      <c r="J50" s="376" t="s">
        <v>382</v>
      </c>
      <c r="K50" s="376" t="s">
        <v>136</v>
      </c>
      <c r="L50" s="376" t="s">
        <v>947</v>
      </c>
      <c r="M50" s="376" t="s">
        <v>452</v>
      </c>
      <c r="N50" s="376" t="s">
        <v>387</v>
      </c>
      <c r="O50" s="376" t="s">
        <v>383</v>
      </c>
      <c r="P50" s="376" t="s">
        <v>454</v>
      </c>
      <c r="Q50" s="376" t="s">
        <v>3022</v>
      </c>
      <c r="R50" s="376" t="s">
        <v>399</v>
      </c>
    </row>
    <row r="51" spans="1:18">
      <c r="A51" s="74" t="str">
        <f t="shared" si="0"/>
        <v>DTY圆机丝DE715536-155/3611.2</v>
      </c>
      <c r="B51" s="376" t="s">
        <v>467</v>
      </c>
      <c r="C51" s="376" t="s">
        <v>285</v>
      </c>
      <c r="D51" s="376" t="s">
        <v>948</v>
      </c>
      <c r="E51" s="376" t="s">
        <v>715</v>
      </c>
      <c r="F51" s="376" t="s">
        <v>612</v>
      </c>
      <c r="G51" s="376" t="s">
        <v>612</v>
      </c>
      <c r="H51" s="376" t="s">
        <v>399</v>
      </c>
      <c r="I51" s="376" t="s">
        <v>380</v>
      </c>
      <c r="J51" s="376" t="s">
        <v>464</v>
      </c>
      <c r="K51" s="376" t="s">
        <v>134</v>
      </c>
      <c r="L51" s="376" t="s">
        <v>554</v>
      </c>
      <c r="M51" s="376" t="s">
        <v>553</v>
      </c>
      <c r="N51" s="376" t="s">
        <v>282</v>
      </c>
      <c r="O51" s="376" t="s">
        <v>465</v>
      </c>
      <c r="P51" s="376" t="s">
        <v>555</v>
      </c>
      <c r="Q51" s="376" t="s">
        <v>556</v>
      </c>
      <c r="R51" s="376" t="s">
        <v>399</v>
      </c>
    </row>
    <row r="52" spans="1:18">
      <c r="A52" s="74" t="str">
        <f t="shared" si="0"/>
        <v>D/70/24/W/AAAA/0DTY圆机丝DJA702412SZ70/2418.1</v>
      </c>
      <c r="B52" s="376" t="s">
        <v>467</v>
      </c>
      <c r="C52" s="376" t="s">
        <v>285</v>
      </c>
      <c r="D52" s="376" t="s">
        <v>949</v>
      </c>
      <c r="E52" s="376" t="s">
        <v>630</v>
      </c>
      <c r="F52" s="376" t="s">
        <v>612</v>
      </c>
      <c r="G52" s="376" t="s">
        <v>612</v>
      </c>
      <c r="H52" s="376" t="s">
        <v>559</v>
      </c>
      <c r="I52" s="376" t="s">
        <v>380</v>
      </c>
      <c r="J52" s="376" t="s">
        <v>464</v>
      </c>
      <c r="K52" s="376" t="s">
        <v>399</v>
      </c>
      <c r="L52" s="376" t="s">
        <v>558</v>
      </c>
      <c r="M52" s="376" t="s">
        <v>557</v>
      </c>
      <c r="N52" s="376" t="s">
        <v>387</v>
      </c>
      <c r="O52" s="376" t="s">
        <v>465</v>
      </c>
      <c r="P52" s="376" t="s">
        <v>473</v>
      </c>
      <c r="Q52" s="376" t="s">
        <v>560</v>
      </c>
      <c r="R52" s="376" t="s">
        <v>475</v>
      </c>
    </row>
    <row r="53" spans="1:18">
      <c r="A53" s="74" t="str">
        <f t="shared" si="0"/>
        <v>D/75/48/W/AAAA/0DTY圆机丝3217175/4810.69</v>
      </c>
      <c r="B53" s="376" t="s">
        <v>467</v>
      </c>
      <c r="C53" s="376" t="s">
        <v>285</v>
      </c>
      <c r="D53" s="376" t="s">
        <v>950</v>
      </c>
      <c r="E53" s="376" t="s">
        <v>667</v>
      </c>
      <c r="F53" s="376" t="s">
        <v>612</v>
      </c>
      <c r="G53" s="376" t="s">
        <v>612</v>
      </c>
      <c r="H53" s="376" t="s">
        <v>562</v>
      </c>
      <c r="I53" s="376" t="s">
        <v>380</v>
      </c>
      <c r="J53" s="376" t="s">
        <v>464</v>
      </c>
      <c r="K53" s="376" t="s">
        <v>563</v>
      </c>
      <c r="L53" s="376" t="s">
        <v>951</v>
      </c>
      <c r="M53" s="376" t="s">
        <v>561</v>
      </c>
      <c r="N53" s="376" t="s">
        <v>387</v>
      </c>
      <c r="O53" s="376" t="s">
        <v>465</v>
      </c>
      <c r="P53" s="376" t="s">
        <v>564</v>
      </c>
      <c r="Q53" s="376" t="s">
        <v>565</v>
      </c>
      <c r="R53" s="376" t="s">
        <v>399</v>
      </c>
    </row>
    <row r="54" spans="1:18">
      <c r="A54" s="74" t="str">
        <f t="shared" si="0"/>
        <v>D/80/36/W/AAAA/0DTY圆机丝DE71803680/3619.31</v>
      </c>
      <c r="B54" s="376" t="s">
        <v>467</v>
      </c>
      <c r="C54" s="376" t="s">
        <v>285</v>
      </c>
      <c r="D54" s="376" t="s">
        <v>952</v>
      </c>
      <c r="E54" s="376" t="s">
        <v>625</v>
      </c>
      <c r="F54" s="376" t="s">
        <v>612</v>
      </c>
      <c r="G54" s="376" t="s">
        <v>612</v>
      </c>
      <c r="H54" s="376" t="s">
        <v>570</v>
      </c>
      <c r="I54" s="376" t="s">
        <v>380</v>
      </c>
      <c r="J54" s="376" t="s">
        <v>464</v>
      </c>
      <c r="K54" s="376" t="s">
        <v>134</v>
      </c>
      <c r="L54" s="376" t="s">
        <v>569</v>
      </c>
      <c r="M54" s="376" t="s">
        <v>568</v>
      </c>
      <c r="N54" s="376" t="s">
        <v>387</v>
      </c>
      <c r="O54" s="376" t="s">
        <v>465</v>
      </c>
      <c r="P54" s="376" t="s">
        <v>571</v>
      </c>
      <c r="Q54" s="376" t="s">
        <v>572</v>
      </c>
      <c r="R54" s="376" t="s">
        <v>399</v>
      </c>
    </row>
    <row r="55" spans="1:18">
      <c r="A55" s="74" t="str">
        <f t="shared" si="0"/>
        <v>D/80/36/W/AAAA/0DTY圆机丝DE718036-180/369.8</v>
      </c>
      <c r="B55" s="376" t="s">
        <v>467</v>
      </c>
      <c r="C55" s="376" t="s">
        <v>285</v>
      </c>
      <c r="D55" s="376" t="s">
        <v>948</v>
      </c>
      <c r="E55" s="376" t="s">
        <v>715</v>
      </c>
      <c r="F55" s="376" t="s">
        <v>612</v>
      </c>
      <c r="G55" s="376" t="s">
        <v>612</v>
      </c>
      <c r="H55" s="376" t="s">
        <v>570</v>
      </c>
      <c r="I55" s="376" t="s">
        <v>380</v>
      </c>
      <c r="J55" s="376" t="s">
        <v>464</v>
      </c>
      <c r="K55" s="376" t="s">
        <v>134</v>
      </c>
      <c r="L55" s="376" t="s">
        <v>573</v>
      </c>
      <c r="M55" s="376" t="s">
        <v>568</v>
      </c>
      <c r="N55" s="376" t="s">
        <v>387</v>
      </c>
      <c r="O55" s="376" t="s">
        <v>465</v>
      </c>
      <c r="P55" s="376" t="s">
        <v>574</v>
      </c>
      <c r="Q55" s="376" t="s">
        <v>575</v>
      </c>
      <c r="R55" s="376" t="s">
        <v>399</v>
      </c>
    </row>
    <row r="56" spans="1:18">
      <c r="A56" s="74" t="str">
        <f t="shared" si="0"/>
        <v>DTY圆机丝F845/M0B083/3612.1</v>
      </c>
      <c r="B56" s="376" t="s">
        <v>467</v>
      </c>
      <c r="C56" s="376" t="s">
        <v>285</v>
      </c>
      <c r="D56" s="376" t="s">
        <v>948</v>
      </c>
      <c r="E56" s="376" t="s">
        <v>715</v>
      </c>
      <c r="F56" s="376" t="s">
        <v>612</v>
      </c>
      <c r="G56" s="376" t="s">
        <v>612</v>
      </c>
      <c r="H56" s="376" t="s">
        <v>399</v>
      </c>
      <c r="I56" s="376" t="s">
        <v>380</v>
      </c>
      <c r="J56" s="376" t="s">
        <v>464</v>
      </c>
      <c r="K56" s="376" t="s">
        <v>399</v>
      </c>
      <c r="L56" s="376" t="s">
        <v>577</v>
      </c>
      <c r="M56" s="376" t="s">
        <v>576</v>
      </c>
      <c r="N56" s="376" t="s">
        <v>287</v>
      </c>
      <c r="O56" s="376" t="s">
        <v>465</v>
      </c>
      <c r="P56" s="376" t="s">
        <v>578</v>
      </c>
      <c r="Q56" s="376" t="s">
        <v>579</v>
      </c>
      <c r="R56" s="376" t="s">
        <v>148</v>
      </c>
    </row>
    <row r="57" spans="1:18" hidden="1">
      <c r="A57" s="74" t="str">
        <f t="shared" si="0"/>
        <v>D89/48/W/AAAA/0DTY喷水经丝S2121189/489.56</v>
      </c>
      <c r="B57" s="376" t="s">
        <v>386</v>
      </c>
      <c r="C57" s="376" t="s">
        <v>285</v>
      </c>
      <c r="D57" s="376" t="s">
        <v>2803</v>
      </c>
      <c r="E57" s="376" t="s">
        <v>2804</v>
      </c>
      <c r="F57" s="376" t="s">
        <v>612</v>
      </c>
      <c r="G57" s="376" t="s">
        <v>612</v>
      </c>
      <c r="H57" s="376" t="s">
        <v>457</v>
      </c>
      <c r="I57" s="376" t="s">
        <v>380</v>
      </c>
      <c r="J57" s="376" t="s">
        <v>382</v>
      </c>
      <c r="K57" s="376" t="s">
        <v>158</v>
      </c>
      <c r="L57" s="376" t="s">
        <v>456</v>
      </c>
      <c r="M57" s="376" t="s">
        <v>455</v>
      </c>
      <c r="N57" s="376" t="s">
        <v>387</v>
      </c>
      <c r="O57" s="376" t="s">
        <v>383</v>
      </c>
      <c r="P57" s="376" t="s">
        <v>458</v>
      </c>
      <c r="Q57" s="376" t="s">
        <v>2805</v>
      </c>
      <c r="R57" s="376" t="s">
        <v>459</v>
      </c>
    </row>
    <row r="58" spans="1:18">
      <c r="A58" s="74" t="str">
        <f t="shared" si="0"/>
        <v>D/89/48/W/AAAA/0DTY圆机丝S2121189/4812.13</v>
      </c>
      <c r="B58" s="376" t="s">
        <v>467</v>
      </c>
      <c r="C58" s="376" t="s">
        <v>285</v>
      </c>
      <c r="D58" s="376" t="s">
        <v>3190</v>
      </c>
      <c r="E58" s="376" t="s">
        <v>2806</v>
      </c>
      <c r="F58" s="376" t="s">
        <v>612</v>
      </c>
      <c r="G58" s="376" t="s">
        <v>612</v>
      </c>
      <c r="H58" s="376" t="s">
        <v>580</v>
      </c>
      <c r="I58" s="376" t="s">
        <v>380</v>
      </c>
      <c r="J58" s="376" t="s">
        <v>464</v>
      </c>
      <c r="K58" s="376" t="s">
        <v>158</v>
      </c>
      <c r="L58" s="376" t="s">
        <v>456</v>
      </c>
      <c r="M58" s="376" t="s">
        <v>455</v>
      </c>
      <c r="N58" s="376" t="s">
        <v>387</v>
      </c>
      <c r="O58" s="376" t="s">
        <v>465</v>
      </c>
      <c r="P58" s="376" t="s">
        <v>581</v>
      </c>
      <c r="Q58" s="376" t="s">
        <v>3191</v>
      </c>
      <c r="R58" s="376" t="s">
        <v>582</v>
      </c>
    </row>
    <row r="59" spans="1:18">
      <c r="A59" s="74" t="str">
        <f t="shared" si="0"/>
        <v>D/89/48/W/AAAA/DTY圆机丝S2121189/488.11</v>
      </c>
      <c r="B59" s="376" t="s">
        <v>467</v>
      </c>
      <c r="C59" s="376" t="s">
        <v>285</v>
      </c>
      <c r="D59" s="376" t="s">
        <v>953</v>
      </c>
      <c r="E59" s="376" t="s">
        <v>634</v>
      </c>
      <c r="F59" s="376" t="s">
        <v>612</v>
      </c>
      <c r="G59" s="376" t="s">
        <v>612</v>
      </c>
      <c r="H59" s="376" t="s">
        <v>583</v>
      </c>
      <c r="I59" s="376" t="s">
        <v>380</v>
      </c>
      <c r="J59" s="376" t="s">
        <v>464</v>
      </c>
      <c r="K59" s="376" t="s">
        <v>158</v>
      </c>
      <c r="L59" s="376" t="s">
        <v>456</v>
      </c>
      <c r="M59" s="376" t="s">
        <v>455</v>
      </c>
      <c r="N59" s="376" t="s">
        <v>282</v>
      </c>
      <c r="O59" s="376" t="s">
        <v>465</v>
      </c>
      <c r="P59" s="376" t="s">
        <v>584</v>
      </c>
      <c r="Q59" s="376" t="s">
        <v>585</v>
      </c>
      <c r="R59" s="376" t="s">
        <v>586</v>
      </c>
    </row>
    <row r="60" spans="1:18">
      <c r="A60" s="74" t="str">
        <f t="shared" si="0"/>
        <v>D/89/48/W/AAAA/0DTY圆机丝S2121189/4811.95</v>
      </c>
      <c r="B60" s="376" t="s">
        <v>467</v>
      </c>
      <c r="C60" s="376" t="s">
        <v>285</v>
      </c>
      <c r="D60" s="376" t="s">
        <v>2320</v>
      </c>
      <c r="E60" s="376" t="s">
        <v>2321</v>
      </c>
      <c r="F60" s="376" t="s">
        <v>612</v>
      </c>
      <c r="G60" s="376" t="s">
        <v>612</v>
      </c>
      <c r="H60" s="376" t="s">
        <v>580</v>
      </c>
      <c r="I60" s="376" t="s">
        <v>380</v>
      </c>
      <c r="J60" s="376" t="s">
        <v>464</v>
      </c>
      <c r="K60" s="376" t="s">
        <v>158</v>
      </c>
      <c r="L60" s="376" t="s">
        <v>456</v>
      </c>
      <c r="M60" s="376" t="s">
        <v>455</v>
      </c>
      <c r="N60" s="376" t="s">
        <v>387</v>
      </c>
      <c r="O60" s="376" t="s">
        <v>465</v>
      </c>
      <c r="P60" s="376" t="s">
        <v>587</v>
      </c>
      <c r="Q60" s="376" t="s">
        <v>2322</v>
      </c>
      <c r="R60" s="376" t="s">
        <v>588</v>
      </c>
    </row>
    <row r="61" spans="1:18">
      <c r="A61" s="74" t="str">
        <f t="shared" si="0"/>
        <v>DTY圆机丝S2121189/488.28</v>
      </c>
      <c r="B61" s="376" t="s">
        <v>467</v>
      </c>
      <c r="C61" s="376" t="s">
        <v>285</v>
      </c>
      <c r="D61" s="376" t="s">
        <v>3192</v>
      </c>
      <c r="E61" s="376" t="s">
        <v>2143</v>
      </c>
      <c r="F61" s="376" t="s">
        <v>612</v>
      </c>
      <c r="G61" s="376" t="s">
        <v>612</v>
      </c>
      <c r="H61" s="376" t="s">
        <v>399</v>
      </c>
      <c r="I61" s="376" t="s">
        <v>380</v>
      </c>
      <c r="J61" s="376" t="s">
        <v>464</v>
      </c>
      <c r="K61" s="376" t="s">
        <v>158</v>
      </c>
      <c r="L61" s="376" t="s">
        <v>456</v>
      </c>
      <c r="M61" s="376" t="s">
        <v>455</v>
      </c>
      <c r="N61" s="376" t="s">
        <v>387</v>
      </c>
      <c r="O61" s="376" t="s">
        <v>465</v>
      </c>
      <c r="P61" s="376" t="s">
        <v>589</v>
      </c>
      <c r="Q61" s="376" t="s">
        <v>3193</v>
      </c>
      <c r="R61" s="376" t="s">
        <v>490</v>
      </c>
    </row>
    <row r="62" spans="1:18">
      <c r="A62" s="74" t="str">
        <f t="shared" si="0"/>
        <v>D/89/48/W/AAA/0DTY圆机丝S2121189/489.56</v>
      </c>
      <c r="B62" s="376" t="s">
        <v>467</v>
      </c>
      <c r="C62" s="376" t="s">
        <v>285</v>
      </c>
      <c r="D62" s="376" t="s">
        <v>954</v>
      </c>
      <c r="E62" s="376" t="s">
        <v>918</v>
      </c>
      <c r="F62" s="376" t="s">
        <v>612</v>
      </c>
      <c r="G62" s="376" t="s">
        <v>612</v>
      </c>
      <c r="H62" s="376" t="s">
        <v>590</v>
      </c>
      <c r="I62" s="376" t="s">
        <v>380</v>
      </c>
      <c r="J62" s="376" t="s">
        <v>464</v>
      </c>
      <c r="K62" s="376" t="s">
        <v>158</v>
      </c>
      <c r="L62" s="376" t="s">
        <v>456</v>
      </c>
      <c r="M62" s="376" t="s">
        <v>455</v>
      </c>
      <c r="N62" s="376" t="s">
        <v>387</v>
      </c>
      <c r="O62" s="376" t="s">
        <v>465</v>
      </c>
      <c r="P62" s="376" t="s">
        <v>458</v>
      </c>
      <c r="Q62" s="376" t="s">
        <v>591</v>
      </c>
      <c r="R62" s="376" t="s">
        <v>592</v>
      </c>
    </row>
    <row r="63" spans="1:18" hidden="1">
      <c r="A63" s="74" t="str">
        <f t="shared" si="0"/>
        <v>DTY圆机丝64009494/368.58</v>
      </c>
      <c r="B63" s="376" t="s">
        <v>467</v>
      </c>
      <c r="C63" s="376" t="s">
        <v>285</v>
      </c>
      <c r="D63" s="376" t="s">
        <v>2985</v>
      </c>
      <c r="E63" s="376" t="s">
        <v>640</v>
      </c>
      <c r="F63" s="376" t="s">
        <v>612</v>
      </c>
      <c r="G63" s="376" t="s">
        <v>612</v>
      </c>
      <c r="H63" s="376" t="s">
        <v>399</v>
      </c>
      <c r="I63" s="376" t="s">
        <v>390</v>
      </c>
      <c r="J63" s="376" t="s">
        <v>464</v>
      </c>
      <c r="K63" s="376" t="s">
        <v>136</v>
      </c>
      <c r="L63" s="376" t="s">
        <v>955</v>
      </c>
      <c r="M63" s="376" t="s">
        <v>460</v>
      </c>
      <c r="N63" s="376" t="s">
        <v>387</v>
      </c>
      <c r="O63" s="376" t="s">
        <v>465</v>
      </c>
      <c r="P63" s="376" t="s">
        <v>2325</v>
      </c>
      <c r="Q63" s="376" t="s">
        <v>2986</v>
      </c>
      <c r="R63" s="376" t="s">
        <v>588</v>
      </c>
    </row>
    <row r="64" spans="1:18" hidden="1">
      <c r="A64" s="74" t="str">
        <f t="shared" si="0"/>
        <v>D94/36/B/AAA/0DTY圆机丝64009494/3610.52</v>
      </c>
      <c r="B64" s="376" t="s">
        <v>467</v>
      </c>
      <c r="C64" s="376" t="s">
        <v>285</v>
      </c>
      <c r="D64" s="376" t="s">
        <v>3194</v>
      </c>
      <c r="E64" s="376" t="s">
        <v>2807</v>
      </c>
      <c r="F64" s="376" t="s">
        <v>612</v>
      </c>
      <c r="G64" s="376" t="s">
        <v>612</v>
      </c>
      <c r="H64" s="376" t="s">
        <v>593</v>
      </c>
      <c r="I64" s="376" t="s">
        <v>390</v>
      </c>
      <c r="J64" s="376" t="s">
        <v>464</v>
      </c>
      <c r="K64" s="376" t="s">
        <v>136</v>
      </c>
      <c r="L64" s="376" t="s">
        <v>955</v>
      </c>
      <c r="M64" s="376" t="s">
        <v>460</v>
      </c>
      <c r="N64" s="376" t="s">
        <v>387</v>
      </c>
      <c r="O64" s="376" t="s">
        <v>465</v>
      </c>
      <c r="P64" s="376" t="s">
        <v>493</v>
      </c>
      <c r="Q64" s="376" t="s">
        <v>3195</v>
      </c>
      <c r="R64" s="376" t="s">
        <v>594</v>
      </c>
    </row>
    <row r="65" spans="1:1" hidden="1">
      <c r="A65" s="74" t="str">
        <f t="shared" ref="A65:A126" si="1">H65&amp;J65&amp;L65&amp;M65&amp;P65</f>
        <v/>
      </c>
    </row>
    <row r="66" spans="1:1" hidden="1">
      <c r="A66" s="74" t="str">
        <f t="shared" si="1"/>
        <v/>
      </c>
    </row>
    <row r="67" spans="1:1" hidden="1">
      <c r="A67" s="74" t="str">
        <f t="shared" si="1"/>
        <v/>
      </c>
    </row>
    <row r="68" spans="1:1" hidden="1">
      <c r="A68" s="74" t="str">
        <f t="shared" si="1"/>
        <v/>
      </c>
    </row>
    <row r="69" spans="1:1" hidden="1">
      <c r="A69" s="74" t="str">
        <f t="shared" si="1"/>
        <v/>
      </c>
    </row>
    <row r="70" spans="1:1" hidden="1">
      <c r="A70" s="74" t="str">
        <f t="shared" si="1"/>
        <v/>
      </c>
    </row>
    <row r="71" spans="1:1" hidden="1">
      <c r="A71" s="74" t="str">
        <f t="shared" si="1"/>
        <v/>
      </c>
    </row>
    <row r="72" spans="1:1" hidden="1">
      <c r="A72" s="74" t="str">
        <f t="shared" si="1"/>
        <v/>
      </c>
    </row>
    <row r="73" spans="1:1" hidden="1">
      <c r="A73" s="74" t="str">
        <f t="shared" si="1"/>
        <v/>
      </c>
    </row>
    <row r="74" spans="1:1" hidden="1">
      <c r="A74" s="74" t="str">
        <f t="shared" si="1"/>
        <v/>
      </c>
    </row>
    <row r="75" spans="1:1" hidden="1">
      <c r="A75" s="74" t="str">
        <f t="shared" si="1"/>
        <v/>
      </c>
    </row>
    <row r="76" spans="1:1" hidden="1">
      <c r="A76" s="74" t="str">
        <f t="shared" si="1"/>
        <v/>
      </c>
    </row>
    <row r="77" spans="1:1" hidden="1">
      <c r="A77" s="74" t="str">
        <f t="shared" si="1"/>
        <v/>
      </c>
    </row>
    <row r="78" spans="1:1" hidden="1">
      <c r="A78" s="74" t="str">
        <f t="shared" si="1"/>
        <v/>
      </c>
    </row>
    <row r="79" spans="1:1" hidden="1">
      <c r="A79" s="74" t="str">
        <f t="shared" si="1"/>
        <v/>
      </c>
    </row>
    <row r="80" spans="1:1" hidden="1">
      <c r="A80" s="74" t="str">
        <f t="shared" si="1"/>
        <v/>
      </c>
    </row>
    <row r="81" spans="1:1" hidden="1">
      <c r="A81" s="74" t="str">
        <f t="shared" si="1"/>
        <v/>
      </c>
    </row>
    <row r="82" spans="1:1" hidden="1">
      <c r="A82" s="74" t="str">
        <f t="shared" si="1"/>
        <v/>
      </c>
    </row>
    <row r="83" spans="1:1" hidden="1">
      <c r="A83" s="74" t="str">
        <f t="shared" si="1"/>
        <v/>
      </c>
    </row>
    <row r="84" spans="1:1" hidden="1">
      <c r="A84" s="74" t="str">
        <f t="shared" si="1"/>
        <v/>
      </c>
    </row>
    <row r="85" spans="1:1" hidden="1">
      <c r="A85" s="74" t="str">
        <f t="shared" si="1"/>
        <v/>
      </c>
    </row>
    <row r="86" spans="1:1" hidden="1">
      <c r="A86" s="74" t="str">
        <f t="shared" si="1"/>
        <v/>
      </c>
    </row>
    <row r="87" spans="1:1" hidden="1">
      <c r="A87" s="74" t="str">
        <f t="shared" si="1"/>
        <v/>
      </c>
    </row>
    <row r="88" spans="1:1" hidden="1">
      <c r="A88" s="74" t="str">
        <f t="shared" si="1"/>
        <v/>
      </c>
    </row>
    <row r="89" spans="1:1" hidden="1">
      <c r="A89" s="74" t="str">
        <f t="shared" si="1"/>
        <v/>
      </c>
    </row>
    <row r="90" spans="1:1" hidden="1">
      <c r="A90" s="74" t="str">
        <f t="shared" si="1"/>
        <v/>
      </c>
    </row>
    <row r="91" spans="1:1" hidden="1">
      <c r="A91" s="74" t="str">
        <f t="shared" si="1"/>
        <v/>
      </c>
    </row>
    <row r="92" spans="1:1" hidden="1">
      <c r="A92" s="74" t="str">
        <f t="shared" si="1"/>
        <v/>
      </c>
    </row>
    <row r="93" spans="1:1" hidden="1">
      <c r="A93" s="74" t="str">
        <f t="shared" si="1"/>
        <v/>
      </c>
    </row>
    <row r="94" spans="1:1" hidden="1">
      <c r="A94" s="74" t="str">
        <f t="shared" si="1"/>
        <v/>
      </c>
    </row>
    <row r="95" spans="1:1" hidden="1">
      <c r="A95" s="74" t="str">
        <f t="shared" si="1"/>
        <v/>
      </c>
    </row>
    <row r="96" spans="1:1" hidden="1">
      <c r="A96" s="74" t="str">
        <f t="shared" si="1"/>
        <v/>
      </c>
    </row>
    <row r="97" spans="1:1" hidden="1">
      <c r="A97" s="74" t="str">
        <f t="shared" si="1"/>
        <v/>
      </c>
    </row>
    <row r="98" spans="1:1" hidden="1">
      <c r="A98" s="74" t="str">
        <f t="shared" si="1"/>
        <v/>
      </c>
    </row>
    <row r="99" spans="1:1" hidden="1">
      <c r="A99" s="74" t="str">
        <f t="shared" si="1"/>
        <v/>
      </c>
    </row>
    <row r="100" spans="1:1" hidden="1">
      <c r="A100" s="74" t="str">
        <f t="shared" si="1"/>
        <v/>
      </c>
    </row>
    <row r="101" spans="1:1" hidden="1">
      <c r="A101" s="74" t="str">
        <f t="shared" si="1"/>
        <v/>
      </c>
    </row>
    <row r="102" spans="1:1" hidden="1">
      <c r="A102" s="74" t="str">
        <f t="shared" si="1"/>
        <v/>
      </c>
    </row>
    <row r="103" spans="1:1" hidden="1">
      <c r="A103" s="74" t="str">
        <f t="shared" si="1"/>
        <v/>
      </c>
    </row>
    <row r="104" spans="1:1" hidden="1">
      <c r="A104" s="74" t="str">
        <f t="shared" si="1"/>
        <v/>
      </c>
    </row>
    <row r="105" spans="1:1" hidden="1">
      <c r="A105" s="74" t="str">
        <f t="shared" si="1"/>
        <v/>
      </c>
    </row>
    <row r="106" spans="1:1" hidden="1">
      <c r="A106" s="74" t="str">
        <f t="shared" si="1"/>
        <v/>
      </c>
    </row>
    <row r="107" spans="1:1" hidden="1">
      <c r="A107" s="74" t="str">
        <f t="shared" si="1"/>
        <v/>
      </c>
    </row>
    <row r="108" spans="1:1" hidden="1">
      <c r="A108" s="74" t="str">
        <f t="shared" si="1"/>
        <v/>
      </c>
    </row>
    <row r="109" spans="1:1" hidden="1">
      <c r="A109" s="74" t="str">
        <f t="shared" si="1"/>
        <v/>
      </c>
    </row>
    <row r="110" spans="1:1" hidden="1">
      <c r="A110" s="74" t="str">
        <f t="shared" si="1"/>
        <v/>
      </c>
    </row>
    <row r="111" spans="1:1" hidden="1">
      <c r="A111" s="74" t="str">
        <f t="shared" si="1"/>
        <v/>
      </c>
    </row>
    <row r="112" spans="1:1" hidden="1">
      <c r="A112" s="74" t="str">
        <f t="shared" si="1"/>
        <v/>
      </c>
    </row>
    <row r="113" spans="1:1" hidden="1">
      <c r="A113" s="74" t="str">
        <f t="shared" si="1"/>
        <v/>
      </c>
    </row>
    <row r="114" spans="1:1" hidden="1">
      <c r="A114" s="74" t="str">
        <f t="shared" si="1"/>
        <v/>
      </c>
    </row>
    <row r="115" spans="1:1" hidden="1">
      <c r="A115" s="74" t="str">
        <f t="shared" si="1"/>
        <v/>
      </c>
    </row>
    <row r="116" spans="1:1" hidden="1">
      <c r="A116" s="74" t="str">
        <f t="shared" si="1"/>
        <v/>
      </c>
    </row>
    <row r="117" spans="1:1" hidden="1">
      <c r="A117" s="74" t="str">
        <f t="shared" si="1"/>
        <v/>
      </c>
    </row>
    <row r="118" spans="1:1" hidden="1">
      <c r="A118" s="74" t="str">
        <f t="shared" si="1"/>
        <v/>
      </c>
    </row>
    <row r="119" spans="1:1" hidden="1">
      <c r="A119" s="74" t="str">
        <f t="shared" si="1"/>
        <v/>
      </c>
    </row>
    <row r="120" spans="1:1" hidden="1">
      <c r="A120" s="74" t="str">
        <f t="shared" si="1"/>
        <v/>
      </c>
    </row>
    <row r="121" spans="1:1" hidden="1">
      <c r="A121" s="74" t="str">
        <f t="shared" si="1"/>
        <v/>
      </c>
    </row>
    <row r="122" spans="1:1" hidden="1">
      <c r="A122" s="74" t="str">
        <f t="shared" si="1"/>
        <v/>
      </c>
    </row>
    <row r="123" spans="1:1" hidden="1">
      <c r="A123" s="74" t="str">
        <f t="shared" si="1"/>
        <v/>
      </c>
    </row>
    <row r="124" spans="1:1" hidden="1">
      <c r="A124" s="74" t="str">
        <f t="shared" si="1"/>
        <v/>
      </c>
    </row>
    <row r="125" spans="1:1" hidden="1">
      <c r="A125" s="74" t="str">
        <f t="shared" si="1"/>
        <v/>
      </c>
    </row>
    <row r="126" spans="1:1" hidden="1">
      <c r="A126" s="74" t="str">
        <f t="shared" si="1"/>
        <v/>
      </c>
    </row>
    <row r="127" spans="1:1" hidden="1">
      <c r="A127" s="74" t="str">
        <f t="shared" ref="A127:A190" si="2">H127&amp;J127&amp;L127&amp;M127&amp;P127</f>
        <v/>
      </c>
    </row>
    <row r="128" spans="1:1" hidden="1">
      <c r="A128" s="74" t="str">
        <f t="shared" si="2"/>
        <v/>
      </c>
    </row>
    <row r="129" spans="1:1" hidden="1">
      <c r="A129" s="74" t="str">
        <f t="shared" si="2"/>
        <v/>
      </c>
    </row>
    <row r="130" spans="1:1" hidden="1">
      <c r="A130" s="74" t="str">
        <f t="shared" si="2"/>
        <v/>
      </c>
    </row>
    <row r="131" spans="1:1" hidden="1">
      <c r="A131" s="74" t="str">
        <f t="shared" si="2"/>
        <v/>
      </c>
    </row>
    <row r="132" spans="1:1" hidden="1">
      <c r="A132" s="74" t="str">
        <f t="shared" si="2"/>
        <v/>
      </c>
    </row>
    <row r="133" spans="1:1" hidden="1">
      <c r="A133" s="74" t="str">
        <f t="shared" si="2"/>
        <v/>
      </c>
    </row>
    <row r="134" spans="1:1" hidden="1">
      <c r="A134" s="74" t="str">
        <f t="shared" si="2"/>
        <v/>
      </c>
    </row>
    <row r="135" spans="1:1" hidden="1">
      <c r="A135" s="74" t="str">
        <f t="shared" si="2"/>
        <v/>
      </c>
    </row>
    <row r="136" spans="1:1" hidden="1">
      <c r="A136" s="74" t="str">
        <f t="shared" si="2"/>
        <v/>
      </c>
    </row>
    <row r="137" spans="1:1" hidden="1">
      <c r="A137" s="74" t="str">
        <f t="shared" si="2"/>
        <v/>
      </c>
    </row>
    <row r="138" spans="1:1" hidden="1">
      <c r="A138" s="74" t="str">
        <f t="shared" si="2"/>
        <v/>
      </c>
    </row>
    <row r="139" spans="1:1" hidden="1">
      <c r="A139" s="74" t="str">
        <f t="shared" si="2"/>
        <v/>
      </c>
    </row>
    <row r="140" spans="1:1" hidden="1">
      <c r="A140" s="74" t="str">
        <f t="shared" si="2"/>
        <v/>
      </c>
    </row>
    <row r="141" spans="1:1" hidden="1">
      <c r="A141" s="74" t="str">
        <f t="shared" si="2"/>
        <v/>
      </c>
    </row>
    <row r="142" spans="1:1" hidden="1">
      <c r="A142" s="74" t="str">
        <f t="shared" si="2"/>
        <v/>
      </c>
    </row>
    <row r="143" spans="1:1" hidden="1">
      <c r="A143" s="74" t="str">
        <f t="shared" si="2"/>
        <v/>
      </c>
    </row>
    <row r="144" spans="1:1" hidden="1">
      <c r="A144" s="74" t="str">
        <f t="shared" si="2"/>
        <v/>
      </c>
    </row>
    <row r="145" spans="1:1" hidden="1">
      <c r="A145" s="74" t="str">
        <f t="shared" si="2"/>
        <v/>
      </c>
    </row>
    <row r="146" spans="1:1" hidden="1">
      <c r="A146" s="74" t="str">
        <f t="shared" si="2"/>
        <v/>
      </c>
    </row>
    <row r="147" spans="1:1" hidden="1">
      <c r="A147" s="74" t="str">
        <f t="shared" si="2"/>
        <v/>
      </c>
    </row>
    <row r="148" spans="1:1" hidden="1">
      <c r="A148" s="74" t="str">
        <f t="shared" si="2"/>
        <v/>
      </c>
    </row>
    <row r="149" spans="1:1" hidden="1">
      <c r="A149" s="74" t="str">
        <f t="shared" si="2"/>
        <v/>
      </c>
    </row>
    <row r="150" spans="1:1" hidden="1">
      <c r="A150" s="74" t="str">
        <f t="shared" si="2"/>
        <v/>
      </c>
    </row>
    <row r="151" spans="1:1" hidden="1">
      <c r="A151" s="74" t="str">
        <f t="shared" si="2"/>
        <v/>
      </c>
    </row>
    <row r="152" spans="1:1" hidden="1">
      <c r="A152" s="74" t="str">
        <f t="shared" si="2"/>
        <v/>
      </c>
    </row>
    <row r="153" spans="1:1" hidden="1">
      <c r="A153" s="74" t="str">
        <f t="shared" si="2"/>
        <v/>
      </c>
    </row>
    <row r="154" spans="1:1" hidden="1">
      <c r="A154" s="74" t="str">
        <f t="shared" si="2"/>
        <v/>
      </c>
    </row>
    <row r="155" spans="1:1" hidden="1">
      <c r="A155" s="74" t="str">
        <f t="shared" si="2"/>
        <v/>
      </c>
    </row>
    <row r="156" spans="1:1" hidden="1">
      <c r="A156" s="74" t="str">
        <f t="shared" si="2"/>
        <v/>
      </c>
    </row>
    <row r="157" spans="1:1" hidden="1">
      <c r="A157" s="74" t="str">
        <f t="shared" si="2"/>
        <v/>
      </c>
    </row>
    <row r="158" spans="1:1" hidden="1">
      <c r="A158" s="74" t="str">
        <f t="shared" si="2"/>
        <v/>
      </c>
    </row>
    <row r="159" spans="1:1" hidden="1">
      <c r="A159" s="74" t="str">
        <f t="shared" si="2"/>
        <v/>
      </c>
    </row>
    <row r="160" spans="1:1" hidden="1">
      <c r="A160" s="74" t="str">
        <f t="shared" si="2"/>
        <v/>
      </c>
    </row>
    <row r="161" spans="1:1" hidden="1">
      <c r="A161" s="74" t="str">
        <f t="shared" si="2"/>
        <v/>
      </c>
    </row>
    <row r="162" spans="1:1" hidden="1">
      <c r="A162" s="74" t="str">
        <f t="shared" si="2"/>
        <v/>
      </c>
    </row>
    <row r="163" spans="1:1" hidden="1">
      <c r="A163" s="74" t="str">
        <f t="shared" si="2"/>
        <v/>
      </c>
    </row>
    <row r="164" spans="1:1" hidden="1">
      <c r="A164" s="74" t="str">
        <f t="shared" si="2"/>
        <v/>
      </c>
    </row>
    <row r="165" spans="1:1" hidden="1">
      <c r="A165" s="74" t="str">
        <f t="shared" si="2"/>
        <v/>
      </c>
    </row>
    <row r="166" spans="1:1" hidden="1">
      <c r="A166" s="74" t="str">
        <f t="shared" si="2"/>
        <v/>
      </c>
    </row>
    <row r="167" spans="1:1" hidden="1">
      <c r="A167" s="74" t="str">
        <f t="shared" si="2"/>
        <v/>
      </c>
    </row>
    <row r="168" spans="1:1" hidden="1">
      <c r="A168" s="74" t="str">
        <f t="shared" si="2"/>
        <v/>
      </c>
    </row>
    <row r="169" spans="1:1" hidden="1">
      <c r="A169" s="74" t="str">
        <f t="shared" si="2"/>
        <v/>
      </c>
    </row>
    <row r="170" spans="1:1" hidden="1">
      <c r="A170" s="74" t="str">
        <f t="shared" si="2"/>
        <v/>
      </c>
    </row>
    <row r="171" spans="1:1" hidden="1">
      <c r="A171" s="74" t="str">
        <f t="shared" si="2"/>
        <v/>
      </c>
    </row>
    <row r="172" spans="1:1" hidden="1">
      <c r="A172" s="74" t="str">
        <f t="shared" si="2"/>
        <v/>
      </c>
    </row>
    <row r="173" spans="1:1" hidden="1">
      <c r="A173" s="74" t="str">
        <f t="shared" si="2"/>
        <v/>
      </c>
    </row>
    <row r="174" spans="1:1" hidden="1">
      <c r="A174" s="74" t="str">
        <f t="shared" si="2"/>
        <v/>
      </c>
    </row>
    <row r="175" spans="1:1" hidden="1">
      <c r="A175" s="74" t="str">
        <f t="shared" si="2"/>
        <v/>
      </c>
    </row>
    <row r="176" spans="1:1" hidden="1">
      <c r="A176" s="74" t="str">
        <f t="shared" si="2"/>
        <v/>
      </c>
    </row>
    <row r="177" spans="1:1" hidden="1">
      <c r="A177" s="74" t="str">
        <f t="shared" si="2"/>
        <v/>
      </c>
    </row>
    <row r="178" spans="1:1" hidden="1">
      <c r="A178" s="74" t="str">
        <f t="shared" si="2"/>
        <v/>
      </c>
    </row>
    <row r="179" spans="1:1" hidden="1">
      <c r="A179" s="74" t="str">
        <f t="shared" si="2"/>
        <v/>
      </c>
    </row>
    <row r="180" spans="1:1" hidden="1">
      <c r="A180" s="74" t="str">
        <f t="shared" si="2"/>
        <v/>
      </c>
    </row>
    <row r="181" spans="1:1" hidden="1">
      <c r="A181" s="74" t="str">
        <f t="shared" si="2"/>
        <v/>
      </c>
    </row>
    <row r="182" spans="1:1" hidden="1">
      <c r="A182" s="74" t="str">
        <f t="shared" si="2"/>
        <v/>
      </c>
    </row>
    <row r="183" spans="1:1" hidden="1">
      <c r="A183" s="74" t="str">
        <f t="shared" si="2"/>
        <v/>
      </c>
    </row>
    <row r="184" spans="1:1" hidden="1">
      <c r="A184" s="74" t="str">
        <f t="shared" si="2"/>
        <v/>
      </c>
    </row>
    <row r="185" spans="1:1" hidden="1">
      <c r="A185" s="74" t="str">
        <f t="shared" si="2"/>
        <v/>
      </c>
    </row>
    <row r="186" spans="1:1" hidden="1">
      <c r="A186" s="74" t="str">
        <f t="shared" si="2"/>
        <v/>
      </c>
    </row>
    <row r="187" spans="1:1" hidden="1">
      <c r="A187" s="74" t="str">
        <f t="shared" si="2"/>
        <v/>
      </c>
    </row>
    <row r="188" spans="1:1" hidden="1">
      <c r="A188" s="74" t="str">
        <f t="shared" si="2"/>
        <v/>
      </c>
    </row>
    <row r="189" spans="1:1" hidden="1">
      <c r="A189" s="74" t="str">
        <f t="shared" si="2"/>
        <v/>
      </c>
    </row>
    <row r="190" spans="1:1" hidden="1">
      <c r="A190" s="74" t="str">
        <f t="shared" si="2"/>
        <v/>
      </c>
    </row>
    <row r="191" spans="1:1" hidden="1">
      <c r="A191" s="74" t="str">
        <f t="shared" ref="A191:A254" si="3">H191&amp;J191&amp;L191&amp;M191&amp;P191</f>
        <v/>
      </c>
    </row>
    <row r="192" spans="1:1" hidden="1">
      <c r="A192" s="74" t="str">
        <f t="shared" si="3"/>
        <v/>
      </c>
    </row>
    <row r="193" spans="1:1" hidden="1">
      <c r="A193" s="74" t="str">
        <f t="shared" si="3"/>
        <v/>
      </c>
    </row>
    <row r="194" spans="1:1" hidden="1">
      <c r="A194" s="74" t="str">
        <f t="shared" si="3"/>
        <v/>
      </c>
    </row>
    <row r="195" spans="1:1" hidden="1">
      <c r="A195" s="74" t="str">
        <f t="shared" si="3"/>
        <v/>
      </c>
    </row>
    <row r="196" spans="1:1" hidden="1">
      <c r="A196" s="74" t="str">
        <f t="shared" si="3"/>
        <v/>
      </c>
    </row>
    <row r="197" spans="1:1" hidden="1">
      <c r="A197" s="74" t="str">
        <f t="shared" si="3"/>
        <v/>
      </c>
    </row>
    <row r="198" spans="1:1" hidden="1">
      <c r="A198" s="74" t="str">
        <f t="shared" si="3"/>
        <v/>
      </c>
    </row>
    <row r="199" spans="1:1" hidden="1">
      <c r="A199" s="74" t="str">
        <f t="shared" si="3"/>
        <v/>
      </c>
    </row>
    <row r="200" spans="1:1" hidden="1">
      <c r="A200" s="74" t="str">
        <f t="shared" si="3"/>
        <v/>
      </c>
    </row>
    <row r="201" spans="1:1" hidden="1">
      <c r="A201" s="74" t="str">
        <f t="shared" si="3"/>
        <v/>
      </c>
    </row>
    <row r="202" spans="1:1" hidden="1">
      <c r="A202" s="74" t="str">
        <f t="shared" si="3"/>
        <v/>
      </c>
    </row>
    <row r="203" spans="1:1" hidden="1">
      <c r="A203" s="74" t="str">
        <f t="shared" si="3"/>
        <v/>
      </c>
    </row>
    <row r="204" spans="1:1" hidden="1">
      <c r="A204" s="74" t="str">
        <f t="shared" si="3"/>
        <v/>
      </c>
    </row>
    <row r="205" spans="1:1" hidden="1">
      <c r="A205" s="74" t="str">
        <f t="shared" si="3"/>
        <v/>
      </c>
    </row>
    <row r="206" spans="1:1" hidden="1">
      <c r="A206" s="74" t="str">
        <f t="shared" si="3"/>
        <v/>
      </c>
    </row>
    <row r="207" spans="1:1" hidden="1">
      <c r="A207" s="74" t="str">
        <f t="shared" si="3"/>
        <v/>
      </c>
    </row>
    <row r="208" spans="1:1" hidden="1">
      <c r="A208" s="74" t="str">
        <f t="shared" si="3"/>
        <v/>
      </c>
    </row>
    <row r="209" spans="1:1" hidden="1">
      <c r="A209" s="74" t="str">
        <f t="shared" si="3"/>
        <v/>
      </c>
    </row>
    <row r="210" spans="1:1" hidden="1">
      <c r="A210" s="74" t="str">
        <f t="shared" si="3"/>
        <v/>
      </c>
    </row>
    <row r="211" spans="1:1" hidden="1">
      <c r="A211" s="74" t="str">
        <f t="shared" si="3"/>
        <v/>
      </c>
    </row>
    <row r="212" spans="1:1" hidden="1">
      <c r="A212" s="74" t="str">
        <f t="shared" si="3"/>
        <v/>
      </c>
    </row>
    <row r="213" spans="1:1" hidden="1">
      <c r="A213" s="74" t="str">
        <f t="shared" si="3"/>
        <v/>
      </c>
    </row>
    <row r="214" spans="1:1" hidden="1">
      <c r="A214" s="74" t="str">
        <f t="shared" si="3"/>
        <v/>
      </c>
    </row>
    <row r="215" spans="1:1" hidden="1">
      <c r="A215" s="74" t="str">
        <f t="shared" si="3"/>
        <v/>
      </c>
    </row>
    <row r="216" spans="1:1" hidden="1">
      <c r="A216" s="74" t="str">
        <f t="shared" si="3"/>
        <v/>
      </c>
    </row>
    <row r="217" spans="1:1" hidden="1">
      <c r="A217" s="74" t="str">
        <f t="shared" si="3"/>
        <v/>
      </c>
    </row>
    <row r="218" spans="1:1" hidden="1">
      <c r="A218" s="74" t="str">
        <f t="shared" si="3"/>
        <v/>
      </c>
    </row>
    <row r="219" spans="1:1" hidden="1">
      <c r="A219" s="74" t="str">
        <f t="shared" si="3"/>
        <v/>
      </c>
    </row>
    <row r="220" spans="1:1" hidden="1">
      <c r="A220" s="74" t="str">
        <f t="shared" si="3"/>
        <v/>
      </c>
    </row>
    <row r="221" spans="1:1" hidden="1">
      <c r="A221" s="74" t="str">
        <f t="shared" si="3"/>
        <v/>
      </c>
    </row>
    <row r="222" spans="1:1" hidden="1">
      <c r="A222" s="74" t="str">
        <f t="shared" si="3"/>
        <v/>
      </c>
    </row>
    <row r="223" spans="1:1" hidden="1">
      <c r="A223" s="74" t="str">
        <f t="shared" si="3"/>
        <v/>
      </c>
    </row>
    <row r="224" spans="1:1" hidden="1">
      <c r="A224" s="74" t="str">
        <f t="shared" si="3"/>
        <v/>
      </c>
    </row>
    <row r="225" spans="1:1" hidden="1">
      <c r="A225" s="74" t="str">
        <f t="shared" si="3"/>
        <v/>
      </c>
    </row>
    <row r="226" spans="1:1" hidden="1">
      <c r="A226" s="74" t="str">
        <f t="shared" si="3"/>
        <v/>
      </c>
    </row>
    <row r="227" spans="1:1" hidden="1">
      <c r="A227" s="74" t="str">
        <f t="shared" si="3"/>
        <v/>
      </c>
    </row>
    <row r="228" spans="1:1" hidden="1">
      <c r="A228" s="74" t="str">
        <f t="shared" si="3"/>
        <v/>
      </c>
    </row>
    <row r="229" spans="1:1" hidden="1">
      <c r="A229" s="74" t="str">
        <f t="shared" si="3"/>
        <v/>
      </c>
    </row>
    <row r="230" spans="1:1" hidden="1">
      <c r="A230" s="74" t="str">
        <f t="shared" si="3"/>
        <v/>
      </c>
    </row>
    <row r="231" spans="1:1" hidden="1">
      <c r="A231" s="74" t="str">
        <f t="shared" si="3"/>
        <v/>
      </c>
    </row>
    <row r="232" spans="1:1" hidden="1">
      <c r="A232" s="74" t="str">
        <f t="shared" si="3"/>
        <v/>
      </c>
    </row>
    <row r="233" spans="1:1" hidden="1">
      <c r="A233" s="74" t="str">
        <f t="shared" si="3"/>
        <v/>
      </c>
    </row>
    <row r="234" spans="1:1" hidden="1">
      <c r="A234" s="74" t="str">
        <f t="shared" si="3"/>
        <v/>
      </c>
    </row>
    <row r="235" spans="1:1" hidden="1">
      <c r="A235" s="74" t="str">
        <f t="shared" si="3"/>
        <v/>
      </c>
    </row>
    <row r="236" spans="1:1" hidden="1">
      <c r="A236" s="74" t="str">
        <f t="shared" si="3"/>
        <v/>
      </c>
    </row>
    <row r="237" spans="1:1" hidden="1">
      <c r="A237" s="74" t="str">
        <f t="shared" si="3"/>
        <v/>
      </c>
    </row>
    <row r="238" spans="1:1" hidden="1">
      <c r="A238" s="74" t="str">
        <f t="shared" si="3"/>
        <v/>
      </c>
    </row>
    <row r="239" spans="1:1" hidden="1">
      <c r="A239" s="74" t="str">
        <f t="shared" si="3"/>
        <v/>
      </c>
    </row>
    <row r="240" spans="1:1" hidden="1">
      <c r="A240" s="74" t="str">
        <f t="shared" si="3"/>
        <v/>
      </c>
    </row>
    <row r="241" spans="1:1" hidden="1">
      <c r="A241" s="74" t="str">
        <f t="shared" si="3"/>
        <v/>
      </c>
    </row>
    <row r="242" spans="1:1" hidden="1">
      <c r="A242" s="74" t="str">
        <f t="shared" si="3"/>
        <v/>
      </c>
    </row>
    <row r="243" spans="1:1" hidden="1">
      <c r="A243" s="74" t="str">
        <f t="shared" si="3"/>
        <v/>
      </c>
    </row>
    <row r="244" spans="1:1" hidden="1">
      <c r="A244" s="74" t="str">
        <f t="shared" si="3"/>
        <v/>
      </c>
    </row>
    <row r="245" spans="1:1" hidden="1">
      <c r="A245" s="74" t="str">
        <f t="shared" si="3"/>
        <v/>
      </c>
    </row>
    <row r="246" spans="1:1" hidden="1">
      <c r="A246" s="74" t="str">
        <f t="shared" si="3"/>
        <v/>
      </c>
    </row>
    <row r="247" spans="1:1" hidden="1">
      <c r="A247" s="74" t="str">
        <f t="shared" si="3"/>
        <v/>
      </c>
    </row>
    <row r="248" spans="1:1" hidden="1">
      <c r="A248" s="74" t="str">
        <f t="shared" si="3"/>
        <v/>
      </c>
    </row>
    <row r="249" spans="1:1" hidden="1">
      <c r="A249" s="74" t="str">
        <f t="shared" si="3"/>
        <v/>
      </c>
    </row>
    <row r="250" spans="1:1" hidden="1">
      <c r="A250" s="74" t="str">
        <f t="shared" si="3"/>
        <v/>
      </c>
    </row>
    <row r="251" spans="1:1" hidden="1">
      <c r="A251" s="74" t="str">
        <f t="shared" si="3"/>
        <v/>
      </c>
    </row>
    <row r="252" spans="1:1" hidden="1">
      <c r="A252" s="74" t="str">
        <f t="shared" si="3"/>
        <v/>
      </c>
    </row>
    <row r="253" spans="1:1" hidden="1">
      <c r="A253" s="74" t="str">
        <f t="shared" si="3"/>
        <v/>
      </c>
    </row>
    <row r="254" spans="1:1" hidden="1">
      <c r="A254" s="74" t="str">
        <f t="shared" si="3"/>
        <v/>
      </c>
    </row>
    <row r="255" spans="1:1" hidden="1">
      <c r="A255" s="74" t="str">
        <f t="shared" ref="A255:A318" si="4">H255&amp;J255&amp;L255&amp;M255&amp;P255</f>
        <v/>
      </c>
    </row>
    <row r="256" spans="1:1" hidden="1">
      <c r="A256" s="74" t="str">
        <f t="shared" si="4"/>
        <v/>
      </c>
    </row>
    <row r="257" spans="1:1" hidden="1">
      <c r="A257" s="74" t="str">
        <f t="shared" si="4"/>
        <v/>
      </c>
    </row>
    <row r="258" spans="1:1" hidden="1">
      <c r="A258" s="74" t="str">
        <f t="shared" si="4"/>
        <v/>
      </c>
    </row>
    <row r="259" spans="1:1" hidden="1">
      <c r="A259" s="74" t="str">
        <f t="shared" si="4"/>
        <v/>
      </c>
    </row>
    <row r="260" spans="1:1" hidden="1">
      <c r="A260" s="74" t="str">
        <f t="shared" si="4"/>
        <v/>
      </c>
    </row>
    <row r="261" spans="1:1" hidden="1">
      <c r="A261" s="74" t="str">
        <f t="shared" si="4"/>
        <v/>
      </c>
    </row>
    <row r="262" spans="1:1" hidden="1">
      <c r="A262" s="74" t="str">
        <f t="shared" si="4"/>
        <v/>
      </c>
    </row>
    <row r="263" spans="1:1" hidden="1">
      <c r="A263" s="74" t="str">
        <f t="shared" si="4"/>
        <v/>
      </c>
    </row>
    <row r="264" spans="1:1" hidden="1">
      <c r="A264" s="74" t="str">
        <f t="shared" si="4"/>
        <v/>
      </c>
    </row>
    <row r="265" spans="1:1" hidden="1">
      <c r="A265" s="74" t="str">
        <f t="shared" si="4"/>
        <v/>
      </c>
    </row>
    <row r="266" spans="1:1" hidden="1">
      <c r="A266" s="74" t="str">
        <f t="shared" si="4"/>
        <v/>
      </c>
    </row>
    <row r="267" spans="1:1" hidden="1">
      <c r="A267" s="74" t="str">
        <f t="shared" si="4"/>
        <v/>
      </c>
    </row>
    <row r="268" spans="1:1" hidden="1">
      <c r="A268" s="74" t="str">
        <f t="shared" si="4"/>
        <v/>
      </c>
    </row>
    <row r="269" spans="1:1" hidden="1">
      <c r="A269" s="74" t="str">
        <f t="shared" si="4"/>
        <v/>
      </c>
    </row>
    <row r="270" spans="1:1" hidden="1">
      <c r="A270" s="74" t="str">
        <f t="shared" si="4"/>
        <v/>
      </c>
    </row>
    <row r="271" spans="1:1" hidden="1">
      <c r="A271" s="74" t="str">
        <f t="shared" si="4"/>
        <v/>
      </c>
    </row>
    <row r="272" spans="1:1" hidden="1">
      <c r="A272" s="74" t="str">
        <f t="shared" si="4"/>
        <v/>
      </c>
    </row>
    <row r="273" spans="1:1" hidden="1">
      <c r="A273" s="74" t="str">
        <f t="shared" si="4"/>
        <v/>
      </c>
    </row>
    <row r="274" spans="1:1" hidden="1">
      <c r="A274" s="74" t="str">
        <f t="shared" si="4"/>
        <v/>
      </c>
    </row>
    <row r="275" spans="1:1" hidden="1">
      <c r="A275" s="74" t="str">
        <f t="shared" si="4"/>
        <v/>
      </c>
    </row>
    <row r="276" spans="1:1" hidden="1">
      <c r="A276" s="74" t="str">
        <f t="shared" si="4"/>
        <v/>
      </c>
    </row>
    <row r="277" spans="1:1" hidden="1">
      <c r="A277" s="74" t="str">
        <f t="shared" si="4"/>
        <v/>
      </c>
    </row>
    <row r="278" spans="1:1" hidden="1">
      <c r="A278" s="74" t="str">
        <f t="shared" si="4"/>
        <v/>
      </c>
    </row>
    <row r="279" spans="1:1" hidden="1">
      <c r="A279" s="74" t="str">
        <f t="shared" si="4"/>
        <v/>
      </c>
    </row>
    <row r="280" spans="1:1" hidden="1">
      <c r="A280" s="74" t="str">
        <f t="shared" si="4"/>
        <v/>
      </c>
    </row>
    <row r="281" spans="1:1" hidden="1">
      <c r="A281" s="74" t="str">
        <f t="shared" si="4"/>
        <v/>
      </c>
    </row>
    <row r="282" spans="1:1" hidden="1">
      <c r="A282" s="74" t="str">
        <f t="shared" si="4"/>
        <v/>
      </c>
    </row>
    <row r="283" spans="1:1" hidden="1">
      <c r="A283" s="74" t="str">
        <f t="shared" si="4"/>
        <v/>
      </c>
    </row>
    <row r="284" spans="1:1" hidden="1">
      <c r="A284" s="74" t="str">
        <f t="shared" si="4"/>
        <v/>
      </c>
    </row>
    <row r="285" spans="1:1" hidden="1">
      <c r="A285" s="74" t="str">
        <f t="shared" si="4"/>
        <v/>
      </c>
    </row>
    <row r="286" spans="1:1" hidden="1">
      <c r="A286" s="74" t="str">
        <f t="shared" si="4"/>
        <v/>
      </c>
    </row>
    <row r="287" spans="1:1" hidden="1">
      <c r="A287" s="74" t="str">
        <f t="shared" si="4"/>
        <v/>
      </c>
    </row>
    <row r="288" spans="1:1" hidden="1">
      <c r="A288" s="74" t="str">
        <f t="shared" si="4"/>
        <v/>
      </c>
    </row>
    <row r="289" spans="1:1" hidden="1">
      <c r="A289" s="74" t="str">
        <f t="shared" si="4"/>
        <v/>
      </c>
    </row>
    <row r="290" spans="1:1" hidden="1">
      <c r="A290" s="74" t="str">
        <f t="shared" si="4"/>
        <v/>
      </c>
    </row>
    <row r="291" spans="1:1" hidden="1">
      <c r="A291" s="74" t="str">
        <f t="shared" si="4"/>
        <v/>
      </c>
    </row>
    <row r="292" spans="1:1" hidden="1">
      <c r="A292" s="74" t="str">
        <f t="shared" si="4"/>
        <v/>
      </c>
    </row>
    <row r="293" spans="1:1" hidden="1">
      <c r="A293" s="74" t="str">
        <f t="shared" si="4"/>
        <v/>
      </c>
    </row>
    <row r="294" spans="1:1" hidden="1">
      <c r="A294" s="74" t="str">
        <f t="shared" si="4"/>
        <v/>
      </c>
    </row>
    <row r="295" spans="1:1" hidden="1">
      <c r="A295" s="74" t="str">
        <f t="shared" si="4"/>
        <v/>
      </c>
    </row>
    <row r="296" spans="1:1" hidden="1">
      <c r="A296" s="74" t="str">
        <f t="shared" si="4"/>
        <v/>
      </c>
    </row>
    <row r="297" spans="1:1" hidden="1">
      <c r="A297" s="74" t="str">
        <f t="shared" si="4"/>
        <v/>
      </c>
    </row>
    <row r="298" spans="1:1" hidden="1">
      <c r="A298" s="74" t="str">
        <f t="shared" si="4"/>
        <v/>
      </c>
    </row>
    <row r="299" spans="1:1" hidden="1">
      <c r="A299" s="74" t="str">
        <f t="shared" si="4"/>
        <v/>
      </c>
    </row>
    <row r="300" spans="1:1" hidden="1">
      <c r="A300" s="74" t="str">
        <f t="shared" si="4"/>
        <v/>
      </c>
    </row>
    <row r="301" spans="1:1" hidden="1">
      <c r="A301" s="74" t="str">
        <f t="shared" si="4"/>
        <v/>
      </c>
    </row>
    <row r="302" spans="1:1" hidden="1">
      <c r="A302" s="74" t="str">
        <f t="shared" si="4"/>
        <v/>
      </c>
    </row>
    <row r="303" spans="1:1" hidden="1">
      <c r="A303" s="74" t="str">
        <f t="shared" si="4"/>
        <v/>
      </c>
    </row>
    <row r="304" spans="1:1" hidden="1">
      <c r="A304" s="74" t="str">
        <f t="shared" si="4"/>
        <v/>
      </c>
    </row>
    <row r="305" spans="1:1" hidden="1">
      <c r="A305" s="74" t="str">
        <f t="shared" si="4"/>
        <v/>
      </c>
    </row>
    <row r="306" spans="1:1" hidden="1">
      <c r="A306" s="74" t="str">
        <f t="shared" si="4"/>
        <v/>
      </c>
    </row>
    <row r="307" spans="1:1" hidden="1">
      <c r="A307" s="74" t="str">
        <f t="shared" si="4"/>
        <v/>
      </c>
    </row>
    <row r="308" spans="1:1" hidden="1">
      <c r="A308" s="74" t="str">
        <f t="shared" si="4"/>
        <v/>
      </c>
    </row>
    <row r="309" spans="1:1" hidden="1">
      <c r="A309" s="74" t="str">
        <f t="shared" si="4"/>
        <v/>
      </c>
    </row>
    <row r="310" spans="1:1" hidden="1">
      <c r="A310" s="74" t="str">
        <f t="shared" si="4"/>
        <v/>
      </c>
    </row>
    <row r="311" spans="1:1" hidden="1">
      <c r="A311" s="74" t="str">
        <f t="shared" si="4"/>
        <v/>
      </c>
    </row>
    <row r="312" spans="1:1" hidden="1">
      <c r="A312" s="74" t="str">
        <f t="shared" si="4"/>
        <v/>
      </c>
    </row>
    <row r="313" spans="1:1" hidden="1">
      <c r="A313" s="74" t="str">
        <f t="shared" si="4"/>
        <v/>
      </c>
    </row>
    <row r="314" spans="1:1" hidden="1">
      <c r="A314" s="74" t="str">
        <f t="shared" si="4"/>
        <v/>
      </c>
    </row>
    <row r="315" spans="1:1" hidden="1">
      <c r="A315" s="74" t="str">
        <f t="shared" si="4"/>
        <v/>
      </c>
    </row>
    <row r="316" spans="1:1" hidden="1">
      <c r="A316" s="74" t="str">
        <f t="shared" si="4"/>
        <v/>
      </c>
    </row>
    <row r="317" spans="1:1" hidden="1">
      <c r="A317" s="74" t="str">
        <f t="shared" si="4"/>
        <v/>
      </c>
    </row>
    <row r="318" spans="1:1" hidden="1">
      <c r="A318" s="74" t="str">
        <f t="shared" si="4"/>
        <v/>
      </c>
    </row>
    <row r="319" spans="1:1" hidden="1">
      <c r="A319" s="74" t="str">
        <f t="shared" ref="A319:A382" si="5">H319&amp;J319&amp;L319&amp;M319&amp;P319</f>
        <v/>
      </c>
    </row>
    <row r="320" spans="1:1" hidden="1">
      <c r="A320" s="74" t="str">
        <f t="shared" si="5"/>
        <v/>
      </c>
    </row>
    <row r="321" spans="1:1" hidden="1">
      <c r="A321" s="74" t="str">
        <f t="shared" si="5"/>
        <v/>
      </c>
    </row>
    <row r="322" spans="1:1" hidden="1">
      <c r="A322" s="74" t="str">
        <f t="shared" si="5"/>
        <v/>
      </c>
    </row>
    <row r="323" spans="1:1" hidden="1">
      <c r="A323" s="74" t="str">
        <f t="shared" si="5"/>
        <v/>
      </c>
    </row>
    <row r="324" spans="1:1" hidden="1">
      <c r="A324" s="74" t="str">
        <f t="shared" si="5"/>
        <v/>
      </c>
    </row>
    <row r="325" spans="1:1" hidden="1">
      <c r="A325" s="74" t="str">
        <f t="shared" si="5"/>
        <v/>
      </c>
    </row>
    <row r="326" spans="1:1" hidden="1">
      <c r="A326" s="74" t="str">
        <f t="shared" si="5"/>
        <v/>
      </c>
    </row>
    <row r="327" spans="1:1" hidden="1">
      <c r="A327" s="74" t="str">
        <f t="shared" si="5"/>
        <v/>
      </c>
    </row>
    <row r="328" spans="1:1" hidden="1">
      <c r="A328" s="74" t="str">
        <f t="shared" si="5"/>
        <v/>
      </c>
    </row>
    <row r="329" spans="1:1" hidden="1">
      <c r="A329" s="74" t="str">
        <f t="shared" si="5"/>
        <v/>
      </c>
    </row>
    <row r="330" spans="1:1" hidden="1">
      <c r="A330" s="74" t="str">
        <f t="shared" si="5"/>
        <v/>
      </c>
    </row>
    <row r="331" spans="1:1" hidden="1">
      <c r="A331" s="74" t="str">
        <f t="shared" si="5"/>
        <v/>
      </c>
    </row>
    <row r="332" spans="1:1" hidden="1">
      <c r="A332" s="74" t="str">
        <f t="shared" si="5"/>
        <v/>
      </c>
    </row>
    <row r="333" spans="1:1" hidden="1">
      <c r="A333" s="74" t="str">
        <f t="shared" si="5"/>
        <v/>
      </c>
    </row>
    <row r="334" spans="1:1" hidden="1">
      <c r="A334" s="74" t="str">
        <f t="shared" si="5"/>
        <v/>
      </c>
    </row>
    <row r="335" spans="1:1" hidden="1">
      <c r="A335" s="74" t="str">
        <f t="shared" si="5"/>
        <v/>
      </c>
    </row>
    <row r="336" spans="1:1" hidden="1">
      <c r="A336" s="74" t="str">
        <f t="shared" si="5"/>
        <v/>
      </c>
    </row>
    <row r="337" spans="1:1" hidden="1">
      <c r="A337" s="74" t="str">
        <f t="shared" si="5"/>
        <v/>
      </c>
    </row>
    <row r="338" spans="1:1" hidden="1">
      <c r="A338" s="74" t="str">
        <f t="shared" si="5"/>
        <v/>
      </c>
    </row>
    <row r="339" spans="1:1" hidden="1">
      <c r="A339" s="74" t="str">
        <f t="shared" si="5"/>
        <v/>
      </c>
    </row>
    <row r="340" spans="1:1" hidden="1">
      <c r="A340" s="74" t="str">
        <f t="shared" si="5"/>
        <v/>
      </c>
    </row>
    <row r="341" spans="1:1" hidden="1">
      <c r="A341" s="74" t="str">
        <f t="shared" si="5"/>
        <v/>
      </c>
    </row>
    <row r="342" spans="1:1" hidden="1">
      <c r="A342" s="74" t="str">
        <f t="shared" si="5"/>
        <v/>
      </c>
    </row>
    <row r="343" spans="1:1" hidden="1">
      <c r="A343" s="74" t="str">
        <f t="shared" si="5"/>
        <v/>
      </c>
    </row>
    <row r="344" spans="1:1" hidden="1">
      <c r="A344" s="74" t="str">
        <f t="shared" si="5"/>
        <v/>
      </c>
    </row>
    <row r="345" spans="1:1" hidden="1">
      <c r="A345" s="74" t="str">
        <f t="shared" si="5"/>
        <v/>
      </c>
    </row>
    <row r="346" spans="1:1" hidden="1">
      <c r="A346" s="74" t="str">
        <f t="shared" si="5"/>
        <v/>
      </c>
    </row>
    <row r="347" spans="1:1" hidden="1">
      <c r="A347" s="74" t="str">
        <f t="shared" si="5"/>
        <v/>
      </c>
    </row>
    <row r="348" spans="1:1" hidden="1">
      <c r="A348" s="74" t="str">
        <f t="shared" si="5"/>
        <v/>
      </c>
    </row>
    <row r="349" spans="1:1" hidden="1">
      <c r="A349" s="74" t="str">
        <f t="shared" si="5"/>
        <v/>
      </c>
    </row>
    <row r="350" spans="1:1" hidden="1">
      <c r="A350" s="74" t="str">
        <f t="shared" si="5"/>
        <v/>
      </c>
    </row>
    <row r="351" spans="1:1" hidden="1">
      <c r="A351" s="74" t="str">
        <f t="shared" si="5"/>
        <v/>
      </c>
    </row>
    <row r="352" spans="1:1" hidden="1">
      <c r="A352" s="74" t="str">
        <f t="shared" si="5"/>
        <v/>
      </c>
    </row>
    <row r="353" spans="1:1" hidden="1">
      <c r="A353" s="74" t="str">
        <f t="shared" si="5"/>
        <v/>
      </c>
    </row>
    <row r="354" spans="1:1" hidden="1">
      <c r="A354" s="74" t="str">
        <f t="shared" si="5"/>
        <v/>
      </c>
    </row>
    <row r="355" spans="1:1" hidden="1">
      <c r="A355" s="74" t="str">
        <f t="shared" si="5"/>
        <v/>
      </c>
    </row>
    <row r="356" spans="1:1" hidden="1">
      <c r="A356" s="74" t="str">
        <f t="shared" si="5"/>
        <v/>
      </c>
    </row>
    <row r="357" spans="1:1" hidden="1">
      <c r="A357" s="74" t="str">
        <f t="shared" si="5"/>
        <v/>
      </c>
    </row>
    <row r="358" spans="1:1" hidden="1">
      <c r="A358" s="74" t="str">
        <f t="shared" si="5"/>
        <v/>
      </c>
    </row>
    <row r="359" spans="1:1" hidden="1">
      <c r="A359" s="74" t="str">
        <f t="shared" si="5"/>
        <v/>
      </c>
    </row>
    <row r="360" spans="1:1" hidden="1">
      <c r="A360" s="74" t="str">
        <f t="shared" si="5"/>
        <v/>
      </c>
    </row>
    <row r="361" spans="1:1" hidden="1">
      <c r="A361" s="74" t="str">
        <f t="shared" si="5"/>
        <v/>
      </c>
    </row>
    <row r="362" spans="1:1" hidden="1">
      <c r="A362" s="74" t="str">
        <f t="shared" si="5"/>
        <v/>
      </c>
    </row>
    <row r="363" spans="1:1" hidden="1">
      <c r="A363" s="74" t="str">
        <f t="shared" si="5"/>
        <v/>
      </c>
    </row>
    <row r="364" spans="1:1" hidden="1">
      <c r="A364" s="74" t="str">
        <f t="shared" si="5"/>
        <v/>
      </c>
    </row>
    <row r="365" spans="1:1" hidden="1">
      <c r="A365" s="74" t="str">
        <f t="shared" si="5"/>
        <v/>
      </c>
    </row>
    <row r="366" spans="1:1" hidden="1">
      <c r="A366" s="74" t="str">
        <f t="shared" si="5"/>
        <v/>
      </c>
    </row>
    <row r="367" spans="1:1" hidden="1">
      <c r="A367" s="74" t="str">
        <f t="shared" si="5"/>
        <v/>
      </c>
    </row>
    <row r="368" spans="1:1" hidden="1">
      <c r="A368" s="74" t="str">
        <f t="shared" si="5"/>
        <v/>
      </c>
    </row>
    <row r="369" spans="1:1" hidden="1">
      <c r="A369" s="74" t="str">
        <f t="shared" si="5"/>
        <v/>
      </c>
    </row>
    <row r="370" spans="1:1" hidden="1">
      <c r="A370" s="74" t="str">
        <f t="shared" si="5"/>
        <v/>
      </c>
    </row>
    <row r="371" spans="1:1" hidden="1">
      <c r="A371" s="74" t="str">
        <f t="shared" si="5"/>
        <v/>
      </c>
    </row>
    <row r="372" spans="1:1" hidden="1">
      <c r="A372" s="74" t="str">
        <f t="shared" si="5"/>
        <v/>
      </c>
    </row>
    <row r="373" spans="1:1" hidden="1">
      <c r="A373" s="74" t="str">
        <f t="shared" si="5"/>
        <v/>
      </c>
    </row>
    <row r="374" spans="1:1" hidden="1">
      <c r="A374" s="74" t="str">
        <f t="shared" si="5"/>
        <v/>
      </c>
    </row>
    <row r="375" spans="1:1" hidden="1">
      <c r="A375" s="74" t="str">
        <f t="shared" si="5"/>
        <v/>
      </c>
    </row>
    <row r="376" spans="1:1" hidden="1">
      <c r="A376" s="74" t="str">
        <f t="shared" si="5"/>
        <v/>
      </c>
    </row>
    <row r="377" spans="1:1" hidden="1">
      <c r="A377" s="74" t="str">
        <f t="shared" si="5"/>
        <v/>
      </c>
    </row>
    <row r="378" spans="1:1" hidden="1">
      <c r="A378" s="74" t="str">
        <f t="shared" si="5"/>
        <v/>
      </c>
    </row>
    <row r="379" spans="1:1" hidden="1">
      <c r="A379" s="74" t="str">
        <f t="shared" si="5"/>
        <v/>
      </c>
    </row>
    <row r="380" spans="1:1" hidden="1">
      <c r="A380" s="74" t="str">
        <f t="shared" si="5"/>
        <v/>
      </c>
    </row>
    <row r="381" spans="1:1" hidden="1">
      <c r="A381" s="74" t="str">
        <f t="shared" si="5"/>
        <v/>
      </c>
    </row>
    <row r="382" spans="1:1" hidden="1">
      <c r="A382" s="74" t="str">
        <f t="shared" si="5"/>
        <v/>
      </c>
    </row>
    <row r="383" spans="1:1" hidden="1">
      <c r="A383" s="74" t="str">
        <f t="shared" ref="A383:A446" si="6">H383&amp;J383&amp;L383&amp;M383&amp;P383</f>
        <v/>
      </c>
    </row>
    <row r="384" spans="1:1" hidden="1">
      <c r="A384" s="74" t="str">
        <f t="shared" si="6"/>
        <v/>
      </c>
    </row>
    <row r="385" spans="1:1" hidden="1">
      <c r="A385" s="74" t="str">
        <f t="shared" si="6"/>
        <v/>
      </c>
    </row>
    <row r="386" spans="1:1" hidden="1">
      <c r="A386" s="74" t="str">
        <f t="shared" si="6"/>
        <v/>
      </c>
    </row>
    <row r="387" spans="1:1" hidden="1">
      <c r="A387" s="74" t="str">
        <f t="shared" si="6"/>
        <v/>
      </c>
    </row>
    <row r="388" spans="1:1" hidden="1">
      <c r="A388" s="74" t="str">
        <f t="shared" si="6"/>
        <v/>
      </c>
    </row>
    <row r="389" spans="1:1" hidden="1">
      <c r="A389" s="74" t="str">
        <f t="shared" si="6"/>
        <v/>
      </c>
    </row>
    <row r="390" spans="1:1" hidden="1">
      <c r="A390" s="74" t="str">
        <f t="shared" si="6"/>
        <v/>
      </c>
    </row>
    <row r="391" spans="1:1" hidden="1">
      <c r="A391" s="74" t="str">
        <f t="shared" si="6"/>
        <v/>
      </c>
    </row>
    <row r="392" spans="1:1" hidden="1">
      <c r="A392" s="74" t="str">
        <f t="shared" si="6"/>
        <v/>
      </c>
    </row>
    <row r="393" spans="1:1" hidden="1">
      <c r="A393" s="74" t="str">
        <f t="shared" si="6"/>
        <v/>
      </c>
    </row>
    <row r="394" spans="1:1" hidden="1">
      <c r="A394" s="74" t="str">
        <f t="shared" si="6"/>
        <v/>
      </c>
    </row>
    <row r="395" spans="1:1" hidden="1">
      <c r="A395" s="74" t="str">
        <f t="shared" si="6"/>
        <v/>
      </c>
    </row>
    <row r="396" spans="1:1" hidden="1">
      <c r="A396" s="74" t="str">
        <f t="shared" si="6"/>
        <v/>
      </c>
    </row>
    <row r="397" spans="1:1" hidden="1">
      <c r="A397" s="74" t="str">
        <f t="shared" si="6"/>
        <v/>
      </c>
    </row>
    <row r="398" spans="1:1" hidden="1">
      <c r="A398" s="74" t="str">
        <f t="shared" si="6"/>
        <v/>
      </c>
    </row>
    <row r="399" spans="1:1" hidden="1">
      <c r="A399" s="74" t="str">
        <f t="shared" si="6"/>
        <v/>
      </c>
    </row>
    <row r="400" spans="1:1" hidden="1">
      <c r="A400" s="74" t="str">
        <f t="shared" si="6"/>
        <v/>
      </c>
    </row>
    <row r="401" spans="1:1" hidden="1">
      <c r="A401" s="74" t="str">
        <f t="shared" si="6"/>
        <v/>
      </c>
    </row>
    <row r="402" spans="1:1" hidden="1">
      <c r="A402" s="74" t="str">
        <f t="shared" si="6"/>
        <v/>
      </c>
    </row>
    <row r="403" spans="1:1" hidden="1">
      <c r="A403" s="74" t="str">
        <f t="shared" si="6"/>
        <v/>
      </c>
    </row>
    <row r="404" spans="1:1" hidden="1">
      <c r="A404" s="74" t="str">
        <f t="shared" si="6"/>
        <v/>
      </c>
    </row>
    <row r="405" spans="1:1" hidden="1">
      <c r="A405" s="74" t="str">
        <f t="shared" si="6"/>
        <v/>
      </c>
    </row>
    <row r="406" spans="1:1" hidden="1">
      <c r="A406" s="74" t="str">
        <f t="shared" si="6"/>
        <v/>
      </c>
    </row>
    <row r="407" spans="1:1" hidden="1">
      <c r="A407" s="74" t="str">
        <f t="shared" si="6"/>
        <v/>
      </c>
    </row>
    <row r="408" spans="1:1" hidden="1">
      <c r="A408" s="74" t="str">
        <f t="shared" si="6"/>
        <v/>
      </c>
    </row>
    <row r="409" spans="1:1" hidden="1">
      <c r="A409" s="74" t="str">
        <f t="shared" si="6"/>
        <v/>
      </c>
    </row>
    <row r="410" spans="1:1" hidden="1">
      <c r="A410" s="74" t="str">
        <f t="shared" si="6"/>
        <v/>
      </c>
    </row>
    <row r="411" spans="1:1" hidden="1">
      <c r="A411" s="74" t="str">
        <f t="shared" si="6"/>
        <v/>
      </c>
    </row>
    <row r="412" spans="1:1" hidden="1">
      <c r="A412" s="74" t="str">
        <f t="shared" si="6"/>
        <v/>
      </c>
    </row>
    <row r="413" spans="1:1" hidden="1">
      <c r="A413" s="74" t="str">
        <f t="shared" si="6"/>
        <v/>
      </c>
    </row>
    <row r="414" spans="1:1" hidden="1">
      <c r="A414" s="74" t="str">
        <f t="shared" si="6"/>
        <v/>
      </c>
    </row>
    <row r="415" spans="1:1" hidden="1">
      <c r="A415" s="74" t="str">
        <f t="shared" si="6"/>
        <v/>
      </c>
    </row>
    <row r="416" spans="1:1" hidden="1">
      <c r="A416" s="74" t="str">
        <f t="shared" si="6"/>
        <v/>
      </c>
    </row>
    <row r="417" spans="1:1" hidden="1">
      <c r="A417" s="74" t="str">
        <f t="shared" si="6"/>
        <v/>
      </c>
    </row>
    <row r="418" spans="1:1" hidden="1">
      <c r="A418" s="74" t="str">
        <f t="shared" si="6"/>
        <v/>
      </c>
    </row>
    <row r="419" spans="1:1" hidden="1">
      <c r="A419" s="74" t="str">
        <f t="shared" si="6"/>
        <v/>
      </c>
    </row>
    <row r="420" spans="1:1" hidden="1">
      <c r="A420" s="74" t="str">
        <f t="shared" si="6"/>
        <v/>
      </c>
    </row>
    <row r="421" spans="1:1" hidden="1">
      <c r="A421" s="74" t="str">
        <f t="shared" si="6"/>
        <v/>
      </c>
    </row>
    <row r="422" spans="1:1" hidden="1">
      <c r="A422" s="74" t="str">
        <f t="shared" si="6"/>
        <v/>
      </c>
    </row>
    <row r="423" spans="1:1" hidden="1">
      <c r="A423" s="74" t="str">
        <f t="shared" si="6"/>
        <v/>
      </c>
    </row>
    <row r="424" spans="1:1" hidden="1">
      <c r="A424" s="74" t="str">
        <f t="shared" si="6"/>
        <v/>
      </c>
    </row>
    <row r="425" spans="1:1" hidden="1">
      <c r="A425" s="74" t="str">
        <f t="shared" si="6"/>
        <v/>
      </c>
    </row>
    <row r="426" spans="1:1" hidden="1">
      <c r="A426" s="74" t="str">
        <f t="shared" si="6"/>
        <v/>
      </c>
    </row>
    <row r="427" spans="1:1" hidden="1">
      <c r="A427" s="74" t="str">
        <f t="shared" si="6"/>
        <v/>
      </c>
    </row>
    <row r="428" spans="1:1" hidden="1">
      <c r="A428" s="74" t="str">
        <f t="shared" si="6"/>
        <v/>
      </c>
    </row>
    <row r="429" spans="1:1" hidden="1">
      <c r="A429" s="74" t="str">
        <f t="shared" si="6"/>
        <v/>
      </c>
    </row>
    <row r="430" spans="1:1" hidden="1">
      <c r="A430" s="74" t="str">
        <f t="shared" si="6"/>
        <v/>
      </c>
    </row>
    <row r="431" spans="1:1" hidden="1">
      <c r="A431" s="74" t="str">
        <f t="shared" si="6"/>
        <v/>
      </c>
    </row>
    <row r="432" spans="1:1" hidden="1">
      <c r="A432" s="74" t="str">
        <f t="shared" si="6"/>
        <v/>
      </c>
    </row>
    <row r="433" spans="1:1" hidden="1">
      <c r="A433" s="74" t="str">
        <f t="shared" si="6"/>
        <v/>
      </c>
    </row>
    <row r="434" spans="1:1" hidden="1">
      <c r="A434" s="74" t="str">
        <f t="shared" si="6"/>
        <v/>
      </c>
    </row>
    <row r="435" spans="1:1" hidden="1">
      <c r="A435" s="74" t="str">
        <f t="shared" si="6"/>
        <v/>
      </c>
    </row>
    <row r="436" spans="1:1" hidden="1">
      <c r="A436" s="74" t="str">
        <f t="shared" si="6"/>
        <v/>
      </c>
    </row>
    <row r="437" spans="1:1" hidden="1">
      <c r="A437" s="74" t="str">
        <f t="shared" si="6"/>
        <v/>
      </c>
    </row>
    <row r="438" spans="1:1" hidden="1">
      <c r="A438" s="74" t="str">
        <f t="shared" si="6"/>
        <v/>
      </c>
    </row>
    <row r="439" spans="1:1" hidden="1">
      <c r="A439" s="74" t="str">
        <f t="shared" si="6"/>
        <v/>
      </c>
    </row>
    <row r="440" spans="1:1" hidden="1">
      <c r="A440" s="74" t="str">
        <f t="shared" si="6"/>
        <v/>
      </c>
    </row>
    <row r="441" spans="1:1" hidden="1">
      <c r="A441" s="74" t="str">
        <f t="shared" si="6"/>
        <v/>
      </c>
    </row>
    <row r="442" spans="1:1" hidden="1">
      <c r="A442" s="74" t="str">
        <f t="shared" si="6"/>
        <v/>
      </c>
    </row>
    <row r="443" spans="1:1" hidden="1">
      <c r="A443" s="74" t="str">
        <f t="shared" si="6"/>
        <v/>
      </c>
    </row>
    <row r="444" spans="1:1" hidden="1">
      <c r="A444" s="74" t="str">
        <f t="shared" si="6"/>
        <v/>
      </c>
    </row>
    <row r="445" spans="1:1" hidden="1">
      <c r="A445" s="74" t="str">
        <f t="shared" si="6"/>
        <v/>
      </c>
    </row>
    <row r="446" spans="1:1" hidden="1">
      <c r="A446" s="74" t="str">
        <f t="shared" si="6"/>
        <v/>
      </c>
    </row>
    <row r="447" spans="1:1" hidden="1">
      <c r="A447" s="74" t="str">
        <f t="shared" ref="A447:A487" si="7">H447&amp;J447&amp;L447&amp;M447&amp;P447</f>
        <v/>
      </c>
    </row>
    <row r="448" spans="1:1" hidden="1">
      <c r="A448" s="74" t="str">
        <f t="shared" si="7"/>
        <v/>
      </c>
    </row>
    <row r="449" spans="1:1" hidden="1">
      <c r="A449" s="74" t="str">
        <f t="shared" si="7"/>
        <v/>
      </c>
    </row>
    <row r="450" spans="1:1" hidden="1">
      <c r="A450" s="74" t="str">
        <f t="shared" si="7"/>
        <v/>
      </c>
    </row>
    <row r="451" spans="1:1" hidden="1">
      <c r="A451" s="74" t="str">
        <f t="shared" si="7"/>
        <v/>
      </c>
    </row>
    <row r="452" spans="1:1" hidden="1">
      <c r="A452" s="74" t="str">
        <f t="shared" si="7"/>
        <v/>
      </c>
    </row>
    <row r="453" spans="1:1" hidden="1">
      <c r="A453" s="74" t="str">
        <f t="shared" si="7"/>
        <v/>
      </c>
    </row>
    <row r="454" spans="1:1" hidden="1">
      <c r="A454" s="74" t="str">
        <f t="shared" si="7"/>
        <v/>
      </c>
    </row>
    <row r="455" spans="1:1" hidden="1">
      <c r="A455" s="74" t="str">
        <f t="shared" si="7"/>
        <v/>
      </c>
    </row>
    <row r="456" spans="1:1" hidden="1">
      <c r="A456" s="74" t="str">
        <f t="shared" si="7"/>
        <v/>
      </c>
    </row>
    <row r="457" spans="1:1" hidden="1">
      <c r="A457" s="74" t="str">
        <f t="shared" si="7"/>
        <v/>
      </c>
    </row>
    <row r="458" spans="1:1" hidden="1">
      <c r="A458" s="74" t="str">
        <f t="shared" si="7"/>
        <v/>
      </c>
    </row>
    <row r="459" spans="1:1" hidden="1">
      <c r="A459" s="74" t="str">
        <f t="shared" si="7"/>
        <v/>
      </c>
    </row>
    <row r="460" spans="1:1" hidden="1">
      <c r="A460" s="74" t="str">
        <f t="shared" si="7"/>
        <v/>
      </c>
    </row>
    <row r="461" spans="1:1" hidden="1">
      <c r="A461" s="74" t="str">
        <f t="shared" si="7"/>
        <v/>
      </c>
    </row>
    <row r="462" spans="1:1" hidden="1">
      <c r="A462" s="74" t="str">
        <f t="shared" si="7"/>
        <v/>
      </c>
    </row>
    <row r="463" spans="1:1" hidden="1">
      <c r="A463" s="74" t="str">
        <f t="shared" si="7"/>
        <v/>
      </c>
    </row>
    <row r="464" spans="1:1" hidden="1">
      <c r="A464" s="74" t="str">
        <f t="shared" si="7"/>
        <v/>
      </c>
    </row>
    <row r="465" spans="1:1" hidden="1">
      <c r="A465" s="74" t="str">
        <f t="shared" si="7"/>
        <v/>
      </c>
    </row>
    <row r="466" spans="1:1" hidden="1">
      <c r="A466" s="74" t="str">
        <f t="shared" si="7"/>
        <v/>
      </c>
    </row>
    <row r="467" spans="1:1" hidden="1">
      <c r="A467" s="74" t="str">
        <f t="shared" si="7"/>
        <v/>
      </c>
    </row>
    <row r="468" spans="1:1" hidden="1">
      <c r="A468" s="74" t="str">
        <f t="shared" si="7"/>
        <v/>
      </c>
    </row>
    <row r="469" spans="1:1" hidden="1">
      <c r="A469" s="74" t="str">
        <f t="shared" si="7"/>
        <v/>
      </c>
    </row>
    <row r="470" spans="1:1" hidden="1">
      <c r="A470" s="74" t="str">
        <f t="shared" si="7"/>
        <v/>
      </c>
    </row>
    <row r="471" spans="1:1" hidden="1">
      <c r="A471" s="74" t="str">
        <f t="shared" si="7"/>
        <v/>
      </c>
    </row>
    <row r="472" spans="1:1" hidden="1">
      <c r="A472" s="74" t="str">
        <f t="shared" si="7"/>
        <v/>
      </c>
    </row>
    <row r="473" spans="1:1" hidden="1">
      <c r="A473" s="74" t="str">
        <f t="shared" si="7"/>
        <v/>
      </c>
    </row>
    <row r="474" spans="1:1" hidden="1">
      <c r="A474" s="74" t="str">
        <f t="shared" si="7"/>
        <v/>
      </c>
    </row>
    <row r="475" spans="1:1" hidden="1">
      <c r="A475" s="74" t="str">
        <f t="shared" si="7"/>
        <v/>
      </c>
    </row>
    <row r="476" spans="1:1" hidden="1">
      <c r="A476" s="74" t="str">
        <f t="shared" si="7"/>
        <v/>
      </c>
    </row>
    <row r="477" spans="1:1" hidden="1">
      <c r="A477" s="74" t="str">
        <f t="shared" si="7"/>
        <v/>
      </c>
    </row>
    <row r="478" spans="1:1" hidden="1">
      <c r="A478" s="74" t="str">
        <f t="shared" si="7"/>
        <v/>
      </c>
    </row>
    <row r="479" spans="1:1" hidden="1">
      <c r="A479" s="74" t="str">
        <f t="shared" si="7"/>
        <v/>
      </c>
    </row>
    <row r="480" spans="1:1" hidden="1">
      <c r="A480" s="74" t="str">
        <f t="shared" si="7"/>
        <v/>
      </c>
    </row>
    <row r="481" spans="1:1" hidden="1">
      <c r="A481" s="74" t="str">
        <f t="shared" si="7"/>
        <v/>
      </c>
    </row>
    <row r="482" spans="1:1" hidden="1">
      <c r="A482" s="74" t="str">
        <f t="shared" si="7"/>
        <v/>
      </c>
    </row>
    <row r="483" spans="1:1" hidden="1">
      <c r="A483" s="74" t="str">
        <f t="shared" si="7"/>
        <v/>
      </c>
    </row>
    <row r="484" spans="1:1" hidden="1">
      <c r="A484" s="74" t="str">
        <f t="shared" si="7"/>
        <v/>
      </c>
    </row>
    <row r="485" spans="1:1" hidden="1">
      <c r="A485" s="74" t="str">
        <f t="shared" si="7"/>
        <v/>
      </c>
    </row>
    <row r="486" spans="1:1" hidden="1">
      <c r="A486" s="74" t="str">
        <f t="shared" si="7"/>
        <v/>
      </c>
    </row>
    <row r="487" spans="1:1" hidden="1">
      <c r="A487" s="74" t="str">
        <f t="shared" si="7"/>
        <v/>
      </c>
    </row>
  </sheetData>
  <autoFilter ref="A1:R487">
    <filterColumn colId="8">
      <filters>
        <filter val="DTY/白"/>
        <filter val="DTY/白丝"/>
      </filters>
    </filterColumn>
    <filterColumn colId="9">
      <filters>
        <filter val="DTY圆机丝"/>
      </filters>
    </filterColumn>
  </autoFilter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4"/>
  <dimension ref="A1:L131"/>
  <sheetViews>
    <sheetView workbookViewId="0">
      <selection activeCell="B7" sqref="B7"/>
    </sheetView>
  </sheetViews>
  <sheetFormatPr defaultRowHeight="13.5"/>
  <cols>
    <col min="1" max="1" width="19.125" bestFit="1" customWidth="1"/>
    <col min="2" max="2" width="15.5" bestFit="1" customWidth="1"/>
    <col min="3" max="3" width="16.625" bestFit="1" customWidth="1"/>
    <col min="4" max="4" width="13" bestFit="1" customWidth="1"/>
    <col min="6" max="6" width="13.875" bestFit="1" customWidth="1"/>
    <col min="7" max="7" width="20.625" bestFit="1" customWidth="1"/>
    <col min="8" max="8" width="10.5" bestFit="1" customWidth="1"/>
    <col min="9" max="9" width="11" bestFit="1" customWidth="1"/>
    <col min="10" max="11" width="13.5" bestFit="1" customWidth="1"/>
    <col min="12" max="12" width="11.125" bestFit="1" customWidth="1"/>
    <col min="13" max="13" width="8.375" bestFit="1" customWidth="1"/>
  </cols>
  <sheetData>
    <row r="1" spans="1:6">
      <c r="A1" s="29" t="s">
        <v>132</v>
      </c>
    </row>
    <row r="2" spans="1:6">
      <c r="A2" s="1" t="s">
        <v>126</v>
      </c>
      <c r="B2" s="1" t="s">
        <v>133</v>
      </c>
      <c r="C2" s="77" t="s">
        <v>1067</v>
      </c>
      <c r="D2" s="51" t="s">
        <v>839</v>
      </c>
      <c r="E2" s="77"/>
      <c r="F2" s="1" t="s">
        <v>838</v>
      </c>
    </row>
    <row r="3" spans="1:6">
      <c r="A3" s="1" t="s">
        <v>134</v>
      </c>
      <c r="B3" s="1" t="s">
        <v>135</v>
      </c>
      <c r="C3" s="77" t="s">
        <v>874</v>
      </c>
      <c r="D3" s="77"/>
      <c r="E3" s="77"/>
      <c r="F3" s="1" t="s">
        <v>368</v>
      </c>
    </row>
    <row r="4" spans="1:6">
      <c r="A4" s="1" t="s">
        <v>136</v>
      </c>
      <c r="B4" s="1" t="s">
        <v>137</v>
      </c>
      <c r="C4" s="77" t="s">
        <v>867</v>
      </c>
      <c r="D4" s="206" t="s">
        <v>2278</v>
      </c>
      <c r="E4" s="77"/>
      <c r="F4" s="1" t="s">
        <v>596</v>
      </c>
    </row>
    <row r="5" spans="1:6">
      <c r="A5" s="1" t="s">
        <v>138</v>
      </c>
      <c r="B5" s="1" t="s">
        <v>139</v>
      </c>
      <c r="C5" s="77" t="s">
        <v>891</v>
      </c>
      <c r="D5" s="77" t="s">
        <v>862</v>
      </c>
      <c r="E5" s="77"/>
      <c r="F5" s="1" t="s">
        <v>606</v>
      </c>
    </row>
    <row r="6" spans="1:6">
      <c r="A6" s="1" t="s">
        <v>140</v>
      </c>
      <c r="B6" s="1" t="s">
        <v>141</v>
      </c>
      <c r="C6" s="77" t="s">
        <v>857</v>
      </c>
      <c r="D6" s="77"/>
      <c r="E6" s="77"/>
      <c r="F6" s="1" t="s">
        <v>879</v>
      </c>
    </row>
    <row r="7" spans="1:6">
      <c r="A7" s="1" t="s">
        <v>142</v>
      </c>
      <c r="B7" s="1" t="s">
        <v>143</v>
      </c>
      <c r="C7" s="77" t="s">
        <v>858</v>
      </c>
      <c r="D7" s="77"/>
      <c r="E7" s="77"/>
      <c r="F7" s="1" t="s">
        <v>381</v>
      </c>
    </row>
    <row r="8" spans="1:6">
      <c r="A8" s="1" t="s">
        <v>144</v>
      </c>
      <c r="B8" s="1" t="s">
        <v>145</v>
      </c>
      <c r="C8" s="77" t="s">
        <v>859</v>
      </c>
      <c r="D8" s="77"/>
      <c r="E8" s="77"/>
      <c r="F8" s="1" t="s">
        <v>391</v>
      </c>
    </row>
    <row r="9" spans="1:6">
      <c r="A9" s="1" t="s">
        <v>146</v>
      </c>
      <c r="B9" s="1" t="s">
        <v>147</v>
      </c>
      <c r="C9" s="77" t="s">
        <v>876</v>
      </c>
      <c r="D9" s="77"/>
      <c r="E9" s="77"/>
      <c r="F9" s="1" t="s">
        <v>892</v>
      </c>
    </row>
    <row r="10" spans="1:6">
      <c r="A10" s="1" t="s">
        <v>148</v>
      </c>
      <c r="B10" s="1" t="s">
        <v>149</v>
      </c>
      <c r="C10" s="77" t="s">
        <v>877</v>
      </c>
      <c r="D10" s="77" t="s">
        <v>849</v>
      </c>
      <c r="E10" s="77"/>
      <c r="F10" s="1" t="s">
        <v>404</v>
      </c>
    </row>
    <row r="11" spans="1:6">
      <c r="A11" s="1" t="s">
        <v>150</v>
      </c>
      <c r="B11" s="177" t="s">
        <v>2217</v>
      </c>
      <c r="C11" s="77" t="s">
        <v>868</v>
      </c>
      <c r="D11" s="77" t="s">
        <v>862</v>
      </c>
      <c r="E11" s="77"/>
      <c r="F11" s="1" t="s">
        <v>408</v>
      </c>
    </row>
    <row r="12" spans="1:6">
      <c r="A12" s="1" t="s">
        <v>152</v>
      </c>
      <c r="B12" s="177" t="s">
        <v>2218</v>
      </c>
      <c r="C12" s="77" t="s">
        <v>873</v>
      </c>
      <c r="D12" s="77"/>
      <c r="E12" s="77"/>
      <c r="F12" s="1" t="s">
        <v>437</v>
      </c>
    </row>
    <row r="13" spans="1:6">
      <c r="A13" s="1" t="s">
        <v>154</v>
      </c>
      <c r="B13" s="1" t="s">
        <v>155</v>
      </c>
      <c r="C13" s="77" t="s">
        <v>878</v>
      </c>
      <c r="D13" s="77"/>
      <c r="E13" s="77"/>
      <c r="F13" s="1" t="s">
        <v>441</v>
      </c>
    </row>
    <row r="14" spans="1:6">
      <c r="A14" s="1" t="s">
        <v>156</v>
      </c>
      <c r="B14" s="1" t="s">
        <v>157</v>
      </c>
      <c r="C14" s="77" t="s">
        <v>861</v>
      </c>
      <c r="D14" s="77" t="s">
        <v>862</v>
      </c>
      <c r="E14" s="77"/>
      <c r="F14" s="1" t="s">
        <v>447</v>
      </c>
    </row>
    <row r="15" spans="1:6">
      <c r="A15" s="1" t="s">
        <v>158</v>
      </c>
      <c r="B15" s="177" t="s">
        <v>2220</v>
      </c>
      <c r="C15" s="77" t="s">
        <v>885</v>
      </c>
      <c r="D15" s="77" t="s">
        <v>862</v>
      </c>
      <c r="E15" s="77"/>
      <c r="F15" s="1" t="s">
        <v>350</v>
      </c>
    </row>
    <row r="16" spans="1:6">
      <c r="B16" s="1" t="s">
        <v>160</v>
      </c>
      <c r="C16" s="77" t="s">
        <v>863</v>
      </c>
      <c r="D16" s="77" t="s">
        <v>862</v>
      </c>
      <c r="E16" s="77"/>
      <c r="F16" s="1" t="s">
        <v>886</v>
      </c>
    </row>
    <row r="17" spans="2:8">
      <c r="B17" s="1" t="s">
        <v>161</v>
      </c>
      <c r="C17" s="77" t="s">
        <v>850</v>
      </c>
      <c r="D17" s="77" t="s">
        <v>849</v>
      </c>
      <c r="E17" s="77"/>
      <c r="F17" s="1" t="s">
        <v>888</v>
      </c>
    </row>
    <row r="18" spans="2:8">
      <c r="B18" s="1" t="s">
        <v>162</v>
      </c>
      <c r="C18" s="77" t="s">
        <v>848</v>
      </c>
      <c r="D18" s="77" t="s">
        <v>849</v>
      </c>
      <c r="E18" s="77"/>
      <c r="F18" s="1" t="s">
        <v>452</v>
      </c>
    </row>
    <row r="19" spans="2:8">
      <c r="B19" s="177" t="s">
        <v>2215</v>
      </c>
      <c r="C19" s="77" t="s">
        <v>852</v>
      </c>
      <c r="D19" s="77" t="s">
        <v>849</v>
      </c>
      <c r="F19" s="77" t="s">
        <v>455</v>
      </c>
      <c r="H19" s="99"/>
    </row>
    <row r="20" spans="2:8">
      <c r="B20" s="206" t="s">
        <v>2461</v>
      </c>
      <c r="C20" s="77" t="s">
        <v>865</v>
      </c>
      <c r="D20" s="77" t="s">
        <v>862</v>
      </c>
      <c r="F20" s="77" t="s">
        <v>869</v>
      </c>
      <c r="H20" s="99"/>
    </row>
    <row r="21" spans="2:8">
      <c r="B21" s="206" t="s">
        <v>2464</v>
      </c>
      <c r="C21" s="77" t="s">
        <v>871</v>
      </c>
      <c r="D21" s="177" t="s">
        <v>2212</v>
      </c>
      <c r="F21" s="77" t="s">
        <v>460</v>
      </c>
      <c r="H21" s="99"/>
    </row>
    <row r="22" spans="2:8">
      <c r="B22" s="250" t="s">
        <v>3135</v>
      </c>
      <c r="C22" s="77" t="s">
        <v>860</v>
      </c>
      <c r="F22" s="77" t="s">
        <v>566</v>
      </c>
      <c r="H22" s="99"/>
    </row>
    <row r="23" spans="2:8">
      <c r="C23" s="77" t="s">
        <v>854</v>
      </c>
      <c r="H23" s="99"/>
    </row>
    <row r="24" spans="2:8">
      <c r="C24" s="77" t="s">
        <v>856</v>
      </c>
      <c r="D24" s="77" t="s">
        <v>849</v>
      </c>
      <c r="H24" s="99"/>
    </row>
    <row r="25" spans="2:8">
      <c r="C25" s="77" t="s">
        <v>872</v>
      </c>
      <c r="D25" s="77" t="s">
        <v>849</v>
      </c>
      <c r="H25" s="99"/>
    </row>
    <row r="26" spans="2:8">
      <c r="C26" s="77" t="s">
        <v>866</v>
      </c>
      <c r="D26" s="77" t="s">
        <v>862</v>
      </c>
      <c r="H26" s="99"/>
    </row>
    <row r="27" spans="2:8">
      <c r="C27" s="77"/>
      <c r="H27" s="99"/>
    </row>
    <row r="28" spans="2:8">
      <c r="C28" s="77"/>
      <c r="H28" s="99"/>
    </row>
    <row r="29" spans="2:8">
      <c r="C29" s="77"/>
      <c r="H29" s="99"/>
    </row>
    <row r="30" spans="2:8">
      <c r="C30" s="77"/>
      <c r="H30" s="99"/>
    </row>
    <row r="31" spans="2:8">
      <c r="H31" s="99"/>
    </row>
    <row r="33" spans="1:12">
      <c r="A33" s="29" t="s">
        <v>163</v>
      </c>
    </row>
    <row r="34" spans="1:12">
      <c r="A34" s="1" t="s">
        <v>164</v>
      </c>
      <c r="B34" s="1" t="s">
        <v>165</v>
      </c>
      <c r="C34" s="51" t="s">
        <v>970</v>
      </c>
      <c r="D34" s="51" t="s">
        <v>971</v>
      </c>
      <c r="E34" s="51" t="s">
        <v>969</v>
      </c>
      <c r="F34" s="177" t="s">
        <v>1635</v>
      </c>
      <c r="G34" s="2" t="s">
        <v>2480</v>
      </c>
      <c r="H34" s="99"/>
      <c r="I34" s="1" t="s">
        <v>236</v>
      </c>
      <c r="J34" s="27" t="s">
        <v>773</v>
      </c>
      <c r="L34" s="75" t="s">
        <v>1052</v>
      </c>
    </row>
    <row r="35" spans="1:12">
      <c r="A35" s="1" t="s">
        <v>181</v>
      </c>
      <c r="B35" s="1">
        <v>32</v>
      </c>
      <c r="C35" s="1">
        <v>33</v>
      </c>
      <c r="D35" s="1">
        <v>150</v>
      </c>
      <c r="E35" s="1" t="s">
        <v>168</v>
      </c>
      <c r="F35" s="86" t="s">
        <v>238</v>
      </c>
      <c r="G35" s="206" t="s">
        <v>187</v>
      </c>
      <c r="H35" s="99" t="s">
        <v>17</v>
      </c>
      <c r="I35" s="1" t="s">
        <v>130</v>
      </c>
      <c r="K35" s="27" t="s">
        <v>1026</v>
      </c>
      <c r="L35" s="27" t="s">
        <v>1037</v>
      </c>
    </row>
    <row r="36" spans="1:12">
      <c r="A36" s="1" t="s">
        <v>183</v>
      </c>
      <c r="B36" s="1">
        <v>35</v>
      </c>
      <c r="C36" s="1">
        <v>36</v>
      </c>
      <c r="D36" s="1">
        <v>151</v>
      </c>
      <c r="E36" s="1" t="s">
        <v>170</v>
      </c>
      <c r="F36" s="86" t="s">
        <v>734</v>
      </c>
      <c r="G36" s="206" t="s">
        <v>187</v>
      </c>
      <c r="H36" s="99" t="s">
        <v>24</v>
      </c>
      <c r="I36" s="1" t="s">
        <v>237</v>
      </c>
      <c r="K36" s="27" t="s">
        <v>1027</v>
      </c>
      <c r="L36" s="27" t="s">
        <v>1037</v>
      </c>
    </row>
    <row r="37" spans="1:12">
      <c r="A37" s="1" t="s">
        <v>185</v>
      </c>
      <c r="B37" s="1">
        <v>39</v>
      </c>
      <c r="C37" s="1">
        <v>38</v>
      </c>
      <c r="D37" s="1">
        <v>152</v>
      </c>
      <c r="E37" s="1" t="s">
        <v>1</v>
      </c>
      <c r="F37" s="86" t="s">
        <v>2475</v>
      </c>
      <c r="G37" s="206" t="s">
        <v>187</v>
      </c>
      <c r="H37" s="99" t="s">
        <v>36</v>
      </c>
      <c r="K37" s="27" t="s">
        <v>1038</v>
      </c>
      <c r="L37" s="27" t="s">
        <v>1037</v>
      </c>
    </row>
    <row r="38" spans="1:12">
      <c r="A38" s="1" t="s">
        <v>187</v>
      </c>
      <c r="B38" s="1">
        <v>42</v>
      </c>
      <c r="C38" s="1">
        <v>39</v>
      </c>
      <c r="D38" s="1">
        <v>156</v>
      </c>
      <c r="E38" s="1" t="s">
        <v>173</v>
      </c>
      <c r="F38" s="86" t="s">
        <v>735</v>
      </c>
      <c r="G38" s="2"/>
      <c r="H38" s="99" t="s">
        <v>41</v>
      </c>
      <c r="K38" s="27" t="s">
        <v>1039</v>
      </c>
      <c r="L38" s="27" t="s">
        <v>1037</v>
      </c>
    </row>
    <row r="39" spans="1:12">
      <c r="A39" s="1" t="s">
        <v>189</v>
      </c>
      <c r="B39" s="1">
        <v>45</v>
      </c>
      <c r="C39" s="1">
        <v>40</v>
      </c>
      <c r="D39" s="1">
        <v>157</v>
      </c>
      <c r="E39" s="1" t="s">
        <v>175</v>
      </c>
      <c r="F39" s="86" t="s">
        <v>120</v>
      </c>
      <c r="G39" s="206" t="s">
        <v>187</v>
      </c>
      <c r="H39" s="99" t="s">
        <v>46</v>
      </c>
      <c r="K39" s="27" t="s">
        <v>1040</v>
      </c>
      <c r="L39" s="27" t="s">
        <v>1037</v>
      </c>
    </row>
    <row r="40" spans="1:12">
      <c r="A40" s="1" t="s">
        <v>190</v>
      </c>
      <c r="B40" s="1">
        <v>48</v>
      </c>
      <c r="C40" s="1">
        <v>42</v>
      </c>
      <c r="D40" s="1">
        <v>157.5</v>
      </c>
      <c r="E40" s="1" t="s">
        <v>177</v>
      </c>
      <c r="F40" s="86" t="s">
        <v>35</v>
      </c>
      <c r="G40" s="2" t="s">
        <v>181</v>
      </c>
      <c r="H40" s="99" t="s">
        <v>50</v>
      </c>
      <c r="K40" s="27" t="s">
        <v>1144</v>
      </c>
      <c r="L40" s="27" t="s">
        <v>1145</v>
      </c>
    </row>
    <row r="41" spans="1:12">
      <c r="A41" s="1" t="s">
        <v>191</v>
      </c>
      <c r="C41" s="1">
        <v>49</v>
      </c>
      <c r="D41" s="1">
        <v>158</v>
      </c>
      <c r="E41" s="1" t="s">
        <v>44</v>
      </c>
      <c r="F41" s="86" t="s">
        <v>736</v>
      </c>
      <c r="G41" s="2" t="s">
        <v>181</v>
      </c>
      <c r="H41" s="99" t="s">
        <v>39</v>
      </c>
      <c r="K41" s="27" t="s">
        <v>1041</v>
      </c>
      <c r="L41" s="27" t="s">
        <v>1037</v>
      </c>
    </row>
    <row r="42" spans="1:12">
      <c r="A42" s="1" t="s">
        <v>192</v>
      </c>
      <c r="C42" s="1">
        <v>50</v>
      </c>
      <c r="D42" s="1">
        <v>159</v>
      </c>
      <c r="E42" s="1" t="s">
        <v>180</v>
      </c>
      <c r="F42" s="86" t="s">
        <v>45</v>
      </c>
      <c r="G42" s="2" t="s">
        <v>181</v>
      </c>
      <c r="H42" s="99" t="s">
        <v>55</v>
      </c>
      <c r="K42" s="27" t="s">
        <v>2491</v>
      </c>
      <c r="L42" s="27" t="s">
        <v>965</v>
      </c>
    </row>
    <row r="43" spans="1:12">
      <c r="A43" s="99"/>
      <c r="C43" s="1">
        <v>51</v>
      </c>
      <c r="D43" s="1">
        <v>160</v>
      </c>
      <c r="E43" s="1" t="s">
        <v>182</v>
      </c>
      <c r="F43" s="86" t="s">
        <v>2254</v>
      </c>
      <c r="G43" s="2" t="s">
        <v>181</v>
      </c>
      <c r="H43" s="99" t="s">
        <v>59</v>
      </c>
      <c r="K43" s="27" t="s">
        <v>1028</v>
      </c>
      <c r="L43" s="27" t="s">
        <v>965</v>
      </c>
    </row>
    <row r="44" spans="1:12">
      <c r="A44" s="99"/>
      <c r="C44" s="1">
        <v>54</v>
      </c>
      <c r="D44" s="1">
        <v>162</v>
      </c>
      <c r="E44" s="1" t="s">
        <v>184</v>
      </c>
      <c r="F44" s="86" t="s">
        <v>2935</v>
      </c>
      <c r="G44" s="2" t="s">
        <v>181</v>
      </c>
      <c r="H44" s="99" t="s">
        <v>62</v>
      </c>
      <c r="K44" s="27" t="s">
        <v>1491</v>
      </c>
      <c r="L44" s="27" t="s">
        <v>1049</v>
      </c>
    </row>
    <row r="45" spans="1:12">
      <c r="C45" s="1">
        <v>65</v>
      </c>
      <c r="D45" s="1">
        <v>172</v>
      </c>
      <c r="E45" s="1" t="s">
        <v>186</v>
      </c>
      <c r="F45" s="86" t="s">
        <v>122</v>
      </c>
      <c r="G45" s="206" t="s">
        <v>2292</v>
      </c>
      <c r="H45" s="99"/>
      <c r="K45" s="27" t="s">
        <v>1029</v>
      </c>
      <c r="L45" s="27" t="s">
        <v>1049</v>
      </c>
    </row>
    <row r="46" spans="1:12">
      <c r="E46" s="1" t="s">
        <v>188</v>
      </c>
      <c r="F46" s="86" t="s">
        <v>737</v>
      </c>
      <c r="G46" s="2" t="s">
        <v>181</v>
      </c>
      <c r="H46" s="99"/>
      <c r="K46" s="27" t="s">
        <v>1030</v>
      </c>
      <c r="L46" s="27" t="s">
        <v>1049</v>
      </c>
    </row>
    <row r="47" spans="1:12">
      <c r="F47" s="86" t="s">
        <v>116</v>
      </c>
      <c r="G47" s="206" t="s">
        <v>2292</v>
      </c>
      <c r="H47" s="99"/>
      <c r="K47" s="27" t="s">
        <v>1031</v>
      </c>
      <c r="L47" s="27" t="s">
        <v>1037</v>
      </c>
    </row>
    <row r="48" spans="1:12">
      <c r="F48" s="86" t="s">
        <v>738</v>
      </c>
      <c r="G48" s="2"/>
      <c r="H48" s="99"/>
      <c r="K48" s="27" t="s">
        <v>1032</v>
      </c>
      <c r="L48" s="27" t="s">
        <v>1049</v>
      </c>
    </row>
    <row r="49" spans="6:12">
      <c r="F49" s="86" t="s">
        <v>127</v>
      </c>
      <c r="G49" s="2"/>
      <c r="H49" s="99"/>
      <c r="K49" s="27" t="s">
        <v>1033</v>
      </c>
      <c r="L49" s="27" t="s">
        <v>1050</v>
      </c>
    </row>
    <row r="50" spans="6:12">
      <c r="F50" s="86" t="s">
        <v>70</v>
      </c>
      <c r="G50" s="2" t="s">
        <v>181</v>
      </c>
      <c r="H50" s="99"/>
      <c r="K50" s="27" t="s">
        <v>1034</v>
      </c>
      <c r="L50" s="27" t="s">
        <v>1051</v>
      </c>
    </row>
    <row r="51" spans="6:12">
      <c r="F51" s="86" t="s">
        <v>739</v>
      </c>
      <c r="G51" s="2"/>
      <c r="H51" s="99"/>
      <c r="K51" s="27" t="s">
        <v>1648</v>
      </c>
      <c r="L51" s="27" t="s">
        <v>1037</v>
      </c>
    </row>
    <row r="52" spans="6:12">
      <c r="F52" s="86" t="s">
        <v>740</v>
      </c>
      <c r="G52" s="2" t="s">
        <v>181</v>
      </c>
      <c r="H52" s="99"/>
      <c r="K52" s="27" t="s">
        <v>1035</v>
      </c>
      <c r="L52" s="27" t="s">
        <v>1049</v>
      </c>
    </row>
    <row r="53" spans="6:12">
      <c r="F53" s="86" t="s">
        <v>78</v>
      </c>
      <c r="G53" s="2" t="s">
        <v>181</v>
      </c>
      <c r="H53" s="99"/>
      <c r="K53" s="27" t="s">
        <v>1036</v>
      </c>
      <c r="L53" s="27" t="s">
        <v>1037</v>
      </c>
    </row>
    <row r="54" spans="6:12">
      <c r="F54" s="86" t="s">
        <v>79</v>
      </c>
      <c r="G54" s="2" t="s">
        <v>181</v>
      </c>
      <c r="H54" s="99"/>
      <c r="K54" s="27" t="s">
        <v>1042</v>
      </c>
      <c r="L54" s="27" t="s">
        <v>964</v>
      </c>
    </row>
    <row r="55" spans="6:12">
      <c r="F55" s="86" t="s">
        <v>80</v>
      </c>
      <c r="G55" s="206" t="s">
        <v>191</v>
      </c>
      <c r="H55" s="99"/>
      <c r="K55" s="27" t="s">
        <v>1043</v>
      </c>
      <c r="L55" s="27" t="s">
        <v>964</v>
      </c>
    </row>
    <row r="56" spans="6:12">
      <c r="F56" s="86" t="s">
        <v>741</v>
      </c>
      <c r="G56" s="206" t="s">
        <v>191</v>
      </c>
      <c r="H56" s="99"/>
      <c r="K56" s="27" t="s">
        <v>1044</v>
      </c>
      <c r="L56" s="27" t="s">
        <v>964</v>
      </c>
    </row>
    <row r="57" spans="6:12">
      <c r="F57" s="86" t="s">
        <v>742</v>
      </c>
      <c r="G57" s="2"/>
      <c r="H57" s="99"/>
      <c r="K57" s="27" t="s">
        <v>1045</v>
      </c>
      <c r="L57" s="27"/>
    </row>
    <row r="58" spans="6:12">
      <c r="F58" s="86" t="s">
        <v>83</v>
      </c>
      <c r="G58" s="206" t="s">
        <v>2253</v>
      </c>
      <c r="H58" s="99"/>
      <c r="K58" s="27" t="s">
        <v>2221</v>
      </c>
      <c r="L58" s="27" t="s">
        <v>965</v>
      </c>
    </row>
    <row r="59" spans="6:12">
      <c r="F59" s="86" t="s">
        <v>743</v>
      </c>
      <c r="G59" s="2"/>
      <c r="H59" s="99"/>
      <c r="K59" s="27" t="s">
        <v>1046</v>
      </c>
      <c r="L59" s="27" t="s">
        <v>966</v>
      </c>
    </row>
    <row r="60" spans="6:12">
      <c r="F60" s="86" t="s">
        <v>128</v>
      </c>
      <c r="G60" s="2" t="s">
        <v>181</v>
      </c>
      <c r="H60" s="99"/>
      <c r="K60" s="27" t="s">
        <v>1047</v>
      </c>
      <c r="L60" s="27" t="s">
        <v>1037</v>
      </c>
    </row>
    <row r="61" spans="6:12">
      <c r="F61" s="86" t="s">
        <v>123</v>
      </c>
      <c r="G61" s="177" t="s">
        <v>190</v>
      </c>
      <c r="H61" s="99"/>
      <c r="K61" s="27" t="s">
        <v>1048</v>
      </c>
      <c r="L61" s="27" t="s">
        <v>965</v>
      </c>
    </row>
    <row r="62" spans="6:12">
      <c r="F62" s="86" t="s">
        <v>744</v>
      </c>
      <c r="G62" s="2"/>
      <c r="H62" s="99"/>
      <c r="K62" s="27" t="s">
        <v>1647</v>
      </c>
      <c r="L62" s="27" t="s">
        <v>966</v>
      </c>
    </row>
    <row r="63" spans="6:12">
      <c r="F63" s="86" t="s">
        <v>745</v>
      </c>
      <c r="G63" s="2"/>
      <c r="H63" s="99"/>
      <c r="K63" s="27" t="s">
        <v>2473</v>
      </c>
      <c r="L63" s="27" t="s">
        <v>965</v>
      </c>
    </row>
    <row r="64" spans="6:12">
      <c r="F64" s="86" t="s">
        <v>129</v>
      </c>
      <c r="G64" s="2" t="s">
        <v>183</v>
      </c>
      <c r="H64" s="99"/>
      <c r="K64" s="27" t="s">
        <v>2878</v>
      </c>
      <c r="L64" s="27" t="s">
        <v>965</v>
      </c>
    </row>
    <row r="65" spans="1:9">
      <c r="F65" s="86" t="s">
        <v>746</v>
      </c>
      <c r="G65" s="2" t="s">
        <v>183</v>
      </c>
      <c r="H65" s="99"/>
    </row>
    <row r="66" spans="1:9">
      <c r="F66" s="86" t="s">
        <v>747</v>
      </c>
      <c r="G66" s="2"/>
      <c r="H66" s="99"/>
    </row>
    <row r="67" spans="1:9">
      <c r="F67" s="86" t="s">
        <v>2880</v>
      </c>
      <c r="G67" s="2" t="s">
        <v>181</v>
      </c>
      <c r="H67" s="86"/>
    </row>
    <row r="68" spans="1:9">
      <c r="F68" s="86" t="s">
        <v>2306</v>
      </c>
      <c r="G68" s="2" t="s">
        <v>181</v>
      </c>
      <c r="H68" s="99"/>
    </row>
    <row r="69" spans="1:9">
      <c r="F69" s="86" t="s">
        <v>104</v>
      </c>
      <c r="G69" s="206" t="s">
        <v>190</v>
      </c>
      <c r="H69" s="99"/>
    </row>
    <row r="70" spans="1:9">
      <c r="F70" s="86" t="s">
        <v>749</v>
      </c>
      <c r="G70" s="2" t="s">
        <v>2252</v>
      </c>
      <c r="H70" s="99"/>
    </row>
    <row r="71" spans="1:9">
      <c r="F71" s="86" t="s">
        <v>1482</v>
      </c>
      <c r="G71" s="206" t="s">
        <v>185</v>
      </c>
      <c r="H71" s="99"/>
    </row>
    <row r="72" spans="1:9">
      <c r="F72" s="86" t="s">
        <v>750</v>
      </c>
      <c r="G72" s="2"/>
      <c r="H72" s="2"/>
      <c r="I72" s="99"/>
    </row>
    <row r="73" spans="1:9">
      <c r="F73" s="86" t="s">
        <v>2578</v>
      </c>
      <c r="G73" s="2" t="s">
        <v>181</v>
      </c>
    </row>
    <row r="74" spans="1:9">
      <c r="F74" s="86" t="s">
        <v>1644</v>
      </c>
      <c r="G74" s="206" t="s">
        <v>190</v>
      </c>
    </row>
    <row r="75" spans="1:9">
      <c r="F75" s="86" t="s">
        <v>2472</v>
      </c>
      <c r="G75" s="2" t="s">
        <v>181</v>
      </c>
    </row>
    <row r="76" spans="1:9">
      <c r="F76" s="86" t="s">
        <v>2968</v>
      </c>
      <c r="G76" s="2" t="s">
        <v>181</v>
      </c>
    </row>
    <row r="79" spans="1:9">
      <c r="A79" s="29" t="s">
        <v>193</v>
      </c>
    </row>
    <row r="80" spans="1:9">
      <c r="A80" s="1" t="s">
        <v>769</v>
      </c>
      <c r="B80" s="1" t="s">
        <v>770</v>
      </c>
      <c r="C80" s="1" t="s">
        <v>771</v>
      </c>
      <c r="D80" s="1" t="s">
        <v>772</v>
      </c>
      <c r="E80" s="82" t="s">
        <v>1079</v>
      </c>
      <c r="H80" s="99"/>
    </row>
    <row r="81" spans="1:8">
      <c r="A81" s="82" t="s">
        <v>1069</v>
      </c>
      <c r="B81" s="82">
        <v>10</v>
      </c>
      <c r="C81" s="82">
        <v>192</v>
      </c>
      <c r="D81" s="1" t="s">
        <v>188</v>
      </c>
      <c r="E81" s="1" t="s">
        <v>387</v>
      </c>
      <c r="F81" s="2"/>
      <c r="H81" s="99"/>
    </row>
    <row r="82" spans="1:8">
      <c r="A82" s="82" t="s">
        <v>194</v>
      </c>
      <c r="B82" s="82">
        <v>13</v>
      </c>
      <c r="C82" s="30">
        <v>66</v>
      </c>
      <c r="D82" s="86" t="s">
        <v>1111</v>
      </c>
      <c r="E82" s="1" t="s">
        <v>287</v>
      </c>
      <c r="F82" s="94"/>
      <c r="H82" s="99"/>
    </row>
    <row r="83" spans="1:8">
      <c r="A83" s="82" t="s">
        <v>198</v>
      </c>
      <c r="B83" s="82">
        <v>15</v>
      </c>
      <c r="C83" s="82">
        <v>143</v>
      </c>
      <c r="D83" s="1" t="s">
        <v>197</v>
      </c>
      <c r="E83" s="1" t="s">
        <v>1075</v>
      </c>
      <c r="F83" s="94"/>
      <c r="H83" s="99"/>
    </row>
    <row r="84" spans="1:8">
      <c r="A84" s="82" t="s">
        <v>195</v>
      </c>
      <c r="B84" s="82">
        <v>17</v>
      </c>
      <c r="C84" s="82">
        <v>146</v>
      </c>
      <c r="D84" s="115">
        <v>0.33333333333333331</v>
      </c>
      <c r="E84" s="1" t="s">
        <v>1076</v>
      </c>
      <c r="F84" s="94"/>
      <c r="H84" s="99"/>
    </row>
    <row r="85" spans="1:8">
      <c r="A85" s="82" t="s">
        <v>1070</v>
      </c>
      <c r="B85" s="82">
        <v>20</v>
      </c>
      <c r="C85" s="82">
        <v>160</v>
      </c>
      <c r="E85" s="1" t="s">
        <v>282</v>
      </c>
      <c r="F85" s="94"/>
      <c r="H85" s="99"/>
    </row>
    <row r="86" spans="1:8">
      <c r="A86" s="82" t="s">
        <v>201</v>
      </c>
      <c r="B86" s="82">
        <v>23</v>
      </c>
      <c r="C86" s="82">
        <v>165</v>
      </c>
      <c r="D86" s="95"/>
      <c r="E86" s="1" t="s">
        <v>1077</v>
      </c>
      <c r="F86" s="94"/>
      <c r="H86" s="99"/>
    </row>
    <row r="87" spans="1:8">
      <c r="A87" s="82" t="s">
        <v>781</v>
      </c>
      <c r="B87" s="82">
        <v>31</v>
      </c>
      <c r="C87" s="82">
        <v>173</v>
      </c>
      <c r="E87" s="1" t="s">
        <v>1078</v>
      </c>
      <c r="F87" s="94"/>
      <c r="H87" s="99"/>
    </row>
    <row r="88" spans="1:8">
      <c r="A88" s="82" t="s">
        <v>1071</v>
      </c>
      <c r="B88" s="82">
        <v>35</v>
      </c>
      <c r="C88" s="82">
        <v>180</v>
      </c>
      <c r="F88" s="94"/>
      <c r="H88" s="99"/>
    </row>
    <row r="89" spans="1:8">
      <c r="A89" s="82" t="s">
        <v>1073</v>
      </c>
      <c r="B89" s="82">
        <v>37</v>
      </c>
      <c r="C89" s="82">
        <v>188</v>
      </c>
      <c r="F89" s="94"/>
      <c r="H89" s="99"/>
    </row>
    <row r="90" spans="1:8">
      <c r="A90" s="82" t="s">
        <v>203</v>
      </c>
      <c r="B90" s="82">
        <v>40</v>
      </c>
      <c r="C90" s="82">
        <v>189</v>
      </c>
      <c r="F90" s="94"/>
      <c r="H90" s="99"/>
    </row>
    <row r="91" spans="1:8">
      <c r="A91" s="82" t="s">
        <v>205</v>
      </c>
      <c r="B91" s="82">
        <v>43</v>
      </c>
      <c r="C91" s="82">
        <v>190</v>
      </c>
      <c r="F91" s="94"/>
      <c r="H91" s="99"/>
    </row>
    <row r="92" spans="1:8">
      <c r="A92" s="82" t="s">
        <v>206</v>
      </c>
      <c r="B92" s="82">
        <v>44</v>
      </c>
      <c r="C92" s="82">
        <v>190.5</v>
      </c>
      <c r="F92" s="94"/>
      <c r="H92" s="99"/>
    </row>
    <row r="93" spans="1:8">
      <c r="A93" s="82" t="s">
        <v>208</v>
      </c>
      <c r="B93" s="82">
        <v>45</v>
      </c>
      <c r="C93" s="82">
        <v>191</v>
      </c>
      <c r="F93" s="94"/>
      <c r="H93" s="99"/>
    </row>
    <row r="94" spans="1:8">
      <c r="A94" s="82" t="s">
        <v>211</v>
      </c>
      <c r="B94" s="82">
        <v>47</v>
      </c>
      <c r="C94" s="82">
        <v>193</v>
      </c>
      <c r="F94" s="94"/>
      <c r="H94" s="99"/>
    </row>
    <row r="95" spans="1:8">
      <c r="A95" s="82" t="s">
        <v>212</v>
      </c>
      <c r="B95" s="82">
        <v>50</v>
      </c>
      <c r="C95" s="82">
        <v>196</v>
      </c>
      <c r="F95" s="94"/>
      <c r="H95" s="99"/>
    </row>
    <row r="96" spans="1:8">
      <c r="A96" s="82" t="s">
        <v>209</v>
      </c>
      <c r="B96" s="82">
        <v>54</v>
      </c>
      <c r="C96" s="82">
        <v>197</v>
      </c>
      <c r="F96" s="94"/>
      <c r="H96" s="99"/>
    </row>
    <row r="97" spans="1:12">
      <c r="A97" s="82" t="s">
        <v>213</v>
      </c>
      <c r="B97" s="82">
        <v>58</v>
      </c>
      <c r="C97" s="82">
        <v>198</v>
      </c>
      <c r="F97" s="94"/>
      <c r="H97" s="99"/>
    </row>
    <row r="98" spans="1:12">
      <c r="A98" s="82" t="s">
        <v>216</v>
      </c>
      <c r="B98" s="82">
        <v>60</v>
      </c>
      <c r="C98" s="82">
        <v>200</v>
      </c>
      <c r="F98" s="94"/>
      <c r="H98" s="99"/>
    </row>
    <row r="99" spans="1:12">
      <c r="A99" s="82" t="s">
        <v>215</v>
      </c>
      <c r="B99" s="82">
        <v>62</v>
      </c>
      <c r="C99" s="82">
        <v>201</v>
      </c>
      <c r="F99" s="94"/>
      <c r="H99" s="99"/>
    </row>
    <row r="100" spans="1:12">
      <c r="A100" s="82" t="s">
        <v>1072</v>
      </c>
      <c r="B100" s="82">
        <v>65</v>
      </c>
      <c r="C100" s="82">
        <v>214</v>
      </c>
      <c r="F100" s="94"/>
      <c r="H100" s="99"/>
    </row>
    <row r="101" spans="1:12">
      <c r="A101" s="82" t="s">
        <v>217</v>
      </c>
      <c r="B101" s="82">
        <v>68</v>
      </c>
      <c r="C101" s="82">
        <v>220</v>
      </c>
      <c r="F101" s="94"/>
      <c r="H101" s="99"/>
    </row>
    <row r="102" spans="1:12">
      <c r="B102" s="82">
        <v>70</v>
      </c>
      <c r="C102" s="82" t="s">
        <v>207</v>
      </c>
      <c r="F102" s="94"/>
      <c r="H102" s="99"/>
    </row>
    <row r="103" spans="1:12">
      <c r="B103" s="82">
        <v>78</v>
      </c>
      <c r="C103" s="82" t="s">
        <v>199</v>
      </c>
      <c r="F103" s="94"/>
      <c r="H103" s="99"/>
    </row>
    <row r="104" spans="1:12">
      <c r="B104" s="82">
        <v>82</v>
      </c>
      <c r="C104" s="82" t="s">
        <v>221</v>
      </c>
      <c r="F104" s="94"/>
      <c r="H104" s="99"/>
    </row>
    <row r="105" spans="1:12">
      <c r="B105" s="82">
        <v>86</v>
      </c>
      <c r="C105" s="82" t="s">
        <v>220</v>
      </c>
      <c r="D105" s="1"/>
      <c r="F105" s="94"/>
      <c r="H105" s="99"/>
    </row>
    <row r="106" spans="1:12">
      <c r="B106" s="82">
        <v>96</v>
      </c>
      <c r="C106" s="82" t="s">
        <v>214</v>
      </c>
      <c r="D106" s="1"/>
      <c r="F106" s="94"/>
      <c r="H106" s="99"/>
      <c r="L106" s="1"/>
    </row>
    <row r="107" spans="1:12">
      <c r="B107" s="82">
        <v>106</v>
      </c>
      <c r="C107" s="82" t="s">
        <v>218</v>
      </c>
      <c r="F107" s="94"/>
      <c r="H107" s="99"/>
    </row>
    <row r="108" spans="1:12">
      <c r="B108" s="82">
        <v>116</v>
      </c>
      <c r="C108" s="82" t="s">
        <v>219</v>
      </c>
      <c r="F108" s="94"/>
      <c r="H108" s="99"/>
    </row>
    <row r="109" spans="1:12">
      <c r="B109" s="82">
        <v>126</v>
      </c>
      <c r="C109" s="82" t="s">
        <v>210</v>
      </c>
      <c r="F109" s="94"/>
      <c r="H109" s="99"/>
    </row>
    <row r="110" spans="1:12">
      <c r="B110" s="82">
        <v>135</v>
      </c>
      <c r="C110" s="82" t="s">
        <v>196</v>
      </c>
      <c r="F110" s="94"/>
      <c r="H110" s="99"/>
    </row>
    <row r="111" spans="1:12">
      <c r="B111" s="30">
        <v>5060</v>
      </c>
      <c r="C111" s="82" t="s">
        <v>204</v>
      </c>
      <c r="F111" s="94"/>
      <c r="H111" s="99"/>
    </row>
    <row r="112" spans="1:12">
      <c r="B112" s="30"/>
      <c r="C112" s="82" t="s">
        <v>202</v>
      </c>
      <c r="F112" s="94"/>
      <c r="H112" s="99"/>
    </row>
    <row r="113" spans="1:12">
      <c r="B113" s="30"/>
      <c r="C113" s="82" t="s">
        <v>1074</v>
      </c>
      <c r="F113" s="94"/>
      <c r="H113" s="99"/>
    </row>
    <row r="114" spans="1:12">
      <c r="B114" s="30"/>
      <c r="F114" s="94"/>
      <c r="H114" s="99"/>
    </row>
    <row r="115" spans="1:12">
      <c r="B115" s="30"/>
      <c r="F115" s="94"/>
      <c r="H115" s="99"/>
    </row>
    <row r="116" spans="1:12">
      <c r="B116" s="30"/>
      <c r="F116" s="94"/>
      <c r="H116" s="99"/>
    </row>
    <row r="117" spans="1:12">
      <c r="D117" s="83"/>
    </row>
    <row r="118" spans="1:12">
      <c r="A118" s="29" t="s">
        <v>222</v>
      </c>
      <c r="D118" s="83"/>
      <c r="L118" s="83"/>
    </row>
    <row r="119" spans="1:12">
      <c r="A119" s="1" t="s">
        <v>223</v>
      </c>
      <c r="B119" s="1" t="s">
        <v>224</v>
      </c>
      <c r="C119" s="1" t="s">
        <v>774</v>
      </c>
      <c r="D119" s="1" t="s">
        <v>234</v>
      </c>
      <c r="E119" s="1" t="s">
        <v>235</v>
      </c>
      <c r="H119" s="99" t="s">
        <v>1201</v>
      </c>
      <c r="I119" s="250"/>
    </row>
    <row r="120" spans="1:12">
      <c r="A120" s="1" t="s">
        <v>225</v>
      </c>
      <c r="B120" s="1" t="s">
        <v>226</v>
      </c>
      <c r="C120" s="1" t="s">
        <v>84</v>
      </c>
      <c r="D120" s="1">
        <v>2019</v>
      </c>
      <c r="E120" s="1">
        <v>1</v>
      </c>
      <c r="F120" s="99" t="s">
        <v>1198</v>
      </c>
      <c r="G120" s="99" t="s">
        <v>1199</v>
      </c>
      <c r="H120" s="99">
        <v>151</v>
      </c>
      <c r="I120" s="24"/>
    </row>
    <row r="121" spans="1:12">
      <c r="A121" s="1" t="s">
        <v>227</v>
      </c>
      <c r="B121" s="1" t="s">
        <v>228</v>
      </c>
      <c r="C121" s="1" t="s">
        <v>52</v>
      </c>
      <c r="D121" s="1">
        <v>2020</v>
      </c>
      <c r="E121" s="1">
        <v>2</v>
      </c>
      <c r="F121" s="99" t="s">
        <v>192</v>
      </c>
      <c r="G121" s="99" t="s">
        <v>177</v>
      </c>
      <c r="H121" s="99">
        <v>156</v>
      </c>
      <c r="I121" s="8"/>
    </row>
    <row r="122" spans="1:12">
      <c r="A122" s="1" t="s">
        <v>229</v>
      </c>
      <c r="B122" s="1" t="s">
        <v>230</v>
      </c>
      <c r="E122" s="1">
        <v>3</v>
      </c>
      <c r="F122" s="99" t="s">
        <v>191</v>
      </c>
      <c r="G122" s="99" t="s">
        <v>44</v>
      </c>
      <c r="H122" s="99">
        <v>157</v>
      </c>
      <c r="I122" s="8"/>
    </row>
    <row r="123" spans="1:12">
      <c r="A123" s="1" t="s">
        <v>231</v>
      </c>
      <c r="B123" s="1" t="s">
        <v>232</v>
      </c>
      <c r="E123" s="1">
        <v>4</v>
      </c>
      <c r="F123" s="99" t="s">
        <v>190</v>
      </c>
      <c r="G123" s="99" t="s">
        <v>168</v>
      </c>
      <c r="H123" s="99">
        <v>157.5</v>
      </c>
      <c r="I123" s="8"/>
    </row>
    <row r="124" spans="1:12">
      <c r="A124" s="1" t="s">
        <v>227</v>
      </c>
      <c r="B124" s="1" t="s">
        <v>233</v>
      </c>
      <c r="E124" s="1">
        <v>5</v>
      </c>
      <c r="F124" s="206" t="s">
        <v>2292</v>
      </c>
      <c r="G124" s="99" t="s">
        <v>180</v>
      </c>
      <c r="H124" s="99">
        <v>158</v>
      </c>
      <c r="I124" s="8"/>
    </row>
    <row r="125" spans="1:12">
      <c r="E125" s="1">
        <v>6</v>
      </c>
      <c r="F125" s="99" t="s">
        <v>187</v>
      </c>
      <c r="G125" s="86" t="s">
        <v>1111</v>
      </c>
      <c r="H125" s="99">
        <v>159</v>
      </c>
      <c r="I125" s="8"/>
    </row>
    <row r="126" spans="1:12">
      <c r="E126" s="1">
        <v>7</v>
      </c>
      <c r="F126" s="99" t="s">
        <v>185</v>
      </c>
      <c r="G126" s="99" t="s">
        <v>197</v>
      </c>
      <c r="H126" s="99">
        <v>160</v>
      </c>
    </row>
    <row r="127" spans="1:12">
      <c r="E127" s="1">
        <v>8</v>
      </c>
      <c r="F127" s="8" t="s">
        <v>183</v>
      </c>
      <c r="G127" s="115">
        <v>0.33333333333333331</v>
      </c>
      <c r="H127" s="99">
        <v>162</v>
      </c>
    </row>
    <row r="128" spans="1:12">
      <c r="E128" s="1">
        <v>9</v>
      </c>
      <c r="F128" s="109" t="s">
        <v>181</v>
      </c>
      <c r="H128" s="99">
        <v>172</v>
      </c>
    </row>
    <row r="129" spans="5:8">
      <c r="E129" s="1">
        <v>10</v>
      </c>
      <c r="F129" s="109" t="s">
        <v>1204</v>
      </c>
      <c r="H129" s="99">
        <v>190.5</v>
      </c>
    </row>
    <row r="130" spans="5:8">
      <c r="E130" s="1">
        <v>11</v>
      </c>
      <c r="F130" s="109" t="s">
        <v>782</v>
      </c>
      <c r="H130" s="99">
        <v>188</v>
      </c>
    </row>
    <row r="131" spans="5:8">
      <c r="E131" s="1">
        <v>12</v>
      </c>
      <c r="F131" s="109" t="s">
        <v>1231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5"/>
  <dimension ref="A1:P518"/>
  <sheetViews>
    <sheetView topLeftCell="B214" zoomScaleNormal="100" workbookViewId="0">
      <selection activeCell="C226" sqref="C226"/>
    </sheetView>
  </sheetViews>
  <sheetFormatPr defaultRowHeight="13.5" outlineLevelRow="1"/>
  <cols>
    <col min="1" max="1" width="19.25" hidden="1" customWidth="1"/>
    <col min="2" max="2" width="16.5" customWidth="1"/>
    <col min="3" max="3" width="20.625" style="201" bestFit="1" customWidth="1"/>
    <col min="4" max="4" width="16.25" customWidth="1"/>
    <col min="5" max="5" width="15.5" bestFit="1" customWidth="1"/>
    <col min="7" max="7" width="8.375" bestFit="1" customWidth="1"/>
    <col min="8" max="8" width="59.375" customWidth="1"/>
    <col min="9" max="9" width="11.125" customWidth="1"/>
    <col min="10" max="10" width="6.875" bestFit="1" customWidth="1"/>
  </cols>
  <sheetData>
    <row r="1" spans="2:6" ht="27.75" customHeight="1" outlineLevel="1">
      <c r="B1" s="47" t="s">
        <v>762</v>
      </c>
      <c r="C1" s="176" t="s">
        <v>763</v>
      </c>
      <c r="D1" s="47"/>
      <c r="E1" s="47" t="s">
        <v>764</v>
      </c>
      <c r="F1" s="47"/>
    </row>
    <row r="2" spans="2:6" ht="26.25" customHeight="1" outlineLevel="1">
      <c r="B2" s="46">
        <v>1</v>
      </c>
      <c r="C2" s="176" t="s">
        <v>2214</v>
      </c>
      <c r="D2" s="45">
        <f>IF(C2="","",IF(AND(C2&lt;&gt;"",E2=""),1,0.5))</f>
        <v>0.5</v>
      </c>
      <c r="E2" s="47" t="s">
        <v>2460</v>
      </c>
      <c r="F2" s="45">
        <f>IF(AND(C2="",E2&lt;&gt;""),1,IF(E2="","",0.5))</f>
        <v>0.5</v>
      </c>
    </row>
    <row r="3" spans="2:6" ht="26.25" customHeight="1" outlineLevel="1">
      <c r="B3" s="46">
        <v>2</v>
      </c>
      <c r="C3" s="176" t="s">
        <v>2216</v>
      </c>
      <c r="D3" s="238">
        <f t="shared" ref="D3:D9" si="0">IF(C3="","",IF(AND(C3&lt;&gt;"",E3=""),1,0.5))</f>
        <v>1</v>
      </c>
      <c r="E3" s="47"/>
      <c r="F3" s="238" t="str">
        <f t="shared" ref="F3:F9" si="1">IF(AND(C3="",E3&lt;&gt;""),1,IF(E3="","",0.5))</f>
        <v/>
      </c>
    </row>
    <row r="4" spans="2:6" ht="26.25" customHeight="1" outlineLevel="1">
      <c r="B4" s="46">
        <v>3</v>
      </c>
      <c r="C4" s="176" t="s">
        <v>3133</v>
      </c>
      <c r="D4" s="238">
        <f t="shared" si="0"/>
        <v>1</v>
      </c>
      <c r="E4" s="47"/>
      <c r="F4" s="238" t="str">
        <f t="shared" si="1"/>
        <v/>
      </c>
    </row>
    <row r="5" spans="2:6" ht="26.25" customHeight="1" outlineLevel="1">
      <c r="B5" s="46">
        <v>4</v>
      </c>
      <c r="C5" s="176" t="s">
        <v>2216</v>
      </c>
      <c r="D5" s="238">
        <f t="shared" si="0"/>
        <v>0.5</v>
      </c>
      <c r="E5" s="47" t="s">
        <v>2219</v>
      </c>
      <c r="F5" s="238">
        <f t="shared" si="1"/>
        <v>0.5</v>
      </c>
    </row>
    <row r="6" spans="2:6" ht="26.25" customHeight="1" outlineLevel="1">
      <c r="B6" s="46">
        <v>5</v>
      </c>
      <c r="C6" s="176" t="s">
        <v>162</v>
      </c>
      <c r="D6" s="238">
        <f t="shared" si="0"/>
        <v>1</v>
      </c>
      <c r="E6" s="47"/>
      <c r="F6" s="238" t="str">
        <f t="shared" si="1"/>
        <v/>
      </c>
    </row>
    <row r="7" spans="2:6" ht="26.25" customHeight="1" outlineLevel="1">
      <c r="B7" s="46">
        <v>6</v>
      </c>
      <c r="C7" s="176" t="s">
        <v>153</v>
      </c>
      <c r="D7" s="238">
        <f t="shared" si="0"/>
        <v>0.5</v>
      </c>
      <c r="E7" s="47" t="s">
        <v>157</v>
      </c>
      <c r="F7" s="238">
        <f t="shared" si="1"/>
        <v>0.5</v>
      </c>
    </row>
    <row r="8" spans="2:6" ht="26.25" customHeight="1" outlineLevel="1">
      <c r="B8" s="46">
        <v>7</v>
      </c>
      <c r="C8" s="176" t="s">
        <v>162</v>
      </c>
      <c r="D8" s="238">
        <f t="shared" si="0"/>
        <v>0.5</v>
      </c>
      <c r="E8" s="47" t="s">
        <v>2463</v>
      </c>
      <c r="F8" s="238">
        <f t="shared" si="1"/>
        <v>0.5</v>
      </c>
    </row>
    <row r="9" spans="2:6" ht="26.25" customHeight="1" outlineLevel="1">
      <c r="B9" s="46">
        <v>8</v>
      </c>
      <c r="C9" s="176"/>
      <c r="D9" s="238" t="str">
        <f t="shared" si="0"/>
        <v/>
      </c>
      <c r="E9" s="47" t="s">
        <v>149</v>
      </c>
      <c r="F9" s="238">
        <f t="shared" si="1"/>
        <v>1</v>
      </c>
    </row>
    <row r="10" spans="2:6" ht="20.25">
      <c r="B10" s="327" t="s">
        <v>767</v>
      </c>
      <c r="C10" s="327"/>
    </row>
    <row r="11" spans="2:6" ht="27.75" customHeight="1">
      <c r="B11" s="49" t="s">
        <v>267</v>
      </c>
      <c r="C11" s="196" t="s">
        <v>765</v>
      </c>
    </row>
    <row r="12" spans="2:6" ht="25.5" customHeight="1">
      <c r="B12" s="48" t="s">
        <v>135</v>
      </c>
      <c r="C12" s="197">
        <f>SUMIF($C$2:$C$9,B12,$D$2:$D$9)+SUMIF($E$2:$E$9,B12,$F$2:$F$9)</f>
        <v>0</v>
      </c>
    </row>
    <row r="13" spans="2:6" ht="25.5" customHeight="1">
      <c r="B13" s="48" t="s">
        <v>137</v>
      </c>
      <c r="C13" s="197">
        <f t="shared" ref="C13:C33" si="2">SUMIF($C$2:$C$9,B13,$D$2:$D$9)+SUMIF($E$2:$E$9,B13,$F$2:$F$9)</f>
        <v>0</v>
      </c>
    </row>
    <row r="14" spans="2:6" ht="25.5" customHeight="1">
      <c r="B14" s="48" t="s">
        <v>139</v>
      </c>
      <c r="C14" s="197">
        <f t="shared" si="2"/>
        <v>0</v>
      </c>
    </row>
    <row r="15" spans="2:6" ht="25.5" customHeight="1">
      <c r="B15" s="48" t="s">
        <v>141</v>
      </c>
      <c r="C15" s="197">
        <f t="shared" si="2"/>
        <v>0</v>
      </c>
    </row>
    <row r="16" spans="2:6" ht="25.5" customHeight="1">
      <c r="B16" s="48" t="s">
        <v>143</v>
      </c>
      <c r="C16" s="197">
        <f t="shared" si="2"/>
        <v>0</v>
      </c>
    </row>
    <row r="17" spans="2:3" ht="25.5" customHeight="1">
      <c r="B17" s="48" t="s">
        <v>145</v>
      </c>
      <c r="C17" s="197">
        <f t="shared" si="2"/>
        <v>0</v>
      </c>
    </row>
    <row r="18" spans="2:3" ht="25.5" customHeight="1">
      <c r="B18" s="48" t="s">
        <v>147</v>
      </c>
      <c r="C18" s="197">
        <f t="shared" si="2"/>
        <v>0</v>
      </c>
    </row>
    <row r="19" spans="2:3" ht="25.5" customHeight="1">
      <c r="B19" s="48" t="s">
        <v>149</v>
      </c>
      <c r="C19" s="197">
        <f t="shared" si="2"/>
        <v>1</v>
      </c>
    </row>
    <row r="20" spans="2:3" ht="25.5" customHeight="1">
      <c r="B20" s="48" t="s">
        <v>151</v>
      </c>
      <c r="C20" s="197">
        <f t="shared" si="2"/>
        <v>0</v>
      </c>
    </row>
    <row r="21" spans="2:3" ht="25.5" customHeight="1">
      <c r="B21" s="48" t="s">
        <v>153</v>
      </c>
      <c r="C21" s="197">
        <f t="shared" si="2"/>
        <v>0.5</v>
      </c>
    </row>
    <row r="22" spans="2:3" ht="25.5" customHeight="1">
      <c r="B22" s="48" t="s">
        <v>2216</v>
      </c>
      <c r="C22" s="197">
        <f t="shared" si="2"/>
        <v>1.5</v>
      </c>
    </row>
    <row r="23" spans="2:3" ht="25.5" customHeight="1">
      <c r="B23" s="48" t="s">
        <v>155</v>
      </c>
      <c r="C23" s="197">
        <f t="shared" si="2"/>
        <v>0</v>
      </c>
    </row>
    <row r="24" spans="2:3" ht="25.5" customHeight="1">
      <c r="B24" s="48" t="s">
        <v>2214</v>
      </c>
      <c r="C24" s="197">
        <f t="shared" si="2"/>
        <v>0.5</v>
      </c>
    </row>
    <row r="25" spans="2:3" ht="25.5" customHeight="1">
      <c r="B25" s="48" t="s">
        <v>157</v>
      </c>
      <c r="C25" s="197">
        <f t="shared" si="2"/>
        <v>0.5</v>
      </c>
    </row>
    <row r="26" spans="2:3" ht="25.5" customHeight="1">
      <c r="B26" s="48" t="s">
        <v>159</v>
      </c>
      <c r="C26" s="197">
        <f t="shared" si="2"/>
        <v>0</v>
      </c>
    </row>
    <row r="27" spans="2:3" ht="25.5" customHeight="1">
      <c r="B27" s="48" t="s">
        <v>3134</v>
      </c>
      <c r="C27" s="197">
        <f t="shared" si="2"/>
        <v>1</v>
      </c>
    </row>
    <row r="28" spans="2:3" ht="25.5" customHeight="1">
      <c r="B28" s="48" t="s">
        <v>2219</v>
      </c>
      <c r="C28" s="197">
        <f t="shared" si="2"/>
        <v>0.5</v>
      </c>
    </row>
    <row r="29" spans="2:3" ht="25.5" customHeight="1">
      <c r="B29" s="48" t="s">
        <v>160</v>
      </c>
      <c r="C29" s="197">
        <f t="shared" si="2"/>
        <v>0</v>
      </c>
    </row>
    <row r="30" spans="2:3" ht="25.5" customHeight="1">
      <c r="B30" s="48" t="s">
        <v>161</v>
      </c>
      <c r="C30" s="197">
        <f t="shared" si="2"/>
        <v>0</v>
      </c>
    </row>
    <row r="31" spans="2:3" ht="25.5" customHeight="1">
      <c r="B31" s="48" t="s">
        <v>162</v>
      </c>
      <c r="C31" s="197">
        <f t="shared" si="2"/>
        <v>1.5</v>
      </c>
    </row>
    <row r="32" spans="2:3" ht="25.5" customHeight="1">
      <c r="B32" s="48" t="s">
        <v>2461</v>
      </c>
      <c r="C32" s="197">
        <f t="shared" si="2"/>
        <v>0.5</v>
      </c>
    </row>
    <row r="33" spans="2:16" ht="25.5" customHeight="1">
      <c r="B33" s="48" t="s">
        <v>2464</v>
      </c>
      <c r="C33" s="197">
        <f t="shared" si="2"/>
        <v>0.5</v>
      </c>
    </row>
    <row r="34" spans="2:16" ht="25.5" customHeight="1">
      <c r="B34" s="48" t="s">
        <v>766</v>
      </c>
      <c r="C34" s="197">
        <f>SUM(C12:C33)</f>
        <v>8</v>
      </c>
    </row>
    <row r="35" spans="2:16" ht="30" hidden="1" customHeight="1" outlineLevel="1">
      <c r="B35" s="66" t="s">
        <v>751</v>
      </c>
      <c r="C35" s="198" t="s">
        <v>757</v>
      </c>
      <c r="D35" s="66" t="s">
        <v>756</v>
      </c>
      <c r="E35" s="66" t="s">
        <v>759</v>
      </c>
      <c r="F35" s="66" t="s">
        <v>758</v>
      </c>
      <c r="G35" s="66" t="s">
        <v>1025</v>
      </c>
      <c r="H35" s="192" t="s">
        <v>1053</v>
      </c>
      <c r="I35" s="192" t="s">
        <v>1054</v>
      </c>
      <c r="J35" s="85"/>
      <c r="K35" s="2"/>
      <c r="M35" s="1"/>
      <c r="P35" s="41"/>
    </row>
    <row r="36" spans="2:16" ht="15" hidden="1" customHeight="1" outlineLevel="1">
      <c r="B36" s="47">
        <v>1</v>
      </c>
      <c r="C36" s="205" t="s">
        <v>2222</v>
      </c>
      <c r="D36" s="47" t="str">
        <f>VLOOKUP(C36,setting!$F$34:$G$75,2,FALSE)</f>
        <v>A50-30-28</v>
      </c>
      <c r="E36" s="76">
        <f>VLOOKUP(C36,小圆机汇总表!A:AP,7,FALSE)</f>
        <v>35</v>
      </c>
      <c r="F36" s="76" t="str">
        <f>VLOOKUP(C36,小圆机汇总表!A:AP,4,FALSE)</f>
        <v>大W</v>
      </c>
      <c r="G36" s="76" t="str">
        <f>LOOKUP(1,0/(setting!$K$35:$K$65=各车间日况!I36),setting!$L$35:$L$65)</f>
        <v>30"28针</v>
      </c>
      <c r="H36" s="44">
        <f>IF(COUNTIF(C$36:C36,C36)=1,B36,LOOKUP(1,0/(C$35:C35=C36),H$35:H35)&amp;","&amp;B36)</f>
        <v>1</v>
      </c>
      <c r="I36" s="76" t="str">
        <f>E36&amp;F36</f>
        <v>35大W</v>
      </c>
      <c r="K36" s="2"/>
      <c r="M36" s="1"/>
      <c r="P36" s="41"/>
    </row>
    <row r="37" spans="2:16" ht="15" hidden="1" customHeight="1" outlineLevel="1">
      <c r="B37" s="47">
        <v>2</v>
      </c>
      <c r="C37" s="248" t="s">
        <v>1653</v>
      </c>
      <c r="D37" s="194" t="str">
        <f>VLOOKUP(C37,setting!$F$34:$G$75,2,FALSE)</f>
        <v>A50-30-28</v>
      </c>
      <c r="E37" s="76">
        <f>VLOOKUP(C37,小圆机汇总表!A:AP,7,FALSE)</f>
        <v>35</v>
      </c>
      <c r="F37" s="76" t="str">
        <f>VLOOKUP(C37,小圆机汇总表!A:AP,4,FALSE)</f>
        <v>黑</v>
      </c>
      <c r="G37" s="246" t="str">
        <f>LOOKUP(1,0/(setting!$K$35:$K$65=各车间日况!I37),setting!$L$35:$L$65)</f>
        <v>30"28针</v>
      </c>
      <c r="H37" s="44">
        <f>IF(COUNTIF(C$36:C37,C37)=1,B37,LOOKUP(1,0/(C$35:C36=C37),H$35:H36)&amp;","&amp;B37)</f>
        <v>2</v>
      </c>
      <c r="I37" s="76" t="str">
        <f t="shared" ref="I37:I100" si="3">E37&amp;F37</f>
        <v>35黑</v>
      </c>
      <c r="K37" s="2"/>
      <c r="M37" s="1"/>
      <c r="P37" s="41"/>
    </row>
    <row r="38" spans="2:16" ht="15" hidden="1" customHeight="1" outlineLevel="1">
      <c r="B38" s="47">
        <v>3</v>
      </c>
      <c r="C38" s="176" t="s">
        <v>125</v>
      </c>
      <c r="D38" s="194" t="str">
        <f>VLOOKUP(C38,setting!$F$34:$G$75,2,FALSE)</f>
        <v>A50-30-28</v>
      </c>
      <c r="E38" s="76">
        <f>VLOOKUP(C38,小圆机汇总表!A:AP,7,FALSE)</f>
        <v>35</v>
      </c>
      <c r="F38" s="76" t="str">
        <f>VLOOKUP(C38,小圆机汇总表!A:AP,4,FALSE)</f>
        <v>黑</v>
      </c>
      <c r="G38" s="246" t="str">
        <f>LOOKUP(1,0/(setting!$K$35:$K$65=各车间日况!I38),setting!$L$35:$L$65)</f>
        <v>30"28针</v>
      </c>
      <c r="H38" s="44" t="str">
        <f>IF(COUNTIF(C$36:C38,C38)=1,B38,LOOKUP(1,0/(C$35:C37=C38),H$35:H37)&amp;","&amp;B38)</f>
        <v>2,3</v>
      </c>
      <c r="I38" s="76" t="str">
        <f t="shared" si="3"/>
        <v>35黑</v>
      </c>
      <c r="K38" s="2"/>
      <c r="M38" s="1"/>
      <c r="P38" s="41"/>
    </row>
    <row r="39" spans="2:16" ht="15" hidden="1" customHeight="1" outlineLevel="1">
      <c r="B39" s="47">
        <v>4</v>
      </c>
      <c r="C39" s="205" t="s">
        <v>1170</v>
      </c>
      <c r="D39" s="194" t="str">
        <f>VLOOKUP(C39,setting!$F$34:$G$75,2,FALSE)</f>
        <v>A50-30-28</v>
      </c>
      <c r="E39" s="76">
        <f>VLOOKUP(C39,小圆机汇总表!A:AP,7,FALSE)</f>
        <v>35</v>
      </c>
      <c r="F39" s="76" t="str">
        <f>VLOOKUP(C39,小圆机汇总表!A:AP,4,FALSE)</f>
        <v>小w</v>
      </c>
      <c r="G39" s="246" t="str">
        <f>LOOKUP(1,0/(setting!$K$35:$K$65=各车间日况!I39),setting!$L$35:$L$65)</f>
        <v>30"28针</v>
      </c>
      <c r="H39" s="44">
        <f>IF(COUNTIF(C$36:C39,C39)=1,B39,LOOKUP(1,0/(C$35:C38=C39),H$35:H38)&amp;","&amp;B39)</f>
        <v>4</v>
      </c>
      <c r="I39" s="76" t="str">
        <f t="shared" si="3"/>
        <v>35小w</v>
      </c>
      <c r="K39" s="2"/>
      <c r="M39" s="1"/>
      <c r="P39" s="41"/>
    </row>
    <row r="40" spans="2:16" ht="15" hidden="1" customHeight="1" outlineLevel="1">
      <c r="B40" s="47">
        <v>5</v>
      </c>
      <c r="C40" s="248" t="s">
        <v>116</v>
      </c>
      <c r="D40" s="194" t="str">
        <f>VLOOKUP(C40,setting!$F$34:$G$75,2,FALSE)</f>
        <v>B50-30-24</v>
      </c>
      <c r="E40" s="76">
        <f>VLOOKUP(C40,小圆机汇总表!A:AP,7,FALSE)</f>
        <v>36</v>
      </c>
      <c r="F40" s="76" t="str">
        <f>VLOOKUP(C40,小圆机汇总表!A:AP,4,FALSE)</f>
        <v>大W高温</v>
      </c>
      <c r="G40" s="246" t="str">
        <f>LOOKUP(1,0/(setting!$K$35:$K$65=各车间日况!I40),setting!$L$35:$L$65)</f>
        <v>30"24针</v>
      </c>
      <c r="H40" s="44">
        <f>IF(COUNTIF(C$36:C40,C40)=1,B40,LOOKUP(1,0/(C$35:C39=C40),H$35:H39)&amp;","&amp;B40)</f>
        <v>5</v>
      </c>
      <c r="I40" s="76" t="str">
        <f t="shared" si="3"/>
        <v>36大W高温</v>
      </c>
      <c r="K40" s="2"/>
      <c r="M40" s="1"/>
      <c r="P40" s="41"/>
    </row>
    <row r="41" spans="2:16" ht="15" hidden="1" customHeight="1" outlineLevel="1">
      <c r="B41" s="47">
        <v>6</v>
      </c>
      <c r="C41" s="248" t="s">
        <v>116</v>
      </c>
      <c r="D41" s="194" t="str">
        <f>VLOOKUP(C41,setting!$F$34:$G$75,2,FALSE)</f>
        <v>B50-30-24</v>
      </c>
      <c r="E41" s="76">
        <f>VLOOKUP(C41,小圆机汇总表!A:AP,7,FALSE)</f>
        <v>36</v>
      </c>
      <c r="F41" s="76" t="str">
        <f>VLOOKUP(C41,小圆机汇总表!A:AP,4,FALSE)</f>
        <v>大W高温</v>
      </c>
      <c r="G41" s="246" t="str">
        <f>LOOKUP(1,0/(setting!$K$35:$K$65=各车间日况!I41),setting!$L$35:$L$65)</f>
        <v>30"24针</v>
      </c>
      <c r="H41" s="44" t="str">
        <f>IF(COUNTIF(C$36:C41,C41)=1,B41,LOOKUP(1,0/(C$35:C40=C41),H$35:H40)&amp;","&amp;B41)</f>
        <v>5,6</v>
      </c>
      <c r="I41" s="76" t="str">
        <f t="shared" si="3"/>
        <v>36大W高温</v>
      </c>
      <c r="K41" s="2"/>
      <c r="M41" s="1"/>
      <c r="P41" s="41"/>
    </row>
    <row r="42" spans="2:16" ht="15" hidden="1" customHeight="1" outlineLevel="1">
      <c r="B42" s="47">
        <v>7</v>
      </c>
      <c r="C42" s="176" t="s">
        <v>737</v>
      </c>
      <c r="D42" s="194" t="str">
        <f>VLOOKUP(C42,setting!$F$34:$G$75,2,FALSE)</f>
        <v>A50-30-28</v>
      </c>
      <c r="E42" s="76">
        <f>VLOOKUP(C42,小圆机汇总表!A:AP,7,FALSE)</f>
        <v>35</v>
      </c>
      <c r="F42" s="76" t="str">
        <f>VLOOKUP(C42,小圆机汇总表!A:AP,4,FALSE)</f>
        <v>大W</v>
      </c>
      <c r="G42" s="246" t="str">
        <f>LOOKUP(1,0/(setting!$K$35:$K$65=各车间日况!I42),setting!$L$35:$L$65)</f>
        <v>30"28针</v>
      </c>
      <c r="H42" s="44" t="str">
        <f>IF(COUNTIF(C$36:C42,C42)=1,B42,LOOKUP(1,0/(C$35:C41=C42),H$35:H41)&amp;","&amp;B42)</f>
        <v>1,7</v>
      </c>
      <c r="I42" s="76" t="str">
        <f t="shared" si="3"/>
        <v>35大W</v>
      </c>
      <c r="K42" s="2"/>
      <c r="M42" s="1"/>
      <c r="P42" s="41"/>
    </row>
    <row r="43" spans="2:16" ht="15" hidden="1" customHeight="1" outlineLevel="1">
      <c r="B43" s="47">
        <v>8</v>
      </c>
      <c r="C43" s="176" t="s">
        <v>125</v>
      </c>
      <c r="D43" s="194" t="str">
        <f>VLOOKUP(C43,setting!$F$34:$G$75,2,FALSE)</f>
        <v>A50-30-28</v>
      </c>
      <c r="E43" s="76">
        <f>VLOOKUP(C43,小圆机汇总表!A:AP,7,FALSE)</f>
        <v>35</v>
      </c>
      <c r="F43" s="76" t="str">
        <f>VLOOKUP(C43,小圆机汇总表!A:AP,4,FALSE)</f>
        <v>黑</v>
      </c>
      <c r="G43" s="246" t="str">
        <f>LOOKUP(1,0/(setting!$K$35:$K$65=各车间日况!I43),setting!$L$35:$L$65)</f>
        <v>30"28针</v>
      </c>
      <c r="H43" s="44" t="str">
        <f>IF(COUNTIF(C$36:C43,C43)=1,B43,LOOKUP(1,0/(C$35:C42=C43),H$35:H42)&amp;","&amp;B43)</f>
        <v>2,3,8</v>
      </c>
      <c r="I43" s="76" t="str">
        <f t="shared" si="3"/>
        <v>35黑</v>
      </c>
      <c r="K43" s="2"/>
      <c r="M43" s="1"/>
      <c r="P43" s="41"/>
    </row>
    <row r="44" spans="2:16" ht="15" hidden="1" customHeight="1" outlineLevel="1">
      <c r="B44" s="47">
        <v>9</v>
      </c>
      <c r="C44" s="176" t="s">
        <v>116</v>
      </c>
      <c r="D44" s="194" t="str">
        <f>VLOOKUP(C44,setting!$F$34:$G$75,2,FALSE)</f>
        <v>B50-30-24</v>
      </c>
      <c r="E44" s="76">
        <f>VLOOKUP(C44,小圆机汇总表!A:AP,7,FALSE)</f>
        <v>36</v>
      </c>
      <c r="F44" s="76" t="str">
        <f>VLOOKUP(C44,小圆机汇总表!A:AP,4,FALSE)</f>
        <v>大W高温</v>
      </c>
      <c r="G44" s="246" t="str">
        <f>LOOKUP(1,0/(setting!$K$35:$K$65=各车间日况!I44),setting!$L$35:$L$65)</f>
        <v>30"24针</v>
      </c>
      <c r="H44" s="44" t="str">
        <f>IF(COUNTIF(C$36:C44,C44)=1,B44,LOOKUP(1,0/(C$35:C43=C44),H$35:H43)&amp;","&amp;B44)</f>
        <v>5,6,9</v>
      </c>
      <c r="I44" s="76" t="str">
        <f t="shared" si="3"/>
        <v>36大W高温</v>
      </c>
      <c r="K44" s="2"/>
      <c r="M44" s="1"/>
      <c r="P44" s="41"/>
    </row>
    <row r="45" spans="2:16" ht="15" hidden="1" customHeight="1" outlineLevel="1">
      <c r="B45" s="47">
        <v>10</v>
      </c>
      <c r="C45" s="176" t="s">
        <v>125</v>
      </c>
      <c r="D45" s="194" t="str">
        <f>VLOOKUP(C45,setting!$F$34:$G$75,2,FALSE)</f>
        <v>A50-30-28</v>
      </c>
      <c r="E45" s="76">
        <f>VLOOKUP(C45,小圆机汇总表!A:AP,7,FALSE)</f>
        <v>35</v>
      </c>
      <c r="F45" s="76" t="str">
        <f>VLOOKUP(C45,小圆机汇总表!A:AP,4,FALSE)</f>
        <v>黑</v>
      </c>
      <c r="G45" s="246" t="str">
        <f>LOOKUP(1,0/(setting!$K$35:$K$65=各车间日况!I45),setting!$L$35:$L$65)</f>
        <v>30"28针</v>
      </c>
      <c r="H45" s="44" t="str">
        <f>IF(COUNTIF(C$36:C45,C45)=1,B45,LOOKUP(1,0/(C$35:C44=C45),H$35:H44)&amp;","&amp;B45)</f>
        <v>2,3,8,10</v>
      </c>
      <c r="I45" s="76" t="str">
        <f t="shared" si="3"/>
        <v>35黑</v>
      </c>
      <c r="K45" s="2"/>
      <c r="M45" s="1"/>
      <c r="P45" s="41"/>
    </row>
    <row r="46" spans="2:16" ht="15" hidden="1" customHeight="1" outlineLevel="1">
      <c r="B46" s="47">
        <v>11</v>
      </c>
      <c r="C46" s="248" t="s">
        <v>2295</v>
      </c>
      <c r="D46" s="194" t="str">
        <f>VLOOKUP(C46,setting!$F$34:$G$75,2,FALSE)</f>
        <v>A50-30-28</v>
      </c>
      <c r="E46" s="76">
        <f>VLOOKUP(C46,小圆机汇总表!A:AP,7,FALSE)</f>
        <v>45</v>
      </c>
      <c r="F46" s="76" t="str">
        <f>VLOOKUP(C46,小圆机汇总表!A:AP,4,FALSE)</f>
        <v>斜乱平纹</v>
      </c>
      <c r="G46" s="246" t="str">
        <f>LOOKUP(1,0/(setting!$K$35:$K$65=各车间日况!I46),setting!$L$35:$L$65)</f>
        <v>30"28针</v>
      </c>
      <c r="H46" s="44">
        <f>IF(COUNTIF(C$36:C46,C46)=1,B46,LOOKUP(1,0/(C$35:C45=C46),H$35:H45)&amp;","&amp;B46)</f>
        <v>11</v>
      </c>
      <c r="I46" s="76" t="str">
        <f t="shared" si="3"/>
        <v>45斜乱平纹</v>
      </c>
      <c r="K46" s="2"/>
      <c r="M46" s="1"/>
      <c r="P46" s="41"/>
    </row>
    <row r="47" spans="2:16" ht="15" hidden="1" customHeight="1" outlineLevel="1">
      <c r="B47" s="47">
        <v>12</v>
      </c>
      <c r="C47" s="176" t="s">
        <v>116</v>
      </c>
      <c r="D47" s="194" t="str">
        <f>VLOOKUP(C47,setting!$F$34:$G$75,2,FALSE)</f>
        <v>B50-30-24</v>
      </c>
      <c r="E47" s="76">
        <f>VLOOKUP(C47,小圆机汇总表!A:AP,7,FALSE)</f>
        <v>36</v>
      </c>
      <c r="F47" s="76" t="str">
        <f>VLOOKUP(C47,小圆机汇总表!A:AP,4,FALSE)</f>
        <v>大W高温</v>
      </c>
      <c r="G47" s="246" t="str">
        <f>LOOKUP(1,0/(setting!$K$35:$K$65=各车间日况!I47),setting!$L$35:$L$65)</f>
        <v>30"24针</v>
      </c>
      <c r="H47" s="44" t="str">
        <f>IF(COUNTIF(C$36:C47,C47)=1,B47,LOOKUP(1,0/(C$35:C46=C47),H$35:H46)&amp;","&amp;B47)</f>
        <v>5,6,9,12</v>
      </c>
      <c r="I47" s="76" t="str">
        <f t="shared" si="3"/>
        <v>36大W高温</v>
      </c>
      <c r="K47" s="2"/>
      <c r="M47" s="1"/>
      <c r="P47" s="41"/>
    </row>
    <row r="48" spans="2:16" ht="15" hidden="1" customHeight="1" outlineLevel="1">
      <c r="B48" s="47">
        <v>13</v>
      </c>
      <c r="C48" s="205" t="s">
        <v>112</v>
      </c>
      <c r="D48" s="194" t="str">
        <f>VLOOKUP(C48,setting!$F$34:$G$75,2,FALSE)</f>
        <v>A50-30-28</v>
      </c>
      <c r="E48" s="76">
        <f>VLOOKUP(C48,小圆机汇总表!A:AP,7,FALSE)</f>
        <v>35</v>
      </c>
      <c r="F48" s="76" t="str">
        <f>VLOOKUP(C48,小圆机汇总表!A:AP,4,FALSE)</f>
        <v>黑</v>
      </c>
      <c r="G48" s="246" t="str">
        <f>LOOKUP(1,0/(setting!$K$35:$K$65=各车间日况!I48),setting!$L$35:$L$65)</f>
        <v>30"28针</v>
      </c>
      <c r="H48" s="44" t="str">
        <f>IF(COUNTIF(C$36:C48,C48)=1,B48,LOOKUP(1,0/(C$35:C47=C48),H$35:H47)&amp;","&amp;B48)</f>
        <v>2,3,8,10,13</v>
      </c>
      <c r="I48" s="76" t="str">
        <f t="shared" si="3"/>
        <v>35黑</v>
      </c>
      <c r="K48" s="2"/>
      <c r="M48" s="1"/>
      <c r="P48" s="41"/>
    </row>
    <row r="49" spans="2:16" ht="15" hidden="1" customHeight="1" outlineLevel="1">
      <c r="B49" s="47">
        <v>14</v>
      </c>
      <c r="C49" s="176" t="s">
        <v>125</v>
      </c>
      <c r="D49" s="194" t="str">
        <f>VLOOKUP(C49,setting!$F$34:$G$75,2,FALSE)</f>
        <v>A50-30-28</v>
      </c>
      <c r="E49" s="76">
        <f>VLOOKUP(C49,小圆机汇总表!A:AP,7,FALSE)</f>
        <v>35</v>
      </c>
      <c r="F49" s="76" t="str">
        <f>VLOOKUP(C49,小圆机汇总表!A:AP,4,FALSE)</f>
        <v>黑</v>
      </c>
      <c r="G49" s="246" t="str">
        <f>LOOKUP(1,0/(setting!$K$35:$K$65=各车间日况!I49),setting!$L$35:$L$65)</f>
        <v>30"28针</v>
      </c>
      <c r="H49" s="44" t="str">
        <f>IF(COUNTIF(C$36:C49,C49)=1,B49,LOOKUP(1,0/(C$35:C48=C49),H$35:H48)&amp;","&amp;B49)</f>
        <v>2,3,8,10,13,14</v>
      </c>
      <c r="I49" s="76" t="str">
        <f t="shared" si="3"/>
        <v>35黑</v>
      </c>
      <c r="K49" s="2"/>
      <c r="M49" s="1"/>
      <c r="P49" s="41"/>
    </row>
    <row r="50" spans="2:16" ht="15" hidden="1" customHeight="1" outlineLevel="1">
      <c r="B50" s="47">
        <v>15</v>
      </c>
      <c r="C50" s="176" t="s">
        <v>116</v>
      </c>
      <c r="D50" s="194" t="str">
        <f>VLOOKUP(C50,setting!$F$34:$G$75,2,FALSE)</f>
        <v>B50-30-24</v>
      </c>
      <c r="E50" s="76">
        <f>VLOOKUP(C50,小圆机汇总表!A:AP,7,FALSE)</f>
        <v>36</v>
      </c>
      <c r="F50" s="76" t="str">
        <f>VLOOKUP(C50,小圆机汇总表!A:AP,4,FALSE)</f>
        <v>大W高温</v>
      </c>
      <c r="G50" s="246" t="str">
        <f>LOOKUP(1,0/(setting!$K$35:$K$65=各车间日况!I50),setting!$L$35:$L$65)</f>
        <v>30"24针</v>
      </c>
      <c r="H50" s="44" t="str">
        <f>IF(COUNTIF(C$36:C50,C50)=1,B50,LOOKUP(1,0/(C$35:C49=C50),H$35:H49)&amp;","&amp;B50)</f>
        <v>5,6,9,12,15</v>
      </c>
      <c r="I50" s="76" t="str">
        <f t="shared" si="3"/>
        <v>36大W高温</v>
      </c>
      <c r="K50" s="2"/>
      <c r="M50" s="1"/>
      <c r="P50" s="41"/>
    </row>
    <row r="51" spans="2:16" ht="15" hidden="1" customHeight="1" outlineLevel="1">
      <c r="B51" s="47">
        <v>16</v>
      </c>
      <c r="C51" s="205" t="s">
        <v>2223</v>
      </c>
      <c r="D51" s="194" t="str">
        <f>VLOOKUP(C51,setting!$F$34:$G$75,2,FALSE)</f>
        <v>B50-30-24</v>
      </c>
      <c r="E51" s="76">
        <f>VLOOKUP(C51,小圆机汇总表!A:AP,7,FALSE)</f>
        <v>36</v>
      </c>
      <c r="F51" s="76" t="str">
        <f>VLOOKUP(C51,小圆机汇总表!A:AP,4,FALSE)</f>
        <v>大W高温</v>
      </c>
      <c r="G51" s="246" t="str">
        <f>LOOKUP(1,0/(setting!$K$35:$K$65=各车间日况!I51),setting!$L$35:$L$65)</f>
        <v>30"24针</v>
      </c>
      <c r="H51" s="44" t="str">
        <f>IF(COUNTIF(C$36:C51,C51)=1,B51,LOOKUP(1,0/(C$35:C50=C51),H$35:H50)&amp;","&amp;B51)</f>
        <v>5,6,9,12,15,16</v>
      </c>
      <c r="I51" s="76" t="str">
        <f t="shared" si="3"/>
        <v>36大W高温</v>
      </c>
      <c r="K51" s="2"/>
      <c r="M51" s="1"/>
      <c r="P51" s="41"/>
    </row>
    <row r="52" spans="2:16" ht="15" hidden="1" customHeight="1" outlineLevel="1">
      <c r="B52" s="47">
        <v>17</v>
      </c>
      <c r="C52" s="176" t="s">
        <v>116</v>
      </c>
      <c r="D52" s="194" t="str">
        <f>VLOOKUP(C52,setting!$F$34:$G$75,2,FALSE)</f>
        <v>B50-30-24</v>
      </c>
      <c r="E52" s="76">
        <f>VLOOKUP(C52,小圆机汇总表!A:AP,7,FALSE)</f>
        <v>36</v>
      </c>
      <c r="F52" s="76" t="str">
        <f>VLOOKUP(C52,小圆机汇总表!A:AP,4,FALSE)</f>
        <v>大W高温</v>
      </c>
      <c r="G52" s="246" t="str">
        <f>LOOKUP(1,0/(setting!$K$35:$K$65=各车间日况!I52),setting!$L$35:$L$65)</f>
        <v>30"24针</v>
      </c>
      <c r="H52" s="44" t="str">
        <f>IF(COUNTIF(C$36:C52,C52)=1,B52,LOOKUP(1,0/(C$35:C51=C52),H$35:H51)&amp;","&amp;B52)</f>
        <v>5,6,9,12,15,16,17</v>
      </c>
      <c r="I52" s="76" t="str">
        <f t="shared" si="3"/>
        <v>36大W高温</v>
      </c>
      <c r="K52" s="2"/>
      <c r="M52" s="1"/>
      <c r="P52" s="41"/>
    </row>
    <row r="53" spans="2:16" ht="15" hidden="1" customHeight="1" outlineLevel="1">
      <c r="B53" s="47">
        <v>18</v>
      </c>
      <c r="C53" s="176" t="s">
        <v>116</v>
      </c>
      <c r="D53" s="194" t="str">
        <f>VLOOKUP(C53,setting!$F$34:$G$75,2,FALSE)</f>
        <v>B50-30-24</v>
      </c>
      <c r="E53" s="76">
        <f>VLOOKUP(C53,小圆机汇总表!A:AP,7,FALSE)</f>
        <v>36</v>
      </c>
      <c r="F53" s="76" t="str">
        <f>VLOOKUP(C53,小圆机汇总表!A:AP,4,FALSE)</f>
        <v>大W高温</v>
      </c>
      <c r="G53" s="246" t="str">
        <f>LOOKUP(1,0/(setting!$K$35:$K$65=各车间日况!I53),setting!$L$35:$L$65)</f>
        <v>30"24针</v>
      </c>
      <c r="H53" s="44" t="str">
        <f>IF(COUNTIF(C$36:C53,C53)=1,B53,LOOKUP(1,0/(C$35:C52=C53),H$35:H52)&amp;","&amp;B53)</f>
        <v>5,6,9,12,15,16,17,18</v>
      </c>
      <c r="I53" s="76" t="str">
        <f t="shared" si="3"/>
        <v>36大W高温</v>
      </c>
      <c r="K53" s="2"/>
      <c r="M53" s="1"/>
      <c r="P53" s="41"/>
    </row>
    <row r="54" spans="2:16" ht="15" hidden="1" customHeight="1" outlineLevel="1">
      <c r="B54" s="47">
        <v>19</v>
      </c>
      <c r="C54" s="248" t="s">
        <v>2879</v>
      </c>
      <c r="D54" s="194" t="str">
        <f>VLOOKUP(C54,setting!$F$34:$G$75,2,FALSE)</f>
        <v>B75-30-24</v>
      </c>
      <c r="E54" s="76">
        <f>VLOOKUP(C54,小圆机汇总表!A:AP,7,FALSE)</f>
        <v>45</v>
      </c>
      <c r="F54" s="76" t="str">
        <f>VLOOKUP(C54,小圆机汇总表!A:AP,4,FALSE)</f>
        <v>小w</v>
      </c>
      <c r="G54" s="246" t="str">
        <f>LOOKUP(1,0/(setting!$K$35:$K$65=各车间日况!I54),setting!$L$35:$L$65)</f>
        <v>30"24针</v>
      </c>
      <c r="H54" s="44">
        <f>IF(COUNTIF(C$36:C54,C54)=1,B54,LOOKUP(1,0/(C$35:C53=C54),H$35:H53)&amp;","&amp;B54)</f>
        <v>19</v>
      </c>
      <c r="I54" s="76" t="str">
        <f t="shared" si="3"/>
        <v>45小w</v>
      </c>
      <c r="K54" s="2"/>
      <c r="M54" s="1"/>
      <c r="P54" s="41"/>
    </row>
    <row r="55" spans="2:16" ht="15" hidden="1" customHeight="1" outlineLevel="1">
      <c r="B55" s="47">
        <v>20</v>
      </c>
      <c r="C55" s="205" t="s">
        <v>2492</v>
      </c>
      <c r="D55" s="194" t="str">
        <f>VLOOKUP(C55,setting!$F$34:$G$75,2,FALSE)</f>
        <v>A75-30-28</v>
      </c>
      <c r="E55" s="76">
        <f>VLOOKUP(C55,小圆机汇总表!A:AP,7,FALSE)</f>
        <v>48</v>
      </c>
      <c r="F55" s="76" t="str">
        <f>VLOOKUP(C55,小圆机汇总表!A:AP,4,FALSE)</f>
        <v>斜乱平纹</v>
      </c>
      <c r="G55" s="246" t="str">
        <f>LOOKUP(1,0/(setting!$K$35:$K$65=各车间日况!I55),setting!$L$35:$L$65)</f>
        <v>30"28针</v>
      </c>
      <c r="H55" s="44">
        <f>IF(COUNTIF(C$36:C55,C55)=1,B55,LOOKUP(1,0/(C$35:C54=C55),H$35:H54)&amp;","&amp;B55)</f>
        <v>20</v>
      </c>
      <c r="I55" s="76" t="str">
        <f t="shared" si="3"/>
        <v>48斜乱平纹</v>
      </c>
      <c r="K55" s="2"/>
      <c r="M55" s="1"/>
      <c r="P55" s="41"/>
    </row>
    <row r="56" spans="2:16" ht="15" hidden="1" customHeight="1" outlineLevel="1">
      <c r="B56" s="47">
        <v>21</v>
      </c>
      <c r="C56" s="176" t="s">
        <v>752</v>
      </c>
      <c r="D56" s="194" t="str">
        <f>VLOOKUP(C56,setting!$F$34:$G$75,2,FALSE)</f>
        <v>A50-30-28</v>
      </c>
      <c r="E56" s="76">
        <f>VLOOKUP(C56,小圆机汇总表!A:AP,7,FALSE)</f>
        <v>45</v>
      </c>
      <c r="F56" s="76" t="str">
        <f>VLOOKUP(C56,小圆机汇总表!A:AP,4,FALSE)</f>
        <v>斜乱平纹</v>
      </c>
      <c r="G56" s="246" t="str">
        <f>LOOKUP(1,0/(setting!$K$35:$K$65=各车间日况!I56),setting!$L$35:$L$65)</f>
        <v>30"28针</v>
      </c>
      <c r="H56" s="44" t="str">
        <f>IF(COUNTIF(C$36:C56,C56)=1,B56,LOOKUP(1,0/(C$35:C55=C56),H$35:H55)&amp;","&amp;B56)</f>
        <v>11,21</v>
      </c>
      <c r="I56" s="76" t="str">
        <f t="shared" si="3"/>
        <v>45斜乱平纹</v>
      </c>
      <c r="K56" s="2"/>
      <c r="M56" s="1"/>
      <c r="P56" s="41"/>
    </row>
    <row r="57" spans="2:16" ht="15" hidden="1" customHeight="1" outlineLevel="1">
      <c r="B57" s="47">
        <v>22</v>
      </c>
      <c r="C57" s="176" t="s">
        <v>118</v>
      </c>
      <c r="D57" s="194" t="str">
        <f>VLOOKUP(C57,setting!$F$34:$G$75,2,FALSE)</f>
        <v>A50-30-28</v>
      </c>
      <c r="E57" s="76">
        <f>VLOOKUP(C57,小圆机汇总表!A:AP,7,FALSE)</f>
        <v>35</v>
      </c>
      <c r="F57" s="76" t="str">
        <f>VLOOKUP(C57,小圆机汇总表!A:AP,4,FALSE)</f>
        <v>黑</v>
      </c>
      <c r="G57" s="246" t="str">
        <f>LOOKUP(1,0/(setting!$K$35:$K$65=各车间日况!I57),setting!$L$35:$L$65)</f>
        <v>30"28针</v>
      </c>
      <c r="H57" s="44" t="str">
        <f>IF(COUNTIF(C$36:C57,C57)=1,B57,LOOKUP(1,0/(C$35:C56=C57),H$35:H56)&amp;","&amp;B57)</f>
        <v>2,3,8,10,13,14,22</v>
      </c>
      <c r="I57" s="76" t="str">
        <f t="shared" si="3"/>
        <v>35黑</v>
      </c>
      <c r="K57" s="2"/>
      <c r="M57" s="1"/>
      <c r="P57" s="41"/>
    </row>
    <row r="58" spans="2:16" ht="15" hidden="1" customHeight="1" outlineLevel="1">
      <c r="B58" s="47">
        <v>23</v>
      </c>
      <c r="C58" s="176" t="s">
        <v>118</v>
      </c>
      <c r="D58" s="194" t="str">
        <f>VLOOKUP(C58,setting!$F$34:$G$75,2,FALSE)</f>
        <v>A50-30-28</v>
      </c>
      <c r="E58" s="76">
        <f>VLOOKUP(C58,小圆机汇总表!A:AP,7,FALSE)</f>
        <v>35</v>
      </c>
      <c r="F58" s="76" t="str">
        <f>VLOOKUP(C58,小圆机汇总表!A:AP,4,FALSE)</f>
        <v>黑</v>
      </c>
      <c r="G58" s="246" t="str">
        <f>LOOKUP(1,0/(setting!$K$35:$K$65=各车间日况!I58),setting!$L$35:$L$65)</f>
        <v>30"28针</v>
      </c>
      <c r="H58" s="44" t="str">
        <f>IF(COUNTIF(C$36:C58,C58)=1,B58,LOOKUP(1,0/(C$35:C57=C58),H$35:H57)&amp;","&amp;B58)</f>
        <v>2,3,8,10,13,14,22,23</v>
      </c>
      <c r="I58" s="76" t="str">
        <f t="shared" si="3"/>
        <v>35黑</v>
      </c>
      <c r="K58" s="2"/>
      <c r="M58" s="1"/>
      <c r="P58" s="41"/>
    </row>
    <row r="59" spans="2:16" ht="15" hidden="1" customHeight="1" outlineLevel="1">
      <c r="B59" s="47">
        <v>24</v>
      </c>
      <c r="C59" s="248" t="s">
        <v>2879</v>
      </c>
      <c r="D59" s="194" t="str">
        <f>VLOOKUP(C59,setting!$F$34:$G$75,2,FALSE)</f>
        <v>B75-30-24</v>
      </c>
      <c r="E59" s="76">
        <f>VLOOKUP(C59,小圆机汇总表!A:AP,7,FALSE)</f>
        <v>45</v>
      </c>
      <c r="F59" s="76" t="str">
        <f>VLOOKUP(C59,小圆机汇总表!A:AP,4,FALSE)</f>
        <v>小w</v>
      </c>
      <c r="G59" s="246" t="str">
        <f>LOOKUP(1,0/(setting!$K$35:$K$65=各车间日况!I59),setting!$L$35:$L$65)</f>
        <v>30"24针</v>
      </c>
      <c r="H59" s="44" t="str">
        <f>IF(COUNTIF(C$36:C59,C59)=1,B59,LOOKUP(1,0/(C$35:C58=C59),H$35:H58)&amp;","&amp;B59)</f>
        <v>19,24</v>
      </c>
      <c r="I59" s="76" t="str">
        <f t="shared" si="3"/>
        <v>45小w</v>
      </c>
      <c r="K59" s="2"/>
      <c r="M59" s="1"/>
      <c r="P59" s="41"/>
    </row>
    <row r="60" spans="2:16" ht="15" hidden="1" customHeight="1" outlineLevel="1">
      <c r="B60" s="47">
        <v>25</v>
      </c>
      <c r="C60" s="205" t="s">
        <v>112</v>
      </c>
      <c r="D60" s="194" t="str">
        <f>VLOOKUP(C60,setting!$F$34:$G$75,2,FALSE)</f>
        <v>A50-30-28</v>
      </c>
      <c r="E60" s="76">
        <f>VLOOKUP(C60,小圆机汇总表!A:AP,7,FALSE)</f>
        <v>35</v>
      </c>
      <c r="F60" s="76" t="str">
        <f>VLOOKUP(C60,小圆机汇总表!A:AP,4,FALSE)</f>
        <v>黑</v>
      </c>
      <c r="G60" s="246" t="str">
        <f>LOOKUP(1,0/(setting!$K$35:$K$65=各车间日况!I60),setting!$L$35:$L$65)</f>
        <v>30"28针</v>
      </c>
      <c r="H60" s="44" t="str">
        <f>IF(COUNTIF(C$36:C60,C60)=1,B60,LOOKUP(1,0/(C$35:C59=C60),H$35:H59)&amp;","&amp;B60)</f>
        <v>2,3,8,10,13,14,22,23,25</v>
      </c>
      <c r="I60" s="76" t="str">
        <f t="shared" si="3"/>
        <v>35黑</v>
      </c>
      <c r="K60" s="2"/>
      <c r="M60" s="1"/>
      <c r="P60" s="41"/>
    </row>
    <row r="61" spans="2:16" ht="15" hidden="1" customHeight="1" outlineLevel="1">
      <c r="B61" s="47">
        <v>26</v>
      </c>
      <c r="C61" s="176" t="s">
        <v>116</v>
      </c>
      <c r="D61" s="194" t="str">
        <f>VLOOKUP(C61,setting!$F$34:$G$75,2,FALSE)</f>
        <v>B50-30-24</v>
      </c>
      <c r="E61" s="76">
        <f>VLOOKUP(C61,小圆机汇总表!A:AP,7,FALSE)</f>
        <v>36</v>
      </c>
      <c r="F61" s="76" t="str">
        <f>VLOOKUP(C61,小圆机汇总表!A:AP,4,FALSE)</f>
        <v>大W高温</v>
      </c>
      <c r="G61" s="246" t="str">
        <f>LOOKUP(1,0/(setting!$K$35:$K$65=各车间日况!I61),setting!$L$35:$L$65)</f>
        <v>30"24针</v>
      </c>
      <c r="H61" s="44" t="str">
        <f>IF(COUNTIF(C$36:C61,C61)=1,B61,LOOKUP(1,0/(C$35:C60=C61),H$35:H60)&amp;","&amp;B61)</f>
        <v>5,6,9,12,15,16,17,18,26</v>
      </c>
      <c r="I61" s="76" t="str">
        <f t="shared" si="3"/>
        <v>36大W高温</v>
      </c>
      <c r="K61" s="2"/>
      <c r="M61" s="1"/>
      <c r="P61" s="41"/>
    </row>
    <row r="62" spans="2:16" ht="15" hidden="1" customHeight="1" outlineLevel="1">
      <c r="B62" s="47">
        <v>27</v>
      </c>
      <c r="C62" s="248" t="s">
        <v>3198</v>
      </c>
      <c r="D62" s="194" t="str">
        <f>VLOOKUP(C62,setting!$F$34:$G$75,2,FALSE)</f>
        <v>B50-30-24</v>
      </c>
      <c r="E62" s="76">
        <f>VLOOKUP(C62,小圆机汇总表!A:AP,7,FALSE)</f>
        <v>36</v>
      </c>
      <c r="F62" s="76" t="str">
        <f>VLOOKUP(C62,小圆机汇总表!A:AP,4,FALSE)</f>
        <v>大W高温</v>
      </c>
      <c r="G62" s="246" t="str">
        <f>LOOKUP(1,0/(setting!$K$35:$K$65=各车间日况!I62),setting!$L$35:$L$65)</f>
        <v>30"24针</v>
      </c>
      <c r="H62" s="44" t="str">
        <f>IF(COUNTIF(C$36:C62,C62)=1,B62,LOOKUP(1,0/(C$35:C61=C62),H$35:H61)&amp;","&amp;B62)</f>
        <v>5,6,9,12,15,16,17,18,26,27</v>
      </c>
      <c r="I62" s="76" t="str">
        <f t="shared" si="3"/>
        <v>36大W高温</v>
      </c>
      <c r="K62" s="2"/>
      <c r="M62" s="1"/>
      <c r="P62" s="41"/>
    </row>
    <row r="63" spans="2:16" ht="15" hidden="1" customHeight="1" outlineLevel="1">
      <c r="B63" s="47">
        <v>28</v>
      </c>
      <c r="C63" s="205" t="s">
        <v>2223</v>
      </c>
      <c r="D63" s="194" t="str">
        <f>VLOOKUP(C63,setting!$F$34:$G$75,2,FALSE)</f>
        <v>B50-30-24</v>
      </c>
      <c r="E63" s="76">
        <f>VLOOKUP(C63,小圆机汇总表!A:AP,7,FALSE)</f>
        <v>36</v>
      </c>
      <c r="F63" s="76" t="str">
        <f>VLOOKUP(C63,小圆机汇总表!A:AP,4,FALSE)</f>
        <v>大W高温</v>
      </c>
      <c r="G63" s="246" t="str">
        <f>LOOKUP(1,0/(setting!$K$35:$K$65=各车间日况!I63),setting!$L$35:$L$65)</f>
        <v>30"24针</v>
      </c>
      <c r="H63" s="44" t="str">
        <f>IF(COUNTIF(C$36:C63,C63)=1,B63,LOOKUP(1,0/(C$35:C62=C63),H$35:H62)&amp;","&amp;B63)</f>
        <v>5,6,9,12,15,16,17,18,26,27,28</v>
      </c>
      <c r="I63" s="76" t="str">
        <f t="shared" si="3"/>
        <v>36大W高温</v>
      </c>
      <c r="K63" s="2"/>
      <c r="M63" s="1"/>
      <c r="P63" s="41"/>
    </row>
    <row r="64" spans="2:16" ht="15" hidden="1" customHeight="1" outlineLevel="1">
      <c r="B64" s="47">
        <v>29</v>
      </c>
      <c r="C64" s="248" t="s">
        <v>1653</v>
      </c>
      <c r="D64" s="194" t="str">
        <f>VLOOKUP(C64,setting!$F$34:$G$75,2,FALSE)</f>
        <v>A50-30-28</v>
      </c>
      <c r="E64" s="76">
        <f>VLOOKUP(C64,小圆机汇总表!A:AP,7,FALSE)</f>
        <v>35</v>
      </c>
      <c r="F64" s="76" t="str">
        <f>VLOOKUP(C64,小圆机汇总表!A:AP,4,FALSE)</f>
        <v>黑</v>
      </c>
      <c r="G64" s="246" t="str">
        <f>LOOKUP(1,0/(setting!$K$35:$K$65=各车间日况!I64),setting!$L$35:$L$65)</f>
        <v>30"28针</v>
      </c>
      <c r="H64" s="44" t="str">
        <f>IF(COUNTIF(C$36:C64,C64)=1,B64,LOOKUP(1,0/(C$35:C63=C64),H$35:H63)&amp;","&amp;B64)</f>
        <v>2,3,8,10,13,14,22,23,25,29</v>
      </c>
      <c r="I64" s="76" t="str">
        <f t="shared" si="3"/>
        <v>35黑</v>
      </c>
      <c r="K64" s="2"/>
      <c r="M64" s="1"/>
      <c r="P64" s="41"/>
    </row>
    <row r="65" spans="2:16" ht="15" hidden="1" customHeight="1" outlineLevel="1">
      <c r="B65" s="47">
        <v>30</v>
      </c>
      <c r="C65" s="176" t="s">
        <v>116</v>
      </c>
      <c r="D65" s="194" t="str">
        <f>VLOOKUP(C65,setting!$F$34:$G$75,2,FALSE)</f>
        <v>B50-30-24</v>
      </c>
      <c r="E65" s="76">
        <f>VLOOKUP(C65,小圆机汇总表!A:AP,7,FALSE)</f>
        <v>36</v>
      </c>
      <c r="F65" s="76" t="str">
        <f>VLOOKUP(C65,小圆机汇总表!A:AP,4,FALSE)</f>
        <v>大W高温</v>
      </c>
      <c r="G65" s="246" t="str">
        <f>LOOKUP(1,0/(setting!$K$35:$K$65=各车间日况!I65),setting!$L$35:$L$65)</f>
        <v>30"24针</v>
      </c>
      <c r="H65" s="44" t="str">
        <f>IF(COUNTIF(C$36:C65,C65)=1,B65,LOOKUP(1,0/(C$35:C64=C65),H$35:H64)&amp;","&amp;B65)</f>
        <v>5,6,9,12,15,16,17,18,26,27,28,30</v>
      </c>
      <c r="I65" s="76" t="str">
        <f t="shared" si="3"/>
        <v>36大W高温</v>
      </c>
      <c r="K65" s="2"/>
      <c r="M65" s="1"/>
      <c r="P65" s="41"/>
    </row>
    <row r="66" spans="2:16" ht="15" hidden="1" customHeight="1" outlineLevel="1">
      <c r="B66" s="47">
        <v>31</v>
      </c>
      <c r="C66" s="248" t="s">
        <v>1517</v>
      </c>
      <c r="D66" s="194" t="str">
        <f>VLOOKUP(C66,setting!$F$34:$G$75,2,FALSE)</f>
        <v>A50-30-28</v>
      </c>
      <c r="E66" s="76">
        <f>VLOOKUP(C66,小圆机汇总表!A:AP,7,FALSE)</f>
        <v>38</v>
      </c>
      <c r="F66" s="76" t="str">
        <f>VLOOKUP(C66,小圆机汇总表!A:AP,4,FALSE)</f>
        <v>小w</v>
      </c>
      <c r="G66" s="246" t="str">
        <f>LOOKUP(1,0/(setting!$K$35:$K$65=各车间日况!I66),setting!$L$35:$L$65)</f>
        <v>30"28针</v>
      </c>
      <c r="H66" s="44">
        <f>IF(COUNTIF(C$36:C66,C66)=1,B66,LOOKUP(1,0/(C$35:C65=C66),H$35:H65)&amp;","&amp;B66)</f>
        <v>31</v>
      </c>
      <c r="I66" s="76" t="str">
        <f t="shared" si="3"/>
        <v>38小w</v>
      </c>
      <c r="K66" s="2"/>
      <c r="M66" s="1"/>
      <c r="P66" s="41"/>
    </row>
    <row r="67" spans="2:16" ht="15" hidden="1" customHeight="1" outlineLevel="1">
      <c r="B67" s="47">
        <v>32</v>
      </c>
      <c r="C67" s="248" t="s">
        <v>1517</v>
      </c>
      <c r="D67" s="194" t="str">
        <f>VLOOKUP(C67,setting!$F$34:$G$75,2,FALSE)</f>
        <v>A50-30-28</v>
      </c>
      <c r="E67" s="76">
        <f>VLOOKUP(C67,小圆机汇总表!A:AP,7,FALSE)</f>
        <v>38</v>
      </c>
      <c r="F67" s="76" t="str">
        <f>VLOOKUP(C67,小圆机汇总表!A:AP,4,FALSE)</f>
        <v>小w</v>
      </c>
      <c r="G67" s="246" t="str">
        <f>LOOKUP(1,0/(setting!$K$35:$K$65=各车间日况!I67),setting!$L$35:$L$65)</f>
        <v>30"28针</v>
      </c>
      <c r="H67" s="44" t="str">
        <f>IF(COUNTIF(C$36:C67,C67)=1,B67,LOOKUP(1,0/(C$35:C66=C67),H$35:H66)&amp;","&amp;B67)</f>
        <v>31,32</v>
      </c>
      <c r="I67" s="76" t="str">
        <f t="shared" si="3"/>
        <v>38小w</v>
      </c>
      <c r="K67" s="2"/>
      <c r="M67" s="1"/>
      <c r="P67" s="41"/>
    </row>
    <row r="68" spans="2:16" ht="15" hidden="1" customHeight="1" outlineLevel="1">
      <c r="B68" s="47">
        <v>33</v>
      </c>
      <c r="C68" s="248" t="s">
        <v>1517</v>
      </c>
      <c r="D68" s="194" t="str">
        <f>VLOOKUP(C68,setting!$F$34:$G$75,2,FALSE)</f>
        <v>A50-30-28</v>
      </c>
      <c r="E68" s="76">
        <f>VLOOKUP(C68,小圆机汇总表!A:AP,7,FALSE)</f>
        <v>38</v>
      </c>
      <c r="F68" s="76" t="str">
        <f>VLOOKUP(C68,小圆机汇总表!A:AP,4,FALSE)</f>
        <v>小w</v>
      </c>
      <c r="G68" s="246" t="str">
        <f>LOOKUP(1,0/(setting!$K$35:$K$65=各车间日况!I68),setting!$L$35:$L$65)</f>
        <v>30"28针</v>
      </c>
      <c r="H68" s="44" t="str">
        <f>IF(COUNTIF(C$36:C68,C68)=1,B68,LOOKUP(1,0/(C$35:C67=C68),H$35:H67)&amp;","&amp;B68)</f>
        <v>31,32,33</v>
      </c>
      <c r="I68" s="76" t="str">
        <f t="shared" si="3"/>
        <v>38小w</v>
      </c>
      <c r="K68" s="2"/>
      <c r="M68" s="1"/>
      <c r="P68" s="41"/>
    </row>
    <row r="69" spans="2:16" ht="15" hidden="1" customHeight="1" outlineLevel="1">
      <c r="B69" s="47">
        <v>34</v>
      </c>
      <c r="C69" s="248" t="s">
        <v>1517</v>
      </c>
      <c r="D69" s="194" t="str">
        <f>VLOOKUP(C69,setting!$F$34:$G$75,2,FALSE)</f>
        <v>A50-30-28</v>
      </c>
      <c r="E69" s="76">
        <f>VLOOKUP(C69,小圆机汇总表!A:AP,7,FALSE)</f>
        <v>38</v>
      </c>
      <c r="F69" s="76" t="str">
        <f>VLOOKUP(C69,小圆机汇总表!A:AP,4,FALSE)</f>
        <v>小w</v>
      </c>
      <c r="G69" s="246" t="str">
        <f>LOOKUP(1,0/(setting!$K$35:$K$65=各车间日况!I69),setting!$L$35:$L$65)</f>
        <v>30"28针</v>
      </c>
      <c r="H69" s="44" t="str">
        <f>IF(COUNTIF(C$36:C69,C69)=1,B69,LOOKUP(1,0/(C$35:C68=C69),H$35:H68)&amp;","&amp;B69)</f>
        <v>31,32,33,34</v>
      </c>
      <c r="I69" s="76" t="str">
        <f t="shared" si="3"/>
        <v>38小w</v>
      </c>
      <c r="K69" s="2"/>
      <c r="M69" s="1"/>
      <c r="P69" s="41"/>
    </row>
    <row r="70" spans="2:16" ht="15" hidden="1" customHeight="1" outlineLevel="1">
      <c r="B70" s="47">
        <v>35</v>
      </c>
      <c r="C70" s="248" t="s">
        <v>116</v>
      </c>
      <c r="D70" s="194" t="str">
        <f>VLOOKUP(C70,setting!$F$34:$G$75,2,FALSE)</f>
        <v>B50-30-24</v>
      </c>
      <c r="E70" s="76">
        <f>VLOOKUP(C70,小圆机汇总表!A:AP,7,FALSE)</f>
        <v>36</v>
      </c>
      <c r="F70" s="76" t="str">
        <f>VLOOKUP(C70,小圆机汇总表!A:AP,4,FALSE)</f>
        <v>大W高温</v>
      </c>
      <c r="G70" s="246" t="str">
        <f>LOOKUP(1,0/(setting!$K$35:$K$65=各车间日况!I70),setting!$L$35:$L$65)</f>
        <v>30"24针</v>
      </c>
      <c r="H70" s="44" t="str">
        <f>IF(COUNTIF(C$36:C70,C70)=1,B70,LOOKUP(1,0/(C$35:C69=C70),H$35:H69)&amp;","&amp;B70)</f>
        <v>5,6,9,12,15,16,17,18,26,27,28,30,35</v>
      </c>
      <c r="I70" s="76" t="str">
        <f t="shared" si="3"/>
        <v>36大W高温</v>
      </c>
      <c r="K70" s="2"/>
      <c r="M70" s="1"/>
      <c r="P70" s="41"/>
    </row>
    <row r="71" spans="2:16" ht="15" hidden="1" customHeight="1" outlineLevel="1">
      <c r="B71" s="47">
        <v>36</v>
      </c>
      <c r="C71" s="248" t="s">
        <v>2575</v>
      </c>
      <c r="D71" s="194" t="str">
        <f>VLOOKUP(C71,setting!$F$34:$G$75,2,FALSE)</f>
        <v>A50-30-28</v>
      </c>
      <c r="E71" s="76">
        <f>VLOOKUP(C71,小圆机汇总表!A:AP,7,FALSE)</f>
        <v>27</v>
      </c>
      <c r="F71" s="76" t="str">
        <f>VLOOKUP(C71,小圆机汇总表!A:AP,4,FALSE)</f>
        <v>直平纹</v>
      </c>
      <c r="G71" s="246" t="str">
        <f>LOOKUP(1,0/(setting!$K$35:$K$65=各车间日况!I71),setting!$L$35:$L$65)</f>
        <v>30"28针</v>
      </c>
      <c r="H71" s="44">
        <f>IF(COUNTIF(C$36:C71,C71)=1,B71,LOOKUP(1,0/(C$35:C70=C71),H$35:H70)&amp;","&amp;B71)</f>
        <v>36</v>
      </c>
      <c r="I71" s="76" t="str">
        <f t="shared" si="3"/>
        <v>27直平纹</v>
      </c>
      <c r="K71" s="2"/>
      <c r="M71" s="1"/>
      <c r="P71" s="41"/>
    </row>
    <row r="72" spans="2:16" ht="15" hidden="1" customHeight="1" outlineLevel="1">
      <c r="B72" s="47">
        <v>37</v>
      </c>
      <c r="C72" s="248" t="s">
        <v>2575</v>
      </c>
      <c r="D72" s="194" t="str">
        <f>VLOOKUP(C72,setting!$F$34:$G$75,2,FALSE)</f>
        <v>A50-30-28</v>
      </c>
      <c r="E72" s="76">
        <f>VLOOKUP(C72,小圆机汇总表!A:AP,7,FALSE)</f>
        <v>27</v>
      </c>
      <c r="F72" s="76" t="str">
        <f>VLOOKUP(C72,小圆机汇总表!A:AP,4,FALSE)</f>
        <v>直平纹</v>
      </c>
      <c r="G72" s="246" t="str">
        <f>LOOKUP(1,0/(setting!$K$35:$K$65=各车间日况!I72),setting!$L$35:$L$65)</f>
        <v>30"28针</v>
      </c>
      <c r="H72" s="44" t="str">
        <f>IF(COUNTIF(C$36:C72,C72)=1,B72,LOOKUP(1,0/(C$35:C71=C72),H$35:H71)&amp;","&amp;B72)</f>
        <v>36,37</v>
      </c>
      <c r="I72" s="76" t="str">
        <f t="shared" si="3"/>
        <v>27直平纹</v>
      </c>
      <c r="K72" s="2"/>
      <c r="M72" s="1"/>
      <c r="P72" s="41"/>
    </row>
    <row r="73" spans="2:16" ht="15" hidden="1" customHeight="1" outlineLevel="1">
      <c r="B73" s="47">
        <v>38</v>
      </c>
      <c r="C73" s="205" t="s">
        <v>112</v>
      </c>
      <c r="D73" s="194" t="str">
        <f>VLOOKUP(C73,setting!$F$34:$G$75,2,FALSE)</f>
        <v>A50-30-28</v>
      </c>
      <c r="E73" s="76">
        <f>VLOOKUP(C73,小圆机汇总表!A:AP,7,FALSE)</f>
        <v>35</v>
      </c>
      <c r="F73" s="76" t="str">
        <f>VLOOKUP(C73,小圆机汇总表!A:AP,4,FALSE)</f>
        <v>黑</v>
      </c>
      <c r="G73" s="246" t="str">
        <f>LOOKUP(1,0/(setting!$K$35:$K$65=各车间日况!I73),setting!$L$35:$L$65)</f>
        <v>30"28针</v>
      </c>
      <c r="H73" s="44" t="str">
        <f>IF(COUNTIF(C$36:C73,C73)=1,B73,LOOKUP(1,0/(C$35:C72=C73),H$35:H72)&amp;","&amp;B73)</f>
        <v>2,3,8,10,13,14,22,23,25,29,38</v>
      </c>
      <c r="I73" s="76" t="str">
        <f t="shared" si="3"/>
        <v>35黑</v>
      </c>
      <c r="K73" s="2"/>
      <c r="M73" s="1"/>
      <c r="P73" s="41"/>
    </row>
    <row r="74" spans="2:16" ht="15" hidden="1" customHeight="1" outlineLevel="1">
      <c r="B74" s="47">
        <v>39</v>
      </c>
      <c r="C74" s="248" t="s">
        <v>2575</v>
      </c>
      <c r="D74" s="194" t="str">
        <f>VLOOKUP(C74,setting!$F$34:$G$75,2,FALSE)</f>
        <v>A50-30-28</v>
      </c>
      <c r="E74" s="76">
        <f>VLOOKUP(C74,小圆机汇总表!A:AP,7,FALSE)</f>
        <v>27</v>
      </c>
      <c r="F74" s="76" t="str">
        <f>VLOOKUP(C74,小圆机汇总表!A:AP,4,FALSE)</f>
        <v>直平纹</v>
      </c>
      <c r="G74" s="246" t="str">
        <f>LOOKUP(1,0/(setting!$K$35:$K$65=各车间日况!I74),setting!$L$35:$L$65)</f>
        <v>30"28针</v>
      </c>
      <c r="H74" s="44" t="str">
        <f>IF(COUNTIF(C$36:C74,C74)=1,B74,LOOKUP(1,0/(C$35:C73=C74),H$35:H73)&amp;","&amp;B74)</f>
        <v>36,37,39</v>
      </c>
      <c r="I74" s="76" t="str">
        <f t="shared" si="3"/>
        <v>27直平纹</v>
      </c>
      <c r="K74" s="2"/>
      <c r="M74" s="1"/>
      <c r="P74" s="41"/>
    </row>
    <row r="75" spans="2:16" ht="15" hidden="1" customHeight="1" outlineLevel="1">
      <c r="B75" s="47">
        <v>40</v>
      </c>
      <c r="C75" s="248" t="s">
        <v>2248</v>
      </c>
      <c r="D75" s="194" t="str">
        <f>VLOOKUP(C75,setting!$F$34:$G$75,2,FALSE)</f>
        <v>C50-26-28</v>
      </c>
      <c r="E75" s="76">
        <f>VLOOKUP(C75,小圆机汇总表!A:AP,7,FALSE)</f>
        <v>40</v>
      </c>
      <c r="F75" s="76" t="str">
        <f>VLOOKUP(C75,小圆机汇总表!A:AP,4,FALSE)</f>
        <v>小w</v>
      </c>
      <c r="G75" s="246" t="str">
        <f>LOOKUP(1,0/(setting!$K$35:$K$65=各车间日况!I75),setting!$L$35:$L$65)</f>
        <v>30"28针</v>
      </c>
      <c r="H75" s="44">
        <f>IF(COUNTIF(C$36:C75,C75)=1,B75,LOOKUP(1,0/(C$35:C74=C75),H$35:H74)&amp;","&amp;B75)</f>
        <v>40</v>
      </c>
      <c r="I75" s="76" t="str">
        <f t="shared" si="3"/>
        <v>40小w</v>
      </c>
      <c r="K75" s="2"/>
      <c r="M75" s="1"/>
      <c r="P75" s="41"/>
    </row>
    <row r="76" spans="2:16" ht="15" hidden="1" customHeight="1" outlineLevel="1">
      <c r="B76" s="47">
        <v>41</v>
      </c>
      <c r="C76" s="248" t="s">
        <v>1517</v>
      </c>
      <c r="D76" s="194" t="str">
        <f>VLOOKUP(C76,setting!$F$34:$G$75,2,FALSE)</f>
        <v>A50-30-28</v>
      </c>
      <c r="E76" s="76">
        <f>VLOOKUP(C76,小圆机汇总表!A:AP,7,FALSE)</f>
        <v>38</v>
      </c>
      <c r="F76" s="76" t="str">
        <f>VLOOKUP(C76,小圆机汇总表!A:AP,4,FALSE)</f>
        <v>小w</v>
      </c>
      <c r="G76" s="246" t="str">
        <f>LOOKUP(1,0/(setting!$K$35:$K$65=各车间日况!I76),setting!$L$35:$L$65)</f>
        <v>30"28针</v>
      </c>
      <c r="H76" s="44" t="str">
        <f>IF(COUNTIF(C$36:C76,C76)=1,B76,LOOKUP(1,0/(C$35:C75=C76),H$35:H75)&amp;","&amp;B76)</f>
        <v>31,32,33,34,41</v>
      </c>
      <c r="I76" s="76" t="str">
        <f t="shared" si="3"/>
        <v>38小w</v>
      </c>
      <c r="K76" s="2"/>
      <c r="M76" s="1"/>
      <c r="P76" s="41"/>
    </row>
    <row r="77" spans="2:16" ht="15" hidden="1" customHeight="1" outlineLevel="1">
      <c r="B77" s="47">
        <v>42</v>
      </c>
      <c r="C77" s="248" t="s">
        <v>995</v>
      </c>
      <c r="D77" s="194" t="str">
        <f>VLOOKUP(C77,setting!$F$34:$G$75,2,FALSE)</f>
        <v>A50-30-28</v>
      </c>
      <c r="E77" s="76">
        <f>VLOOKUP(C77,小圆机汇总表!A:AP,7,FALSE)</f>
        <v>32</v>
      </c>
      <c r="F77" s="76" t="str">
        <f>VLOOKUP(C77,小圆机汇总表!A:AP,4,FALSE)</f>
        <v>大W</v>
      </c>
      <c r="G77" s="246" t="str">
        <f>LOOKUP(1,0/(setting!$K$35:$K$65=各车间日况!I77),setting!$L$35:$L$65)</f>
        <v>30"28针</v>
      </c>
      <c r="H77" s="44">
        <f>IF(COUNTIF(C$36:C77,C77)=1,B77,LOOKUP(1,0/(C$35:C76=C77),H$35:H76)&amp;","&amp;B77)</f>
        <v>42</v>
      </c>
      <c r="I77" s="76" t="str">
        <f t="shared" si="3"/>
        <v>32大W</v>
      </c>
      <c r="K77" s="2"/>
      <c r="M77" s="1"/>
      <c r="P77" s="41"/>
    </row>
    <row r="78" spans="2:16" ht="15" hidden="1" customHeight="1" outlineLevel="1">
      <c r="B78" s="87">
        <v>43</v>
      </c>
      <c r="C78" s="248" t="s">
        <v>1623</v>
      </c>
      <c r="D78" s="194" t="str">
        <f>VLOOKUP(C78,setting!$F$34:$G$75,2,FALSE)</f>
        <v>A50-30-28</v>
      </c>
      <c r="E78" s="76">
        <f>VLOOKUP(C78,小圆机汇总表!A:AP,7,FALSE)</f>
        <v>35</v>
      </c>
      <c r="F78" s="76" t="str">
        <f>VLOOKUP(C78,小圆机汇总表!A:AP,4,FALSE)</f>
        <v>小w</v>
      </c>
      <c r="G78" s="246" t="str">
        <f>LOOKUP(1,0/(setting!$K$35:$K$65=各车间日况!I78),setting!$L$35:$L$65)</f>
        <v>30"28针</v>
      </c>
      <c r="H78" s="44">
        <f>IF(COUNTIF(C$36:C78,C78)=1,B78,LOOKUP(1,0/(C$35:C77=C78),H$35:H77)&amp;","&amp;B78)</f>
        <v>43</v>
      </c>
      <c r="I78" s="76" t="str">
        <f t="shared" si="3"/>
        <v>35小w</v>
      </c>
      <c r="K78" s="2"/>
      <c r="M78" s="1"/>
      <c r="P78" s="41"/>
    </row>
    <row r="79" spans="2:16" ht="15" hidden="1" customHeight="1" outlineLevel="1">
      <c r="B79" s="47">
        <v>44</v>
      </c>
      <c r="C79" s="205" t="s">
        <v>19</v>
      </c>
      <c r="D79" s="194" t="str">
        <f>VLOOKUP(C79,setting!$F$34:$G$75,2,FALSE)</f>
        <v>B30-30-32</v>
      </c>
      <c r="E79" s="76">
        <f>VLOOKUP(C79,小圆机汇总表!A:AP,7,FALSE)</f>
        <v>23</v>
      </c>
      <c r="F79" s="76" t="str">
        <f>VLOOKUP(C79,小圆机汇总表!A:AP,4,FALSE)</f>
        <v>乱平纹</v>
      </c>
      <c r="G79" s="246" t="str">
        <f>LOOKUP(1,0/(setting!$K$35:$K$65=各车间日况!I79),setting!$L$35:$L$65)</f>
        <v>30"32针</v>
      </c>
      <c r="H79" s="44">
        <f>IF(COUNTIF(C$36:C79,C79)=1,B79,LOOKUP(1,0/(C$35:C78=C79),H$35:H78)&amp;","&amp;B79)</f>
        <v>44</v>
      </c>
      <c r="I79" s="76" t="str">
        <f t="shared" si="3"/>
        <v>23乱平纹</v>
      </c>
      <c r="K79" s="2"/>
      <c r="M79" s="1"/>
      <c r="P79" s="41"/>
    </row>
    <row r="80" spans="2:16" ht="15" hidden="1" customHeight="1" outlineLevel="1">
      <c r="B80" s="47">
        <v>45</v>
      </c>
      <c r="C80" s="248" t="s">
        <v>1623</v>
      </c>
      <c r="D80" s="194" t="str">
        <f>VLOOKUP(C80,setting!$F$34:$G$75,2,FALSE)</f>
        <v>A50-30-28</v>
      </c>
      <c r="E80" s="76">
        <f>VLOOKUP(C80,小圆机汇总表!A:AP,7,FALSE)</f>
        <v>35</v>
      </c>
      <c r="F80" s="76" t="str">
        <f>VLOOKUP(C80,小圆机汇总表!A:AP,4,FALSE)</f>
        <v>小w</v>
      </c>
      <c r="G80" s="246" t="str">
        <f>LOOKUP(1,0/(setting!$K$35:$K$65=各车间日况!I80),setting!$L$35:$L$65)</f>
        <v>30"28针</v>
      </c>
      <c r="H80" s="44" t="str">
        <f>IF(COUNTIF(C$36:C80,C80)=1,B80,LOOKUP(1,0/(C$35:C79=C80),H$35:H79)&amp;","&amp;B80)</f>
        <v>43,45</v>
      </c>
      <c r="I80" s="76" t="str">
        <f t="shared" si="3"/>
        <v>35小w</v>
      </c>
      <c r="K80" s="2"/>
      <c r="M80" s="1"/>
      <c r="P80" s="41"/>
    </row>
    <row r="81" spans="2:16" ht="15" hidden="1" customHeight="1" outlineLevel="1">
      <c r="B81" s="47">
        <v>46</v>
      </c>
      <c r="C81" s="176" t="s">
        <v>1023</v>
      </c>
      <c r="D81" s="194" t="str">
        <f>VLOOKUP(C81,setting!$F$34:$G$75,2,FALSE)</f>
        <v>C75-30-20</v>
      </c>
      <c r="E81" s="76">
        <f>VLOOKUP(C81,小圆机汇总表!A:AP,7,FALSE)</f>
        <v>42</v>
      </c>
      <c r="F81" s="76" t="str">
        <f>VLOOKUP(C81,小圆机汇总表!A:AP,4,FALSE)</f>
        <v>大W</v>
      </c>
      <c r="G81" s="246" t="str">
        <f>LOOKUP(1,0/(setting!$K$35:$K$65=各车间日况!I81),setting!$L$35:$L$65)</f>
        <v>30"20针</v>
      </c>
      <c r="H81" s="44">
        <f>IF(COUNTIF(C$36:C81,C81)=1,B81,LOOKUP(1,0/(C$35:C80=C81),H$35:H80)&amp;","&amp;B81)</f>
        <v>46</v>
      </c>
      <c r="I81" s="76" t="str">
        <f t="shared" si="3"/>
        <v>42大W</v>
      </c>
      <c r="K81" s="2"/>
      <c r="M81" s="1"/>
      <c r="P81" s="41"/>
    </row>
    <row r="82" spans="2:16" ht="15" hidden="1" customHeight="1" outlineLevel="1">
      <c r="B82" s="47">
        <v>47</v>
      </c>
      <c r="C82" s="248" t="s">
        <v>116</v>
      </c>
      <c r="D82" s="194" t="str">
        <f>VLOOKUP(C82,setting!$F$34:$G$75,2,FALSE)</f>
        <v>B50-30-24</v>
      </c>
      <c r="E82" s="76">
        <f>VLOOKUP(C82,小圆机汇总表!A:AP,7,FALSE)</f>
        <v>36</v>
      </c>
      <c r="F82" s="76" t="str">
        <f>VLOOKUP(C82,小圆机汇总表!A:AP,4,FALSE)</f>
        <v>大W高温</v>
      </c>
      <c r="G82" s="246" t="str">
        <f>LOOKUP(1,0/(setting!$K$35:$K$65=各车间日况!I82),setting!$L$35:$L$65)</f>
        <v>30"24针</v>
      </c>
      <c r="H82" s="44" t="str">
        <f>IF(COUNTIF(C$36:C82,C82)=1,B82,LOOKUP(1,0/(C$35:C81=C82),H$35:H81)&amp;","&amp;B82)</f>
        <v>5,6,9,12,15,16,17,18,26,27,28,30,35,47</v>
      </c>
      <c r="I82" s="76" t="str">
        <f t="shared" si="3"/>
        <v>36大W高温</v>
      </c>
      <c r="K82" s="2"/>
      <c r="M82" s="1"/>
      <c r="P82" s="41"/>
    </row>
    <row r="83" spans="2:16" ht="15" hidden="1" customHeight="1" outlineLevel="1">
      <c r="B83" s="47">
        <v>48</v>
      </c>
      <c r="C83" s="176" t="s">
        <v>128</v>
      </c>
      <c r="D83" s="194" t="str">
        <f>VLOOKUP(C83,setting!$F$34:$G$75,2,FALSE)</f>
        <v>A50-30-28</v>
      </c>
      <c r="E83" s="76">
        <f>VLOOKUP(C83,小圆机汇总表!A:AP,7,FALSE)</f>
        <v>45</v>
      </c>
      <c r="F83" s="76" t="str">
        <f>VLOOKUP(C83,小圆机汇总表!A:AP,4,FALSE)</f>
        <v>斜乱平纹</v>
      </c>
      <c r="G83" s="246" t="str">
        <f>LOOKUP(1,0/(setting!$K$35:$K$65=各车间日况!I83),setting!$L$35:$L$65)</f>
        <v>30"28针</v>
      </c>
      <c r="H83" s="44" t="str">
        <f>IF(COUNTIF(C$36:C83,C83)=1,B83,LOOKUP(1,0/(C$35:C82=C83),H$35:H82)&amp;","&amp;B83)</f>
        <v>11,21,48</v>
      </c>
      <c r="I83" s="76" t="str">
        <f t="shared" si="3"/>
        <v>45斜乱平纹</v>
      </c>
      <c r="K83" s="2"/>
      <c r="M83" s="1"/>
      <c r="P83" s="41"/>
    </row>
    <row r="84" spans="2:16" ht="15" hidden="1" customHeight="1" outlineLevel="1">
      <c r="B84" s="47">
        <v>49</v>
      </c>
      <c r="C84" s="248" t="s">
        <v>2879</v>
      </c>
      <c r="D84" s="194" t="str">
        <f>VLOOKUP(C84,setting!$F$34:$G$75,2,FALSE)</f>
        <v>B75-30-24</v>
      </c>
      <c r="E84" s="76">
        <f>VLOOKUP(C84,小圆机汇总表!A:AP,7,FALSE)</f>
        <v>45</v>
      </c>
      <c r="F84" s="76" t="str">
        <f>VLOOKUP(C84,小圆机汇总表!A:AP,4,FALSE)</f>
        <v>小w</v>
      </c>
      <c r="G84" s="246" t="str">
        <f>LOOKUP(1,0/(setting!$K$35:$K$65=各车间日况!I84),setting!$L$35:$L$65)</f>
        <v>30"24针</v>
      </c>
      <c r="H84" s="44" t="str">
        <f>IF(COUNTIF(C$36:C84,C84)=1,B84,LOOKUP(1,0/(C$35:C83=C84),H$35:H83)&amp;","&amp;B84)</f>
        <v>19,24,49</v>
      </c>
      <c r="I84" s="76" t="str">
        <f t="shared" si="3"/>
        <v>45小w</v>
      </c>
      <c r="K84" s="2"/>
      <c r="M84" s="1"/>
      <c r="P84" s="41"/>
    </row>
    <row r="85" spans="2:16" ht="15" hidden="1" customHeight="1" outlineLevel="1">
      <c r="B85" s="47">
        <v>50</v>
      </c>
      <c r="C85" s="248" t="s">
        <v>2881</v>
      </c>
      <c r="D85" s="194" t="str">
        <f>VLOOKUP(C85,setting!$F$34:$G$75,2,FALSE)</f>
        <v>B50-30-24</v>
      </c>
      <c r="E85" s="76">
        <f>VLOOKUP(C85,小圆机汇总表!A:AP,7,FALSE)</f>
        <v>34</v>
      </c>
      <c r="F85" s="76" t="str">
        <f>VLOOKUP(C85,小圆机汇总表!A:AP,4,FALSE)</f>
        <v>大W高温</v>
      </c>
      <c r="G85" s="246" t="str">
        <f>LOOKUP(1,0/(setting!$K$35:$K$65=各车间日况!I85),setting!$L$35:$L$65)</f>
        <v>30"24针</v>
      </c>
      <c r="H85" s="44">
        <f>IF(COUNTIF(C$36:C85,C85)=1,B85,LOOKUP(1,0/(C$35:C84=C85),H$35:H84)&amp;","&amp;B85)</f>
        <v>50</v>
      </c>
      <c r="I85" s="76" t="str">
        <f t="shared" si="3"/>
        <v>34大W高温</v>
      </c>
      <c r="K85" s="2"/>
      <c r="M85" s="1"/>
      <c r="P85" s="41"/>
    </row>
    <row r="86" spans="2:16" ht="15" hidden="1" customHeight="1" outlineLevel="1">
      <c r="B86" s="47">
        <v>51</v>
      </c>
      <c r="C86" s="248" t="s">
        <v>1023</v>
      </c>
      <c r="D86" s="194" t="str">
        <f>VLOOKUP(C86,setting!$F$34:$G$75,2,FALSE)</f>
        <v>C75-30-20</v>
      </c>
      <c r="E86" s="76">
        <f>VLOOKUP(C86,小圆机汇总表!A:AP,7,FALSE)</f>
        <v>42</v>
      </c>
      <c r="F86" s="76" t="str">
        <f>VLOOKUP(C86,小圆机汇总表!A:AP,4,FALSE)</f>
        <v>大W</v>
      </c>
      <c r="G86" s="246" t="str">
        <f>LOOKUP(1,0/(setting!$K$35:$K$65=各车间日况!I86),setting!$L$35:$L$65)</f>
        <v>30"20针</v>
      </c>
      <c r="H86" s="44" t="str">
        <f>IF(COUNTIF(C$36:C86,C86)=1,B86,LOOKUP(1,0/(C$35:C85=C86),H$35:H85)&amp;","&amp;B86)</f>
        <v>46,51</v>
      </c>
      <c r="I86" s="76" t="str">
        <f t="shared" si="3"/>
        <v>42大W</v>
      </c>
      <c r="K86" s="2"/>
      <c r="M86" s="1"/>
      <c r="P86" s="41"/>
    </row>
    <row r="87" spans="2:16" ht="15" hidden="1" customHeight="1" outlineLevel="1">
      <c r="B87" s="47">
        <v>52</v>
      </c>
      <c r="C87" s="176" t="s">
        <v>129</v>
      </c>
      <c r="D87" s="194" t="str">
        <f>VLOOKUP(C87,setting!$F$34:$G$75,2,FALSE)</f>
        <v>A75-30-28</v>
      </c>
      <c r="E87" s="76">
        <f>VLOOKUP(C87,小圆机汇总表!A:AP,7,FALSE)</f>
        <v>48</v>
      </c>
      <c r="F87" s="76" t="str">
        <f>VLOOKUP(C87,小圆机汇总表!A:AP,4,FALSE)</f>
        <v>斜乱平纹</v>
      </c>
      <c r="G87" s="246" t="str">
        <f>LOOKUP(1,0/(setting!$K$35:$K$65=各车间日况!I87),setting!$L$35:$L$65)</f>
        <v>30"28针</v>
      </c>
      <c r="H87" s="44" t="str">
        <f>IF(COUNTIF(C$36:C87,C87)=1,B87,LOOKUP(1,0/(C$35:C86=C87),H$35:H86)&amp;","&amp;B87)</f>
        <v>20,52</v>
      </c>
      <c r="I87" s="76" t="str">
        <f t="shared" si="3"/>
        <v>48斜乱平纹</v>
      </c>
      <c r="K87" s="2"/>
      <c r="M87" s="1"/>
      <c r="P87" s="41"/>
    </row>
    <row r="88" spans="2:16" ht="15" hidden="1" customHeight="1" outlineLevel="1">
      <c r="B88" s="47">
        <v>53</v>
      </c>
      <c r="C88" s="248" t="s">
        <v>2879</v>
      </c>
      <c r="D88" s="194" t="str">
        <f>VLOOKUP(C88,setting!$F$34:$G$75,2,FALSE)</f>
        <v>B75-30-24</v>
      </c>
      <c r="E88" s="76">
        <f>VLOOKUP(C88,小圆机汇总表!A:AP,7,FALSE)</f>
        <v>45</v>
      </c>
      <c r="F88" s="76" t="str">
        <f>VLOOKUP(C88,小圆机汇总表!A:AP,4,FALSE)</f>
        <v>小w</v>
      </c>
      <c r="G88" s="246" t="str">
        <f>LOOKUP(1,0/(setting!$K$35:$K$65=各车间日况!I88),setting!$L$35:$L$65)</f>
        <v>30"24针</v>
      </c>
      <c r="H88" s="44" t="str">
        <f>IF(COUNTIF(C$36:C88,C88)=1,B88,LOOKUP(1,0/(C$35:C87=C88),H$35:H87)&amp;","&amp;B88)</f>
        <v>19,24,49,53</v>
      </c>
      <c r="I88" s="76" t="str">
        <f t="shared" si="3"/>
        <v>45小w</v>
      </c>
      <c r="K88" s="2"/>
      <c r="M88" s="1"/>
      <c r="P88" s="41"/>
    </row>
    <row r="89" spans="2:16" ht="15" hidden="1" customHeight="1" outlineLevel="1">
      <c r="B89" s="47">
        <v>54</v>
      </c>
      <c r="C89" s="176" t="s">
        <v>116</v>
      </c>
      <c r="D89" s="194" t="str">
        <f>VLOOKUP(C89,setting!$F$34:$G$75,2,FALSE)</f>
        <v>B50-30-24</v>
      </c>
      <c r="E89" s="76">
        <f>VLOOKUP(C89,小圆机汇总表!A:AP,7,FALSE)</f>
        <v>36</v>
      </c>
      <c r="F89" s="76" t="str">
        <f>VLOOKUP(C89,小圆机汇总表!A:AP,4,FALSE)</f>
        <v>大W高温</v>
      </c>
      <c r="G89" s="246" t="str">
        <f>LOOKUP(1,0/(setting!$K$35:$K$65=各车间日况!I89),setting!$L$35:$L$65)</f>
        <v>30"24针</v>
      </c>
      <c r="H89" s="44" t="str">
        <f>IF(COUNTIF(C$36:C89,C89)=1,B89,LOOKUP(1,0/(C$35:C88=C89),H$35:H88)&amp;","&amp;B89)</f>
        <v>5,6,9,12,15,16,17,18,26,27,28,30,35,47,54</v>
      </c>
      <c r="I89" s="76" t="str">
        <f t="shared" si="3"/>
        <v>36大W高温</v>
      </c>
      <c r="K89" s="2"/>
      <c r="M89" s="1"/>
      <c r="P89" s="41"/>
    </row>
    <row r="90" spans="2:16" ht="15" hidden="1" customHeight="1" outlineLevel="1">
      <c r="B90" s="47">
        <v>55</v>
      </c>
      <c r="C90" s="176" t="s">
        <v>1023</v>
      </c>
      <c r="D90" s="194" t="str">
        <f>VLOOKUP(C90,setting!$F$34:$G$75,2,FALSE)</f>
        <v>C75-30-20</v>
      </c>
      <c r="E90" s="76">
        <f>VLOOKUP(C90,小圆机汇总表!A:AP,7,FALSE)</f>
        <v>42</v>
      </c>
      <c r="F90" s="76" t="str">
        <f>VLOOKUP(C90,小圆机汇总表!A:AP,4,FALSE)</f>
        <v>大W</v>
      </c>
      <c r="G90" s="246" t="str">
        <f>LOOKUP(1,0/(setting!$K$35:$K$65=各车间日况!I90),setting!$L$35:$L$65)</f>
        <v>30"20针</v>
      </c>
      <c r="H90" s="44" t="str">
        <f>IF(COUNTIF(C$36:C90,C90)=1,B90,LOOKUP(1,0/(C$35:C89=C90),H$35:H89)&amp;","&amp;B90)</f>
        <v>46,51,55</v>
      </c>
      <c r="I90" s="76" t="str">
        <f t="shared" si="3"/>
        <v>42大W</v>
      </c>
      <c r="K90" s="2"/>
      <c r="M90" s="1"/>
      <c r="P90" s="41"/>
    </row>
    <row r="91" spans="2:16" ht="15" hidden="1" customHeight="1" outlineLevel="1">
      <c r="B91" s="47">
        <v>56</v>
      </c>
      <c r="C91" s="205" t="s">
        <v>112</v>
      </c>
      <c r="D91" s="194" t="str">
        <f>VLOOKUP(C91,setting!$F$34:$G$75,2,FALSE)</f>
        <v>A50-30-28</v>
      </c>
      <c r="E91" s="76">
        <f>VLOOKUP(C91,小圆机汇总表!A:AP,7,FALSE)</f>
        <v>35</v>
      </c>
      <c r="F91" s="76" t="str">
        <f>VLOOKUP(C91,小圆机汇总表!A:AP,4,FALSE)</f>
        <v>黑</v>
      </c>
      <c r="G91" s="246" t="str">
        <f>LOOKUP(1,0/(setting!$K$35:$K$65=各车间日况!I91),setting!$L$35:$L$65)</f>
        <v>30"28针</v>
      </c>
      <c r="H91" s="44" t="str">
        <f>IF(COUNTIF(C$36:C91,C91)=1,B91,LOOKUP(1,0/(C$35:C90=C91),H$35:H90)&amp;","&amp;B91)</f>
        <v>2,3,8,10,13,14,22,23,25,29,38,56</v>
      </c>
      <c r="I91" s="76" t="str">
        <f t="shared" si="3"/>
        <v>35黑</v>
      </c>
      <c r="K91" s="2"/>
      <c r="M91" s="1"/>
      <c r="P91" s="41"/>
    </row>
    <row r="92" spans="2:16" ht="15" hidden="1" customHeight="1" outlineLevel="1">
      <c r="B92" s="47">
        <v>57</v>
      </c>
      <c r="C92" s="248" t="s">
        <v>3197</v>
      </c>
      <c r="D92" s="194" t="str">
        <f>VLOOKUP(C92,setting!$F$34:$G$75,2,FALSE)</f>
        <v>B50-30-24</v>
      </c>
      <c r="E92" s="76">
        <f>VLOOKUP(C92,小圆机汇总表!A:AP,7,FALSE)</f>
        <v>34</v>
      </c>
      <c r="F92" s="76" t="str">
        <f>VLOOKUP(C92,小圆机汇总表!A:AP,4,FALSE)</f>
        <v>大W高温</v>
      </c>
      <c r="G92" s="246" t="str">
        <f>LOOKUP(1,0/(setting!$K$35:$K$65=各车间日况!I92),setting!$L$35:$L$65)</f>
        <v>30"24针</v>
      </c>
      <c r="H92" s="44" t="str">
        <f>IF(COUNTIF(C$36:C92,C92)=1,B92,LOOKUP(1,0/(C$35:C91=C92),H$35:H91)&amp;","&amp;B92)</f>
        <v>50,57</v>
      </c>
      <c r="I92" s="76" t="str">
        <f t="shared" si="3"/>
        <v>34大W高温</v>
      </c>
      <c r="K92" s="2"/>
      <c r="M92" s="1"/>
      <c r="P92" s="41"/>
    </row>
    <row r="93" spans="2:16" ht="15" hidden="1" customHeight="1" outlineLevel="1">
      <c r="B93" s="47">
        <v>58</v>
      </c>
      <c r="C93" s="248" t="s">
        <v>2575</v>
      </c>
      <c r="D93" s="194" t="str">
        <f>VLOOKUP(C93,setting!$F$34:$G$75,2,FALSE)</f>
        <v>A50-30-28</v>
      </c>
      <c r="E93" s="76">
        <f>VLOOKUP(C93,小圆机汇总表!A:AP,7,FALSE)</f>
        <v>27</v>
      </c>
      <c r="F93" s="76" t="str">
        <f>VLOOKUP(C93,小圆机汇总表!A:AP,4,FALSE)</f>
        <v>直平纹</v>
      </c>
      <c r="G93" s="246" t="str">
        <f>LOOKUP(1,0/(setting!$K$35:$K$65=各车间日况!I93),setting!$L$35:$L$65)</f>
        <v>30"28针</v>
      </c>
      <c r="H93" s="44" t="str">
        <f>IF(COUNTIF(C$36:C93,C93)=1,B93,LOOKUP(1,0/(C$35:C92=C93),H$35:H92)&amp;","&amp;B93)</f>
        <v>36,37,39,58</v>
      </c>
      <c r="I93" s="76" t="str">
        <f t="shared" si="3"/>
        <v>27直平纹</v>
      </c>
      <c r="K93" s="2"/>
      <c r="M93" s="1"/>
      <c r="P93" s="41"/>
    </row>
    <row r="94" spans="2:16" ht="15" hidden="1" customHeight="1" outlineLevel="1">
      <c r="B94" s="47">
        <v>59</v>
      </c>
      <c r="C94" s="248" t="s">
        <v>2879</v>
      </c>
      <c r="D94" s="194" t="str">
        <f>VLOOKUP(C94,setting!$F$34:$G$75,2,FALSE)</f>
        <v>B75-30-24</v>
      </c>
      <c r="E94" s="76">
        <f>VLOOKUP(C94,小圆机汇总表!A:AP,7,FALSE)</f>
        <v>45</v>
      </c>
      <c r="F94" s="76" t="str">
        <f>VLOOKUP(C94,小圆机汇总表!A:AP,4,FALSE)</f>
        <v>小w</v>
      </c>
      <c r="G94" s="246" t="str">
        <f>LOOKUP(1,0/(setting!$K$35:$K$65=各车间日况!I94),setting!$L$35:$L$65)</f>
        <v>30"24针</v>
      </c>
      <c r="H94" s="44" t="str">
        <f>IF(COUNTIF(C$36:C94,C94)=1,B94,LOOKUP(1,0/(C$35:C93=C94),H$35:H93)&amp;","&amp;B94)</f>
        <v>19,24,49,53,59</v>
      </c>
      <c r="I94" s="76" t="str">
        <f t="shared" si="3"/>
        <v>45小w</v>
      </c>
      <c r="K94" s="2"/>
      <c r="M94" s="1"/>
      <c r="P94" s="41"/>
    </row>
    <row r="95" spans="2:16" ht="15" hidden="1" customHeight="1" outlineLevel="1">
      <c r="B95" s="47">
        <v>60</v>
      </c>
      <c r="C95" s="176" t="s">
        <v>116</v>
      </c>
      <c r="D95" s="194" t="str">
        <f>VLOOKUP(C95,setting!$F$34:$G$75,2,FALSE)</f>
        <v>B50-30-24</v>
      </c>
      <c r="E95" s="76">
        <f>VLOOKUP(C95,小圆机汇总表!A:AP,7,FALSE)</f>
        <v>36</v>
      </c>
      <c r="F95" s="76" t="str">
        <f>VLOOKUP(C95,小圆机汇总表!A:AP,4,FALSE)</f>
        <v>大W高温</v>
      </c>
      <c r="G95" s="246" t="str">
        <f>LOOKUP(1,0/(setting!$K$35:$K$65=各车间日况!I95),setting!$L$35:$L$65)</f>
        <v>30"24针</v>
      </c>
      <c r="H95" s="44" t="str">
        <f>IF(COUNTIF(C$36:C95,C95)=1,B95,LOOKUP(1,0/(C$35:C94=C95),H$35:H94)&amp;","&amp;B95)</f>
        <v>5,6,9,12,15,16,17,18,26,27,28,30,35,47,54,60</v>
      </c>
      <c r="I95" s="76" t="str">
        <f t="shared" si="3"/>
        <v>36大W高温</v>
      </c>
      <c r="K95" s="2"/>
      <c r="M95" s="1"/>
      <c r="P95" s="41"/>
    </row>
    <row r="96" spans="2:16" ht="15" hidden="1" customHeight="1" outlineLevel="1">
      <c r="B96" s="47">
        <v>61</v>
      </c>
      <c r="C96" s="176" t="s">
        <v>116</v>
      </c>
      <c r="D96" s="194" t="str">
        <f>VLOOKUP(C96,setting!$F$34:$G$75,2,FALSE)</f>
        <v>B50-30-24</v>
      </c>
      <c r="E96" s="76">
        <f>VLOOKUP(C96,小圆机汇总表!A:AP,7,FALSE)</f>
        <v>36</v>
      </c>
      <c r="F96" s="76" t="str">
        <f>VLOOKUP(C96,小圆机汇总表!A:AP,4,FALSE)</f>
        <v>大W高温</v>
      </c>
      <c r="G96" s="246" t="str">
        <f>LOOKUP(1,0/(setting!$K$35:$K$65=各车间日况!I96),setting!$L$35:$L$65)</f>
        <v>30"24针</v>
      </c>
      <c r="H96" s="44" t="str">
        <f>IF(COUNTIF(C$36:C96,C96)=1,B96,LOOKUP(1,0/(C$35:C95=C96),H$35:H95)&amp;","&amp;B96)</f>
        <v>5,6,9,12,15,16,17,18,26,27,28,30,35,47,54,60,61</v>
      </c>
      <c r="I96" s="76" t="str">
        <f t="shared" si="3"/>
        <v>36大W高温</v>
      </c>
      <c r="K96" s="2"/>
      <c r="M96" s="1"/>
      <c r="P96" s="41"/>
    </row>
    <row r="97" spans="2:16" ht="15" hidden="1" customHeight="1" outlineLevel="1">
      <c r="B97" s="47">
        <v>62</v>
      </c>
      <c r="C97" s="248" t="s">
        <v>1018</v>
      </c>
      <c r="D97" s="194" t="str">
        <f>VLOOKUP(C97,setting!$F$34:$G$75,2,FALSE)</f>
        <v>B50-30-24</v>
      </c>
      <c r="E97" s="76">
        <f>VLOOKUP(C97,小圆机汇总表!A:AP,7,FALSE)</f>
        <v>36</v>
      </c>
      <c r="F97" s="76" t="str">
        <f>VLOOKUP(C97,小圆机汇总表!A:AP,4,FALSE)</f>
        <v>大W高温</v>
      </c>
      <c r="G97" s="246" t="str">
        <f>LOOKUP(1,0/(setting!$K$35:$K$65=各车间日况!I97),setting!$L$35:$L$65)</f>
        <v>30"24针</v>
      </c>
      <c r="H97" s="44" t="str">
        <f>IF(COUNTIF(C$36:C97,C97)=1,B97,LOOKUP(1,0/(C$35:C96=C97),H$35:H96)&amp;","&amp;B97)</f>
        <v>5,6,9,12,15,16,17,18,26,27,28,30,35,47,54,60,61,62</v>
      </c>
      <c r="I97" s="76" t="str">
        <f t="shared" si="3"/>
        <v>36大W高温</v>
      </c>
      <c r="K97" s="2"/>
      <c r="M97" s="1"/>
      <c r="P97" s="41"/>
    </row>
    <row r="98" spans="2:16" ht="15" hidden="1" customHeight="1" outlineLevel="1">
      <c r="B98" s="47">
        <v>63</v>
      </c>
      <c r="C98" s="205" t="s">
        <v>752</v>
      </c>
      <c r="D98" s="194" t="str">
        <f>VLOOKUP(C98,setting!$F$34:$G$75,2,FALSE)</f>
        <v>A50-30-28</v>
      </c>
      <c r="E98" s="76">
        <f>VLOOKUP(C98,小圆机汇总表!A:AP,7,FALSE)</f>
        <v>45</v>
      </c>
      <c r="F98" s="76" t="str">
        <f>VLOOKUP(C98,小圆机汇总表!A:AP,4,FALSE)</f>
        <v>斜乱平纹</v>
      </c>
      <c r="G98" s="246" t="str">
        <f>LOOKUP(1,0/(setting!$K$35:$K$65=各车间日况!I98),setting!$L$35:$L$65)</f>
        <v>30"28针</v>
      </c>
      <c r="H98" s="44" t="str">
        <f>IF(COUNTIF(C$36:C98,C98)=1,B98,LOOKUP(1,0/(C$35:C97=C98),H$35:H97)&amp;","&amp;B98)</f>
        <v>11,21,48,63</v>
      </c>
      <c r="I98" s="76" t="str">
        <f t="shared" si="3"/>
        <v>45斜乱平纹</v>
      </c>
      <c r="K98" s="2"/>
      <c r="M98" s="1"/>
      <c r="P98" s="41"/>
    </row>
    <row r="99" spans="2:16" ht="15" hidden="1" customHeight="1" outlineLevel="1">
      <c r="B99" s="47">
        <v>64</v>
      </c>
      <c r="C99" s="176" t="s">
        <v>1018</v>
      </c>
      <c r="D99" s="194" t="str">
        <f>VLOOKUP(C99,setting!$F$34:$G$75,2,FALSE)</f>
        <v>B50-30-24</v>
      </c>
      <c r="E99" s="76">
        <f>VLOOKUP(C99,小圆机汇总表!A:AP,7,FALSE)</f>
        <v>36</v>
      </c>
      <c r="F99" s="76" t="str">
        <f>VLOOKUP(C99,小圆机汇总表!A:AP,4,FALSE)</f>
        <v>大W高温</v>
      </c>
      <c r="G99" s="246" t="str">
        <f>LOOKUP(1,0/(setting!$K$35:$K$65=各车间日况!I99),setting!$L$35:$L$65)</f>
        <v>30"24针</v>
      </c>
      <c r="H99" s="44" t="str">
        <f>IF(COUNTIF(C$36:C99,C99)=1,B99,LOOKUP(1,0/(C$35:C98=C99),H$35:H98)&amp;","&amp;B99)</f>
        <v>5,6,9,12,15,16,17,18,26,27,28,30,35,47,54,60,61,62,64</v>
      </c>
      <c r="I99" s="76" t="str">
        <f t="shared" si="3"/>
        <v>36大W高温</v>
      </c>
      <c r="K99" s="2"/>
      <c r="M99" s="1"/>
      <c r="P99" s="41"/>
    </row>
    <row r="100" spans="2:16" ht="15" hidden="1" customHeight="1" outlineLevel="1">
      <c r="B100" s="47">
        <v>65</v>
      </c>
      <c r="C100" s="176" t="s">
        <v>1023</v>
      </c>
      <c r="D100" s="194" t="str">
        <f>VLOOKUP(C100,setting!$F$34:$G$75,2,FALSE)</f>
        <v>C75-30-20</v>
      </c>
      <c r="E100" s="76">
        <f>VLOOKUP(C100,小圆机汇总表!A:AP,7,FALSE)</f>
        <v>42</v>
      </c>
      <c r="F100" s="76" t="str">
        <f>VLOOKUP(C100,小圆机汇总表!A:AP,4,FALSE)</f>
        <v>大W</v>
      </c>
      <c r="G100" s="246" t="str">
        <f>LOOKUP(1,0/(setting!$K$35:$K$65=各车间日况!I100),setting!$L$35:$L$65)</f>
        <v>30"20针</v>
      </c>
      <c r="H100" s="44" t="str">
        <f>IF(COUNTIF(C$36:C100,C100)=1,B100,LOOKUP(1,0/(C$35:C99=C100),H$35:H99)&amp;","&amp;B100)</f>
        <v>46,51,55,65</v>
      </c>
      <c r="I100" s="76" t="str">
        <f t="shared" si="3"/>
        <v>42大W</v>
      </c>
      <c r="K100" s="2"/>
      <c r="M100" s="1"/>
      <c r="P100" s="41"/>
    </row>
    <row r="101" spans="2:16" ht="15" hidden="1" customHeight="1" outlineLevel="1">
      <c r="B101" s="47">
        <v>66</v>
      </c>
      <c r="C101" s="205" t="s">
        <v>2250</v>
      </c>
      <c r="D101" s="194" t="str">
        <f>VLOOKUP(C101,setting!$F$34:$G$75,2,FALSE)</f>
        <v>C50-26-28</v>
      </c>
      <c r="E101" s="76">
        <f>VLOOKUP(C101,小圆机汇总表!A:AP,7,FALSE)</f>
        <v>40</v>
      </c>
      <c r="F101" s="76" t="str">
        <f>VLOOKUP(C101,小圆机汇总表!A:AP,4,FALSE)</f>
        <v>小w</v>
      </c>
      <c r="G101" s="246" t="str">
        <f>LOOKUP(1,0/(setting!$K$35:$K$65=各车间日况!I101),setting!$L$35:$L$65)</f>
        <v>30"28针</v>
      </c>
      <c r="H101" s="44" t="str">
        <f>IF(COUNTIF(C$36:C101,C101)=1,B101,LOOKUP(1,0/(C$35:C100=C101),H$35:H100)&amp;","&amp;B101)</f>
        <v>40,66</v>
      </c>
      <c r="I101" s="76" t="str">
        <f t="shared" ref="I101:I105" si="4">E101&amp;F101</f>
        <v>40小w</v>
      </c>
      <c r="K101" s="2"/>
      <c r="M101" s="1"/>
      <c r="P101" s="41"/>
    </row>
    <row r="102" spans="2:16" ht="15" hidden="1" customHeight="1" outlineLevel="1">
      <c r="B102" s="47">
        <v>67</v>
      </c>
      <c r="C102" s="205" t="s">
        <v>2250</v>
      </c>
      <c r="D102" s="194" t="str">
        <f>VLOOKUP(C102,setting!$F$34:$G$75,2,FALSE)</f>
        <v>C50-26-28</v>
      </c>
      <c r="E102" s="76">
        <f>VLOOKUP(C102,小圆机汇总表!A:AP,7,FALSE)</f>
        <v>40</v>
      </c>
      <c r="F102" s="76" t="str">
        <f>VLOOKUP(C102,小圆机汇总表!A:AP,4,FALSE)</f>
        <v>小w</v>
      </c>
      <c r="G102" s="246" t="str">
        <f>LOOKUP(1,0/(setting!$K$35:$K$65=各车间日况!I102),setting!$L$35:$L$65)</f>
        <v>30"28针</v>
      </c>
      <c r="H102" s="44" t="str">
        <f>IF(COUNTIF(C$36:C102,C102)=1,B102,LOOKUP(1,0/(C$35:C101=C102),H$35:H101)&amp;","&amp;B102)</f>
        <v>40,66,67</v>
      </c>
      <c r="I102" s="76" t="str">
        <f t="shared" si="4"/>
        <v>40小w</v>
      </c>
      <c r="K102" s="2"/>
      <c r="M102" s="1"/>
      <c r="P102" s="41"/>
    </row>
    <row r="103" spans="2:16" ht="15" hidden="1" customHeight="1" outlineLevel="1">
      <c r="B103" s="47">
        <v>68</v>
      </c>
      <c r="C103" s="205" t="s">
        <v>2250</v>
      </c>
      <c r="D103" s="194" t="str">
        <f>VLOOKUP(C103,setting!$F$34:$G$75,2,FALSE)</f>
        <v>C50-26-28</v>
      </c>
      <c r="E103" s="76">
        <f>VLOOKUP(C103,小圆机汇总表!A:AP,7,FALSE)</f>
        <v>40</v>
      </c>
      <c r="F103" s="76" t="str">
        <f>VLOOKUP(C103,小圆机汇总表!A:AP,4,FALSE)</f>
        <v>小w</v>
      </c>
      <c r="G103" s="246" t="str">
        <f>LOOKUP(1,0/(setting!$K$35:$K$65=各车间日况!I103),setting!$L$35:$L$65)</f>
        <v>30"28针</v>
      </c>
      <c r="H103" s="44" t="str">
        <f>IF(COUNTIF(C$36:C103,C103)=1,B103,LOOKUP(1,0/(C$35:C102=C103),H$35:H102)&amp;","&amp;B103)</f>
        <v>40,66,67,68</v>
      </c>
      <c r="I103" s="76" t="str">
        <f t="shared" si="4"/>
        <v>40小w</v>
      </c>
      <c r="K103" s="2"/>
      <c r="M103" s="1"/>
      <c r="P103" s="41"/>
    </row>
    <row r="104" spans="2:16" ht="15" hidden="1" customHeight="1" outlineLevel="1">
      <c r="B104" s="47">
        <v>69</v>
      </c>
      <c r="C104" s="205" t="s">
        <v>2250</v>
      </c>
      <c r="D104" s="194" t="str">
        <f>VLOOKUP(C104,setting!$F$34:$G$75,2,FALSE)</f>
        <v>C50-26-28</v>
      </c>
      <c r="E104" s="76">
        <f>VLOOKUP(C104,小圆机汇总表!A:AP,7,FALSE)</f>
        <v>40</v>
      </c>
      <c r="F104" s="76" t="str">
        <f>VLOOKUP(C104,小圆机汇总表!A:AP,4,FALSE)</f>
        <v>小w</v>
      </c>
      <c r="G104" s="246" t="str">
        <f>LOOKUP(1,0/(setting!$K$35:$K$65=各车间日况!I104),setting!$L$35:$L$65)</f>
        <v>30"28针</v>
      </c>
      <c r="H104" s="44" t="str">
        <f>IF(COUNTIF(C$36:C104,C104)=1,B104,LOOKUP(1,0/(C$35:C103=C104),H$35:H103)&amp;","&amp;B104)</f>
        <v>40,66,67,68,69</v>
      </c>
      <c r="I104" s="76" t="str">
        <f t="shared" si="4"/>
        <v>40小w</v>
      </c>
      <c r="K104" s="2"/>
      <c r="M104" s="1"/>
      <c r="P104" s="41"/>
    </row>
    <row r="105" spans="2:16" ht="15" hidden="1" customHeight="1" outlineLevel="1">
      <c r="B105" s="47">
        <v>70</v>
      </c>
      <c r="C105" s="205" t="s">
        <v>2250</v>
      </c>
      <c r="D105" s="194" t="str">
        <f>VLOOKUP(C105,setting!$F$34:$G$75,2,FALSE)</f>
        <v>C50-26-28</v>
      </c>
      <c r="E105" s="76">
        <f>VLOOKUP(C105,小圆机汇总表!A:AP,7,FALSE)</f>
        <v>40</v>
      </c>
      <c r="F105" s="76" t="str">
        <f>VLOOKUP(C105,小圆机汇总表!A:AP,4,FALSE)</f>
        <v>小w</v>
      </c>
      <c r="G105" s="246" t="str">
        <f>LOOKUP(1,0/(setting!$K$35:$K$65=各车间日况!I105),setting!$L$35:$L$65)</f>
        <v>30"28针</v>
      </c>
      <c r="H105" s="44" t="str">
        <f>IF(COUNTIF(C$36:C105,C105)=1,B105,LOOKUP(1,0/(C$35:C104=C105),H$35:H104)&amp;","&amp;B105)</f>
        <v>40,66,67,68,69,70</v>
      </c>
      <c r="I105" s="76" t="str">
        <f t="shared" si="4"/>
        <v>40小w</v>
      </c>
      <c r="K105" s="2"/>
      <c r="M105" s="1"/>
      <c r="P105" s="41"/>
    </row>
    <row r="106" spans="2:16" collapsed="1">
      <c r="B106" s="180" t="s">
        <v>1636</v>
      </c>
      <c r="C106" s="199"/>
      <c r="D106" s="180"/>
      <c r="E106" s="180"/>
      <c r="F106" s="180"/>
      <c r="G106" s="180"/>
      <c r="H106" s="180"/>
    </row>
    <row r="107" spans="2:16" ht="15.75" customHeight="1">
      <c r="B107" s="328" t="s">
        <v>761</v>
      </c>
      <c r="C107" s="329"/>
      <c r="D107" s="329"/>
      <c r="E107" s="329"/>
      <c r="F107" s="329"/>
      <c r="G107" s="329"/>
      <c r="H107" s="329"/>
      <c r="I107" s="330"/>
    </row>
    <row r="108" spans="2:16" ht="16.5" customHeight="1">
      <c r="B108" s="33" t="s">
        <v>757</v>
      </c>
      <c r="C108" s="42" t="s">
        <v>756</v>
      </c>
      <c r="D108" s="42" t="s">
        <v>758</v>
      </c>
      <c r="E108" s="33" t="s">
        <v>9</v>
      </c>
      <c r="F108" s="33" t="s">
        <v>759</v>
      </c>
      <c r="G108" s="35" t="s">
        <v>733</v>
      </c>
      <c r="H108" s="43" t="s">
        <v>751</v>
      </c>
      <c r="I108" s="8" t="s">
        <v>1147</v>
      </c>
      <c r="J108" s="283" t="s">
        <v>2495</v>
      </c>
      <c r="K108" s="283" t="s">
        <v>2496</v>
      </c>
      <c r="M108" s="1"/>
    </row>
    <row r="109" spans="2:16" ht="12.95" customHeight="1">
      <c r="B109" s="8" t="s">
        <v>2493</v>
      </c>
      <c r="C109" s="4" t="str">
        <f>IF(B109="","",VLOOKUP(B109,小圆机汇总表!A:AQ,2,FALSE))</f>
        <v>B3023乱平纹</v>
      </c>
      <c r="D109" s="8" t="str">
        <f>IF(B109="","",VLOOKUP(B109,小圆机汇总表!A:AP,4,FALSE))</f>
        <v>乱平纹</v>
      </c>
      <c r="E109" s="8" t="str">
        <f>IF(B109="","",VLOOKUP(B109,小圆机汇总表!A:AP,5,FALSE))</f>
        <v>白</v>
      </c>
      <c r="F109" s="8">
        <f>VLOOKUP(B109,小圆机汇总表!A:AP,7,FALSE)</f>
        <v>23</v>
      </c>
      <c r="G109" s="8">
        <f>COUNTIF($C$36:$C$105,B109)</f>
        <v>1</v>
      </c>
      <c r="H109" s="4">
        <f t="shared" ref="H109:H146" si="5">IF(ISNA(LOOKUP(1,0/($C$36:$C$105=B109),$H$36:$H$105)),"",LOOKUP(1,0/($C$36:$C$105=B109),$H$36:$H$105))</f>
        <v>44</v>
      </c>
      <c r="I109" s="8"/>
      <c r="M109" s="1"/>
    </row>
    <row r="110" spans="2:16" ht="12.95" customHeight="1">
      <c r="B110" s="8" t="s">
        <v>734</v>
      </c>
      <c r="C110" s="4" t="str">
        <f>IF(B110="","",VLOOKUP(B110,小圆机汇总表!A:AQ,2,FALSE))</f>
        <v>B3023大W</v>
      </c>
      <c r="D110" s="8" t="str">
        <f>IF(B110="","",VLOOKUP(B110,小圆机汇总表!A:AP,4,FALSE))</f>
        <v>大W</v>
      </c>
      <c r="E110" s="8" t="str">
        <f>IF(B110="","",VLOOKUP(B110,小圆机汇总表!A:AP,5,FALSE))</f>
        <v>白</v>
      </c>
      <c r="F110" s="8">
        <f>VLOOKUP(B110,小圆机汇总表!A:AP,7,FALSE)</f>
        <v>23</v>
      </c>
      <c r="G110" s="8">
        <f t="shared" ref="G110:G145" si="6">COUNTIF($C$36:$C$105,B110)</f>
        <v>0</v>
      </c>
      <c r="H110" s="4" t="str">
        <f t="shared" si="5"/>
        <v/>
      </c>
      <c r="I110" s="8"/>
      <c r="M110" s="1"/>
    </row>
    <row r="111" spans="2:16" ht="12.95" customHeight="1">
      <c r="B111" s="8" t="s">
        <v>2475</v>
      </c>
      <c r="C111" s="4" t="str">
        <f>IF(B111="","",VLOOKUP(B111,小圆机汇总表!A:AQ,2,FALSE))</f>
        <v>B3023大W</v>
      </c>
      <c r="D111" s="8" t="str">
        <f>IF(B111="","",VLOOKUP(B111,小圆机汇总表!A:AP,4,FALSE))</f>
        <v>大W</v>
      </c>
      <c r="E111" s="8" t="str">
        <f>IF(B111="","",VLOOKUP(B111,小圆机汇总表!A:AP,5,FALSE))</f>
        <v>白</v>
      </c>
      <c r="F111" s="8">
        <f>VLOOKUP(B111,小圆机汇总表!A:AP,7,FALSE)</f>
        <v>23</v>
      </c>
      <c r="G111" s="8">
        <f t="shared" ref="G111" si="7">COUNTIF($C$36:$C$105,B111)</f>
        <v>0</v>
      </c>
      <c r="H111" s="4" t="str">
        <f t="shared" ref="H111" si="8">IF(ISNA(LOOKUP(1,0/($C$36:$C$105=B111),$H$36:$H$105)),"",LOOKUP(1,0/($C$36:$C$105=B111),$H$36:$H$105))</f>
        <v/>
      </c>
      <c r="I111" s="8"/>
      <c r="M111" s="206"/>
    </row>
    <row r="112" spans="2:16" ht="12.95" customHeight="1">
      <c r="B112" s="8" t="s">
        <v>735</v>
      </c>
      <c r="C112" s="4" t="str">
        <f>IF(B112="","",VLOOKUP(B112,小圆机汇总表!A:AQ,2,FALSE))</f>
        <v>B3021直平纹</v>
      </c>
      <c r="D112" s="8" t="str">
        <f>IF(B112="","",VLOOKUP(B112,小圆机汇总表!A:AP,4,FALSE))</f>
        <v>直平纹</v>
      </c>
      <c r="E112" s="8" t="str">
        <f>IF(B112="","",VLOOKUP(B112,小圆机汇总表!A:AP,5,FALSE))</f>
        <v>白</v>
      </c>
      <c r="F112" s="8">
        <f>VLOOKUP(B112,小圆机汇总表!A:AP,7,FALSE)</f>
        <v>21</v>
      </c>
      <c r="G112" s="8">
        <f t="shared" si="6"/>
        <v>0</v>
      </c>
      <c r="H112" s="4" t="str">
        <f t="shared" si="5"/>
        <v/>
      </c>
      <c r="I112" s="8"/>
      <c r="M112" s="1"/>
    </row>
    <row r="113" spans="2:13" ht="12.95" customHeight="1">
      <c r="B113" s="8" t="s">
        <v>120</v>
      </c>
      <c r="C113" s="4" t="str">
        <f>IF(B113="","",VLOOKUP(B113,小圆机汇总表!A:AQ,2,FALSE))</f>
        <v>B3029直平纹</v>
      </c>
      <c r="D113" s="8" t="str">
        <f>IF(B113="","",VLOOKUP(B113,小圆机汇总表!A:AP,4,FALSE))</f>
        <v>直平纹</v>
      </c>
      <c r="E113" s="8" t="str">
        <f>IF(B113="","",VLOOKUP(B113,小圆机汇总表!A:AP,5,FALSE))</f>
        <v>白</v>
      </c>
      <c r="F113" s="8">
        <f>VLOOKUP(B113,小圆机汇总表!A:AP,7,FALSE)</f>
        <v>29</v>
      </c>
      <c r="G113" s="8">
        <f t="shared" si="6"/>
        <v>0</v>
      </c>
      <c r="H113" s="4" t="str">
        <f t="shared" si="5"/>
        <v/>
      </c>
      <c r="I113" s="8"/>
      <c r="M113" s="1"/>
    </row>
    <row r="114" spans="2:13" ht="12.95" customHeight="1">
      <c r="B114" s="8" t="s">
        <v>35</v>
      </c>
      <c r="C114" s="4" t="str">
        <f>IF(B114="","",VLOOKUP(B114,小圆机汇总表!A:AQ,2,FALSE))</f>
        <v>A5032w</v>
      </c>
      <c r="D114" s="8" t="str">
        <f>IF(B114="","",VLOOKUP(B114,小圆机汇总表!A:AP,4,FALSE))</f>
        <v>小w</v>
      </c>
      <c r="E114" s="8" t="str">
        <f>IF(B114="","",VLOOKUP(B114,小圆机汇总表!A:AP,5,FALSE))</f>
        <v>白</v>
      </c>
      <c r="F114" s="8">
        <f>VLOOKUP(B114,小圆机汇总表!A:AP,7,FALSE)</f>
        <v>32</v>
      </c>
      <c r="G114" s="8">
        <f t="shared" si="6"/>
        <v>0</v>
      </c>
      <c r="H114" s="4" t="str">
        <f t="shared" si="5"/>
        <v/>
      </c>
      <c r="I114" s="8"/>
      <c r="M114" s="1"/>
    </row>
    <row r="115" spans="2:13" ht="12.95" customHeight="1">
      <c r="B115" s="8" t="s">
        <v>736</v>
      </c>
      <c r="C115" s="4" t="str">
        <f>IF(B115="","",VLOOKUP(B115,小圆机汇总表!A:AQ,2,FALSE))</f>
        <v>A5034斜乱平纹</v>
      </c>
      <c r="D115" s="8" t="str">
        <f>IF(B115="","",VLOOKUP(B115,小圆机汇总表!A:AP,4,FALSE))</f>
        <v>斜乱平纹</v>
      </c>
      <c r="E115" s="8" t="str">
        <f>IF(B115="","",VLOOKUP(B115,小圆机汇总表!A:AP,5,FALSE))</f>
        <v>白</v>
      </c>
      <c r="F115" s="8">
        <f>VLOOKUP(B115,小圆机汇总表!A:AP,7,FALSE)</f>
        <v>34</v>
      </c>
      <c r="G115" s="8">
        <f t="shared" si="6"/>
        <v>0</v>
      </c>
      <c r="H115" s="4" t="str">
        <f t="shared" si="5"/>
        <v/>
      </c>
      <c r="I115" s="8"/>
      <c r="M115" s="1"/>
    </row>
    <row r="116" spans="2:13" ht="12.95" customHeight="1">
      <c r="B116" s="8" t="s">
        <v>45</v>
      </c>
      <c r="C116" s="4" t="str">
        <f>IF(B116="","",VLOOKUP(B116,小圆机汇总表!A:AQ,2,FALSE))</f>
        <v>A5035w</v>
      </c>
      <c r="D116" s="8" t="str">
        <f>IF(B116="","",VLOOKUP(B116,小圆机汇总表!A:AP,4,FALSE))</f>
        <v>小w</v>
      </c>
      <c r="E116" s="8" t="str">
        <f>IF(B116="","",VLOOKUP(B116,小圆机汇总表!A:AP,5,FALSE))</f>
        <v>白</v>
      </c>
      <c r="F116" s="8">
        <f>VLOOKUP(B116,小圆机汇总表!A:AP,7,FALSE)</f>
        <v>35</v>
      </c>
      <c r="G116" s="8">
        <f t="shared" si="6"/>
        <v>1</v>
      </c>
      <c r="H116" s="4">
        <f t="shared" si="5"/>
        <v>4</v>
      </c>
      <c r="I116" s="8"/>
      <c r="M116" s="1"/>
    </row>
    <row r="117" spans="2:13" ht="12.95" customHeight="1">
      <c r="B117" s="8" t="s">
        <v>125</v>
      </c>
      <c r="C117" s="4" t="str">
        <f>IF(B117="","",VLOOKUP(B117,小圆机汇总表!A:AQ,2,FALSE))</f>
        <v>A5035w黑</v>
      </c>
      <c r="D117" s="8" t="str">
        <f>IF(B117="","",VLOOKUP(B117,小圆机汇总表!A:AP,4,FALSE))</f>
        <v>黑</v>
      </c>
      <c r="E117" s="8" t="str">
        <f>IF(B117="","",VLOOKUP(B117,小圆机汇总表!A:AP,5,FALSE))</f>
        <v>黑</v>
      </c>
      <c r="F117" s="8">
        <f>VLOOKUP(B117,小圆机汇总表!A:AP,7,FALSE)</f>
        <v>35</v>
      </c>
      <c r="G117" s="8">
        <f t="shared" si="6"/>
        <v>12</v>
      </c>
      <c r="H117" s="4" t="str">
        <f t="shared" si="5"/>
        <v>2,3,8,10,13,14,22,23,25,29,38,56</v>
      </c>
      <c r="I117" s="8"/>
      <c r="M117" s="1"/>
    </row>
    <row r="118" spans="2:13" ht="12.95" customHeight="1">
      <c r="B118" s="8" t="s">
        <v>2935</v>
      </c>
      <c r="C118" s="4" t="str">
        <f>IF(B118="","",VLOOKUP(B118,小圆机汇总表!A:AQ,2,FALSE))</f>
        <v>A5035w 32针</v>
      </c>
      <c r="D118" s="8" t="str">
        <f>IF(B118="","",VLOOKUP(B118,小圆机汇总表!A:AP,4,FALSE))</f>
        <v>小w</v>
      </c>
      <c r="E118" s="8" t="str">
        <f>IF(B118="","",VLOOKUP(B118,小圆机汇总表!A:AP,5,FALSE))</f>
        <v>白</v>
      </c>
      <c r="F118" s="8">
        <f>VLOOKUP(B118,小圆机汇总表!A:AP,7,FALSE)</f>
        <v>35</v>
      </c>
      <c r="G118" s="8">
        <f t="shared" si="6"/>
        <v>2</v>
      </c>
      <c r="H118" s="4" t="str">
        <f t="shared" si="5"/>
        <v>43,45</v>
      </c>
      <c r="I118" s="8"/>
      <c r="M118" s="1"/>
    </row>
    <row r="119" spans="2:13" ht="12.95" customHeight="1">
      <c r="B119" s="8" t="s">
        <v>122</v>
      </c>
      <c r="C119" s="4" t="str">
        <f>IF(B119="","",VLOOKUP(B119,小圆机汇总表!A:AQ,2,FALSE))</f>
        <v>B5034大W</v>
      </c>
      <c r="D119" s="8" t="str">
        <f>IF(B119="","",VLOOKUP(B119,小圆机汇总表!A:AP,4,FALSE))</f>
        <v>大W高温</v>
      </c>
      <c r="E119" s="8" t="str">
        <f>IF(B119="","",VLOOKUP(B119,小圆机汇总表!A:AP,5,FALSE))</f>
        <v>白高温</v>
      </c>
      <c r="F119" s="8">
        <f>VLOOKUP(B119,小圆机汇总表!A:AP,7,FALSE)</f>
        <v>34</v>
      </c>
      <c r="G119" s="8">
        <f t="shared" si="6"/>
        <v>2</v>
      </c>
      <c r="H119" s="4" t="str">
        <f t="shared" si="5"/>
        <v>50,57</v>
      </c>
      <c r="I119" s="8"/>
      <c r="M119" s="1"/>
    </row>
    <row r="120" spans="2:13" ht="12.95" customHeight="1">
      <c r="B120" s="8" t="s">
        <v>737</v>
      </c>
      <c r="C120" s="4" t="str">
        <f>IF(B120="","",VLOOKUP(B120,小圆机汇总表!A:AQ,2,FALSE))</f>
        <v>A5035大W</v>
      </c>
      <c r="D120" s="8" t="str">
        <f>IF(B120="","",VLOOKUP(B120,小圆机汇总表!A:AP,4,FALSE))</f>
        <v>大W</v>
      </c>
      <c r="E120" s="8" t="str">
        <f>IF(B120="","",VLOOKUP(B120,小圆机汇总表!A:AP,5,FALSE))</f>
        <v>白</v>
      </c>
      <c r="F120" s="8">
        <f>VLOOKUP(B120,小圆机汇总表!A:AP,7,FALSE)</f>
        <v>35</v>
      </c>
      <c r="G120" s="8">
        <f t="shared" si="6"/>
        <v>2</v>
      </c>
      <c r="H120" s="4" t="str">
        <f t="shared" si="5"/>
        <v>1,7</v>
      </c>
      <c r="I120" s="8"/>
      <c r="M120" s="1"/>
    </row>
    <row r="121" spans="2:13" ht="12.95" customHeight="1">
      <c r="B121" s="8" t="s">
        <v>116</v>
      </c>
      <c r="C121" s="4" t="str">
        <f>IF(B121="","",VLOOKUP(B121,小圆机汇总表!A:AQ,2,FALSE))</f>
        <v>B5036大W高温丝</v>
      </c>
      <c r="D121" s="8" t="str">
        <f>IF(B121="","",VLOOKUP(B121,小圆机汇总表!A:AP,4,FALSE))</f>
        <v>大W高温</v>
      </c>
      <c r="E121" s="8" t="str">
        <f>IF(B121="","",VLOOKUP(B121,小圆机汇总表!A:AP,5,FALSE))</f>
        <v>白高温</v>
      </c>
      <c r="F121" s="8">
        <f>VLOOKUP(B121,小圆机汇总表!A:AP,7,FALSE)</f>
        <v>36</v>
      </c>
      <c r="G121" s="8">
        <f t="shared" si="6"/>
        <v>19</v>
      </c>
      <c r="H121" s="4" t="str">
        <f t="shared" si="5"/>
        <v>5,6,9,12,15,16,17,18,26,27,28,30,35,47,54,60,61,62,64</v>
      </c>
      <c r="I121" s="8"/>
      <c r="M121" s="1"/>
    </row>
    <row r="122" spans="2:13" ht="12.95" customHeight="1">
      <c r="B122" s="8" t="s">
        <v>738</v>
      </c>
      <c r="C122" s="4" t="str">
        <f>IF(B122="","",VLOOKUP(B122,小圆机汇总表!A:AQ,2,FALSE))</f>
        <v>A5045大W</v>
      </c>
      <c r="D122" s="8" t="str">
        <f>IF(B122="","",VLOOKUP(B122,小圆机汇总表!A:AP,4,FALSE))</f>
        <v>大W</v>
      </c>
      <c r="E122" s="8" t="str">
        <f>IF(B122="","",VLOOKUP(B122,小圆机汇总表!A:AP,5,FALSE))</f>
        <v>白</v>
      </c>
      <c r="F122" s="8">
        <f>VLOOKUP(B122,小圆机汇总表!A:AP,7,FALSE)</f>
        <v>45</v>
      </c>
      <c r="G122" s="8">
        <f t="shared" si="6"/>
        <v>0</v>
      </c>
      <c r="H122" s="4" t="str">
        <f t="shared" si="5"/>
        <v/>
      </c>
      <c r="I122" s="8"/>
      <c r="M122" s="1"/>
    </row>
    <row r="123" spans="2:13" ht="12.95" customHeight="1">
      <c r="B123" s="8" t="s">
        <v>127</v>
      </c>
      <c r="C123" s="4" t="str">
        <f>IF(B123="","",VLOOKUP(B123,小圆机汇总表!A:AQ,2,FALSE))</f>
        <v>A5036直平纹</v>
      </c>
      <c r="D123" s="8" t="str">
        <f>IF(B123="","",VLOOKUP(B123,小圆机汇总表!A:AP,4,FALSE))</f>
        <v>直平纹</v>
      </c>
      <c r="E123" s="8" t="str">
        <f>IF(B123="","",VLOOKUP(B123,小圆机汇总表!A:AP,5,FALSE))</f>
        <v>白</v>
      </c>
      <c r="F123" s="8">
        <f>VLOOKUP(B123,小圆机汇总表!A:AP,7,FALSE)</f>
        <v>36</v>
      </c>
      <c r="G123" s="8">
        <f t="shared" si="6"/>
        <v>0</v>
      </c>
      <c r="H123" s="4" t="str">
        <f t="shared" si="5"/>
        <v/>
      </c>
      <c r="I123" s="8"/>
      <c r="M123" s="1"/>
    </row>
    <row r="124" spans="2:13" ht="12.95" customHeight="1">
      <c r="B124" s="8" t="s">
        <v>70</v>
      </c>
      <c r="C124" s="4" t="str">
        <f>IF(B124="","",VLOOKUP(B124,小圆机汇总表!A:AQ,2,FALSE))</f>
        <v>A5038w</v>
      </c>
      <c r="D124" s="8" t="str">
        <f>IF(B124="","",VLOOKUP(B124,小圆机汇总表!A:AP,4,FALSE))</f>
        <v>小w</v>
      </c>
      <c r="E124" s="8" t="str">
        <f>IF(B124="","",VLOOKUP(B124,小圆机汇总表!A:AP,5,FALSE))</f>
        <v>白</v>
      </c>
      <c r="F124" s="8">
        <f>VLOOKUP(B124,小圆机汇总表!A:AP,7,FALSE)</f>
        <v>38</v>
      </c>
      <c r="G124" s="8">
        <f t="shared" si="6"/>
        <v>5</v>
      </c>
      <c r="H124" s="4" t="str">
        <f t="shared" si="5"/>
        <v>31,32,33,34,41</v>
      </c>
      <c r="I124" s="8"/>
      <c r="M124" s="1"/>
    </row>
    <row r="125" spans="2:13" ht="12.95" customHeight="1">
      <c r="B125" s="8" t="s">
        <v>739</v>
      </c>
      <c r="C125" s="4" t="str">
        <f>IF(B125="","",VLOOKUP(B125,小圆机汇总表!A:AQ,2,FALSE))</f>
        <v>A5038斜乱平纹</v>
      </c>
      <c r="D125" s="8" t="str">
        <f>IF(B125="","",VLOOKUP(B125,小圆机汇总表!A:AP,4,FALSE))</f>
        <v>斜乱平纹</v>
      </c>
      <c r="E125" s="8" t="str">
        <f>IF(B125="","",VLOOKUP(B125,小圆机汇总表!A:AP,5,FALSE))</f>
        <v>白</v>
      </c>
      <c r="F125" s="8">
        <f>VLOOKUP(B125,小圆机汇总表!A:AP,7,FALSE)</f>
        <v>38</v>
      </c>
      <c r="G125" s="8">
        <f t="shared" si="6"/>
        <v>0</v>
      </c>
      <c r="H125" s="4" t="str">
        <f t="shared" si="5"/>
        <v/>
      </c>
      <c r="I125" s="8"/>
      <c r="M125" s="1"/>
    </row>
    <row r="126" spans="2:13" ht="12.95" customHeight="1">
      <c r="B126" s="8" t="s">
        <v>740</v>
      </c>
      <c r="C126" s="4" t="str">
        <f>IF(B126="","",VLOOKUP(B126,小圆机汇总表!A:AQ,2,FALSE))</f>
        <v>A5032w 32针</v>
      </c>
      <c r="D126" s="8" t="str">
        <f>IF(B126="","",VLOOKUP(B126,小圆机汇总表!A:AP,4,FALSE))</f>
        <v>小w</v>
      </c>
      <c r="E126" s="8" t="str">
        <f>IF(B126="","",VLOOKUP(B126,小圆机汇总表!A:AP,5,FALSE))</f>
        <v>白</v>
      </c>
      <c r="F126" s="8">
        <f>VLOOKUP(B126,小圆机汇总表!A:AP,7,FALSE)</f>
        <v>32</v>
      </c>
      <c r="G126" s="8">
        <f t="shared" si="6"/>
        <v>0</v>
      </c>
      <c r="H126" s="4" t="str">
        <f t="shared" si="5"/>
        <v/>
      </c>
      <c r="I126" s="8"/>
      <c r="M126" s="1"/>
    </row>
    <row r="127" spans="2:13" ht="12.95" customHeight="1">
      <c r="B127" s="8" t="s">
        <v>78</v>
      </c>
      <c r="C127" s="4" t="str">
        <f>IF(B127="","",VLOOKUP(B127,小圆机汇总表!A:AQ,2,FALSE))</f>
        <v>A5040w</v>
      </c>
      <c r="D127" s="8" t="str">
        <f>IF(B127="","",VLOOKUP(B127,小圆机汇总表!A:AP,4,FALSE))</f>
        <v>小w</v>
      </c>
      <c r="E127" s="8" t="str">
        <f>IF(B127="","",VLOOKUP(B127,小圆机汇总表!A:AP,5,FALSE))</f>
        <v>白</v>
      </c>
      <c r="F127" s="8">
        <f>VLOOKUP(B127,小圆机汇总表!A:AP,7,FALSE)</f>
        <v>40</v>
      </c>
      <c r="G127" s="8">
        <f t="shared" si="6"/>
        <v>0</v>
      </c>
      <c r="H127" s="4" t="str">
        <f t="shared" si="5"/>
        <v/>
      </c>
      <c r="I127" s="8"/>
      <c r="M127" s="1"/>
    </row>
    <row r="128" spans="2:13" ht="12.95" customHeight="1">
      <c r="B128" s="8" t="s">
        <v>79</v>
      </c>
      <c r="C128" s="4" t="str">
        <f>IF(B128="","",VLOOKUP(B128,小圆机汇总表!A:AQ,2,FALSE))</f>
        <v>A5042w</v>
      </c>
      <c r="D128" s="8" t="str">
        <f>IF(B128="","",VLOOKUP(B128,小圆机汇总表!A:AP,4,FALSE))</f>
        <v>小w</v>
      </c>
      <c r="E128" s="8" t="str">
        <f>IF(B128="","",VLOOKUP(B128,小圆机汇总表!A:AP,5,FALSE))</f>
        <v>白</v>
      </c>
      <c r="F128" s="8">
        <f>VLOOKUP(B128,小圆机汇总表!A:AP,7,FALSE)</f>
        <v>42</v>
      </c>
      <c r="G128" s="8">
        <f t="shared" si="6"/>
        <v>0</v>
      </c>
      <c r="H128" s="4" t="str">
        <f t="shared" si="5"/>
        <v/>
      </c>
      <c r="I128" s="8"/>
      <c r="M128" s="1"/>
    </row>
    <row r="129" spans="2:13" ht="12.95" customHeight="1">
      <c r="B129" s="8" t="s">
        <v>80</v>
      </c>
      <c r="C129" s="4" t="str">
        <f>IF(B129="","",VLOOKUP(B129,小圆机汇总表!A:AQ,2,FALSE))</f>
        <v>C5034w</v>
      </c>
      <c r="D129" s="8" t="str">
        <f>IF(B129="","",VLOOKUP(B129,小圆机汇总表!A:AP,4,FALSE))</f>
        <v>小w</v>
      </c>
      <c r="E129" s="8" t="str">
        <f>IF(B129="","",VLOOKUP(B129,小圆机汇总表!A:AP,5,FALSE))</f>
        <v>白</v>
      </c>
      <c r="F129" s="8">
        <f>VLOOKUP(B129,小圆机汇总表!A:AP,7,FALSE)</f>
        <v>34</v>
      </c>
      <c r="G129" s="8">
        <f t="shared" si="6"/>
        <v>0</v>
      </c>
      <c r="H129" s="4" t="str">
        <f t="shared" si="5"/>
        <v/>
      </c>
      <c r="I129" s="8"/>
      <c r="M129" s="1"/>
    </row>
    <row r="130" spans="2:13" ht="12.95" customHeight="1">
      <c r="B130" s="8" t="s">
        <v>83</v>
      </c>
      <c r="C130" s="4" t="str">
        <f>IF(B130="","",VLOOKUP(B130,小圆机汇总表!A:AQ,2,FALSE))</f>
        <v>B7545w</v>
      </c>
      <c r="D130" s="8" t="str">
        <f>IF(B130="","",VLOOKUP(B130,小圆机汇总表!A:AP,4,FALSE))</f>
        <v>小w</v>
      </c>
      <c r="E130" s="8" t="str">
        <f>IF(B130="","",VLOOKUP(B130,小圆机汇总表!A:AP,5,FALSE))</f>
        <v>白</v>
      </c>
      <c r="F130" s="8">
        <f>VLOOKUP(B130,小圆机汇总表!A:AP,7,FALSE)</f>
        <v>45</v>
      </c>
      <c r="G130" s="8">
        <f t="shared" si="6"/>
        <v>5</v>
      </c>
      <c r="H130" s="4" t="str">
        <f t="shared" si="5"/>
        <v>19,24,49,53,59</v>
      </c>
      <c r="I130" s="8"/>
      <c r="M130" s="1"/>
    </row>
    <row r="131" spans="2:13" ht="12.95" customHeight="1">
      <c r="B131" s="8" t="s">
        <v>2578</v>
      </c>
      <c r="C131" s="4" t="str">
        <f>IF(B131="","",VLOOKUP(B131,小圆机汇总表!A:AQ,2,FALSE))</f>
        <v>A5027直平纹</v>
      </c>
      <c r="D131" s="8" t="str">
        <f>IF(B131="","",VLOOKUP(B131,小圆机汇总表!A:AP,4,FALSE))</f>
        <v>直平纹</v>
      </c>
      <c r="E131" s="8" t="str">
        <f>IF(B131="","",VLOOKUP(B131,小圆机汇总表!A:AP,5,FALSE))</f>
        <v>白</v>
      </c>
      <c r="F131" s="8">
        <f>VLOOKUP(B131,小圆机汇总表!A:AP,7,FALSE)</f>
        <v>27</v>
      </c>
      <c r="G131" s="8">
        <f t="shared" si="6"/>
        <v>4</v>
      </c>
      <c r="H131" s="4" t="str">
        <f t="shared" si="5"/>
        <v>36,37,39,58</v>
      </c>
      <c r="I131" s="8"/>
      <c r="M131" s="1"/>
    </row>
    <row r="132" spans="2:13" ht="12.95" customHeight="1">
      <c r="B132" s="8" t="s">
        <v>128</v>
      </c>
      <c r="C132" s="4" t="str">
        <f>IF(B132="","",VLOOKUP(B132,小圆机汇总表!A:AQ,2,FALSE))</f>
        <v>A7545斜乱平纹</v>
      </c>
      <c r="D132" s="8" t="str">
        <f>IF(B132="","",VLOOKUP(B132,小圆机汇总表!A:AP,4,FALSE))</f>
        <v>斜乱平纹</v>
      </c>
      <c r="E132" s="8" t="str">
        <f>IF(B132="","",VLOOKUP(B132,小圆机汇总表!A:AP,5,FALSE))</f>
        <v>白</v>
      </c>
      <c r="F132" s="8">
        <f>VLOOKUP(B132,小圆机汇总表!A:AP,7,FALSE)</f>
        <v>45</v>
      </c>
      <c r="G132" s="8">
        <f t="shared" si="6"/>
        <v>4</v>
      </c>
      <c r="H132" s="4" t="str">
        <f t="shared" si="5"/>
        <v>11,21,48,63</v>
      </c>
      <c r="I132" s="8"/>
      <c r="M132" s="1"/>
    </row>
    <row r="133" spans="2:13" ht="12.95" customHeight="1">
      <c r="B133" s="8" t="s">
        <v>123</v>
      </c>
      <c r="C133" s="4" t="str">
        <f>IF(B133="","",VLOOKUP(B133,小圆机汇总表!A:AQ,2,FALSE))</f>
        <v>B7539斜乱平纹</v>
      </c>
      <c r="D133" s="8" t="str">
        <f>IF(B133="","",VLOOKUP(B133,小圆机汇总表!A:AP,4,FALSE))</f>
        <v>斜乱平纹</v>
      </c>
      <c r="E133" s="8" t="str">
        <f>IF(B133="","",VLOOKUP(B133,小圆机汇总表!A:AP,5,FALSE))</f>
        <v>白</v>
      </c>
      <c r="F133" s="8">
        <f>VLOOKUP(B133,小圆机汇总表!A:AP,7,FALSE)</f>
        <v>39</v>
      </c>
      <c r="G133" s="8">
        <f t="shared" si="6"/>
        <v>0</v>
      </c>
      <c r="H133" s="4" t="str">
        <f t="shared" si="5"/>
        <v/>
      </c>
      <c r="I133" s="8"/>
      <c r="M133" s="1"/>
    </row>
    <row r="134" spans="2:13" ht="12.95" customHeight="1">
      <c r="B134" s="8" t="s">
        <v>744</v>
      </c>
      <c r="C134" s="4" t="str">
        <f>IF(B134="","",VLOOKUP(B134,小圆机汇总表!A:AQ,2,FALSE))</f>
        <v>B7539斜乱平纹长乐</v>
      </c>
      <c r="D134" s="8" t="str">
        <f>IF(B134="","",VLOOKUP(B134,小圆机汇总表!A:AP,4,FALSE))</f>
        <v>斜乱平纹</v>
      </c>
      <c r="E134" s="8" t="str">
        <f>IF(B134="","",VLOOKUP(B134,小圆机汇总表!A:AP,5,FALSE))</f>
        <v>白</v>
      </c>
      <c r="F134" s="8">
        <f>VLOOKUP(B134,小圆机汇总表!A:AP,7,FALSE)</f>
        <v>39</v>
      </c>
      <c r="G134" s="8">
        <f t="shared" si="6"/>
        <v>0</v>
      </c>
      <c r="H134" s="4" t="str">
        <f t="shared" si="5"/>
        <v/>
      </c>
      <c r="I134" s="8"/>
      <c r="M134" s="1"/>
    </row>
    <row r="135" spans="2:13" ht="12.95" customHeight="1">
      <c r="B135" s="8" t="s">
        <v>745</v>
      </c>
      <c r="C135" s="4" t="str">
        <f>IF(B135="","",VLOOKUP(B135,小圆机汇总表!A:AQ,2,FALSE))</f>
        <v>B7539斜乱平纹新凤鸣</v>
      </c>
      <c r="D135" s="8" t="str">
        <f>IF(B135="","",VLOOKUP(B135,小圆机汇总表!A:AP,4,FALSE))</f>
        <v>斜乱平纹</v>
      </c>
      <c r="E135" s="8" t="str">
        <f>IF(B135="","",VLOOKUP(B135,小圆机汇总表!A:AP,5,FALSE))</f>
        <v>白</v>
      </c>
      <c r="F135" s="8">
        <f>VLOOKUP(B135,小圆机汇总表!A:AP,7,FALSE)</f>
        <v>39</v>
      </c>
      <c r="G135" s="8">
        <f t="shared" si="6"/>
        <v>0</v>
      </c>
      <c r="H135" s="4" t="str">
        <f t="shared" si="5"/>
        <v/>
      </c>
      <c r="I135" s="8"/>
      <c r="M135" s="1"/>
    </row>
    <row r="136" spans="2:13" ht="12.95" customHeight="1">
      <c r="B136" s="8" t="s">
        <v>129</v>
      </c>
      <c r="C136" s="4" t="str">
        <f>IF(B136="","",VLOOKUP(B136,小圆机汇总表!A:AQ,2,FALSE))</f>
        <v>A7548斜乱平纹</v>
      </c>
      <c r="D136" s="8" t="str">
        <f>IF(B136="","",VLOOKUP(B136,小圆机汇总表!A:AP,4,FALSE))</f>
        <v>斜乱平纹</v>
      </c>
      <c r="E136" s="8" t="str">
        <f>IF(B136="","",VLOOKUP(B136,小圆机汇总表!A:AP,5,FALSE))</f>
        <v>白高温</v>
      </c>
      <c r="F136" s="8">
        <f>VLOOKUP(B136,小圆机汇总表!A:AP,7,FALSE)</f>
        <v>48</v>
      </c>
      <c r="G136" s="8">
        <f t="shared" si="6"/>
        <v>2</v>
      </c>
      <c r="H136" s="4" t="str">
        <f t="shared" si="5"/>
        <v>20,52</v>
      </c>
      <c r="I136" s="8"/>
      <c r="M136" s="1"/>
    </row>
    <row r="137" spans="2:13" ht="12.95" customHeight="1">
      <c r="B137" s="8" t="s">
        <v>746</v>
      </c>
      <c r="C137" s="4" t="str">
        <f>IF(B137="","",VLOOKUP(B137,小圆机汇总表!A:AQ,2,FALSE))</f>
        <v>A7549斜乱平纹</v>
      </c>
      <c r="D137" s="8" t="str">
        <f>IF(B137="","",VLOOKUP(B137,小圆机汇总表!A:AP,4,FALSE))</f>
        <v>斜乱平纹</v>
      </c>
      <c r="E137" s="8" t="str">
        <f>IF(B137="","",VLOOKUP(B137,小圆机汇总表!A:AP,5,FALSE))</f>
        <v>白</v>
      </c>
      <c r="F137" s="8">
        <f>VLOOKUP(B137,小圆机汇总表!A:AP,7,FALSE)</f>
        <v>49</v>
      </c>
      <c r="G137" s="8">
        <f t="shared" si="6"/>
        <v>0</v>
      </c>
      <c r="H137" s="4" t="str">
        <f t="shared" si="5"/>
        <v/>
      </c>
      <c r="I137" s="8"/>
      <c r="M137" s="1"/>
    </row>
    <row r="138" spans="2:13" ht="12.95" customHeight="1">
      <c r="B138" s="8" t="s">
        <v>747</v>
      </c>
      <c r="C138" s="4" t="str">
        <f>IF(B138="","",VLOOKUP(B138,小圆机汇总表!A:AQ,2,FALSE))</f>
        <v>B7552乱平纹</v>
      </c>
      <c r="D138" s="8">
        <f>IF(B138="","",VLOOKUP(B138,小圆机汇总表!A:AP,4,FALSE))</f>
        <v>0</v>
      </c>
      <c r="E138" s="8">
        <f>IF(B138="","",VLOOKUP(B138,小圆机汇总表!A:AP,5,FALSE))</f>
        <v>0</v>
      </c>
      <c r="F138" s="8">
        <f>VLOOKUP(B138,小圆机汇总表!A:AP,7,FALSE)</f>
        <v>0</v>
      </c>
      <c r="G138" s="8">
        <f t="shared" si="6"/>
        <v>0</v>
      </c>
      <c r="H138" s="4" t="str">
        <f t="shared" si="5"/>
        <v/>
      </c>
      <c r="I138" s="8"/>
      <c r="M138" s="1"/>
    </row>
    <row r="139" spans="2:13" ht="12.95" customHeight="1">
      <c r="B139" s="8" t="s">
        <v>748</v>
      </c>
      <c r="C139" s="4" t="str">
        <f>IF(B139="","",VLOOKUP(B139,小圆机汇总表!A:AQ,2,FALSE))</f>
        <v>B7543大W黑丝</v>
      </c>
      <c r="D139" s="8">
        <f>IF(B139="","",VLOOKUP(B139,小圆机汇总表!A:AP,4,FALSE))</f>
        <v>0</v>
      </c>
      <c r="E139" s="8">
        <f>IF(B139="","",VLOOKUP(B139,小圆机汇总表!A:AP,5,FALSE))</f>
        <v>0</v>
      </c>
      <c r="F139" s="8">
        <f>VLOOKUP(B139,小圆机汇总表!A:AP,7,FALSE)</f>
        <v>0</v>
      </c>
      <c r="G139" s="8">
        <f t="shared" si="6"/>
        <v>0</v>
      </c>
      <c r="H139" s="4" t="str">
        <f t="shared" si="5"/>
        <v/>
      </c>
      <c r="I139" s="8"/>
      <c r="M139" s="1"/>
    </row>
    <row r="140" spans="2:13" ht="12.95" customHeight="1">
      <c r="B140" s="8" t="s">
        <v>1024</v>
      </c>
      <c r="C140" s="4" t="str">
        <f>IF(B140="","",VLOOKUP(B140,小圆机汇总表!A:AQ,2,FALSE))</f>
        <v>B7543大W</v>
      </c>
      <c r="D140" s="8" t="str">
        <f>IF(B140="","",VLOOKUP(B140,小圆机汇总表!A:AP,4,FALSE))</f>
        <v>大W</v>
      </c>
      <c r="E140" s="8" t="str">
        <f>IF(B140="","",VLOOKUP(B140,小圆机汇总表!A:AP,5,FALSE))</f>
        <v>白</v>
      </c>
      <c r="F140" s="8">
        <f>VLOOKUP(B140,小圆机汇总表!A:AP,7,FALSE)</f>
        <v>43</v>
      </c>
      <c r="G140" s="8">
        <f t="shared" ref="G140" si="9">COUNTIF($C$36:$C$105,B140)</f>
        <v>0</v>
      </c>
      <c r="H140" s="4" t="str">
        <f t="shared" si="5"/>
        <v/>
      </c>
      <c r="I140" s="8"/>
    </row>
    <row r="141" spans="2:13" ht="12.95" customHeight="1">
      <c r="B141" s="8" t="s">
        <v>1649</v>
      </c>
      <c r="C141" s="4" t="str">
        <f>IF(B141="","",VLOOKUP(B141,小圆机汇总表!A:AQ,2,FALSE))</f>
        <v>B7550大W</v>
      </c>
      <c r="D141" s="8" t="str">
        <f>IF(B141="","",VLOOKUP(B141,小圆机汇总表!A:AP,4,FALSE))</f>
        <v>大W</v>
      </c>
      <c r="E141" s="8" t="str">
        <f>IF(B141="","",VLOOKUP(B141,小圆机汇总表!A:AP,5,FALSE))</f>
        <v>白</v>
      </c>
      <c r="F141" s="8">
        <f>VLOOKUP(B141,小圆机汇总表!A:AP,7,FALSE)</f>
        <v>50</v>
      </c>
      <c r="G141" s="8">
        <f t="shared" si="6"/>
        <v>0</v>
      </c>
      <c r="H141" s="4" t="str">
        <f t="shared" si="5"/>
        <v/>
      </c>
      <c r="I141" s="8"/>
      <c r="M141" s="1"/>
    </row>
    <row r="142" spans="2:13" ht="12.95" customHeight="1">
      <c r="B142" s="8" t="s">
        <v>104</v>
      </c>
      <c r="C142" s="4" t="str">
        <f>IF(B142="","",VLOOKUP(B142,小圆机汇总表!A:AQ,2,FALSE))</f>
        <v>B7549w</v>
      </c>
      <c r="D142" s="8" t="str">
        <f>IF(B142="","",VLOOKUP(B142,小圆机汇总表!A:AP,4,FALSE))</f>
        <v>小w</v>
      </c>
      <c r="E142" s="8" t="str">
        <f>IF(B142="","",VLOOKUP(B142,小圆机汇总表!A:AP,5,FALSE))</f>
        <v>白</v>
      </c>
      <c r="F142" s="8">
        <f>VLOOKUP(B142,小圆机汇总表!A:AP,7,FALSE)</f>
        <v>49</v>
      </c>
      <c r="G142" s="8">
        <f t="shared" si="6"/>
        <v>0</v>
      </c>
      <c r="H142" s="4" t="str">
        <f t="shared" si="5"/>
        <v/>
      </c>
      <c r="I142" s="8"/>
      <c r="M142" s="1"/>
    </row>
    <row r="143" spans="2:13" ht="12.95" customHeight="1">
      <c r="B143" s="8" t="s">
        <v>749</v>
      </c>
      <c r="C143" s="4" t="str">
        <f>IF(B143="","",VLOOKUP(B143,小圆机汇总表!A:AQ,2,FALSE))</f>
        <v>C7542大W 白丝</v>
      </c>
      <c r="D143" s="8" t="str">
        <f>IF(B143="","",VLOOKUP(B143,小圆机汇总表!A:AP,4,FALSE))</f>
        <v>大W</v>
      </c>
      <c r="E143" s="8" t="str">
        <f>IF(B143="","",VLOOKUP(B143,小圆机汇总表!A:AP,5,FALSE))</f>
        <v>白高温</v>
      </c>
      <c r="F143" s="8">
        <f>VLOOKUP(B143,小圆机汇总表!A:AP,7,FALSE)</f>
        <v>42</v>
      </c>
      <c r="G143" s="8">
        <f t="shared" si="6"/>
        <v>4</v>
      </c>
      <c r="H143" s="4" t="str">
        <f t="shared" si="5"/>
        <v>46,51,55,65</v>
      </c>
      <c r="I143" s="8"/>
      <c r="M143" s="1"/>
    </row>
    <row r="144" spans="2:13" ht="12.95" customHeight="1">
      <c r="B144" s="8" t="s">
        <v>1234</v>
      </c>
      <c r="C144" s="4" t="str">
        <f>IF(B144="","",VLOOKUP(B144,小圆机汇总表!A:AQ,2,FALSE))</f>
        <v>B10063大W</v>
      </c>
      <c r="D144" s="8" t="str">
        <f>IF(B144="","",VLOOKUP(B144,小圆机汇总表!A:AP,4,FALSE))</f>
        <v>大W</v>
      </c>
      <c r="E144" s="8" t="str">
        <f>IF(B144="","",VLOOKUP(B144,小圆机汇总表!A:AP,5,FALSE))</f>
        <v>白</v>
      </c>
      <c r="F144" s="8">
        <f>VLOOKUP(B144,小圆机汇总表!A:AP,7,FALSE)</f>
        <v>63</v>
      </c>
      <c r="G144" s="8">
        <f t="shared" si="6"/>
        <v>0</v>
      </c>
      <c r="H144" s="4" t="str">
        <f t="shared" si="5"/>
        <v/>
      </c>
      <c r="I144" s="8"/>
      <c r="M144" s="1"/>
    </row>
    <row r="145" spans="1:13" ht="12.95" customHeight="1">
      <c r="B145" s="8" t="s">
        <v>2880</v>
      </c>
      <c r="C145" s="4" t="str">
        <f>IF(B145="","",VLOOKUP(B145,小圆机汇总表!A:AQ,2,FALSE))</f>
        <v>A5032大W</v>
      </c>
      <c r="D145" s="8" t="str">
        <f>IF(B145="","",VLOOKUP(B145,小圆机汇总表!A:AP,4,FALSE))</f>
        <v>大W</v>
      </c>
      <c r="E145" s="8" t="str">
        <f>IF(B145="","",VLOOKUP(B145,小圆机汇总表!A:AP,5,FALSE))</f>
        <v>白</v>
      </c>
      <c r="F145" s="8">
        <f>VLOOKUP(B145,小圆机汇总表!A:AP,7,FALSE)</f>
        <v>32</v>
      </c>
      <c r="G145" s="8">
        <f t="shared" si="6"/>
        <v>1</v>
      </c>
      <c r="H145" s="4">
        <f t="shared" si="5"/>
        <v>42</v>
      </c>
      <c r="I145" s="8"/>
      <c r="M145" s="1"/>
    </row>
    <row r="146" spans="1:13" ht="12.95" customHeight="1">
      <c r="B146" s="8" t="s">
        <v>2250</v>
      </c>
      <c r="C146" s="4" t="str">
        <f>IF(B146="","",VLOOKUP(B146,小圆机汇总表!A:AQ,2,FALSE))</f>
        <v>C5040w</v>
      </c>
      <c r="D146" s="8" t="str">
        <f>IF(B146="","",VLOOKUP(B146,小圆机汇总表!A:AP,4,FALSE))</f>
        <v>小w</v>
      </c>
      <c r="E146" s="8" t="str">
        <f>IF(B146="","",VLOOKUP(B146,小圆机汇总表!A:AP,5,FALSE))</f>
        <v>白无温</v>
      </c>
      <c r="F146" s="8">
        <f>VLOOKUP(B146,小圆机汇总表!A:AP,7,FALSE)</f>
        <v>40</v>
      </c>
      <c r="G146" s="8">
        <f t="shared" ref="G146" si="10">COUNTIF($C$36:$C$105,B146)</f>
        <v>6</v>
      </c>
      <c r="H146" s="4" t="str">
        <f t="shared" si="5"/>
        <v>40,66,67,68,69,70</v>
      </c>
      <c r="I146" s="8"/>
      <c r="M146" s="206"/>
    </row>
    <row r="147" spans="1:13" ht="12.95" customHeight="1">
      <c r="B147" s="8" t="s">
        <v>2472</v>
      </c>
      <c r="C147" s="4" t="str">
        <f>IF(B147="","",VLOOKUP(B147,小圆机汇总表!A:AQ,2,FALSE))</f>
        <v>A5036斜乱平纹</v>
      </c>
      <c r="D147" s="8" t="str">
        <f>IF(B147="","",VLOOKUP(B147,小圆机汇总表!A:AP,4,FALSE))</f>
        <v>斜乱平纹</v>
      </c>
      <c r="E147" s="8" t="str">
        <f>IF(B147="","",VLOOKUP(B147,小圆机汇总表!A:AP,5,FALSE))</f>
        <v>白</v>
      </c>
      <c r="F147" s="8">
        <f>VLOOKUP(B147,小圆机汇总表!A:AP,7,FALSE)</f>
        <v>36</v>
      </c>
      <c r="G147" s="8">
        <f t="shared" ref="G147" si="11">COUNTIF($C$36:$C$105,B147)</f>
        <v>0</v>
      </c>
      <c r="H147" s="4" t="str">
        <f t="shared" ref="H147" si="12">IF(ISNA(LOOKUP(1,0/($C$36:$C$105=B147),$H$36:$H$105)),"",LOOKUP(1,0/($C$36:$C$105=B147),$H$36:$H$105))</f>
        <v/>
      </c>
      <c r="I147" s="8"/>
      <c r="M147" s="206"/>
    </row>
    <row r="148" spans="1:13" ht="12.95" customHeight="1">
      <c r="B148" s="8" t="s">
        <v>2306</v>
      </c>
      <c r="C148" s="4" t="str">
        <f>IF(B148="","",VLOOKUP(B148,小圆机汇总表!A:AQ,2,FALSE))</f>
        <v>A5038大W</v>
      </c>
      <c r="D148" s="8" t="str">
        <f>IF(B148="","",VLOOKUP(B148,小圆机汇总表!A:AP,4,FALSE))</f>
        <v>大W</v>
      </c>
      <c r="E148" s="8" t="str">
        <f>IF(B148="","",VLOOKUP(B148,小圆机汇总表!A:AP,5,FALSE))</f>
        <v>白</v>
      </c>
      <c r="F148" s="8">
        <f>VLOOKUP(B148,小圆机汇总表!A:AP,7,FALSE)</f>
        <v>38</v>
      </c>
      <c r="G148" s="8">
        <f t="shared" ref="G148" si="13">COUNTIF($C$36:$C$105,B148)</f>
        <v>0</v>
      </c>
      <c r="H148" s="4" t="str">
        <f t="shared" ref="H148" si="14">IF(ISNA(LOOKUP(1,0/($C$36:$C$105=B148),$H$36:$H$105)),"",LOOKUP(1,0/($C$36:$C$105=B148),$H$36:$H$105))</f>
        <v/>
      </c>
      <c r="I148" s="8"/>
      <c r="M148" s="206"/>
    </row>
    <row r="149" spans="1:13" ht="12.95" customHeight="1">
      <c r="B149" s="100"/>
      <c r="C149" s="4"/>
      <c r="D149" s="8"/>
      <c r="E149" s="8"/>
      <c r="F149" s="8" t="s">
        <v>760</v>
      </c>
      <c r="G149" s="8">
        <f>SUM(G109:G148)</f>
        <v>70</v>
      </c>
      <c r="H149" s="4" t="str">
        <f t="shared" ref="H149" si="15">IF(ISNA(LOOKUP(1,0/($C$36:$C$105=B149),$H$36:$H$105)),"",LOOKUP(1,0/($C$36:$C$105=B149),$H$36:$H$105))</f>
        <v/>
      </c>
      <c r="I149" s="8"/>
      <c r="M149" s="1"/>
    </row>
    <row r="150" spans="1:13">
      <c r="B150" s="178"/>
      <c r="C150" s="200"/>
      <c r="D150" s="179"/>
      <c r="E150" s="179"/>
      <c r="F150" s="179"/>
      <c r="G150" s="179"/>
      <c r="H150" s="179"/>
      <c r="I150" s="179"/>
      <c r="J150" s="179"/>
      <c r="M150" s="1"/>
    </row>
    <row r="151" spans="1:13">
      <c r="B151" s="177"/>
      <c r="C151" s="2"/>
      <c r="D151" s="177"/>
      <c r="E151" s="177"/>
      <c r="F151" s="177"/>
      <c r="G151" s="177"/>
      <c r="H151" s="177"/>
      <c r="M151" s="1"/>
    </row>
    <row r="152" spans="1:13" outlineLevel="1">
      <c r="B152" s="29" t="s">
        <v>762</v>
      </c>
      <c r="C152" s="50" t="s">
        <v>777</v>
      </c>
      <c r="D152" s="29" t="s">
        <v>778</v>
      </c>
      <c r="E152" s="29" t="s">
        <v>779</v>
      </c>
      <c r="F152" s="29" t="s">
        <v>268</v>
      </c>
      <c r="G152" s="29" t="s">
        <v>124</v>
      </c>
      <c r="H152" s="50" t="s">
        <v>780</v>
      </c>
      <c r="M152" s="1"/>
    </row>
    <row r="153" spans="1:13" outlineLevel="1">
      <c r="A153" s="1" t="str">
        <f>C153&amp;D153&amp;E153&amp;G153</f>
        <v>75*7543190.5白</v>
      </c>
      <c r="B153" s="1">
        <v>1</v>
      </c>
      <c r="C153" s="2" t="s">
        <v>784</v>
      </c>
      <c r="D153" s="1">
        <v>43</v>
      </c>
      <c r="E153" s="1">
        <v>190.5</v>
      </c>
      <c r="G153" s="1" t="s">
        <v>783</v>
      </c>
      <c r="H153" s="2">
        <f>IF(COUNTIF(A$153:A153,A153)=1,B153,LOOKUP(1,0/(A$152:A152=A153),H$152:H152)&amp;","&amp;B153)</f>
        <v>1</v>
      </c>
      <c r="M153" s="1"/>
    </row>
    <row r="154" spans="1:13" outlineLevel="1">
      <c r="A154" s="1" t="str">
        <f t="shared" ref="A154:A217" si="16">C154&amp;D154&amp;E154&amp;G154</f>
        <v>75*7543190.5黑</v>
      </c>
      <c r="B154" s="1">
        <v>2</v>
      </c>
      <c r="C154" s="2" t="s">
        <v>784</v>
      </c>
      <c r="D154" s="1">
        <v>43</v>
      </c>
      <c r="E154" s="1">
        <v>190.5</v>
      </c>
      <c r="G154" s="1" t="s">
        <v>785</v>
      </c>
      <c r="H154" s="2">
        <f>IF(COUNTIF(A$153:A154,A154)=1,B154,LOOKUP(1,0/(A$152:A153=A154),H$152:H153)&amp;","&amp;B154)</f>
        <v>2</v>
      </c>
      <c r="M154" s="1"/>
    </row>
    <row r="155" spans="1:13" outlineLevel="1">
      <c r="A155" s="1" t="str">
        <f t="shared" si="16"/>
        <v>75*30070190黑</v>
      </c>
      <c r="B155" s="1">
        <v>3</v>
      </c>
      <c r="C155" s="2" t="s">
        <v>209</v>
      </c>
      <c r="D155" s="1">
        <v>70</v>
      </c>
      <c r="E155" s="1">
        <v>190</v>
      </c>
      <c r="G155" s="1" t="s">
        <v>785</v>
      </c>
      <c r="H155" s="2">
        <f>IF(COUNTIF(A$153:A155,A155)=1,B155,LOOKUP(1,0/(A$152:A154=A155),H$152:H154)&amp;","&amp;B155)</f>
        <v>3</v>
      </c>
      <c r="M155" s="1"/>
    </row>
    <row r="156" spans="1:13" outlineLevel="1">
      <c r="A156" s="1" t="str">
        <f t="shared" si="16"/>
        <v>75*10050190.5白</v>
      </c>
      <c r="B156" s="1">
        <v>4</v>
      </c>
      <c r="C156" s="2" t="s">
        <v>208</v>
      </c>
      <c r="D156" s="1">
        <v>50</v>
      </c>
      <c r="E156" s="1">
        <v>190.5</v>
      </c>
      <c r="G156" s="1" t="s">
        <v>783</v>
      </c>
      <c r="H156" s="2">
        <f>IF(COUNTIF(A$153:A156,A156)=1,B156,LOOKUP(1,0/(A$152:A155=A156),H$152:H155)&amp;","&amp;B156)</f>
        <v>4</v>
      </c>
      <c r="M156" s="1"/>
    </row>
    <row r="157" spans="1:13" outlineLevel="1">
      <c r="A157" s="1" t="str">
        <f t="shared" si="16"/>
        <v>75*15054190.5黑</v>
      </c>
      <c r="B157" s="1">
        <v>5</v>
      </c>
      <c r="C157" s="2" t="s">
        <v>211</v>
      </c>
      <c r="D157" s="1">
        <v>54</v>
      </c>
      <c r="E157" s="1">
        <v>190.5</v>
      </c>
      <c r="G157" s="1" t="s">
        <v>785</v>
      </c>
      <c r="H157" s="2">
        <f>IF(COUNTIF(A$153:A157,A157)=1,B157,LOOKUP(1,0/(A$152:A156=A157),H$152:H156)&amp;","&amp;B157)</f>
        <v>5</v>
      </c>
      <c r="M157" s="1"/>
    </row>
    <row r="158" spans="1:13" outlineLevel="1">
      <c r="A158" s="1" t="str">
        <f t="shared" si="16"/>
        <v>75*7543190.5白</v>
      </c>
      <c r="B158" s="1">
        <v>6</v>
      </c>
      <c r="C158" s="2" t="s">
        <v>784</v>
      </c>
      <c r="D158" s="1">
        <v>43</v>
      </c>
      <c r="E158" s="1">
        <v>190.5</v>
      </c>
      <c r="G158" s="1" t="s">
        <v>783</v>
      </c>
      <c r="H158" s="2" t="str">
        <f>IF(COUNTIF(A$153:A158,A158)=1,B158,LOOKUP(1,0/(A$152:A157=A158),H$152:H157)&amp;","&amp;B158)</f>
        <v>1,6</v>
      </c>
      <c r="M158" s="1"/>
    </row>
    <row r="159" spans="1:13" outlineLevel="1">
      <c r="A159" s="1" t="str">
        <f t="shared" si="16"/>
        <v>50*5037190.5-1白</v>
      </c>
      <c r="B159" s="1">
        <v>7</v>
      </c>
      <c r="C159" s="2" t="s">
        <v>203</v>
      </c>
      <c r="D159" s="1">
        <v>37</v>
      </c>
      <c r="E159" s="1" t="s">
        <v>218</v>
      </c>
      <c r="G159" s="1" t="s">
        <v>783</v>
      </c>
      <c r="H159" s="2">
        <f>IF(COUNTIF(A$153:A159,A159)=1,B159,LOOKUP(1,0/(A$152:A158=A159),H$152:H158)&amp;","&amp;B159)</f>
        <v>7</v>
      </c>
      <c r="M159" s="1"/>
    </row>
    <row r="160" spans="1:13" outlineLevel="1">
      <c r="A160" s="1" t="str">
        <f t="shared" si="16"/>
        <v>75*7543190.5白</v>
      </c>
      <c r="B160" s="1">
        <v>8</v>
      </c>
      <c r="C160" s="2" t="s">
        <v>784</v>
      </c>
      <c r="D160" s="1">
        <v>43</v>
      </c>
      <c r="E160" s="1">
        <v>190.5</v>
      </c>
      <c r="G160" s="1" t="s">
        <v>783</v>
      </c>
      <c r="H160" s="2" t="str">
        <f>IF(COUNTIF(A$153:A160,A160)=1,B160,LOOKUP(1,0/(A$152:A159=A160),H$152:H159)&amp;","&amp;B160)</f>
        <v>1,6,8</v>
      </c>
      <c r="M160" s="1"/>
    </row>
    <row r="161" spans="1:13" outlineLevel="1">
      <c r="A161" s="1" t="str">
        <f t="shared" si="16"/>
        <v>75*7543190.5黑</v>
      </c>
      <c r="B161" s="1">
        <v>9</v>
      </c>
      <c r="C161" s="2" t="s">
        <v>784</v>
      </c>
      <c r="D161" s="1">
        <v>43</v>
      </c>
      <c r="E161" s="1">
        <v>190.5</v>
      </c>
      <c r="G161" s="1" t="s">
        <v>785</v>
      </c>
      <c r="H161" s="2" t="str">
        <f>IF(COUNTIF(A$153:A161,A161)=1,B161,LOOKUP(1,0/(A$152:A160=A161),H$152:H160)&amp;","&amp;B161)</f>
        <v>2,9</v>
      </c>
      <c r="M161" s="1"/>
    </row>
    <row r="162" spans="1:13" outlineLevel="1">
      <c r="A162" s="1" t="str">
        <f t="shared" si="16"/>
        <v>50*5037190.5-1白</v>
      </c>
      <c r="B162" s="1">
        <v>10</v>
      </c>
      <c r="C162" s="2" t="s">
        <v>203</v>
      </c>
      <c r="D162" s="1">
        <v>37</v>
      </c>
      <c r="E162" s="1" t="s">
        <v>218</v>
      </c>
      <c r="G162" s="1" t="s">
        <v>783</v>
      </c>
      <c r="H162" s="2" t="str">
        <f>IF(COUNTIF(A$153:A162,A162)=1,B162,LOOKUP(1,0/(A$152:A161=A162),H$152:H161)&amp;","&amp;B162)</f>
        <v>7,10</v>
      </c>
      <c r="M162" s="1"/>
    </row>
    <row r="163" spans="1:13" outlineLevel="1">
      <c r="A163" s="1" t="str">
        <f t="shared" si="16"/>
        <v>50*5037190.5-2黑</v>
      </c>
      <c r="B163" s="1">
        <v>11</v>
      </c>
      <c r="C163" s="2" t="s">
        <v>203</v>
      </c>
      <c r="D163" s="1">
        <v>37</v>
      </c>
      <c r="E163" s="1" t="s">
        <v>219</v>
      </c>
      <c r="G163" s="1" t="s">
        <v>1</v>
      </c>
      <c r="H163" s="2">
        <f>IF(COUNTIF(A$153:A163,A163)=1,B163,LOOKUP(1,0/(A$152:A162=A163),H$152:H162)&amp;","&amp;B163)</f>
        <v>11</v>
      </c>
      <c r="M163" s="1"/>
    </row>
    <row r="164" spans="1:13" outlineLevel="1">
      <c r="A164" s="1" t="str">
        <f t="shared" si="16"/>
        <v>75*10050190.5白</v>
      </c>
      <c r="B164" s="1">
        <v>12</v>
      </c>
      <c r="C164" s="2" t="s">
        <v>208</v>
      </c>
      <c r="D164" s="1">
        <v>50</v>
      </c>
      <c r="E164" s="1">
        <v>190.5</v>
      </c>
      <c r="G164" s="1" t="s">
        <v>783</v>
      </c>
      <c r="H164" s="2" t="str">
        <f>IF(COUNTIF(A$153:A164,A164)=1,B164,LOOKUP(1,0/(A$152:A163=A164),H$152:H163)&amp;","&amp;B164)</f>
        <v>4,12</v>
      </c>
      <c r="M164" s="1"/>
    </row>
    <row r="165" spans="1:13" outlineLevel="1">
      <c r="A165" s="1" t="str">
        <f t="shared" si="16"/>
        <v>75*7543190.5白</v>
      </c>
      <c r="B165" s="1">
        <v>13</v>
      </c>
      <c r="C165" s="2" t="s">
        <v>784</v>
      </c>
      <c r="D165" s="1">
        <v>43</v>
      </c>
      <c r="E165" s="1">
        <v>190.5</v>
      </c>
      <c r="G165" s="1" t="s">
        <v>783</v>
      </c>
      <c r="H165" s="2" t="str">
        <f>IF(COUNTIF(A$153:A165,A165)=1,B165,LOOKUP(1,0/(A$152:A164=A165),H$152:H164)&amp;","&amp;B165)</f>
        <v>1,6,8,13</v>
      </c>
      <c r="M165" s="1"/>
    </row>
    <row r="166" spans="1:13" outlineLevel="1">
      <c r="A166" s="1" t="str">
        <f t="shared" si="16"/>
        <v>75*30070190黑</v>
      </c>
      <c r="B166" s="1">
        <v>14</v>
      </c>
      <c r="C166" s="2" t="s">
        <v>209</v>
      </c>
      <c r="D166" s="1">
        <v>70</v>
      </c>
      <c r="E166" s="1">
        <v>190</v>
      </c>
      <c r="G166" s="1" t="s">
        <v>785</v>
      </c>
      <c r="H166" s="2" t="str">
        <f>IF(COUNTIF(A$153:A166,A166)=1,B166,LOOKUP(1,0/(A$152:A165=A166),H$152:H165)&amp;","&amp;B166)</f>
        <v>3,14</v>
      </c>
      <c r="M166" s="1"/>
    </row>
    <row r="167" spans="1:13" outlineLevel="1">
      <c r="A167" s="1" t="str">
        <f t="shared" si="16"/>
        <v>75*30070190黑</v>
      </c>
      <c r="B167" s="1">
        <v>15</v>
      </c>
      <c r="C167" s="2" t="s">
        <v>209</v>
      </c>
      <c r="D167" s="1">
        <v>70</v>
      </c>
      <c r="E167" s="1">
        <v>190</v>
      </c>
      <c r="G167" s="1" t="s">
        <v>785</v>
      </c>
      <c r="H167" s="2" t="str">
        <f>IF(COUNTIF(A$153:A167,A167)=1,B167,LOOKUP(1,0/(A$152:A166=A167),H$152:H166)&amp;","&amp;B167)</f>
        <v>3,14,15</v>
      </c>
      <c r="M167" s="1"/>
    </row>
    <row r="168" spans="1:13" outlineLevel="1">
      <c r="A168" s="1" t="str">
        <f t="shared" si="16"/>
        <v>75*15058190.5白</v>
      </c>
      <c r="B168" s="1">
        <v>16</v>
      </c>
      <c r="C168" s="2" t="s">
        <v>211</v>
      </c>
      <c r="D168" s="1">
        <v>58</v>
      </c>
      <c r="E168" s="1">
        <v>190.5</v>
      </c>
      <c r="G168" s="1" t="s">
        <v>783</v>
      </c>
      <c r="H168" s="2">
        <f>IF(COUNTIF(A$153:A168,A168)=1,B168,LOOKUP(1,0/(A$152:A167=A168),H$152:H167)&amp;","&amp;B168)</f>
        <v>16</v>
      </c>
      <c r="M168" s="1"/>
    </row>
    <row r="169" spans="1:13" outlineLevel="1">
      <c r="A169" s="1" t="str">
        <f t="shared" si="16"/>
        <v>75*7543190.5黑</v>
      </c>
      <c r="B169" s="1">
        <v>17</v>
      </c>
      <c r="C169" s="2" t="s">
        <v>784</v>
      </c>
      <c r="D169" s="1">
        <v>43</v>
      </c>
      <c r="E169" s="1">
        <v>190.5</v>
      </c>
      <c r="G169" s="1" t="s">
        <v>785</v>
      </c>
      <c r="H169" s="2" t="str">
        <f>IF(COUNTIF(A$153:A169,A169)=1,B169,LOOKUP(1,0/(A$152:A168=A169),H$152:H168)&amp;","&amp;B169)</f>
        <v>2,9,17</v>
      </c>
      <c r="M169" s="1"/>
    </row>
    <row r="170" spans="1:13" outlineLevel="1">
      <c r="A170" s="1" t="str">
        <f t="shared" si="16"/>
        <v>75*7543190.5黑</v>
      </c>
      <c r="B170" s="1">
        <v>18</v>
      </c>
      <c r="C170" s="2" t="s">
        <v>784</v>
      </c>
      <c r="D170" s="1">
        <v>43</v>
      </c>
      <c r="E170" s="1">
        <v>190.5</v>
      </c>
      <c r="G170" s="1" t="s">
        <v>785</v>
      </c>
      <c r="H170" s="2" t="str">
        <f>IF(COUNTIF(A$153:A170,A170)=1,B170,LOOKUP(1,0/(A$152:A169=A170),H$152:H169)&amp;","&amp;B170)</f>
        <v>2,9,17,18</v>
      </c>
      <c r="M170" s="1"/>
    </row>
    <row r="171" spans="1:13" outlineLevel="1">
      <c r="A171" s="1" t="str">
        <f t="shared" si="16"/>
        <v>50*7544190.5白</v>
      </c>
      <c r="B171" s="1">
        <v>19</v>
      </c>
      <c r="C171" s="2" t="s">
        <v>205</v>
      </c>
      <c r="D171" s="1">
        <v>44</v>
      </c>
      <c r="E171" s="1">
        <v>190.5</v>
      </c>
      <c r="G171" s="1" t="s">
        <v>2</v>
      </c>
      <c r="H171" s="2">
        <f>IF(COUNTIF(A$153:A171,A171)=1,B171,LOOKUP(1,0/(A$152:A170=A171),H$152:H170)&amp;","&amp;B171)</f>
        <v>19</v>
      </c>
      <c r="M171" s="1"/>
    </row>
    <row r="172" spans="1:13" outlineLevel="1">
      <c r="A172" s="1" t="str">
        <f t="shared" si="16"/>
        <v>75*7543190.5白</v>
      </c>
      <c r="B172" s="1">
        <v>20</v>
      </c>
      <c r="C172" s="2" t="s">
        <v>784</v>
      </c>
      <c r="D172" s="1">
        <v>43</v>
      </c>
      <c r="E172" s="1">
        <v>190.5</v>
      </c>
      <c r="G172" s="1" t="s">
        <v>783</v>
      </c>
      <c r="H172" s="2" t="str">
        <f>IF(COUNTIF(A$153:A172,A172)=1,B172,LOOKUP(1,0/(A$152:A171=A172),H$152:H171)&amp;","&amp;B172)</f>
        <v>1,6,8,13,20</v>
      </c>
      <c r="M172" s="1"/>
    </row>
    <row r="173" spans="1:13" outlineLevel="1">
      <c r="A173" s="1" t="str">
        <f t="shared" si="16"/>
        <v>50*5037190.5-1白</v>
      </c>
      <c r="B173" s="1">
        <v>21</v>
      </c>
      <c r="C173" s="2" t="s">
        <v>203</v>
      </c>
      <c r="D173" s="1">
        <v>37</v>
      </c>
      <c r="E173" s="1" t="s">
        <v>218</v>
      </c>
      <c r="G173" s="1" t="s">
        <v>783</v>
      </c>
      <c r="H173" s="2" t="str">
        <f>IF(COUNTIF(A$153:A173,A173)=1,B173,LOOKUP(1,0/(A$152:A172=A173),H$152:H172)&amp;","&amp;B173)</f>
        <v>7,10,21</v>
      </c>
      <c r="M173" s="1"/>
    </row>
    <row r="174" spans="1:13" outlineLevel="1">
      <c r="A174" s="1" t="str">
        <f t="shared" si="16"/>
        <v>50*5037190.5-1白</v>
      </c>
      <c r="B174" s="1">
        <v>22</v>
      </c>
      <c r="C174" s="2" t="s">
        <v>203</v>
      </c>
      <c r="D174" s="1">
        <v>37</v>
      </c>
      <c r="E174" s="1" t="s">
        <v>218</v>
      </c>
      <c r="G174" s="1" t="s">
        <v>783</v>
      </c>
      <c r="H174" s="2" t="str">
        <f>IF(COUNTIF(A$153:A174,A174)=1,B174,LOOKUP(1,0/(A$152:A173=A174),H$152:H173)&amp;","&amp;B174)</f>
        <v>7,10,21,22</v>
      </c>
      <c r="M174" s="1"/>
    </row>
    <row r="175" spans="1:13" outlineLevel="1">
      <c r="A175" s="1" t="str">
        <f t="shared" si="16"/>
        <v>50*7544190.5白</v>
      </c>
      <c r="B175" s="1">
        <v>23</v>
      </c>
      <c r="C175" s="2" t="s">
        <v>205</v>
      </c>
      <c r="D175" s="1">
        <v>44</v>
      </c>
      <c r="E175" s="1">
        <v>190.5</v>
      </c>
      <c r="G175" s="1" t="s">
        <v>2</v>
      </c>
      <c r="H175" s="2" t="str">
        <f>IF(COUNTIF(A$153:A175,A175)=1,B175,LOOKUP(1,0/(A$152:A174=A175),H$152:H174)&amp;","&amp;B175)</f>
        <v>19,23</v>
      </c>
      <c r="M175" s="1"/>
    </row>
    <row r="176" spans="1:13" outlineLevel="1">
      <c r="A176" s="1" t="str">
        <f t="shared" si="16"/>
        <v>50*7544190.5白</v>
      </c>
      <c r="B176" s="1">
        <v>24</v>
      </c>
      <c r="C176" s="2" t="s">
        <v>205</v>
      </c>
      <c r="D176" s="1">
        <v>44</v>
      </c>
      <c r="E176" s="1">
        <v>190.5</v>
      </c>
      <c r="G176" s="1" t="s">
        <v>2</v>
      </c>
      <c r="H176" s="2" t="str">
        <f>IF(COUNTIF(A$153:A176,A176)=1,B176,LOOKUP(1,0/(A$152:A175=A176),H$152:H175)&amp;","&amp;B176)</f>
        <v>19,23,24</v>
      </c>
      <c r="M176" s="1"/>
    </row>
    <row r="177" spans="1:13" outlineLevel="1">
      <c r="A177" s="1" t="str">
        <f t="shared" si="16"/>
        <v>75*7543190.5黑</v>
      </c>
      <c r="B177" s="1">
        <v>25</v>
      </c>
      <c r="C177" s="2" t="s">
        <v>784</v>
      </c>
      <c r="D177" s="1">
        <v>43</v>
      </c>
      <c r="E177" s="1">
        <v>190.5</v>
      </c>
      <c r="G177" s="1" t="s">
        <v>785</v>
      </c>
      <c r="H177" s="2" t="str">
        <f>IF(COUNTIF(A$153:A177,A177)=1,B177,LOOKUP(1,0/(A$152:A176=A177),H$152:H176)&amp;","&amp;B177)</f>
        <v>2,9,17,18,25</v>
      </c>
      <c r="M177" s="1"/>
    </row>
    <row r="178" spans="1:13" outlineLevel="1">
      <c r="A178" s="1" t="str">
        <f t="shared" si="16"/>
        <v>75*30070190黑</v>
      </c>
      <c r="B178" s="1">
        <v>26</v>
      </c>
      <c r="C178" s="2" t="s">
        <v>209</v>
      </c>
      <c r="D178" s="1">
        <v>70</v>
      </c>
      <c r="E178" s="1">
        <v>190</v>
      </c>
      <c r="G178" s="1" t="s">
        <v>785</v>
      </c>
      <c r="H178" s="2" t="str">
        <f>IF(COUNTIF(A$153:A178,A178)=1,B178,LOOKUP(1,0/(A$152:A177=A178),H$152:H177)&amp;","&amp;B178)</f>
        <v>3,14,15,26</v>
      </c>
      <c r="M178" s="1"/>
    </row>
    <row r="179" spans="1:13" outlineLevel="1">
      <c r="A179" s="1" t="str">
        <f t="shared" si="16"/>
        <v>75*30070190黑</v>
      </c>
      <c r="B179" s="1">
        <v>27</v>
      </c>
      <c r="C179" s="2" t="s">
        <v>209</v>
      </c>
      <c r="D179" s="1">
        <v>70</v>
      </c>
      <c r="E179" s="1">
        <v>190</v>
      </c>
      <c r="G179" s="1" t="s">
        <v>785</v>
      </c>
      <c r="H179" s="2" t="str">
        <f>IF(COUNTIF(A$153:A179,A179)=1,B179,LOOKUP(1,0/(A$152:A178=A179),H$152:H178)&amp;","&amp;B179)</f>
        <v>3,14,15,26,27</v>
      </c>
      <c r="M179" s="1"/>
    </row>
    <row r="180" spans="1:13" outlineLevel="1">
      <c r="A180" s="1" t="str">
        <f t="shared" si="16"/>
        <v>75*7543190.5黑</v>
      </c>
      <c r="B180" s="1">
        <v>28</v>
      </c>
      <c r="C180" s="2" t="s">
        <v>784</v>
      </c>
      <c r="D180" s="1">
        <v>43</v>
      </c>
      <c r="E180" s="1">
        <v>190.5</v>
      </c>
      <c r="G180" s="1" t="s">
        <v>785</v>
      </c>
      <c r="H180" s="2" t="str">
        <f>IF(COUNTIF(A$153:A180,A180)=1,B180,LOOKUP(1,0/(A$152:A179=A180),H$152:H179)&amp;","&amp;B180)</f>
        <v>2,9,17,18,25,28</v>
      </c>
      <c r="M180" s="1"/>
    </row>
    <row r="181" spans="1:13" outlineLevel="1">
      <c r="A181" s="1" t="str">
        <f t="shared" si="16"/>
        <v>50*5037190.5-1白</v>
      </c>
      <c r="B181" s="1">
        <v>29</v>
      </c>
      <c r="C181" s="2" t="s">
        <v>203</v>
      </c>
      <c r="D181" s="1">
        <v>37</v>
      </c>
      <c r="E181" s="1" t="s">
        <v>218</v>
      </c>
      <c r="G181" s="1" t="s">
        <v>783</v>
      </c>
      <c r="H181" s="2" t="str">
        <f>IF(COUNTIF(A$153:A181,A181)=1,B181,LOOKUP(1,0/(A$152:A180=A181),H$152:H180)&amp;","&amp;B181)</f>
        <v>7,10,21,22,29</v>
      </c>
      <c r="M181" s="1"/>
    </row>
    <row r="182" spans="1:13" outlineLevel="1">
      <c r="A182" s="1" t="str">
        <f t="shared" si="16"/>
        <v>50*5037190.5-1白</v>
      </c>
      <c r="B182" s="1">
        <v>30</v>
      </c>
      <c r="C182" s="2" t="s">
        <v>203</v>
      </c>
      <c r="D182" s="1">
        <v>37</v>
      </c>
      <c r="E182" s="1" t="s">
        <v>218</v>
      </c>
      <c r="G182" s="1" t="s">
        <v>783</v>
      </c>
      <c r="H182" s="2" t="str">
        <f>IF(COUNTIF(A$153:A182,A182)=1,B182,LOOKUP(1,0/(A$152:A181=A182),H$152:H181)&amp;","&amp;B182)</f>
        <v>7,10,21,22,29,30</v>
      </c>
      <c r="M182" s="1"/>
    </row>
    <row r="183" spans="1:13" outlineLevel="1">
      <c r="A183" s="1" t="str">
        <f t="shared" si="16"/>
        <v>75*10050190.5黑</v>
      </c>
      <c r="B183" s="1">
        <v>31</v>
      </c>
      <c r="C183" s="2" t="s">
        <v>208</v>
      </c>
      <c r="D183" s="1">
        <v>50</v>
      </c>
      <c r="E183" s="1">
        <v>190.5</v>
      </c>
      <c r="G183" s="1" t="s">
        <v>785</v>
      </c>
      <c r="H183" s="2">
        <f>IF(COUNTIF(A$153:A183,A183)=1,B183,LOOKUP(1,0/(A$152:A182=A183),H$152:H182)&amp;","&amp;B183)</f>
        <v>31</v>
      </c>
      <c r="M183" s="1"/>
    </row>
    <row r="184" spans="1:13" outlineLevel="1">
      <c r="A184" s="1" t="str">
        <f t="shared" si="16"/>
        <v>75*15058190.5黑</v>
      </c>
      <c r="B184" s="1">
        <v>32</v>
      </c>
      <c r="C184" s="2" t="s">
        <v>211</v>
      </c>
      <c r="D184" s="1">
        <v>58</v>
      </c>
      <c r="E184" s="1">
        <v>190.5</v>
      </c>
      <c r="G184" s="1" t="s">
        <v>785</v>
      </c>
      <c r="H184" s="2">
        <f>IF(COUNTIF(A$153:A184,A184)=1,B184,LOOKUP(1,0/(A$152:A183=A184),H$152:H183)&amp;","&amp;B184)</f>
        <v>32</v>
      </c>
    </row>
    <row r="185" spans="1:13" outlineLevel="1">
      <c r="A185" s="1" t="str">
        <f t="shared" si="16"/>
        <v>30*3023190白</v>
      </c>
      <c r="B185" s="1">
        <v>33</v>
      </c>
      <c r="C185" s="2" t="s">
        <v>201</v>
      </c>
      <c r="D185" s="1">
        <v>23</v>
      </c>
      <c r="E185" s="1">
        <v>190</v>
      </c>
      <c r="G185" s="1" t="s">
        <v>2</v>
      </c>
      <c r="H185" s="2">
        <f>IF(COUNTIF(A$153:A185,A185)=1,B185,LOOKUP(1,0/(A$152:A184=A185),H$152:H184)&amp;","&amp;B185)</f>
        <v>33</v>
      </c>
    </row>
    <row r="186" spans="1:13" outlineLevel="1">
      <c r="A186" s="1" t="str">
        <f t="shared" si="16"/>
        <v>75*15058190.5白</v>
      </c>
      <c r="B186" s="1">
        <v>34</v>
      </c>
      <c r="C186" s="2" t="s">
        <v>211</v>
      </c>
      <c r="D186" s="1">
        <v>58</v>
      </c>
      <c r="E186" s="1">
        <v>190.5</v>
      </c>
      <c r="G186" s="1" t="s">
        <v>783</v>
      </c>
      <c r="H186" s="2" t="str">
        <f>IF(COUNTIF(A$153:A186,A186)=1,B186,LOOKUP(1,0/(A$152:A185=A186),H$152:H185)&amp;","&amp;B186)</f>
        <v>16,34</v>
      </c>
    </row>
    <row r="187" spans="1:13" outlineLevel="1">
      <c r="A187" s="1" t="str">
        <f t="shared" si="16"/>
        <v>50*7544190.5白</v>
      </c>
      <c r="B187" s="1">
        <v>35</v>
      </c>
      <c r="C187" s="2" t="s">
        <v>205</v>
      </c>
      <c r="D187" s="1">
        <v>44</v>
      </c>
      <c r="E187" s="1">
        <v>190.5</v>
      </c>
      <c r="G187" s="1" t="s">
        <v>2</v>
      </c>
      <c r="H187" s="2" t="str">
        <f>IF(COUNTIF(A$153:A187,A187)=1,B187,LOOKUP(1,0/(A$152:A186=A187),H$152:H186)&amp;","&amp;B187)</f>
        <v>19,23,24,35</v>
      </c>
    </row>
    <row r="188" spans="1:13" outlineLevel="1">
      <c r="A188" s="1" t="str">
        <f t="shared" si="16"/>
        <v>50*5037190.5-1白</v>
      </c>
      <c r="B188" s="1">
        <v>36</v>
      </c>
      <c r="C188" s="2" t="s">
        <v>203</v>
      </c>
      <c r="D188" s="1">
        <v>37</v>
      </c>
      <c r="E188" s="1" t="s">
        <v>218</v>
      </c>
      <c r="G188" s="1" t="s">
        <v>783</v>
      </c>
      <c r="H188" s="2" t="str">
        <f>IF(COUNTIF(A$153:A188,A188)=1,B188,LOOKUP(1,0/(A$152:A187=A188),H$152:H187)&amp;","&amp;B188)</f>
        <v>7,10,21,22,29,30,36</v>
      </c>
    </row>
    <row r="189" spans="1:13" outlineLevel="1">
      <c r="A189" s="1" t="str">
        <f t="shared" si="16"/>
        <v>75*15058190.5白</v>
      </c>
      <c r="B189" s="1">
        <v>37</v>
      </c>
      <c r="C189" s="2" t="s">
        <v>211</v>
      </c>
      <c r="D189" s="1">
        <v>58</v>
      </c>
      <c r="E189" s="1">
        <v>190.5</v>
      </c>
      <c r="G189" s="1" t="s">
        <v>783</v>
      </c>
      <c r="H189" s="2" t="str">
        <f>IF(COUNTIF(A$153:A189,A189)=1,B189,LOOKUP(1,0/(A$152:A188=A189),H$152:H188)&amp;","&amp;B189)</f>
        <v>16,34,37</v>
      </c>
    </row>
    <row r="190" spans="1:13" outlineLevel="1">
      <c r="A190" s="1" t="str">
        <f t="shared" si="16"/>
        <v>75*7543190.5白</v>
      </c>
      <c r="B190" s="1">
        <v>38</v>
      </c>
      <c r="C190" s="2" t="s">
        <v>784</v>
      </c>
      <c r="D190" s="1">
        <v>43</v>
      </c>
      <c r="E190" s="1">
        <v>190.5</v>
      </c>
      <c r="G190" s="1" t="s">
        <v>783</v>
      </c>
      <c r="H190" s="2" t="str">
        <f>IF(COUNTIF(A$153:A190,A190)=1,B190,LOOKUP(1,0/(A$152:A189=A190),H$152:H189)&amp;","&amp;B190)</f>
        <v>1,6,8,13,20,38</v>
      </c>
    </row>
    <row r="191" spans="1:13" outlineLevel="1">
      <c r="A191" s="1" t="str">
        <f t="shared" si="16"/>
        <v>50*5037190.5白</v>
      </c>
      <c r="B191" s="1">
        <v>39</v>
      </c>
      <c r="C191" s="2" t="s">
        <v>203</v>
      </c>
      <c r="D191" s="1">
        <v>37</v>
      </c>
      <c r="E191" s="1">
        <v>190.5</v>
      </c>
      <c r="G191" s="1" t="s">
        <v>783</v>
      </c>
      <c r="H191" s="2">
        <f>IF(COUNTIF(A$153:A191,A191)=1,B191,LOOKUP(1,0/(A$152:A190=A191),H$152:H190)&amp;","&amp;B191)</f>
        <v>39</v>
      </c>
    </row>
    <row r="192" spans="1:13" outlineLevel="1">
      <c r="A192" s="1" t="str">
        <f t="shared" si="16"/>
        <v>50*5037190.5黑</v>
      </c>
      <c r="B192" s="1">
        <v>40</v>
      </c>
      <c r="C192" s="2" t="s">
        <v>203</v>
      </c>
      <c r="D192" s="1">
        <v>37</v>
      </c>
      <c r="E192" s="1">
        <v>190.5</v>
      </c>
      <c r="G192" s="1" t="s">
        <v>1</v>
      </c>
      <c r="H192" s="2">
        <f>IF(COUNTIF(A$153:A192,A192)=1,B192,LOOKUP(1,0/(A$152:A191=A192),H$152:H191)&amp;","&amp;B192)</f>
        <v>40</v>
      </c>
    </row>
    <row r="193" spans="1:8" outlineLevel="1">
      <c r="A193" s="1" t="str">
        <f t="shared" si="16"/>
        <v>30*3023192白</v>
      </c>
      <c r="B193" s="1">
        <v>41</v>
      </c>
      <c r="C193" s="2" t="s">
        <v>201</v>
      </c>
      <c r="D193" s="1">
        <v>23</v>
      </c>
      <c r="E193" s="1">
        <v>192</v>
      </c>
      <c r="G193" s="1" t="s">
        <v>783</v>
      </c>
      <c r="H193" s="2">
        <f>IF(COUNTIF(A$153:A193,A193)=1,B193,LOOKUP(1,0/(A$152:A192=A193),H$152:H192)&amp;","&amp;B193)</f>
        <v>41</v>
      </c>
    </row>
    <row r="194" spans="1:8" outlineLevel="1">
      <c r="A194" s="1" t="str">
        <f t="shared" si="16"/>
        <v>50*5037190.5-1白</v>
      </c>
      <c r="B194" s="1">
        <v>42</v>
      </c>
      <c r="C194" s="2" t="s">
        <v>203</v>
      </c>
      <c r="D194" s="1">
        <v>37</v>
      </c>
      <c r="E194" s="1" t="s">
        <v>218</v>
      </c>
      <c r="G194" s="1" t="s">
        <v>783</v>
      </c>
      <c r="H194" s="2" t="str">
        <f>IF(COUNTIF(A$153:A194,A194)=1,B194,LOOKUP(1,0/(A$152:A193=A194),H$152:H193)&amp;","&amp;B194)</f>
        <v>7,10,21,22,29,30,36,42</v>
      </c>
    </row>
    <row r="195" spans="1:8" outlineLevel="1">
      <c r="A195" s="1" t="str">
        <f t="shared" si="16"/>
        <v>50*50506066白</v>
      </c>
      <c r="B195" s="1">
        <v>43</v>
      </c>
      <c r="C195" s="2" t="s">
        <v>782</v>
      </c>
      <c r="D195" s="1">
        <v>5060</v>
      </c>
      <c r="E195" s="1">
        <v>66</v>
      </c>
      <c r="G195" s="1" t="s">
        <v>783</v>
      </c>
      <c r="H195" s="2">
        <f>IF(COUNTIF(A$153:A195,A195)=1,B195,LOOKUP(1,0/(A$152:A194=A195),H$152:H194)&amp;","&amp;B195)</f>
        <v>43</v>
      </c>
    </row>
    <row r="196" spans="1:8" outlineLevel="1">
      <c r="A196" s="1" t="str">
        <f t="shared" si="16"/>
        <v>50*5037190.5-1白</v>
      </c>
      <c r="B196" s="1">
        <v>44</v>
      </c>
      <c r="C196" s="2" t="s">
        <v>203</v>
      </c>
      <c r="D196" s="1">
        <v>37</v>
      </c>
      <c r="E196" s="1" t="s">
        <v>218</v>
      </c>
      <c r="G196" s="1" t="s">
        <v>783</v>
      </c>
      <c r="H196" s="2" t="str">
        <f>IF(COUNTIF(A$153:A196,A196)=1,B196,LOOKUP(1,0/(A$152:A195=A196),H$152:H195)&amp;","&amp;B196)</f>
        <v>7,10,21,22,29,30,36,42,44</v>
      </c>
    </row>
    <row r="197" spans="1:8" outlineLevel="1">
      <c r="A197" s="1" t="str">
        <f t="shared" si="16"/>
        <v>50*5037190.5黑</v>
      </c>
      <c r="B197" s="1">
        <v>45</v>
      </c>
      <c r="C197" s="2" t="s">
        <v>203</v>
      </c>
      <c r="D197" s="1">
        <v>37</v>
      </c>
      <c r="E197" s="1">
        <v>190.5</v>
      </c>
      <c r="G197" s="1" t="s">
        <v>1</v>
      </c>
      <c r="H197" s="2" t="str">
        <f>IF(COUNTIF(A$153:A197,A197)=1,B197,LOOKUP(1,0/(A$152:A196=A197),H$152:H196)&amp;","&amp;B197)</f>
        <v>40,45</v>
      </c>
    </row>
    <row r="198" spans="1:8" outlineLevel="1">
      <c r="A198" s="1" t="str">
        <f t="shared" si="16"/>
        <v>30*3023190白</v>
      </c>
      <c r="B198" s="1">
        <v>46</v>
      </c>
      <c r="C198" s="2" t="s">
        <v>201</v>
      </c>
      <c r="D198" s="1">
        <v>23</v>
      </c>
      <c r="E198" s="1">
        <v>190</v>
      </c>
      <c r="G198" s="1" t="s">
        <v>2</v>
      </c>
      <c r="H198" s="2" t="str">
        <f>IF(COUNTIF(A$153:A198,A198)=1,B198,LOOKUP(1,0/(A$152:A197=A198),H$152:H197)&amp;","&amp;B198)</f>
        <v>33,46</v>
      </c>
    </row>
    <row r="199" spans="1:8" outlineLevel="1">
      <c r="A199" s="1" t="str">
        <f t="shared" si="16"/>
        <v>30*3023190白</v>
      </c>
      <c r="B199" s="1">
        <v>47</v>
      </c>
      <c r="C199" s="2" t="s">
        <v>201</v>
      </c>
      <c r="D199" s="1">
        <v>23</v>
      </c>
      <c r="E199" s="1">
        <v>190</v>
      </c>
      <c r="G199" s="1" t="s">
        <v>2</v>
      </c>
      <c r="H199" s="2" t="str">
        <f>IF(COUNTIF(A$153:A199,A199)=1,B199,LOOKUP(1,0/(A$152:A198=A199),H$152:H198)&amp;","&amp;B199)</f>
        <v>33,46,47</v>
      </c>
    </row>
    <row r="200" spans="1:8" outlineLevel="1">
      <c r="A200" s="1" t="str">
        <f t="shared" si="16"/>
        <v>75*30070190黑</v>
      </c>
      <c r="B200" s="1">
        <v>48</v>
      </c>
      <c r="C200" s="2" t="s">
        <v>209</v>
      </c>
      <c r="D200" s="1">
        <v>70</v>
      </c>
      <c r="E200" s="1">
        <v>190</v>
      </c>
      <c r="G200" s="1" t="s">
        <v>785</v>
      </c>
      <c r="H200" s="2" t="str">
        <f>IF(COUNTIF(A$153:A200,A200)=1,B200,LOOKUP(1,0/(A$152:A199=A200),H$152:H199)&amp;","&amp;B200)</f>
        <v>3,14,15,26,27,48</v>
      </c>
    </row>
    <row r="201" spans="1:8" outlineLevel="1">
      <c r="A201" s="1" t="str">
        <f t="shared" si="16"/>
        <v>75*7543190.5白</v>
      </c>
      <c r="B201" s="1">
        <v>49</v>
      </c>
      <c r="C201" s="2" t="s">
        <v>784</v>
      </c>
      <c r="D201" s="1">
        <v>43</v>
      </c>
      <c r="E201" s="1">
        <v>190.5</v>
      </c>
      <c r="G201" s="1" t="s">
        <v>783</v>
      </c>
      <c r="H201" s="2" t="str">
        <f>IF(COUNTIF(A$153:A201,A201)=1,B201,LOOKUP(1,0/(A$152:A200=A201),H$152:H200)&amp;","&amp;B201)</f>
        <v>1,6,8,13,20,38,49</v>
      </c>
    </row>
    <row r="202" spans="1:8" outlineLevel="1">
      <c r="A202" s="1" t="str">
        <f t="shared" si="16"/>
        <v>50*5037190.5-1白</v>
      </c>
      <c r="B202" s="1">
        <v>50</v>
      </c>
      <c r="C202" s="2" t="s">
        <v>203</v>
      </c>
      <c r="D202" s="1">
        <v>37</v>
      </c>
      <c r="E202" s="1" t="s">
        <v>218</v>
      </c>
      <c r="G202" s="1" t="s">
        <v>783</v>
      </c>
      <c r="H202" s="2" t="str">
        <f>IF(COUNTIF(A$153:A202,A202)=1,B202,LOOKUP(1,0/(A$152:A201=A202),H$152:H201)&amp;","&amp;B202)</f>
        <v>7,10,21,22,29,30,36,42,44,50</v>
      </c>
    </row>
    <row r="203" spans="1:8" outlineLevel="1">
      <c r="A203" s="1" t="str">
        <f t="shared" si="16"/>
        <v>50*5037190.5黑</v>
      </c>
      <c r="B203" s="1">
        <v>51</v>
      </c>
      <c r="C203" s="2" t="s">
        <v>203</v>
      </c>
      <c r="D203" s="1">
        <v>37</v>
      </c>
      <c r="E203" s="1">
        <v>190.5</v>
      </c>
      <c r="G203" s="1" t="s">
        <v>1</v>
      </c>
      <c r="H203" s="2" t="str">
        <f>IF(COUNTIF(A$153:A203,A203)=1,B203,LOOKUP(1,0/(A$152:A202=A203),H$152:H202)&amp;","&amp;B203)</f>
        <v>40,45,51</v>
      </c>
    </row>
    <row r="204" spans="1:8" outlineLevel="1">
      <c r="A204" s="1" t="str">
        <f t="shared" si="16"/>
        <v>50*5037190.5-1白</v>
      </c>
      <c r="B204" s="1">
        <v>52</v>
      </c>
      <c r="C204" s="2" t="s">
        <v>203</v>
      </c>
      <c r="D204" s="1">
        <v>37</v>
      </c>
      <c r="E204" s="1" t="s">
        <v>218</v>
      </c>
      <c r="G204" s="1" t="s">
        <v>783</v>
      </c>
      <c r="H204" s="2" t="str">
        <f>IF(COUNTIF(A$153:A204,A204)=1,B204,LOOKUP(1,0/(A$152:A203=A204),H$152:H203)&amp;","&amp;B204)</f>
        <v>7,10,21,22,29,30,36,42,44,50,52</v>
      </c>
    </row>
    <row r="205" spans="1:8" outlineLevel="1">
      <c r="A205" s="1" t="str">
        <f t="shared" si="16"/>
        <v>30*3023190白</v>
      </c>
      <c r="B205" s="1">
        <v>53</v>
      </c>
      <c r="C205" s="2" t="s">
        <v>201</v>
      </c>
      <c r="D205" s="1">
        <v>23</v>
      </c>
      <c r="E205" s="1">
        <v>190</v>
      </c>
      <c r="G205" s="1" t="s">
        <v>2</v>
      </c>
      <c r="H205" s="2" t="str">
        <f>IF(COUNTIF(A$153:A205,A205)=1,B205,LOOKUP(1,0/(A$152:A204=A205),H$152:H204)&amp;","&amp;B205)</f>
        <v>33,46,47,53</v>
      </c>
    </row>
    <row r="206" spans="1:8" outlineLevel="1">
      <c r="A206" s="1" t="str">
        <f t="shared" si="16"/>
        <v>50*5037190.5黑</v>
      </c>
      <c r="B206" s="1">
        <v>54</v>
      </c>
      <c r="C206" s="2" t="s">
        <v>203</v>
      </c>
      <c r="D206" s="1">
        <v>37</v>
      </c>
      <c r="E206" s="1">
        <v>190.5</v>
      </c>
      <c r="G206" s="1" t="s">
        <v>1</v>
      </c>
      <c r="H206" s="2" t="str">
        <f>IF(COUNTIF(A$153:A206,A206)=1,B206,LOOKUP(1,0/(A$152:A205=A206),H$152:H205)&amp;","&amp;B206)</f>
        <v>40,45,51,54</v>
      </c>
    </row>
    <row r="207" spans="1:8" outlineLevel="1">
      <c r="A207" s="1" t="str">
        <f t="shared" si="16"/>
        <v>50*5037190.5-1白</v>
      </c>
      <c r="B207" s="1">
        <v>55</v>
      </c>
      <c r="C207" s="2" t="s">
        <v>203</v>
      </c>
      <c r="D207" s="1">
        <v>37</v>
      </c>
      <c r="E207" s="1" t="s">
        <v>218</v>
      </c>
      <c r="G207" s="1" t="s">
        <v>783</v>
      </c>
      <c r="H207" s="2" t="str">
        <f>IF(COUNTIF(A$153:A207,A207)=1,B207,LOOKUP(1,0/(A$152:A206=A207),H$152:H206)&amp;","&amp;B207)</f>
        <v>7,10,21,22,29,30,36,42,44,50,52,55</v>
      </c>
    </row>
    <row r="208" spans="1:8" outlineLevel="1">
      <c r="A208" s="1" t="str">
        <f t="shared" si="16"/>
        <v>50*5037190.5-1白</v>
      </c>
      <c r="B208" s="1">
        <v>56</v>
      </c>
      <c r="C208" s="2" t="s">
        <v>203</v>
      </c>
      <c r="D208" s="1">
        <v>37</v>
      </c>
      <c r="E208" s="1" t="s">
        <v>218</v>
      </c>
      <c r="G208" s="1" t="s">
        <v>783</v>
      </c>
      <c r="H208" s="2" t="str">
        <f>IF(COUNTIF(A$153:A208,A208)=1,B208,LOOKUP(1,0/(A$152:A207=A208),H$152:H207)&amp;","&amp;B208)</f>
        <v>7,10,21,22,29,30,36,42,44,50,52,55,56</v>
      </c>
    </row>
    <row r="209" spans="1:8" outlineLevel="1">
      <c r="A209" s="1" t="str">
        <f t="shared" si="16"/>
        <v>75*7543190.5黑</v>
      </c>
      <c r="B209" s="1">
        <v>57</v>
      </c>
      <c r="C209" s="2" t="s">
        <v>784</v>
      </c>
      <c r="D209" s="1">
        <v>43</v>
      </c>
      <c r="E209" s="1">
        <v>190.5</v>
      </c>
      <c r="G209" s="1" t="s">
        <v>785</v>
      </c>
      <c r="H209" s="2" t="str">
        <f>IF(COUNTIF(A$153:A209,A209)=1,B209,LOOKUP(1,0/(A$152:A208=A209),H$152:H208)&amp;","&amp;B209)</f>
        <v>2,9,17,18,25,28,57</v>
      </c>
    </row>
    <row r="210" spans="1:8" outlineLevel="1">
      <c r="A210" s="1" t="str">
        <f t="shared" si="16"/>
        <v>30*3023190白</v>
      </c>
      <c r="B210" s="1">
        <v>58</v>
      </c>
      <c r="C210" s="2" t="s">
        <v>201</v>
      </c>
      <c r="D210" s="1">
        <v>23</v>
      </c>
      <c r="E210" s="1">
        <v>190</v>
      </c>
      <c r="G210" s="1" t="s">
        <v>2</v>
      </c>
      <c r="H210" s="2" t="str">
        <f>IF(COUNTIF(A$153:A210,A210)=1,B210,LOOKUP(1,0/(A$152:A209=A210),H$152:H209)&amp;","&amp;B210)</f>
        <v>33,46,47,53,58</v>
      </c>
    </row>
    <row r="211" spans="1:8" outlineLevel="1">
      <c r="A211" s="1" t="str">
        <f t="shared" si="16"/>
        <v>50*5037190.5白</v>
      </c>
      <c r="B211" s="1">
        <v>59</v>
      </c>
      <c r="C211" s="2" t="s">
        <v>203</v>
      </c>
      <c r="D211" s="1">
        <v>37</v>
      </c>
      <c r="E211" s="1">
        <v>190.5</v>
      </c>
      <c r="G211" s="1" t="s">
        <v>783</v>
      </c>
      <c r="H211" s="2" t="str">
        <f>IF(COUNTIF(A$153:A211,A211)=1,B211,LOOKUP(1,0/(A$152:A210=A211),H$152:H210)&amp;","&amp;B211)</f>
        <v>39,59</v>
      </c>
    </row>
    <row r="212" spans="1:8" outlineLevel="1">
      <c r="A212" s="1" t="str">
        <f t="shared" si="16"/>
        <v>50*5037190.5-2黑</v>
      </c>
      <c r="B212" s="1">
        <v>60</v>
      </c>
      <c r="C212" s="2" t="s">
        <v>203</v>
      </c>
      <c r="D212" s="1">
        <v>37</v>
      </c>
      <c r="E212" s="1" t="s">
        <v>219</v>
      </c>
      <c r="G212" s="1" t="s">
        <v>1</v>
      </c>
      <c r="H212" s="2" t="str">
        <f>IF(COUNTIF(A$153:A212,A212)=1,B212,LOOKUP(1,0/(A$152:A211=A212),H$152:H211)&amp;","&amp;B212)</f>
        <v>11,60</v>
      </c>
    </row>
    <row r="213" spans="1:8" outlineLevel="1">
      <c r="A213" s="1" t="str">
        <f t="shared" si="16"/>
        <v>50*5037190.5-1白</v>
      </c>
      <c r="B213" s="1">
        <v>61</v>
      </c>
      <c r="C213" s="2" t="s">
        <v>203</v>
      </c>
      <c r="D213" s="1">
        <v>37</v>
      </c>
      <c r="E213" s="1" t="s">
        <v>218</v>
      </c>
      <c r="G213" s="1" t="s">
        <v>783</v>
      </c>
      <c r="H213" s="2" t="str">
        <f>IF(COUNTIF(A$153:A213,A213)=1,B213,LOOKUP(1,0/(A$152:A212=A213),H$152:H212)&amp;","&amp;B213)</f>
        <v>7,10,21,22,29,30,36,42,44,50,52,55,56,61</v>
      </c>
    </row>
    <row r="214" spans="1:8" outlineLevel="1">
      <c r="A214" s="1" t="str">
        <f t="shared" si="16"/>
        <v>30*3023190白</v>
      </c>
      <c r="B214" s="1">
        <v>62</v>
      </c>
      <c r="C214" s="2" t="s">
        <v>201</v>
      </c>
      <c r="D214" s="1">
        <v>23</v>
      </c>
      <c r="E214" s="1">
        <v>190</v>
      </c>
      <c r="G214" s="1" t="s">
        <v>2</v>
      </c>
      <c r="H214" s="2" t="str">
        <f>IF(COUNTIF(A$153:A214,A214)=1,B214,LOOKUP(1,0/(A$152:A213=A214),H$152:H213)&amp;","&amp;B214)</f>
        <v>33,46,47,53,58,62</v>
      </c>
    </row>
    <row r="215" spans="1:8" outlineLevel="1">
      <c r="A215" s="1" t="str">
        <f t="shared" si="16"/>
        <v>50*5037190.5黑</v>
      </c>
      <c r="B215" s="1">
        <v>63</v>
      </c>
      <c r="C215" s="2" t="s">
        <v>203</v>
      </c>
      <c r="D215" s="1">
        <v>37</v>
      </c>
      <c r="E215" s="1">
        <v>190.5</v>
      </c>
      <c r="G215" s="1" t="s">
        <v>1</v>
      </c>
      <c r="H215" s="2" t="str">
        <f>IF(COUNTIF(A$153:A215,A215)=1,B215,LOOKUP(1,0/(A$152:A214=A215),H$152:H214)&amp;","&amp;B215)</f>
        <v>40,45,51,54,63</v>
      </c>
    </row>
    <row r="216" spans="1:8" outlineLevel="1">
      <c r="A216" s="1" t="str">
        <f t="shared" si="16"/>
        <v>75*15054190.5黑</v>
      </c>
      <c r="B216" s="1">
        <v>64</v>
      </c>
      <c r="C216" s="2" t="s">
        <v>211</v>
      </c>
      <c r="D216" s="1">
        <v>54</v>
      </c>
      <c r="E216" s="1">
        <v>190.5</v>
      </c>
      <c r="G216" s="1" t="s">
        <v>785</v>
      </c>
      <c r="H216" s="2" t="str">
        <f>IF(COUNTIF(A$153:A216,A216)=1,B216,LOOKUP(1,0/(A$152:A215=A216),H$152:H215)&amp;","&amp;B216)</f>
        <v>5,64</v>
      </c>
    </row>
    <row r="217" spans="1:8" outlineLevel="1">
      <c r="A217" s="1" t="str">
        <f t="shared" si="16"/>
        <v>50*7544190.5白</v>
      </c>
      <c r="B217" s="1">
        <v>65</v>
      </c>
      <c r="C217" s="2" t="s">
        <v>205</v>
      </c>
      <c r="D217" s="1">
        <v>44</v>
      </c>
      <c r="E217" s="1">
        <v>190.5</v>
      </c>
      <c r="G217" s="1" t="s">
        <v>2</v>
      </c>
      <c r="H217" s="2" t="str">
        <f>IF(COUNTIF(A$153:A217,A217)=1,B217,LOOKUP(1,0/(A$152:A216=A217),H$152:H216)&amp;","&amp;B217)</f>
        <v>19,23,24,35,65</v>
      </c>
    </row>
    <row r="218" spans="1:8" outlineLevel="1">
      <c r="A218" s="1" t="str">
        <f t="shared" ref="A218:A281" si="17">C218&amp;D218&amp;E218&amp;G218</f>
        <v>75*30070190黑</v>
      </c>
      <c r="B218" s="1">
        <v>66</v>
      </c>
      <c r="C218" s="2" t="s">
        <v>209</v>
      </c>
      <c r="D218" s="1">
        <v>70</v>
      </c>
      <c r="E218" s="1">
        <v>190</v>
      </c>
      <c r="G218" s="1" t="s">
        <v>785</v>
      </c>
      <c r="H218" s="2" t="str">
        <f>IF(COUNTIF(A$153:A218,A218)=1,B218,LOOKUP(1,0/(A$152:A217=A218),H$152:H217)&amp;","&amp;B218)</f>
        <v>3,14,15,26,27,48,66</v>
      </c>
    </row>
    <row r="219" spans="1:8" outlineLevel="1">
      <c r="A219" s="1" t="str">
        <f t="shared" si="17"/>
        <v>50*5037190.5-1白</v>
      </c>
      <c r="B219" s="1">
        <v>67</v>
      </c>
      <c r="C219" s="2" t="s">
        <v>203</v>
      </c>
      <c r="D219" s="1">
        <v>37</v>
      </c>
      <c r="E219" s="1" t="s">
        <v>218</v>
      </c>
      <c r="G219" s="1" t="s">
        <v>783</v>
      </c>
      <c r="H219" s="2" t="str">
        <f>IF(COUNTIF(A$153:A219,A219)=1,B219,LOOKUP(1,0/(A$152:A218=A219),H$152:H218)&amp;","&amp;B219)</f>
        <v>7,10,21,22,29,30,36,42,44,50,52,55,56,61,67</v>
      </c>
    </row>
    <row r="220" spans="1:8" outlineLevel="1">
      <c r="A220" s="1" t="str">
        <f t="shared" si="17"/>
        <v>50*5037190.5-1白</v>
      </c>
      <c r="B220" s="1">
        <v>68</v>
      </c>
      <c r="C220" s="2" t="s">
        <v>203</v>
      </c>
      <c r="D220" s="1">
        <v>37</v>
      </c>
      <c r="E220" s="1" t="s">
        <v>218</v>
      </c>
      <c r="G220" s="1" t="s">
        <v>783</v>
      </c>
      <c r="H220" s="2" t="str">
        <f>IF(COUNTIF(A$153:A220,A220)=1,B220,LOOKUP(1,0/(A$152:A219=A220),H$152:H219)&amp;","&amp;B220)</f>
        <v>7,10,21,22,29,30,36,42,44,50,52,55,56,61,67,68</v>
      </c>
    </row>
    <row r="221" spans="1:8" outlineLevel="1">
      <c r="A221" s="1" t="str">
        <f t="shared" si="17"/>
        <v>30*3023190白</v>
      </c>
      <c r="B221" s="1">
        <v>69</v>
      </c>
      <c r="C221" s="2" t="s">
        <v>201</v>
      </c>
      <c r="D221" s="1">
        <v>23</v>
      </c>
      <c r="E221" s="1">
        <v>190</v>
      </c>
      <c r="G221" s="1" t="s">
        <v>2</v>
      </c>
      <c r="H221" s="2" t="str">
        <f>IF(COUNTIF(A$153:A221,A221)=1,B221,LOOKUP(1,0/(A$152:A220=A221),H$152:H220)&amp;","&amp;B221)</f>
        <v>33,46,47,53,58,62,69</v>
      </c>
    </row>
    <row r="222" spans="1:8" outlineLevel="1">
      <c r="A222" s="1" t="str">
        <f t="shared" si="17"/>
        <v>50*5037190.5白</v>
      </c>
      <c r="B222" s="1">
        <v>70</v>
      </c>
      <c r="C222" s="2" t="s">
        <v>203</v>
      </c>
      <c r="D222" s="1">
        <v>37</v>
      </c>
      <c r="E222" s="1">
        <v>190.5</v>
      </c>
      <c r="G222" s="1" t="s">
        <v>783</v>
      </c>
      <c r="H222" s="2" t="str">
        <f>IF(COUNTIF(A$153:A222,A222)=1,B222,LOOKUP(1,0/(A$152:A221=A222),H$152:H221)&amp;","&amp;B222)</f>
        <v>39,59,70</v>
      </c>
    </row>
    <row r="223" spans="1:8" outlineLevel="1">
      <c r="A223" s="1" t="str">
        <f t="shared" si="17"/>
        <v>50*5037190.5黑</v>
      </c>
      <c r="B223" s="1">
        <v>71</v>
      </c>
      <c r="C223" s="2" t="s">
        <v>203</v>
      </c>
      <c r="D223" s="1">
        <v>37</v>
      </c>
      <c r="E223" s="1">
        <v>190.5</v>
      </c>
      <c r="G223" s="1" t="s">
        <v>1</v>
      </c>
      <c r="H223" s="2" t="str">
        <f>IF(COUNTIF(A$153:A223,A223)=1,B223,LOOKUP(1,0/(A$152:A222=A223),H$152:H222)&amp;","&amp;B223)</f>
        <v>40,45,51,54,63,71</v>
      </c>
    </row>
    <row r="224" spans="1:8" outlineLevel="1">
      <c r="A224" s="1" t="str">
        <f t="shared" si="17"/>
        <v>15*1513146白</v>
      </c>
      <c r="B224" s="1">
        <v>72</v>
      </c>
      <c r="C224" s="2" t="s">
        <v>194</v>
      </c>
      <c r="D224" s="1">
        <v>13</v>
      </c>
      <c r="E224" s="1">
        <v>146</v>
      </c>
      <c r="G224" s="1" t="s">
        <v>2</v>
      </c>
      <c r="H224" s="2">
        <f>IF(COUNTIF(A$153:A224,A224)=1,B224,LOOKUP(1,0/(A$152:A223=A224),H$152:H223)&amp;","&amp;B224)</f>
        <v>72</v>
      </c>
    </row>
    <row r="225" spans="1:8" outlineLevel="1">
      <c r="A225" s="1" t="str">
        <f t="shared" si="17"/>
        <v>30*3023200白</v>
      </c>
      <c r="B225" s="1">
        <v>73</v>
      </c>
      <c r="C225" s="2" t="s">
        <v>201</v>
      </c>
      <c r="D225" s="1">
        <v>23</v>
      </c>
      <c r="E225" s="1">
        <v>200</v>
      </c>
      <c r="G225" s="1" t="s">
        <v>2</v>
      </c>
      <c r="H225" s="2">
        <f>IF(COUNTIF(A$153:A225,A225)=1,B225,LOOKUP(1,0/(A$152:A224=A225),H$152:H224)&amp;","&amp;B225)</f>
        <v>73</v>
      </c>
    </row>
    <row r="226" spans="1:8" outlineLevel="1">
      <c r="A226" s="1" t="str">
        <f t="shared" si="17"/>
        <v>15*1513146白</v>
      </c>
      <c r="B226" s="1">
        <v>74</v>
      </c>
      <c r="C226" s="2" t="s">
        <v>194</v>
      </c>
      <c r="D226" s="1">
        <v>13</v>
      </c>
      <c r="E226" s="1">
        <v>146</v>
      </c>
      <c r="G226" s="1" t="s">
        <v>2</v>
      </c>
      <c r="H226" s="2" t="str">
        <f>IF(COUNTIF(A$153:A226,A226)=1,B226,LOOKUP(1,0/(A$152:A225=A226),H$152:H225)&amp;","&amp;B226)</f>
        <v>72,74</v>
      </c>
    </row>
    <row r="227" spans="1:8" outlineLevel="1">
      <c r="A227" s="1" t="str">
        <f t="shared" si="17"/>
        <v>30*3023190白</v>
      </c>
      <c r="B227" s="1">
        <v>75</v>
      </c>
      <c r="C227" s="2" t="s">
        <v>201</v>
      </c>
      <c r="D227" s="1">
        <v>23</v>
      </c>
      <c r="E227" s="1">
        <v>190</v>
      </c>
      <c r="G227" s="1" t="s">
        <v>2</v>
      </c>
      <c r="H227" s="2" t="str">
        <f>IF(COUNTIF(A$153:A227,A227)=1,B227,LOOKUP(1,0/(A$152:A226=A227),H$152:H226)&amp;","&amp;B227)</f>
        <v>33,46,47,53,58,62,69,75</v>
      </c>
    </row>
    <row r="228" spans="1:8" outlineLevel="1">
      <c r="A228" s="1" t="str">
        <f t="shared" si="17"/>
        <v>30*3023192白</v>
      </c>
      <c r="B228" s="1">
        <v>76</v>
      </c>
      <c r="C228" s="2" t="s">
        <v>201</v>
      </c>
      <c r="D228" s="1">
        <v>23</v>
      </c>
      <c r="E228" s="1">
        <v>192</v>
      </c>
      <c r="G228" s="1" t="s">
        <v>2</v>
      </c>
      <c r="H228" s="2" t="str">
        <f>IF(COUNTIF(A$153:A228,A228)=1,B228,LOOKUP(1,0/(A$152:A227=A228),H$152:H227)&amp;","&amp;B228)</f>
        <v>41,76</v>
      </c>
    </row>
    <row r="229" spans="1:8" outlineLevel="1">
      <c r="A229" s="1" t="str">
        <f t="shared" si="17"/>
        <v>30*3023200白</v>
      </c>
      <c r="B229" s="1">
        <v>77</v>
      </c>
      <c r="C229" s="2" t="s">
        <v>201</v>
      </c>
      <c r="D229" s="1">
        <v>23</v>
      </c>
      <c r="E229" s="1">
        <v>200</v>
      </c>
      <c r="G229" s="1" t="s">
        <v>2</v>
      </c>
      <c r="H229" s="2" t="str">
        <f>IF(COUNTIF(A$153:A229,A229)=1,B229,LOOKUP(1,0/(A$152:A228=A229),H$152:H228)&amp;","&amp;B229)</f>
        <v>73,77</v>
      </c>
    </row>
    <row r="230" spans="1:8" outlineLevel="1">
      <c r="A230" s="1" t="str">
        <f t="shared" si="17"/>
        <v>50*5037190.5白</v>
      </c>
      <c r="B230" s="1">
        <v>78</v>
      </c>
      <c r="C230" s="2" t="s">
        <v>203</v>
      </c>
      <c r="D230" s="1">
        <v>37</v>
      </c>
      <c r="E230" s="1">
        <v>190.5</v>
      </c>
      <c r="G230" s="1" t="s">
        <v>783</v>
      </c>
      <c r="H230" s="2" t="str">
        <f>IF(COUNTIF(A$153:A230,A230)=1,B230,LOOKUP(1,0/(A$152:A229=A230),H$152:H229)&amp;","&amp;B230)</f>
        <v>39,59,70,78</v>
      </c>
    </row>
    <row r="231" spans="1:8" outlineLevel="1">
      <c r="A231" s="1" t="str">
        <f t="shared" si="17"/>
        <v>30*3023190白</v>
      </c>
      <c r="B231" s="1">
        <v>79</v>
      </c>
      <c r="C231" s="2" t="s">
        <v>201</v>
      </c>
      <c r="D231" s="1">
        <v>23</v>
      </c>
      <c r="E231" s="1">
        <v>190</v>
      </c>
      <c r="G231" s="1" t="s">
        <v>2</v>
      </c>
      <c r="H231" s="2" t="str">
        <f>IF(COUNTIF(A$153:A231,A231)=1,B231,LOOKUP(1,0/(A$152:A230=A231),H$152:H230)&amp;","&amp;B231)</f>
        <v>33,46,47,53,58,62,69,75,79</v>
      </c>
    </row>
    <row r="232" spans="1:8" outlineLevel="1">
      <c r="A232" s="1" t="str">
        <f t="shared" si="17"/>
        <v>50*5037190.5白</v>
      </c>
      <c r="B232" s="1">
        <v>80</v>
      </c>
      <c r="C232" s="2" t="s">
        <v>203</v>
      </c>
      <c r="D232" s="1">
        <v>37</v>
      </c>
      <c r="E232" s="1">
        <v>190.5</v>
      </c>
      <c r="G232" s="1" t="s">
        <v>783</v>
      </c>
      <c r="H232" s="2" t="str">
        <f>IF(COUNTIF(A$153:A232,A232)=1,B232,LOOKUP(1,0/(A$152:A231=A232),H$152:H231)&amp;","&amp;B232)</f>
        <v>39,59,70,78,80</v>
      </c>
    </row>
    <row r="233" spans="1:8" outlineLevel="1">
      <c r="A233" s="1" t="str">
        <f t="shared" si="17"/>
        <v>30*3023190白</v>
      </c>
      <c r="B233" s="1">
        <v>81</v>
      </c>
      <c r="C233" s="2" t="s">
        <v>201</v>
      </c>
      <c r="D233" s="1">
        <v>23</v>
      </c>
      <c r="E233" s="1">
        <v>190</v>
      </c>
      <c r="G233" s="1" t="s">
        <v>2</v>
      </c>
      <c r="H233" s="2" t="str">
        <f>IF(COUNTIF(A$153:A233,A233)=1,B233,LOOKUP(1,0/(A$152:A232=A233),H$152:H232)&amp;","&amp;B233)</f>
        <v>33,46,47,53,58,62,69,75,79,81</v>
      </c>
    </row>
    <row r="234" spans="1:8" outlineLevel="1">
      <c r="A234" s="1" t="str">
        <f t="shared" si="17"/>
        <v>75*15054190.5黑</v>
      </c>
      <c r="B234" s="1">
        <v>82</v>
      </c>
      <c r="C234" s="2" t="s">
        <v>211</v>
      </c>
      <c r="D234" s="1">
        <v>54</v>
      </c>
      <c r="E234" s="1">
        <v>190.5</v>
      </c>
      <c r="G234" s="1" t="s">
        <v>785</v>
      </c>
      <c r="H234" s="2" t="str">
        <f>IF(COUNTIF(A$153:A234,A234)=1,B234,LOOKUP(1,0/(A$152:A233=A234),H$152:H233)&amp;","&amp;B234)</f>
        <v>5,64,82</v>
      </c>
    </row>
    <row r="235" spans="1:8" outlineLevel="1">
      <c r="A235" s="1" t="str">
        <f t="shared" si="17"/>
        <v>30*3023192白</v>
      </c>
      <c r="B235" s="1">
        <v>83</v>
      </c>
      <c r="C235" s="2" t="s">
        <v>201</v>
      </c>
      <c r="D235" s="1">
        <v>23</v>
      </c>
      <c r="E235" s="1">
        <v>192</v>
      </c>
      <c r="G235" s="1" t="s">
        <v>2</v>
      </c>
      <c r="H235" s="2" t="str">
        <f>IF(COUNTIF(A$153:A235,A235)=1,B235,LOOKUP(1,0/(A$152:A234=A235),H$152:H234)&amp;","&amp;B235)</f>
        <v>41,76,83</v>
      </c>
    </row>
    <row r="236" spans="1:8" outlineLevel="1">
      <c r="A236" s="1" t="str">
        <f t="shared" si="17"/>
        <v>30*3023190白</v>
      </c>
      <c r="B236" s="1">
        <v>84</v>
      </c>
      <c r="C236" s="2" t="s">
        <v>201</v>
      </c>
      <c r="D236" s="1">
        <v>23</v>
      </c>
      <c r="E236" s="1">
        <v>190</v>
      </c>
      <c r="G236" s="1" t="s">
        <v>2</v>
      </c>
      <c r="H236" s="2" t="str">
        <f>IF(COUNTIF(A$153:A236,A236)=1,B236,LOOKUP(1,0/(A$152:A235=A236),H$152:H235)&amp;","&amp;B236)</f>
        <v>33,46,47,53,58,62,69,75,79,81,84</v>
      </c>
    </row>
    <row r="237" spans="1:8" outlineLevel="1">
      <c r="A237" s="1" t="str">
        <f t="shared" si="17"/>
        <v>30*3023190白</v>
      </c>
      <c r="B237" s="1">
        <v>85</v>
      </c>
      <c r="C237" s="2" t="s">
        <v>201</v>
      </c>
      <c r="D237" s="1">
        <v>23</v>
      </c>
      <c r="E237" s="1">
        <v>190</v>
      </c>
      <c r="G237" s="1" t="s">
        <v>2</v>
      </c>
      <c r="H237" s="2" t="str">
        <f>IF(COUNTIF(A$153:A237,A237)=1,B237,LOOKUP(1,0/(A$152:A236=A237),H$152:H236)&amp;","&amp;B237)</f>
        <v>33,46,47,53,58,62,69,75,79,81,84,85</v>
      </c>
    </row>
    <row r="238" spans="1:8" outlineLevel="1">
      <c r="A238" s="1" t="str">
        <f t="shared" si="17"/>
        <v>20*2017197-4黑</v>
      </c>
      <c r="B238" s="1">
        <v>86</v>
      </c>
      <c r="C238" s="2" t="s">
        <v>195</v>
      </c>
      <c r="D238" s="1">
        <v>17</v>
      </c>
      <c r="E238" s="1" t="s">
        <v>202</v>
      </c>
      <c r="G238" s="1" t="s">
        <v>1</v>
      </c>
      <c r="H238" s="2">
        <f>IF(COUNTIF(A$153:A238,A238)=1,B238,LOOKUP(1,0/(A$152:A237=A238),H$152:H237)&amp;","&amp;B238)</f>
        <v>86</v>
      </c>
    </row>
    <row r="239" spans="1:8" outlineLevel="1">
      <c r="A239" s="1" t="str">
        <f t="shared" si="17"/>
        <v>50*50506066白</v>
      </c>
      <c r="B239" s="1">
        <v>87</v>
      </c>
      <c r="C239" s="2" t="s">
        <v>782</v>
      </c>
      <c r="D239" s="1">
        <v>5060</v>
      </c>
      <c r="E239" s="1">
        <v>66</v>
      </c>
      <c r="G239" s="1" t="s">
        <v>783</v>
      </c>
      <c r="H239" s="2" t="str">
        <f>IF(COUNTIF(A$153:A239,A239)=1,B239,LOOKUP(1,0/(A$152:A238=A239),H$152:H238)&amp;","&amp;B239)</f>
        <v>43,87</v>
      </c>
    </row>
    <row r="240" spans="1:8" outlineLevel="1">
      <c r="A240" s="1" t="str">
        <f t="shared" si="17"/>
        <v>20*2017197-4黑</v>
      </c>
      <c r="B240" s="1">
        <v>88</v>
      </c>
      <c r="C240" s="2" t="s">
        <v>195</v>
      </c>
      <c r="D240" s="1">
        <v>17</v>
      </c>
      <c r="E240" s="1" t="s">
        <v>202</v>
      </c>
      <c r="G240" s="1" t="s">
        <v>1</v>
      </c>
      <c r="H240" s="2" t="str">
        <f>IF(COUNTIF(A$153:A240,A240)=1,B240,LOOKUP(1,0/(A$152:A239=A240),H$152:H239)&amp;","&amp;B240)</f>
        <v>86,88</v>
      </c>
    </row>
    <row r="241" spans="1:8" outlineLevel="1">
      <c r="A241" s="1" t="str">
        <f t="shared" si="17"/>
        <v>50*5037190.5-1白</v>
      </c>
      <c r="B241" s="1">
        <v>89</v>
      </c>
      <c r="C241" s="2" t="s">
        <v>203</v>
      </c>
      <c r="D241" s="1">
        <v>37</v>
      </c>
      <c r="E241" s="1" t="s">
        <v>218</v>
      </c>
      <c r="G241" s="1" t="s">
        <v>783</v>
      </c>
      <c r="H241" s="2" t="str">
        <f>IF(COUNTIF(A$153:A241,A241)=1,B241,LOOKUP(1,0/(A$152:A240=A241),H$152:H240)&amp;","&amp;B241)</f>
        <v>7,10,21,22,29,30,36,42,44,50,52,55,56,61,67,68,89</v>
      </c>
    </row>
    <row r="242" spans="1:8" outlineLevel="1">
      <c r="A242" s="1" t="str">
        <f t="shared" si="17"/>
        <v>75*15054190.5白</v>
      </c>
      <c r="B242" s="1">
        <v>90</v>
      </c>
      <c r="C242" s="2" t="s">
        <v>211</v>
      </c>
      <c r="D242" s="1">
        <v>54</v>
      </c>
      <c r="E242" s="1">
        <v>190.5</v>
      </c>
      <c r="G242" s="1" t="s">
        <v>2</v>
      </c>
      <c r="H242" s="2">
        <f>IF(COUNTIF(A$153:A242,A242)=1,B242,LOOKUP(1,0/(A$152:A241=A242),H$152:H241)&amp;","&amp;B242)</f>
        <v>90</v>
      </c>
    </row>
    <row r="243" spans="1:8" outlineLevel="1">
      <c r="A243" s="1" t="str">
        <f t="shared" si="17"/>
        <v>50*5037190.5-1白</v>
      </c>
      <c r="B243" s="1">
        <v>91</v>
      </c>
      <c r="C243" s="2" t="s">
        <v>203</v>
      </c>
      <c r="D243" s="1">
        <v>37</v>
      </c>
      <c r="E243" s="1" t="s">
        <v>218</v>
      </c>
      <c r="G243" s="1" t="s">
        <v>783</v>
      </c>
      <c r="H243" s="2" t="str">
        <f>IF(COUNTIF(A$153:A243,A243)=1,B243,LOOKUP(1,0/(A$152:A242=A243),H$152:H242)&amp;","&amp;B243)</f>
        <v>7,10,21,22,29,30,36,42,44,50,52,55,56,61,67,68,89,91</v>
      </c>
    </row>
    <row r="244" spans="1:8" outlineLevel="1">
      <c r="A244" s="1" t="str">
        <f t="shared" si="17"/>
        <v>75*15058190.5白</v>
      </c>
      <c r="B244" s="1">
        <v>92</v>
      </c>
      <c r="C244" s="2" t="s">
        <v>211</v>
      </c>
      <c r="D244" s="1">
        <v>58</v>
      </c>
      <c r="E244" s="1">
        <v>190.5</v>
      </c>
      <c r="G244" s="1" t="s">
        <v>783</v>
      </c>
      <c r="H244" s="2" t="str">
        <f>IF(COUNTIF(A$153:A244,A244)=1,B244,LOOKUP(1,0/(A$152:A243=A244),H$152:H243)&amp;","&amp;B244)</f>
        <v>16,34,37,92</v>
      </c>
    </row>
    <row r="245" spans="1:8" outlineLevel="1">
      <c r="A245" s="1" t="str">
        <f t="shared" si="17"/>
        <v>75*7543190.5白</v>
      </c>
      <c r="B245" s="1">
        <v>93</v>
      </c>
      <c r="C245" s="2" t="s">
        <v>784</v>
      </c>
      <c r="D245" s="1">
        <v>43</v>
      </c>
      <c r="E245" s="1">
        <v>190.5</v>
      </c>
      <c r="G245" s="1" t="s">
        <v>783</v>
      </c>
      <c r="H245" s="2" t="str">
        <f>IF(COUNTIF(A$153:A245,A245)=1,B245,LOOKUP(1,0/(A$152:A244=A245),H$152:H244)&amp;","&amp;B245)</f>
        <v>1,6,8,13,20,38,49,93</v>
      </c>
    </row>
    <row r="246" spans="1:8" outlineLevel="1">
      <c r="A246" s="1" t="str">
        <f t="shared" si="17"/>
        <v>75*15054190.5黑</v>
      </c>
      <c r="B246" s="1">
        <v>94</v>
      </c>
      <c r="C246" s="2" t="s">
        <v>211</v>
      </c>
      <c r="D246" s="1">
        <v>54</v>
      </c>
      <c r="E246" s="1">
        <v>190.5</v>
      </c>
      <c r="G246" s="1" t="s">
        <v>785</v>
      </c>
      <c r="H246" s="2" t="str">
        <f>IF(COUNTIF(A$153:A246,A246)=1,B246,LOOKUP(1,0/(A$152:A245=A246),H$152:H245)&amp;","&amp;B246)</f>
        <v>5,64,82,94</v>
      </c>
    </row>
    <row r="247" spans="1:8" outlineLevel="1">
      <c r="A247" s="1" t="str">
        <f t="shared" si="17"/>
        <v>50*5037190.5-1白</v>
      </c>
      <c r="B247" s="1">
        <v>95</v>
      </c>
      <c r="C247" s="2" t="s">
        <v>203</v>
      </c>
      <c r="D247" s="1">
        <v>37</v>
      </c>
      <c r="E247" s="1" t="s">
        <v>218</v>
      </c>
      <c r="G247" s="1" t="s">
        <v>783</v>
      </c>
      <c r="H247" s="2" t="str">
        <f>IF(COUNTIF(A$153:A247,A247)=1,B247,LOOKUP(1,0/(A$152:A246=A247),H$152:H246)&amp;","&amp;B247)</f>
        <v>7,10,21,22,29,30,36,42,44,50,52,55,56,61,67,68,89,91,95</v>
      </c>
    </row>
    <row r="248" spans="1:8" outlineLevel="1">
      <c r="A248" s="1" t="str">
        <f t="shared" si="17"/>
        <v>50*5037190.5-1白</v>
      </c>
      <c r="B248" s="1">
        <v>96</v>
      </c>
      <c r="C248" s="2" t="s">
        <v>203</v>
      </c>
      <c r="D248" s="1">
        <v>37</v>
      </c>
      <c r="E248" s="1" t="s">
        <v>218</v>
      </c>
      <c r="G248" s="1" t="s">
        <v>783</v>
      </c>
      <c r="H248" s="2" t="str">
        <f>IF(COUNTIF(A$153:A248,A248)=1,B248,LOOKUP(1,0/(A$152:A247=A248),H$152:H247)&amp;","&amp;B248)</f>
        <v>7,10,21,22,29,30,36,42,44,50,52,55,56,61,67,68,89,91,95,96</v>
      </c>
    </row>
    <row r="249" spans="1:8" outlineLevel="1">
      <c r="A249" s="1" t="str">
        <f t="shared" si="17"/>
        <v>75*30070190黑</v>
      </c>
      <c r="B249" s="1">
        <v>97</v>
      </c>
      <c r="C249" s="2" t="s">
        <v>209</v>
      </c>
      <c r="D249" s="1">
        <v>70</v>
      </c>
      <c r="E249" s="1">
        <v>190</v>
      </c>
      <c r="G249" s="1" t="s">
        <v>785</v>
      </c>
      <c r="H249" s="2" t="str">
        <f>IF(COUNTIF(A$153:A249,A249)=1,B249,LOOKUP(1,0/(A$152:A248=A249),H$152:H248)&amp;","&amp;B249)</f>
        <v>3,14,15,26,27,48,66,97</v>
      </c>
    </row>
    <row r="250" spans="1:8" outlineLevel="1">
      <c r="A250" s="1" t="str">
        <f t="shared" si="17"/>
        <v>50*5037190.5-1白</v>
      </c>
      <c r="B250" s="1">
        <v>98</v>
      </c>
      <c r="C250" s="2" t="s">
        <v>203</v>
      </c>
      <c r="D250" s="1">
        <v>37</v>
      </c>
      <c r="E250" s="1" t="s">
        <v>218</v>
      </c>
      <c r="G250" s="1" t="s">
        <v>783</v>
      </c>
      <c r="H250" s="2" t="str">
        <f>IF(COUNTIF(A$153:A250,A250)=1,B250,LOOKUP(1,0/(A$152:A249=A250),H$152:H249)&amp;","&amp;B250)</f>
        <v>7,10,21,22,29,30,36,42,44,50,52,55,56,61,67,68,89,91,95,96,98</v>
      </c>
    </row>
    <row r="251" spans="1:8" outlineLevel="1">
      <c r="A251" s="1" t="str">
        <f t="shared" si="17"/>
        <v>30*3023190白</v>
      </c>
      <c r="B251" s="1">
        <v>99</v>
      </c>
      <c r="C251" s="2" t="s">
        <v>201</v>
      </c>
      <c r="D251" s="1">
        <v>23</v>
      </c>
      <c r="E251" s="1">
        <v>190</v>
      </c>
      <c r="G251" s="1" t="s">
        <v>2</v>
      </c>
      <c r="H251" s="2" t="str">
        <f>IF(COUNTIF(A$153:A251,A251)=1,B251,LOOKUP(1,0/(A$152:A250=A251),H$152:H250)&amp;","&amp;B251)</f>
        <v>33,46,47,53,58,62,69,75,79,81,84,85,99</v>
      </c>
    </row>
    <row r="252" spans="1:8" outlineLevel="1">
      <c r="A252" s="1" t="str">
        <f t="shared" si="17"/>
        <v>50*7544190.5白</v>
      </c>
      <c r="B252" s="1">
        <v>100</v>
      </c>
      <c r="C252" s="2" t="s">
        <v>205</v>
      </c>
      <c r="D252" s="1">
        <v>44</v>
      </c>
      <c r="E252" s="1">
        <v>190.5</v>
      </c>
      <c r="G252" s="1" t="s">
        <v>2</v>
      </c>
      <c r="H252" s="2" t="str">
        <f>IF(COUNTIF(A$153:A252,A252)=1,B252,LOOKUP(1,0/(A$152:A251=A252),H$152:H251)&amp;","&amp;B252)</f>
        <v>19,23,24,35,65,100</v>
      </c>
    </row>
    <row r="253" spans="1:8" outlineLevel="1">
      <c r="A253" s="1" t="str">
        <f t="shared" si="17"/>
        <v>75*15054190.5白</v>
      </c>
      <c r="B253" s="1">
        <v>101</v>
      </c>
      <c r="C253" s="2" t="s">
        <v>211</v>
      </c>
      <c r="D253" s="1">
        <v>54</v>
      </c>
      <c r="E253" s="1">
        <v>190.5</v>
      </c>
      <c r="G253" s="1" t="s">
        <v>2</v>
      </c>
      <c r="H253" s="2" t="str">
        <f>IF(COUNTIF(A$153:A253,A253)=1,B253,LOOKUP(1,0/(A$152:A252=A253),H$152:H252)&amp;","&amp;B253)</f>
        <v>90,101</v>
      </c>
    </row>
    <row r="254" spans="1:8" outlineLevel="1">
      <c r="A254" s="1" t="str">
        <f t="shared" si="17"/>
        <v>75*7543190.5黑</v>
      </c>
      <c r="B254" s="1">
        <v>102</v>
      </c>
      <c r="C254" s="2" t="s">
        <v>784</v>
      </c>
      <c r="D254" s="1">
        <v>43</v>
      </c>
      <c r="E254" s="1">
        <v>190.5</v>
      </c>
      <c r="G254" s="1" t="s">
        <v>785</v>
      </c>
      <c r="H254" s="2" t="str">
        <f>IF(COUNTIF(A$153:A254,A254)=1,B254,LOOKUP(1,0/(A$152:A253=A254),H$152:H253)&amp;","&amp;B254)</f>
        <v>2,9,17,18,25,28,57,102</v>
      </c>
    </row>
    <row r="255" spans="1:8" outlineLevel="1">
      <c r="A255" s="1" t="str">
        <f t="shared" si="17"/>
        <v>75*7543190.5黑</v>
      </c>
      <c r="B255" s="1">
        <v>103</v>
      </c>
      <c r="C255" s="2" t="s">
        <v>784</v>
      </c>
      <c r="D255" s="1">
        <v>43</v>
      </c>
      <c r="E255" s="1">
        <v>190.5</v>
      </c>
      <c r="G255" s="1" t="s">
        <v>785</v>
      </c>
      <c r="H255" s="2" t="str">
        <f>IF(COUNTIF(A$153:A255,A255)=1,B255,LOOKUP(1,0/(A$152:A254=A255),H$152:H254)&amp;","&amp;B255)</f>
        <v>2,9,17,18,25,28,57,102,103</v>
      </c>
    </row>
    <row r="256" spans="1:8" outlineLevel="1">
      <c r="A256" s="1" t="str">
        <f t="shared" si="17"/>
        <v>75*15054190.5白</v>
      </c>
      <c r="B256" s="1">
        <v>104</v>
      </c>
      <c r="C256" s="2" t="s">
        <v>211</v>
      </c>
      <c r="D256" s="1">
        <v>54</v>
      </c>
      <c r="E256" s="1">
        <v>190.5</v>
      </c>
      <c r="G256" s="1" t="s">
        <v>2</v>
      </c>
      <c r="H256" s="2" t="str">
        <f>IF(COUNTIF(A$153:A256,A256)=1,B256,LOOKUP(1,0/(A$152:A255=A256),H$152:H255)&amp;","&amp;B256)</f>
        <v>90,101,104</v>
      </c>
    </row>
    <row r="257" spans="1:8" outlineLevel="1">
      <c r="A257" s="1" t="str">
        <f t="shared" si="17"/>
        <v>75*7543190.5黑</v>
      </c>
      <c r="B257" s="1">
        <v>105</v>
      </c>
      <c r="C257" s="2" t="s">
        <v>784</v>
      </c>
      <c r="D257" s="1">
        <v>43</v>
      </c>
      <c r="E257" s="1">
        <v>190.5</v>
      </c>
      <c r="G257" s="1" t="s">
        <v>785</v>
      </c>
      <c r="H257" s="2" t="str">
        <f>IF(COUNTIF(A$153:A257,A257)=1,B257,LOOKUP(1,0/(A$152:A256=A257),H$152:H256)&amp;","&amp;B257)</f>
        <v>2,9,17,18,25,28,57,102,103,105</v>
      </c>
    </row>
    <row r="258" spans="1:8" outlineLevel="1">
      <c r="A258" s="1" t="str">
        <f t="shared" si="17"/>
        <v>50*5037190.5白</v>
      </c>
      <c r="B258" s="1">
        <v>106</v>
      </c>
      <c r="C258" s="2" t="s">
        <v>203</v>
      </c>
      <c r="D258" s="1">
        <v>37</v>
      </c>
      <c r="E258" s="1">
        <v>190.5</v>
      </c>
      <c r="G258" s="1" t="s">
        <v>783</v>
      </c>
      <c r="H258" s="2" t="str">
        <f>IF(COUNTIF(A$153:A258,A258)=1,B258,LOOKUP(1,0/(A$152:A257=A258),H$152:H257)&amp;","&amp;B258)</f>
        <v>39,59,70,78,80,106</v>
      </c>
    </row>
    <row r="259" spans="1:8" outlineLevel="1">
      <c r="A259" s="1" t="str">
        <f t="shared" si="17"/>
        <v>75*7543190.5黑</v>
      </c>
      <c r="B259" s="1">
        <v>107</v>
      </c>
      <c r="C259" s="2" t="s">
        <v>784</v>
      </c>
      <c r="D259" s="1">
        <v>43</v>
      </c>
      <c r="E259" s="1">
        <v>190.5</v>
      </c>
      <c r="G259" s="1" t="s">
        <v>785</v>
      </c>
      <c r="H259" s="2" t="str">
        <f>IF(COUNTIF(A$153:A259,A259)=1,B259,LOOKUP(1,0/(A$152:A258=A259),H$152:H258)&amp;","&amp;B259)</f>
        <v>2,9,17,18,25,28,57,102,103,105,107</v>
      </c>
    </row>
    <row r="260" spans="1:8" outlineLevel="1">
      <c r="A260" s="1" t="str">
        <f t="shared" si="17"/>
        <v>75*7543190.5白</v>
      </c>
      <c r="B260" s="1">
        <v>108</v>
      </c>
      <c r="C260" s="2" t="s">
        <v>784</v>
      </c>
      <c r="D260" s="1">
        <v>43</v>
      </c>
      <c r="E260" s="1">
        <v>190.5</v>
      </c>
      <c r="G260" s="1" t="s">
        <v>783</v>
      </c>
      <c r="H260" s="2" t="str">
        <f>IF(COUNTIF(A$153:A260,A260)=1,B260,LOOKUP(1,0/(A$152:A259=A260),H$152:H259)&amp;","&amp;B260)</f>
        <v>1,6,8,13,20,38,49,93,108</v>
      </c>
    </row>
    <row r="261" spans="1:8" outlineLevel="1">
      <c r="A261" s="1" t="str">
        <f t="shared" si="17"/>
        <v>75*7543190.5黑</v>
      </c>
      <c r="B261" s="1">
        <v>109</v>
      </c>
      <c r="C261" s="2" t="s">
        <v>784</v>
      </c>
      <c r="D261" s="1">
        <v>43</v>
      </c>
      <c r="E261" s="1">
        <v>190.5</v>
      </c>
      <c r="G261" s="1" t="s">
        <v>785</v>
      </c>
      <c r="H261" s="2" t="str">
        <f>IF(COUNTIF(A$153:A261,A261)=1,B261,LOOKUP(1,0/(A$152:A260=A261),H$152:H260)&amp;","&amp;B261)</f>
        <v>2,9,17,18,25,28,57,102,103,105,107,109</v>
      </c>
    </row>
    <row r="262" spans="1:8" outlineLevel="1">
      <c r="A262" s="1" t="str">
        <f t="shared" si="17"/>
        <v>75*30070190白</v>
      </c>
      <c r="B262" s="1">
        <v>110</v>
      </c>
      <c r="C262" s="2" t="s">
        <v>209</v>
      </c>
      <c r="D262" s="1">
        <v>70</v>
      </c>
      <c r="E262" s="1">
        <v>190</v>
      </c>
      <c r="G262" s="1" t="s">
        <v>783</v>
      </c>
      <c r="H262" s="2">
        <f>IF(COUNTIF(A$153:A262,A262)=1,B262,LOOKUP(1,0/(A$152:A261=A262),H$152:H261)&amp;","&amp;B262)</f>
        <v>110</v>
      </c>
    </row>
    <row r="263" spans="1:8" outlineLevel="1">
      <c r="A263" s="1" t="str">
        <f t="shared" si="17"/>
        <v>50*5037190.5白</v>
      </c>
      <c r="B263" s="1">
        <v>111</v>
      </c>
      <c r="C263" s="2" t="s">
        <v>203</v>
      </c>
      <c r="D263" s="1">
        <v>37</v>
      </c>
      <c r="E263" s="1">
        <v>190.5</v>
      </c>
      <c r="G263" s="1" t="s">
        <v>783</v>
      </c>
      <c r="H263" s="2" t="str">
        <f>IF(COUNTIF(A$153:A263,A263)=1,B263,LOOKUP(1,0/(A$152:A262=A263),H$152:H262)&amp;","&amp;B263)</f>
        <v>39,59,70,78,80,106,111</v>
      </c>
    </row>
    <row r="264" spans="1:8" outlineLevel="1">
      <c r="A264" s="1" t="str">
        <f t="shared" si="17"/>
        <v>50*7544190.5白</v>
      </c>
      <c r="B264" s="1">
        <v>112</v>
      </c>
      <c r="C264" s="2" t="s">
        <v>205</v>
      </c>
      <c r="D264" s="1">
        <v>44</v>
      </c>
      <c r="E264" s="1">
        <v>190.5</v>
      </c>
      <c r="G264" s="1" t="s">
        <v>2</v>
      </c>
      <c r="H264" s="2" t="str">
        <f>IF(COUNTIF(A$153:A264,A264)=1,B264,LOOKUP(1,0/(A$152:A263=A264),H$152:H263)&amp;","&amp;B264)</f>
        <v>19,23,24,35,65,100,112</v>
      </c>
    </row>
    <row r="265" spans="1:8" outlineLevel="1">
      <c r="A265" s="1" t="str">
        <f t="shared" si="17"/>
        <v>50*5037190.5-1白</v>
      </c>
      <c r="B265" s="1">
        <v>113</v>
      </c>
      <c r="C265" s="2" t="s">
        <v>203</v>
      </c>
      <c r="D265" s="1">
        <v>37</v>
      </c>
      <c r="E265" s="1" t="s">
        <v>218</v>
      </c>
      <c r="G265" s="1" t="s">
        <v>783</v>
      </c>
      <c r="H265" s="2" t="str">
        <f>IF(COUNTIF(A$153:A265,A265)=1,B265,LOOKUP(1,0/(A$152:A264=A265),H$152:H264)&amp;","&amp;B265)</f>
        <v>7,10,21,22,29,30,36,42,44,50,52,55,56,61,67,68,89,91,95,96,98,113</v>
      </c>
    </row>
    <row r="266" spans="1:8" outlineLevel="1">
      <c r="A266" s="1" t="str">
        <f t="shared" si="17"/>
        <v>75*7543190.5黑</v>
      </c>
      <c r="B266" s="1">
        <v>114</v>
      </c>
      <c r="C266" s="2" t="s">
        <v>784</v>
      </c>
      <c r="D266" s="1">
        <v>43</v>
      </c>
      <c r="E266" s="1">
        <v>190.5</v>
      </c>
      <c r="G266" s="1" t="s">
        <v>785</v>
      </c>
      <c r="H266" s="2" t="str">
        <f>IF(COUNTIF(A$153:A266,A266)=1,B266,LOOKUP(1,0/(A$152:A265=A266),H$152:H265)&amp;","&amp;B266)</f>
        <v>2,9,17,18,25,28,57,102,103,105,107,109,114</v>
      </c>
    </row>
    <row r="267" spans="1:8" outlineLevel="1">
      <c r="A267" s="1" t="str">
        <f t="shared" si="17"/>
        <v>75*15054190.5黑</v>
      </c>
      <c r="B267" s="1">
        <v>115</v>
      </c>
      <c r="C267" s="2" t="s">
        <v>211</v>
      </c>
      <c r="D267" s="1">
        <v>54</v>
      </c>
      <c r="E267" s="1">
        <v>190.5</v>
      </c>
      <c r="G267" s="1" t="s">
        <v>785</v>
      </c>
      <c r="H267" s="2" t="str">
        <f>IF(COUNTIF(A$153:A267,A267)=1,B267,LOOKUP(1,0/(A$152:A266=A267),H$152:H266)&amp;","&amp;B267)</f>
        <v>5,64,82,94,115</v>
      </c>
    </row>
    <row r="268" spans="1:8" outlineLevel="1">
      <c r="A268" s="1" t="str">
        <f t="shared" si="17"/>
        <v>75*7543190.5白</v>
      </c>
      <c r="B268" s="1">
        <v>116</v>
      </c>
      <c r="C268" s="2" t="s">
        <v>784</v>
      </c>
      <c r="D268" s="1">
        <v>43</v>
      </c>
      <c r="E268" s="1">
        <v>190.5</v>
      </c>
      <c r="G268" s="1" t="s">
        <v>783</v>
      </c>
      <c r="H268" s="2" t="str">
        <f>IF(COUNTIF(A$153:A268,A268)=1,B268,LOOKUP(1,0/(A$152:A267=A268),H$152:H267)&amp;","&amp;B268)</f>
        <v>1,6,8,13,20,38,49,93,108,116</v>
      </c>
    </row>
    <row r="269" spans="1:8" outlineLevel="1">
      <c r="A269" s="1" t="str">
        <f t="shared" si="17"/>
        <v>75*30070190黑</v>
      </c>
      <c r="B269" s="1">
        <v>117</v>
      </c>
      <c r="C269" s="2" t="s">
        <v>209</v>
      </c>
      <c r="D269" s="1">
        <v>70</v>
      </c>
      <c r="E269" s="1">
        <v>190</v>
      </c>
      <c r="G269" s="1" t="s">
        <v>785</v>
      </c>
      <c r="H269" s="2" t="str">
        <f>IF(COUNTIF(A$153:A269,A269)=1,B269,LOOKUP(1,0/(A$152:A268=A269),H$152:H268)&amp;","&amp;B269)</f>
        <v>3,14,15,26,27,48,66,97,117</v>
      </c>
    </row>
    <row r="270" spans="1:8" outlineLevel="1">
      <c r="A270" s="1" t="str">
        <f t="shared" si="17"/>
        <v>50*5037190.5-1白</v>
      </c>
      <c r="B270" s="1">
        <v>118</v>
      </c>
      <c r="C270" s="2" t="s">
        <v>203</v>
      </c>
      <c r="D270" s="1">
        <v>37</v>
      </c>
      <c r="E270" s="1" t="s">
        <v>218</v>
      </c>
      <c r="G270" s="1" t="s">
        <v>783</v>
      </c>
      <c r="H270" s="2" t="str">
        <f>IF(COUNTIF(A$153:A270,A270)=1,B270,LOOKUP(1,0/(A$152:A269=A270),H$152:H269)&amp;","&amp;B270)</f>
        <v>7,10,21,22,29,30,36,42,44,50,52,55,56,61,67,68,89,91,95,96,98,113,118</v>
      </c>
    </row>
    <row r="271" spans="1:8" outlineLevel="1">
      <c r="A271" s="1" t="str">
        <f t="shared" si="17"/>
        <v>50*5037190.5-1白</v>
      </c>
      <c r="B271" s="1">
        <v>119</v>
      </c>
      <c r="C271" s="2" t="s">
        <v>203</v>
      </c>
      <c r="D271" s="1">
        <v>37</v>
      </c>
      <c r="E271" s="1" t="s">
        <v>218</v>
      </c>
      <c r="G271" s="1" t="s">
        <v>783</v>
      </c>
      <c r="H271" s="2" t="str">
        <f>IF(COUNTIF(A$153:A271,A271)=1,B271,LOOKUP(1,0/(A$152:A270=A271),H$152:H270)&amp;","&amp;B271)</f>
        <v>7,10,21,22,29,30,36,42,44,50,52,55,56,61,67,68,89,91,95,96,98,113,118,119</v>
      </c>
    </row>
    <row r="272" spans="1:8" outlineLevel="1">
      <c r="A272" s="1" t="str">
        <f t="shared" si="17"/>
        <v>75*30070190黑</v>
      </c>
      <c r="B272" s="1">
        <v>120</v>
      </c>
      <c r="C272" s="2" t="s">
        <v>209</v>
      </c>
      <c r="D272" s="1">
        <v>70</v>
      </c>
      <c r="E272" s="1">
        <v>190</v>
      </c>
      <c r="G272" s="1" t="s">
        <v>785</v>
      </c>
      <c r="H272" s="2" t="str">
        <f>IF(COUNTIF(A$153:A272,A272)=1,B272,LOOKUP(1,0/(A$152:A271=A272),H$152:H271)&amp;","&amp;B272)</f>
        <v>3,14,15,26,27,48,66,97,117,120</v>
      </c>
    </row>
    <row r="273" spans="1:8" outlineLevel="1">
      <c r="A273" s="1" t="str">
        <f t="shared" si="17"/>
        <v>75*30070190黑</v>
      </c>
      <c r="B273" s="1">
        <v>121</v>
      </c>
      <c r="C273" s="2" t="s">
        <v>209</v>
      </c>
      <c r="D273" s="1">
        <v>70</v>
      </c>
      <c r="E273" s="1">
        <v>190</v>
      </c>
      <c r="G273" s="1" t="s">
        <v>785</v>
      </c>
      <c r="H273" s="2" t="str">
        <f>IF(COUNTIF(A$153:A273,A273)=1,B273,LOOKUP(1,0/(A$152:A272=A273),H$152:H272)&amp;","&amp;B273)</f>
        <v>3,14,15,26,27,48,66,97,117,120,121</v>
      </c>
    </row>
    <row r="274" spans="1:8" outlineLevel="1">
      <c r="A274" s="1" t="str">
        <f t="shared" si="17"/>
        <v>75*7543190.5黑</v>
      </c>
      <c r="B274" s="1">
        <v>122</v>
      </c>
      <c r="C274" s="2" t="s">
        <v>784</v>
      </c>
      <c r="D274" s="1">
        <v>43</v>
      </c>
      <c r="E274" s="1">
        <v>190.5</v>
      </c>
      <c r="G274" s="1" t="s">
        <v>785</v>
      </c>
      <c r="H274" s="2" t="str">
        <f>IF(COUNTIF(A$153:A274,A274)=1,B274,LOOKUP(1,0/(A$152:A273=A274),H$152:H273)&amp;","&amp;B274)</f>
        <v>2,9,17,18,25,28,57,102,103,105,107,109,114,122</v>
      </c>
    </row>
    <row r="275" spans="1:8" outlineLevel="1">
      <c r="A275" s="1" t="str">
        <f t="shared" si="17"/>
        <v>75*10050190.5黑</v>
      </c>
      <c r="B275" s="1">
        <v>123</v>
      </c>
      <c r="C275" s="2" t="s">
        <v>208</v>
      </c>
      <c r="D275" s="1">
        <v>50</v>
      </c>
      <c r="E275" s="1">
        <v>190.5</v>
      </c>
      <c r="G275" s="1" t="s">
        <v>785</v>
      </c>
      <c r="H275" s="2" t="str">
        <f>IF(COUNTIF(A$153:A275,A275)=1,B275,LOOKUP(1,0/(A$152:A274=A275),H$152:H274)&amp;","&amp;B275)</f>
        <v>31,123</v>
      </c>
    </row>
    <row r="276" spans="1:8" outlineLevel="1">
      <c r="A276" s="1" t="str">
        <f t="shared" si="17"/>
        <v>75*7543190.5白</v>
      </c>
      <c r="B276" s="1">
        <v>124</v>
      </c>
      <c r="C276" s="2" t="s">
        <v>784</v>
      </c>
      <c r="D276" s="1">
        <v>43</v>
      </c>
      <c r="E276" s="1">
        <v>190.5</v>
      </c>
      <c r="G276" s="1" t="s">
        <v>783</v>
      </c>
      <c r="H276" s="2" t="str">
        <f>IF(COUNTIF(A$153:A276,A276)=1,B276,LOOKUP(1,0/(A$152:A275=A276),H$152:H275)&amp;","&amp;B276)</f>
        <v>1,6,8,13,20,38,49,93,108,116,124</v>
      </c>
    </row>
    <row r="277" spans="1:8" outlineLevel="1">
      <c r="A277" s="1" t="str">
        <f t="shared" si="17"/>
        <v>75*7543190.5黑</v>
      </c>
      <c r="B277" s="1">
        <v>125</v>
      </c>
      <c r="C277" s="2" t="s">
        <v>784</v>
      </c>
      <c r="D277" s="1">
        <v>43</v>
      </c>
      <c r="E277" s="1">
        <v>190.5</v>
      </c>
      <c r="G277" s="1" t="s">
        <v>785</v>
      </c>
      <c r="H277" s="2" t="str">
        <f>IF(COUNTIF(A$153:A277,A277)=1,B277,LOOKUP(1,0/(A$152:A276=A277),H$152:H276)&amp;","&amp;B277)</f>
        <v>2,9,17,18,25,28,57,102,103,105,107,109,114,122,125</v>
      </c>
    </row>
    <row r="278" spans="1:8" outlineLevel="1">
      <c r="A278" s="1" t="str">
        <f t="shared" si="17"/>
        <v>75*30070190白</v>
      </c>
      <c r="B278" s="1">
        <v>126</v>
      </c>
      <c r="C278" s="2" t="s">
        <v>209</v>
      </c>
      <c r="D278" s="1">
        <v>70</v>
      </c>
      <c r="E278" s="1">
        <v>190</v>
      </c>
      <c r="G278" s="1" t="s">
        <v>783</v>
      </c>
      <c r="H278" s="2" t="str">
        <f>IF(COUNTIF(A$153:A278,A278)=1,B278,LOOKUP(1,0/(A$152:A277=A278),H$152:H277)&amp;","&amp;B278)</f>
        <v>110,126</v>
      </c>
    </row>
    <row r="279" spans="1:8" outlineLevel="1">
      <c r="A279" s="1" t="str">
        <f t="shared" si="17"/>
        <v>75*7543190.5黑</v>
      </c>
      <c r="B279" s="1">
        <v>127</v>
      </c>
      <c r="C279" s="2" t="s">
        <v>784</v>
      </c>
      <c r="D279" s="1">
        <v>43</v>
      </c>
      <c r="E279" s="1">
        <v>190.5</v>
      </c>
      <c r="G279" s="1" t="s">
        <v>785</v>
      </c>
      <c r="H279" s="2" t="str">
        <f>IF(COUNTIF(A$153:A279,A279)=1,B279,LOOKUP(1,0/(A$152:A278=A279),H$152:H278)&amp;","&amp;B279)</f>
        <v>2,9,17,18,25,28,57,102,103,105,107,109,114,122,125,127</v>
      </c>
    </row>
    <row r="280" spans="1:8" outlineLevel="1">
      <c r="A280" s="1" t="str">
        <f t="shared" si="17"/>
        <v>75*30070190黑</v>
      </c>
      <c r="B280" s="1">
        <v>128</v>
      </c>
      <c r="C280" s="2" t="s">
        <v>209</v>
      </c>
      <c r="D280" s="1">
        <v>70</v>
      </c>
      <c r="E280" s="1">
        <v>190</v>
      </c>
      <c r="G280" s="1" t="s">
        <v>785</v>
      </c>
      <c r="H280" s="2" t="str">
        <f>IF(COUNTIF(A$153:A280,A280)=1,B280,LOOKUP(1,0/(A$152:A279=A280),H$152:H279)&amp;","&amp;B280)</f>
        <v>3,14,15,26,27,48,66,97,117,120,121,128</v>
      </c>
    </row>
    <row r="281" spans="1:8" outlineLevel="1">
      <c r="A281" s="1" t="str">
        <f t="shared" si="17"/>
        <v>75*30070190黑</v>
      </c>
      <c r="B281" s="1">
        <v>129</v>
      </c>
      <c r="C281" s="2" t="s">
        <v>209</v>
      </c>
      <c r="D281" s="1">
        <v>70</v>
      </c>
      <c r="E281" s="1">
        <v>190</v>
      </c>
      <c r="G281" s="1" t="s">
        <v>785</v>
      </c>
      <c r="H281" s="2" t="str">
        <f>IF(COUNTIF(A$153:A281,A281)=1,B281,LOOKUP(1,0/(A$152:A280=A281),H$152:H280)&amp;","&amp;B281)</f>
        <v>3,14,15,26,27,48,66,97,117,120,121,128,129</v>
      </c>
    </row>
    <row r="282" spans="1:8" outlineLevel="1">
      <c r="A282" s="1" t="str">
        <f t="shared" ref="A282:A345" si="18">C282&amp;D282&amp;E282&amp;G282</f>
        <v>75*30070190黑</v>
      </c>
      <c r="B282" s="1">
        <v>130</v>
      </c>
      <c r="C282" s="2" t="s">
        <v>209</v>
      </c>
      <c r="D282" s="1">
        <v>70</v>
      </c>
      <c r="E282" s="1">
        <v>190</v>
      </c>
      <c r="G282" s="1" t="s">
        <v>785</v>
      </c>
      <c r="H282" s="2" t="str">
        <f>IF(COUNTIF(A$153:A282,A282)=1,B282,LOOKUP(1,0/(A$152:A281=A282),H$152:H281)&amp;","&amp;B282)</f>
        <v>3,14,15,26,27,48,66,97,117,120,121,128,129,130</v>
      </c>
    </row>
    <row r="283" spans="1:8" outlineLevel="1">
      <c r="A283" s="1" t="str">
        <f t="shared" si="18"/>
        <v>75*15054190.5黑</v>
      </c>
      <c r="B283" s="1">
        <v>131</v>
      </c>
      <c r="C283" s="2" t="s">
        <v>211</v>
      </c>
      <c r="D283" s="1">
        <v>54</v>
      </c>
      <c r="E283" s="1">
        <v>190.5</v>
      </c>
      <c r="G283" s="1" t="s">
        <v>785</v>
      </c>
      <c r="H283" s="2" t="str">
        <f>IF(COUNTIF(A$153:A283,A283)=1,B283,LOOKUP(1,0/(A$152:A282=A283),H$152:H282)&amp;","&amp;B283)</f>
        <v>5,64,82,94,115,131</v>
      </c>
    </row>
    <row r="284" spans="1:8" outlineLevel="1">
      <c r="A284" s="1" t="str">
        <f t="shared" si="18"/>
        <v>75*15058190.5白</v>
      </c>
      <c r="B284" s="1">
        <v>132</v>
      </c>
      <c r="C284" s="2" t="s">
        <v>211</v>
      </c>
      <c r="D284" s="1">
        <v>58</v>
      </c>
      <c r="E284" s="1">
        <v>190.5</v>
      </c>
      <c r="G284" s="1" t="s">
        <v>783</v>
      </c>
      <c r="H284" s="2" t="str">
        <f>IF(COUNTIF(A$153:A284,A284)=1,B284,LOOKUP(1,0/(A$152:A283=A284),H$152:H283)&amp;","&amp;B284)</f>
        <v>16,34,37,92,132</v>
      </c>
    </row>
    <row r="285" spans="1:8" outlineLevel="1">
      <c r="A285" s="1" t="str">
        <f t="shared" si="18"/>
        <v>75*10050190.5白</v>
      </c>
      <c r="B285" s="1">
        <v>133</v>
      </c>
      <c r="C285" s="2" t="s">
        <v>208</v>
      </c>
      <c r="D285" s="1">
        <v>50</v>
      </c>
      <c r="E285" s="1">
        <v>190.5</v>
      </c>
      <c r="G285" s="1" t="s">
        <v>783</v>
      </c>
      <c r="H285" s="2" t="str">
        <f>IF(COUNTIF(A$153:A285,A285)=1,B285,LOOKUP(1,0/(A$152:A284=A285),H$152:H284)&amp;","&amp;B285)</f>
        <v>4,12,133</v>
      </c>
    </row>
    <row r="286" spans="1:8" outlineLevel="1">
      <c r="A286" s="1" t="str">
        <f t="shared" si="18"/>
        <v>75*7543190.5黑</v>
      </c>
      <c r="B286" s="1">
        <v>134</v>
      </c>
      <c r="C286" s="2" t="s">
        <v>784</v>
      </c>
      <c r="D286" s="1">
        <v>43</v>
      </c>
      <c r="E286" s="1">
        <v>190.5</v>
      </c>
      <c r="G286" s="1" t="s">
        <v>785</v>
      </c>
      <c r="H286" s="2" t="str">
        <f>IF(COUNTIF(A$153:A286,A286)=1,B286,LOOKUP(1,0/(A$152:A285=A286),H$152:H285)&amp;","&amp;B286)</f>
        <v>2,9,17,18,25,28,57,102,103,105,107,109,114,122,125,127,134</v>
      </c>
    </row>
    <row r="287" spans="1:8" outlineLevel="1">
      <c r="A287" s="1" t="str">
        <f t="shared" si="18"/>
        <v>75*7543190.5黑</v>
      </c>
      <c r="B287" s="1">
        <v>135</v>
      </c>
      <c r="C287" s="2" t="s">
        <v>784</v>
      </c>
      <c r="D287" s="1">
        <v>43</v>
      </c>
      <c r="E287" s="1">
        <v>190.5</v>
      </c>
      <c r="G287" s="1" t="s">
        <v>785</v>
      </c>
      <c r="H287" s="2" t="str">
        <f>IF(COUNTIF(A$153:A287,A287)=1,B287,LOOKUP(1,0/(A$152:A286=A287),H$152:H286)&amp;","&amp;B287)</f>
        <v>2,9,17,18,25,28,57,102,103,105,107,109,114,122,125,127,134,135</v>
      </c>
    </row>
    <row r="288" spans="1:8" outlineLevel="1">
      <c r="A288" s="1" t="str">
        <f t="shared" si="18"/>
        <v>75*30070190黑</v>
      </c>
      <c r="B288" s="1">
        <v>136</v>
      </c>
      <c r="C288" s="2" t="s">
        <v>209</v>
      </c>
      <c r="D288" s="1">
        <v>70</v>
      </c>
      <c r="E288" s="1">
        <v>190</v>
      </c>
      <c r="G288" s="1" t="s">
        <v>1</v>
      </c>
      <c r="H288" s="2" t="str">
        <f>IF(COUNTIF(A$153:A288,A288)=1,B288,LOOKUP(1,0/(A$152:A287=A288),H$152:H287)&amp;","&amp;B288)</f>
        <v>3,14,15,26,27,48,66,97,117,120,121,128,129,130,136</v>
      </c>
    </row>
    <row r="289" spans="1:8" outlineLevel="1">
      <c r="A289" s="1" t="str">
        <f t="shared" si="18"/>
        <v>75*7543190.5黑</v>
      </c>
      <c r="B289" s="1">
        <v>137</v>
      </c>
      <c r="C289" s="2" t="s">
        <v>784</v>
      </c>
      <c r="D289" s="1">
        <v>43</v>
      </c>
      <c r="E289" s="1">
        <v>190.5</v>
      </c>
      <c r="G289" s="1" t="s">
        <v>785</v>
      </c>
      <c r="H289" s="2" t="str">
        <f>IF(COUNTIF(A$153:A289,A289)=1,B289,LOOKUP(1,0/(A$152:A288=A289),H$152:H288)&amp;","&amp;B289)</f>
        <v>2,9,17,18,25,28,57,102,103,105,107,109,114,122,125,127,134,135,137</v>
      </c>
    </row>
    <row r="290" spans="1:8" outlineLevel="1">
      <c r="A290" s="1" t="str">
        <f t="shared" si="18"/>
        <v>75*7543190.5黑</v>
      </c>
      <c r="B290" s="1">
        <v>138</v>
      </c>
      <c r="C290" s="2" t="s">
        <v>784</v>
      </c>
      <c r="D290" s="1">
        <v>43</v>
      </c>
      <c r="E290" s="1">
        <v>190.5</v>
      </c>
      <c r="G290" s="1" t="s">
        <v>785</v>
      </c>
      <c r="H290" s="2" t="str">
        <f>IF(COUNTIF(A$153:A290,A290)=1,B290,LOOKUP(1,0/(A$152:A289=A290),H$152:H289)&amp;","&amp;B290)</f>
        <v>2,9,17,18,25,28,57,102,103,105,107,109,114,122,125,127,134,135,137,138</v>
      </c>
    </row>
    <row r="291" spans="1:8" outlineLevel="1">
      <c r="A291" s="1" t="str">
        <f t="shared" si="18"/>
        <v>75*7543190.5黑</v>
      </c>
      <c r="B291" s="1">
        <v>139</v>
      </c>
      <c r="C291" s="2" t="s">
        <v>784</v>
      </c>
      <c r="D291" s="1">
        <v>43</v>
      </c>
      <c r="E291" s="1">
        <v>190.5</v>
      </c>
      <c r="G291" s="1" t="s">
        <v>785</v>
      </c>
      <c r="H291" s="2" t="str">
        <f>IF(COUNTIF(A$153:A291,A291)=1,B291,LOOKUP(1,0/(A$152:A290=A291),H$152:H290)&amp;","&amp;B291)</f>
        <v>2,9,17,18,25,28,57,102,103,105,107,109,114,122,125,127,134,135,137,138,139</v>
      </c>
    </row>
    <row r="292" spans="1:8" outlineLevel="1">
      <c r="A292" s="1" t="str">
        <f t="shared" si="18"/>
        <v>200*300135180黑</v>
      </c>
      <c r="B292" s="1">
        <v>140</v>
      </c>
      <c r="C292" s="2" t="s">
        <v>217</v>
      </c>
      <c r="D292" s="1">
        <v>135</v>
      </c>
      <c r="E292" s="1">
        <v>180</v>
      </c>
      <c r="G292" s="1" t="s">
        <v>785</v>
      </c>
      <c r="H292" s="2">
        <f>IF(COUNTIF(A$153:A292,A292)=1,B292,LOOKUP(1,0/(A$152:A291=A292),H$152:H291)&amp;","&amp;B292)</f>
        <v>140</v>
      </c>
    </row>
    <row r="293" spans="1:8" outlineLevel="1">
      <c r="A293" s="1" t="str">
        <f t="shared" si="18"/>
        <v>75*7543190.5白</v>
      </c>
      <c r="B293" s="1">
        <v>141</v>
      </c>
      <c r="C293" s="2" t="s">
        <v>784</v>
      </c>
      <c r="D293" s="1">
        <v>43</v>
      </c>
      <c r="E293" s="1">
        <v>190.5</v>
      </c>
      <c r="G293" s="1" t="s">
        <v>783</v>
      </c>
      <c r="H293" s="2" t="str">
        <f>IF(COUNTIF(A$153:A293,A293)=1,B293,LOOKUP(1,0/(A$152:A292=A293),H$152:H292)&amp;","&amp;B293)</f>
        <v>1,6,8,13,20,38,49,93,108,116,124,141</v>
      </c>
    </row>
    <row r="294" spans="1:8" outlineLevel="1">
      <c r="A294" s="1" t="str">
        <f t="shared" si="18"/>
        <v>75*7543190.5黑</v>
      </c>
      <c r="B294" s="1">
        <v>142</v>
      </c>
      <c r="C294" s="2" t="s">
        <v>784</v>
      </c>
      <c r="D294" s="1">
        <v>43</v>
      </c>
      <c r="E294" s="1">
        <v>190.5</v>
      </c>
      <c r="G294" s="1" t="s">
        <v>785</v>
      </c>
      <c r="H294" s="2" t="str">
        <f>IF(COUNTIF(A$153:A294,A294)=1,B294,LOOKUP(1,0/(A$152:A293=A294),H$152:H293)&amp;","&amp;B294)</f>
        <v>2,9,17,18,25,28,57,102,103,105,107,109,114,122,125,127,134,135,137,138,139,142</v>
      </c>
    </row>
    <row r="295" spans="1:8" outlineLevel="1">
      <c r="A295" s="1" t="str">
        <f t="shared" si="18"/>
        <v>75*7543190.5黑</v>
      </c>
      <c r="B295" s="1">
        <v>143</v>
      </c>
      <c r="C295" s="2" t="s">
        <v>784</v>
      </c>
      <c r="D295" s="1">
        <v>43</v>
      </c>
      <c r="E295" s="1">
        <v>190.5</v>
      </c>
      <c r="G295" s="1" t="s">
        <v>785</v>
      </c>
      <c r="H295" s="2" t="str">
        <f>IF(COUNTIF(A$153:A295,A295)=1,B295,LOOKUP(1,0/(A$152:A294=A295),H$152:H294)&amp;","&amp;B295)</f>
        <v>2,9,17,18,25,28,57,102,103,105,107,109,114,122,125,127,134,135,137,138,139,142,143</v>
      </c>
    </row>
    <row r="296" spans="1:8" outlineLevel="1">
      <c r="A296" s="1" t="str">
        <f t="shared" si="18"/>
        <v>200*300135180黑</v>
      </c>
      <c r="B296" s="1">
        <v>144</v>
      </c>
      <c r="C296" s="2" t="s">
        <v>217</v>
      </c>
      <c r="D296" s="1">
        <v>135</v>
      </c>
      <c r="E296" s="1">
        <v>180</v>
      </c>
      <c r="G296" s="1" t="s">
        <v>785</v>
      </c>
      <c r="H296" s="2" t="str">
        <f>IF(COUNTIF(A$153:A296,A296)=1,B296,LOOKUP(1,0/(A$152:A295=A296),H$152:H295)&amp;","&amp;B296)</f>
        <v>140,144</v>
      </c>
    </row>
    <row r="297" spans="1:8" outlineLevel="1">
      <c r="A297" s="1" t="str">
        <f t="shared" si="18"/>
        <v>75*15054190.5黑</v>
      </c>
      <c r="B297" s="1">
        <v>145</v>
      </c>
      <c r="C297" s="2" t="s">
        <v>211</v>
      </c>
      <c r="D297" s="1">
        <v>54</v>
      </c>
      <c r="E297" s="1">
        <v>190.5</v>
      </c>
      <c r="G297" s="1" t="s">
        <v>785</v>
      </c>
      <c r="H297" s="2" t="str">
        <f>IF(COUNTIF(A$153:A297,A297)=1,B297,LOOKUP(1,0/(A$152:A296=A297),H$152:H296)&amp;","&amp;B297)</f>
        <v>5,64,82,94,115,131,145</v>
      </c>
    </row>
    <row r="298" spans="1:8" outlineLevel="1">
      <c r="A298" s="1" t="str">
        <f t="shared" si="18"/>
        <v>75*7543190.5黑</v>
      </c>
      <c r="B298" s="1">
        <v>146</v>
      </c>
      <c r="C298" s="2" t="s">
        <v>784</v>
      </c>
      <c r="D298" s="1">
        <v>43</v>
      </c>
      <c r="E298" s="1">
        <v>190.5</v>
      </c>
      <c r="G298" s="1" t="s">
        <v>785</v>
      </c>
      <c r="H298" s="2" t="str">
        <f>IF(COUNTIF(A$153:A298,A298)=1,B298,LOOKUP(1,0/(A$152:A297=A298),H$152:H297)&amp;","&amp;B298)</f>
        <v>2,9,17,18,25,28,57,102,103,105,107,109,114,122,125,127,134,135,137,138,139,142,143,146</v>
      </c>
    </row>
    <row r="299" spans="1:8" outlineLevel="1">
      <c r="A299" s="1" t="str">
        <f t="shared" si="18"/>
        <v>75*30070190黑</v>
      </c>
      <c r="B299" s="1">
        <v>147</v>
      </c>
      <c r="C299" s="2" t="s">
        <v>209</v>
      </c>
      <c r="D299" s="1">
        <v>70</v>
      </c>
      <c r="E299" s="1">
        <v>190</v>
      </c>
      <c r="G299" s="1" t="s">
        <v>1</v>
      </c>
      <c r="H299" s="2" t="str">
        <f>IF(COUNTIF(A$153:A299,A299)=1,B299,LOOKUP(1,0/(A$152:A298=A299),H$152:H298)&amp;","&amp;B299)</f>
        <v>3,14,15,26,27,48,66,97,117,120,121,128,129,130,136,147</v>
      </c>
    </row>
    <row r="300" spans="1:8" outlineLevel="1">
      <c r="A300" s="1" t="str">
        <f t="shared" si="18"/>
        <v>75*20062190.5黑</v>
      </c>
      <c r="B300" s="1">
        <v>148</v>
      </c>
      <c r="C300" s="2" t="s">
        <v>212</v>
      </c>
      <c r="D300" s="1">
        <v>62</v>
      </c>
      <c r="E300" s="1">
        <v>190.5</v>
      </c>
      <c r="G300" s="1" t="s">
        <v>785</v>
      </c>
      <c r="H300" s="2">
        <f>IF(COUNTIF(A$153:A300,A300)=1,B300,LOOKUP(1,0/(A$152:A299=A300),H$152:H299)&amp;","&amp;B300)</f>
        <v>148</v>
      </c>
    </row>
    <row r="301" spans="1:8" outlineLevel="1">
      <c r="A301" s="1" t="str">
        <f t="shared" si="18"/>
        <v>75*7543190.5白</v>
      </c>
      <c r="B301" s="1">
        <v>149</v>
      </c>
      <c r="C301" s="2" t="s">
        <v>784</v>
      </c>
      <c r="D301" s="1">
        <v>43</v>
      </c>
      <c r="E301" s="1">
        <v>190.5</v>
      </c>
      <c r="G301" s="1" t="s">
        <v>783</v>
      </c>
      <c r="H301" s="2" t="str">
        <f>IF(COUNTIF(A$153:A301,A301)=1,B301,LOOKUP(1,0/(A$152:A300=A301),H$152:H300)&amp;","&amp;B301)</f>
        <v>1,6,8,13,20,38,49,93,108,116,124,141,149</v>
      </c>
    </row>
    <row r="302" spans="1:8" outlineLevel="1">
      <c r="A302" s="1" t="str">
        <f t="shared" si="18"/>
        <v>75*20062190.5黑</v>
      </c>
      <c r="B302" s="1">
        <v>150</v>
      </c>
      <c r="C302" s="2" t="s">
        <v>212</v>
      </c>
      <c r="D302" s="1">
        <v>62</v>
      </c>
      <c r="E302" s="1">
        <v>190.5</v>
      </c>
      <c r="G302" s="1" t="s">
        <v>785</v>
      </c>
      <c r="H302" s="2" t="str">
        <f>IF(COUNTIF(A$153:A302,A302)=1,B302,LOOKUP(1,0/(A$152:A301=A302),H$152:H301)&amp;","&amp;B302)</f>
        <v>148,150</v>
      </c>
    </row>
    <row r="303" spans="1:8" outlineLevel="1">
      <c r="A303" s="1" t="str">
        <f t="shared" si="18"/>
        <v>75*7543190.5白</v>
      </c>
      <c r="B303" s="1">
        <v>151</v>
      </c>
      <c r="C303" s="2" t="s">
        <v>784</v>
      </c>
      <c r="D303" s="1">
        <v>43</v>
      </c>
      <c r="E303" s="1">
        <v>190.5</v>
      </c>
      <c r="G303" s="1" t="s">
        <v>783</v>
      </c>
      <c r="H303" s="2" t="str">
        <f>IF(COUNTIF(A$153:A303,A303)=1,B303,LOOKUP(1,0/(A$152:A302=A303),H$152:H302)&amp;","&amp;B303)</f>
        <v>1,6,8,13,20,38,49,93,108,116,124,141,149,151</v>
      </c>
    </row>
    <row r="304" spans="1:8" outlineLevel="1">
      <c r="A304" s="1" t="str">
        <f t="shared" si="18"/>
        <v>200*300135180黑</v>
      </c>
      <c r="B304" s="1">
        <v>152</v>
      </c>
      <c r="C304" s="2" t="s">
        <v>217</v>
      </c>
      <c r="D304" s="1">
        <v>135</v>
      </c>
      <c r="E304" s="1">
        <v>180</v>
      </c>
      <c r="G304" s="1" t="s">
        <v>785</v>
      </c>
      <c r="H304" s="2" t="str">
        <f>IF(COUNTIF(A$153:A304,A304)=1,B304,LOOKUP(1,0/(A$152:A303=A304),H$152:H303)&amp;","&amp;B304)</f>
        <v>140,144,152</v>
      </c>
    </row>
    <row r="305" spans="1:8" outlineLevel="1">
      <c r="A305" s="1" t="str">
        <f t="shared" si="18"/>
        <v>200*300135180黑</v>
      </c>
      <c r="B305" s="1">
        <v>153</v>
      </c>
      <c r="C305" s="2" t="s">
        <v>217</v>
      </c>
      <c r="D305" s="1">
        <v>135</v>
      </c>
      <c r="E305" s="1">
        <v>180</v>
      </c>
      <c r="G305" s="1" t="s">
        <v>785</v>
      </c>
      <c r="H305" s="2" t="str">
        <f>IF(COUNTIF(A$153:A305,A305)=1,B305,LOOKUP(1,0/(A$152:A304=A305),H$152:H304)&amp;","&amp;B305)</f>
        <v>140,144,152,153</v>
      </c>
    </row>
    <row r="306" spans="1:8" outlineLevel="1">
      <c r="A306" s="1" t="str">
        <f t="shared" si="18"/>
        <v>200*300116180白</v>
      </c>
      <c r="B306" s="1">
        <v>154</v>
      </c>
      <c r="C306" s="2" t="s">
        <v>217</v>
      </c>
      <c r="D306" s="1">
        <v>116</v>
      </c>
      <c r="E306" s="1">
        <v>180</v>
      </c>
      <c r="G306" s="1" t="s">
        <v>783</v>
      </c>
      <c r="H306" s="2">
        <f>IF(COUNTIF(A$153:A306,A306)=1,B306,LOOKUP(1,0/(A$152:A305=A306),H$152:H305)&amp;","&amp;B306)</f>
        <v>154</v>
      </c>
    </row>
    <row r="307" spans="1:8" outlineLevel="1">
      <c r="A307" s="1" t="str">
        <f t="shared" si="18"/>
        <v>75*10050190.5白</v>
      </c>
      <c r="B307" s="1">
        <v>155</v>
      </c>
      <c r="C307" s="2" t="s">
        <v>208</v>
      </c>
      <c r="D307" s="1">
        <v>50</v>
      </c>
      <c r="E307" s="1">
        <v>190.5</v>
      </c>
      <c r="G307" s="1" t="s">
        <v>783</v>
      </c>
      <c r="H307" s="2" t="str">
        <f>IF(COUNTIF(A$153:A307,A307)=1,B307,LOOKUP(1,0/(A$152:A306=A307),H$152:H306)&amp;","&amp;B307)</f>
        <v>4,12,133,155</v>
      </c>
    </row>
    <row r="308" spans="1:8" outlineLevel="1">
      <c r="A308" s="1" t="str">
        <f t="shared" si="18"/>
        <v>75*7543190.5白</v>
      </c>
      <c r="B308" s="1">
        <v>156</v>
      </c>
      <c r="C308" s="2" t="s">
        <v>784</v>
      </c>
      <c r="D308" s="1">
        <v>43</v>
      </c>
      <c r="E308" s="1">
        <v>190.5</v>
      </c>
      <c r="G308" s="1" t="s">
        <v>783</v>
      </c>
      <c r="H308" s="2" t="str">
        <f>IF(COUNTIF(A$153:A308,A308)=1,B308,LOOKUP(1,0/(A$152:A307=A308),H$152:H307)&amp;","&amp;B308)</f>
        <v>1,6,8,13,20,38,49,93,108,116,124,141,149,151,156</v>
      </c>
    </row>
    <row r="309" spans="1:8" outlineLevel="1">
      <c r="A309" s="1" t="str">
        <f t="shared" si="18"/>
        <v>75*15058190.5白</v>
      </c>
      <c r="B309" s="1">
        <v>157</v>
      </c>
      <c r="C309" s="2" t="s">
        <v>211</v>
      </c>
      <c r="D309" s="1">
        <v>58</v>
      </c>
      <c r="E309" s="1">
        <v>190.5</v>
      </c>
      <c r="G309" s="1" t="s">
        <v>783</v>
      </c>
      <c r="H309" s="2" t="str">
        <f>IF(COUNTIF(A$153:A309,A309)=1,B309,LOOKUP(1,0/(A$152:A308=A309),H$152:H308)&amp;","&amp;B309)</f>
        <v>16,34,37,92,132,157</v>
      </c>
    </row>
    <row r="310" spans="1:8" outlineLevel="1">
      <c r="A310" s="1" t="str">
        <f t="shared" si="18"/>
        <v>75*7543190.5白</v>
      </c>
      <c r="B310" s="1">
        <v>158</v>
      </c>
      <c r="C310" s="2" t="s">
        <v>784</v>
      </c>
      <c r="D310" s="1">
        <v>43</v>
      </c>
      <c r="E310" s="1">
        <v>190.5</v>
      </c>
      <c r="G310" s="1" t="s">
        <v>783</v>
      </c>
      <c r="H310" s="2" t="str">
        <f>IF(COUNTIF(A$153:A310,A310)=1,B310,LOOKUP(1,0/(A$152:A309=A310),H$152:H309)&amp;","&amp;B310)</f>
        <v>1,6,8,13,20,38,49,93,108,116,124,141,149,151,156,158</v>
      </c>
    </row>
    <row r="311" spans="1:8" outlineLevel="1">
      <c r="A311" s="1" t="str">
        <f t="shared" si="18"/>
        <v>75*20062190.5黑</v>
      </c>
      <c r="B311" s="1">
        <v>159</v>
      </c>
      <c r="C311" s="2" t="s">
        <v>212</v>
      </c>
      <c r="D311" s="1">
        <v>62</v>
      </c>
      <c r="E311" s="1">
        <v>190.5</v>
      </c>
      <c r="G311" s="1" t="s">
        <v>785</v>
      </c>
      <c r="H311" s="2" t="str">
        <f>IF(COUNTIF(A$153:A311,A311)=1,B311,LOOKUP(1,0/(A$152:A310=A311),H$152:H310)&amp;","&amp;B311)</f>
        <v>148,150,159</v>
      </c>
    </row>
    <row r="312" spans="1:8" outlineLevel="1">
      <c r="A312" s="1" t="str">
        <f t="shared" si="18"/>
        <v>75*7543190.5黑</v>
      </c>
      <c r="B312" s="1">
        <v>160</v>
      </c>
      <c r="C312" s="2" t="s">
        <v>784</v>
      </c>
      <c r="D312" s="1">
        <v>43</v>
      </c>
      <c r="E312" s="1">
        <v>190.5</v>
      </c>
      <c r="G312" s="1" t="s">
        <v>785</v>
      </c>
      <c r="H312" s="2" t="str">
        <f>IF(COUNTIF(A$153:A312,A312)=1,B312,LOOKUP(1,0/(A$152:A311=A312),H$152:H311)&amp;","&amp;B312)</f>
        <v>2,9,17,18,25,28,57,102,103,105,107,109,114,122,125,127,134,135,137,138,139,142,143,146,160</v>
      </c>
    </row>
    <row r="313" spans="1:8" outlineLevel="1">
      <c r="A313" s="1" t="str">
        <f t="shared" si="18"/>
        <v>200*300116180-3黑</v>
      </c>
      <c r="B313" s="1">
        <v>161</v>
      </c>
      <c r="C313" s="2" t="s">
        <v>217</v>
      </c>
      <c r="D313" s="1">
        <v>116</v>
      </c>
      <c r="E313" s="1" t="s">
        <v>220</v>
      </c>
      <c r="G313" s="1" t="s">
        <v>1</v>
      </c>
      <c r="H313" s="2">
        <f>IF(COUNTIF(A$153:A313,A313)=1,B313,LOOKUP(1,0/(A$152:A312=A313),H$152:H312)&amp;","&amp;B313)</f>
        <v>161</v>
      </c>
    </row>
    <row r="314" spans="1:8" outlineLevel="1">
      <c r="A314" s="1" t="str">
        <f t="shared" si="18"/>
        <v>75*7543190.5白</v>
      </c>
      <c r="B314" s="1">
        <v>162</v>
      </c>
      <c r="C314" s="2" t="s">
        <v>784</v>
      </c>
      <c r="D314" s="1">
        <v>43</v>
      </c>
      <c r="E314" s="1">
        <v>190.5</v>
      </c>
      <c r="G314" s="1" t="s">
        <v>783</v>
      </c>
      <c r="H314" s="2" t="str">
        <f>IF(COUNTIF(A$153:A314,A314)=1,B314,LOOKUP(1,0/(A$152:A313=A314),H$152:H313)&amp;","&amp;B314)</f>
        <v>1,6,8,13,20,38,49,93,108,116,124,141,149,151,156,158,162</v>
      </c>
    </row>
    <row r="315" spans="1:8" outlineLevel="1">
      <c r="A315" s="1" t="str">
        <f t="shared" si="18"/>
        <v>75*15058190.5黑</v>
      </c>
      <c r="B315" s="1">
        <v>163</v>
      </c>
      <c r="C315" s="2" t="s">
        <v>211</v>
      </c>
      <c r="D315" s="1">
        <v>58</v>
      </c>
      <c r="E315" s="1">
        <v>190.5</v>
      </c>
      <c r="G315" s="1" t="s">
        <v>785</v>
      </c>
      <c r="H315" s="2" t="str">
        <f>IF(COUNTIF(A$153:A315,A315)=1,B315,LOOKUP(1,0/(A$152:A314=A315),H$152:H314)&amp;","&amp;B315)</f>
        <v>32,163</v>
      </c>
    </row>
    <row r="316" spans="1:8" outlineLevel="1">
      <c r="A316" s="1" t="str">
        <f t="shared" si="18"/>
        <v>200*300135180白</v>
      </c>
      <c r="B316" s="1">
        <v>164</v>
      </c>
      <c r="C316" s="2" t="s">
        <v>217</v>
      </c>
      <c r="D316" s="1">
        <v>135</v>
      </c>
      <c r="E316" s="1">
        <v>180</v>
      </c>
      <c r="G316" s="1" t="s">
        <v>783</v>
      </c>
      <c r="H316" s="2">
        <f>IF(COUNTIF(A$153:A316,A316)=1,B316,LOOKUP(1,0/(A$152:A315=A316),H$152:H315)&amp;","&amp;B316)</f>
        <v>164</v>
      </c>
    </row>
    <row r="317" spans="1:8" outlineLevel="1">
      <c r="A317" s="1" t="str">
        <f t="shared" si="18"/>
        <v>75*7543190.5白</v>
      </c>
      <c r="B317" s="1">
        <v>165</v>
      </c>
      <c r="C317" s="2" t="s">
        <v>784</v>
      </c>
      <c r="D317" s="1">
        <v>43</v>
      </c>
      <c r="E317" s="1">
        <v>190.5</v>
      </c>
      <c r="G317" s="1" t="s">
        <v>783</v>
      </c>
      <c r="H317" s="2" t="str">
        <f>IF(COUNTIF(A$153:A317,A317)=1,B317,LOOKUP(1,0/(A$152:A316=A317),H$152:H316)&amp;","&amp;B317)</f>
        <v>1,6,8,13,20,38,49,93,108,116,124,141,149,151,156,158,162,165</v>
      </c>
    </row>
    <row r="318" spans="1:8" outlineLevel="1">
      <c r="A318" s="1" t="str">
        <f t="shared" si="18"/>
        <v>75*7543190.5黑</v>
      </c>
      <c r="B318" s="1">
        <v>166</v>
      </c>
      <c r="C318" s="2" t="s">
        <v>784</v>
      </c>
      <c r="D318" s="1">
        <v>43</v>
      </c>
      <c r="E318" s="1">
        <v>190.5</v>
      </c>
      <c r="G318" s="1" t="s">
        <v>785</v>
      </c>
      <c r="H318" s="2" t="str">
        <f>IF(COUNTIF(A$153:A318,A318)=1,B318,LOOKUP(1,0/(A$152:A317=A318),H$152:H317)&amp;","&amp;B318)</f>
        <v>2,9,17,18,25,28,57,102,103,105,107,109,114,122,125,127,134,135,137,138,139,142,143,146,160,166</v>
      </c>
    </row>
    <row r="319" spans="1:8" outlineLevel="1">
      <c r="A319" s="1" t="str">
        <f t="shared" si="18"/>
        <v>200*300135180黑</v>
      </c>
      <c r="B319" s="1">
        <v>167</v>
      </c>
      <c r="C319" s="2" t="s">
        <v>217</v>
      </c>
      <c r="D319" s="1">
        <v>135</v>
      </c>
      <c r="E319" s="1">
        <v>180</v>
      </c>
      <c r="G319" s="1" t="s">
        <v>785</v>
      </c>
      <c r="H319" s="2" t="str">
        <f>IF(COUNTIF(A$153:A319,A319)=1,B319,LOOKUP(1,0/(A$152:A318=A319),H$152:H318)&amp;","&amp;B319)</f>
        <v>140,144,152,153,167</v>
      </c>
    </row>
    <row r="320" spans="1:8" outlineLevel="1">
      <c r="A320" s="1" t="str">
        <f t="shared" si="18"/>
        <v>75*15058190.5黑</v>
      </c>
      <c r="B320" s="1">
        <v>168</v>
      </c>
      <c r="C320" s="2" t="s">
        <v>211</v>
      </c>
      <c r="D320" s="1">
        <v>58</v>
      </c>
      <c r="E320" s="1">
        <v>190.5</v>
      </c>
      <c r="G320" s="1" t="s">
        <v>785</v>
      </c>
      <c r="H320" s="2" t="str">
        <f>IF(COUNTIF(A$153:A320,A320)=1,B320,LOOKUP(1,0/(A$152:A319=A320),H$152:H319)&amp;","&amp;B320)</f>
        <v>32,163,168</v>
      </c>
    </row>
    <row r="321" spans="1:8" outlineLevel="1">
      <c r="A321" s="1" t="str">
        <f t="shared" si="18"/>
        <v>200*300116180-3黑</v>
      </c>
      <c r="B321" s="1">
        <v>169</v>
      </c>
      <c r="C321" s="2" t="s">
        <v>217</v>
      </c>
      <c r="D321" s="1">
        <v>116</v>
      </c>
      <c r="E321" s="1" t="s">
        <v>220</v>
      </c>
      <c r="G321" s="1" t="s">
        <v>1</v>
      </c>
      <c r="H321" s="2" t="str">
        <f>IF(COUNTIF(A$153:A321,A321)=1,B321,LOOKUP(1,0/(A$152:A320=A321),H$152:H320)&amp;","&amp;B321)</f>
        <v>161,169</v>
      </c>
    </row>
    <row r="322" spans="1:8" outlineLevel="1">
      <c r="A322" s="1" t="str">
        <f t="shared" si="18"/>
        <v>75*10050190.5黑</v>
      </c>
      <c r="B322" s="1">
        <v>170</v>
      </c>
      <c r="C322" s="2" t="s">
        <v>208</v>
      </c>
      <c r="D322" s="1">
        <v>50</v>
      </c>
      <c r="E322" s="1">
        <v>190.5</v>
      </c>
      <c r="G322" s="1" t="s">
        <v>785</v>
      </c>
      <c r="H322" s="2" t="str">
        <f>IF(COUNTIF(A$153:A322,A322)=1,B322,LOOKUP(1,0/(A$152:A321=A322),H$152:H321)&amp;","&amp;B322)</f>
        <v>31,123,170</v>
      </c>
    </row>
    <row r="323" spans="1:8" outlineLevel="1">
      <c r="A323" s="1" t="str">
        <f t="shared" si="18"/>
        <v>200*300135180黑</v>
      </c>
      <c r="B323" s="1">
        <v>171</v>
      </c>
      <c r="C323" s="2" t="s">
        <v>217</v>
      </c>
      <c r="D323" s="1">
        <v>135</v>
      </c>
      <c r="E323" s="1">
        <v>180</v>
      </c>
      <c r="G323" s="1" t="s">
        <v>785</v>
      </c>
      <c r="H323" s="2" t="str">
        <f>IF(COUNTIF(A$153:A323,A323)=1,B323,LOOKUP(1,0/(A$152:A322=A323),H$152:H322)&amp;","&amp;B323)</f>
        <v>140,144,152,153,167,171</v>
      </c>
    </row>
    <row r="324" spans="1:8" outlineLevel="1">
      <c r="A324" s="1" t="str">
        <f t="shared" si="18"/>
        <v>75*7543190.5白</v>
      </c>
      <c r="B324" s="1">
        <v>172</v>
      </c>
      <c r="C324" s="2" t="s">
        <v>784</v>
      </c>
      <c r="D324" s="1">
        <v>43</v>
      </c>
      <c r="E324" s="1">
        <v>190.5</v>
      </c>
      <c r="G324" s="1" t="s">
        <v>783</v>
      </c>
      <c r="H324" s="2" t="str">
        <f>IF(COUNTIF(A$153:A324,A324)=1,B324,LOOKUP(1,0/(A$152:A323=A324),H$152:H323)&amp;","&amp;B324)</f>
        <v>1,6,8,13,20,38,49,93,108,116,124,141,149,151,156,158,162,165,172</v>
      </c>
    </row>
    <row r="325" spans="1:8" outlineLevel="1">
      <c r="A325" s="1" t="str">
        <f t="shared" si="18"/>
        <v>200*300116180-3黑</v>
      </c>
      <c r="B325" s="1">
        <v>173</v>
      </c>
      <c r="C325" s="2" t="s">
        <v>217</v>
      </c>
      <c r="D325" s="1">
        <v>116</v>
      </c>
      <c r="E325" s="1" t="s">
        <v>220</v>
      </c>
      <c r="G325" s="1" t="s">
        <v>1</v>
      </c>
      <c r="H325" s="2" t="str">
        <f>IF(COUNTIF(A$153:A325,A325)=1,B325,LOOKUP(1,0/(A$152:A324=A325),H$152:H324)&amp;","&amp;B325)</f>
        <v>161,169,173</v>
      </c>
    </row>
    <row r="326" spans="1:8" outlineLevel="1">
      <c r="A326" s="1" t="str">
        <f t="shared" si="18"/>
        <v>200*300135180黑</v>
      </c>
      <c r="B326" s="1">
        <v>174</v>
      </c>
      <c r="C326" s="2" t="s">
        <v>217</v>
      </c>
      <c r="D326" s="1">
        <v>135</v>
      </c>
      <c r="E326" s="1">
        <v>180</v>
      </c>
      <c r="G326" s="1" t="s">
        <v>785</v>
      </c>
      <c r="H326" s="2" t="str">
        <f>IF(COUNTIF(A$153:A326,A326)=1,B326,LOOKUP(1,0/(A$152:A325=A326),H$152:H325)&amp;","&amp;B326)</f>
        <v>140,144,152,153,167,171,174</v>
      </c>
    </row>
    <row r="327" spans="1:8" outlineLevel="1">
      <c r="A327" s="1" t="str">
        <f t="shared" si="18"/>
        <v>75*20062190.5黑</v>
      </c>
      <c r="B327" s="1">
        <v>175</v>
      </c>
      <c r="C327" s="2" t="s">
        <v>212</v>
      </c>
      <c r="D327" s="1">
        <v>62</v>
      </c>
      <c r="E327" s="1">
        <v>190.5</v>
      </c>
      <c r="G327" s="1" t="s">
        <v>785</v>
      </c>
      <c r="H327" s="2" t="str">
        <f>IF(COUNTIF(A$153:A327,A327)=1,B327,LOOKUP(1,0/(A$152:A326=A327),H$152:H326)&amp;","&amp;B327)</f>
        <v>148,150,159,175</v>
      </c>
    </row>
    <row r="328" spans="1:8" outlineLevel="1">
      <c r="A328" s="1" t="str">
        <f t="shared" si="18"/>
        <v>75*20062190.5黑</v>
      </c>
      <c r="B328" s="1">
        <v>176</v>
      </c>
      <c r="C328" s="2" t="s">
        <v>212</v>
      </c>
      <c r="D328" s="1">
        <v>62</v>
      </c>
      <c r="E328" s="1">
        <v>190.5</v>
      </c>
      <c r="G328" s="1" t="s">
        <v>785</v>
      </c>
      <c r="H328" s="2" t="str">
        <f>IF(COUNTIF(A$153:A328,A328)=1,B328,LOOKUP(1,0/(A$152:A327=A328),H$152:H327)&amp;","&amp;B328)</f>
        <v>148,150,159,175,176</v>
      </c>
    </row>
    <row r="329" spans="1:8" outlineLevel="1">
      <c r="A329" s="1" t="str">
        <f t="shared" si="18"/>
        <v>75*7543190.5白</v>
      </c>
      <c r="B329" s="1">
        <v>177</v>
      </c>
      <c r="C329" s="2" t="s">
        <v>784</v>
      </c>
      <c r="D329" s="1">
        <v>43</v>
      </c>
      <c r="E329" s="1">
        <v>190.5</v>
      </c>
      <c r="G329" s="1" t="s">
        <v>783</v>
      </c>
      <c r="H329" s="2" t="str">
        <f>IF(COUNTIF(A$153:A329,A329)=1,B329,LOOKUP(1,0/(A$152:A328=A329),H$152:H328)&amp;","&amp;B329)</f>
        <v>1,6,8,13,20,38,49,93,108,116,124,141,149,151,156,158,162,165,172,177</v>
      </c>
    </row>
    <row r="330" spans="1:8" outlineLevel="1">
      <c r="A330" s="1" t="str">
        <f t="shared" si="18"/>
        <v>75*15058190.5黑</v>
      </c>
      <c r="B330" s="1">
        <v>178</v>
      </c>
      <c r="C330" s="2" t="s">
        <v>211</v>
      </c>
      <c r="D330" s="1">
        <v>58</v>
      </c>
      <c r="E330" s="1">
        <v>190.5</v>
      </c>
      <c r="G330" s="1" t="s">
        <v>785</v>
      </c>
      <c r="H330" s="2" t="str">
        <f>IF(COUNTIF(A$153:A330,A330)=1,B330,LOOKUP(1,0/(A$152:A329=A330),H$152:H329)&amp;","&amp;B330)</f>
        <v>32,163,168,178</v>
      </c>
    </row>
    <row r="331" spans="1:8" outlineLevel="1">
      <c r="A331" s="1" t="str">
        <f t="shared" si="18"/>
        <v>75*10050190.5白</v>
      </c>
      <c r="B331" s="1">
        <v>179</v>
      </c>
      <c r="C331" s="2" t="s">
        <v>208</v>
      </c>
      <c r="D331" s="1">
        <v>50</v>
      </c>
      <c r="E331" s="1">
        <v>190.5</v>
      </c>
      <c r="G331" s="1" t="s">
        <v>783</v>
      </c>
      <c r="H331" s="2" t="str">
        <f>IF(COUNTIF(A$153:A331,A331)=1,B331,LOOKUP(1,0/(A$152:A330=A331),H$152:H330)&amp;","&amp;B331)</f>
        <v>4,12,133,155,179</v>
      </c>
    </row>
    <row r="332" spans="1:8" outlineLevel="1">
      <c r="A332" s="1" t="str">
        <f t="shared" si="18"/>
        <v>200*300135180白</v>
      </c>
      <c r="B332" s="1">
        <v>180</v>
      </c>
      <c r="C332" s="2" t="s">
        <v>217</v>
      </c>
      <c r="D332" s="1">
        <v>135</v>
      </c>
      <c r="E332" s="1">
        <v>180</v>
      </c>
      <c r="G332" s="1" t="s">
        <v>783</v>
      </c>
      <c r="H332" s="2" t="str">
        <f>IF(COUNTIF(A$153:A332,A332)=1,B332,LOOKUP(1,0/(A$152:A331=A332),H$152:H331)&amp;","&amp;B332)</f>
        <v>164,180</v>
      </c>
    </row>
    <row r="333" spans="1:8" outlineLevel="1">
      <c r="A333" s="1" t="str">
        <f t="shared" si="18"/>
        <v>75*10050190.5白</v>
      </c>
      <c r="B333" s="1">
        <v>181</v>
      </c>
      <c r="C333" s="2" t="s">
        <v>208</v>
      </c>
      <c r="D333" s="1">
        <v>50</v>
      </c>
      <c r="E333" s="1">
        <v>190.5</v>
      </c>
      <c r="G333" s="1" t="s">
        <v>783</v>
      </c>
      <c r="H333" s="2" t="str">
        <f>IF(COUNTIF(A$153:A333,A333)=1,B333,LOOKUP(1,0/(A$152:A332=A333),H$152:H332)&amp;","&amp;B333)</f>
        <v>4,12,133,155,179,181</v>
      </c>
    </row>
    <row r="334" spans="1:8" outlineLevel="1">
      <c r="A334" s="1" t="str">
        <f t="shared" si="18"/>
        <v>75*15054190.5白</v>
      </c>
      <c r="B334" s="1">
        <v>182</v>
      </c>
      <c r="C334" s="2" t="s">
        <v>211</v>
      </c>
      <c r="D334" s="1">
        <v>54</v>
      </c>
      <c r="E334" s="1">
        <v>190.5</v>
      </c>
      <c r="G334" s="1" t="s">
        <v>783</v>
      </c>
      <c r="H334" s="2" t="str">
        <f>IF(COUNTIF(A$153:A334,A334)=1,B334,LOOKUP(1,0/(A$152:A333=A334),H$152:H333)&amp;","&amp;B334)</f>
        <v>90,101,104,182</v>
      </c>
    </row>
    <row r="335" spans="1:8" outlineLevel="1">
      <c r="A335" s="1" t="str">
        <f t="shared" si="18"/>
        <v>200*300135180白</v>
      </c>
      <c r="B335" s="1">
        <v>183</v>
      </c>
      <c r="C335" s="2" t="s">
        <v>217</v>
      </c>
      <c r="D335" s="1">
        <v>135</v>
      </c>
      <c r="E335" s="1">
        <v>180</v>
      </c>
      <c r="G335" s="1" t="s">
        <v>783</v>
      </c>
      <c r="H335" s="2" t="str">
        <f>IF(COUNTIF(A$153:A335,A335)=1,B335,LOOKUP(1,0/(A$152:A334=A335),H$152:H334)&amp;","&amp;B335)</f>
        <v>164,180,183</v>
      </c>
    </row>
    <row r="336" spans="1:8" outlineLevel="1">
      <c r="A336" s="1" t="str">
        <f t="shared" si="18"/>
        <v>200*300135180黑</v>
      </c>
      <c r="B336" s="1">
        <v>184</v>
      </c>
      <c r="C336" s="2" t="s">
        <v>217</v>
      </c>
      <c r="D336" s="1">
        <v>135</v>
      </c>
      <c r="E336" s="1">
        <v>180</v>
      </c>
      <c r="G336" s="1" t="s">
        <v>785</v>
      </c>
      <c r="H336" s="2" t="str">
        <f>IF(COUNTIF(A$153:A336,A336)=1,B336,LOOKUP(1,0/(A$152:A335=A336),H$152:H335)&amp;","&amp;B336)</f>
        <v>140,144,152,153,167,171,174,184</v>
      </c>
    </row>
    <row r="337" spans="1:8" outlineLevel="1">
      <c r="A337" s="1" t="str">
        <f t="shared" si="18"/>
        <v>200*300135180白</v>
      </c>
      <c r="B337" s="1">
        <v>185</v>
      </c>
      <c r="C337" s="2" t="s">
        <v>217</v>
      </c>
      <c r="D337" s="1">
        <v>135</v>
      </c>
      <c r="E337" s="1">
        <v>180</v>
      </c>
      <c r="G337" s="1" t="s">
        <v>783</v>
      </c>
      <c r="H337" s="2" t="str">
        <f>IF(COUNTIF(A$153:A337,A337)=1,B337,LOOKUP(1,0/(A$152:A336=A337),H$152:H336)&amp;","&amp;B337)</f>
        <v>164,180,183,185</v>
      </c>
    </row>
    <row r="338" spans="1:8" outlineLevel="1">
      <c r="A338" s="1" t="str">
        <f t="shared" si="18"/>
        <v>200*300135180黑</v>
      </c>
      <c r="B338" s="1">
        <v>186</v>
      </c>
      <c r="C338" s="2" t="s">
        <v>217</v>
      </c>
      <c r="D338" s="1">
        <v>135</v>
      </c>
      <c r="E338" s="1">
        <v>180</v>
      </c>
      <c r="G338" s="1" t="s">
        <v>785</v>
      </c>
      <c r="H338" s="2" t="str">
        <f>IF(COUNTIF(A$153:A338,A338)=1,B338,LOOKUP(1,0/(A$152:A337=A338),H$152:H337)&amp;","&amp;B338)</f>
        <v>140,144,152,153,167,171,174,184,186</v>
      </c>
    </row>
    <row r="339" spans="1:8" outlineLevel="1">
      <c r="A339" s="1" t="str">
        <f t="shared" si="18"/>
        <v>75*7543190.5黑</v>
      </c>
      <c r="B339" s="1">
        <v>187</v>
      </c>
      <c r="C339" s="2" t="s">
        <v>784</v>
      </c>
      <c r="D339" s="1">
        <v>43</v>
      </c>
      <c r="E339" s="1">
        <v>190.5</v>
      </c>
      <c r="G339" s="1" t="s">
        <v>785</v>
      </c>
      <c r="H339" s="2" t="str">
        <f>IF(COUNTIF(A$153:A339,A339)=1,B339,LOOKUP(1,0/(A$152:A338=A339),H$152:H338)&amp;","&amp;B339)</f>
        <v>2,9,17,18,25,28,57,102,103,105,107,109,114,122,125,127,134,135,137,138,139,142,143,146,160,166,187</v>
      </c>
    </row>
    <row r="340" spans="1:8" outlineLevel="1">
      <c r="A340" s="1" t="str">
        <f t="shared" si="18"/>
        <v>75*7543190.5白</v>
      </c>
      <c r="B340" s="1">
        <v>188</v>
      </c>
      <c r="C340" s="2" t="s">
        <v>784</v>
      </c>
      <c r="D340" s="1">
        <v>43</v>
      </c>
      <c r="E340" s="1">
        <v>190.5</v>
      </c>
      <c r="G340" s="1" t="s">
        <v>783</v>
      </c>
      <c r="H340" s="2" t="str">
        <f>IF(COUNTIF(A$153:A340,A340)=1,B340,LOOKUP(1,0/(A$152:A339=A340),H$152:H339)&amp;","&amp;B340)</f>
        <v>1,6,8,13,20,38,49,93,108,116,124,141,149,151,156,158,162,165,172,177,188</v>
      </c>
    </row>
    <row r="341" spans="1:8" outlineLevel="1">
      <c r="A341" s="1" t="str">
        <f t="shared" si="18"/>
        <v>200*300116180白</v>
      </c>
      <c r="B341" s="1">
        <v>189</v>
      </c>
      <c r="C341" s="2" t="s">
        <v>217</v>
      </c>
      <c r="D341" s="1">
        <v>116</v>
      </c>
      <c r="E341" s="1">
        <v>180</v>
      </c>
      <c r="G341" s="1" t="s">
        <v>783</v>
      </c>
      <c r="H341" s="2" t="str">
        <f>IF(COUNTIF(A$153:A341,A341)=1,B341,LOOKUP(1,0/(A$152:A340=A341),H$152:H340)&amp;","&amp;B341)</f>
        <v>154,189</v>
      </c>
    </row>
    <row r="342" spans="1:8" outlineLevel="1">
      <c r="A342" s="1" t="str">
        <f t="shared" si="18"/>
        <v>75*7543190.5黑</v>
      </c>
      <c r="B342" s="1">
        <v>190</v>
      </c>
      <c r="C342" s="2" t="s">
        <v>784</v>
      </c>
      <c r="D342" s="1">
        <v>43</v>
      </c>
      <c r="E342" s="1">
        <v>190.5</v>
      </c>
      <c r="G342" s="1" t="s">
        <v>785</v>
      </c>
      <c r="H342" s="2" t="str">
        <f>IF(COUNTIF(A$153:A342,A342)=1,B342,LOOKUP(1,0/(A$152:A341=A342),H$152:H341)&amp;","&amp;B342)</f>
        <v>2,9,17,18,25,28,57,102,103,105,107,109,114,122,125,127,134,135,137,138,139,142,143,146,160,166,187,190</v>
      </c>
    </row>
    <row r="343" spans="1:8" outlineLevel="1">
      <c r="A343" s="1" t="str">
        <f t="shared" si="18"/>
        <v>200*300116180-3黑</v>
      </c>
      <c r="B343" s="1">
        <v>191</v>
      </c>
      <c r="C343" s="2" t="s">
        <v>217</v>
      </c>
      <c r="D343" s="1">
        <v>116</v>
      </c>
      <c r="E343" s="1" t="s">
        <v>220</v>
      </c>
      <c r="G343" s="1" t="s">
        <v>1</v>
      </c>
      <c r="H343" s="2" t="str">
        <f>IF(COUNTIF(A$153:A343,A343)=1,B343,LOOKUP(1,0/(A$152:A342=A343),H$152:H342)&amp;","&amp;B343)</f>
        <v>161,169,173,191</v>
      </c>
    </row>
    <row r="344" spans="1:8" outlineLevel="1">
      <c r="A344" s="1" t="str">
        <f t="shared" si="18"/>
        <v>200*300135180白</v>
      </c>
      <c r="B344" s="1">
        <v>192</v>
      </c>
      <c r="C344" s="2" t="s">
        <v>217</v>
      </c>
      <c r="D344" s="1">
        <v>135</v>
      </c>
      <c r="E344" s="1">
        <v>180</v>
      </c>
      <c r="G344" s="1" t="s">
        <v>783</v>
      </c>
      <c r="H344" s="2" t="str">
        <f>IF(COUNTIF(A$153:A344,A344)=1,B344,LOOKUP(1,0/(A$152:A343=A344),H$152:H343)&amp;","&amp;B344)</f>
        <v>164,180,183,185,192</v>
      </c>
    </row>
    <row r="345" spans="1:8" outlineLevel="1">
      <c r="A345" s="1" t="str">
        <f t="shared" si="18"/>
        <v>75*15054190.5黑</v>
      </c>
      <c r="B345" s="1">
        <v>193</v>
      </c>
      <c r="C345" s="2" t="s">
        <v>211</v>
      </c>
      <c r="D345" s="1">
        <v>54</v>
      </c>
      <c r="E345" s="1">
        <v>190.5</v>
      </c>
      <c r="G345" s="1" t="s">
        <v>785</v>
      </c>
      <c r="H345" s="2" t="str">
        <f>IF(COUNTIF(A$153:A345,A345)=1,B345,LOOKUP(1,0/(A$152:A344=A345),H$152:H344)&amp;","&amp;B345)</f>
        <v>5,64,82,94,115,131,145,193</v>
      </c>
    </row>
    <row r="346" spans="1:8" outlineLevel="1">
      <c r="A346" s="1" t="str">
        <f t="shared" ref="A346:A409" si="19">C346&amp;D346&amp;E346&amp;G346</f>
        <v>200*300116180白</v>
      </c>
      <c r="B346" s="1">
        <v>194</v>
      </c>
      <c r="C346" s="2" t="s">
        <v>217</v>
      </c>
      <c r="D346" s="1">
        <v>116</v>
      </c>
      <c r="E346" s="1">
        <v>180</v>
      </c>
      <c r="G346" s="1" t="s">
        <v>783</v>
      </c>
      <c r="H346" s="2" t="str">
        <f>IF(COUNTIF(A$153:A346,A346)=1,B346,LOOKUP(1,0/(A$152:A345=A346),H$152:H345)&amp;","&amp;B346)</f>
        <v>154,189,194</v>
      </c>
    </row>
    <row r="347" spans="1:8" outlineLevel="1">
      <c r="A347" s="1" t="str">
        <f t="shared" si="19"/>
        <v>200*300135180白</v>
      </c>
      <c r="B347" s="1">
        <v>195</v>
      </c>
      <c r="C347" s="2" t="s">
        <v>217</v>
      </c>
      <c r="D347" s="1">
        <v>135</v>
      </c>
      <c r="E347" s="1">
        <v>180</v>
      </c>
      <c r="G347" s="1" t="s">
        <v>783</v>
      </c>
      <c r="H347" s="2" t="str">
        <f>IF(COUNTIF(A$153:A347,A347)=1,B347,LOOKUP(1,0/(A$152:A346=A347),H$152:H346)&amp;","&amp;B347)</f>
        <v>164,180,183,185,192,195</v>
      </c>
    </row>
    <row r="348" spans="1:8" outlineLevel="1">
      <c r="A348" s="1" t="str">
        <f t="shared" si="19"/>
        <v>200*300116180-3黑</v>
      </c>
      <c r="B348" s="1">
        <v>196</v>
      </c>
      <c r="C348" s="2" t="s">
        <v>217</v>
      </c>
      <c r="D348" s="1">
        <v>116</v>
      </c>
      <c r="E348" s="1" t="s">
        <v>220</v>
      </c>
      <c r="G348" s="1" t="s">
        <v>1</v>
      </c>
      <c r="H348" s="2" t="str">
        <f>IF(COUNTIF(A$153:A348,A348)=1,B348,LOOKUP(1,0/(A$152:A347=A348),H$152:H347)&amp;","&amp;B348)</f>
        <v>161,169,173,191,196</v>
      </c>
    </row>
    <row r="349" spans="1:8" outlineLevel="1">
      <c r="A349" s="1" t="str">
        <f t="shared" si="19"/>
        <v>200*300116180白</v>
      </c>
      <c r="B349" s="1">
        <v>197</v>
      </c>
      <c r="C349" s="2" t="s">
        <v>217</v>
      </c>
      <c r="D349" s="1">
        <v>116</v>
      </c>
      <c r="E349" s="1">
        <v>180</v>
      </c>
      <c r="G349" s="1" t="s">
        <v>783</v>
      </c>
      <c r="H349" s="2" t="str">
        <f>IF(COUNTIF(A$153:A349,A349)=1,B349,LOOKUP(1,0/(A$152:A348=A349),H$152:H348)&amp;","&amp;B349)</f>
        <v>154,189,194,197</v>
      </c>
    </row>
    <row r="350" spans="1:8" outlineLevel="1">
      <c r="A350" s="1" t="str">
        <f t="shared" si="19"/>
        <v>75*7543190.5白</v>
      </c>
      <c r="B350" s="1">
        <v>198</v>
      </c>
      <c r="C350" s="2" t="s">
        <v>784</v>
      </c>
      <c r="D350" s="1">
        <v>43</v>
      </c>
      <c r="E350" s="1">
        <v>190.5</v>
      </c>
      <c r="G350" s="1" t="s">
        <v>783</v>
      </c>
      <c r="H350" s="2" t="str">
        <f>IF(COUNTIF(A$153:A350,A350)=1,B350,LOOKUP(1,0/(A$152:A349=A350),H$152:H349)&amp;","&amp;B350)</f>
        <v>1,6,8,13,20,38,49,93,108,116,124,141,149,151,156,158,162,165,172,177,188,198</v>
      </c>
    </row>
    <row r="351" spans="1:8" outlineLevel="1">
      <c r="A351" s="1" t="str">
        <f t="shared" si="19"/>
        <v>200*300135180白</v>
      </c>
      <c r="B351" s="1">
        <v>199</v>
      </c>
      <c r="C351" s="2" t="s">
        <v>217</v>
      </c>
      <c r="D351" s="1">
        <v>135</v>
      </c>
      <c r="E351" s="1">
        <v>180</v>
      </c>
      <c r="G351" s="1" t="s">
        <v>783</v>
      </c>
      <c r="H351" s="2" t="str">
        <f>IF(COUNTIF(A$153:A351,A351)=1,B351,LOOKUP(1,0/(A$152:A350=A351),H$152:H350)&amp;","&amp;B351)</f>
        <v>164,180,183,185,192,195,199</v>
      </c>
    </row>
    <row r="352" spans="1:8" outlineLevel="1">
      <c r="A352" s="1" t="str">
        <f t="shared" si="19"/>
        <v>75*7543190.5黑</v>
      </c>
      <c r="B352" s="1">
        <v>200</v>
      </c>
      <c r="C352" s="2" t="s">
        <v>784</v>
      </c>
      <c r="D352" s="1">
        <v>43</v>
      </c>
      <c r="E352" s="1">
        <v>190.5</v>
      </c>
      <c r="G352" s="1" t="s">
        <v>785</v>
      </c>
      <c r="H352" s="2" t="str">
        <f>IF(COUNTIF(A$153:A352,A352)=1,B352,LOOKUP(1,0/(A$152:A351=A352),H$152:H351)&amp;","&amp;B352)</f>
        <v>2,9,17,18,25,28,57,102,103,105,107,109,114,122,125,127,134,135,137,138,139,142,143,146,160,166,187,190,200</v>
      </c>
    </row>
    <row r="353" spans="1:8" outlineLevel="1">
      <c r="A353" s="1" t="str">
        <f t="shared" si="19"/>
        <v>75*7543190.5黑</v>
      </c>
      <c r="B353" s="1">
        <v>201</v>
      </c>
      <c r="C353" s="2" t="s">
        <v>784</v>
      </c>
      <c r="D353" s="1">
        <v>43</v>
      </c>
      <c r="E353" s="1">
        <v>190.5</v>
      </c>
      <c r="G353" s="1" t="s">
        <v>785</v>
      </c>
      <c r="H353" s="2" t="str">
        <f>IF(COUNTIF(A$153:A353,A353)=1,B353,LOOKUP(1,0/(A$152:A352=A353),H$152:H352)&amp;","&amp;B353)</f>
        <v>2,9,17,18,25,28,57,102,103,105,107,109,114,122,125,127,134,135,137,138,139,142,143,146,160,166,187,190,200,201</v>
      </c>
    </row>
    <row r="354" spans="1:8" outlineLevel="1">
      <c r="A354" s="1" t="str">
        <f t="shared" si="19"/>
        <v>200*300116180白</v>
      </c>
      <c r="B354" s="1">
        <v>202</v>
      </c>
      <c r="C354" s="2" t="s">
        <v>217</v>
      </c>
      <c r="D354" s="1">
        <v>116</v>
      </c>
      <c r="E354" s="1">
        <v>180</v>
      </c>
      <c r="G354" s="1" t="s">
        <v>783</v>
      </c>
      <c r="H354" s="2" t="str">
        <f>IF(COUNTIF(A$153:A354,A354)=1,B354,LOOKUP(1,0/(A$152:A353=A354),H$152:H353)&amp;","&amp;B354)</f>
        <v>154,189,194,197,202</v>
      </c>
    </row>
    <row r="355" spans="1:8" outlineLevel="1">
      <c r="A355" s="1" t="str">
        <f t="shared" si="19"/>
        <v>75*15054190.5黑</v>
      </c>
      <c r="B355" s="1">
        <v>203</v>
      </c>
      <c r="C355" s="2" t="s">
        <v>211</v>
      </c>
      <c r="D355" s="1">
        <v>54</v>
      </c>
      <c r="E355" s="1">
        <v>190.5</v>
      </c>
      <c r="G355" s="1" t="s">
        <v>785</v>
      </c>
      <c r="H355" s="2" t="str">
        <f>IF(COUNTIF(A$153:A355,A355)=1,B355,LOOKUP(1,0/(A$152:A354=A355),H$152:H354)&amp;","&amp;B355)</f>
        <v>5,64,82,94,115,131,145,193,203</v>
      </c>
    </row>
    <row r="356" spans="1:8" outlineLevel="1">
      <c r="A356" s="1" t="str">
        <f t="shared" si="19"/>
        <v>75*15058190.5白</v>
      </c>
      <c r="B356" s="1">
        <v>204</v>
      </c>
      <c r="C356" s="2" t="s">
        <v>211</v>
      </c>
      <c r="D356" s="1">
        <v>58</v>
      </c>
      <c r="E356" s="1">
        <v>190.5</v>
      </c>
      <c r="G356" s="1" t="s">
        <v>783</v>
      </c>
      <c r="H356" s="2" t="str">
        <f>IF(COUNTIF(A$153:A356,A356)=1,B356,LOOKUP(1,0/(A$152:A355=A356),H$152:H355)&amp;","&amp;B356)</f>
        <v>16,34,37,92,132,157,204</v>
      </c>
    </row>
    <row r="357" spans="1:8" outlineLevel="1">
      <c r="A357" s="1" t="str">
        <f t="shared" si="19"/>
        <v>75*7543190.5白</v>
      </c>
      <c r="B357" s="1">
        <v>205</v>
      </c>
      <c r="C357" s="2" t="s">
        <v>784</v>
      </c>
      <c r="D357" s="1">
        <v>43</v>
      </c>
      <c r="E357" s="1">
        <v>190.5</v>
      </c>
      <c r="G357" s="1" t="s">
        <v>783</v>
      </c>
      <c r="H357" s="2" t="str">
        <f>IF(COUNTIF(A$153:A357,A357)=1,B357,LOOKUP(1,0/(A$152:A356=A357),H$152:H356)&amp;","&amp;B357)</f>
        <v>1,6,8,13,20,38,49,93,108,116,124,141,149,151,156,158,162,165,172,177,188,198,205</v>
      </c>
    </row>
    <row r="358" spans="1:8" outlineLevel="1">
      <c r="A358" s="1" t="str">
        <f t="shared" si="19"/>
        <v>75*15058190.5白</v>
      </c>
      <c r="B358" s="1">
        <v>206</v>
      </c>
      <c r="C358" s="2" t="s">
        <v>211</v>
      </c>
      <c r="D358" s="1">
        <v>58</v>
      </c>
      <c r="E358" s="1">
        <v>190.5</v>
      </c>
      <c r="G358" s="1" t="s">
        <v>783</v>
      </c>
      <c r="H358" s="2" t="str">
        <f>IF(COUNTIF(A$153:A358,A358)=1,B358,LOOKUP(1,0/(A$152:A357=A358),H$152:H357)&amp;","&amp;B358)</f>
        <v>16,34,37,92,132,157,204,206</v>
      </c>
    </row>
    <row r="359" spans="1:8" outlineLevel="1">
      <c r="A359" s="1" t="str">
        <f t="shared" si="19"/>
        <v>200*300135180白</v>
      </c>
      <c r="B359" s="1">
        <v>207</v>
      </c>
      <c r="C359" s="2" t="s">
        <v>217</v>
      </c>
      <c r="D359" s="1">
        <v>135</v>
      </c>
      <c r="E359" s="1">
        <v>180</v>
      </c>
      <c r="G359" s="1" t="s">
        <v>783</v>
      </c>
      <c r="H359" s="2" t="str">
        <f>IF(COUNTIF(A$153:A359,A359)=1,B359,LOOKUP(1,0/(A$152:A358=A359),H$152:H358)&amp;","&amp;B359)</f>
        <v>164,180,183,185,192,195,199,207</v>
      </c>
    </row>
    <row r="360" spans="1:8" outlineLevel="1">
      <c r="A360" s="1" t="str">
        <f t="shared" si="19"/>
        <v>30*3023200白</v>
      </c>
      <c r="B360" s="1">
        <v>208</v>
      </c>
      <c r="C360" s="2" t="s">
        <v>201</v>
      </c>
      <c r="D360" s="1">
        <v>23</v>
      </c>
      <c r="E360" s="1">
        <v>200</v>
      </c>
      <c r="G360" s="1" t="s">
        <v>2</v>
      </c>
      <c r="H360" s="2" t="str">
        <f>IF(COUNTIF(A$153:A360,A360)=1,B360,LOOKUP(1,0/(A$152:A359=A360),H$152:H359)&amp;","&amp;B360)</f>
        <v>73,77,208</v>
      </c>
    </row>
    <row r="361" spans="1:8" outlineLevel="1">
      <c r="A361" s="1" t="str">
        <f t="shared" si="19"/>
        <v>30*3023192白</v>
      </c>
      <c r="B361" s="1">
        <v>209</v>
      </c>
      <c r="C361" s="2" t="s">
        <v>201</v>
      </c>
      <c r="D361" s="1">
        <v>23</v>
      </c>
      <c r="E361" s="1">
        <v>192</v>
      </c>
      <c r="G361" s="1" t="s">
        <v>2</v>
      </c>
      <c r="H361" s="2" t="str">
        <f>IF(COUNTIF(A$153:A361,A361)=1,B361,LOOKUP(1,0/(A$152:A360=A361),H$152:H360)&amp;","&amp;B361)</f>
        <v>41,76,83,209</v>
      </c>
    </row>
    <row r="362" spans="1:8" outlineLevel="1">
      <c r="A362" s="1" t="str">
        <f t="shared" si="19"/>
        <v>30*3023190白</v>
      </c>
      <c r="B362" s="1">
        <v>210</v>
      </c>
      <c r="C362" s="2" t="s">
        <v>201</v>
      </c>
      <c r="D362" s="1">
        <v>23</v>
      </c>
      <c r="E362" s="1">
        <v>190</v>
      </c>
      <c r="G362" s="1" t="s">
        <v>2</v>
      </c>
      <c r="H362" s="2" t="str">
        <f>IF(COUNTIF(A$153:A362,A362)=1,B362,LOOKUP(1,0/(A$152:A361=A362),H$152:H361)&amp;","&amp;B362)</f>
        <v>33,46,47,53,58,62,69,75,79,81,84,85,99,210</v>
      </c>
    </row>
    <row r="363" spans="1:8" outlineLevel="1">
      <c r="A363" s="1" t="str">
        <f t="shared" si="19"/>
        <v>20*2017197-10白</v>
      </c>
      <c r="B363" s="1">
        <v>211</v>
      </c>
      <c r="C363" s="2" t="s">
        <v>195</v>
      </c>
      <c r="D363" s="1">
        <v>17</v>
      </c>
      <c r="E363" s="1" t="s">
        <v>204</v>
      </c>
      <c r="G363" s="1" t="s">
        <v>2</v>
      </c>
      <c r="H363" s="2">
        <f>IF(COUNTIF(A$153:A363,A363)=1,B363,LOOKUP(1,0/(A$152:A362=A363),H$152:H362)&amp;","&amp;B363)</f>
        <v>211</v>
      </c>
    </row>
    <row r="364" spans="1:8" outlineLevel="1">
      <c r="A364" s="1" t="str">
        <f t="shared" si="19"/>
        <v>30*3023190白</v>
      </c>
      <c r="B364" s="1">
        <v>212</v>
      </c>
      <c r="C364" s="2" t="s">
        <v>201</v>
      </c>
      <c r="D364" s="1">
        <v>23</v>
      </c>
      <c r="E364" s="1">
        <v>190</v>
      </c>
      <c r="G364" s="1" t="s">
        <v>2</v>
      </c>
      <c r="H364" s="2" t="str">
        <f>IF(COUNTIF(A$153:A364,A364)=1,B364,LOOKUP(1,0/(A$152:A363=A364),H$152:H363)&amp;","&amp;B364)</f>
        <v>33,46,47,53,58,62,69,75,79,81,84,85,99,210,212</v>
      </c>
    </row>
    <row r="365" spans="1:8" outlineLevel="1">
      <c r="A365" s="1" t="str">
        <f t="shared" si="19"/>
        <v>20*2017197-10白</v>
      </c>
      <c r="B365" s="1">
        <v>213</v>
      </c>
      <c r="C365" s="2" t="s">
        <v>195</v>
      </c>
      <c r="D365" s="1">
        <v>17</v>
      </c>
      <c r="E365" s="1" t="s">
        <v>204</v>
      </c>
      <c r="G365" s="1" t="s">
        <v>2</v>
      </c>
      <c r="H365" s="2" t="str">
        <f>IF(COUNTIF(A$153:A365,A365)=1,B365,LOOKUP(1,0/(A$152:A364=A365),H$152:H364)&amp;","&amp;B365)</f>
        <v>211,213</v>
      </c>
    </row>
    <row r="366" spans="1:8" outlineLevel="1">
      <c r="A366" s="1" t="str">
        <f t="shared" si="19"/>
        <v>20*2017197-10白</v>
      </c>
      <c r="B366" s="1">
        <v>214</v>
      </c>
      <c r="C366" s="2" t="s">
        <v>195</v>
      </c>
      <c r="D366" s="1">
        <v>17</v>
      </c>
      <c r="E366" s="1" t="s">
        <v>204</v>
      </c>
      <c r="G366" s="1" t="s">
        <v>2</v>
      </c>
      <c r="H366" s="2" t="str">
        <f>IF(COUNTIF(A$153:A366,A366)=1,B366,LOOKUP(1,0/(A$152:A365=A366),H$152:H365)&amp;","&amp;B366)</f>
        <v>211,213,214</v>
      </c>
    </row>
    <row r="367" spans="1:8" outlineLevel="1">
      <c r="A367" s="1" t="str">
        <f t="shared" si="19"/>
        <v>30*3023190白</v>
      </c>
      <c r="B367" s="1">
        <v>215</v>
      </c>
      <c r="C367" s="2" t="s">
        <v>201</v>
      </c>
      <c r="D367" s="1">
        <v>23</v>
      </c>
      <c r="E367" s="1">
        <v>190</v>
      </c>
      <c r="G367" s="1" t="s">
        <v>2</v>
      </c>
      <c r="H367" s="2" t="str">
        <f>IF(COUNTIF(A$153:A367,A367)=1,B367,LOOKUP(1,0/(A$152:A366=A367),H$152:H366)&amp;","&amp;B367)</f>
        <v>33,46,47,53,58,62,69,75,79,81,84,85,99,210,212,215</v>
      </c>
    </row>
    <row r="368" spans="1:8" outlineLevel="1">
      <c r="A368" s="1" t="str">
        <f t="shared" si="19"/>
        <v>30*3023190白</v>
      </c>
      <c r="B368" s="1">
        <v>216</v>
      </c>
      <c r="C368" s="2" t="s">
        <v>201</v>
      </c>
      <c r="D368" s="1">
        <v>23</v>
      </c>
      <c r="E368" s="1">
        <v>190</v>
      </c>
      <c r="G368" s="1" t="s">
        <v>2</v>
      </c>
      <c r="H368" s="2" t="str">
        <f>IF(COUNTIF(A$153:A368,A368)=1,B368,LOOKUP(1,0/(A$152:A367=A368),H$152:H367)&amp;","&amp;B368)</f>
        <v>33,46,47,53,58,62,69,75,79,81,84,85,99,210,212,215,216</v>
      </c>
    </row>
    <row r="369" spans="1:8" outlineLevel="1">
      <c r="A369" s="1" t="str">
        <f t="shared" si="19"/>
        <v>20*2017197-10白</v>
      </c>
      <c r="B369" s="1">
        <v>217</v>
      </c>
      <c r="C369" s="2" t="s">
        <v>195</v>
      </c>
      <c r="D369" s="1">
        <v>17</v>
      </c>
      <c r="E369" s="1" t="s">
        <v>204</v>
      </c>
      <c r="G369" s="1" t="s">
        <v>2</v>
      </c>
      <c r="H369" s="2" t="str">
        <f>IF(COUNTIF(A$153:A369,A369)=1,B369,LOOKUP(1,0/(A$152:A368=A369),H$152:H368)&amp;","&amp;B369)</f>
        <v>211,213,214,217</v>
      </c>
    </row>
    <row r="370" spans="1:8" outlineLevel="1">
      <c r="A370" s="1" t="str">
        <f t="shared" si="19"/>
        <v>15*1513146白</v>
      </c>
      <c r="B370" s="1">
        <v>218</v>
      </c>
      <c r="C370" s="2" t="s">
        <v>194</v>
      </c>
      <c r="D370" s="1">
        <v>13</v>
      </c>
      <c r="E370" s="1">
        <v>146</v>
      </c>
      <c r="G370" s="1" t="s">
        <v>2</v>
      </c>
      <c r="H370" s="2" t="str">
        <f>IF(COUNTIF(A$153:A370,A370)=1,B370,LOOKUP(1,0/(A$152:A369=A370),H$152:H369)&amp;","&amp;B370)</f>
        <v>72,74,218</v>
      </c>
    </row>
    <row r="371" spans="1:8" outlineLevel="1">
      <c r="A371" s="1" t="str">
        <f t="shared" si="19"/>
        <v>30*3023190白</v>
      </c>
      <c r="B371" s="1">
        <v>219</v>
      </c>
      <c r="C371" s="2" t="s">
        <v>201</v>
      </c>
      <c r="D371" s="1">
        <v>23</v>
      </c>
      <c r="E371" s="1">
        <v>190</v>
      </c>
      <c r="G371" s="1" t="s">
        <v>2</v>
      </c>
      <c r="H371" s="2" t="str">
        <f>IF(COUNTIF(A$153:A371,A371)=1,B371,LOOKUP(1,0/(A$152:A370=A371),H$152:H370)&amp;","&amp;B371)</f>
        <v>33,46,47,53,58,62,69,75,79,81,84,85,99,210,212,215,216,219</v>
      </c>
    </row>
    <row r="372" spans="1:8" outlineLevel="1">
      <c r="A372" s="1" t="str">
        <f t="shared" si="19"/>
        <v>20*2017197-10白</v>
      </c>
      <c r="B372" s="1">
        <v>220</v>
      </c>
      <c r="C372" s="2" t="s">
        <v>195</v>
      </c>
      <c r="D372" s="1">
        <v>17</v>
      </c>
      <c r="E372" s="1" t="s">
        <v>204</v>
      </c>
      <c r="G372" s="1" t="s">
        <v>2</v>
      </c>
      <c r="H372" s="2" t="str">
        <f>IF(COUNTIF(A$153:A372,A372)=1,B372,LOOKUP(1,0/(A$152:A371=A372),H$152:H371)&amp;","&amp;B372)</f>
        <v>211,213,214,217,220</v>
      </c>
    </row>
    <row r="373" spans="1:8" outlineLevel="1">
      <c r="A373" s="1" t="str">
        <f t="shared" si="19"/>
        <v>15*1513197-1白</v>
      </c>
      <c r="B373" s="1">
        <v>221</v>
      </c>
      <c r="C373" s="2" t="s">
        <v>194</v>
      </c>
      <c r="D373" s="1">
        <v>13</v>
      </c>
      <c r="E373" s="1" t="s">
        <v>196</v>
      </c>
      <c r="G373" s="1" t="s">
        <v>2</v>
      </c>
      <c r="H373" s="2">
        <f>IF(COUNTIF(A$153:A373,A373)=1,B373,LOOKUP(1,0/(A$152:A372=A373),H$152:H372)&amp;","&amp;B373)</f>
        <v>221</v>
      </c>
    </row>
    <row r="374" spans="1:8" outlineLevel="1">
      <c r="A374" s="1" t="str">
        <f t="shared" si="19"/>
        <v>20*2017197-10白</v>
      </c>
      <c r="B374" s="1">
        <v>222</v>
      </c>
      <c r="C374" s="2" t="s">
        <v>195</v>
      </c>
      <c r="D374" s="1">
        <v>17</v>
      </c>
      <c r="E374" s="1" t="s">
        <v>204</v>
      </c>
      <c r="G374" s="1" t="s">
        <v>2</v>
      </c>
      <c r="H374" s="2" t="str">
        <f>IF(COUNTIF(A$153:A374,A374)=1,B374,LOOKUP(1,0/(A$152:A373=A374),H$152:H373)&amp;","&amp;B374)</f>
        <v>211,213,214,217,220,222</v>
      </c>
    </row>
    <row r="375" spans="1:8" outlineLevel="1">
      <c r="A375" s="1" t="str">
        <f t="shared" si="19"/>
        <v>15*1513197-1白</v>
      </c>
      <c r="B375" s="1">
        <v>223</v>
      </c>
      <c r="C375" s="2" t="s">
        <v>194</v>
      </c>
      <c r="D375" s="1">
        <v>13</v>
      </c>
      <c r="E375" s="1" t="s">
        <v>196</v>
      </c>
      <c r="G375" s="1" t="s">
        <v>2</v>
      </c>
      <c r="H375" s="2" t="str">
        <f>IF(COUNTIF(A$153:A375,A375)=1,B375,LOOKUP(1,0/(A$152:A374=A375),H$152:H374)&amp;","&amp;B375)</f>
        <v>221,223</v>
      </c>
    </row>
    <row r="376" spans="1:8" outlineLevel="1">
      <c r="A376" s="1" t="str">
        <f t="shared" si="19"/>
        <v>30*3023192白</v>
      </c>
      <c r="B376" s="1">
        <v>224</v>
      </c>
      <c r="C376" s="2" t="s">
        <v>201</v>
      </c>
      <c r="D376" s="1">
        <v>23</v>
      </c>
      <c r="E376" s="1">
        <v>192</v>
      </c>
      <c r="G376" s="1" t="s">
        <v>2</v>
      </c>
      <c r="H376" s="2" t="str">
        <f>IF(COUNTIF(A$153:A376,A376)=1,B376,LOOKUP(1,0/(A$152:A375=A376),H$152:H375)&amp;","&amp;B376)</f>
        <v>41,76,83,209,224</v>
      </c>
    </row>
    <row r="377" spans="1:8" outlineLevel="1">
      <c r="A377" s="1" t="str">
        <f t="shared" si="19"/>
        <v>20*2017197-10白</v>
      </c>
      <c r="B377" s="1">
        <v>225</v>
      </c>
      <c r="C377" s="2" t="s">
        <v>195</v>
      </c>
      <c r="D377" s="1">
        <v>17</v>
      </c>
      <c r="E377" s="1" t="s">
        <v>204</v>
      </c>
      <c r="G377" s="1" t="s">
        <v>2</v>
      </c>
      <c r="H377" s="2" t="str">
        <f>IF(COUNTIF(A$153:A377,A377)=1,B377,LOOKUP(1,0/(A$152:A376=A377),H$152:H376)&amp;","&amp;B377)</f>
        <v>211,213,214,217,220,222,225</v>
      </c>
    </row>
    <row r="378" spans="1:8" outlineLevel="1">
      <c r="A378" s="1" t="str">
        <f t="shared" si="19"/>
        <v>20*2017197-10白</v>
      </c>
      <c r="B378" s="1">
        <v>226</v>
      </c>
      <c r="C378" s="2" t="s">
        <v>195</v>
      </c>
      <c r="D378" s="1">
        <v>17</v>
      </c>
      <c r="E378" s="1" t="s">
        <v>204</v>
      </c>
      <c r="G378" s="1" t="s">
        <v>2</v>
      </c>
      <c r="H378" s="2" t="str">
        <f>IF(COUNTIF(A$153:A378,A378)=1,B378,LOOKUP(1,0/(A$152:A377=A378),H$152:H377)&amp;","&amp;B378)</f>
        <v>211,213,214,217,220,222,225,226</v>
      </c>
    </row>
    <row r="379" spans="1:8" outlineLevel="1">
      <c r="A379" s="1" t="str">
        <f t="shared" si="19"/>
        <v>20*2017197-10白</v>
      </c>
      <c r="B379" s="1">
        <v>227</v>
      </c>
      <c r="C379" s="2" t="s">
        <v>195</v>
      </c>
      <c r="D379" s="1">
        <v>17</v>
      </c>
      <c r="E379" s="1" t="s">
        <v>204</v>
      </c>
      <c r="G379" s="1" t="s">
        <v>2</v>
      </c>
      <c r="H379" s="2" t="str">
        <f>IF(COUNTIF(A$153:A379,A379)=1,B379,LOOKUP(1,0/(A$152:A378=A379),H$152:H378)&amp;","&amp;B379)</f>
        <v>211,213,214,217,220,222,225,226,227</v>
      </c>
    </row>
    <row r="380" spans="1:8" outlineLevel="1">
      <c r="A380" s="1" t="str">
        <f t="shared" si="19"/>
        <v>20*2017197-4黑</v>
      </c>
      <c r="B380" s="1">
        <v>228</v>
      </c>
      <c r="C380" s="2" t="s">
        <v>195</v>
      </c>
      <c r="D380" s="1">
        <v>17</v>
      </c>
      <c r="E380" s="1" t="s">
        <v>202</v>
      </c>
      <c r="G380" s="1" t="s">
        <v>1</v>
      </c>
      <c r="H380" s="2" t="str">
        <f>IF(COUNTIF(A$153:A380,A380)=1,B380,LOOKUP(1,0/(A$152:A379=A380),H$152:H379)&amp;","&amp;B380)</f>
        <v>86,88,228</v>
      </c>
    </row>
    <row r="381" spans="1:8" outlineLevel="1">
      <c r="A381" s="1" t="str">
        <f t="shared" si="19"/>
        <v>20*2017197-10白</v>
      </c>
      <c r="B381" s="1">
        <v>229</v>
      </c>
      <c r="C381" s="2" t="s">
        <v>195</v>
      </c>
      <c r="D381" s="1">
        <v>17</v>
      </c>
      <c r="E381" s="1" t="s">
        <v>204</v>
      </c>
      <c r="G381" s="1" t="s">
        <v>2</v>
      </c>
      <c r="H381" s="2" t="str">
        <f>IF(COUNTIF(A$153:A381,A381)=1,B381,LOOKUP(1,0/(A$152:A380=A381),H$152:H380)&amp;","&amp;B381)</f>
        <v>211,213,214,217,220,222,225,226,227,229</v>
      </c>
    </row>
    <row r="382" spans="1:8" outlineLevel="1">
      <c r="A382" s="1" t="str">
        <f t="shared" si="19"/>
        <v>20*2017197-4黑</v>
      </c>
      <c r="B382" s="1">
        <v>230</v>
      </c>
      <c r="C382" s="2" t="s">
        <v>195</v>
      </c>
      <c r="D382" s="1">
        <v>17</v>
      </c>
      <c r="E382" s="1" t="s">
        <v>202</v>
      </c>
      <c r="G382" s="1" t="s">
        <v>1</v>
      </c>
      <c r="H382" s="2" t="str">
        <f>IF(COUNTIF(A$153:A382,A382)=1,B382,LOOKUP(1,0/(A$152:A381=A382),H$152:H381)&amp;","&amp;B382)</f>
        <v>86,88,228,230</v>
      </c>
    </row>
    <row r="383" spans="1:8" outlineLevel="1">
      <c r="A383" s="1" t="str">
        <f t="shared" si="19"/>
        <v>20*2017197-10白</v>
      </c>
      <c r="B383" s="1">
        <v>231</v>
      </c>
      <c r="C383" s="2" t="s">
        <v>195</v>
      </c>
      <c r="D383" s="1">
        <v>17</v>
      </c>
      <c r="E383" s="1" t="s">
        <v>204</v>
      </c>
      <c r="G383" s="1" t="s">
        <v>2</v>
      </c>
      <c r="H383" s="2" t="str">
        <f>IF(COUNTIF(A$153:A383,A383)=1,B383,LOOKUP(1,0/(A$152:A382=A383),H$152:H382)&amp;","&amp;B383)</f>
        <v>211,213,214,217,220,222,225,226,227,229,231</v>
      </c>
    </row>
    <row r="384" spans="1:8" outlineLevel="1">
      <c r="A384" s="1" t="str">
        <f t="shared" si="19"/>
        <v>20*2017197-10白</v>
      </c>
      <c r="B384" s="1">
        <v>232</v>
      </c>
      <c r="C384" s="2" t="s">
        <v>195</v>
      </c>
      <c r="D384" s="1">
        <v>17</v>
      </c>
      <c r="E384" s="1" t="s">
        <v>204</v>
      </c>
      <c r="G384" s="1" t="s">
        <v>2</v>
      </c>
      <c r="H384" s="2" t="str">
        <f>IF(COUNTIF(A$153:A384,A384)=1,B384,LOOKUP(1,0/(A$152:A383=A384),H$152:H383)&amp;","&amp;B384)</f>
        <v>211,213,214,217,220,222,225,226,227,229,231,232</v>
      </c>
    </row>
    <row r="385" spans="1:8" outlineLevel="1">
      <c r="A385" s="1" t="str">
        <f t="shared" si="19"/>
        <v>20*2017197-10白</v>
      </c>
      <c r="B385" s="1">
        <v>233</v>
      </c>
      <c r="C385" s="2" t="s">
        <v>195</v>
      </c>
      <c r="D385" s="1">
        <v>17</v>
      </c>
      <c r="E385" s="1" t="s">
        <v>204</v>
      </c>
      <c r="G385" s="1" t="s">
        <v>2</v>
      </c>
      <c r="H385" s="2" t="str">
        <f>IF(COUNTIF(A$153:A385,A385)=1,B385,LOOKUP(1,0/(A$152:A384=A385),H$152:H384)&amp;","&amp;B385)</f>
        <v>211,213,214,217,220,222,225,226,227,229,231,232,233</v>
      </c>
    </row>
    <row r="386" spans="1:8" outlineLevel="1">
      <c r="A386" s="1" t="str">
        <f t="shared" si="19"/>
        <v>30*3023190白</v>
      </c>
      <c r="B386" s="1">
        <v>234</v>
      </c>
      <c r="C386" s="2" t="s">
        <v>201</v>
      </c>
      <c r="D386" s="1">
        <v>23</v>
      </c>
      <c r="E386" s="1">
        <v>190</v>
      </c>
      <c r="G386" s="1" t="s">
        <v>2</v>
      </c>
      <c r="H386" s="2" t="str">
        <f>IF(COUNTIF(A$153:A386,A386)=1,B386,LOOKUP(1,0/(A$152:A385=A386),H$152:H385)&amp;","&amp;B386)</f>
        <v>33,46,47,53,58,62,69,75,79,81,84,85,99,210,212,215,216,219,234</v>
      </c>
    </row>
    <row r="387" spans="1:8" outlineLevel="1">
      <c r="A387" s="1" t="str">
        <f t="shared" si="19"/>
        <v>30*3023190白</v>
      </c>
      <c r="B387" s="1">
        <v>235</v>
      </c>
      <c r="C387" s="2" t="s">
        <v>201</v>
      </c>
      <c r="D387" s="1">
        <v>23</v>
      </c>
      <c r="E387" s="1">
        <v>190</v>
      </c>
      <c r="G387" s="1" t="s">
        <v>2</v>
      </c>
      <c r="H387" s="2" t="str">
        <f>IF(COUNTIF(A$153:A387,A387)=1,B387,LOOKUP(1,0/(A$152:A386=A387),H$152:H386)&amp;","&amp;B387)</f>
        <v>33,46,47,53,58,62,69,75,79,81,84,85,99,210,212,215,216,219,234,235</v>
      </c>
    </row>
    <row r="388" spans="1:8" outlineLevel="1">
      <c r="A388" s="1" t="str">
        <f t="shared" si="19"/>
        <v>20*2017197-10白</v>
      </c>
      <c r="B388" s="1">
        <v>236</v>
      </c>
      <c r="C388" s="2" t="s">
        <v>195</v>
      </c>
      <c r="D388" s="1">
        <v>17</v>
      </c>
      <c r="E388" s="1" t="s">
        <v>204</v>
      </c>
      <c r="G388" s="1" t="s">
        <v>2</v>
      </c>
      <c r="H388" s="2" t="str">
        <f>IF(COUNTIF(A$153:A388,A388)=1,B388,LOOKUP(1,0/(A$152:A387=A388),H$152:H387)&amp;","&amp;B388)</f>
        <v>211,213,214,217,220,222,225,226,227,229,231,232,233,236</v>
      </c>
    </row>
    <row r="389" spans="1:8" outlineLevel="1">
      <c r="A389" s="1" t="str">
        <f t="shared" si="19"/>
        <v>20*2017197-10白</v>
      </c>
      <c r="B389" s="1">
        <v>237</v>
      </c>
      <c r="C389" s="2" t="s">
        <v>195</v>
      </c>
      <c r="D389" s="1">
        <v>17</v>
      </c>
      <c r="E389" s="1" t="s">
        <v>204</v>
      </c>
      <c r="G389" s="1" t="s">
        <v>2</v>
      </c>
      <c r="H389" s="2" t="str">
        <f>IF(COUNTIF(A$153:A389,A389)=1,B389,LOOKUP(1,0/(A$152:A388=A389),H$152:H388)&amp;","&amp;B389)</f>
        <v>211,213,214,217,220,222,225,226,227,229,231,232,233,236,237</v>
      </c>
    </row>
    <row r="390" spans="1:8" outlineLevel="1">
      <c r="A390" s="1" t="str">
        <f t="shared" si="19"/>
        <v>20*2017197-10白</v>
      </c>
      <c r="B390" s="1">
        <v>238</v>
      </c>
      <c r="C390" s="2" t="s">
        <v>195</v>
      </c>
      <c r="D390" s="1">
        <v>17</v>
      </c>
      <c r="E390" s="1" t="s">
        <v>204</v>
      </c>
      <c r="G390" s="1" t="s">
        <v>2</v>
      </c>
      <c r="H390" s="2" t="str">
        <f>IF(COUNTIF(A$153:A390,A390)=1,B390,LOOKUP(1,0/(A$152:A389=A390),H$152:H389)&amp;","&amp;B390)</f>
        <v>211,213,214,217,220,222,225,226,227,229,231,232,233,236,237,238</v>
      </c>
    </row>
    <row r="391" spans="1:8" outlineLevel="1">
      <c r="A391" s="1" t="str">
        <f t="shared" si="19"/>
        <v>20*2017197-10白</v>
      </c>
      <c r="B391" s="1">
        <v>239</v>
      </c>
      <c r="C391" s="2" t="s">
        <v>195</v>
      </c>
      <c r="D391" s="1">
        <v>17</v>
      </c>
      <c r="E391" s="1" t="s">
        <v>204</v>
      </c>
      <c r="G391" s="1" t="s">
        <v>2</v>
      </c>
      <c r="H391" s="2" t="str">
        <f>IF(COUNTIF(A$153:A391,A391)=1,B391,LOOKUP(1,0/(A$152:A390=A391),H$152:H390)&amp;","&amp;B391)</f>
        <v>211,213,214,217,220,222,225,226,227,229,231,232,233,236,237,238,239</v>
      </c>
    </row>
    <row r="392" spans="1:8" outlineLevel="1">
      <c r="A392" s="1" t="str">
        <f t="shared" si="19"/>
        <v>20*2017197-10白</v>
      </c>
      <c r="B392" s="1">
        <v>240</v>
      </c>
      <c r="C392" s="2" t="s">
        <v>195</v>
      </c>
      <c r="D392" s="1">
        <v>17</v>
      </c>
      <c r="E392" s="1" t="s">
        <v>204</v>
      </c>
      <c r="G392" s="1" t="s">
        <v>2</v>
      </c>
      <c r="H392" s="2" t="str">
        <f>IF(COUNTIF(A$153:A392,A392)=1,B392,LOOKUP(1,0/(A$152:A391=A392),H$152:H391)&amp;","&amp;B392)</f>
        <v>211,213,214,217,220,222,225,226,227,229,231,232,233,236,237,238,239,240</v>
      </c>
    </row>
    <row r="393" spans="1:8" outlineLevel="1">
      <c r="A393" s="1" t="str">
        <f t="shared" si="19"/>
        <v>20*2017197-10白</v>
      </c>
      <c r="B393" s="1">
        <v>241</v>
      </c>
      <c r="C393" s="2" t="s">
        <v>195</v>
      </c>
      <c r="D393" s="1">
        <v>17</v>
      </c>
      <c r="E393" s="1" t="s">
        <v>204</v>
      </c>
      <c r="G393" s="1" t="s">
        <v>2</v>
      </c>
      <c r="H393" s="2" t="str">
        <f>IF(COUNTIF(A$153:A393,A393)=1,B393,LOOKUP(1,0/(A$152:A392=A393),H$152:H392)&amp;","&amp;B393)</f>
        <v>211,213,214,217,220,222,225,226,227,229,231,232,233,236,237,238,239,240,241</v>
      </c>
    </row>
    <row r="394" spans="1:8" outlineLevel="1">
      <c r="A394" s="1" t="str">
        <f t="shared" si="19"/>
        <v>30*3023190白</v>
      </c>
      <c r="B394" s="1">
        <v>242</v>
      </c>
      <c r="C394" s="2" t="s">
        <v>201</v>
      </c>
      <c r="D394" s="1">
        <v>23</v>
      </c>
      <c r="E394" s="1">
        <v>190</v>
      </c>
      <c r="G394" s="1" t="s">
        <v>2</v>
      </c>
      <c r="H394" s="2" t="str">
        <f>IF(COUNTIF(A$153:A394,A394)=1,B394,LOOKUP(1,0/(A$152:A393=A394),H$152:H393)&amp;","&amp;B394)</f>
        <v>33,46,47,53,58,62,69,75,79,81,84,85,99,210,212,215,216,219,234,235,242</v>
      </c>
    </row>
    <row r="395" spans="1:8" outlineLevel="1">
      <c r="A395" s="1" t="str">
        <f t="shared" si="19"/>
        <v>20*2017197-10白</v>
      </c>
      <c r="B395" s="1">
        <v>243</v>
      </c>
      <c r="C395" s="2" t="s">
        <v>195</v>
      </c>
      <c r="D395" s="1">
        <v>17</v>
      </c>
      <c r="E395" s="1" t="s">
        <v>204</v>
      </c>
      <c r="G395" s="1" t="s">
        <v>2</v>
      </c>
      <c r="H395" s="2" t="str">
        <f>IF(COUNTIF(A$153:A395,A395)=1,B395,LOOKUP(1,0/(A$152:A394=A395),H$152:H394)&amp;","&amp;B395)</f>
        <v>211,213,214,217,220,222,225,226,227,229,231,232,233,236,237,238,239,240,241,243</v>
      </c>
    </row>
    <row r="396" spans="1:8" outlineLevel="1">
      <c r="A396" s="1" t="str">
        <f t="shared" si="19"/>
        <v>15*1513146白</v>
      </c>
      <c r="B396" s="1">
        <v>244</v>
      </c>
      <c r="C396" s="2" t="s">
        <v>194</v>
      </c>
      <c r="D396" s="1">
        <v>13</v>
      </c>
      <c r="E396" s="1">
        <v>146</v>
      </c>
      <c r="G396" s="1" t="s">
        <v>2</v>
      </c>
      <c r="H396" s="2" t="str">
        <f>IF(COUNTIF(A$153:A396,A396)=1,B396,LOOKUP(1,0/(A$152:A395=A396),H$152:H395)&amp;","&amp;B396)</f>
        <v>72,74,218,244</v>
      </c>
    </row>
    <row r="397" spans="1:8" outlineLevel="1">
      <c r="A397" s="1" t="str">
        <f t="shared" si="19"/>
        <v>20*2017197-4黑</v>
      </c>
      <c r="B397" s="1">
        <v>245</v>
      </c>
      <c r="C397" s="2" t="s">
        <v>195</v>
      </c>
      <c r="D397" s="1">
        <v>17</v>
      </c>
      <c r="E397" s="1" t="s">
        <v>202</v>
      </c>
      <c r="G397" s="1" t="s">
        <v>1</v>
      </c>
      <c r="H397" s="2" t="str">
        <f>IF(COUNTIF(A$153:A397,A397)=1,B397,LOOKUP(1,0/(A$152:A396=A397),H$152:H396)&amp;","&amp;B397)</f>
        <v>86,88,228,230,245</v>
      </c>
    </row>
    <row r="398" spans="1:8" outlineLevel="1">
      <c r="A398" s="1" t="str">
        <f t="shared" si="19"/>
        <v>30*3023190白</v>
      </c>
      <c r="B398" s="1">
        <v>246</v>
      </c>
      <c r="C398" s="2" t="s">
        <v>201</v>
      </c>
      <c r="D398" s="1">
        <v>23</v>
      </c>
      <c r="E398" s="1">
        <v>190</v>
      </c>
      <c r="G398" s="1" t="s">
        <v>2</v>
      </c>
      <c r="H398" s="2" t="str">
        <f>IF(COUNTIF(A$153:A398,A398)=1,B398,LOOKUP(1,0/(A$152:A397=A398),H$152:H397)&amp;","&amp;B398)</f>
        <v>33,46,47,53,58,62,69,75,79,81,84,85,99,210,212,215,216,219,234,235,242,246</v>
      </c>
    </row>
    <row r="399" spans="1:8" outlineLevel="1">
      <c r="A399" s="1" t="str">
        <f t="shared" si="19"/>
        <v>15*1513197-1白</v>
      </c>
      <c r="B399" s="1">
        <v>247</v>
      </c>
      <c r="C399" s="2" t="s">
        <v>194</v>
      </c>
      <c r="D399" s="1">
        <v>13</v>
      </c>
      <c r="E399" s="1" t="s">
        <v>196</v>
      </c>
      <c r="G399" s="1" t="s">
        <v>2</v>
      </c>
      <c r="H399" s="2" t="str">
        <f>IF(COUNTIF(A$153:A399,A399)=1,B399,LOOKUP(1,0/(A$152:A398=A399),H$152:H398)&amp;","&amp;B399)</f>
        <v>221,223,247</v>
      </c>
    </row>
    <row r="400" spans="1:8" outlineLevel="1">
      <c r="A400" s="1" t="str">
        <f t="shared" si="19"/>
        <v>20*2017197-10白</v>
      </c>
      <c r="B400" s="1">
        <v>248</v>
      </c>
      <c r="C400" s="2" t="s">
        <v>195</v>
      </c>
      <c r="D400" s="1">
        <v>17</v>
      </c>
      <c r="E400" s="1" t="s">
        <v>204</v>
      </c>
      <c r="G400" s="1" t="s">
        <v>2</v>
      </c>
      <c r="H400" s="2" t="str">
        <f>IF(COUNTIF(A$153:A400,A400)=1,B400,LOOKUP(1,0/(A$152:A399=A400),H$152:H399)&amp;","&amp;B400)</f>
        <v>211,213,214,217,220,222,225,226,227,229,231,232,233,236,237,238,239,240,241,243,248</v>
      </c>
    </row>
    <row r="401" spans="1:8" outlineLevel="1">
      <c r="A401" s="1" t="str">
        <f t="shared" si="19"/>
        <v>30*3023190白</v>
      </c>
      <c r="B401" s="1">
        <v>249</v>
      </c>
      <c r="C401" s="2" t="s">
        <v>201</v>
      </c>
      <c r="D401" s="1">
        <v>23</v>
      </c>
      <c r="E401" s="1">
        <v>190</v>
      </c>
      <c r="G401" s="1" t="s">
        <v>2</v>
      </c>
      <c r="H401" s="2" t="str">
        <f>IF(COUNTIF(A$153:A401,A401)=1,B401,LOOKUP(1,0/(A$152:A400=A401),H$152:H400)&amp;","&amp;B401)</f>
        <v>33,46,47,53,58,62,69,75,79,81,84,85,99,210,212,215,216,219,234,235,242,246,249</v>
      </c>
    </row>
    <row r="402" spans="1:8" outlineLevel="1">
      <c r="A402" s="1" t="str">
        <f t="shared" si="19"/>
        <v>20*2017197-10白</v>
      </c>
      <c r="B402" s="1">
        <v>250</v>
      </c>
      <c r="C402" s="2" t="s">
        <v>195</v>
      </c>
      <c r="D402" s="1">
        <v>17</v>
      </c>
      <c r="E402" s="1" t="s">
        <v>204</v>
      </c>
      <c r="G402" s="1" t="s">
        <v>2</v>
      </c>
      <c r="H402" s="2" t="str">
        <f>IF(COUNTIF(A$153:A402,A402)=1,B402,LOOKUP(1,0/(A$152:A401=A402),H$152:H401)&amp;","&amp;B402)</f>
        <v>211,213,214,217,220,222,225,226,227,229,231,232,233,236,237,238,239,240,241,243,248,250</v>
      </c>
    </row>
    <row r="403" spans="1:8" outlineLevel="1">
      <c r="A403" s="1" t="str">
        <f t="shared" si="19"/>
        <v>20*2017197-4黑</v>
      </c>
      <c r="B403" s="1">
        <v>251</v>
      </c>
      <c r="C403" s="2" t="s">
        <v>195</v>
      </c>
      <c r="D403" s="1">
        <v>17</v>
      </c>
      <c r="E403" s="1" t="s">
        <v>202</v>
      </c>
      <c r="G403" s="1" t="s">
        <v>1</v>
      </c>
      <c r="H403" s="2" t="str">
        <f>IF(COUNTIF(A$153:A403,A403)=1,B403,LOOKUP(1,0/(A$152:A402=A403),H$152:H402)&amp;","&amp;B403)</f>
        <v>86,88,228,230,245,251</v>
      </c>
    </row>
    <row r="404" spans="1:8" outlineLevel="1">
      <c r="A404" s="1" t="str">
        <f t="shared" si="19"/>
        <v>20*2017197-10白</v>
      </c>
      <c r="B404" s="1">
        <v>252</v>
      </c>
      <c r="C404" s="2" t="s">
        <v>195</v>
      </c>
      <c r="D404" s="1">
        <v>17</v>
      </c>
      <c r="E404" s="1" t="s">
        <v>204</v>
      </c>
      <c r="G404" s="1" t="s">
        <v>2</v>
      </c>
      <c r="H404" s="2" t="str">
        <f>IF(COUNTIF(A$153:A404,A404)=1,B404,LOOKUP(1,0/(A$152:A403=A404),H$152:H403)&amp;","&amp;B404)</f>
        <v>211,213,214,217,220,222,225,226,227,229,231,232,233,236,237,238,239,240,241,243,248,250,252</v>
      </c>
    </row>
    <row r="405" spans="1:8" outlineLevel="1">
      <c r="A405" s="1" t="str">
        <f t="shared" si="19"/>
        <v>30*3023190白</v>
      </c>
      <c r="B405" s="1">
        <v>253</v>
      </c>
      <c r="C405" s="2" t="s">
        <v>201</v>
      </c>
      <c r="D405" s="1">
        <v>23</v>
      </c>
      <c r="E405" s="1">
        <v>190</v>
      </c>
      <c r="G405" s="1" t="s">
        <v>2</v>
      </c>
      <c r="H405" s="2" t="str">
        <f>IF(COUNTIF(A$153:A405,A405)=1,B405,LOOKUP(1,0/(A$152:A404=A405),H$152:H404)&amp;","&amp;B405)</f>
        <v>33,46,47,53,58,62,69,75,79,81,84,85,99,210,212,215,216,219,234,235,242,246,249,253</v>
      </c>
    </row>
    <row r="406" spans="1:8" outlineLevel="1">
      <c r="A406" s="1" t="str">
        <f t="shared" si="19"/>
        <v>20*2017197-10白</v>
      </c>
      <c r="B406" s="1">
        <v>254</v>
      </c>
      <c r="C406" s="2" t="s">
        <v>195</v>
      </c>
      <c r="D406" s="1">
        <v>17</v>
      </c>
      <c r="E406" s="1" t="s">
        <v>204</v>
      </c>
      <c r="G406" s="1" t="s">
        <v>2</v>
      </c>
      <c r="H406" s="2" t="str">
        <f>IF(COUNTIF(A$153:A406,A406)=1,B406,LOOKUP(1,0/(A$152:A405=A406),H$152:H405)&amp;","&amp;B406)</f>
        <v>211,213,214,217,220,222,225,226,227,229,231,232,233,236,237,238,239,240,241,243,248,250,252,254</v>
      </c>
    </row>
    <row r="407" spans="1:8" outlineLevel="1">
      <c r="A407" s="1" t="str">
        <f t="shared" si="19"/>
        <v>20*2017197-10白</v>
      </c>
      <c r="B407" s="1">
        <v>255</v>
      </c>
      <c r="C407" s="2" t="s">
        <v>195</v>
      </c>
      <c r="D407" s="1">
        <v>17</v>
      </c>
      <c r="E407" s="1" t="s">
        <v>204</v>
      </c>
      <c r="G407" s="1" t="s">
        <v>2</v>
      </c>
      <c r="H407" s="2" t="str">
        <f>IF(COUNTIF(A$153:A407,A407)=1,B407,LOOKUP(1,0/(A$152:A406=A407),H$152:H406)&amp;","&amp;B407)</f>
        <v>211,213,214,217,220,222,225,226,227,229,231,232,233,236,237,238,239,240,241,243,248,250,252,254,255</v>
      </c>
    </row>
    <row r="408" spans="1:8" outlineLevel="1">
      <c r="A408" s="1" t="str">
        <f t="shared" si="19"/>
        <v>20*2017197-10白</v>
      </c>
      <c r="B408" s="1">
        <v>256</v>
      </c>
      <c r="C408" s="2" t="s">
        <v>195</v>
      </c>
      <c r="D408" s="1">
        <v>17</v>
      </c>
      <c r="E408" s="1" t="s">
        <v>204</v>
      </c>
      <c r="G408" s="1" t="s">
        <v>2</v>
      </c>
      <c r="H408" s="2" t="str">
        <f>IF(COUNTIF(A$153:A408,A408)=1,B408,LOOKUP(1,0/(A$152:A407=A408),H$152:H407)&amp;","&amp;B408)</f>
        <v>211,213,214,217,220,222,225,226,227,229,231,232,233,236,237,238,239,240,241,243,248,250,252,254,255,256</v>
      </c>
    </row>
    <row r="409" spans="1:8" outlineLevel="1">
      <c r="A409" s="1" t="str">
        <f t="shared" si="19"/>
        <v>30*3023190白</v>
      </c>
      <c r="B409" s="1">
        <v>257</v>
      </c>
      <c r="C409" s="2" t="s">
        <v>201</v>
      </c>
      <c r="D409" s="1">
        <v>23</v>
      </c>
      <c r="E409" s="1">
        <v>190</v>
      </c>
      <c r="G409" s="1" t="s">
        <v>2</v>
      </c>
      <c r="H409" s="2" t="str">
        <f>IF(COUNTIF(A$153:A409,A409)=1,B409,LOOKUP(1,0/(A$152:A408=A409),H$152:H408)&amp;","&amp;B409)</f>
        <v>33,46,47,53,58,62,69,75,79,81,84,85,99,210,212,215,216,219,234,235,242,246,249,253,257</v>
      </c>
    </row>
    <row r="410" spans="1:8" outlineLevel="1">
      <c r="A410" s="1" t="str">
        <f t="shared" ref="A410:A473" si="20">C410&amp;D410&amp;E410&amp;G410</f>
        <v>20*2017197-10白</v>
      </c>
      <c r="B410" s="1">
        <v>258</v>
      </c>
      <c r="C410" s="2" t="s">
        <v>195</v>
      </c>
      <c r="D410" s="1">
        <v>17</v>
      </c>
      <c r="E410" s="1" t="s">
        <v>204</v>
      </c>
      <c r="G410" s="1" t="s">
        <v>2</v>
      </c>
      <c r="H410" s="2" t="str">
        <f>IF(COUNTIF(A$153:A410,A410)=1,B410,LOOKUP(1,0/(A$152:A409=A410),H$152:H409)&amp;","&amp;B410)</f>
        <v>211,213,214,217,220,222,225,226,227,229,231,232,233,236,237,238,239,240,241,243,248,250,252,254,255,256,258</v>
      </c>
    </row>
    <row r="411" spans="1:8" outlineLevel="1">
      <c r="A411" s="1" t="str">
        <f t="shared" si="20"/>
        <v>20*2017197-10白</v>
      </c>
      <c r="B411" s="1">
        <v>259</v>
      </c>
      <c r="C411" s="2" t="s">
        <v>195</v>
      </c>
      <c r="D411" s="1">
        <v>17</v>
      </c>
      <c r="E411" s="1" t="s">
        <v>204</v>
      </c>
      <c r="G411" s="1" t="s">
        <v>2</v>
      </c>
      <c r="H411" s="2" t="str">
        <f>IF(COUNTIF(A$153:A411,A411)=1,B411,LOOKUP(1,0/(A$152:A410=A411),H$152:H410)&amp;","&amp;B411)</f>
        <v>211,213,214,217,220,222,225,226,227,229,231,232,233,236,237,238,239,240,241,243,248,250,252,254,255,256,258,259</v>
      </c>
    </row>
    <row r="412" spans="1:8" outlineLevel="1">
      <c r="A412" s="1" t="str">
        <f t="shared" si="20"/>
        <v>30*3023190白</v>
      </c>
      <c r="B412" s="1">
        <v>260</v>
      </c>
      <c r="C412" s="2" t="s">
        <v>201</v>
      </c>
      <c r="D412" s="1">
        <v>23</v>
      </c>
      <c r="E412" s="1">
        <v>190</v>
      </c>
      <c r="G412" s="1" t="s">
        <v>2</v>
      </c>
      <c r="H412" s="2" t="str">
        <f>IF(COUNTIF(A$153:A412,A412)=1,B412,LOOKUP(1,0/(A$152:A411=A412),H$152:H411)&amp;","&amp;B412)</f>
        <v>33,46,47,53,58,62,69,75,79,81,84,85,99,210,212,215,216,219,234,235,242,246,249,253,257,260</v>
      </c>
    </row>
    <row r="413" spans="1:8" outlineLevel="1">
      <c r="A413" s="1" t="str">
        <f t="shared" si="20"/>
        <v>20*2017197-10白</v>
      </c>
      <c r="B413" s="1">
        <v>261</v>
      </c>
      <c r="C413" s="2" t="s">
        <v>195</v>
      </c>
      <c r="D413" s="1">
        <v>17</v>
      </c>
      <c r="E413" s="1" t="s">
        <v>204</v>
      </c>
      <c r="G413" s="1" t="s">
        <v>2</v>
      </c>
      <c r="H413" s="2" t="str">
        <f>IF(COUNTIF(A$153:A413,A413)=1,B413,LOOKUP(1,0/(A$152:A412=A413),H$152:H412)&amp;","&amp;B413)</f>
        <v>211,213,214,217,220,222,225,226,227,229,231,232,233,236,237,238,239,240,241,243,248,250,252,254,255,256,258,259,261</v>
      </c>
    </row>
    <row r="414" spans="1:8" outlineLevel="1">
      <c r="A414" s="1" t="str">
        <f t="shared" si="20"/>
        <v>30*3023190白</v>
      </c>
      <c r="B414" s="1">
        <v>262</v>
      </c>
      <c r="C414" s="2" t="s">
        <v>201</v>
      </c>
      <c r="D414" s="1">
        <v>23</v>
      </c>
      <c r="E414" s="1">
        <v>190</v>
      </c>
      <c r="G414" s="1" t="s">
        <v>2</v>
      </c>
      <c r="H414" s="2" t="str">
        <f>IF(COUNTIF(A$153:A414,A414)=1,B414,LOOKUP(1,0/(A$152:A413=A414),H$152:H413)&amp;","&amp;B414)</f>
        <v>33,46,47,53,58,62,69,75,79,81,84,85,99,210,212,215,216,219,234,235,242,246,249,253,257,260,262</v>
      </c>
    </row>
    <row r="415" spans="1:8" outlineLevel="1">
      <c r="A415" s="1" t="str">
        <f t="shared" si="20"/>
        <v>20*2017197-10白</v>
      </c>
      <c r="B415" s="1">
        <v>263</v>
      </c>
      <c r="C415" s="2" t="s">
        <v>195</v>
      </c>
      <c r="D415" s="1">
        <v>17</v>
      </c>
      <c r="E415" s="1" t="s">
        <v>204</v>
      </c>
      <c r="G415" s="1" t="s">
        <v>2</v>
      </c>
      <c r="H415" s="2" t="str">
        <f>IF(COUNTIF(A$153:A415,A415)=1,B415,LOOKUP(1,0/(A$152:A414=A415),H$152:H414)&amp;","&amp;B415)</f>
        <v>211,213,214,217,220,222,225,226,227,229,231,232,233,236,237,238,239,240,241,243,248,250,252,254,255,256,258,259,261,263</v>
      </c>
    </row>
    <row r="416" spans="1:8" outlineLevel="1">
      <c r="A416" s="1" t="str">
        <f t="shared" si="20"/>
        <v>20*2017197-10白</v>
      </c>
      <c r="B416" s="1">
        <v>264</v>
      </c>
      <c r="C416" s="2" t="s">
        <v>195</v>
      </c>
      <c r="D416" s="1">
        <v>17</v>
      </c>
      <c r="E416" s="1" t="s">
        <v>204</v>
      </c>
      <c r="G416" s="1" t="s">
        <v>2</v>
      </c>
      <c r="H416" s="2" t="str">
        <f>IF(COUNTIF(A$153:A416,A416)=1,B416,LOOKUP(1,0/(A$152:A415=A416),H$152:H415)&amp;","&amp;B416)</f>
        <v>211,213,214,217,220,222,225,226,227,229,231,232,233,236,237,238,239,240,241,243,248,250,252,254,255,256,258,259,261,263,264</v>
      </c>
    </row>
    <row r="417" spans="1:8" outlineLevel="1">
      <c r="A417" s="1" t="str">
        <f t="shared" si="20"/>
        <v>30*3023201白</v>
      </c>
      <c r="B417" s="1">
        <v>265</v>
      </c>
      <c r="C417" s="2" t="s">
        <v>201</v>
      </c>
      <c r="D417" s="1">
        <v>23</v>
      </c>
      <c r="E417" s="1">
        <v>201</v>
      </c>
      <c r="G417" s="1" t="s">
        <v>2</v>
      </c>
      <c r="H417" s="2">
        <f>IF(COUNTIF(A$153:A417,A417)=1,B417,LOOKUP(1,0/(A$152:A416=A417),H$152:H416)&amp;","&amp;B417)</f>
        <v>265</v>
      </c>
    </row>
    <row r="418" spans="1:8" outlineLevel="1">
      <c r="A418" s="1" t="str">
        <f t="shared" si="20"/>
        <v>30*3023200白</v>
      </c>
      <c r="B418" s="1">
        <v>266</v>
      </c>
      <c r="C418" s="2" t="s">
        <v>201</v>
      </c>
      <c r="D418" s="1">
        <v>23</v>
      </c>
      <c r="E418" s="1">
        <v>200</v>
      </c>
      <c r="G418" s="1" t="s">
        <v>2</v>
      </c>
      <c r="H418" s="2" t="str">
        <f>IF(COUNTIF(A$153:A418,A418)=1,B418,LOOKUP(1,0/(A$152:A417=A418),H$152:H417)&amp;","&amp;B418)</f>
        <v>73,77,208,266</v>
      </c>
    </row>
    <row r="419" spans="1:8" outlineLevel="1">
      <c r="A419" s="1" t="str">
        <f t="shared" si="20"/>
        <v>20*2017197-10白</v>
      </c>
      <c r="B419" s="1">
        <v>267</v>
      </c>
      <c r="C419" s="2" t="s">
        <v>195</v>
      </c>
      <c r="D419" s="1">
        <v>17</v>
      </c>
      <c r="E419" s="1" t="s">
        <v>204</v>
      </c>
      <c r="G419" s="1" t="s">
        <v>2</v>
      </c>
      <c r="H419" s="2" t="str">
        <f>IF(COUNTIF(A$153:A419,A419)=1,B419,LOOKUP(1,0/(A$152:A418=A419),H$152:H418)&amp;","&amp;B419)</f>
        <v>211,213,214,217,220,222,225,226,227,229,231,232,233,236,237,238,239,240,241,243,248,250,252,254,255,256,258,259,261,263,264,267</v>
      </c>
    </row>
    <row r="420" spans="1:8" outlineLevel="1">
      <c r="A420" s="1" t="str">
        <f t="shared" si="20"/>
        <v>50*5037190.5-2黑</v>
      </c>
      <c r="B420" s="1">
        <v>268</v>
      </c>
      <c r="C420" s="2" t="s">
        <v>203</v>
      </c>
      <c r="D420" s="1">
        <v>37</v>
      </c>
      <c r="E420" s="1" t="s">
        <v>219</v>
      </c>
      <c r="G420" s="1" t="s">
        <v>1</v>
      </c>
      <c r="H420" s="2" t="str">
        <f>IF(COUNTIF(A$153:A420,A420)=1,B420,LOOKUP(1,0/(A$152:A419=A420),H$152:H419)&amp;","&amp;B420)</f>
        <v>11,60,268</v>
      </c>
    </row>
    <row r="421" spans="1:8" outlineLevel="1">
      <c r="A421" s="1" t="str">
        <f t="shared" si="20"/>
        <v>50*5037190.5白</v>
      </c>
      <c r="B421" s="1">
        <v>269</v>
      </c>
      <c r="C421" s="2" t="s">
        <v>203</v>
      </c>
      <c r="D421" s="1">
        <v>37</v>
      </c>
      <c r="E421" s="1">
        <v>190.5</v>
      </c>
      <c r="G421" s="1" t="s">
        <v>783</v>
      </c>
      <c r="H421" s="2" t="str">
        <f>IF(COUNTIF(A$153:A421,A421)=1,B421,LOOKUP(1,0/(A$152:A420=A421),H$152:H420)&amp;","&amp;B421)</f>
        <v>39,59,70,78,80,106,111,269</v>
      </c>
    </row>
    <row r="422" spans="1:8" outlineLevel="1">
      <c r="A422" s="1" t="str">
        <f t="shared" si="20"/>
        <v>30*3023190 打样白</v>
      </c>
      <c r="B422" s="1">
        <v>270</v>
      </c>
      <c r="C422" s="2" t="s">
        <v>201</v>
      </c>
      <c r="D422" s="1">
        <v>23</v>
      </c>
      <c r="E422" s="1" t="s">
        <v>214</v>
      </c>
      <c r="G422" s="1" t="s">
        <v>2</v>
      </c>
      <c r="H422" s="2">
        <f>IF(COUNTIF(A$153:A422,A422)=1,B422,LOOKUP(1,0/(A$152:A421=A422),H$152:H421)&amp;","&amp;B422)</f>
        <v>270</v>
      </c>
    </row>
    <row r="423" spans="1:8" outlineLevel="1">
      <c r="A423" s="1" t="str">
        <f t="shared" si="20"/>
        <v>30*5031190白</v>
      </c>
      <c r="B423" s="1">
        <v>271</v>
      </c>
      <c r="C423" s="2" t="s">
        <v>781</v>
      </c>
      <c r="D423" s="1">
        <v>31</v>
      </c>
      <c r="E423" s="1">
        <v>190</v>
      </c>
      <c r="G423" s="1" t="s">
        <v>2</v>
      </c>
      <c r="H423" s="2">
        <f>IF(COUNTIF(A$153:A423,A423)=1,B423,LOOKUP(1,0/(A$152:A422=A423),H$152:H422)&amp;","&amp;B423)</f>
        <v>271</v>
      </c>
    </row>
    <row r="424" spans="1:8" outlineLevel="1">
      <c r="A424" s="1" t="str">
        <f t="shared" si="20"/>
        <v>50*5037190.5-1白</v>
      </c>
      <c r="B424" s="1">
        <v>272</v>
      </c>
      <c r="C424" s="2" t="s">
        <v>203</v>
      </c>
      <c r="D424" s="1">
        <v>37</v>
      </c>
      <c r="E424" s="1" t="s">
        <v>218</v>
      </c>
      <c r="G424" s="1" t="s">
        <v>783</v>
      </c>
      <c r="H424" s="2" t="str">
        <f>IF(COUNTIF(A$153:A424,A424)=1,B424,LOOKUP(1,0/(A$152:A423=A424),H$152:H423)&amp;","&amp;B424)</f>
        <v>7,10,21,22,29,30,36,42,44,50,52,55,56,61,67,68,89,91,95,96,98,113,118,119,272</v>
      </c>
    </row>
    <row r="425" spans="1:8" outlineLevel="1">
      <c r="A425" s="1" t="str">
        <f t="shared" si="20"/>
        <v>20*2017197-10白</v>
      </c>
      <c r="B425" s="1">
        <v>273</v>
      </c>
      <c r="C425" s="2" t="s">
        <v>195</v>
      </c>
      <c r="D425" s="1">
        <v>17</v>
      </c>
      <c r="E425" s="1" t="s">
        <v>204</v>
      </c>
      <c r="G425" s="1" t="s">
        <v>2</v>
      </c>
      <c r="H425" s="2" t="str">
        <f>IF(COUNTIF(A$153:A425,A425)=1,B425,LOOKUP(1,0/(A$152:A424=A425),H$152:H424)&amp;","&amp;B425)</f>
        <v>211,213,214,217,220,222,225,226,227,229,231,232,233,236,237,238,239,240,241,243,248,250,252,254,255,256,258,259,261,263,264,267,273</v>
      </c>
    </row>
    <row r="426" spans="1:8" outlineLevel="1">
      <c r="A426" s="1" t="str">
        <f t="shared" si="20"/>
        <v>50*5037190.5-2黑</v>
      </c>
      <c r="B426" s="1">
        <v>274</v>
      </c>
      <c r="C426" s="2" t="s">
        <v>203</v>
      </c>
      <c r="D426" s="1">
        <v>37</v>
      </c>
      <c r="E426" s="1" t="s">
        <v>219</v>
      </c>
      <c r="G426" s="1" t="s">
        <v>1</v>
      </c>
      <c r="H426" s="2" t="str">
        <f>IF(COUNTIF(A$153:A426,A426)=1,B426,LOOKUP(1,0/(A$152:A425=A426),H$152:H425)&amp;","&amp;B426)</f>
        <v>11,60,268,274</v>
      </c>
    </row>
    <row r="427" spans="1:8" outlineLevel="1">
      <c r="A427" s="1" t="str">
        <f t="shared" si="20"/>
        <v>50*5037190.5-2黑</v>
      </c>
      <c r="B427" s="1">
        <v>275</v>
      </c>
      <c r="C427" s="2" t="s">
        <v>203</v>
      </c>
      <c r="D427" s="1">
        <v>37</v>
      </c>
      <c r="E427" s="1" t="s">
        <v>219</v>
      </c>
      <c r="G427" s="1" t="s">
        <v>1</v>
      </c>
      <c r="H427" s="2" t="str">
        <f>IF(COUNTIF(A$153:A427,A427)=1,B427,LOOKUP(1,0/(A$152:A426=A427),H$152:H426)&amp;","&amp;B427)</f>
        <v>11,60,268,274,275</v>
      </c>
    </row>
    <row r="428" spans="1:8" outlineLevel="1">
      <c r="A428" s="1" t="str">
        <f t="shared" si="20"/>
        <v>75*10050190.5黑</v>
      </c>
      <c r="B428" s="1">
        <v>276</v>
      </c>
      <c r="C428" s="2" t="s">
        <v>208</v>
      </c>
      <c r="D428" s="1">
        <v>50</v>
      </c>
      <c r="E428" s="1">
        <v>190.5</v>
      </c>
      <c r="G428" s="1" t="s">
        <v>785</v>
      </c>
      <c r="H428" s="2" t="str">
        <f>IF(COUNTIF(A$153:A428,A428)=1,B428,LOOKUP(1,0/(A$152:A427=A428),H$152:H427)&amp;","&amp;B428)</f>
        <v>31,123,170,276</v>
      </c>
    </row>
    <row r="429" spans="1:8" outlineLevel="1">
      <c r="A429" s="1" t="str">
        <f t="shared" si="20"/>
        <v>50*5037190.5黑</v>
      </c>
      <c r="B429" s="1">
        <v>277</v>
      </c>
      <c r="C429" s="2" t="s">
        <v>203</v>
      </c>
      <c r="D429" s="1">
        <v>37</v>
      </c>
      <c r="E429" s="1">
        <v>190.5</v>
      </c>
      <c r="G429" s="1" t="s">
        <v>1</v>
      </c>
      <c r="H429" s="2" t="str">
        <f>IF(COUNTIF(A$153:A429,A429)=1,B429,LOOKUP(1,0/(A$152:A428=A429),H$152:H428)&amp;","&amp;B429)</f>
        <v>40,45,51,54,63,71,277</v>
      </c>
    </row>
    <row r="430" spans="1:8" outlineLevel="1">
      <c r="A430" s="1" t="str">
        <f t="shared" si="20"/>
        <v>30*5031190白</v>
      </c>
      <c r="B430" s="1">
        <v>278</v>
      </c>
      <c r="C430" s="2" t="s">
        <v>781</v>
      </c>
      <c r="D430" s="1">
        <v>31</v>
      </c>
      <c r="E430" s="1">
        <v>190</v>
      </c>
      <c r="G430" s="1" t="s">
        <v>2</v>
      </c>
      <c r="H430" s="2" t="str">
        <f>IF(COUNTIF(A$153:A430,A430)=1,B430,LOOKUP(1,0/(A$152:A429=A430),H$152:H429)&amp;","&amp;B430)</f>
        <v>271,278</v>
      </c>
    </row>
    <row r="431" spans="1:8" outlineLevel="1">
      <c r="A431" s="1" t="str">
        <f t="shared" si="20"/>
        <v>50*5037190.5-1白</v>
      </c>
      <c r="B431" s="1">
        <v>279</v>
      </c>
      <c r="C431" s="2" t="s">
        <v>203</v>
      </c>
      <c r="D431" s="1">
        <v>37</v>
      </c>
      <c r="E431" s="1" t="s">
        <v>218</v>
      </c>
      <c r="G431" s="1" t="s">
        <v>783</v>
      </c>
      <c r="H431" s="2" t="str">
        <f>IF(COUNTIF(A$153:A431,A431)=1,B431,LOOKUP(1,0/(A$152:A430=A431),H$152:H430)&amp;","&amp;B431)</f>
        <v>7,10,21,22,29,30,36,42,44,50,52,55,56,61,67,68,89,91,95,96,98,113,118,119,272,279</v>
      </c>
    </row>
    <row r="432" spans="1:8" outlineLevel="1">
      <c r="A432" s="1" t="str">
        <f t="shared" si="20"/>
        <v>30*3023190白</v>
      </c>
      <c r="B432" s="1">
        <v>280</v>
      </c>
      <c r="C432" s="2" t="s">
        <v>201</v>
      </c>
      <c r="D432" s="1">
        <v>23</v>
      </c>
      <c r="E432" s="1">
        <v>190</v>
      </c>
      <c r="G432" s="1" t="s">
        <v>2</v>
      </c>
      <c r="H432" s="2" t="str">
        <f>IF(COUNTIF(A$153:A432,A432)=1,B432,LOOKUP(1,0/(A$152:A431=A432),H$152:H431)&amp;","&amp;B432)</f>
        <v>33,46,47,53,58,62,69,75,79,81,84,85,99,210,212,215,216,219,234,235,242,246,249,253,257,260,262,280</v>
      </c>
    </row>
    <row r="433" spans="1:8" outlineLevel="1">
      <c r="A433" s="1" t="str">
        <f t="shared" si="20"/>
        <v>50*5037190.5-2黑</v>
      </c>
      <c r="B433" s="1">
        <v>281</v>
      </c>
      <c r="C433" s="2" t="s">
        <v>203</v>
      </c>
      <c r="D433" s="1">
        <v>37</v>
      </c>
      <c r="E433" s="1" t="s">
        <v>219</v>
      </c>
      <c r="G433" s="1" t="s">
        <v>1</v>
      </c>
      <c r="H433" s="2" t="str">
        <f>IF(COUNTIF(A$153:A433,A433)=1,B433,LOOKUP(1,0/(A$152:A432=A433),H$152:H432)&amp;","&amp;B433)</f>
        <v>11,60,268,274,275,281</v>
      </c>
    </row>
    <row r="434" spans="1:8" outlineLevel="1">
      <c r="A434" s="1" t="str">
        <f t="shared" si="20"/>
        <v>30*3023190白</v>
      </c>
      <c r="B434" s="1">
        <v>282</v>
      </c>
      <c r="C434" s="2" t="s">
        <v>201</v>
      </c>
      <c r="D434" s="1">
        <v>23</v>
      </c>
      <c r="E434" s="1">
        <v>190</v>
      </c>
      <c r="G434" s="1" t="s">
        <v>2</v>
      </c>
      <c r="H434" s="2" t="str">
        <f>IF(COUNTIF(A$153:A434,A434)=1,B434,LOOKUP(1,0/(A$152:A433=A434),H$152:H433)&amp;","&amp;B434)</f>
        <v>33,46,47,53,58,62,69,75,79,81,84,85,99,210,212,215,216,219,234,235,242,246,249,253,257,260,262,280,282</v>
      </c>
    </row>
    <row r="435" spans="1:8" outlineLevel="1">
      <c r="A435" s="1" t="str">
        <f t="shared" si="20"/>
        <v>50*5037190.5-2黑</v>
      </c>
      <c r="B435" s="1">
        <v>283</v>
      </c>
      <c r="C435" s="2" t="s">
        <v>203</v>
      </c>
      <c r="D435" s="1">
        <v>37</v>
      </c>
      <c r="E435" s="1" t="s">
        <v>219</v>
      </c>
      <c r="G435" s="1" t="s">
        <v>1</v>
      </c>
      <c r="H435" s="2" t="str">
        <f>IF(COUNTIF(A$153:A435,A435)=1,B435,LOOKUP(1,0/(A$152:A434=A435),H$152:H434)&amp;","&amp;B435)</f>
        <v>11,60,268,274,275,281,283</v>
      </c>
    </row>
    <row r="436" spans="1:8" outlineLevel="1">
      <c r="A436" s="1" t="str">
        <f t="shared" si="20"/>
        <v>30*3023190白</v>
      </c>
      <c r="B436" s="1">
        <v>284</v>
      </c>
      <c r="C436" s="2" t="s">
        <v>201</v>
      </c>
      <c r="D436" s="1">
        <v>23</v>
      </c>
      <c r="E436" s="1">
        <v>190</v>
      </c>
      <c r="G436" s="1" t="s">
        <v>2</v>
      </c>
      <c r="H436" s="2" t="str">
        <f>IF(COUNTIF(A$153:A436,A436)=1,B436,LOOKUP(1,0/(A$152:A435=A436),H$152:H435)&amp;","&amp;B436)</f>
        <v>33,46,47,53,58,62,69,75,79,81,84,85,99,210,212,215,216,219,234,235,242,246,249,253,257,260,262,280,282,284</v>
      </c>
    </row>
    <row r="437" spans="1:8" outlineLevel="1">
      <c r="A437" s="1" t="str">
        <f t="shared" si="20"/>
        <v>30*3023190白</v>
      </c>
      <c r="B437" s="1">
        <v>285</v>
      </c>
      <c r="C437" s="2" t="s">
        <v>201</v>
      </c>
      <c r="D437" s="1">
        <v>23</v>
      </c>
      <c r="E437" s="1">
        <v>190</v>
      </c>
      <c r="G437" s="1" t="s">
        <v>2</v>
      </c>
      <c r="H437" s="2" t="str">
        <f>IF(COUNTIF(A$153:A437,A437)=1,B437,LOOKUP(1,0/(A$152:A436=A437),H$152:H436)&amp;","&amp;B437)</f>
        <v>33,46,47,53,58,62,69,75,79,81,84,85,99,210,212,215,216,219,234,235,242,246,249,253,257,260,262,280,282,284,285</v>
      </c>
    </row>
    <row r="438" spans="1:8" outlineLevel="1">
      <c r="A438" s="1" t="str">
        <f t="shared" si="20"/>
        <v>50*5037190.5黑</v>
      </c>
      <c r="B438" s="1">
        <v>286</v>
      </c>
      <c r="C438" s="2" t="s">
        <v>203</v>
      </c>
      <c r="D438" s="1">
        <v>37</v>
      </c>
      <c r="E438" s="1">
        <v>190.5</v>
      </c>
      <c r="G438" s="1" t="s">
        <v>1</v>
      </c>
      <c r="H438" s="2" t="str">
        <f>IF(COUNTIF(A$153:A438,A438)=1,B438,LOOKUP(1,0/(A$152:A437=A438),H$152:H437)&amp;","&amp;B438)</f>
        <v>40,45,51,54,63,71,277,286</v>
      </c>
    </row>
    <row r="439" spans="1:8" outlineLevel="1">
      <c r="A439" s="1" t="str">
        <f t="shared" si="20"/>
        <v>50*5037190.5-2黑</v>
      </c>
      <c r="B439" s="1">
        <v>287</v>
      </c>
      <c r="C439" s="2" t="s">
        <v>203</v>
      </c>
      <c r="D439" s="1">
        <v>37</v>
      </c>
      <c r="E439" s="1" t="s">
        <v>219</v>
      </c>
      <c r="G439" s="1" t="s">
        <v>1</v>
      </c>
      <c r="H439" s="2" t="str">
        <f>IF(COUNTIF(A$153:A439,A439)=1,B439,LOOKUP(1,0/(A$152:A438=A439),H$152:H438)&amp;","&amp;B439)</f>
        <v>11,60,268,274,275,281,283,287</v>
      </c>
    </row>
    <row r="440" spans="1:8" outlineLevel="1">
      <c r="A440" s="1" t="str">
        <f t="shared" si="20"/>
        <v>50*5037190.5-2黑</v>
      </c>
      <c r="B440" s="1">
        <v>288</v>
      </c>
      <c r="C440" s="2" t="s">
        <v>203</v>
      </c>
      <c r="D440" s="1">
        <v>37</v>
      </c>
      <c r="E440" s="1" t="s">
        <v>219</v>
      </c>
      <c r="G440" s="1" t="s">
        <v>1</v>
      </c>
      <c r="H440" s="2" t="str">
        <f>IF(COUNTIF(A$153:A440,A440)=1,B440,LOOKUP(1,0/(A$152:A439=A440),H$152:H439)&amp;","&amp;B440)</f>
        <v>11,60,268,274,275,281,283,287,288</v>
      </c>
    </row>
    <row r="441" spans="1:8" outlineLevel="1">
      <c r="A441" s="1" t="str">
        <f t="shared" si="20"/>
        <v>30*3023200白</v>
      </c>
      <c r="B441" s="1">
        <v>289</v>
      </c>
      <c r="C441" s="2" t="s">
        <v>201</v>
      </c>
      <c r="D441" s="1">
        <v>23</v>
      </c>
      <c r="E441" s="1">
        <v>200</v>
      </c>
      <c r="G441" s="1" t="s">
        <v>2</v>
      </c>
      <c r="H441" s="2" t="str">
        <f>IF(COUNTIF(A$153:A441,A441)=1,B441,LOOKUP(1,0/(A$152:A440=A441),H$152:H440)&amp;","&amp;B441)</f>
        <v>73,77,208,266,289</v>
      </c>
    </row>
    <row r="442" spans="1:8" outlineLevel="1">
      <c r="A442" s="1" t="str">
        <f t="shared" si="20"/>
        <v>20*2017197-10白</v>
      </c>
      <c r="B442" s="1">
        <v>290</v>
      </c>
      <c r="C442" s="2" t="s">
        <v>195</v>
      </c>
      <c r="D442" s="1">
        <v>17</v>
      </c>
      <c r="E442" s="1" t="s">
        <v>204</v>
      </c>
      <c r="G442" s="1" t="s">
        <v>2</v>
      </c>
      <c r="H442" s="2" t="str">
        <f>IF(COUNTIF(A$153:A442,A442)=1,B442,LOOKUP(1,0/(A$152:A441=A442),H$152:H441)&amp;","&amp;B442)</f>
        <v>211,213,214,217,220,222,225,226,227,229,231,232,233,236,237,238,239,240,241,243,248,250,252,254,255,256,258,259,261,263,264,267,273,290</v>
      </c>
    </row>
    <row r="443" spans="1:8" outlineLevel="1">
      <c r="A443" s="1" t="str">
        <f t="shared" si="20"/>
        <v>30*3023200白</v>
      </c>
      <c r="B443" s="1">
        <v>291</v>
      </c>
      <c r="C443" s="2" t="s">
        <v>201</v>
      </c>
      <c r="D443" s="1">
        <v>23</v>
      </c>
      <c r="E443" s="1">
        <v>200</v>
      </c>
      <c r="G443" s="1" t="s">
        <v>2</v>
      </c>
      <c r="H443" s="2" t="str">
        <f>IF(COUNTIF(A$153:A443,A443)=1,B443,LOOKUP(1,0/(A$152:A442=A443),H$152:H442)&amp;","&amp;B443)</f>
        <v>73,77,208,266,289,291</v>
      </c>
    </row>
    <row r="444" spans="1:8" outlineLevel="1">
      <c r="A444" s="1" t="str">
        <f t="shared" si="20"/>
        <v>20*2017197-4黑</v>
      </c>
      <c r="B444" s="1">
        <v>292</v>
      </c>
      <c r="C444" s="2" t="s">
        <v>195</v>
      </c>
      <c r="D444" s="1">
        <v>17</v>
      </c>
      <c r="E444" s="1" t="s">
        <v>202</v>
      </c>
      <c r="G444" s="1" t="s">
        <v>1</v>
      </c>
      <c r="H444" s="2" t="str">
        <f>IF(COUNTIF(A$153:A444,A444)=1,B444,LOOKUP(1,0/(A$152:A443=A444),H$152:H443)&amp;","&amp;B444)</f>
        <v>86,88,228,230,245,251,292</v>
      </c>
    </row>
    <row r="445" spans="1:8" outlineLevel="1">
      <c r="A445" s="1" t="str">
        <f t="shared" si="20"/>
        <v>30*3023190白</v>
      </c>
      <c r="B445" s="1">
        <v>293</v>
      </c>
      <c r="C445" s="2" t="s">
        <v>201</v>
      </c>
      <c r="D445" s="1">
        <v>23</v>
      </c>
      <c r="E445" s="1">
        <v>190</v>
      </c>
      <c r="G445" s="1" t="s">
        <v>2</v>
      </c>
      <c r="H445" s="2" t="str">
        <f>IF(COUNTIF(A$153:A445,A445)=1,B445,LOOKUP(1,0/(A$152:A444=A445),H$152:H444)&amp;","&amp;B445)</f>
        <v>33,46,47,53,58,62,69,75,79,81,84,85,99,210,212,215,216,219,234,235,242,246,249,253,257,260,262,280,282,284,285,293</v>
      </c>
    </row>
    <row r="446" spans="1:8" outlineLevel="1">
      <c r="A446" s="1" t="str">
        <f t="shared" si="20"/>
        <v>20*2017197-10白</v>
      </c>
      <c r="B446" s="1">
        <v>294</v>
      </c>
      <c r="C446" s="2" t="s">
        <v>195</v>
      </c>
      <c r="D446" s="1">
        <v>17</v>
      </c>
      <c r="E446" s="1" t="s">
        <v>204</v>
      </c>
      <c r="G446" s="1" t="s">
        <v>2</v>
      </c>
      <c r="H446" s="2" t="str">
        <f>IF(COUNTIF(A$153:A446,A446)=1,B446,LOOKUP(1,0/(A$152:A445=A446),H$152:H445)&amp;","&amp;B446)</f>
        <v>211,213,214,217,220,222,225,226,227,229,231,232,233,236,237,238,239,240,241,243,248,250,252,254,255,256,258,259,261,263,264,267,273,290,294</v>
      </c>
    </row>
    <row r="447" spans="1:8" outlineLevel="1">
      <c r="A447" s="1" t="str">
        <f t="shared" si="20"/>
        <v>30*3023192白</v>
      </c>
      <c r="B447" s="1">
        <v>295</v>
      </c>
      <c r="C447" s="2" t="s">
        <v>201</v>
      </c>
      <c r="D447" s="1">
        <v>23</v>
      </c>
      <c r="E447" s="1">
        <v>192</v>
      </c>
      <c r="G447" s="1" t="s">
        <v>2</v>
      </c>
      <c r="H447" s="2" t="str">
        <f>IF(COUNTIF(A$153:A447,A447)=1,B447,LOOKUP(1,0/(A$152:A446=A447),H$152:H446)&amp;","&amp;B447)</f>
        <v>41,76,83,209,224,295</v>
      </c>
    </row>
    <row r="448" spans="1:8" outlineLevel="1">
      <c r="A448" s="1" t="str">
        <f t="shared" si="20"/>
        <v>20*2017197-4黑</v>
      </c>
      <c r="B448" s="1">
        <v>296</v>
      </c>
      <c r="C448" s="2" t="s">
        <v>195</v>
      </c>
      <c r="D448" s="1">
        <v>17</v>
      </c>
      <c r="E448" s="1" t="s">
        <v>202</v>
      </c>
      <c r="G448" s="1" t="s">
        <v>1</v>
      </c>
      <c r="H448" s="2" t="str">
        <f>IF(COUNTIF(A$153:A448,A448)=1,B448,LOOKUP(1,0/(A$152:A447=A448),H$152:H447)&amp;","&amp;B448)</f>
        <v>86,88,228,230,245,251,292,296</v>
      </c>
    </row>
    <row r="449" spans="1:8" outlineLevel="1">
      <c r="A449" s="1" t="str">
        <f t="shared" si="20"/>
        <v>15*1513197-1白</v>
      </c>
      <c r="B449" s="1">
        <v>297</v>
      </c>
      <c r="C449" s="2" t="s">
        <v>194</v>
      </c>
      <c r="D449" s="1">
        <v>13</v>
      </c>
      <c r="E449" s="1" t="s">
        <v>196</v>
      </c>
      <c r="G449" s="1" t="s">
        <v>2</v>
      </c>
      <c r="H449" s="2" t="str">
        <f>IF(COUNTIF(A$153:A449,A449)=1,B449,LOOKUP(1,0/(A$152:A448=A449),H$152:H448)&amp;","&amp;B449)</f>
        <v>221,223,247,297</v>
      </c>
    </row>
    <row r="450" spans="1:8" outlineLevel="1">
      <c r="A450" s="1" t="str">
        <f t="shared" si="20"/>
        <v>20*2017197-10白</v>
      </c>
      <c r="B450" s="1">
        <v>298</v>
      </c>
      <c r="C450" s="2" t="s">
        <v>195</v>
      </c>
      <c r="D450" s="1">
        <v>17</v>
      </c>
      <c r="E450" s="1" t="s">
        <v>204</v>
      </c>
      <c r="G450" s="1" t="s">
        <v>2</v>
      </c>
      <c r="H450" s="2" t="str">
        <f>IF(COUNTIF(A$153:A450,A450)=1,B450,LOOKUP(1,0/(A$152:A449=A450),H$152:H449)&amp;","&amp;B450)</f>
        <v>211,213,214,217,220,222,225,226,227,229,231,232,233,236,237,238,239,240,241,243,248,250,252,254,255,256,258,259,261,263,264,267,273,290,294,298</v>
      </c>
    </row>
    <row r="451" spans="1:8" outlineLevel="1">
      <c r="A451" s="1" t="str">
        <f t="shared" si="20"/>
        <v>30*3023200白</v>
      </c>
      <c r="B451" s="1">
        <v>299</v>
      </c>
      <c r="C451" s="2" t="s">
        <v>201</v>
      </c>
      <c r="D451" s="1">
        <v>23</v>
      </c>
      <c r="E451" s="1">
        <v>200</v>
      </c>
      <c r="G451" s="1" t="s">
        <v>2</v>
      </c>
      <c r="H451" s="2" t="str">
        <f>IF(COUNTIF(A$153:A451,A451)=1,B451,LOOKUP(1,0/(A$152:A450=A451),H$152:H450)&amp;","&amp;B451)</f>
        <v>73,77,208,266,289,291,299</v>
      </c>
    </row>
    <row r="452" spans="1:8" outlineLevel="1">
      <c r="A452" s="1" t="str">
        <f t="shared" si="20"/>
        <v>20*2017197-10白</v>
      </c>
      <c r="B452" s="1">
        <v>300</v>
      </c>
      <c r="C452" s="2" t="s">
        <v>195</v>
      </c>
      <c r="D452" s="1">
        <v>17</v>
      </c>
      <c r="E452" s="1" t="s">
        <v>204</v>
      </c>
      <c r="G452" s="1" t="s">
        <v>2</v>
      </c>
      <c r="H452" s="2" t="str">
        <f>IF(COUNTIF(A$153:A452,A452)=1,B452,LOOKUP(1,0/(A$152:A451=A452),H$152:H451)&amp;","&amp;B452)</f>
        <v>211,213,214,217,220,222,225,226,227,229,231,232,233,236,237,238,239,240,241,243,248,250,252,254,255,256,258,259,261,263,264,267,273,290,294,298,300</v>
      </c>
    </row>
    <row r="453" spans="1:8" outlineLevel="1">
      <c r="A453" s="1" t="str">
        <f t="shared" si="20"/>
        <v>15*1513146白</v>
      </c>
      <c r="B453" s="1">
        <v>301</v>
      </c>
      <c r="C453" s="2" t="s">
        <v>194</v>
      </c>
      <c r="D453" s="1">
        <v>13</v>
      </c>
      <c r="E453" s="1">
        <v>146</v>
      </c>
      <c r="G453" s="1" t="s">
        <v>2</v>
      </c>
      <c r="H453" s="2" t="str">
        <f>IF(COUNTIF(A$153:A453,A453)=1,B453,LOOKUP(1,0/(A$152:A452=A453),H$152:H452)&amp;","&amp;B453)</f>
        <v>72,74,218,244,301</v>
      </c>
    </row>
    <row r="454" spans="1:8" outlineLevel="1">
      <c r="A454" s="1" t="str">
        <f t="shared" si="20"/>
        <v>20*2017197-4黑</v>
      </c>
      <c r="B454" s="1">
        <v>302</v>
      </c>
      <c r="C454" s="2" t="s">
        <v>195</v>
      </c>
      <c r="D454" s="1">
        <v>17</v>
      </c>
      <c r="E454" s="1" t="s">
        <v>202</v>
      </c>
      <c r="G454" s="1" t="s">
        <v>1</v>
      </c>
      <c r="H454" s="2" t="str">
        <f>IF(COUNTIF(A$153:A454,A454)=1,B454,LOOKUP(1,0/(A$152:A453=A454),H$152:H453)&amp;","&amp;B454)</f>
        <v>86,88,228,230,245,251,292,296,302</v>
      </c>
    </row>
    <row r="455" spans="1:8" outlineLevel="1">
      <c r="A455" s="1" t="str">
        <f t="shared" si="20"/>
        <v>20*2017197-4黑</v>
      </c>
      <c r="B455" s="1">
        <v>303</v>
      </c>
      <c r="C455" s="2" t="s">
        <v>195</v>
      </c>
      <c r="D455" s="1">
        <v>17</v>
      </c>
      <c r="E455" s="1" t="s">
        <v>202</v>
      </c>
      <c r="G455" s="1" t="s">
        <v>1</v>
      </c>
      <c r="H455" s="2" t="str">
        <f>IF(COUNTIF(A$153:A455,A455)=1,B455,LOOKUP(1,0/(A$152:A454=A455),H$152:H454)&amp;","&amp;B455)</f>
        <v>86,88,228,230,245,251,292,296,302,303</v>
      </c>
    </row>
    <row r="456" spans="1:8" outlineLevel="1">
      <c r="A456" s="1" t="str">
        <f t="shared" si="20"/>
        <v>30*3023190 打样白</v>
      </c>
      <c r="B456" s="1">
        <v>304</v>
      </c>
      <c r="C456" s="2" t="s">
        <v>201</v>
      </c>
      <c r="D456" s="1">
        <v>23</v>
      </c>
      <c r="E456" s="1" t="s">
        <v>214</v>
      </c>
      <c r="G456" s="1" t="s">
        <v>2</v>
      </c>
      <c r="H456" s="2" t="str">
        <f>IF(COUNTIF(A$153:A456,A456)=1,B456,LOOKUP(1,0/(A$152:A455=A456),H$152:H455)&amp;","&amp;B456)</f>
        <v>270,304</v>
      </c>
    </row>
    <row r="457" spans="1:8" outlineLevel="1">
      <c r="A457" s="1" t="str">
        <f t="shared" si="20"/>
        <v>50*5037190.5-2黑</v>
      </c>
      <c r="B457" s="1">
        <v>305</v>
      </c>
      <c r="C457" s="2" t="s">
        <v>203</v>
      </c>
      <c r="D457" s="1">
        <v>37</v>
      </c>
      <c r="E457" s="1" t="s">
        <v>219</v>
      </c>
      <c r="G457" s="1" t="s">
        <v>1</v>
      </c>
      <c r="H457" s="2" t="str">
        <f>IF(COUNTIF(A$153:A457,A457)=1,B457,LOOKUP(1,0/(A$152:A456=A457),H$152:H456)&amp;","&amp;B457)</f>
        <v>11,60,268,274,275,281,283,287,288,305</v>
      </c>
    </row>
    <row r="458" spans="1:8" outlineLevel="1">
      <c r="A458" s="1" t="str">
        <f t="shared" si="20"/>
        <v>50*5037190.5-2黑</v>
      </c>
      <c r="B458" s="1">
        <v>306</v>
      </c>
      <c r="C458" s="2" t="s">
        <v>203</v>
      </c>
      <c r="D458" s="1">
        <v>37</v>
      </c>
      <c r="E458" s="1" t="s">
        <v>219</v>
      </c>
      <c r="G458" s="1" t="s">
        <v>1</v>
      </c>
      <c r="H458" s="2" t="str">
        <f>IF(COUNTIF(A$153:A458,A458)=1,B458,LOOKUP(1,0/(A$152:A457=A458),H$152:H457)&amp;","&amp;B458)</f>
        <v>11,60,268,274,275,281,283,287,288,305,306</v>
      </c>
    </row>
    <row r="459" spans="1:8" outlineLevel="1">
      <c r="A459" s="1" t="str">
        <f t="shared" si="20"/>
        <v>30*3023190 打样白</v>
      </c>
      <c r="B459" s="1">
        <v>307</v>
      </c>
      <c r="C459" s="2" t="s">
        <v>201</v>
      </c>
      <c r="D459" s="1">
        <v>23</v>
      </c>
      <c r="E459" s="1" t="s">
        <v>214</v>
      </c>
      <c r="G459" s="1" t="s">
        <v>2</v>
      </c>
      <c r="H459" s="2" t="str">
        <f>IF(COUNTIF(A$153:A459,A459)=1,B459,LOOKUP(1,0/(A$152:A458=A459),H$152:H458)&amp;","&amp;B459)</f>
        <v>270,304,307</v>
      </c>
    </row>
    <row r="460" spans="1:8" outlineLevel="1">
      <c r="A460" s="1" t="str">
        <f t="shared" si="20"/>
        <v>50*5037190.5-2黑</v>
      </c>
      <c r="B460" s="1">
        <v>308</v>
      </c>
      <c r="C460" s="2" t="s">
        <v>203</v>
      </c>
      <c r="D460" s="1">
        <v>37</v>
      </c>
      <c r="E460" s="1" t="s">
        <v>219</v>
      </c>
      <c r="G460" s="1" t="s">
        <v>1</v>
      </c>
      <c r="H460" s="2" t="str">
        <f>IF(COUNTIF(A$153:A460,A460)=1,B460,LOOKUP(1,0/(A$152:A459=A460),H$152:H459)&amp;","&amp;B460)</f>
        <v>11,60,268,274,275,281,283,287,288,305,306,308</v>
      </c>
    </row>
    <row r="461" spans="1:8" outlineLevel="1">
      <c r="A461" s="1" t="str">
        <f t="shared" si="20"/>
        <v>50*5037190.5-2黑</v>
      </c>
      <c r="B461" s="1">
        <v>309</v>
      </c>
      <c r="C461" s="2" t="s">
        <v>203</v>
      </c>
      <c r="D461" s="1">
        <v>37</v>
      </c>
      <c r="E461" s="1" t="s">
        <v>219</v>
      </c>
      <c r="G461" s="1" t="s">
        <v>1</v>
      </c>
      <c r="H461" s="2" t="str">
        <f>IF(COUNTIF(A$153:A461,A461)=1,B461,LOOKUP(1,0/(A$152:A460=A461),H$152:H460)&amp;","&amp;B461)</f>
        <v>11,60,268,274,275,281,283,287,288,305,306,308,309</v>
      </c>
    </row>
    <row r="462" spans="1:8" outlineLevel="1">
      <c r="A462" s="1" t="str">
        <f t="shared" si="20"/>
        <v>50*5037190.5-2黑</v>
      </c>
      <c r="B462" s="1">
        <v>310</v>
      </c>
      <c r="C462" s="2" t="s">
        <v>203</v>
      </c>
      <c r="D462" s="1">
        <v>37</v>
      </c>
      <c r="E462" s="1" t="s">
        <v>219</v>
      </c>
      <c r="G462" s="1" t="s">
        <v>1</v>
      </c>
      <c r="H462" s="2" t="str">
        <f>IF(COUNTIF(A$153:A462,A462)=1,B462,LOOKUP(1,0/(A$152:A461=A462),H$152:H461)&amp;","&amp;B462)</f>
        <v>11,60,268,274,275,281,283,287,288,305,306,308,309,310</v>
      </c>
    </row>
    <row r="463" spans="1:8" outlineLevel="1">
      <c r="A463" s="1" t="str">
        <f t="shared" si="20"/>
        <v>50*5037190.5-2黑</v>
      </c>
      <c r="B463" s="1">
        <v>311</v>
      </c>
      <c r="C463" s="2" t="s">
        <v>203</v>
      </c>
      <c r="D463" s="1">
        <v>37</v>
      </c>
      <c r="E463" s="1" t="s">
        <v>219</v>
      </c>
      <c r="G463" s="1" t="s">
        <v>1</v>
      </c>
      <c r="H463" s="2" t="str">
        <f>IF(COUNTIF(A$153:A463,A463)=1,B463,LOOKUP(1,0/(A$152:A462=A463),H$152:H462)&amp;","&amp;B463)</f>
        <v>11,60,268,274,275,281,283,287,288,305,306,308,309,310,311</v>
      </c>
    </row>
    <row r="464" spans="1:8" outlineLevel="1">
      <c r="A464" s="1" t="str">
        <f t="shared" si="20"/>
        <v>15*1513197-1白</v>
      </c>
      <c r="B464" s="1">
        <v>312</v>
      </c>
      <c r="C464" s="2" t="s">
        <v>194</v>
      </c>
      <c r="D464" s="1">
        <v>13</v>
      </c>
      <c r="E464" s="1" t="s">
        <v>196</v>
      </c>
      <c r="G464" s="1" t="s">
        <v>2</v>
      </c>
      <c r="H464" s="2" t="str">
        <f>IF(COUNTIF(A$153:A464,A464)=1,B464,LOOKUP(1,0/(A$152:A463=A464),H$152:H463)&amp;","&amp;B464)</f>
        <v>221,223,247,297,312</v>
      </c>
    </row>
    <row r="465" spans="1:8" outlineLevel="1">
      <c r="A465" s="1" t="str">
        <f t="shared" si="20"/>
        <v>30*3023190白</v>
      </c>
      <c r="B465" s="1">
        <v>313</v>
      </c>
      <c r="C465" s="2" t="s">
        <v>201</v>
      </c>
      <c r="D465" s="1">
        <v>23</v>
      </c>
      <c r="E465" s="1">
        <v>190</v>
      </c>
      <c r="G465" s="1" t="s">
        <v>2</v>
      </c>
      <c r="H465" s="2" t="str">
        <f>IF(COUNTIF(A$153:A465,A465)=1,B465,LOOKUP(1,0/(A$152:A464=A465),H$152:H464)&amp;","&amp;B465)</f>
        <v>33,46,47,53,58,62,69,75,79,81,84,85,99,210,212,215,216,219,234,235,242,246,249,253,257,260,262,280,282,284,285,293,313</v>
      </c>
    </row>
    <row r="466" spans="1:8" outlineLevel="1">
      <c r="A466" s="1" t="str">
        <f t="shared" si="20"/>
        <v>50*5037190.5-2黑</v>
      </c>
      <c r="B466" s="1">
        <v>314</v>
      </c>
      <c r="C466" s="2" t="s">
        <v>203</v>
      </c>
      <c r="D466" s="1">
        <v>37</v>
      </c>
      <c r="E466" s="1" t="s">
        <v>219</v>
      </c>
      <c r="G466" s="1" t="s">
        <v>1</v>
      </c>
      <c r="H466" s="2" t="str">
        <f>IF(COUNTIF(A$153:A466,A466)=1,B466,LOOKUP(1,0/(A$152:A465=A466),H$152:H465)&amp;","&amp;B466)</f>
        <v>11,60,268,274,275,281,283,287,288,305,306,308,309,310,311,314</v>
      </c>
    </row>
    <row r="467" spans="1:8" outlineLevel="1">
      <c r="A467" s="1" t="str">
        <f t="shared" si="20"/>
        <v>20*2017197-10白</v>
      </c>
      <c r="B467" s="1">
        <v>315</v>
      </c>
      <c r="C467" s="2" t="s">
        <v>195</v>
      </c>
      <c r="D467" s="1">
        <v>17</v>
      </c>
      <c r="E467" s="1" t="s">
        <v>204</v>
      </c>
      <c r="G467" s="1" t="s">
        <v>2</v>
      </c>
      <c r="H467" s="2" t="str">
        <f>IF(COUNTIF(A$153:A467,A467)=1,B467,LOOKUP(1,0/(A$152:A466=A467),H$152:H466)&amp;","&amp;B467)</f>
        <v>211,213,214,217,220,222,225,226,227,229,231,232,233,236,237,238,239,240,241,243,248,250,252,254,255,256,258,259,261,263,264,267,273,290,294,298,300,315</v>
      </c>
    </row>
    <row r="468" spans="1:8" outlineLevel="1">
      <c r="A468" s="1" t="str">
        <f t="shared" si="20"/>
        <v>20*2017197-10白</v>
      </c>
      <c r="B468" s="1">
        <v>316</v>
      </c>
      <c r="C468" s="2" t="s">
        <v>195</v>
      </c>
      <c r="D468" s="1">
        <v>17</v>
      </c>
      <c r="E468" s="1" t="s">
        <v>204</v>
      </c>
      <c r="G468" s="1" t="s">
        <v>2</v>
      </c>
      <c r="H468" s="2" t="str">
        <f>IF(COUNTIF(A$153:A468,A468)=1,B468,LOOKUP(1,0/(A$152:A467=A468),H$152:H467)&amp;","&amp;B468)</f>
        <v>211,213,214,217,220,222,225,226,227,229,231,232,233,236,237,238,239,240,241,243,248,250,252,254,255,256,258,259,261,263,264,267,273,290,294,298,300,315,316</v>
      </c>
    </row>
    <row r="469" spans="1:8" outlineLevel="1">
      <c r="A469" s="1" t="str">
        <f t="shared" si="20"/>
        <v>50*50506066白</v>
      </c>
      <c r="B469" s="1">
        <v>317</v>
      </c>
      <c r="C469" s="2" t="s">
        <v>782</v>
      </c>
      <c r="D469" s="1">
        <v>5060</v>
      </c>
      <c r="E469" s="1">
        <v>66</v>
      </c>
      <c r="G469" s="1" t="s">
        <v>783</v>
      </c>
      <c r="H469" s="2" t="str">
        <f>IF(COUNTIF(A$153:A469,A469)=1,B469,LOOKUP(1,0/(A$152:A468=A469),H$152:H468)&amp;","&amp;B469)</f>
        <v>43,87,317</v>
      </c>
    </row>
    <row r="470" spans="1:8" outlineLevel="1">
      <c r="A470" s="1" t="str">
        <f t="shared" si="20"/>
        <v>30*3023201白</v>
      </c>
      <c r="B470" s="1">
        <v>318</v>
      </c>
      <c r="C470" s="2" t="s">
        <v>201</v>
      </c>
      <c r="D470" s="1">
        <v>23</v>
      </c>
      <c r="E470" s="1">
        <v>201</v>
      </c>
      <c r="G470" s="1" t="s">
        <v>2</v>
      </c>
      <c r="H470" s="2" t="str">
        <f>IF(COUNTIF(A$153:A470,A470)=1,B470,LOOKUP(1,0/(A$152:A469=A470),H$152:H469)&amp;","&amp;B470)</f>
        <v>265,318</v>
      </c>
    </row>
    <row r="471" spans="1:8" outlineLevel="1">
      <c r="A471" s="1" t="str">
        <f t="shared" si="20"/>
        <v>50*5037190.5-2黑</v>
      </c>
      <c r="B471" s="1">
        <v>319</v>
      </c>
      <c r="C471" s="2" t="s">
        <v>203</v>
      </c>
      <c r="D471" s="1">
        <v>37</v>
      </c>
      <c r="E471" s="1" t="s">
        <v>219</v>
      </c>
      <c r="G471" s="1" t="s">
        <v>1</v>
      </c>
      <c r="H471" s="2" t="str">
        <f>IF(COUNTIF(A$153:A471,A471)=1,B471,LOOKUP(1,0/(A$152:A470=A471),H$152:H470)&amp;","&amp;B471)</f>
        <v>11,60,268,274,275,281,283,287,288,305,306,308,309,310,311,314,319</v>
      </c>
    </row>
    <row r="472" spans="1:8" outlineLevel="1">
      <c r="A472" s="1" t="str">
        <f t="shared" si="20"/>
        <v>20*2017146-3白</v>
      </c>
      <c r="B472" s="1">
        <v>320</v>
      </c>
      <c r="C472" s="2" t="s">
        <v>195</v>
      </c>
      <c r="D472" s="1">
        <v>17</v>
      </c>
      <c r="E472" s="1" t="s">
        <v>199</v>
      </c>
      <c r="G472" s="1" t="s">
        <v>2</v>
      </c>
      <c r="H472" s="2">
        <f>IF(COUNTIF(A$153:A472,A472)=1,B472,LOOKUP(1,0/(A$152:A471=A472),H$152:H471)&amp;","&amp;B472)</f>
        <v>320</v>
      </c>
    </row>
    <row r="473" spans="1:8" outlineLevel="1">
      <c r="A473" s="1" t="str">
        <f t="shared" si="20"/>
        <v>30*3023192白</v>
      </c>
      <c r="B473" s="1">
        <v>321</v>
      </c>
      <c r="C473" s="2" t="s">
        <v>201</v>
      </c>
      <c r="D473" s="1">
        <v>23</v>
      </c>
      <c r="E473" s="1">
        <v>192</v>
      </c>
      <c r="G473" s="1" t="s">
        <v>2</v>
      </c>
      <c r="H473" s="2" t="str">
        <f>IF(COUNTIF(A$153:A473,A473)=1,B473,LOOKUP(1,0/(A$152:A472=A473),H$152:H472)&amp;","&amp;B473)</f>
        <v>41,76,83,209,224,295,321</v>
      </c>
    </row>
    <row r="474" spans="1:8" outlineLevel="1">
      <c r="A474" s="1" t="str">
        <f t="shared" ref="A474:A482" si="21">C474&amp;D474&amp;E474&amp;G474</f>
        <v>30*3023192白</v>
      </c>
      <c r="B474" s="1">
        <v>322</v>
      </c>
      <c r="C474" s="2" t="s">
        <v>201</v>
      </c>
      <c r="D474" s="1">
        <v>23</v>
      </c>
      <c r="E474" s="1">
        <v>192</v>
      </c>
      <c r="G474" s="1" t="s">
        <v>2</v>
      </c>
      <c r="H474" s="2" t="str">
        <f>IF(COUNTIF(A$153:A474,A474)=1,B474,LOOKUP(1,0/(A$152:A473=A474),H$152:H473)&amp;","&amp;B474)</f>
        <v>41,76,83,209,224,295,321,322</v>
      </c>
    </row>
    <row r="475" spans="1:8" outlineLevel="1">
      <c r="A475" s="1" t="str">
        <f t="shared" si="21"/>
        <v>20*2017197-10白</v>
      </c>
      <c r="B475" s="1">
        <v>323</v>
      </c>
      <c r="C475" s="2" t="s">
        <v>195</v>
      </c>
      <c r="D475" s="1">
        <v>17</v>
      </c>
      <c r="E475" s="1" t="s">
        <v>204</v>
      </c>
      <c r="G475" s="1" t="s">
        <v>2</v>
      </c>
      <c r="H475" s="2" t="str">
        <f>IF(COUNTIF(A$153:A475,A475)=1,B475,LOOKUP(1,0/(A$152:A474=A475),H$152:H474)&amp;","&amp;B475)</f>
        <v>211,213,214,217,220,222,225,226,227,229,231,232,233,236,237,238,239,240,241,243,248,250,252,254,255,256,258,259,261,263,264,267,273,290,294,298,300,315,316,323</v>
      </c>
    </row>
    <row r="476" spans="1:8" outlineLevel="1">
      <c r="A476" s="1" t="str">
        <f t="shared" si="21"/>
        <v>20*2017197-10白</v>
      </c>
      <c r="B476" s="1">
        <v>324</v>
      </c>
      <c r="C476" s="2" t="s">
        <v>195</v>
      </c>
      <c r="D476" s="1">
        <v>17</v>
      </c>
      <c r="E476" s="1" t="s">
        <v>204</v>
      </c>
      <c r="G476" s="1" t="s">
        <v>2</v>
      </c>
      <c r="H476" s="2" t="str">
        <f>IF(COUNTIF(A$153:A476,A476)=1,B476,LOOKUP(1,0/(A$152:A475=A476),H$152:H475)&amp;","&amp;B476)</f>
        <v>211,213,214,217,220,222,225,226,227,229,231,232,233,236,237,238,239,240,241,243,248,250,252,254,255,256,258,259,261,263,264,267,273,290,294,298,300,315,316,323,324</v>
      </c>
    </row>
    <row r="477" spans="1:8" outlineLevel="1">
      <c r="A477" s="1" t="str">
        <f t="shared" si="21"/>
        <v>30*3023201白</v>
      </c>
      <c r="B477" s="1">
        <v>325</v>
      </c>
      <c r="C477" s="2" t="s">
        <v>201</v>
      </c>
      <c r="D477" s="1">
        <v>23</v>
      </c>
      <c r="E477" s="1">
        <v>201</v>
      </c>
      <c r="G477" s="1" t="s">
        <v>2</v>
      </c>
      <c r="H477" s="2" t="str">
        <f>IF(COUNTIF(A$153:A477,A477)=1,B477,LOOKUP(1,0/(A$152:A476=A477),H$152:H476)&amp;","&amp;B477)</f>
        <v>265,318,325</v>
      </c>
    </row>
    <row r="478" spans="1:8" outlineLevel="1">
      <c r="A478" s="1" t="str">
        <f t="shared" si="21"/>
        <v>20*2017197-10白</v>
      </c>
      <c r="B478" s="1">
        <v>326</v>
      </c>
      <c r="C478" s="2" t="s">
        <v>195</v>
      </c>
      <c r="D478" s="1">
        <v>17</v>
      </c>
      <c r="E478" s="1" t="s">
        <v>204</v>
      </c>
      <c r="G478" s="1" t="s">
        <v>2</v>
      </c>
      <c r="H478" s="2" t="str">
        <f>IF(COUNTIF(A$153:A478,A478)=1,B478,LOOKUP(1,0/(A$152:A477=A478),H$152:H477)&amp;","&amp;B478)</f>
        <v>211,213,214,217,220,222,225,226,227,229,231,232,233,236,237,238,239,240,241,243,248,250,252,254,255,256,258,259,261,263,264,267,273,290,294,298,300,315,316,323,324,326</v>
      </c>
    </row>
    <row r="479" spans="1:8" outlineLevel="1">
      <c r="A479" s="1" t="str">
        <f t="shared" si="21"/>
        <v>20*2017197-10白</v>
      </c>
      <c r="B479" s="1">
        <v>327</v>
      </c>
      <c r="C479" s="2" t="s">
        <v>195</v>
      </c>
      <c r="D479" s="1">
        <v>17</v>
      </c>
      <c r="E479" s="1" t="s">
        <v>204</v>
      </c>
      <c r="G479" s="1" t="s">
        <v>2</v>
      </c>
      <c r="H479" s="2" t="str">
        <f>IF(COUNTIF(A$153:A479,A479)=1,B479,LOOKUP(1,0/(A$152:A478=A479),H$152:H478)&amp;","&amp;B479)</f>
        <v>211,213,214,217,220,222,225,226,227,229,231,232,233,236,237,238,239,240,241,243,248,250,252,254,255,256,258,259,261,263,264,267,273,290,294,298,300,315,316,323,324,326,327</v>
      </c>
    </row>
    <row r="480" spans="1:8" outlineLevel="1">
      <c r="A480" s="1" t="str">
        <f t="shared" si="21"/>
        <v>15*1513197-1白</v>
      </c>
      <c r="B480" s="1">
        <v>328</v>
      </c>
      <c r="C480" s="2" t="s">
        <v>194</v>
      </c>
      <c r="D480" s="1">
        <v>13</v>
      </c>
      <c r="E480" s="1" t="s">
        <v>196</v>
      </c>
      <c r="G480" s="1" t="s">
        <v>2</v>
      </c>
      <c r="H480" s="2" t="str">
        <f>IF(COUNTIF(A$153:A480,A480)=1,B480,LOOKUP(1,0/(A$152:A479=A480),H$152:H479)&amp;","&amp;B480)</f>
        <v>221,223,247,297,312,328</v>
      </c>
    </row>
    <row r="481" spans="1:8" outlineLevel="1">
      <c r="A481" s="1" t="str">
        <f t="shared" si="21"/>
        <v>50*5037190.5-2黑</v>
      </c>
      <c r="B481" s="1">
        <v>329</v>
      </c>
      <c r="C481" s="2" t="s">
        <v>203</v>
      </c>
      <c r="D481" s="1">
        <v>37</v>
      </c>
      <c r="E481" s="1" t="s">
        <v>219</v>
      </c>
      <c r="G481" s="1" t="s">
        <v>1</v>
      </c>
      <c r="H481" s="2" t="str">
        <f>IF(COUNTIF(A$153:A481,A481)=1,B481,LOOKUP(1,0/(A$152:A480=A481),H$152:H480)&amp;","&amp;B481)</f>
        <v>11,60,268,274,275,281,283,287,288,305,306,308,309,310,311,314,319,329</v>
      </c>
    </row>
    <row r="482" spans="1:8" outlineLevel="1">
      <c r="A482" s="1" t="str">
        <f t="shared" si="21"/>
        <v>50*5037190.5-2黑</v>
      </c>
      <c r="B482" s="1">
        <v>330</v>
      </c>
      <c r="C482" s="2" t="s">
        <v>203</v>
      </c>
      <c r="D482" s="1">
        <v>37</v>
      </c>
      <c r="E482" s="1" t="s">
        <v>219</v>
      </c>
      <c r="G482" s="1" t="s">
        <v>1</v>
      </c>
      <c r="H482" s="2" t="str">
        <f>IF(COUNTIF(A$153:A482,A482)=1,B482,LOOKUP(1,0/(A$152:A481=A482),H$152:H481)&amp;","&amp;B482)</f>
        <v>11,60,268,274,275,281,283,287,288,305,306,308,309,310,311,314,319,329,330</v>
      </c>
    </row>
    <row r="483" spans="1:8" outlineLevel="1">
      <c r="B483" s="181" t="s">
        <v>1636</v>
      </c>
      <c r="C483" s="2"/>
      <c r="D483" s="177"/>
      <c r="E483" s="177"/>
      <c r="F483" s="177"/>
      <c r="G483" s="177"/>
      <c r="H483" s="177"/>
    </row>
    <row r="484" spans="1:8" ht="20.25">
      <c r="B484" s="331" t="s">
        <v>787</v>
      </c>
      <c r="C484" s="331"/>
      <c r="D484" s="331"/>
      <c r="E484" s="331"/>
      <c r="F484" s="331"/>
      <c r="G484" s="331"/>
      <c r="H484" s="331"/>
    </row>
    <row r="485" spans="1:8" ht="28.5" customHeight="1">
      <c r="B485" s="33" t="s">
        <v>4</v>
      </c>
      <c r="C485" s="42" t="s">
        <v>11</v>
      </c>
      <c r="D485" s="33" t="s">
        <v>768</v>
      </c>
      <c r="E485" s="33" t="s">
        <v>268</v>
      </c>
      <c r="F485" s="33" t="s">
        <v>124</v>
      </c>
      <c r="G485" s="33" t="s">
        <v>775</v>
      </c>
      <c r="H485" s="42" t="s">
        <v>776</v>
      </c>
    </row>
    <row r="486" spans="1:8" ht="27.95" customHeight="1">
      <c r="A486" s="1" t="str">
        <f>B486&amp;C486&amp;D486&amp;F486</f>
        <v>75*7543190.5白</v>
      </c>
      <c r="B486" s="8" t="s">
        <v>206</v>
      </c>
      <c r="C486" s="4">
        <v>43</v>
      </c>
      <c r="D486" s="8">
        <v>190.5</v>
      </c>
      <c r="E486" s="8"/>
      <c r="F486" s="8" t="s">
        <v>2</v>
      </c>
      <c r="G486" s="24">
        <f>COUNTIF($A$153:$A$482,A486)</f>
        <v>23</v>
      </c>
      <c r="H486" s="52" t="str">
        <f>LOOKUP(1,0/($A$153:$A$482=A486),$H$153:$H$482)</f>
        <v>1,6,8,13,20,38,49,93,108,116,124,141,149,151,156,158,162,165,172,177,188,198,205</v>
      </c>
    </row>
    <row r="487" spans="1:8" ht="27.95" customHeight="1">
      <c r="A487" s="1" t="str">
        <f t="shared" ref="A487:A517" si="22">B487&amp;C487&amp;D487&amp;F487</f>
        <v>75*7543190.5黑</v>
      </c>
      <c r="B487" s="8" t="s">
        <v>206</v>
      </c>
      <c r="C487" s="4">
        <v>43</v>
      </c>
      <c r="D487" s="8">
        <v>190.5</v>
      </c>
      <c r="E487" s="8"/>
      <c r="F487" s="8" t="s">
        <v>1</v>
      </c>
      <c r="G487" s="24">
        <f t="shared" ref="G487:G512" si="23">COUNTIF($A$153:$A$482,A487)</f>
        <v>30</v>
      </c>
      <c r="H487" s="52" t="str">
        <f t="shared" ref="H487:H512" si="24">LOOKUP(1,0/($A$153:$A$482=A487),$H$153:$H$482)</f>
        <v>2,9,17,18,25,28,57,102,103,105,107,109,114,122,125,127,134,135,137,138,139,142,143,146,160,166,187,190,200,201</v>
      </c>
    </row>
    <row r="488" spans="1:8" ht="27.95" customHeight="1">
      <c r="A488" s="1" t="str">
        <f t="shared" si="22"/>
        <v>75*30070190黑</v>
      </c>
      <c r="B488" s="8" t="s">
        <v>209</v>
      </c>
      <c r="C488" s="4">
        <v>70</v>
      </c>
      <c r="D488" s="8">
        <v>190</v>
      </c>
      <c r="E488" s="8"/>
      <c r="F488" s="8" t="s">
        <v>1</v>
      </c>
      <c r="G488" s="24">
        <f t="shared" si="23"/>
        <v>16</v>
      </c>
      <c r="H488" s="52" t="str">
        <f t="shared" si="24"/>
        <v>3,14,15,26,27,48,66,97,117,120,121,128,129,130,136,147</v>
      </c>
    </row>
    <row r="489" spans="1:8" ht="27.95" customHeight="1">
      <c r="A489" s="1" t="str">
        <f t="shared" si="22"/>
        <v>75*10050190.5白</v>
      </c>
      <c r="B489" s="8" t="s">
        <v>208</v>
      </c>
      <c r="C489" s="4">
        <v>50</v>
      </c>
      <c r="D489" s="8">
        <v>190.5</v>
      </c>
      <c r="E489" s="8"/>
      <c r="F489" s="8" t="s">
        <v>2</v>
      </c>
      <c r="G489" s="24">
        <f t="shared" si="23"/>
        <v>6</v>
      </c>
      <c r="H489" s="52" t="str">
        <f t="shared" si="24"/>
        <v>4,12,133,155,179,181</v>
      </c>
    </row>
    <row r="490" spans="1:8" ht="27.95" customHeight="1">
      <c r="A490" s="1" t="str">
        <f t="shared" si="22"/>
        <v>75*15054190.5黑</v>
      </c>
      <c r="B490" s="8" t="s">
        <v>211</v>
      </c>
      <c r="C490" s="4">
        <v>54</v>
      </c>
      <c r="D490" s="8">
        <v>190.5</v>
      </c>
      <c r="E490" s="8"/>
      <c r="F490" s="8" t="s">
        <v>1</v>
      </c>
      <c r="G490" s="24">
        <f t="shared" si="23"/>
        <v>9</v>
      </c>
      <c r="H490" s="52" t="str">
        <f t="shared" si="24"/>
        <v>5,64,82,94,115,131,145,193,203</v>
      </c>
    </row>
    <row r="491" spans="1:8" ht="27.95" customHeight="1">
      <c r="A491" s="1" t="str">
        <f t="shared" si="22"/>
        <v>50*5037190.5-2黑</v>
      </c>
      <c r="B491" s="8" t="s">
        <v>203</v>
      </c>
      <c r="C491" s="4">
        <v>37</v>
      </c>
      <c r="D491" s="8" t="s">
        <v>219</v>
      </c>
      <c r="E491" s="8"/>
      <c r="F491" s="8" t="s">
        <v>1</v>
      </c>
      <c r="G491" s="24">
        <f t="shared" si="23"/>
        <v>19</v>
      </c>
      <c r="H491" s="52" t="str">
        <f t="shared" si="24"/>
        <v>11,60,268,274,275,281,283,287,288,305,306,308,309,310,311,314,319,329,330</v>
      </c>
    </row>
    <row r="492" spans="1:8" ht="27.95" customHeight="1">
      <c r="A492" s="1" t="str">
        <f t="shared" si="22"/>
        <v>75*15058190.5白</v>
      </c>
      <c r="B492" s="8" t="s">
        <v>211</v>
      </c>
      <c r="C492" s="4">
        <v>58</v>
      </c>
      <c r="D492" s="8">
        <v>190.5</v>
      </c>
      <c r="E492" s="8"/>
      <c r="F492" s="8" t="s">
        <v>2</v>
      </c>
      <c r="G492" s="24">
        <f t="shared" si="23"/>
        <v>8</v>
      </c>
      <c r="H492" s="52" t="str">
        <f t="shared" si="24"/>
        <v>16,34,37,92,132,157,204,206</v>
      </c>
    </row>
    <row r="493" spans="1:8" ht="27.95" customHeight="1">
      <c r="A493" s="1" t="str">
        <f t="shared" si="22"/>
        <v>50*7544190.5白</v>
      </c>
      <c r="B493" s="8" t="s">
        <v>205</v>
      </c>
      <c r="C493" s="4">
        <v>44</v>
      </c>
      <c r="D493" s="8">
        <v>190.5</v>
      </c>
      <c r="E493" s="8"/>
      <c r="F493" s="8" t="s">
        <v>2</v>
      </c>
      <c r="G493" s="24">
        <f t="shared" si="23"/>
        <v>7</v>
      </c>
      <c r="H493" s="52" t="str">
        <f t="shared" si="24"/>
        <v>19,23,24,35,65,100,112</v>
      </c>
    </row>
    <row r="494" spans="1:8" ht="27.95" customHeight="1">
      <c r="A494" s="1" t="str">
        <f t="shared" si="22"/>
        <v>75*10050190.5黑</v>
      </c>
      <c r="B494" s="8" t="s">
        <v>208</v>
      </c>
      <c r="C494" s="4">
        <v>50</v>
      </c>
      <c r="D494" s="8">
        <v>190.5</v>
      </c>
      <c r="E494" s="8"/>
      <c r="F494" s="8" t="s">
        <v>1</v>
      </c>
      <c r="G494" s="24">
        <f t="shared" si="23"/>
        <v>4</v>
      </c>
      <c r="H494" s="52" t="str">
        <f t="shared" si="24"/>
        <v>31,123,170,276</v>
      </c>
    </row>
    <row r="495" spans="1:8" ht="27.95" customHeight="1">
      <c r="A495" s="1" t="str">
        <f t="shared" si="22"/>
        <v>75*15058190.5黑</v>
      </c>
      <c r="B495" s="8" t="s">
        <v>211</v>
      </c>
      <c r="C495" s="4">
        <v>58</v>
      </c>
      <c r="D495" s="8">
        <v>190.5</v>
      </c>
      <c r="E495" s="8"/>
      <c r="F495" s="8" t="s">
        <v>1</v>
      </c>
      <c r="G495" s="24">
        <f t="shared" si="23"/>
        <v>4</v>
      </c>
      <c r="H495" s="52" t="str">
        <f t="shared" si="24"/>
        <v>32,163,168,178</v>
      </c>
    </row>
    <row r="496" spans="1:8" ht="27.95" customHeight="1">
      <c r="A496" s="1" t="str">
        <f t="shared" si="22"/>
        <v>30*3023190白</v>
      </c>
      <c r="B496" s="8" t="s">
        <v>201</v>
      </c>
      <c r="C496" s="4">
        <v>23</v>
      </c>
      <c r="D496" s="8">
        <v>190</v>
      </c>
      <c r="E496" s="8"/>
      <c r="F496" s="8" t="s">
        <v>2</v>
      </c>
      <c r="G496" s="24">
        <f t="shared" si="23"/>
        <v>33</v>
      </c>
      <c r="H496" s="52" t="str">
        <f t="shared" si="24"/>
        <v>33,46,47,53,58,62,69,75,79,81,84,85,99,210,212,215,216,219,234,235,242,246,249,253,257,260,262,280,282,284,285,293,313</v>
      </c>
    </row>
    <row r="497" spans="1:8" ht="27.95" customHeight="1">
      <c r="A497" s="1" t="str">
        <f t="shared" si="22"/>
        <v>50*5037190.5黑</v>
      </c>
      <c r="B497" s="8" t="s">
        <v>203</v>
      </c>
      <c r="C497" s="4">
        <v>37</v>
      </c>
      <c r="D497" s="8">
        <v>190.5</v>
      </c>
      <c r="E497" s="8"/>
      <c r="F497" s="8" t="s">
        <v>1</v>
      </c>
      <c r="G497" s="24">
        <f t="shared" si="23"/>
        <v>8</v>
      </c>
      <c r="H497" s="52" t="str">
        <f t="shared" si="24"/>
        <v>40,45,51,54,63,71,277,286</v>
      </c>
    </row>
    <row r="498" spans="1:8" ht="27.95" customHeight="1">
      <c r="A498" s="1" t="str">
        <f t="shared" si="22"/>
        <v>50*50506066白</v>
      </c>
      <c r="B498" s="8" t="s">
        <v>203</v>
      </c>
      <c r="C498" s="4">
        <v>5060</v>
      </c>
      <c r="D498" s="8">
        <v>66</v>
      </c>
      <c r="E498" s="8"/>
      <c r="F498" s="8" t="s">
        <v>2</v>
      </c>
      <c r="G498" s="24">
        <f t="shared" si="23"/>
        <v>3</v>
      </c>
      <c r="H498" s="52" t="str">
        <f t="shared" si="24"/>
        <v>43,87,317</v>
      </c>
    </row>
    <row r="499" spans="1:8" ht="27.95" customHeight="1">
      <c r="A499" s="1" t="str">
        <f t="shared" si="22"/>
        <v>15*1513146白</v>
      </c>
      <c r="B499" s="8" t="s">
        <v>194</v>
      </c>
      <c r="C499" s="4">
        <v>13</v>
      </c>
      <c r="D499" s="8">
        <v>146</v>
      </c>
      <c r="E499" s="8"/>
      <c r="F499" s="8" t="s">
        <v>2</v>
      </c>
      <c r="G499" s="24">
        <f t="shared" si="23"/>
        <v>5</v>
      </c>
      <c r="H499" s="52" t="str">
        <f t="shared" si="24"/>
        <v>72,74,218,244,301</v>
      </c>
    </row>
    <row r="500" spans="1:8" ht="27.95" customHeight="1">
      <c r="A500" s="1" t="str">
        <f t="shared" si="22"/>
        <v>20*2017197-4黑</v>
      </c>
      <c r="B500" s="8" t="s">
        <v>195</v>
      </c>
      <c r="C500" s="4">
        <v>17</v>
      </c>
      <c r="D500" s="8" t="s">
        <v>202</v>
      </c>
      <c r="E500" s="8"/>
      <c r="F500" s="8" t="s">
        <v>1</v>
      </c>
      <c r="G500" s="24">
        <f t="shared" si="23"/>
        <v>10</v>
      </c>
      <c r="H500" s="52" t="str">
        <f t="shared" si="24"/>
        <v>86,88,228,230,245,251,292,296,302,303</v>
      </c>
    </row>
    <row r="501" spans="1:8" ht="27.95" customHeight="1">
      <c r="A501" s="1" t="str">
        <f t="shared" si="22"/>
        <v>75*15054190.5白</v>
      </c>
      <c r="B501" s="8" t="s">
        <v>211</v>
      </c>
      <c r="C501" s="4">
        <v>54</v>
      </c>
      <c r="D501" s="8">
        <v>190.5</v>
      </c>
      <c r="E501" s="8"/>
      <c r="F501" s="8" t="s">
        <v>2</v>
      </c>
      <c r="G501" s="24">
        <f t="shared" si="23"/>
        <v>4</v>
      </c>
      <c r="H501" s="52" t="str">
        <f t="shared" si="24"/>
        <v>90,101,104,182</v>
      </c>
    </row>
    <row r="502" spans="1:8" ht="27.95" customHeight="1">
      <c r="A502" s="1" t="str">
        <f t="shared" si="22"/>
        <v>75*30070190白</v>
      </c>
      <c r="B502" s="8" t="s">
        <v>209</v>
      </c>
      <c r="C502" s="4">
        <v>70</v>
      </c>
      <c r="D502" s="8">
        <v>190</v>
      </c>
      <c r="E502" s="8"/>
      <c r="F502" s="8" t="s">
        <v>2</v>
      </c>
      <c r="G502" s="24">
        <f t="shared" si="23"/>
        <v>2</v>
      </c>
      <c r="H502" s="52" t="str">
        <f t="shared" si="24"/>
        <v>110,126</v>
      </c>
    </row>
    <row r="503" spans="1:8" ht="27.95" customHeight="1">
      <c r="A503" s="1" t="str">
        <f t="shared" si="22"/>
        <v>200*300135180黑</v>
      </c>
      <c r="B503" s="8" t="s">
        <v>217</v>
      </c>
      <c r="C503" s="4">
        <v>135</v>
      </c>
      <c r="D503" s="8">
        <v>180</v>
      </c>
      <c r="E503" s="8"/>
      <c r="F503" s="8" t="s">
        <v>1</v>
      </c>
      <c r="G503" s="24">
        <f t="shared" si="23"/>
        <v>9</v>
      </c>
      <c r="H503" s="52" t="str">
        <f t="shared" si="24"/>
        <v>140,144,152,153,167,171,174,184,186</v>
      </c>
    </row>
    <row r="504" spans="1:8" ht="27.95" customHeight="1">
      <c r="A504" s="1" t="str">
        <f t="shared" si="22"/>
        <v>75*20062190.5黑</v>
      </c>
      <c r="B504" s="8" t="s">
        <v>212</v>
      </c>
      <c r="C504" s="4">
        <v>62</v>
      </c>
      <c r="D504" s="8">
        <v>190.5</v>
      </c>
      <c r="E504" s="8"/>
      <c r="F504" s="8" t="s">
        <v>1</v>
      </c>
      <c r="G504" s="24">
        <f t="shared" si="23"/>
        <v>5</v>
      </c>
      <c r="H504" s="52" t="str">
        <f t="shared" si="24"/>
        <v>148,150,159,175,176</v>
      </c>
    </row>
    <row r="505" spans="1:8" ht="27.95" customHeight="1">
      <c r="A505" s="1" t="str">
        <f t="shared" si="22"/>
        <v>200*300116180白</v>
      </c>
      <c r="B505" s="8" t="s">
        <v>217</v>
      </c>
      <c r="C505" s="4">
        <v>116</v>
      </c>
      <c r="D505" s="8">
        <v>180</v>
      </c>
      <c r="E505" s="8"/>
      <c r="F505" s="8" t="s">
        <v>2</v>
      </c>
      <c r="G505" s="24">
        <f t="shared" si="23"/>
        <v>5</v>
      </c>
      <c r="H505" s="52" t="str">
        <f t="shared" si="24"/>
        <v>154,189,194,197,202</v>
      </c>
    </row>
    <row r="506" spans="1:8" ht="27.95" customHeight="1">
      <c r="A506" s="1" t="str">
        <f t="shared" si="22"/>
        <v>200*300116180-3黑</v>
      </c>
      <c r="B506" s="8" t="s">
        <v>217</v>
      </c>
      <c r="C506" s="4">
        <v>116</v>
      </c>
      <c r="D506" s="8" t="s">
        <v>220</v>
      </c>
      <c r="E506" s="8"/>
      <c r="F506" s="8" t="s">
        <v>1</v>
      </c>
      <c r="G506" s="24">
        <f t="shared" si="23"/>
        <v>5</v>
      </c>
      <c r="H506" s="52" t="str">
        <f t="shared" si="24"/>
        <v>161,169,173,191,196</v>
      </c>
    </row>
    <row r="507" spans="1:8" ht="27.95" customHeight="1">
      <c r="A507" s="1" t="str">
        <f t="shared" si="22"/>
        <v>200*300135180白</v>
      </c>
      <c r="B507" s="8" t="s">
        <v>217</v>
      </c>
      <c r="C507" s="4">
        <v>135</v>
      </c>
      <c r="D507" s="8">
        <v>180</v>
      </c>
      <c r="E507" s="8"/>
      <c r="F507" s="8" t="s">
        <v>2</v>
      </c>
      <c r="G507" s="24">
        <f t="shared" si="23"/>
        <v>8</v>
      </c>
      <c r="H507" s="52" t="str">
        <f t="shared" si="24"/>
        <v>164,180,183,185,192,195,199,207</v>
      </c>
    </row>
    <row r="508" spans="1:8" ht="27.95" customHeight="1">
      <c r="A508" s="1" t="str">
        <f t="shared" si="22"/>
        <v>15*1513197-1白</v>
      </c>
      <c r="B508" s="8" t="s">
        <v>194</v>
      </c>
      <c r="C508" s="4">
        <v>13</v>
      </c>
      <c r="D508" s="8" t="s">
        <v>196</v>
      </c>
      <c r="E508" s="8"/>
      <c r="F508" s="8" t="s">
        <v>2</v>
      </c>
      <c r="G508" s="24">
        <f t="shared" si="23"/>
        <v>6</v>
      </c>
      <c r="H508" s="52" t="str">
        <f t="shared" si="24"/>
        <v>221,223,247,297,312,328</v>
      </c>
    </row>
    <row r="509" spans="1:8" ht="27.95" customHeight="1">
      <c r="A509" s="1" t="str">
        <f t="shared" si="22"/>
        <v>30*5031190白</v>
      </c>
      <c r="B509" s="8" t="s">
        <v>781</v>
      </c>
      <c r="C509" s="4">
        <v>31</v>
      </c>
      <c r="D509" s="8">
        <v>190</v>
      </c>
      <c r="E509" s="8"/>
      <c r="F509" s="8" t="s">
        <v>2</v>
      </c>
      <c r="G509" s="24">
        <f t="shared" si="23"/>
        <v>2</v>
      </c>
      <c r="H509" s="52" t="str">
        <f t="shared" si="24"/>
        <v>271,278</v>
      </c>
    </row>
    <row r="510" spans="1:8" ht="27.95" customHeight="1">
      <c r="A510" s="1" t="str">
        <f t="shared" si="22"/>
        <v>20*2017146-3白</v>
      </c>
      <c r="B510" s="8" t="s">
        <v>195</v>
      </c>
      <c r="C510" s="4">
        <v>17</v>
      </c>
      <c r="D510" s="8" t="s">
        <v>199</v>
      </c>
      <c r="E510" s="8"/>
      <c r="F510" s="8" t="s">
        <v>2</v>
      </c>
      <c r="G510" s="24">
        <f t="shared" si="23"/>
        <v>1</v>
      </c>
      <c r="H510" s="52">
        <f t="shared" si="24"/>
        <v>320</v>
      </c>
    </row>
    <row r="511" spans="1:8" ht="27.95" customHeight="1">
      <c r="A511" s="1" t="str">
        <f t="shared" si="22"/>
        <v>20*2017197-10白</v>
      </c>
      <c r="B511" s="8" t="s">
        <v>195</v>
      </c>
      <c r="C511" s="4">
        <v>17</v>
      </c>
      <c r="D511" s="8" t="s">
        <v>204</v>
      </c>
      <c r="E511" s="8"/>
      <c r="F511" s="8" t="s">
        <v>2</v>
      </c>
      <c r="G511" s="24">
        <f t="shared" si="23"/>
        <v>43</v>
      </c>
      <c r="H511" s="52" t="str">
        <f t="shared" si="24"/>
        <v>211,213,214,217,220,222,225,226,227,229,231,232,233,236,237,238,239,240,241,243,248,250,252,254,255,256,258,259,261,263,264,267,273,290,294,298,300,315,316,323,324,326,327</v>
      </c>
    </row>
    <row r="512" spans="1:8" ht="27.95" customHeight="1">
      <c r="A512" s="1" t="str">
        <f t="shared" si="22"/>
        <v>30*3023192白</v>
      </c>
      <c r="B512" s="8" t="s">
        <v>201</v>
      </c>
      <c r="C512" s="4">
        <v>23</v>
      </c>
      <c r="D512" s="8">
        <v>192</v>
      </c>
      <c r="E512" s="8"/>
      <c r="F512" s="8" t="s">
        <v>2</v>
      </c>
      <c r="G512" s="24">
        <f t="shared" si="23"/>
        <v>8</v>
      </c>
      <c r="H512" s="52" t="str">
        <f t="shared" si="24"/>
        <v>41,76,83,209,224,295,321,322</v>
      </c>
    </row>
    <row r="513" spans="1:8" ht="27.95" customHeight="1">
      <c r="A513" s="1" t="str">
        <f t="shared" si="22"/>
        <v>30*3023200白</v>
      </c>
      <c r="B513" s="8" t="s">
        <v>201</v>
      </c>
      <c r="C513" s="4">
        <v>23</v>
      </c>
      <c r="D513" s="8">
        <v>200</v>
      </c>
      <c r="E513" s="8"/>
      <c r="F513" s="8" t="s">
        <v>2</v>
      </c>
      <c r="G513" s="24">
        <f t="shared" ref="G513" si="25">COUNTIF($A$153:$A$482,A513)</f>
        <v>7</v>
      </c>
      <c r="H513" s="52" t="str">
        <f t="shared" ref="H513" si="26">LOOKUP(1,0/($A$153:$A$482=A513),$H$153:$H$482)</f>
        <v>73,77,208,266,289,291,299</v>
      </c>
    </row>
    <row r="514" spans="1:8" ht="27.95" customHeight="1">
      <c r="A514" s="1" t="str">
        <f t="shared" si="22"/>
        <v>30*3023190 打样白</v>
      </c>
      <c r="B514" s="8" t="s">
        <v>201</v>
      </c>
      <c r="C514" s="4">
        <v>23</v>
      </c>
      <c r="D514" s="8" t="s">
        <v>214</v>
      </c>
      <c r="E514" s="8"/>
      <c r="F514" s="8" t="s">
        <v>2</v>
      </c>
      <c r="G514" s="24">
        <f t="shared" ref="G514" si="27">COUNTIF($A$153:$A$482,A514)</f>
        <v>3</v>
      </c>
      <c r="H514" s="52" t="str">
        <f t="shared" ref="H514" si="28">LOOKUP(1,0/($A$153:$A$482=A514),$H$153:$H$482)</f>
        <v>270,304,307</v>
      </c>
    </row>
    <row r="515" spans="1:8" ht="27.95" customHeight="1">
      <c r="A515" s="1" t="str">
        <f t="shared" si="22"/>
        <v>30*3023201白</v>
      </c>
      <c r="B515" s="8" t="s">
        <v>201</v>
      </c>
      <c r="C515" s="4">
        <v>23</v>
      </c>
      <c r="D515" s="8">
        <v>201</v>
      </c>
      <c r="E515" s="8"/>
      <c r="F515" s="8" t="s">
        <v>2</v>
      </c>
      <c r="G515" s="24">
        <f t="shared" ref="G515" si="29">COUNTIF($A$153:$A$482,A515)</f>
        <v>3</v>
      </c>
      <c r="H515" s="52" t="str">
        <f t="shared" ref="H515" si="30">LOOKUP(1,0/($A$153:$A$482=A515),$H$153:$H$482)</f>
        <v>265,318,325</v>
      </c>
    </row>
    <row r="516" spans="1:8" ht="27.95" customHeight="1">
      <c r="A516" s="1" t="str">
        <f t="shared" si="22"/>
        <v>50*5037190.5白</v>
      </c>
      <c r="B516" s="8" t="s">
        <v>203</v>
      </c>
      <c r="C516" s="4">
        <v>37</v>
      </c>
      <c r="D516" s="8">
        <v>190.5</v>
      </c>
      <c r="E516" s="8"/>
      <c r="F516" s="8" t="s">
        <v>2</v>
      </c>
      <c r="G516" s="24">
        <f t="shared" ref="G516" si="31">COUNTIF($A$153:$A$482,A516)</f>
        <v>8</v>
      </c>
      <c r="H516" s="52" t="str">
        <f t="shared" ref="H516" si="32">LOOKUP(1,0/($A$153:$A$482=A516),$H$153:$H$482)</f>
        <v>39,59,70,78,80,106,111,269</v>
      </c>
    </row>
    <row r="517" spans="1:8" ht="27.95" customHeight="1">
      <c r="A517" s="1" t="str">
        <f t="shared" si="22"/>
        <v>50*5037190.5-1白</v>
      </c>
      <c r="B517" s="8" t="s">
        <v>203</v>
      </c>
      <c r="C517" s="4">
        <v>37</v>
      </c>
      <c r="D517" s="8" t="s">
        <v>218</v>
      </c>
      <c r="E517" s="8"/>
      <c r="F517" s="8" t="s">
        <v>2</v>
      </c>
      <c r="G517" s="24">
        <f t="shared" ref="G517" si="33">COUNTIF($A$153:$A$482,A517)</f>
        <v>26</v>
      </c>
      <c r="H517" s="52" t="str">
        <f t="shared" ref="H517" si="34">LOOKUP(1,0/($A$153:$A$482=A517),$H$153:$H$482)</f>
        <v>7,10,21,22,29,30,36,42,44,50,52,55,56,61,67,68,89,91,95,96,98,113,118,119,272,279</v>
      </c>
    </row>
    <row r="518" spans="1:8" ht="19.5" customHeight="1">
      <c r="F518" s="1" t="s">
        <v>786</v>
      </c>
      <c r="G518" s="1">
        <f>SUM(G486:G517)</f>
        <v>330</v>
      </c>
    </row>
  </sheetData>
  <mergeCells count="3">
    <mergeCell ref="B10:C10"/>
    <mergeCell ref="B107:I107"/>
    <mergeCell ref="B484:H484"/>
  </mergeCells>
  <phoneticPr fontId="1" type="noConversion"/>
  <dataValidations count="2">
    <dataValidation type="list" allowBlank="1" showInputMessage="1" showErrorMessage="1" sqref="C2:C9 E2:E9">
      <formula1>加弹规格</formula1>
    </dataValidation>
    <dataValidation type="list" allowBlank="1" showInputMessage="1" showErrorMessage="1" sqref="C36:C105">
      <formula1>圆机代码</formula1>
    </dataValidation>
  </dataValidations>
  <pageMargins left="0" right="0" top="0.19685039370078741" bottom="0.19685039370078741" header="0" footer="0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16"/>
  <dimension ref="A1:D27"/>
  <sheetViews>
    <sheetView workbookViewId="0">
      <selection activeCell="N46" sqref="N46"/>
    </sheetView>
  </sheetViews>
  <sheetFormatPr defaultRowHeight="13.5"/>
  <cols>
    <col min="1" max="1" width="13" bestFit="1" customWidth="1"/>
    <col min="2" max="3" width="7.125" bestFit="1" customWidth="1"/>
    <col min="4" max="4" width="49.375" bestFit="1" customWidth="1"/>
  </cols>
  <sheetData>
    <row r="1" spans="1:4">
      <c r="A1" s="182" t="s">
        <v>817</v>
      </c>
      <c r="B1" s="47" t="s">
        <v>788</v>
      </c>
      <c r="C1" s="47" t="s">
        <v>8</v>
      </c>
      <c r="D1" s="47" t="s">
        <v>4</v>
      </c>
    </row>
    <row r="2" spans="1:4">
      <c r="A2" s="182"/>
      <c r="B2" s="47" t="s">
        <v>46</v>
      </c>
      <c r="C2" s="47" t="s">
        <v>52</v>
      </c>
      <c r="D2" s="47" t="s">
        <v>789</v>
      </c>
    </row>
    <row r="3" spans="1:4">
      <c r="A3" s="182"/>
      <c r="B3" s="47" t="s">
        <v>790</v>
      </c>
      <c r="C3" s="47" t="s">
        <v>84</v>
      </c>
      <c r="D3" s="47" t="s">
        <v>791</v>
      </c>
    </row>
    <row r="4" spans="1:4">
      <c r="A4" s="182"/>
      <c r="B4" s="47" t="s">
        <v>21</v>
      </c>
      <c r="C4" s="47" t="s">
        <v>84</v>
      </c>
      <c r="D4" s="47" t="s">
        <v>792</v>
      </c>
    </row>
    <row r="5" spans="1:4">
      <c r="A5" s="182"/>
      <c r="B5" s="47" t="s">
        <v>793</v>
      </c>
      <c r="C5" s="47" t="s">
        <v>84</v>
      </c>
      <c r="D5" s="47" t="s">
        <v>794</v>
      </c>
    </row>
    <row r="6" spans="1:4">
      <c r="A6" s="182"/>
      <c r="B6" s="47" t="s">
        <v>62</v>
      </c>
      <c r="C6" s="47" t="s">
        <v>84</v>
      </c>
      <c r="D6" s="47" t="s">
        <v>795</v>
      </c>
    </row>
    <row r="7" spans="1:4">
      <c r="A7" s="182"/>
      <c r="B7" s="182" t="s">
        <v>796</v>
      </c>
      <c r="C7" s="47" t="s">
        <v>52</v>
      </c>
      <c r="D7" s="47" t="s">
        <v>794</v>
      </c>
    </row>
    <row r="8" spans="1:4">
      <c r="A8" s="182"/>
      <c r="B8" s="182"/>
      <c r="C8" s="47" t="s">
        <v>84</v>
      </c>
      <c r="D8" s="47" t="s">
        <v>797</v>
      </c>
    </row>
    <row r="9" spans="1:4">
      <c r="A9" s="182"/>
      <c r="B9" s="47" t="s">
        <v>798</v>
      </c>
      <c r="C9" s="47" t="s">
        <v>84</v>
      </c>
      <c r="D9" s="47" t="s">
        <v>799</v>
      </c>
    </row>
    <row r="10" spans="1:4">
      <c r="A10" s="182" t="s">
        <v>818</v>
      </c>
      <c r="B10" s="182" t="s">
        <v>41</v>
      </c>
      <c r="C10" s="47" t="s">
        <v>84</v>
      </c>
      <c r="D10" s="47" t="s">
        <v>800</v>
      </c>
    </row>
    <row r="11" spans="1:4">
      <c r="A11" s="182"/>
      <c r="B11" s="182"/>
      <c r="C11" s="47" t="s">
        <v>801</v>
      </c>
      <c r="D11" s="47" t="s">
        <v>802</v>
      </c>
    </row>
    <row r="12" spans="1:4">
      <c r="A12" s="182"/>
      <c r="B12" s="47" t="s">
        <v>803</v>
      </c>
      <c r="C12" s="47" t="s">
        <v>84</v>
      </c>
      <c r="D12" s="47" t="s">
        <v>804</v>
      </c>
    </row>
    <row r="13" spans="1:4">
      <c r="A13" s="182"/>
      <c r="B13" s="47" t="s">
        <v>55</v>
      </c>
      <c r="C13" s="47" t="s">
        <v>84</v>
      </c>
      <c r="D13" s="47" t="s">
        <v>805</v>
      </c>
    </row>
    <row r="14" spans="1:4">
      <c r="A14" s="182"/>
      <c r="B14" s="47" t="s">
        <v>806</v>
      </c>
      <c r="C14" s="47" t="s">
        <v>52</v>
      </c>
      <c r="D14" s="47" t="s">
        <v>807</v>
      </c>
    </row>
    <row r="15" spans="1:4">
      <c r="A15" s="182"/>
      <c r="B15" s="47" t="s">
        <v>808</v>
      </c>
      <c r="C15" s="47" t="s">
        <v>84</v>
      </c>
      <c r="D15" s="47" t="s">
        <v>809</v>
      </c>
    </row>
    <row r="16" spans="1:4">
      <c r="A16" s="182"/>
      <c r="B16" s="182" t="s">
        <v>810</v>
      </c>
      <c r="C16" s="47" t="s">
        <v>52</v>
      </c>
      <c r="D16" s="47" t="s">
        <v>811</v>
      </c>
    </row>
    <row r="17" spans="1:4">
      <c r="A17" s="182"/>
      <c r="B17" s="182"/>
      <c r="C17" s="47" t="s">
        <v>84</v>
      </c>
      <c r="D17" s="47" t="s">
        <v>812</v>
      </c>
    </row>
    <row r="18" spans="1:4">
      <c r="A18" s="182"/>
      <c r="B18" s="47" t="s">
        <v>813</v>
      </c>
      <c r="C18" s="47" t="s">
        <v>84</v>
      </c>
      <c r="D18" s="47" t="s">
        <v>814</v>
      </c>
    </row>
    <row r="19" spans="1:4">
      <c r="A19" s="182"/>
      <c r="B19" s="47" t="s">
        <v>815</v>
      </c>
      <c r="C19" s="47" t="s">
        <v>84</v>
      </c>
      <c r="D19" s="47" t="s">
        <v>816</v>
      </c>
    </row>
    <row r="20" spans="1:4">
      <c r="A20" s="182"/>
      <c r="B20" s="47" t="s">
        <v>34</v>
      </c>
      <c r="C20" s="47" t="s">
        <v>84</v>
      </c>
      <c r="D20" s="47" t="s">
        <v>812</v>
      </c>
    </row>
    <row r="21" spans="1:4">
      <c r="A21" s="182" t="s">
        <v>821</v>
      </c>
      <c r="B21" s="47" t="s">
        <v>819</v>
      </c>
      <c r="C21" s="47"/>
      <c r="D21" s="47"/>
    </row>
    <row r="22" spans="1:4">
      <c r="A22" s="182"/>
      <c r="B22" s="47" t="s">
        <v>820</v>
      </c>
      <c r="C22" s="47"/>
      <c r="D22" s="47"/>
    </row>
    <row r="23" spans="1:4">
      <c r="A23" s="47" t="s">
        <v>822</v>
      </c>
      <c r="B23" s="47" t="s">
        <v>819</v>
      </c>
      <c r="C23" s="47"/>
      <c r="D23" s="47"/>
    </row>
    <row r="24" spans="1:4">
      <c r="A24" s="182" t="s">
        <v>823</v>
      </c>
      <c r="B24" s="47" t="s">
        <v>824</v>
      </c>
      <c r="C24" s="47"/>
      <c r="D24" s="47"/>
    </row>
    <row r="25" spans="1:4">
      <c r="A25" s="182"/>
      <c r="B25" s="47" t="s">
        <v>825</v>
      </c>
      <c r="C25" s="47"/>
      <c r="D25" s="47"/>
    </row>
    <row r="26" spans="1:4">
      <c r="A26" s="182"/>
      <c r="B26" s="47" t="s">
        <v>826</v>
      </c>
      <c r="C26" s="47"/>
      <c r="D26" s="47"/>
    </row>
    <row r="27" spans="1:4">
      <c r="A27" s="47" t="s">
        <v>827</v>
      </c>
      <c r="B27" s="47" t="s">
        <v>828</v>
      </c>
      <c r="C27" s="47"/>
      <c r="D27" s="47"/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17"/>
  <dimension ref="A1:U161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S33" sqref="S33"/>
    </sheetView>
  </sheetViews>
  <sheetFormatPr defaultRowHeight="13.5"/>
  <cols>
    <col min="1" max="1" width="15" hidden="1" customWidth="1"/>
    <col min="2" max="2" width="11.625" customWidth="1"/>
    <col min="3" max="4" width="5.5" bestFit="1" customWidth="1"/>
    <col min="5" max="8" width="9.5" bestFit="1" customWidth="1"/>
    <col min="9" max="10" width="5.5" bestFit="1" customWidth="1"/>
    <col min="11" max="11" width="13.625" style="201" customWidth="1"/>
    <col min="12" max="12" width="5.5" style="201" bestFit="1" customWidth="1"/>
    <col min="13" max="13" width="19" style="201" customWidth="1"/>
    <col min="14" max="14" width="5.5" style="201" bestFit="1" customWidth="1"/>
    <col min="15" max="15" width="7" bestFit="1" customWidth="1"/>
    <col min="16" max="17" width="9.5" bestFit="1" customWidth="1"/>
    <col min="18" max="18" width="7.5" bestFit="1" customWidth="1"/>
    <col min="19" max="20" width="9.5" bestFit="1" customWidth="1"/>
  </cols>
  <sheetData>
    <row r="1" spans="1:20" ht="14.25">
      <c r="A1" s="86" t="s">
        <v>757</v>
      </c>
      <c r="B1" s="145" t="s">
        <v>1250</v>
      </c>
      <c r="C1" s="166" t="s">
        <v>268</v>
      </c>
      <c r="D1" s="145" t="s">
        <v>124</v>
      </c>
      <c r="E1" s="147" t="s">
        <v>1251</v>
      </c>
      <c r="F1" s="147" t="s">
        <v>1252</v>
      </c>
      <c r="G1" s="147" t="s">
        <v>1253</v>
      </c>
      <c r="H1" s="145" t="s">
        <v>1254</v>
      </c>
      <c r="I1" s="145" t="s">
        <v>1255</v>
      </c>
      <c r="J1" s="142" t="s">
        <v>267</v>
      </c>
      <c r="K1" s="224" t="s">
        <v>1256</v>
      </c>
      <c r="L1" s="224" t="s">
        <v>267</v>
      </c>
      <c r="M1" s="224" t="s">
        <v>1257</v>
      </c>
      <c r="N1" s="224" t="s">
        <v>1258</v>
      </c>
      <c r="O1" s="116" t="s">
        <v>1259</v>
      </c>
      <c r="P1" s="141" t="s">
        <v>1260</v>
      </c>
      <c r="Q1" s="142" t="s">
        <v>1261</v>
      </c>
      <c r="R1" s="143" t="s">
        <v>1059</v>
      </c>
      <c r="S1" s="144" t="s">
        <v>1262</v>
      </c>
      <c r="T1" s="144" t="s">
        <v>1206</v>
      </c>
    </row>
    <row r="2" spans="1:20" ht="14.25">
      <c r="A2" s="86" t="s">
        <v>1395</v>
      </c>
      <c r="B2" s="117" t="s">
        <v>1069</v>
      </c>
      <c r="C2" s="167">
        <v>1</v>
      </c>
      <c r="D2" s="118" t="s">
        <v>2</v>
      </c>
      <c r="E2" s="119">
        <v>192</v>
      </c>
      <c r="F2" s="119">
        <v>8</v>
      </c>
      <c r="G2" s="142">
        <v>150</v>
      </c>
      <c r="H2" s="142">
        <v>6250</v>
      </c>
      <c r="I2" s="142">
        <v>22.9</v>
      </c>
      <c r="J2" s="142">
        <v>10</v>
      </c>
      <c r="K2" s="224" t="s">
        <v>1263</v>
      </c>
      <c r="L2" s="224">
        <v>10</v>
      </c>
      <c r="M2" s="224" t="s">
        <v>1263</v>
      </c>
      <c r="N2" s="224">
        <v>32.5</v>
      </c>
      <c r="O2" s="142" t="s">
        <v>1264</v>
      </c>
      <c r="P2" s="142">
        <v>192</v>
      </c>
      <c r="Q2" s="142" t="s">
        <v>1265</v>
      </c>
      <c r="R2" s="143">
        <v>200</v>
      </c>
      <c r="S2" s="144">
        <v>7.0833333333333339</v>
      </c>
      <c r="T2" s="144">
        <v>5.2669999999999995</v>
      </c>
    </row>
    <row r="3" spans="1:20" ht="14.25">
      <c r="A3" s="86" t="s">
        <v>1396</v>
      </c>
      <c r="B3" s="117" t="s">
        <v>194</v>
      </c>
      <c r="C3" s="167">
        <v>1</v>
      </c>
      <c r="D3" s="118" t="s">
        <v>2</v>
      </c>
      <c r="E3" s="119">
        <v>189</v>
      </c>
      <c r="F3" s="119">
        <v>13</v>
      </c>
      <c r="G3" s="142">
        <v>150</v>
      </c>
      <c r="H3" s="142">
        <v>5970</v>
      </c>
      <c r="I3" s="142">
        <v>21</v>
      </c>
      <c r="J3" s="142">
        <v>15</v>
      </c>
      <c r="K3" s="224" t="s">
        <v>1266</v>
      </c>
      <c r="L3" s="224">
        <v>15</v>
      </c>
      <c r="M3" s="224" t="s">
        <v>1266</v>
      </c>
      <c r="N3" s="225">
        <v>31.5</v>
      </c>
      <c r="O3" s="142" t="s">
        <v>1267</v>
      </c>
      <c r="P3" s="119">
        <v>189</v>
      </c>
      <c r="Q3" s="117" t="s">
        <v>1268</v>
      </c>
      <c r="R3" s="123">
        <v>210</v>
      </c>
      <c r="S3" s="144">
        <v>10.148999999999999</v>
      </c>
      <c r="T3" s="144">
        <v>7.14</v>
      </c>
    </row>
    <row r="4" spans="1:20" ht="14.25">
      <c r="A4" s="86" t="s">
        <v>1397</v>
      </c>
      <c r="B4" s="117" t="s">
        <v>194</v>
      </c>
      <c r="C4" s="167">
        <v>1</v>
      </c>
      <c r="D4" s="118" t="s">
        <v>2</v>
      </c>
      <c r="E4" s="119">
        <v>205</v>
      </c>
      <c r="F4" s="119">
        <v>13</v>
      </c>
      <c r="G4" s="142">
        <v>150</v>
      </c>
      <c r="H4" s="142">
        <v>6162</v>
      </c>
      <c r="I4" s="142">
        <v>22</v>
      </c>
      <c r="J4" s="142">
        <v>15</v>
      </c>
      <c r="K4" s="224" t="s">
        <v>1266</v>
      </c>
      <c r="L4" s="224">
        <v>15</v>
      </c>
      <c r="M4" s="224" t="s">
        <v>1266</v>
      </c>
      <c r="N4" s="225">
        <v>30</v>
      </c>
      <c r="O4" s="142" t="s">
        <v>1267</v>
      </c>
      <c r="P4" s="119">
        <v>205</v>
      </c>
      <c r="Q4" s="117" t="s">
        <v>1269</v>
      </c>
      <c r="R4" s="123">
        <v>210</v>
      </c>
      <c r="S4" s="144">
        <v>10.4754</v>
      </c>
      <c r="T4" s="144">
        <v>8.0666666666666664</v>
      </c>
    </row>
    <row r="5" spans="1:20" ht="14.25">
      <c r="A5" s="86" t="s">
        <v>1398</v>
      </c>
      <c r="B5" s="117" t="s">
        <v>194</v>
      </c>
      <c r="C5" s="167">
        <v>1</v>
      </c>
      <c r="D5" s="118" t="s">
        <v>2</v>
      </c>
      <c r="E5" s="119">
        <v>143</v>
      </c>
      <c r="F5" s="119">
        <v>13</v>
      </c>
      <c r="G5" s="142">
        <v>112</v>
      </c>
      <c r="H5" s="142" t="s">
        <v>1270</v>
      </c>
      <c r="I5" s="142">
        <v>20</v>
      </c>
      <c r="J5" s="142">
        <v>15</v>
      </c>
      <c r="K5" s="224" t="s">
        <v>1266</v>
      </c>
      <c r="L5" s="224">
        <v>15</v>
      </c>
      <c r="M5" s="224" t="s">
        <v>1266</v>
      </c>
      <c r="N5" s="225">
        <v>31.7</v>
      </c>
      <c r="O5" s="142" t="s">
        <v>1267</v>
      </c>
      <c r="P5" s="119">
        <v>143</v>
      </c>
      <c r="Q5" s="117" t="s">
        <v>1271</v>
      </c>
      <c r="R5" s="123">
        <v>230</v>
      </c>
      <c r="S5" s="144">
        <v>7.7248000000000001</v>
      </c>
      <c r="T5" s="144">
        <v>5.2666666666666666</v>
      </c>
    </row>
    <row r="6" spans="1:20" ht="14.25">
      <c r="A6" s="86" t="s">
        <v>1399</v>
      </c>
      <c r="B6" s="120" t="s">
        <v>194</v>
      </c>
      <c r="C6" s="168">
        <v>1</v>
      </c>
      <c r="D6" s="118" t="s">
        <v>2</v>
      </c>
      <c r="E6" s="119">
        <v>162</v>
      </c>
      <c r="F6" s="119">
        <v>13</v>
      </c>
      <c r="G6" s="142">
        <v>122</v>
      </c>
      <c r="H6" s="142">
        <v>4872</v>
      </c>
      <c r="I6" s="142">
        <v>20.9</v>
      </c>
      <c r="J6" s="142">
        <v>15</v>
      </c>
      <c r="K6" s="224" t="s">
        <v>1266</v>
      </c>
      <c r="L6" s="224">
        <v>15</v>
      </c>
      <c r="M6" s="224" t="s">
        <v>1266</v>
      </c>
      <c r="N6" s="225">
        <v>30</v>
      </c>
      <c r="O6" s="142" t="s">
        <v>1267</v>
      </c>
      <c r="P6" s="119">
        <v>162</v>
      </c>
      <c r="Q6" s="117" t="s">
        <v>1268</v>
      </c>
      <c r="R6" s="122">
        <v>230</v>
      </c>
      <c r="S6" s="144">
        <v>8.2823999999999991</v>
      </c>
      <c r="T6" s="144">
        <v>6.2</v>
      </c>
    </row>
    <row r="7" spans="1:20" ht="14.25">
      <c r="A7" s="86" t="s">
        <v>1119</v>
      </c>
      <c r="B7" s="117" t="s">
        <v>194</v>
      </c>
      <c r="C7" s="167">
        <v>1</v>
      </c>
      <c r="D7" s="118" t="s">
        <v>2</v>
      </c>
      <c r="E7" s="119">
        <v>197</v>
      </c>
      <c r="F7" s="119">
        <v>13</v>
      </c>
      <c r="G7" s="142">
        <v>150</v>
      </c>
      <c r="H7" s="142">
        <v>5926</v>
      </c>
      <c r="I7" s="142">
        <v>21.3</v>
      </c>
      <c r="J7" s="142">
        <v>15</v>
      </c>
      <c r="K7" s="224" t="s">
        <v>1266</v>
      </c>
      <c r="L7" s="224">
        <v>15</v>
      </c>
      <c r="M7" s="224" t="s">
        <v>1266</v>
      </c>
      <c r="N7" s="225">
        <v>30</v>
      </c>
      <c r="O7" s="142" t="s">
        <v>1267</v>
      </c>
      <c r="P7" s="119">
        <v>197</v>
      </c>
      <c r="Q7" s="117" t="s">
        <v>1272</v>
      </c>
      <c r="R7" s="123">
        <v>210</v>
      </c>
      <c r="S7" s="144">
        <v>10.074200000000001</v>
      </c>
      <c r="T7" s="144">
        <v>7.5259999999999998</v>
      </c>
    </row>
    <row r="8" spans="1:20" ht="15" customHeight="1">
      <c r="A8" s="86" t="s">
        <v>1400</v>
      </c>
      <c r="B8" s="117" t="s">
        <v>198</v>
      </c>
      <c r="C8" s="167">
        <v>1</v>
      </c>
      <c r="D8" s="118" t="s">
        <v>2</v>
      </c>
      <c r="E8" s="119">
        <v>197</v>
      </c>
      <c r="F8" s="119">
        <v>17</v>
      </c>
      <c r="G8" s="142">
        <v>150</v>
      </c>
      <c r="H8" s="142">
        <v>5970</v>
      </c>
      <c r="I8" s="142">
        <v>24.4</v>
      </c>
      <c r="J8" s="142">
        <v>20</v>
      </c>
      <c r="K8" s="224" t="s">
        <v>1273</v>
      </c>
      <c r="L8" s="224">
        <v>15</v>
      </c>
      <c r="M8" s="224" t="s">
        <v>1274</v>
      </c>
      <c r="N8" s="224">
        <v>30</v>
      </c>
      <c r="O8" s="142" t="s">
        <v>1275</v>
      </c>
      <c r="P8" s="119">
        <v>197</v>
      </c>
      <c r="Q8" s="117" t="s">
        <v>1276</v>
      </c>
      <c r="R8" s="121">
        <v>230</v>
      </c>
      <c r="S8" s="144">
        <v>13.532000000000002</v>
      </c>
      <c r="T8" s="144">
        <v>8.6213333333333324</v>
      </c>
    </row>
    <row r="9" spans="1:20" ht="15" customHeight="1">
      <c r="A9" s="86" t="s">
        <v>1181</v>
      </c>
      <c r="B9" s="117" t="s">
        <v>195</v>
      </c>
      <c r="C9" s="167">
        <v>1</v>
      </c>
      <c r="D9" s="118" t="s">
        <v>2</v>
      </c>
      <c r="E9" s="119">
        <v>143</v>
      </c>
      <c r="F9" s="119">
        <v>17</v>
      </c>
      <c r="G9" s="142">
        <v>112</v>
      </c>
      <c r="H9" s="142">
        <v>4544</v>
      </c>
      <c r="I9" s="142">
        <v>21.3</v>
      </c>
      <c r="J9" s="142">
        <v>20</v>
      </c>
      <c r="K9" s="224" t="s">
        <v>1273</v>
      </c>
      <c r="L9" s="224">
        <v>20</v>
      </c>
      <c r="M9" s="224" t="s">
        <v>1273</v>
      </c>
      <c r="N9" s="224">
        <v>31.7</v>
      </c>
      <c r="O9" s="142" t="s">
        <v>1267</v>
      </c>
      <c r="P9" s="119">
        <v>143</v>
      </c>
      <c r="Q9" s="117" t="s">
        <v>1272</v>
      </c>
      <c r="R9" s="123">
        <v>270</v>
      </c>
      <c r="S9" s="144">
        <v>10.299733333333332</v>
      </c>
      <c r="T9" s="144">
        <v>7.4786666666666664</v>
      </c>
    </row>
    <row r="10" spans="1:20" ht="15" customHeight="1">
      <c r="A10" s="86" t="s">
        <v>1095</v>
      </c>
      <c r="B10" s="117" t="s">
        <v>195</v>
      </c>
      <c r="C10" s="167">
        <v>1</v>
      </c>
      <c r="D10" s="118" t="s">
        <v>2</v>
      </c>
      <c r="E10" s="119">
        <v>197</v>
      </c>
      <c r="F10" s="119">
        <v>17</v>
      </c>
      <c r="G10" s="142">
        <v>150</v>
      </c>
      <c r="H10" s="142">
        <v>5926</v>
      </c>
      <c r="I10" s="142">
        <v>21.5</v>
      </c>
      <c r="J10" s="142">
        <v>20</v>
      </c>
      <c r="K10" s="224" t="s">
        <v>1273</v>
      </c>
      <c r="L10" s="224">
        <v>20</v>
      </c>
      <c r="M10" s="224" t="s">
        <v>1273</v>
      </c>
      <c r="N10" s="224">
        <v>31.5</v>
      </c>
      <c r="O10" s="142" t="s">
        <v>1267</v>
      </c>
      <c r="P10" s="119">
        <v>200</v>
      </c>
      <c r="Q10" s="117" t="s">
        <v>1272</v>
      </c>
      <c r="R10" s="123">
        <v>250</v>
      </c>
      <c r="S10" s="144">
        <v>13.432266666666667</v>
      </c>
      <c r="T10" s="144">
        <v>10.272222222222222</v>
      </c>
    </row>
    <row r="11" spans="1:20" ht="15" customHeight="1">
      <c r="A11" s="86" t="s">
        <v>1401</v>
      </c>
      <c r="B11" s="117" t="s">
        <v>195</v>
      </c>
      <c r="C11" s="167">
        <v>1</v>
      </c>
      <c r="D11" s="118" t="s">
        <v>2</v>
      </c>
      <c r="E11" s="119">
        <v>230</v>
      </c>
      <c r="F11" s="119">
        <v>17</v>
      </c>
      <c r="G11" s="142">
        <v>150</v>
      </c>
      <c r="H11" s="142">
        <v>6762</v>
      </c>
      <c r="I11" s="142">
        <v>21.3</v>
      </c>
      <c r="J11" s="142">
        <v>20</v>
      </c>
      <c r="K11" s="224" t="s">
        <v>1273</v>
      </c>
      <c r="L11" s="224">
        <v>20</v>
      </c>
      <c r="M11" s="224" t="s">
        <v>1273</v>
      </c>
      <c r="N11" s="224">
        <v>30</v>
      </c>
      <c r="O11" s="142" t="s">
        <v>1267</v>
      </c>
      <c r="P11" s="142">
        <v>225</v>
      </c>
      <c r="Q11" s="142" t="s">
        <v>1272</v>
      </c>
      <c r="R11" s="123">
        <v>250</v>
      </c>
      <c r="S11" s="144">
        <v>15.327200000000001</v>
      </c>
      <c r="T11" s="144">
        <v>11.36</v>
      </c>
    </row>
    <row r="12" spans="1:20" ht="15" customHeight="1">
      <c r="A12" s="86" t="s">
        <v>1402</v>
      </c>
      <c r="B12" s="120" t="s">
        <v>195</v>
      </c>
      <c r="C12" s="168">
        <v>1</v>
      </c>
      <c r="D12" s="118" t="s">
        <v>2</v>
      </c>
      <c r="E12" s="119">
        <v>160</v>
      </c>
      <c r="F12" s="119">
        <v>17</v>
      </c>
      <c r="G12" s="142">
        <v>122</v>
      </c>
      <c r="H12" s="142">
        <v>5052</v>
      </c>
      <c r="I12" s="142">
        <v>21.3</v>
      </c>
      <c r="J12" s="142">
        <v>20</v>
      </c>
      <c r="K12" s="224" t="s">
        <v>1273</v>
      </c>
      <c r="L12" s="224">
        <v>20</v>
      </c>
      <c r="M12" s="224" t="s">
        <v>1273</v>
      </c>
      <c r="N12" s="224">
        <v>31.5</v>
      </c>
      <c r="O12" s="142" t="s">
        <v>1267</v>
      </c>
      <c r="P12" s="119">
        <v>160</v>
      </c>
      <c r="Q12" s="117" t="s">
        <v>1272</v>
      </c>
      <c r="R12" s="122">
        <v>270</v>
      </c>
      <c r="S12" s="144">
        <v>11.4512</v>
      </c>
      <c r="T12" s="144">
        <v>8.2833333333333332</v>
      </c>
    </row>
    <row r="13" spans="1:20" ht="15" customHeight="1">
      <c r="A13" s="86" t="s">
        <v>1095</v>
      </c>
      <c r="B13" s="117" t="s">
        <v>195</v>
      </c>
      <c r="C13" s="167">
        <v>1</v>
      </c>
      <c r="D13" s="118" t="s">
        <v>1</v>
      </c>
      <c r="E13" s="119">
        <v>197</v>
      </c>
      <c r="F13" s="119">
        <v>17</v>
      </c>
      <c r="G13" s="142">
        <v>150</v>
      </c>
      <c r="H13" s="142">
        <v>5926</v>
      </c>
      <c r="I13" s="142">
        <v>21.5</v>
      </c>
      <c r="J13" s="142">
        <v>20</v>
      </c>
      <c r="K13" s="224" t="s">
        <v>1277</v>
      </c>
      <c r="L13" s="224">
        <v>20</v>
      </c>
      <c r="M13" s="224" t="s">
        <v>1277</v>
      </c>
      <c r="N13" s="224">
        <v>31.5</v>
      </c>
      <c r="O13" s="142" t="s">
        <v>1267</v>
      </c>
      <c r="P13" s="119">
        <v>200</v>
      </c>
      <c r="Q13" s="117" t="s">
        <v>1272</v>
      </c>
      <c r="R13" s="123">
        <v>250</v>
      </c>
      <c r="S13" s="144">
        <v>13.432266666666667</v>
      </c>
      <c r="T13" s="144">
        <v>10.272222222222222</v>
      </c>
    </row>
    <row r="14" spans="1:20" ht="14.25">
      <c r="A14" s="86" t="s">
        <v>1173</v>
      </c>
      <c r="B14" s="117" t="s">
        <v>201</v>
      </c>
      <c r="C14" s="167">
        <v>1</v>
      </c>
      <c r="D14" s="118" t="s">
        <v>2</v>
      </c>
      <c r="E14" s="119">
        <v>143</v>
      </c>
      <c r="F14" s="119">
        <v>23</v>
      </c>
      <c r="G14" s="142">
        <v>112</v>
      </c>
      <c r="H14" s="142">
        <v>4024</v>
      </c>
      <c r="I14" s="142">
        <v>18.5</v>
      </c>
      <c r="J14" s="142">
        <v>30</v>
      </c>
      <c r="K14" s="224" t="s">
        <v>1278</v>
      </c>
      <c r="L14" s="224">
        <v>30</v>
      </c>
      <c r="M14" s="224" t="s">
        <v>1278</v>
      </c>
      <c r="N14" s="224">
        <v>28</v>
      </c>
      <c r="O14" s="142" t="s">
        <v>1267</v>
      </c>
      <c r="P14" s="119">
        <v>143</v>
      </c>
      <c r="Q14" s="117" t="s">
        <v>1272</v>
      </c>
      <c r="R14" s="123">
        <v>360</v>
      </c>
      <c r="S14" s="144">
        <v>13.681600000000001</v>
      </c>
      <c r="T14" s="144">
        <v>9.7433333333333341</v>
      </c>
    </row>
    <row r="15" spans="1:20" ht="14.25">
      <c r="A15" s="86" t="s">
        <v>1403</v>
      </c>
      <c r="B15" s="117" t="s">
        <v>201</v>
      </c>
      <c r="C15" s="167">
        <v>1</v>
      </c>
      <c r="D15" s="118" t="s">
        <v>2</v>
      </c>
      <c r="E15" s="119">
        <v>160</v>
      </c>
      <c r="F15" s="119">
        <v>25</v>
      </c>
      <c r="G15" s="142">
        <v>122</v>
      </c>
      <c r="H15" s="142">
        <v>4540</v>
      </c>
      <c r="I15" s="142">
        <v>21</v>
      </c>
      <c r="J15" s="142">
        <v>30</v>
      </c>
      <c r="K15" s="224" t="s">
        <v>1278</v>
      </c>
      <c r="L15" s="224">
        <v>30</v>
      </c>
      <c r="M15" s="224" t="s">
        <v>1278</v>
      </c>
      <c r="N15" s="224">
        <v>28.3</v>
      </c>
      <c r="O15" s="142" t="s">
        <v>1267</v>
      </c>
      <c r="P15" s="119">
        <v>160</v>
      </c>
      <c r="Q15" s="117" t="s">
        <v>1268</v>
      </c>
      <c r="R15" s="122">
        <v>373</v>
      </c>
      <c r="S15" s="144">
        <v>15.436</v>
      </c>
      <c r="T15" s="144">
        <v>12.25</v>
      </c>
    </row>
    <row r="16" spans="1:20" ht="14.25">
      <c r="A16" s="86" t="s">
        <v>1096</v>
      </c>
      <c r="B16" s="117" t="s">
        <v>201</v>
      </c>
      <c r="C16" s="167">
        <v>1</v>
      </c>
      <c r="D16" s="118" t="s">
        <v>2</v>
      </c>
      <c r="E16" s="119">
        <v>190</v>
      </c>
      <c r="F16" s="119">
        <v>23</v>
      </c>
      <c r="G16" s="142">
        <v>150</v>
      </c>
      <c r="H16" s="142">
        <v>5332</v>
      </c>
      <c r="I16" s="142">
        <v>21.3</v>
      </c>
      <c r="J16" s="142">
        <v>30</v>
      </c>
      <c r="K16" s="224" t="s">
        <v>1278</v>
      </c>
      <c r="L16" s="224">
        <v>30</v>
      </c>
      <c r="M16" s="224" t="s">
        <v>1278</v>
      </c>
      <c r="N16" s="224">
        <v>28</v>
      </c>
      <c r="O16" s="142" t="s">
        <v>1267</v>
      </c>
      <c r="P16" s="119">
        <v>190</v>
      </c>
      <c r="Q16" s="117" t="s">
        <v>1272</v>
      </c>
      <c r="R16" s="123">
        <v>345</v>
      </c>
      <c r="S16" s="144">
        <v>18.128800000000002</v>
      </c>
      <c r="T16" s="144">
        <v>14.555</v>
      </c>
    </row>
    <row r="17" spans="1:20" ht="14.25">
      <c r="A17" s="86" t="s">
        <v>1404</v>
      </c>
      <c r="B17" s="150" t="s">
        <v>1279</v>
      </c>
      <c r="C17" s="169">
        <v>1</v>
      </c>
      <c r="D17" s="151" t="s">
        <v>2</v>
      </c>
      <c r="E17" s="152">
        <v>190</v>
      </c>
      <c r="F17" s="152">
        <v>27</v>
      </c>
      <c r="G17" s="153">
        <v>150</v>
      </c>
      <c r="H17" s="153">
        <v>5712</v>
      </c>
      <c r="I17" s="153">
        <v>21.3</v>
      </c>
      <c r="J17" s="153">
        <v>30</v>
      </c>
      <c r="K17" s="226" t="s">
        <v>1278</v>
      </c>
      <c r="L17" s="226">
        <v>30</v>
      </c>
      <c r="M17" s="226" t="s">
        <v>1278</v>
      </c>
      <c r="N17" s="226">
        <v>30</v>
      </c>
      <c r="O17" s="153" t="s">
        <v>1267</v>
      </c>
      <c r="P17" s="152">
        <v>190</v>
      </c>
      <c r="Q17" s="150" t="s">
        <v>1126</v>
      </c>
      <c r="R17" s="154">
        <v>345</v>
      </c>
      <c r="S17" s="155">
        <v>19.4208</v>
      </c>
      <c r="T17" s="155">
        <v>14.555</v>
      </c>
    </row>
    <row r="18" spans="1:20" ht="14.25">
      <c r="A18" s="86" t="s">
        <v>1481</v>
      </c>
      <c r="B18" s="150" t="s">
        <v>1480</v>
      </c>
      <c r="C18" s="169">
        <v>1</v>
      </c>
      <c r="D18" s="151" t="s">
        <v>2</v>
      </c>
      <c r="E18" s="152">
        <v>200</v>
      </c>
      <c r="F18" s="152">
        <v>23</v>
      </c>
      <c r="G18" s="153">
        <v>150</v>
      </c>
      <c r="H18" s="153">
        <v>6048</v>
      </c>
      <c r="I18" s="153">
        <v>20.100000000000001</v>
      </c>
      <c r="J18" s="153">
        <v>30</v>
      </c>
      <c r="K18" s="226" t="s">
        <v>1278</v>
      </c>
      <c r="L18" s="226">
        <v>30</v>
      </c>
      <c r="M18" s="226" t="s">
        <v>1278</v>
      </c>
      <c r="N18" s="226">
        <v>30</v>
      </c>
      <c r="O18" s="153" t="s">
        <v>1267</v>
      </c>
      <c r="P18" s="152">
        <v>190</v>
      </c>
      <c r="Q18" s="150" t="s">
        <v>1272</v>
      </c>
      <c r="R18" s="154">
        <v>345</v>
      </c>
      <c r="S18" s="155">
        <v>20.16</v>
      </c>
      <c r="T18" s="155">
        <v>14.39</v>
      </c>
    </row>
    <row r="19" spans="1:20" ht="14.25">
      <c r="A19" s="86" t="s">
        <v>1405</v>
      </c>
      <c r="B19" s="117" t="s">
        <v>201</v>
      </c>
      <c r="C19" s="109" t="s">
        <v>197</v>
      </c>
      <c r="D19" s="118" t="s">
        <v>2</v>
      </c>
      <c r="E19" s="119">
        <v>201</v>
      </c>
      <c r="F19" s="119">
        <v>23</v>
      </c>
      <c r="G19" s="142">
        <v>150</v>
      </c>
      <c r="H19" s="142">
        <v>6048</v>
      </c>
      <c r="I19" s="142">
        <v>20.100000000000001</v>
      </c>
      <c r="J19" s="142">
        <v>30</v>
      </c>
      <c r="K19" s="224" t="s">
        <v>1278</v>
      </c>
      <c r="L19" s="224">
        <v>30</v>
      </c>
      <c r="M19" s="224" t="s">
        <v>1278</v>
      </c>
      <c r="N19" s="224">
        <v>29.7</v>
      </c>
      <c r="O19" s="142" t="s">
        <v>1267</v>
      </c>
      <c r="P19" s="119">
        <v>201</v>
      </c>
      <c r="Q19" s="117" t="s">
        <v>1280</v>
      </c>
      <c r="R19" s="123">
        <v>320</v>
      </c>
      <c r="S19" s="144">
        <v>20.563200000000002</v>
      </c>
      <c r="T19" s="144">
        <v>14.472000000000001</v>
      </c>
    </row>
    <row r="20" spans="1:20" ht="14.25">
      <c r="A20" s="86" t="s">
        <v>1122</v>
      </c>
      <c r="B20" s="117" t="s">
        <v>201</v>
      </c>
      <c r="C20" s="109" t="s">
        <v>197</v>
      </c>
      <c r="D20" s="118" t="s">
        <v>1</v>
      </c>
      <c r="E20" s="119">
        <v>201</v>
      </c>
      <c r="F20" s="119">
        <v>23</v>
      </c>
      <c r="G20" s="142">
        <v>150</v>
      </c>
      <c r="H20" s="142">
        <v>6048</v>
      </c>
      <c r="I20" s="142">
        <v>20.100000000000001</v>
      </c>
      <c r="J20" s="142">
        <v>30</v>
      </c>
      <c r="K20" s="224" t="s">
        <v>1278</v>
      </c>
      <c r="L20" s="224">
        <v>30</v>
      </c>
      <c r="M20" s="224" t="s">
        <v>1278</v>
      </c>
      <c r="N20" s="224">
        <v>29.7</v>
      </c>
      <c r="O20" s="142" t="s">
        <v>1267</v>
      </c>
      <c r="P20" s="119">
        <v>201</v>
      </c>
      <c r="Q20" s="117" t="s">
        <v>1280</v>
      </c>
      <c r="R20" s="123">
        <v>320</v>
      </c>
      <c r="S20" s="144">
        <v>20.563200000000002</v>
      </c>
      <c r="T20" s="144">
        <v>14.472000000000001</v>
      </c>
    </row>
    <row r="21" spans="1:20" ht="14.25">
      <c r="A21" s="86" t="s">
        <v>1096</v>
      </c>
      <c r="B21" s="117" t="s">
        <v>1281</v>
      </c>
      <c r="C21" s="167" t="s">
        <v>1110</v>
      </c>
      <c r="D21" s="118" t="s">
        <v>1</v>
      </c>
      <c r="E21" s="119">
        <v>190</v>
      </c>
      <c r="F21" s="119">
        <v>23</v>
      </c>
      <c r="G21" s="142">
        <v>150</v>
      </c>
      <c r="H21" s="142">
        <v>5712</v>
      </c>
      <c r="I21" s="142">
        <v>21.3</v>
      </c>
      <c r="J21" s="142">
        <v>30</v>
      </c>
      <c r="K21" s="224" t="s">
        <v>1278</v>
      </c>
      <c r="L21" s="224">
        <v>30</v>
      </c>
      <c r="M21" s="224" t="s">
        <v>1278</v>
      </c>
      <c r="N21" s="224"/>
      <c r="O21" s="142" t="s">
        <v>1267</v>
      </c>
      <c r="P21" s="142">
        <v>190</v>
      </c>
      <c r="Q21" s="117" t="s">
        <v>1272</v>
      </c>
      <c r="R21" s="123">
        <v>345</v>
      </c>
      <c r="S21" s="144">
        <v>18.13</v>
      </c>
      <c r="T21" s="144">
        <v>14.56</v>
      </c>
    </row>
    <row r="22" spans="1:20" ht="14.25">
      <c r="A22" s="86" t="s">
        <v>1173</v>
      </c>
      <c r="B22" s="117" t="s">
        <v>201</v>
      </c>
      <c r="C22" s="167">
        <v>1</v>
      </c>
      <c r="D22" s="118" t="s">
        <v>1</v>
      </c>
      <c r="E22" s="119">
        <v>143</v>
      </c>
      <c r="F22" s="119">
        <v>23</v>
      </c>
      <c r="G22" s="142">
        <v>112</v>
      </c>
      <c r="H22" s="142">
        <v>4024</v>
      </c>
      <c r="I22" s="142">
        <v>21.3</v>
      </c>
      <c r="J22" s="142">
        <v>30</v>
      </c>
      <c r="K22" s="224" t="s">
        <v>1282</v>
      </c>
      <c r="L22" s="224">
        <v>30</v>
      </c>
      <c r="M22" s="224" t="s">
        <v>1282</v>
      </c>
      <c r="N22" s="224">
        <v>27.6</v>
      </c>
      <c r="O22" s="142" t="s">
        <v>1267</v>
      </c>
      <c r="P22" s="119">
        <v>143</v>
      </c>
      <c r="Q22" s="117" t="s">
        <v>1283</v>
      </c>
      <c r="R22" s="123">
        <v>360</v>
      </c>
      <c r="S22" s="144">
        <v>13.681600000000001</v>
      </c>
      <c r="T22" s="144">
        <v>11.218</v>
      </c>
    </row>
    <row r="23" spans="1:20" ht="14.25">
      <c r="A23" s="86" t="s">
        <v>1406</v>
      </c>
      <c r="B23" s="117" t="s">
        <v>201</v>
      </c>
      <c r="C23" s="167">
        <v>1</v>
      </c>
      <c r="D23" s="118" t="s">
        <v>1</v>
      </c>
      <c r="E23" s="119">
        <v>154</v>
      </c>
      <c r="F23" s="119">
        <v>23</v>
      </c>
      <c r="G23" s="142">
        <v>122</v>
      </c>
      <c r="H23" s="142">
        <v>4262</v>
      </c>
      <c r="I23" s="142">
        <v>20</v>
      </c>
      <c r="J23" s="142">
        <v>30</v>
      </c>
      <c r="K23" s="224" t="s">
        <v>1282</v>
      </c>
      <c r="L23" s="224">
        <v>30</v>
      </c>
      <c r="M23" s="224" t="s">
        <v>1282</v>
      </c>
      <c r="N23" s="224">
        <v>27.6</v>
      </c>
      <c r="O23" s="142" t="s">
        <v>1267</v>
      </c>
      <c r="P23" s="119">
        <v>154</v>
      </c>
      <c r="Q23" s="117" t="s">
        <v>1271</v>
      </c>
      <c r="R23" s="123">
        <v>340</v>
      </c>
      <c r="S23" s="144">
        <v>14.4908</v>
      </c>
      <c r="T23" s="144">
        <v>11.266666666666667</v>
      </c>
    </row>
    <row r="24" spans="1:20" ht="14.25">
      <c r="A24" s="86" t="s">
        <v>1096</v>
      </c>
      <c r="B24" s="117" t="s">
        <v>201</v>
      </c>
      <c r="C24" s="109" t="s">
        <v>197</v>
      </c>
      <c r="D24" s="118" t="s">
        <v>2</v>
      </c>
      <c r="E24" s="119">
        <v>190</v>
      </c>
      <c r="F24" s="119">
        <v>23</v>
      </c>
      <c r="G24" s="142">
        <v>150</v>
      </c>
      <c r="H24" s="142">
        <v>5332</v>
      </c>
      <c r="I24" s="142">
        <v>21.3</v>
      </c>
      <c r="J24" s="142">
        <v>30</v>
      </c>
      <c r="K24" s="224" t="s">
        <v>1278</v>
      </c>
      <c r="L24" s="224">
        <v>30</v>
      </c>
      <c r="M24" s="224" t="s">
        <v>1278</v>
      </c>
      <c r="N24" s="224">
        <v>28</v>
      </c>
      <c r="O24" s="142" t="s">
        <v>1267</v>
      </c>
      <c r="P24" s="119">
        <v>190</v>
      </c>
      <c r="Q24" s="117" t="s">
        <v>1272</v>
      </c>
      <c r="R24" s="121">
        <v>315</v>
      </c>
      <c r="S24" s="144">
        <v>18.128800000000002</v>
      </c>
      <c r="T24" s="144">
        <v>14.555</v>
      </c>
    </row>
    <row r="25" spans="1:20" ht="14.25">
      <c r="A25" s="86" t="s">
        <v>1407</v>
      </c>
      <c r="B25" s="142" t="s">
        <v>208</v>
      </c>
      <c r="C25" s="170">
        <v>1</v>
      </c>
      <c r="D25" s="118" t="s">
        <v>2</v>
      </c>
      <c r="E25" s="137">
        <v>191</v>
      </c>
      <c r="F25" s="119">
        <v>42</v>
      </c>
      <c r="G25" s="142">
        <v>150</v>
      </c>
      <c r="H25" s="142">
        <v>3820</v>
      </c>
      <c r="I25" s="142">
        <v>11</v>
      </c>
      <c r="J25" s="142">
        <v>75</v>
      </c>
      <c r="K25" s="224" t="s">
        <v>1284</v>
      </c>
      <c r="L25" s="224">
        <v>100</v>
      </c>
      <c r="M25" s="224" t="s">
        <v>1285</v>
      </c>
      <c r="N25" s="224">
        <v>19.7</v>
      </c>
      <c r="O25" s="142" t="s">
        <v>1267</v>
      </c>
      <c r="P25" s="142">
        <v>193</v>
      </c>
      <c r="Q25" s="142" t="s">
        <v>1286</v>
      </c>
      <c r="R25" s="123">
        <v>540</v>
      </c>
      <c r="S25" s="144">
        <v>32.47</v>
      </c>
      <c r="T25" s="144">
        <v>25.422222222222221</v>
      </c>
    </row>
    <row r="26" spans="1:20" ht="14.25">
      <c r="A26" s="86" t="s">
        <v>1182</v>
      </c>
      <c r="B26" s="117" t="s">
        <v>781</v>
      </c>
      <c r="C26" s="167">
        <v>1</v>
      </c>
      <c r="D26" s="118" t="s">
        <v>2</v>
      </c>
      <c r="E26" s="142">
        <v>190</v>
      </c>
      <c r="F26" s="142">
        <v>31</v>
      </c>
      <c r="G26" s="142">
        <v>150</v>
      </c>
      <c r="H26" s="142">
        <v>5330</v>
      </c>
      <c r="I26" s="142">
        <v>19.3</v>
      </c>
      <c r="J26" s="142">
        <v>30</v>
      </c>
      <c r="K26" s="224" t="s">
        <v>1278</v>
      </c>
      <c r="L26" s="224">
        <v>50</v>
      </c>
      <c r="M26" s="224" t="s">
        <v>1287</v>
      </c>
      <c r="N26" s="224">
        <v>28</v>
      </c>
      <c r="O26" s="142" t="s">
        <v>1288</v>
      </c>
      <c r="P26" s="142">
        <v>190</v>
      </c>
      <c r="Q26" s="142" t="s">
        <v>1289</v>
      </c>
      <c r="R26" s="123">
        <v>400</v>
      </c>
      <c r="S26" s="144">
        <v>18.122</v>
      </c>
      <c r="T26" s="144">
        <v>21.980555555555554</v>
      </c>
    </row>
    <row r="27" spans="1:20" ht="14.25">
      <c r="A27" s="86" t="s">
        <v>1182</v>
      </c>
      <c r="B27" s="117" t="s">
        <v>781</v>
      </c>
      <c r="C27" s="167">
        <v>1</v>
      </c>
      <c r="D27" s="118" t="s">
        <v>1</v>
      </c>
      <c r="E27" s="142">
        <v>190</v>
      </c>
      <c r="F27" s="142">
        <v>31</v>
      </c>
      <c r="G27" s="142">
        <v>150</v>
      </c>
      <c r="H27" s="142">
        <v>5330</v>
      </c>
      <c r="I27" s="142">
        <v>19.3</v>
      </c>
      <c r="J27" s="142">
        <v>30</v>
      </c>
      <c r="K27" s="224" t="s">
        <v>1278</v>
      </c>
      <c r="L27" s="224">
        <v>50</v>
      </c>
      <c r="M27" s="224" t="s">
        <v>1287</v>
      </c>
      <c r="N27" s="224">
        <v>28</v>
      </c>
      <c r="O27" s="142" t="s">
        <v>1288</v>
      </c>
      <c r="P27" s="142">
        <v>190</v>
      </c>
      <c r="Q27" s="142" t="s">
        <v>1289</v>
      </c>
      <c r="R27" s="123">
        <v>400</v>
      </c>
      <c r="S27" s="144">
        <v>18.122</v>
      </c>
      <c r="T27" s="144">
        <v>21.980555555555554</v>
      </c>
    </row>
    <row r="28" spans="1:20" ht="14.25">
      <c r="A28" s="86" t="s">
        <v>1408</v>
      </c>
      <c r="B28" s="142" t="s">
        <v>781</v>
      </c>
      <c r="C28" s="170">
        <v>1</v>
      </c>
      <c r="D28" s="118" t="s">
        <v>2</v>
      </c>
      <c r="E28" s="142">
        <v>143</v>
      </c>
      <c r="F28" s="142">
        <v>31</v>
      </c>
      <c r="G28" s="142">
        <v>112</v>
      </c>
      <c r="H28" s="142">
        <v>4016</v>
      </c>
      <c r="I28" s="142">
        <v>19.3</v>
      </c>
      <c r="J28" s="142">
        <v>30</v>
      </c>
      <c r="K28" s="224" t="s">
        <v>1278</v>
      </c>
      <c r="L28" s="224">
        <v>50</v>
      </c>
      <c r="M28" s="224" t="s">
        <v>1287</v>
      </c>
      <c r="N28" s="224">
        <v>28</v>
      </c>
      <c r="O28" s="142" t="s">
        <v>1267</v>
      </c>
      <c r="P28" s="119">
        <v>143</v>
      </c>
      <c r="Q28" s="117" t="s">
        <v>1290</v>
      </c>
      <c r="R28" s="122">
        <v>411.10880829015542</v>
      </c>
      <c r="S28" s="144">
        <v>13.654400000000001</v>
      </c>
      <c r="T28" s="144">
        <v>16.941111111111113</v>
      </c>
    </row>
    <row r="29" spans="1:20" ht="14.25">
      <c r="A29" s="86" t="s">
        <v>1409</v>
      </c>
      <c r="B29" s="117" t="s">
        <v>1071</v>
      </c>
      <c r="C29" s="109" t="s">
        <v>197</v>
      </c>
      <c r="D29" s="118" t="s">
        <v>2</v>
      </c>
      <c r="E29" s="119">
        <v>200</v>
      </c>
      <c r="F29" s="119">
        <v>40</v>
      </c>
      <c r="G29" s="142">
        <v>150</v>
      </c>
      <c r="H29" s="142">
        <v>5612</v>
      </c>
      <c r="I29" s="142">
        <v>14.4</v>
      </c>
      <c r="J29" s="142">
        <v>30</v>
      </c>
      <c r="K29" s="224" t="s">
        <v>1278</v>
      </c>
      <c r="L29" s="224">
        <v>100</v>
      </c>
      <c r="M29" s="224" t="s">
        <v>1285</v>
      </c>
      <c r="N29" s="225">
        <v>28</v>
      </c>
      <c r="O29" s="142" t="s">
        <v>1267</v>
      </c>
      <c r="P29" s="124">
        <v>200</v>
      </c>
      <c r="Q29" s="117" t="s">
        <v>1291</v>
      </c>
      <c r="R29" s="122">
        <v>551</v>
      </c>
      <c r="S29" s="144">
        <v>19.0808</v>
      </c>
      <c r="T29" s="144">
        <v>34.4</v>
      </c>
    </row>
    <row r="30" spans="1:20" ht="14.25">
      <c r="A30" s="86" t="s">
        <v>1410</v>
      </c>
      <c r="B30" s="117" t="s">
        <v>1071</v>
      </c>
      <c r="C30" s="167">
        <v>0.33333333333333331</v>
      </c>
      <c r="D30" s="118" t="s">
        <v>1</v>
      </c>
      <c r="E30" s="119">
        <v>190</v>
      </c>
      <c r="F30" s="119">
        <v>40</v>
      </c>
      <c r="G30" s="142">
        <v>150</v>
      </c>
      <c r="H30" s="142">
        <v>6112</v>
      </c>
      <c r="I30" s="142">
        <v>14</v>
      </c>
      <c r="J30" s="142">
        <v>30</v>
      </c>
      <c r="K30" s="224" t="s">
        <v>1292</v>
      </c>
      <c r="L30" s="224">
        <v>100</v>
      </c>
      <c r="M30" s="224" t="s">
        <v>1293</v>
      </c>
      <c r="N30" s="225">
        <v>28</v>
      </c>
      <c r="O30" s="142" t="s">
        <v>1267</v>
      </c>
      <c r="P30" s="124">
        <v>190</v>
      </c>
      <c r="Q30" s="117" t="s">
        <v>1291</v>
      </c>
      <c r="R30" s="122">
        <v>566.74285714285713</v>
      </c>
      <c r="S30" s="144">
        <v>20.780800000000003</v>
      </c>
      <c r="T30" s="144">
        <v>31.888888888888889</v>
      </c>
    </row>
    <row r="31" spans="1:20" ht="14.25">
      <c r="A31" s="86" t="s">
        <v>1411</v>
      </c>
      <c r="B31" s="117" t="s">
        <v>203</v>
      </c>
      <c r="C31" s="167">
        <v>1</v>
      </c>
      <c r="D31" s="118" t="s">
        <v>2</v>
      </c>
      <c r="E31" s="119">
        <v>143</v>
      </c>
      <c r="F31" s="119">
        <v>35</v>
      </c>
      <c r="G31" s="142">
        <v>112</v>
      </c>
      <c r="H31" s="142">
        <v>3887</v>
      </c>
      <c r="I31" s="142">
        <v>16.5</v>
      </c>
      <c r="J31" s="142">
        <v>50</v>
      </c>
      <c r="K31" s="224" t="s">
        <v>1287</v>
      </c>
      <c r="L31" s="224">
        <v>50</v>
      </c>
      <c r="M31" s="224" t="s">
        <v>1287</v>
      </c>
      <c r="N31" s="224">
        <v>26.4</v>
      </c>
      <c r="O31" s="142" t="s">
        <v>1294</v>
      </c>
      <c r="P31" s="119">
        <v>143</v>
      </c>
      <c r="Q31" s="117" t="s">
        <v>1295</v>
      </c>
      <c r="R31" s="122">
        <v>440</v>
      </c>
      <c r="S31" s="144">
        <v>22.026333333333334</v>
      </c>
      <c r="T31" s="144">
        <v>14.483333333333333</v>
      </c>
    </row>
    <row r="32" spans="1:20" ht="14.25">
      <c r="A32" s="86" t="s">
        <v>1412</v>
      </c>
      <c r="B32" s="117" t="s">
        <v>203</v>
      </c>
      <c r="C32" s="167">
        <v>1</v>
      </c>
      <c r="D32" s="118" t="s">
        <v>2</v>
      </c>
      <c r="E32" s="119">
        <v>157.5</v>
      </c>
      <c r="F32" s="119">
        <v>35</v>
      </c>
      <c r="G32" s="142">
        <v>122</v>
      </c>
      <c r="H32" s="142">
        <v>4360</v>
      </c>
      <c r="I32" s="142">
        <v>20</v>
      </c>
      <c r="J32" s="142">
        <v>50</v>
      </c>
      <c r="K32" s="224" t="s">
        <v>1287</v>
      </c>
      <c r="L32" s="224">
        <v>50</v>
      </c>
      <c r="M32" s="224" t="s">
        <v>1287</v>
      </c>
      <c r="N32" s="224">
        <v>27.6</v>
      </c>
      <c r="O32" s="142" t="s">
        <v>1267</v>
      </c>
      <c r="P32" s="119">
        <v>157.5</v>
      </c>
      <c r="Q32" s="117" t="s">
        <v>1271</v>
      </c>
      <c r="R32" s="122">
        <v>396.72</v>
      </c>
      <c r="S32" s="144">
        <v>24.706666666666667</v>
      </c>
      <c r="T32" s="144">
        <v>19.166666666666668</v>
      </c>
    </row>
    <row r="33" spans="1:20" ht="14.25">
      <c r="A33" s="86" t="s">
        <v>1108</v>
      </c>
      <c r="B33" s="117" t="s">
        <v>203</v>
      </c>
      <c r="C33" s="167">
        <v>1</v>
      </c>
      <c r="D33" s="118" t="s">
        <v>2</v>
      </c>
      <c r="E33" s="119">
        <v>190</v>
      </c>
      <c r="F33" s="156">
        <v>35</v>
      </c>
      <c r="G33" s="142">
        <v>150</v>
      </c>
      <c r="H33" s="142">
        <v>4952</v>
      </c>
      <c r="I33" s="142">
        <v>19.3</v>
      </c>
      <c r="J33" s="142">
        <v>50</v>
      </c>
      <c r="K33" s="224" t="s">
        <v>1287</v>
      </c>
      <c r="L33" s="224">
        <v>50</v>
      </c>
      <c r="M33" s="224" t="s">
        <v>1287</v>
      </c>
      <c r="N33" s="224">
        <v>26</v>
      </c>
      <c r="O33" s="142" t="s">
        <v>1267</v>
      </c>
      <c r="P33" s="119">
        <v>190</v>
      </c>
      <c r="Q33" s="117" t="s">
        <v>1296</v>
      </c>
      <c r="R33" s="123">
        <v>400</v>
      </c>
      <c r="S33" s="144">
        <v>28.061333333333337</v>
      </c>
      <c r="T33" s="144">
        <v>21.980555555555554</v>
      </c>
    </row>
    <row r="34" spans="1:20" ht="14.25">
      <c r="A34" s="86" t="s">
        <v>1092</v>
      </c>
      <c r="B34" s="117" t="s">
        <v>203</v>
      </c>
      <c r="C34" s="109" t="s">
        <v>197</v>
      </c>
      <c r="D34" s="118" t="s">
        <v>2</v>
      </c>
      <c r="E34" s="119">
        <v>190.5</v>
      </c>
      <c r="F34" s="119">
        <v>37</v>
      </c>
      <c r="G34" s="142">
        <v>150</v>
      </c>
      <c r="H34" s="142">
        <v>5298</v>
      </c>
      <c r="I34" s="142">
        <v>18</v>
      </c>
      <c r="J34" s="142">
        <v>50</v>
      </c>
      <c r="K34" s="224" t="s">
        <v>1287</v>
      </c>
      <c r="L34" s="224">
        <v>50</v>
      </c>
      <c r="M34" s="224" t="s">
        <v>1287</v>
      </c>
      <c r="N34" s="224">
        <v>27.5</v>
      </c>
      <c r="O34" s="142" t="s">
        <v>1294</v>
      </c>
      <c r="P34" s="119">
        <v>190.5</v>
      </c>
      <c r="Q34" s="117" t="s">
        <v>1297</v>
      </c>
      <c r="R34" s="121">
        <v>410</v>
      </c>
      <c r="S34" s="144">
        <v>30.022000000000002</v>
      </c>
      <c r="T34" s="144">
        <v>20.55</v>
      </c>
    </row>
    <row r="35" spans="1:20" ht="14.25">
      <c r="A35" s="86" t="s">
        <v>1413</v>
      </c>
      <c r="B35" s="117" t="s">
        <v>203</v>
      </c>
      <c r="C35" s="167">
        <v>1</v>
      </c>
      <c r="D35" s="118" t="s">
        <v>2</v>
      </c>
      <c r="E35" s="119">
        <v>226</v>
      </c>
      <c r="F35" s="119">
        <v>35</v>
      </c>
      <c r="G35" s="142">
        <v>150</v>
      </c>
      <c r="H35" s="142">
        <v>5782</v>
      </c>
      <c r="I35" s="142">
        <v>19.3</v>
      </c>
      <c r="J35" s="142">
        <v>50</v>
      </c>
      <c r="K35" s="224" t="s">
        <v>1287</v>
      </c>
      <c r="L35" s="224">
        <v>50</v>
      </c>
      <c r="M35" s="224" t="s">
        <v>1287</v>
      </c>
      <c r="N35" s="224">
        <v>25.6</v>
      </c>
      <c r="O35" s="142" t="s">
        <v>1267</v>
      </c>
      <c r="P35" s="142">
        <v>226</v>
      </c>
      <c r="Q35" s="142" t="s">
        <v>1290</v>
      </c>
      <c r="R35" s="123">
        <v>380</v>
      </c>
      <c r="S35" s="144">
        <v>32.764666666666663</v>
      </c>
      <c r="T35" s="144">
        <v>25.840555555555557</v>
      </c>
    </row>
    <row r="36" spans="1:20" ht="14.25">
      <c r="A36" s="86" t="s">
        <v>1414</v>
      </c>
      <c r="B36" s="117" t="s">
        <v>1298</v>
      </c>
      <c r="C36" s="109" t="s">
        <v>197</v>
      </c>
      <c r="D36" s="118" t="s">
        <v>2</v>
      </c>
      <c r="E36" s="119">
        <v>190</v>
      </c>
      <c r="F36" s="119">
        <v>41</v>
      </c>
      <c r="G36" s="142">
        <v>150</v>
      </c>
      <c r="H36" s="142">
        <v>5060</v>
      </c>
      <c r="I36" s="142">
        <v>20.399999999999999</v>
      </c>
      <c r="J36" s="142">
        <v>50</v>
      </c>
      <c r="K36" s="224" t="s">
        <v>1287</v>
      </c>
      <c r="L36" s="224">
        <v>75</v>
      </c>
      <c r="M36" s="224" t="s">
        <v>1284</v>
      </c>
      <c r="N36" s="224">
        <v>26.5</v>
      </c>
      <c r="O36" s="142" t="s">
        <v>1267</v>
      </c>
      <c r="P36" s="119">
        <v>190</v>
      </c>
      <c r="Q36" s="117" t="s">
        <v>1280</v>
      </c>
      <c r="R36" s="122">
        <v>388.94117647058823</v>
      </c>
      <c r="S36" s="144">
        <v>28.673333333333332</v>
      </c>
      <c r="T36" s="144">
        <v>34.85</v>
      </c>
    </row>
    <row r="37" spans="1:20" ht="14.25">
      <c r="A37" s="86" t="s">
        <v>1415</v>
      </c>
      <c r="B37" s="117" t="s">
        <v>1299</v>
      </c>
      <c r="C37" s="167">
        <v>0.33333333333333331</v>
      </c>
      <c r="D37" s="118" t="s">
        <v>2</v>
      </c>
      <c r="E37" s="119">
        <v>190</v>
      </c>
      <c r="F37" s="119">
        <v>35</v>
      </c>
      <c r="G37" s="142">
        <v>150</v>
      </c>
      <c r="H37" s="142">
        <v>4032</v>
      </c>
      <c r="I37" s="142">
        <v>10.3</v>
      </c>
      <c r="J37" s="142">
        <v>50</v>
      </c>
      <c r="K37" s="224" t="s">
        <v>1287</v>
      </c>
      <c r="L37" s="224">
        <v>100</v>
      </c>
      <c r="M37" s="224" t="s">
        <v>1285</v>
      </c>
      <c r="N37" s="224">
        <v>21</v>
      </c>
      <c r="O37" s="142" t="s">
        <v>1300</v>
      </c>
      <c r="P37" s="142">
        <v>190</v>
      </c>
      <c r="Q37" s="142" t="s">
        <v>1301</v>
      </c>
      <c r="R37" s="122">
        <v>700</v>
      </c>
      <c r="S37" s="144">
        <v>22.847999999999999</v>
      </c>
      <c r="T37" s="144">
        <v>23.461111111111112</v>
      </c>
    </row>
    <row r="38" spans="1:20" ht="14.25">
      <c r="A38" s="86" t="s">
        <v>1416</v>
      </c>
      <c r="B38" s="117" t="s">
        <v>203</v>
      </c>
      <c r="C38" s="167" t="s">
        <v>1302</v>
      </c>
      <c r="D38" s="118" t="s">
        <v>2</v>
      </c>
      <c r="E38" s="119">
        <v>200</v>
      </c>
      <c r="F38" s="119">
        <v>42</v>
      </c>
      <c r="G38" s="142">
        <v>150</v>
      </c>
      <c r="H38" s="142">
        <v>5176</v>
      </c>
      <c r="I38" s="142">
        <v>30.5</v>
      </c>
      <c r="J38" s="142">
        <v>50</v>
      </c>
      <c r="K38" s="224" t="s">
        <v>1287</v>
      </c>
      <c r="L38" s="224">
        <v>75</v>
      </c>
      <c r="M38" s="224" t="s">
        <v>1284</v>
      </c>
      <c r="N38" s="224">
        <v>19</v>
      </c>
      <c r="O38" s="142" t="s">
        <v>1267</v>
      </c>
      <c r="P38" s="142">
        <v>200</v>
      </c>
      <c r="Q38" s="142" t="s">
        <v>1303</v>
      </c>
      <c r="R38" s="122">
        <v>260.14426229508194</v>
      </c>
      <c r="S38" s="144">
        <v>29.330666666666669</v>
      </c>
      <c r="T38" s="144">
        <v>54.645833333333336</v>
      </c>
    </row>
    <row r="39" spans="1:20" ht="14.25">
      <c r="A39" s="86" t="s">
        <v>1092</v>
      </c>
      <c r="B39" s="117" t="s">
        <v>203</v>
      </c>
      <c r="C39" s="109" t="s">
        <v>197</v>
      </c>
      <c r="D39" s="118" t="s">
        <v>1</v>
      </c>
      <c r="E39" s="119">
        <v>190.5</v>
      </c>
      <c r="F39" s="157">
        <v>37</v>
      </c>
      <c r="G39" s="142">
        <v>150</v>
      </c>
      <c r="H39" s="142">
        <v>5298</v>
      </c>
      <c r="I39" s="142">
        <v>18</v>
      </c>
      <c r="J39" s="142">
        <v>50</v>
      </c>
      <c r="K39" s="224" t="s">
        <v>1304</v>
      </c>
      <c r="L39" s="224">
        <v>50</v>
      </c>
      <c r="M39" s="224" t="s">
        <v>1304</v>
      </c>
      <c r="N39" s="224">
        <v>27.5</v>
      </c>
      <c r="O39" s="142" t="s">
        <v>1294</v>
      </c>
      <c r="P39" s="119">
        <v>190.5</v>
      </c>
      <c r="Q39" s="117" t="s">
        <v>1297</v>
      </c>
      <c r="R39" s="123">
        <v>411</v>
      </c>
      <c r="S39" s="144">
        <v>30</v>
      </c>
      <c r="T39" s="144">
        <v>20.6</v>
      </c>
    </row>
    <row r="40" spans="1:20" ht="14.25">
      <c r="A40" s="86" t="s">
        <v>1092</v>
      </c>
      <c r="B40" s="117" t="s">
        <v>203</v>
      </c>
      <c r="C40" s="167">
        <v>1</v>
      </c>
      <c r="D40" s="118" t="s">
        <v>1</v>
      </c>
      <c r="E40" s="119">
        <v>190.5</v>
      </c>
      <c r="F40" s="119">
        <v>37</v>
      </c>
      <c r="G40" s="142">
        <v>150</v>
      </c>
      <c r="H40" s="142">
        <v>5298</v>
      </c>
      <c r="I40" s="142">
        <v>18</v>
      </c>
      <c r="J40" s="142">
        <v>50</v>
      </c>
      <c r="K40" s="224" t="s">
        <v>1304</v>
      </c>
      <c r="L40" s="224">
        <v>50</v>
      </c>
      <c r="M40" s="224" t="s">
        <v>1304</v>
      </c>
      <c r="N40" s="224">
        <v>27.5</v>
      </c>
      <c r="O40" s="142" t="s">
        <v>1294</v>
      </c>
      <c r="P40" s="119">
        <v>190.5</v>
      </c>
      <c r="Q40" s="117" t="s">
        <v>1297</v>
      </c>
      <c r="R40" s="123">
        <v>411</v>
      </c>
      <c r="S40" s="144">
        <v>30</v>
      </c>
      <c r="T40" s="144">
        <v>20.6</v>
      </c>
    </row>
    <row r="41" spans="1:20" ht="14.25">
      <c r="A41" s="86" t="s">
        <v>1108</v>
      </c>
      <c r="B41" s="117" t="s">
        <v>203</v>
      </c>
      <c r="C41" s="167">
        <v>1</v>
      </c>
      <c r="D41" s="118" t="s">
        <v>1</v>
      </c>
      <c r="E41" s="119">
        <v>190</v>
      </c>
      <c r="F41" s="156">
        <v>35</v>
      </c>
      <c r="G41" s="142">
        <v>150</v>
      </c>
      <c r="H41" s="142">
        <v>4952</v>
      </c>
      <c r="I41" s="142">
        <v>19.3</v>
      </c>
      <c r="J41" s="142">
        <v>50</v>
      </c>
      <c r="K41" s="224" t="s">
        <v>1287</v>
      </c>
      <c r="L41" s="224">
        <v>50</v>
      </c>
      <c r="M41" s="224" t="s">
        <v>1287</v>
      </c>
      <c r="N41" s="224">
        <v>26</v>
      </c>
      <c r="O41" s="142" t="s">
        <v>1267</v>
      </c>
      <c r="P41" s="119">
        <v>190</v>
      </c>
      <c r="Q41" s="117" t="s">
        <v>1296</v>
      </c>
      <c r="R41" s="123">
        <v>400</v>
      </c>
      <c r="S41" s="144">
        <v>28.061333333333337</v>
      </c>
      <c r="T41" s="144">
        <v>21.980555555555554</v>
      </c>
    </row>
    <row r="42" spans="1:20" ht="14.25">
      <c r="A42" s="86" t="s">
        <v>1411</v>
      </c>
      <c r="B42" s="117" t="s">
        <v>203</v>
      </c>
      <c r="C42" s="167">
        <v>1</v>
      </c>
      <c r="D42" s="118" t="s">
        <v>1</v>
      </c>
      <c r="E42" s="119">
        <v>143</v>
      </c>
      <c r="F42" s="119">
        <v>35</v>
      </c>
      <c r="G42" s="142">
        <v>112</v>
      </c>
      <c r="H42" s="142">
        <v>3887</v>
      </c>
      <c r="I42" s="142">
        <v>16.5</v>
      </c>
      <c r="J42" s="142">
        <v>50</v>
      </c>
      <c r="K42" s="224" t="s">
        <v>1304</v>
      </c>
      <c r="L42" s="224">
        <v>50</v>
      </c>
      <c r="M42" s="224" t="s">
        <v>1304</v>
      </c>
      <c r="N42" s="224">
        <v>26.4</v>
      </c>
      <c r="O42" s="142" t="s">
        <v>1294</v>
      </c>
      <c r="P42" s="119">
        <v>143</v>
      </c>
      <c r="Q42" s="117" t="s">
        <v>1295</v>
      </c>
      <c r="R42" s="123">
        <v>411</v>
      </c>
      <c r="S42" s="144">
        <v>22.026333333333334</v>
      </c>
      <c r="T42" s="144">
        <v>14.483333333333333</v>
      </c>
    </row>
    <row r="43" spans="1:20" ht="14.25">
      <c r="A43" s="86" t="s">
        <v>1118</v>
      </c>
      <c r="B43" s="142" t="s">
        <v>205</v>
      </c>
      <c r="C43" s="167">
        <v>1</v>
      </c>
      <c r="D43" s="118" t="s">
        <v>2</v>
      </c>
      <c r="E43" s="119">
        <v>190</v>
      </c>
      <c r="F43" s="119">
        <v>44</v>
      </c>
      <c r="G43" s="142">
        <v>150</v>
      </c>
      <c r="H43" s="142">
        <v>5298</v>
      </c>
      <c r="I43" s="142">
        <v>16</v>
      </c>
      <c r="J43" s="142">
        <v>50</v>
      </c>
      <c r="K43" s="224" t="s">
        <v>1305</v>
      </c>
      <c r="L43" s="224">
        <v>75</v>
      </c>
      <c r="M43" s="224" t="s">
        <v>1284</v>
      </c>
      <c r="N43" s="224">
        <v>27.5</v>
      </c>
      <c r="O43" s="142" t="s">
        <v>1267</v>
      </c>
      <c r="P43" s="142">
        <v>190</v>
      </c>
      <c r="Q43" s="142" t="s">
        <v>1306</v>
      </c>
      <c r="R43" s="123">
        <v>391</v>
      </c>
      <c r="S43" s="144">
        <v>30.022000000000002</v>
      </c>
      <c r="T43" s="144">
        <v>27.333333333333332</v>
      </c>
    </row>
    <row r="44" spans="1:20" ht="14.25">
      <c r="A44" s="86" t="s">
        <v>1118</v>
      </c>
      <c r="B44" s="142" t="s">
        <v>205</v>
      </c>
      <c r="C44" s="167">
        <v>1</v>
      </c>
      <c r="D44" s="118" t="s">
        <v>1</v>
      </c>
      <c r="E44" s="119">
        <v>190</v>
      </c>
      <c r="F44" s="119">
        <v>44</v>
      </c>
      <c r="G44" s="142">
        <v>150</v>
      </c>
      <c r="H44" s="142">
        <v>5298</v>
      </c>
      <c r="I44" s="142">
        <v>16</v>
      </c>
      <c r="J44" s="142">
        <v>50</v>
      </c>
      <c r="K44" s="224" t="s">
        <v>1307</v>
      </c>
      <c r="L44" s="224">
        <v>75</v>
      </c>
      <c r="M44" s="224" t="s">
        <v>1308</v>
      </c>
      <c r="N44" s="224">
        <v>27.5</v>
      </c>
      <c r="O44" s="142" t="s">
        <v>1264</v>
      </c>
      <c r="P44" s="142">
        <v>190</v>
      </c>
      <c r="Q44" s="142" t="s">
        <v>1306</v>
      </c>
      <c r="R44" s="123">
        <v>391</v>
      </c>
      <c r="S44" s="144">
        <v>30.022000000000002</v>
      </c>
      <c r="T44" s="144">
        <v>27.333333333333332</v>
      </c>
    </row>
    <row r="45" spans="1:20" ht="14.25">
      <c r="A45" s="86" t="s">
        <v>1417</v>
      </c>
      <c r="B45" s="142" t="s">
        <v>205</v>
      </c>
      <c r="C45" s="167">
        <v>1</v>
      </c>
      <c r="D45" s="118" t="s">
        <v>2</v>
      </c>
      <c r="E45" s="119">
        <v>190</v>
      </c>
      <c r="F45" s="119">
        <v>47</v>
      </c>
      <c r="G45" s="142">
        <v>150</v>
      </c>
      <c r="H45" s="142">
        <v>4956</v>
      </c>
      <c r="I45" s="142">
        <v>18.8</v>
      </c>
      <c r="J45" s="142">
        <v>50</v>
      </c>
      <c r="K45" s="224" t="s">
        <v>1287</v>
      </c>
      <c r="L45" s="224">
        <v>75</v>
      </c>
      <c r="M45" s="224" t="s">
        <v>1284</v>
      </c>
      <c r="N45" s="224">
        <v>26</v>
      </c>
      <c r="O45" s="142" t="s">
        <v>1264</v>
      </c>
      <c r="P45" s="142">
        <v>190</v>
      </c>
      <c r="Q45" s="117" t="s">
        <v>1309</v>
      </c>
      <c r="R45" s="122">
        <v>422.04255319148933</v>
      </c>
      <c r="S45" s="144">
        <v>28.084000000000003</v>
      </c>
      <c r="T45" s="144">
        <v>32.116666666666667</v>
      </c>
    </row>
    <row r="46" spans="1:20" ht="14.25">
      <c r="A46" s="86" t="s">
        <v>1417</v>
      </c>
      <c r="B46" s="142" t="s">
        <v>205</v>
      </c>
      <c r="C46" s="167">
        <v>1</v>
      </c>
      <c r="D46" s="118" t="s">
        <v>1</v>
      </c>
      <c r="E46" s="119">
        <v>190</v>
      </c>
      <c r="F46" s="119">
        <v>47</v>
      </c>
      <c r="G46" s="142">
        <v>150</v>
      </c>
      <c r="H46" s="142">
        <v>4956</v>
      </c>
      <c r="I46" s="142">
        <v>18.8</v>
      </c>
      <c r="J46" s="142">
        <v>50</v>
      </c>
      <c r="K46" s="224" t="s">
        <v>1287</v>
      </c>
      <c r="L46" s="224">
        <v>75</v>
      </c>
      <c r="M46" s="224" t="s">
        <v>1284</v>
      </c>
      <c r="N46" s="224">
        <v>26</v>
      </c>
      <c r="O46" s="142" t="s">
        <v>1264</v>
      </c>
      <c r="P46" s="142">
        <v>190</v>
      </c>
      <c r="Q46" s="117" t="s">
        <v>1309</v>
      </c>
      <c r="R46" s="122">
        <v>422.04255319148933</v>
      </c>
      <c r="S46" s="144">
        <v>28.084000000000003</v>
      </c>
      <c r="T46" s="144">
        <v>32.116666666666667</v>
      </c>
    </row>
    <row r="47" spans="1:20" ht="14.25">
      <c r="A47" s="86" t="s">
        <v>1418</v>
      </c>
      <c r="B47" s="153" t="s">
        <v>1310</v>
      </c>
      <c r="C47" s="109" t="s">
        <v>197</v>
      </c>
      <c r="D47" s="151" t="s">
        <v>2</v>
      </c>
      <c r="E47" s="152">
        <v>195</v>
      </c>
      <c r="F47" s="152">
        <v>50</v>
      </c>
      <c r="G47" s="153">
        <v>150</v>
      </c>
      <c r="H47" s="153">
        <v>3814</v>
      </c>
      <c r="I47" s="153">
        <v>15.3</v>
      </c>
      <c r="J47" s="153">
        <v>50</v>
      </c>
      <c r="K47" s="226" t="s">
        <v>1287</v>
      </c>
      <c r="L47" s="226">
        <v>75</v>
      </c>
      <c r="M47" s="226" t="s">
        <v>1284</v>
      </c>
      <c r="N47" s="226">
        <v>19.5</v>
      </c>
      <c r="O47" s="153" t="s">
        <v>1311</v>
      </c>
      <c r="P47" s="153">
        <v>195</v>
      </c>
      <c r="Q47" s="150" t="s">
        <v>1312</v>
      </c>
      <c r="R47" s="158">
        <v>400</v>
      </c>
      <c r="S47" s="155">
        <v>21.612666666666669</v>
      </c>
      <c r="T47" s="155">
        <v>26.774999999999999</v>
      </c>
    </row>
    <row r="48" spans="1:20" ht="14.25">
      <c r="A48" s="86" t="s">
        <v>1419</v>
      </c>
      <c r="B48" s="142" t="s">
        <v>205</v>
      </c>
      <c r="C48" s="109" t="s">
        <v>197</v>
      </c>
      <c r="D48" s="118" t="s">
        <v>2</v>
      </c>
      <c r="E48" s="119">
        <v>190.5</v>
      </c>
      <c r="F48" s="119">
        <v>41</v>
      </c>
      <c r="G48" s="142">
        <v>150</v>
      </c>
      <c r="H48" s="142">
        <v>5298</v>
      </c>
      <c r="I48" s="142">
        <v>18.5</v>
      </c>
      <c r="J48" s="142">
        <v>50</v>
      </c>
      <c r="K48" s="224" t="s">
        <v>1305</v>
      </c>
      <c r="L48" s="224">
        <v>75</v>
      </c>
      <c r="M48" s="224" t="s">
        <v>1284</v>
      </c>
      <c r="N48" s="224">
        <v>27.5</v>
      </c>
      <c r="O48" s="142" t="s">
        <v>1313</v>
      </c>
      <c r="P48" s="142">
        <v>190.5</v>
      </c>
      <c r="Q48" s="142" t="s">
        <v>1314</v>
      </c>
      <c r="R48" s="122">
        <v>428.88648648648649</v>
      </c>
      <c r="S48" s="144">
        <v>30.022000000000002</v>
      </c>
      <c r="T48" s="144">
        <v>31.681249999999999</v>
      </c>
    </row>
    <row r="49" spans="1:20" ht="14.25">
      <c r="A49" s="86" t="s">
        <v>1420</v>
      </c>
      <c r="B49" s="117" t="s">
        <v>206</v>
      </c>
      <c r="C49" s="167">
        <v>0.33333333333333331</v>
      </c>
      <c r="D49" s="118" t="s">
        <v>2</v>
      </c>
      <c r="E49" s="119">
        <v>143</v>
      </c>
      <c r="F49" s="119">
        <v>45</v>
      </c>
      <c r="G49" s="142">
        <v>112</v>
      </c>
      <c r="H49" s="142">
        <v>3146</v>
      </c>
      <c r="I49" s="142">
        <v>16.5</v>
      </c>
      <c r="J49" s="142">
        <v>75</v>
      </c>
      <c r="K49" s="224" t="s">
        <v>1284</v>
      </c>
      <c r="L49" s="224">
        <v>75</v>
      </c>
      <c r="M49" s="224" t="s">
        <v>1284</v>
      </c>
      <c r="N49" s="224">
        <v>22</v>
      </c>
      <c r="O49" s="142" t="s">
        <v>1288</v>
      </c>
      <c r="P49" s="119">
        <v>143</v>
      </c>
      <c r="Q49" s="117" t="s">
        <v>1295</v>
      </c>
      <c r="R49" s="123">
        <v>440</v>
      </c>
      <c r="S49" s="144">
        <v>26.741</v>
      </c>
      <c r="T49" s="144">
        <v>21.725000000000001</v>
      </c>
    </row>
    <row r="50" spans="1:20" ht="14.25">
      <c r="A50" s="86" t="s">
        <v>1421</v>
      </c>
      <c r="B50" s="117" t="s">
        <v>206</v>
      </c>
      <c r="C50" s="167">
        <v>0.33333333333333331</v>
      </c>
      <c r="D50" s="118" t="s">
        <v>2</v>
      </c>
      <c r="E50" s="119">
        <v>190</v>
      </c>
      <c r="F50" s="159">
        <v>45</v>
      </c>
      <c r="G50" s="142">
        <v>150</v>
      </c>
      <c r="H50" s="142">
        <v>4040</v>
      </c>
      <c r="I50" s="142">
        <v>17.3</v>
      </c>
      <c r="J50" s="142">
        <v>75</v>
      </c>
      <c r="K50" s="224" t="s">
        <v>1284</v>
      </c>
      <c r="L50" s="224">
        <v>75</v>
      </c>
      <c r="M50" s="224" t="s">
        <v>1284</v>
      </c>
      <c r="N50" s="224">
        <v>22</v>
      </c>
      <c r="O50" s="142" t="s">
        <v>1288</v>
      </c>
      <c r="P50" s="119">
        <v>190</v>
      </c>
      <c r="Q50" s="117" t="s">
        <v>1315</v>
      </c>
      <c r="R50" s="123">
        <v>440</v>
      </c>
      <c r="S50" s="144">
        <v>34.339999999999996</v>
      </c>
      <c r="T50" s="144">
        <v>29.554166666666667</v>
      </c>
    </row>
    <row r="51" spans="1:20" ht="14.25">
      <c r="A51" s="86" t="s">
        <v>1422</v>
      </c>
      <c r="B51" s="117" t="s">
        <v>206</v>
      </c>
      <c r="C51" s="109" t="s">
        <v>197</v>
      </c>
      <c r="D51" s="118" t="s">
        <v>2</v>
      </c>
      <c r="E51" s="119">
        <v>190.5</v>
      </c>
      <c r="F51" s="119">
        <v>47</v>
      </c>
      <c r="G51" s="142">
        <v>150</v>
      </c>
      <c r="H51" s="142">
        <v>4040</v>
      </c>
      <c r="I51" s="142">
        <v>18.899999999999999</v>
      </c>
      <c r="J51" s="142">
        <v>75</v>
      </c>
      <c r="K51" s="224" t="s">
        <v>1284</v>
      </c>
      <c r="L51" s="224">
        <v>75</v>
      </c>
      <c r="M51" s="224" t="s">
        <v>1284</v>
      </c>
      <c r="N51" s="224">
        <v>21</v>
      </c>
      <c r="O51" s="142" t="s">
        <v>1316</v>
      </c>
      <c r="P51" s="119">
        <v>190.5</v>
      </c>
      <c r="Q51" s="117" t="s">
        <v>1317</v>
      </c>
      <c r="R51" s="122">
        <v>419.8095238095238</v>
      </c>
      <c r="S51" s="144">
        <v>34.339999999999996</v>
      </c>
      <c r="T51" s="144">
        <v>32.366250000000001</v>
      </c>
    </row>
    <row r="52" spans="1:20" ht="14.25">
      <c r="A52" s="86" t="s">
        <v>1423</v>
      </c>
      <c r="B52" s="117" t="s">
        <v>206</v>
      </c>
      <c r="C52" s="167">
        <v>0.33333333333333331</v>
      </c>
      <c r="D52" s="118" t="s">
        <v>2</v>
      </c>
      <c r="E52" s="119">
        <v>156</v>
      </c>
      <c r="F52" s="119">
        <v>45</v>
      </c>
      <c r="G52" s="142">
        <v>122</v>
      </c>
      <c r="H52" s="142">
        <v>3520</v>
      </c>
      <c r="I52" s="142">
        <v>16.5</v>
      </c>
      <c r="J52" s="142">
        <v>75</v>
      </c>
      <c r="K52" s="224" t="s">
        <v>1284</v>
      </c>
      <c r="L52" s="224">
        <v>75</v>
      </c>
      <c r="M52" s="224" t="s">
        <v>1284</v>
      </c>
      <c r="N52" s="224">
        <v>22</v>
      </c>
      <c r="O52" s="142" t="s">
        <v>1288</v>
      </c>
      <c r="P52" s="119">
        <v>156</v>
      </c>
      <c r="Q52" s="117" t="s">
        <v>1318</v>
      </c>
      <c r="R52" s="123">
        <v>440</v>
      </c>
      <c r="S52" s="144">
        <v>29.919999999999998</v>
      </c>
      <c r="T52" s="144">
        <v>23.512499999999999</v>
      </c>
    </row>
    <row r="53" spans="1:20" ht="14.25">
      <c r="A53" s="86" t="s">
        <v>1093</v>
      </c>
      <c r="B53" s="117" t="s">
        <v>206</v>
      </c>
      <c r="C53" s="167">
        <v>0.33333333333333331</v>
      </c>
      <c r="D53" s="118" t="s">
        <v>1</v>
      </c>
      <c r="E53" s="119">
        <v>190.5</v>
      </c>
      <c r="F53" s="119">
        <v>43</v>
      </c>
      <c r="G53" s="142">
        <v>150</v>
      </c>
      <c r="H53" s="142">
        <v>4040</v>
      </c>
      <c r="I53" s="142">
        <v>15.3</v>
      </c>
      <c r="J53" s="142">
        <v>75</v>
      </c>
      <c r="K53" s="224" t="s">
        <v>1308</v>
      </c>
      <c r="L53" s="224">
        <v>75</v>
      </c>
      <c r="M53" s="224" t="s">
        <v>1308</v>
      </c>
      <c r="N53" s="224">
        <v>22</v>
      </c>
      <c r="O53" s="142" t="s">
        <v>1288</v>
      </c>
      <c r="P53" s="119">
        <v>190.5</v>
      </c>
      <c r="Q53" s="117" t="s">
        <v>1319</v>
      </c>
      <c r="R53" s="123">
        <v>450</v>
      </c>
      <c r="S53" s="144">
        <v>34.299999999999997</v>
      </c>
      <c r="T53" s="144">
        <v>26.2</v>
      </c>
    </row>
    <row r="54" spans="1:20" ht="14.25">
      <c r="A54" s="86" t="s">
        <v>1424</v>
      </c>
      <c r="B54" s="117" t="s">
        <v>206</v>
      </c>
      <c r="C54" s="109" t="s">
        <v>197</v>
      </c>
      <c r="D54" s="118" t="s">
        <v>1</v>
      </c>
      <c r="E54" s="119">
        <v>200</v>
      </c>
      <c r="F54" s="119">
        <v>45</v>
      </c>
      <c r="G54" s="142">
        <v>150</v>
      </c>
      <c r="H54" s="142">
        <v>4040</v>
      </c>
      <c r="I54" s="142">
        <v>15.5</v>
      </c>
      <c r="J54" s="142">
        <v>75</v>
      </c>
      <c r="K54" s="224" t="s">
        <v>1308</v>
      </c>
      <c r="L54" s="224">
        <v>75</v>
      </c>
      <c r="M54" s="224" t="s">
        <v>1308</v>
      </c>
      <c r="N54" s="224">
        <v>21</v>
      </c>
      <c r="O54" s="142" t="s">
        <v>1267</v>
      </c>
      <c r="P54" s="119">
        <v>200</v>
      </c>
      <c r="Q54" s="142" t="s">
        <v>1320</v>
      </c>
      <c r="R54" s="123">
        <v>450</v>
      </c>
      <c r="S54" s="144">
        <v>34.339999999999996</v>
      </c>
      <c r="T54" s="144">
        <v>27.770833333333332</v>
      </c>
    </row>
    <row r="55" spans="1:20" ht="14.25">
      <c r="A55" s="86" t="s">
        <v>1425</v>
      </c>
      <c r="B55" s="117" t="s">
        <v>206</v>
      </c>
      <c r="C55" s="109" t="s">
        <v>197</v>
      </c>
      <c r="D55" s="118" t="s">
        <v>1</v>
      </c>
      <c r="E55" s="119">
        <v>190</v>
      </c>
      <c r="F55" s="160">
        <v>43</v>
      </c>
      <c r="G55" s="142">
        <v>150</v>
      </c>
      <c r="H55" s="142">
        <v>4040</v>
      </c>
      <c r="I55" s="142">
        <v>15.5</v>
      </c>
      <c r="J55" s="142">
        <v>75</v>
      </c>
      <c r="K55" s="224" t="s">
        <v>1308</v>
      </c>
      <c r="L55" s="224">
        <v>75</v>
      </c>
      <c r="M55" s="224" t="s">
        <v>1308</v>
      </c>
      <c r="N55" s="224">
        <v>21</v>
      </c>
      <c r="O55" s="142" t="s">
        <v>1267</v>
      </c>
      <c r="P55" s="119">
        <v>190</v>
      </c>
      <c r="Q55" s="142" t="s">
        <v>1321</v>
      </c>
      <c r="R55" s="123">
        <v>450</v>
      </c>
      <c r="S55" s="144">
        <v>34.339999999999996</v>
      </c>
      <c r="T55" s="144">
        <v>26.479166666666668</v>
      </c>
    </row>
    <row r="56" spans="1:20" ht="14.25">
      <c r="A56" s="86" t="s">
        <v>1426</v>
      </c>
      <c r="B56" s="117" t="s">
        <v>206</v>
      </c>
      <c r="C56" s="167">
        <v>0.33333333333333331</v>
      </c>
      <c r="D56" s="118" t="s">
        <v>1</v>
      </c>
      <c r="E56" s="119">
        <v>188</v>
      </c>
      <c r="F56" s="119">
        <v>45</v>
      </c>
      <c r="G56" s="142">
        <v>150</v>
      </c>
      <c r="H56" s="142">
        <v>4130</v>
      </c>
      <c r="I56" s="142">
        <v>15</v>
      </c>
      <c r="J56" s="142">
        <v>75</v>
      </c>
      <c r="K56" s="224" t="s">
        <v>1308</v>
      </c>
      <c r="L56" s="224">
        <v>75</v>
      </c>
      <c r="M56" s="224" t="s">
        <v>1308</v>
      </c>
      <c r="N56" s="224">
        <v>22</v>
      </c>
      <c r="O56" s="142" t="s">
        <v>1288</v>
      </c>
      <c r="P56" s="119">
        <v>188</v>
      </c>
      <c r="Q56" s="117" t="s">
        <v>1319</v>
      </c>
      <c r="R56" s="123">
        <v>480</v>
      </c>
      <c r="S56" s="144">
        <v>35.104999999999997</v>
      </c>
      <c r="T56" s="144">
        <v>25.375</v>
      </c>
    </row>
    <row r="57" spans="1:20" ht="14.25">
      <c r="A57" s="86" t="s">
        <v>1093</v>
      </c>
      <c r="B57" s="117" t="s">
        <v>206</v>
      </c>
      <c r="C57" s="109" t="s">
        <v>197</v>
      </c>
      <c r="D57" s="118" t="s">
        <v>2</v>
      </c>
      <c r="E57" s="119">
        <v>190.5</v>
      </c>
      <c r="F57" s="160">
        <v>43</v>
      </c>
      <c r="G57" s="142">
        <v>150</v>
      </c>
      <c r="H57" s="142">
        <v>4040</v>
      </c>
      <c r="I57" s="142">
        <v>15.3</v>
      </c>
      <c r="J57" s="142">
        <v>75</v>
      </c>
      <c r="K57" s="224" t="s">
        <v>1284</v>
      </c>
      <c r="L57" s="224">
        <v>75</v>
      </c>
      <c r="M57" s="224" t="s">
        <v>1284</v>
      </c>
      <c r="N57" s="224">
        <v>21</v>
      </c>
      <c r="O57" s="142" t="s">
        <v>1288</v>
      </c>
      <c r="P57" s="119">
        <v>190.5</v>
      </c>
      <c r="Q57" s="117" t="s">
        <v>1320</v>
      </c>
      <c r="R57" s="121">
        <v>450</v>
      </c>
      <c r="S57" s="144">
        <v>34.339999999999996</v>
      </c>
      <c r="T57" s="144">
        <v>26.201250000000002</v>
      </c>
    </row>
    <row r="58" spans="1:20" ht="14.25">
      <c r="A58" s="86" t="s">
        <v>1427</v>
      </c>
      <c r="B58" s="142" t="s">
        <v>1322</v>
      </c>
      <c r="C58" s="170" t="s">
        <v>197</v>
      </c>
      <c r="D58" s="118" t="s">
        <v>2</v>
      </c>
      <c r="E58" s="142">
        <v>198</v>
      </c>
      <c r="F58" s="119">
        <v>45</v>
      </c>
      <c r="G58" s="142">
        <v>150</v>
      </c>
      <c r="H58" s="142">
        <v>4158</v>
      </c>
      <c r="I58" s="142">
        <v>18.899999999999999</v>
      </c>
      <c r="J58" s="142">
        <v>75</v>
      </c>
      <c r="K58" s="224" t="s">
        <v>1284</v>
      </c>
      <c r="L58" s="224">
        <v>75</v>
      </c>
      <c r="M58" s="224" t="s">
        <v>1284</v>
      </c>
      <c r="N58" s="224">
        <v>20.9</v>
      </c>
      <c r="O58" s="142" t="s">
        <v>1267</v>
      </c>
      <c r="P58" s="142">
        <v>198</v>
      </c>
      <c r="Q58" s="142" t="s">
        <v>1290</v>
      </c>
      <c r="R58" s="122">
        <v>419.8095238095238</v>
      </c>
      <c r="S58" s="144">
        <v>35.342999999999996</v>
      </c>
      <c r="T58" s="144">
        <v>33.547499999999999</v>
      </c>
    </row>
    <row r="59" spans="1:20" ht="14.25">
      <c r="A59" s="86" t="s">
        <v>1420</v>
      </c>
      <c r="B59" s="120" t="s">
        <v>206</v>
      </c>
      <c r="C59" s="167">
        <v>0.33333333333333331</v>
      </c>
      <c r="D59" s="118" t="s">
        <v>1</v>
      </c>
      <c r="E59" s="119">
        <v>143</v>
      </c>
      <c r="F59" s="119">
        <v>45</v>
      </c>
      <c r="G59" s="142">
        <v>112</v>
      </c>
      <c r="H59" s="142">
        <v>3146</v>
      </c>
      <c r="I59" s="142">
        <v>16</v>
      </c>
      <c r="J59" s="142">
        <v>75</v>
      </c>
      <c r="K59" s="224" t="s">
        <v>1308</v>
      </c>
      <c r="L59" s="224">
        <v>75</v>
      </c>
      <c r="M59" s="224" t="s">
        <v>1308</v>
      </c>
      <c r="N59" s="224">
        <v>22</v>
      </c>
      <c r="O59" s="142" t="s">
        <v>1288</v>
      </c>
      <c r="P59" s="119">
        <v>143</v>
      </c>
      <c r="Q59" s="117" t="s">
        <v>1323</v>
      </c>
      <c r="R59" s="123">
        <v>440</v>
      </c>
      <c r="S59" s="144">
        <v>26.741</v>
      </c>
      <c r="T59" s="144">
        <v>21.066666666666666</v>
      </c>
    </row>
    <row r="60" spans="1:20" ht="14.25">
      <c r="A60" s="86" t="s">
        <v>1423</v>
      </c>
      <c r="B60" s="120" t="s">
        <v>206</v>
      </c>
      <c r="C60" s="167">
        <v>0.33333333333333331</v>
      </c>
      <c r="D60" s="118" t="s">
        <v>1</v>
      </c>
      <c r="E60" s="119">
        <v>156</v>
      </c>
      <c r="F60" s="119">
        <v>45</v>
      </c>
      <c r="G60" s="142">
        <v>122</v>
      </c>
      <c r="H60" s="142">
        <v>3520</v>
      </c>
      <c r="I60" s="142">
        <v>16</v>
      </c>
      <c r="J60" s="142">
        <v>75</v>
      </c>
      <c r="K60" s="224" t="s">
        <v>1308</v>
      </c>
      <c r="L60" s="224">
        <v>75</v>
      </c>
      <c r="M60" s="224" t="s">
        <v>1308</v>
      </c>
      <c r="N60" s="224">
        <v>22</v>
      </c>
      <c r="O60" s="142" t="s">
        <v>1288</v>
      </c>
      <c r="P60" s="119">
        <v>156</v>
      </c>
      <c r="Q60" s="117" t="s">
        <v>1318</v>
      </c>
      <c r="R60" s="123">
        <v>440</v>
      </c>
      <c r="S60" s="144">
        <v>29.919999999999998</v>
      </c>
      <c r="T60" s="144">
        <v>22.8</v>
      </c>
    </row>
    <row r="61" spans="1:20" ht="14.25">
      <c r="A61" s="86" t="s">
        <v>1428</v>
      </c>
      <c r="B61" s="117" t="s">
        <v>1324</v>
      </c>
      <c r="C61" s="170" t="s">
        <v>197</v>
      </c>
      <c r="D61" s="118" t="s">
        <v>2</v>
      </c>
      <c r="E61" s="119">
        <v>190</v>
      </c>
      <c r="F61" s="119">
        <v>47</v>
      </c>
      <c r="G61" s="142">
        <v>154</v>
      </c>
      <c r="H61" s="142">
        <v>4040</v>
      </c>
      <c r="I61" s="142">
        <v>18.899999999999999</v>
      </c>
      <c r="J61" s="142">
        <v>75</v>
      </c>
      <c r="K61" s="224" t="s">
        <v>1284</v>
      </c>
      <c r="L61" s="224">
        <v>75</v>
      </c>
      <c r="M61" s="224" t="s">
        <v>1284</v>
      </c>
      <c r="N61" s="224">
        <v>21</v>
      </c>
      <c r="O61" s="142" t="s">
        <v>1316</v>
      </c>
      <c r="P61" s="119">
        <v>190.5</v>
      </c>
      <c r="Q61" s="117" t="s">
        <v>1317</v>
      </c>
      <c r="R61" s="121">
        <v>419.8095238095238</v>
      </c>
      <c r="S61" s="144">
        <v>34.339999999999996</v>
      </c>
      <c r="T61" s="144">
        <v>32.366250000000001</v>
      </c>
    </row>
    <row r="62" spans="1:20" ht="14.25">
      <c r="A62" s="86" t="s">
        <v>1429</v>
      </c>
      <c r="B62" s="117" t="s">
        <v>206</v>
      </c>
      <c r="C62" s="170" t="s">
        <v>197</v>
      </c>
      <c r="D62" s="118" t="s">
        <v>2</v>
      </c>
      <c r="E62" s="119">
        <v>198</v>
      </c>
      <c r="F62" s="119">
        <v>50</v>
      </c>
      <c r="G62" s="142">
        <v>150</v>
      </c>
      <c r="H62" s="142">
        <v>4158</v>
      </c>
      <c r="I62" s="142">
        <v>19.3</v>
      </c>
      <c r="J62" s="142">
        <v>75</v>
      </c>
      <c r="K62" s="224" t="s">
        <v>1284</v>
      </c>
      <c r="L62" s="224">
        <v>75</v>
      </c>
      <c r="M62" s="224" t="s">
        <v>1284</v>
      </c>
      <c r="N62" s="224">
        <v>21</v>
      </c>
      <c r="O62" s="142" t="s">
        <v>1267</v>
      </c>
      <c r="P62" s="142">
        <v>198</v>
      </c>
      <c r="Q62" s="142" t="s">
        <v>1290</v>
      </c>
      <c r="R62" s="122">
        <v>411.10880829015542</v>
      </c>
      <c r="S62" s="144">
        <v>35.342999999999996</v>
      </c>
      <c r="T62" s="144">
        <v>34.257500000000007</v>
      </c>
    </row>
    <row r="63" spans="1:20" ht="14.25">
      <c r="A63" s="86" t="s">
        <v>1430</v>
      </c>
      <c r="B63" s="150" t="s">
        <v>1325</v>
      </c>
      <c r="C63" s="167">
        <v>1</v>
      </c>
      <c r="D63" s="151" t="s">
        <v>2</v>
      </c>
      <c r="E63" s="152">
        <v>190.5</v>
      </c>
      <c r="F63" s="161">
        <v>45</v>
      </c>
      <c r="G63" s="153">
        <v>150</v>
      </c>
      <c r="H63" s="153">
        <v>3820</v>
      </c>
      <c r="I63" s="153">
        <v>13.1</v>
      </c>
      <c r="J63" s="153">
        <v>75</v>
      </c>
      <c r="K63" s="226" t="s">
        <v>1284</v>
      </c>
      <c r="L63" s="226">
        <v>100</v>
      </c>
      <c r="M63" s="226" t="s">
        <v>1285</v>
      </c>
      <c r="N63" s="226">
        <v>20</v>
      </c>
      <c r="O63" s="153" t="s">
        <v>1267</v>
      </c>
      <c r="P63" s="152">
        <v>191</v>
      </c>
      <c r="Q63" s="150" t="s">
        <v>1326</v>
      </c>
      <c r="R63" s="154">
        <v>500</v>
      </c>
      <c r="S63" s="155">
        <v>32.47</v>
      </c>
      <c r="T63" s="155">
        <v>29.984444444444446</v>
      </c>
    </row>
    <row r="64" spans="1:20" ht="14.25">
      <c r="A64" s="86" t="s">
        <v>1431</v>
      </c>
      <c r="B64" s="125" t="s">
        <v>208</v>
      </c>
      <c r="C64" s="170" t="s">
        <v>197</v>
      </c>
      <c r="D64" s="126" t="s">
        <v>1</v>
      </c>
      <c r="E64" s="127">
        <v>190</v>
      </c>
      <c r="F64" s="162">
        <v>50</v>
      </c>
      <c r="G64" s="132">
        <v>150</v>
      </c>
      <c r="H64" s="132">
        <v>4080</v>
      </c>
      <c r="I64" s="132">
        <v>17</v>
      </c>
      <c r="J64" s="132">
        <v>75</v>
      </c>
      <c r="K64" s="224" t="s">
        <v>1308</v>
      </c>
      <c r="L64" s="224">
        <v>100</v>
      </c>
      <c r="M64" s="224" t="s">
        <v>1327</v>
      </c>
      <c r="N64" s="224">
        <v>21</v>
      </c>
      <c r="O64" s="132" t="s">
        <v>1288</v>
      </c>
      <c r="P64" s="132">
        <v>190</v>
      </c>
      <c r="Q64" s="132" t="s">
        <v>1306</v>
      </c>
      <c r="R64" s="133">
        <v>500</v>
      </c>
      <c r="S64" s="163">
        <v>34.68</v>
      </c>
      <c r="T64" s="163">
        <v>38.722222222222221</v>
      </c>
    </row>
    <row r="65" spans="1:20" ht="14.25">
      <c r="A65" s="86" t="s">
        <v>1432</v>
      </c>
      <c r="B65" s="142" t="s">
        <v>1328</v>
      </c>
      <c r="C65" s="170" t="s">
        <v>197</v>
      </c>
      <c r="D65" s="118" t="s">
        <v>2</v>
      </c>
      <c r="E65" s="119">
        <v>190</v>
      </c>
      <c r="F65" s="119">
        <v>62</v>
      </c>
      <c r="G65" s="142">
        <v>150</v>
      </c>
      <c r="H65" s="142">
        <v>4040</v>
      </c>
      <c r="I65" s="142">
        <v>11.7</v>
      </c>
      <c r="J65" s="142">
        <v>75</v>
      </c>
      <c r="K65" s="224" t="s">
        <v>1284</v>
      </c>
      <c r="L65" s="224">
        <v>200</v>
      </c>
      <c r="M65" s="224" t="s">
        <v>1329</v>
      </c>
      <c r="N65" s="224">
        <v>21</v>
      </c>
      <c r="O65" s="142" t="s">
        <v>1288</v>
      </c>
      <c r="P65" s="142">
        <v>190.5</v>
      </c>
      <c r="Q65" s="142" t="s">
        <v>1330</v>
      </c>
      <c r="R65" s="123">
        <v>630</v>
      </c>
      <c r="S65" s="144">
        <v>34.339999999999996</v>
      </c>
      <c r="T65" s="144">
        <v>53.43</v>
      </c>
    </row>
    <row r="66" spans="1:20" ht="14.25">
      <c r="A66" s="86" t="s">
        <v>1432</v>
      </c>
      <c r="B66" s="142" t="s">
        <v>1328</v>
      </c>
      <c r="C66" s="170" t="s">
        <v>197</v>
      </c>
      <c r="D66" s="118" t="s">
        <v>2</v>
      </c>
      <c r="E66" s="119">
        <v>190</v>
      </c>
      <c r="F66" s="119">
        <v>62</v>
      </c>
      <c r="G66" s="142">
        <v>150</v>
      </c>
      <c r="H66" s="142">
        <v>3828</v>
      </c>
      <c r="I66" s="142">
        <v>12</v>
      </c>
      <c r="J66" s="142">
        <v>75</v>
      </c>
      <c r="K66" s="224" t="s">
        <v>1284</v>
      </c>
      <c r="L66" s="224">
        <v>200</v>
      </c>
      <c r="M66" s="224" t="s">
        <v>1331</v>
      </c>
      <c r="N66" s="224">
        <v>20</v>
      </c>
      <c r="O66" s="142" t="s">
        <v>1267</v>
      </c>
      <c r="P66" s="142">
        <v>190</v>
      </c>
      <c r="Q66" s="142" t="s">
        <v>1332</v>
      </c>
      <c r="R66" s="123">
        <v>630</v>
      </c>
      <c r="S66" s="144">
        <v>32.537999999999997</v>
      </c>
      <c r="T66" s="144">
        <v>54.666666666666664</v>
      </c>
    </row>
    <row r="67" spans="1:20" ht="14.25">
      <c r="A67" s="86" t="s">
        <v>1432</v>
      </c>
      <c r="B67" s="142" t="s">
        <v>1328</v>
      </c>
      <c r="C67" s="170" t="s">
        <v>197</v>
      </c>
      <c r="D67" s="118" t="s">
        <v>1</v>
      </c>
      <c r="E67" s="119">
        <v>190</v>
      </c>
      <c r="F67" s="119">
        <v>62</v>
      </c>
      <c r="G67" s="142">
        <v>150</v>
      </c>
      <c r="H67" s="142">
        <v>3828</v>
      </c>
      <c r="I67" s="142">
        <v>12</v>
      </c>
      <c r="J67" s="142">
        <v>75</v>
      </c>
      <c r="K67" s="224" t="s">
        <v>1284</v>
      </c>
      <c r="L67" s="224">
        <v>200</v>
      </c>
      <c r="M67" s="224" t="s">
        <v>1331</v>
      </c>
      <c r="N67" s="224">
        <v>20</v>
      </c>
      <c r="O67" s="142" t="s">
        <v>1267</v>
      </c>
      <c r="P67" s="142">
        <v>190</v>
      </c>
      <c r="Q67" s="142" t="s">
        <v>1332</v>
      </c>
      <c r="R67" s="123">
        <v>630</v>
      </c>
      <c r="S67" s="144">
        <v>32.537999999999997</v>
      </c>
      <c r="T67" s="144">
        <v>54.666666666666664</v>
      </c>
    </row>
    <row r="68" spans="1:20" ht="14.25">
      <c r="A68" s="86" t="s">
        <v>1084</v>
      </c>
      <c r="B68" s="117" t="s">
        <v>208</v>
      </c>
      <c r="C68" s="170" t="s">
        <v>197</v>
      </c>
      <c r="D68" s="118" t="s">
        <v>2</v>
      </c>
      <c r="E68" s="119">
        <v>190.5</v>
      </c>
      <c r="F68" s="157">
        <v>50</v>
      </c>
      <c r="G68" s="142">
        <v>150</v>
      </c>
      <c r="H68" s="142">
        <v>4040</v>
      </c>
      <c r="I68" s="142">
        <v>14.6</v>
      </c>
      <c r="J68" s="142">
        <v>75</v>
      </c>
      <c r="K68" s="224" t="s">
        <v>1284</v>
      </c>
      <c r="L68" s="224">
        <v>100</v>
      </c>
      <c r="M68" s="224" t="s">
        <v>1285</v>
      </c>
      <c r="N68" s="224">
        <v>22</v>
      </c>
      <c r="O68" s="142" t="s">
        <v>1288</v>
      </c>
      <c r="P68" s="119">
        <v>190.5</v>
      </c>
      <c r="Q68" s="117" t="s">
        <v>1333</v>
      </c>
      <c r="R68" s="123">
        <v>500</v>
      </c>
      <c r="S68" s="144">
        <v>34.339999999999996</v>
      </c>
      <c r="T68" s="144">
        <v>33.336666666666666</v>
      </c>
    </row>
    <row r="69" spans="1:20" ht="14.25">
      <c r="A69" s="86" t="s">
        <v>1183</v>
      </c>
      <c r="B69" s="117" t="s">
        <v>208</v>
      </c>
      <c r="C69" s="167">
        <v>0.33333333333333331</v>
      </c>
      <c r="D69" s="118" t="s">
        <v>1</v>
      </c>
      <c r="E69" s="119">
        <v>188</v>
      </c>
      <c r="F69" s="119">
        <v>50</v>
      </c>
      <c r="G69" s="142">
        <v>150</v>
      </c>
      <c r="H69" s="142">
        <v>4130</v>
      </c>
      <c r="I69" s="142">
        <v>15</v>
      </c>
      <c r="J69" s="142">
        <v>75</v>
      </c>
      <c r="K69" s="224" t="s">
        <v>1308</v>
      </c>
      <c r="L69" s="224">
        <v>100</v>
      </c>
      <c r="M69" s="224" t="s">
        <v>1327</v>
      </c>
      <c r="N69" s="224">
        <v>22</v>
      </c>
      <c r="O69" s="142" t="s">
        <v>1288</v>
      </c>
      <c r="P69" s="119">
        <v>188</v>
      </c>
      <c r="Q69" s="117" t="s">
        <v>1319</v>
      </c>
      <c r="R69" s="123">
        <v>529</v>
      </c>
      <c r="S69" s="144">
        <v>35.104999999999997</v>
      </c>
      <c r="T69" s="144">
        <v>33.833333333333336</v>
      </c>
    </row>
    <row r="70" spans="1:20" ht="14.25">
      <c r="A70" s="86" t="s">
        <v>1433</v>
      </c>
      <c r="B70" s="117" t="s">
        <v>208</v>
      </c>
      <c r="C70" s="170" t="s">
        <v>197</v>
      </c>
      <c r="D70" s="118" t="s">
        <v>2</v>
      </c>
      <c r="E70" s="119">
        <v>190.5</v>
      </c>
      <c r="F70" s="119">
        <v>56</v>
      </c>
      <c r="G70" s="142">
        <v>150</v>
      </c>
      <c r="H70" s="142">
        <v>4040</v>
      </c>
      <c r="I70" s="142">
        <v>17.3</v>
      </c>
      <c r="J70" s="142">
        <v>75</v>
      </c>
      <c r="K70" s="224" t="s">
        <v>1284</v>
      </c>
      <c r="L70" s="224">
        <v>100</v>
      </c>
      <c r="M70" s="224" t="s">
        <v>1285</v>
      </c>
      <c r="N70" s="224">
        <v>21</v>
      </c>
      <c r="O70" s="142" t="s">
        <v>1300</v>
      </c>
      <c r="P70" s="142">
        <v>190</v>
      </c>
      <c r="Q70" s="142" t="s">
        <v>1334</v>
      </c>
      <c r="R70" s="123">
        <v>400</v>
      </c>
      <c r="S70" s="144">
        <v>34.339999999999996</v>
      </c>
      <c r="T70" s="144">
        <v>39.405555555555559</v>
      </c>
    </row>
    <row r="71" spans="1:20" ht="14.25">
      <c r="A71" s="86" t="s">
        <v>1115</v>
      </c>
      <c r="B71" s="117" t="s">
        <v>211</v>
      </c>
      <c r="C71" s="170" t="s">
        <v>197</v>
      </c>
      <c r="D71" s="118" t="s">
        <v>2</v>
      </c>
      <c r="E71" s="119">
        <v>190.5</v>
      </c>
      <c r="F71" s="160">
        <v>54</v>
      </c>
      <c r="G71" s="142">
        <v>150</v>
      </c>
      <c r="H71" s="142">
        <v>4040</v>
      </c>
      <c r="I71" s="142">
        <v>11.4</v>
      </c>
      <c r="J71" s="142">
        <v>75</v>
      </c>
      <c r="K71" s="224" t="s">
        <v>1284</v>
      </c>
      <c r="L71" s="224">
        <v>150</v>
      </c>
      <c r="M71" s="224" t="s">
        <v>1335</v>
      </c>
      <c r="N71" s="224">
        <v>21</v>
      </c>
      <c r="O71" s="142" t="s">
        <v>1300</v>
      </c>
      <c r="P71" s="119">
        <v>190.5</v>
      </c>
      <c r="Q71" s="117" t="s">
        <v>1336</v>
      </c>
      <c r="R71" s="123">
        <v>660</v>
      </c>
      <c r="S71" s="144">
        <v>34.339999999999996</v>
      </c>
      <c r="T71" s="144">
        <v>39.045000000000009</v>
      </c>
    </row>
    <row r="72" spans="1:20" ht="14.25">
      <c r="A72" s="86" t="s">
        <v>1121</v>
      </c>
      <c r="B72" s="117" t="s">
        <v>211</v>
      </c>
      <c r="C72" s="167">
        <v>0.33333333333333331</v>
      </c>
      <c r="D72" s="118" t="s">
        <v>1</v>
      </c>
      <c r="E72" s="119">
        <v>188</v>
      </c>
      <c r="F72" s="160">
        <v>54</v>
      </c>
      <c r="G72" s="142">
        <v>150</v>
      </c>
      <c r="H72" s="142">
        <v>4130</v>
      </c>
      <c r="I72" s="142">
        <v>11.3</v>
      </c>
      <c r="J72" s="142">
        <v>75</v>
      </c>
      <c r="K72" s="224" t="s">
        <v>1308</v>
      </c>
      <c r="L72" s="224">
        <v>150</v>
      </c>
      <c r="M72" s="224" t="s">
        <v>1337</v>
      </c>
      <c r="N72" s="224">
        <v>22</v>
      </c>
      <c r="O72" s="142" t="s">
        <v>1288</v>
      </c>
      <c r="P72" s="119">
        <v>188</v>
      </c>
      <c r="Q72" s="117" t="s">
        <v>1286</v>
      </c>
      <c r="R72" s="123">
        <v>660</v>
      </c>
      <c r="S72" s="144">
        <v>35.104999999999997</v>
      </c>
      <c r="T72" s="144">
        <v>38.231666666666669</v>
      </c>
    </row>
    <row r="73" spans="1:20" ht="14.25">
      <c r="A73" s="86" t="s">
        <v>1088</v>
      </c>
      <c r="B73" s="117" t="s">
        <v>211</v>
      </c>
      <c r="C73" s="167">
        <v>0.33333333333333331</v>
      </c>
      <c r="D73" s="118" t="s">
        <v>2</v>
      </c>
      <c r="E73" s="119">
        <v>190.5</v>
      </c>
      <c r="F73" s="119">
        <v>58</v>
      </c>
      <c r="G73" s="142">
        <v>150</v>
      </c>
      <c r="H73" s="142">
        <v>4040</v>
      </c>
      <c r="I73" s="142">
        <v>12.7</v>
      </c>
      <c r="J73" s="142">
        <v>75</v>
      </c>
      <c r="K73" s="224" t="s">
        <v>1284</v>
      </c>
      <c r="L73" s="224">
        <v>150</v>
      </c>
      <c r="M73" s="224" t="s">
        <v>1335</v>
      </c>
      <c r="N73" s="224">
        <v>21</v>
      </c>
      <c r="O73" s="142" t="s">
        <v>1288</v>
      </c>
      <c r="P73" s="119">
        <v>190.5</v>
      </c>
      <c r="Q73" s="117" t="s">
        <v>1338</v>
      </c>
      <c r="R73" s="123">
        <v>590</v>
      </c>
      <c r="S73" s="144">
        <v>34.339999999999996</v>
      </c>
      <c r="T73" s="144">
        <v>43.497500000000002</v>
      </c>
    </row>
    <row r="74" spans="1:20" ht="14.25">
      <c r="A74" s="86" t="s">
        <v>1088</v>
      </c>
      <c r="B74" s="117" t="s">
        <v>1339</v>
      </c>
      <c r="C74" s="170" t="s">
        <v>197</v>
      </c>
      <c r="D74" s="118" t="s">
        <v>2</v>
      </c>
      <c r="E74" s="119">
        <v>190.5</v>
      </c>
      <c r="F74" s="119">
        <v>58</v>
      </c>
      <c r="G74" s="142">
        <v>150</v>
      </c>
      <c r="H74" s="142">
        <v>4040</v>
      </c>
      <c r="I74" s="142">
        <v>12.7</v>
      </c>
      <c r="J74" s="142">
        <v>75</v>
      </c>
      <c r="K74" s="224" t="s">
        <v>1284</v>
      </c>
      <c r="L74" s="224">
        <v>150</v>
      </c>
      <c r="M74" s="224" t="s">
        <v>1335</v>
      </c>
      <c r="N74" s="224">
        <v>21</v>
      </c>
      <c r="O74" s="142" t="s">
        <v>1288</v>
      </c>
      <c r="P74" s="119">
        <v>190.5</v>
      </c>
      <c r="Q74" s="117" t="s">
        <v>1338</v>
      </c>
      <c r="R74" s="121">
        <v>590</v>
      </c>
      <c r="S74" s="144">
        <v>34.339999999999996</v>
      </c>
      <c r="T74" s="144">
        <v>43.497500000000002</v>
      </c>
    </row>
    <row r="75" spans="1:20" ht="14.25">
      <c r="A75" s="86" t="s">
        <v>1434</v>
      </c>
      <c r="B75" s="117" t="s">
        <v>211</v>
      </c>
      <c r="C75" s="170" t="s">
        <v>197</v>
      </c>
      <c r="D75" s="118" t="s">
        <v>2</v>
      </c>
      <c r="E75" s="119">
        <v>190</v>
      </c>
      <c r="F75" s="119">
        <v>65</v>
      </c>
      <c r="G75" s="142">
        <v>150</v>
      </c>
      <c r="H75" s="142">
        <v>4012</v>
      </c>
      <c r="I75" s="142">
        <v>15.5</v>
      </c>
      <c r="J75" s="142">
        <v>75</v>
      </c>
      <c r="K75" s="224" t="s">
        <v>1284</v>
      </c>
      <c r="L75" s="224">
        <v>150</v>
      </c>
      <c r="M75" s="224" t="s">
        <v>1335</v>
      </c>
      <c r="N75" s="224">
        <v>20</v>
      </c>
      <c r="O75" s="142" t="s">
        <v>1267</v>
      </c>
      <c r="P75" s="119">
        <v>190</v>
      </c>
      <c r="Q75" s="117" t="s">
        <v>1340</v>
      </c>
      <c r="R75" s="122">
        <v>511.89677419354831</v>
      </c>
      <c r="S75" s="144">
        <v>34.101999999999997</v>
      </c>
      <c r="T75" s="144">
        <v>52.958333333333336</v>
      </c>
    </row>
    <row r="76" spans="1:20" ht="14.25">
      <c r="A76" s="86" t="s">
        <v>1435</v>
      </c>
      <c r="B76" s="117" t="s">
        <v>211</v>
      </c>
      <c r="C76" s="167">
        <v>0.33333333333333331</v>
      </c>
      <c r="D76" s="118" t="s">
        <v>1</v>
      </c>
      <c r="E76" s="119">
        <v>188</v>
      </c>
      <c r="F76" s="119">
        <v>58</v>
      </c>
      <c r="G76" s="142">
        <v>150</v>
      </c>
      <c r="H76" s="142">
        <v>4130</v>
      </c>
      <c r="I76" s="142">
        <v>12.7</v>
      </c>
      <c r="J76" s="142">
        <v>75</v>
      </c>
      <c r="K76" s="224" t="s">
        <v>1308</v>
      </c>
      <c r="L76" s="224">
        <v>150</v>
      </c>
      <c r="M76" s="224" t="s">
        <v>1337</v>
      </c>
      <c r="N76" s="224">
        <v>22</v>
      </c>
      <c r="O76" s="142" t="s">
        <v>1288</v>
      </c>
      <c r="P76" s="119">
        <v>188</v>
      </c>
      <c r="Q76" s="117" t="s">
        <v>1338</v>
      </c>
      <c r="R76" s="123">
        <v>590</v>
      </c>
      <c r="S76" s="144">
        <v>35.104999999999997</v>
      </c>
      <c r="T76" s="144">
        <v>42.968333333333334</v>
      </c>
    </row>
    <row r="77" spans="1:20" ht="14.25">
      <c r="A77" s="86" t="s">
        <v>1436</v>
      </c>
      <c r="B77" s="117" t="s">
        <v>1341</v>
      </c>
      <c r="C77" s="170" t="s">
        <v>197</v>
      </c>
      <c r="D77" s="118" t="s">
        <v>2</v>
      </c>
      <c r="E77" s="119">
        <v>190.5</v>
      </c>
      <c r="F77" s="119">
        <v>86</v>
      </c>
      <c r="G77" s="142">
        <v>150</v>
      </c>
      <c r="H77" s="142">
        <v>4040</v>
      </c>
      <c r="I77" s="142">
        <v>12.2</v>
      </c>
      <c r="J77" s="142">
        <v>75</v>
      </c>
      <c r="K77" s="224" t="s">
        <v>1284</v>
      </c>
      <c r="L77" s="224">
        <v>300</v>
      </c>
      <c r="M77" s="224" t="s">
        <v>1342</v>
      </c>
      <c r="N77" s="224">
        <v>21</v>
      </c>
      <c r="O77" s="142" t="s">
        <v>1300</v>
      </c>
      <c r="P77" s="142">
        <v>190</v>
      </c>
      <c r="Q77" s="142" t="s">
        <v>1343</v>
      </c>
      <c r="R77" s="123">
        <v>570</v>
      </c>
      <c r="S77" s="144">
        <v>34.339999999999996</v>
      </c>
      <c r="T77" s="144">
        <v>83.36666666666666</v>
      </c>
    </row>
    <row r="78" spans="1:20" ht="14.25">
      <c r="A78" s="86" t="s">
        <v>1437</v>
      </c>
      <c r="B78" s="117" t="s">
        <v>1341</v>
      </c>
      <c r="C78" s="170" t="s">
        <v>197</v>
      </c>
      <c r="D78" s="118" t="s">
        <v>2</v>
      </c>
      <c r="E78" s="119">
        <v>190.5</v>
      </c>
      <c r="F78" s="119">
        <v>76</v>
      </c>
      <c r="G78" s="142">
        <v>150</v>
      </c>
      <c r="H78" s="142">
        <v>4040</v>
      </c>
      <c r="I78" s="142">
        <v>10.199999999999999</v>
      </c>
      <c r="J78" s="142">
        <v>75</v>
      </c>
      <c r="K78" s="224" t="s">
        <v>1284</v>
      </c>
      <c r="L78" s="224">
        <v>300</v>
      </c>
      <c r="M78" s="224" t="s">
        <v>1342</v>
      </c>
      <c r="N78" s="224">
        <v>21</v>
      </c>
      <c r="O78" s="142" t="s">
        <v>1300</v>
      </c>
      <c r="P78" s="142">
        <v>190</v>
      </c>
      <c r="Q78" s="142" t="s">
        <v>1301</v>
      </c>
      <c r="R78" s="123">
        <v>700</v>
      </c>
      <c r="S78" s="144">
        <v>34.339999999999996</v>
      </c>
      <c r="T78" s="144">
        <v>69.7</v>
      </c>
    </row>
    <row r="79" spans="1:20" ht="14.25">
      <c r="A79" s="86" t="s">
        <v>1438</v>
      </c>
      <c r="B79" s="117" t="s">
        <v>1341</v>
      </c>
      <c r="C79" s="170" t="s">
        <v>197</v>
      </c>
      <c r="D79" s="118" t="s">
        <v>2</v>
      </c>
      <c r="E79" s="119">
        <v>190.5</v>
      </c>
      <c r="F79" s="119">
        <v>70</v>
      </c>
      <c r="G79" s="142">
        <v>150</v>
      </c>
      <c r="H79" s="142">
        <v>4040</v>
      </c>
      <c r="I79" s="142">
        <v>9.06</v>
      </c>
      <c r="J79" s="142">
        <v>75</v>
      </c>
      <c r="K79" s="224" t="s">
        <v>1284</v>
      </c>
      <c r="L79" s="224">
        <v>300</v>
      </c>
      <c r="M79" s="224" t="s">
        <v>1344</v>
      </c>
      <c r="N79" s="224">
        <v>21</v>
      </c>
      <c r="O79" s="142" t="s">
        <v>1300</v>
      </c>
      <c r="P79" s="119">
        <v>190.5</v>
      </c>
      <c r="Q79" s="117" t="s">
        <v>1345</v>
      </c>
      <c r="R79" s="123">
        <v>800</v>
      </c>
      <c r="S79" s="144">
        <v>34.339999999999996</v>
      </c>
      <c r="T79" s="144">
        <v>62.061</v>
      </c>
    </row>
    <row r="80" spans="1:20" ht="14.25">
      <c r="A80" s="86" t="s">
        <v>1439</v>
      </c>
      <c r="B80" s="117" t="s">
        <v>1341</v>
      </c>
      <c r="C80" s="170" t="s">
        <v>197</v>
      </c>
      <c r="D80" s="118" t="s">
        <v>2</v>
      </c>
      <c r="E80" s="119">
        <v>200</v>
      </c>
      <c r="F80" s="119">
        <v>70</v>
      </c>
      <c r="G80" s="142">
        <v>150</v>
      </c>
      <c r="H80" s="142">
        <v>4040</v>
      </c>
      <c r="I80" s="142">
        <v>9.4</v>
      </c>
      <c r="J80" s="142">
        <v>75</v>
      </c>
      <c r="K80" s="224" t="s">
        <v>1284</v>
      </c>
      <c r="L80" s="224">
        <v>300</v>
      </c>
      <c r="M80" s="224" t="s">
        <v>1344</v>
      </c>
      <c r="N80" s="224">
        <v>21</v>
      </c>
      <c r="O80" s="142" t="s">
        <v>1300</v>
      </c>
      <c r="P80" s="119">
        <v>200</v>
      </c>
      <c r="Q80" s="117" t="s">
        <v>1345</v>
      </c>
      <c r="R80" s="123">
        <v>800</v>
      </c>
      <c r="S80" s="144">
        <v>34.339999999999996</v>
      </c>
      <c r="T80" s="144">
        <v>67.36666666666666</v>
      </c>
    </row>
    <row r="81" spans="1:20" ht="14.25">
      <c r="A81" s="86" t="s">
        <v>1438</v>
      </c>
      <c r="B81" s="117" t="s">
        <v>1341</v>
      </c>
      <c r="C81" s="170" t="s">
        <v>197</v>
      </c>
      <c r="D81" s="118" t="s">
        <v>1</v>
      </c>
      <c r="E81" s="119">
        <v>190.5</v>
      </c>
      <c r="F81" s="119">
        <v>70</v>
      </c>
      <c r="G81" s="142">
        <v>150</v>
      </c>
      <c r="H81" s="142">
        <v>4040</v>
      </c>
      <c r="I81" s="142">
        <v>9.06</v>
      </c>
      <c r="J81" s="142">
        <v>75</v>
      </c>
      <c r="K81" s="224" t="s">
        <v>1308</v>
      </c>
      <c r="L81" s="224">
        <v>300</v>
      </c>
      <c r="M81" s="224" t="s">
        <v>1346</v>
      </c>
      <c r="N81" s="224">
        <v>21</v>
      </c>
      <c r="O81" s="142" t="s">
        <v>1300</v>
      </c>
      <c r="P81" s="119">
        <v>190.5</v>
      </c>
      <c r="Q81" s="117" t="s">
        <v>1345</v>
      </c>
      <c r="R81" s="123">
        <v>800</v>
      </c>
      <c r="S81" s="144">
        <v>34.339999999999996</v>
      </c>
      <c r="T81" s="144">
        <v>62.061</v>
      </c>
    </row>
    <row r="82" spans="1:20" ht="14.25">
      <c r="A82" s="86" t="s">
        <v>1439</v>
      </c>
      <c r="B82" s="117" t="s">
        <v>1341</v>
      </c>
      <c r="C82" s="170" t="s">
        <v>197</v>
      </c>
      <c r="D82" s="118" t="s">
        <v>1</v>
      </c>
      <c r="E82" s="119">
        <v>200</v>
      </c>
      <c r="F82" s="119">
        <v>70</v>
      </c>
      <c r="G82" s="142">
        <v>150</v>
      </c>
      <c r="H82" s="142">
        <v>4040</v>
      </c>
      <c r="I82" s="142">
        <v>9.4</v>
      </c>
      <c r="J82" s="142">
        <v>75</v>
      </c>
      <c r="K82" s="224" t="s">
        <v>1308</v>
      </c>
      <c r="L82" s="224">
        <v>300</v>
      </c>
      <c r="M82" s="224" t="s">
        <v>1346</v>
      </c>
      <c r="N82" s="224">
        <v>21</v>
      </c>
      <c r="O82" s="142" t="s">
        <v>1300</v>
      </c>
      <c r="P82" s="119">
        <v>200</v>
      </c>
      <c r="Q82" s="117" t="s">
        <v>1345</v>
      </c>
      <c r="R82" s="123">
        <v>800</v>
      </c>
      <c r="S82" s="144">
        <v>34.339999999999996</v>
      </c>
      <c r="T82" s="144">
        <v>67.36666666666666</v>
      </c>
    </row>
    <row r="83" spans="1:20" ht="14.25">
      <c r="A83" s="86" t="s">
        <v>1440</v>
      </c>
      <c r="B83" s="136" t="s">
        <v>1347</v>
      </c>
      <c r="C83" s="167">
        <v>0.33333333333333331</v>
      </c>
      <c r="D83" s="118" t="s">
        <v>2</v>
      </c>
      <c r="E83" s="119">
        <v>190</v>
      </c>
      <c r="F83" s="119">
        <v>85</v>
      </c>
      <c r="G83" s="142">
        <v>150</v>
      </c>
      <c r="H83" s="142">
        <v>4040</v>
      </c>
      <c r="I83" s="142">
        <v>9.9</v>
      </c>
      <c r="J83" s="142">
        <v>100</v>
      </c>
      <c r="K83" s="224" t="s">
        <v>1285</v>
      </c>
      <c r="L83" s="224">
        <v>300</v>
      </c>
      <c r="M83" s="224" t="s">
        <v>1344</v>
      </c>
      <c r="N83" s="224">
        <v>21</v>
      </c>
      <c r="O83" s="142" t="s">
        <v>1288</v>
      </c>
      <c r="P83" s="142">
        <v>190</v>
      </c>
      <c r="Q83" s="142" t="s">
        <v>1348</v>
      </c>
      <c r="R83" s="123">
        <v>750</v>
      </c>
      <c r="S83" s="144">
        <v>45.786666666666662</v>
      </c>
      <c r="T83" s="144">
        <v>67.650000000000006</v>
      </c>
    </row>
    <row r="84" spans="1:20" ht="14.25">
      <c r="A84" s="86" t="s">
        <v>1440</v>
      </c>
      <c r="B84" s="136" t="s">
        <v>1347</v>
      </c>
      <c r="C84" s="167">
        <v>0.33333333333333331</v>
      </c>
      <c r="D84" s="118" t="s">
        <v>1</v>
      </c>
      <c r="E84" s="119">
        <v>190</v>
      </c>
      <c r="F84" s="119">
        <v>85</v>
      </c>
      <c r="G84" s="142">
        <v>150</v>
      </c>
      <c r="H84" s="142">
        <v>4040</v>
      </c>
      <c r="I84" s="142">
        <v>9.9</v>
      </c>
      <c r="J84" s="142">
        <v>100</v>
      </c>
      <c r="K84" s="224" t="s">
        <v>1285</v>
      </c>
      <c r="L84" s="224">
        <v>300</v>
      </c>
      <c r="M84" s="224" t="s">
        <v>1344</v>
      </c>
      <c r="N84" s="224">
        <v>21</v>
      </c>
      <c r="O84" s="142" t="s">
        <v>1288</v>
      </c>
      <c r="P84" s="142">
        <v>190</v>
      </c>
      <c r="Q84" s="142" t="s">
        <v>1348</v>
      </c>
      <c r="R84" s="123">
        <v>750</v>
      </c>
      <c r="S84" s="144">
        <v>45.786666666666662</v>
      </c>
      <c r="T84" s="144">
        <v>67.650000000000006</v>
      </c>
    </row>
    <row r="85" spans="1:20" ht="14.25">
      <c r="A85" s="86" t="s">
        <v>1089</v>
      </c>
      <c r="B85" s="117" t="s">
        <v>212</v>
      </c>
      <c r="C85" s="170" t="s">
        <v>197</v>
      </c>
      <c r="D85" s="118" t="s">
        <v>2</v>
      </c>
      <c r="E85" s="119">
        <v>190.5</v>
      </c>
      <c r="F85" s="157">
        <v>62</v>
      </c>
      <c r="G85" s="142">
        <v>150</v>
      </c>
      <c r="H85" s="142">
        <v>4040</v>
      </c>
      <c r="I85" s="142">
        <v>11.7</v>
      </c>
      <c r="J85" s="142">
        <v>75</v>
      </c>
      <c r="K85" s="224" t="s">
        <v>1284</v>
      </c>
      <c r="L85" s="224">
        <v>200</v>
      </c>
      <c r="M85" s="224" t="s">
        <v>1329</v>
      </c>
      <c r="N85" s="224">
        <v>21</v>
      </c>
      <c r="O85" s="142" t="s">
        <v>1349</v>
      </c>
      <c r="P85" s="142">
        <v>190.5</v>
      </c>
      <c r="Q85" s="142" t="s">
        <v>1336</v>
      </c>
      <c r="R85" s="122">
        <v>678.15384615384619</v>
      </c>
      <c r="S85" s="144">
        <v>34.339999999999996</v>
      </c>
      <c r="T85" s="144">
        <v>53.43</v>
      </c>
    </row>
    <row r="86" spans="1:20" ht="14.25">
      <c r="A86" s="86" t="s">
        <v>1089</v>
      </c>
      <c r="B86" s="117" t="s">
        <v>212</v>
      </c>
      <c r="C86" s="170" t="s">
        <v>197</v>
      </c>
      <c r="D86" s="118" t="s">
        <v>1</v>
      </c>
      <c r="E86" s="119">
        <v>190.5</v>
      </c>
      <c r="F86" s="157">
        <v>62</v>
      </c>
      <c r="G86" s="142">
        <v>150</v>
      </c>
      <c r="H86" s="142">
        <v>4130</v>
      </c>
      <c r="I86" s="142">
        <v>11.7</v>
      </c>
      <c r="J86" s="142">
        <v>75</v>
      </c>
      <c r="K86" s="224" t="s">
        <v>1308</v>
      </c>
      <c r="L86" s="224">
        <v>200</v>
      </c>
      <c r="M86" s="224" t="s">
        <v>1350</v>
      </c>
      <c r="N86" s="224">
        <v>21</v>
      </c>
      <c r="O86" s="142" t="s">
        <v>1349</v>
      </c>
      <c r="P86" s="142">
        <v>190.5</v>
      </c>
      <c r="Q86" s="142" t="s">
        <v>1336</v>
      </c>
      <c r="R86" s="137">
        <v>630</v>
      </c>
      <c r="S86" s="144">
        <v>35.104999999999997</v>
      </c>
      <c r="T86" s="144">
        <v>53.43</v>
      </c>
    </row>
    <row r="87" spans="1:20" ht="14.25">
      <c r="A87" s="86" t="s">
        <v>1441</v>
      </c>
      <c r="B87" s="117" t="s">
        <v>212</v>
      </c>
      <c r="C87" s="170" t="s">
        <v>197</v>
      </c>
      <c r="D87" s="118" t="s">
        <v>2</v>
      </c>
      <c r="E87" s="119">
        <v>190</v>
      </c>
      <c r="F87" s="119">
        <v>65</v>
      </c>
      <c r="G87" s="142">
        <v>150</v>
      </c>
      <c r="H87" s="142">
        <v>4012</v>
      </c>
      <c r="I87" s="142">
        <v>12.4</v>
      </c>
      <c r="J87" s="142">
        <v>75</v>
      </c>
      <c r="K87" s="224" t="s">
        <v>1284</v>
      </c>
      <c r="L87" s="224">
        <v>200</v>
      </c>
      <c r="M87" s="224" t="s">
        <v>1329</v>
      </c>
      <c r="N87" s="224">
        <v>20</v>
      </c>
      <c r="O87" s="142" t="s">
        <v>1267</v>
      </c>
      <c r="P87" s="142">
        <v>190</v>
      </c>
      <c r="Q87" s="142" t="s">
        <v>1343</v>
      </c>
      <c r="R87" s="123">
        <v>610</v>
      </c>
      <c r="S87" s="144">
        <v>34.101999999999997</v>
      </c>
      <c r="T87" s="144">
        <v>56.488888888888887</v>
      </c>
    </row>
    <row r="88" spans="1:20" ht="14.25">
      <c r="A88" s="86" t="s">
        <v>1090</v>
      </c>
      <c r="B88" s="117" t="s">
        <v>212</v>
      </c>
      <c r="C88" s="170" t="s">
        <v>197</v>
      </c>
      <c r="D88" s="118" t="s">
        <v>2</v>
      </c>
      <c r="E88" s="119">
        <v>190.5</v>
      </c>
      <c r="F88" s="119">
        <v>68</v>
      </c>
      <c r="G88" s="142">
        <v>150</v>
      </c>
      <c r="H88" s="131">
        <v>4040</v>
      </c>
      <c r="I88" s="131">
        <v>12.5</v>
      </c>
      <c r="J88" s="142">
        <v>75</v>
      </c>
      <c r="K88" s="224" t="s">
        <v>1284</v>
      </c>
      <c r="L88" s="224">
        <v>200</v>
      </c>
      <c r="M88" s="224" t="s">
        <v>1329</v>
      </c>
      <c r="N88" s="227">
        <v>21</v>
      </c>
      <c r="O88" s="131" t="s">
        <v>1267</v>
      </c>
      <c r="P88" s="131">
        <v>190</v>
      </c>
      <c r="Q88" s="131" t="s">
        <v>1351</v>
      </c>
      <c r="R88" s="137">
        <v>540</v>
      </c>
      <c r="S88" s="144">
        <v>34.339999999999996</v>
      </c>
      <c r="T88" s="144">
        <v>56.944444444444443</v>
      </c>
    </row>
    <row r="89" spans="1:20" ht="14.25">
      <c r="A89" s="86" t="s">
        <v>1090</v>
      </c>
      <c r="B89" s="117" t="s">
        <v>212</v>
      </c>
      <c r="C89" s="170" t="s">
        <v>197</v>
      </c>
      <c r="D89" s="118" t="s">
        <v>1</v>
      </c>
      <c r="E89" s="119">
        <v>190.5</v>
      </c>
      <c r="F89" s="119">
        <v>68</v>
      </c>
      <c r="G89" s="142">
        <v>150</v>
      </c>
      <c r="H89" s="131">
        <v>4040</v>
      </c>
      <c r="I89" s="131">
        <v>12.5</v>
      </c>
      <c r="J89" s="142">
        <v>75</v>
      </c>
      <c r="K89" s="224" t="s">
        <v>1284</v>
      </c>
      <c r="L89" s="224">
        <v>200</v>
      </c>
      <c r="M89" s="224" t="s">
        <v>1329</v>
      </c>
      <c r="N89" s="227">
        <v>21</v>
      </c>
      <c r="O89" s="131" t="s">
        <v>1267</v>
      </c>
      <c r="P89" s="131">
        <v>190</v>
      </c>
      <c r="Q89" s="131" t="s">
        <v>1351</v>
      </c>
      <c r="R89" s="137">
        <v>540</v>
      </c>
      <c r="S89" s="144">
        <v>34.339999999999996</v>
      </c>
      <c r="T89" s="144">
        <v>56.944444444444443</v>
      </c>
    </row>
    <row r="90" spans="1:20" ht="14.25">
      <c r="A90" s="86" t="s">
        <v>1091</v>
      </c>
      <c r="B90" s="117" t="s">
        <v>209</v>
      </c>
      <c r="C90" s="170" t="s">
        <v>197</v>
      </c>
      <c r="D90" s="118" t="s">
        <v>2</v>
      </c>
      <c r="E90" s="119">
        <v>190.5</v>
      </c>
      <c r="F90" s="119">
        <v>70</v>
      </c>
      <c r="G90" s="142">
        <v>150</v>
      </c>
      <c r="H90" s="142">
        <v>4040</v>
      </c>
      <c r="I90" s="142">
        <v>9.06</v>
      </c>
      <c r="J90" s="142">
        <v>75</v>
      </c>
      <c r="K90" s="224" t="s">
        <v>1284</v>
      </c>
      <c r="L90" s="224">
        <v>300</v>
      </c>
      <c r="M90" s="224" t="s">
        <v>1352</v>
      </c>
      <c r="N90" s="224">
        <v>21</v>
      </c>
      <c r="O90" s="142" t="s">
        <v>1353</v>
      </c>
      <c r="P90" s="142">
        <v>190.5</v>
      </c>
      <c r="Q90" s="117" t="s">
        <v>1354</v>
      </c>
      <c r="R90" s="123">
        <v>800</v>
      </c>
      <c r="S90" s="144">
        <v>34.339999999999996</v>
      </c>
      <c r="T90" s="144">
        <v>62.061</v>
      </c>
    </row>
    <row r="91" spans="1:20" ht="14.25">
      <c r="A91" s="86" t="s">
        <v>1091</v>
      </c>
      <c r="B91" s="117" t="s">
        <v>209</v>
      </c>
      <c r="C91" s="170" t="s">
        <v>197</v>
      </c>
      <c r="D91" s="118" t="s">
        <v>1</v>
      </c>
      <c r="E91" s="119">
        <v>190.5</v>
      </c>
      <c r="F91" s="119">
        <v>70</v>
      </c>
      <c r="G91" s="142">
        <v>150</v>
      </c>
      <c r="H91" s="142">
        <v>4040</v>
      </c>
      <c r="I91" s="142">
        <v>9.06</v>
      </c>
      <c r="J91" s="142">
        <v>75</v>
      </c>
      <c r="K91" s="224" t="s">
        <v>1308</v>
      </c>
      <c r="L91" s="224">
        <v>300</v>
      </c>
      <c r="M91" s="224" t="s">
        <v>1346</v>
      </c>
      <c r="N91" s="224">
        <v>21</v>
      </c>
      <c r="O91" s="142" t="s">
        <v>1300</v>
      </c>
      <c r="P91" s="119">
        <v>190.5</v>
      </c>
      <c r="Q91" s="117" t="s">
        <v>1345</v>
      </c>
      <c r="R91" s="123">
        <v>800</v>
      </c>
      <c r="S91" s="144">
        <v>34.339999999999996</v>
      </c>
      <c r="T91" s="144">
        <v>62.061</v>
      </c>
    </row>
    <row r="92" spans="1:20" ht="14.25">
      <c r="A92" s="86" t="s">
        <v>1442</v>
      </c>
      <c r="B92" s="117" t="s">
        <v>209</v>
      </c>
      <c r="C92" s="170" t="s">
        <v>197</v>
      </c>
      <c r="D92" s="118" t="s">
        <v>2</v>
      </c>
      <c r="E92" s="119">
        <v>190.5</v>
      </c>
      <c r="F92" s="119">
        <v>82</v>
      </c>
      <c r="G92" s="142">
        <v>150</v>
      </c>
      <c r="H92" s="142">
        <v>4040</v>
      </c>
      <c r="I92" s="142">
        <v>11.7</v>
      </c>
      <c r="J92" s="142">
        <v>75</v>
      </c>
      <c r="K92" s="224" t="s">
        <v>1284</v>
      </c>
      <c r="L92" s="224">
        <v>300</v>
      </c>
      <c r="M92" s="224" t="s">
        <v>1342</v>
      </c>
      <c r="N92" s="224">
        <v>21</v>
      </c>
      <c r="O92" s="142" t="s">
        <v>1300</v>
      </c>
      <c r="P92" s="142">
        <v>190</v>
      </c>
      <c r="Q92" s="142" t="s">
        <v>1336</v>
      </c>
      <c r="R92" s="123">
        <v>800</v>
      </c>
      <c r="S92" s="144">
        <v>34.339999999999996</v>
      </c>
      <c r="T92" s="144">
        <v>79.95</v>
      </c>
    </row>
    <row r="93" spans="1:20" ht="14.25">
      <c r="A93" s="86" t="s">
        <v>1443</v>
      </c>
      <c r="B93" s="117" t="s">
        <v>213</v>
      </c>
      <c r="C93" s="167">
        <v>0.33333333333333331</v>
      </c>
      <c r="D93" s="118" t="s">
        <v>2</v>
      </c>
      <c r="E93" s="119">
        <v>195</v>
      </c>
      <c r="F93" s="119">
        <v>50</v>
      </c>
      <c r="G93" s="142">
        <v>150</v>
      </c>
      <c r="H93" s="142">
        <v>4192</v>
      </c>
      <c r="I93" s="142">
        <v>11</v>
      </c>
      <c r="J93" s="142">
        <v>100</v>
      </c>
      <c r="K93" s="224" t="s">
        <v>1285</v>
      </c>
      <c r="L93" s="224">
        <v>100</v>
      </c>
      <c r="M93" s="224" t="s">
        <v>1285</v>
      </c>
      <c r="N93" s="224">
        <v>21.5</v>
      </c>
      <c r="O93" s="142" t="s">
        <v>1267</v>
      </c>
      <c r="P93" s="119">
        <v>195</v>
      </c>
      <c r="Q93" s="142" t="s">
        <v>1355</v>
      </c>
      <c r="R93" s="123">
        <v>670</v>
      </c>
      <c r="S93" s="144">
        <v>47.51</v>
      </c>
      <c r="T93" s="144">
        <v>25.67</v>
      </c>
    </row>
    <row r="94" spans="1:20" ht="14.25">
      <c r="A94" s="86" t="s">
        <v>1116</v>
      </c>
      <c r="B94" s="142" t="s">
        <v>213</v>
      </c>
      <c r="C94" s="167">
        <v>1</v>
      </c>
      <c r="D94" s="118" t="s">
        <v>2</v>
      </c>
      <c r="E94" s="119">
        <v>188</v>
      </c>
      <c r="F94" s="119">
        <v>54</v>
      </c>
      <c r="G94" s="117">
        <v>150</v>
      </c>
      <c r="H94" s="142">
        <v>3750</v>
      </c>
      <c r="I94" s="142">
        <v>14.7</v>
      </c>
      <c r="J94" s="142">
        <v>100</v>
      </c>
      <c r="K94" s="224" t="s">
        <v>1285</v>
      </c>
      <c r="L94" s="224">
        <v>100</v>
      </c>
      <c r="M94" s="224" t="s">
        <v>1285</v>
      </c>
      <c r="N94" s="224">
        <v>20</v>
      </c>
      <c r="O94" s="142" t="s">
        <v>1264</v>
      </c>
      <c r="P94" s="142">
        <v>188</v>
      </c>
      <c r="Q94" s="142" t="s">
        <v>1356</v>
      </c>
      <c r="R94" s="137">
        <v>539</v>
      </c>
      <c r="S94" s="144">
        <v>42.5</v>
      </c>
      <c r="T94" s="144">
        <v>33.156666666666666</v>
      </c>
    </row>
    <row r="95" spans="1:20" ht="14.25">
      <c r="A95" s="86" t="s">
        <v>1116</v>
      </c>
      <c r="B95" s="142" t="s">
        <v>213</v>
      </c>
      <c r="C95" s="167">
        <v>1</v>
      </c>
      <c r="D95" s="118" t="s">
        <v>1</v>
      </c>
      <c r="E95" s="119">
        <v>188</v>
      </c>
      <c r="F95" s="119">
        <v>54</v>
      </c>
      <c r="G95" s="117">
        <v>150</v>
      </c>
      <c r="H95" s="142">
        <v>3750</v>
      </c>
      <c r="I95" s="142">
        <v>14.7</v>
      </c>
      <c r="J95" s="142">
        <v>100</v>
      </c>
      <c r="K95" s="224" t="s">
        <v>1285</v>
      </c>
      <c r="L95" s="224">
        <v>100</v>
      </c>
      <c r="M95" s="224" t="s">
        <v>1285</v>
      </c>
      <c r="N95" s="224">
        <v>20</v>
      </c>
      <c r="O95" s="142" t="s">
        <v>1264</v>
      </c>
      <c r="P95" s="142">
        <v>188</v>
      </c>
      <c r="Q95" s="142" t="s">
        <v>1356</v>
      </c>
      <c r="R95" s="137">
        <v>539</v>
      </c>
      <c r="S95" s="144">
        <v>42.5</v>
      </c>
      <c r="T95" s="144">
        <v>33.156666666666666</v>
      </c>
    </row>
    <row r="96" spans="1:20" ht="14.25">
      <c r="A96" s="86" t="s">
        <v>1444</v>
      </c>
      <c r="B96" s="142" t="s">
        <v>213</v>
      </c>
      <c r="C96" s="167">
        <v>1</v>
      </c>
      <c r="D96" s="118" t="s">
        <v>2</v>
      </c>
      <c r="E96" s="119">
        <v>158</v>
      </c>
      <c r="F96" s="119">
        <v>72</v>
      </c>
      <c r="G96" s="117">
        <v>122</v>
      </c>
      <c r="H96" s="142">
        <v>3476</v>
      </c>
      <c r="I96" s="142">
        <v>19</v>
      </c>
      <c r="J96" s="142">
        <v>100</v>
      </c>
      <c r="K96" s="224" t="s">
        <v>1285</v>
      </c>
      <c r="L96" s="224">
        <v>100</v>
      </c>
      <c r="M96" s="224" t="s">
        <v>1285</v>
      </c>
      <c r="N96" s="224">
        <v>22</v>
      </c>
      <c r="O96" s="142" t="s">
        <v>1288</v>
      </c>
      <c r="P96" s="142">
        <v>158</v>
      </c>
      <c r="Q96" s="117" t="s">
        <v>1317</v>
      </c>
      <c r="R96" s="122">
        <v>417.59999999999997</v>
      </c>
      <c r="S96" s="144">
        <v>39.394666666666666</v>
      </c>
      <c r="T96" s="144">
        <v>36.522222222222226</v>
      </c>
    </row>
    <row r="97" spans="1:20" ht="14.25">
      <c r="A97" s="86" t="s">
        <v>1445</v>
      </c>
      <c r="B97" s="142" t="s">
        <v>213</v>
      </c>
      <c r="C97" s="170" t="s">
        <v>197</v>
      </c>
      <c r="D97" s="118" t="s">
        <v>2</v>
      </c>
      <c r="E97" s="119">
        <v>188</v>
      </c>
      <c r="F97" s="119">
        <v>57</v>
      </c>
      <c r="G97" s="117">
        <v>150</v>
      </c>
      <c r="H97" s="142">
        <v>4130</v>
      </c>
      <c r="I97" s="142">
        <v>11.3</v>
      </c>
      <c r="J97" s="142">
        <v>100</v>
      </c>
      <c r="K97" s="224" t="s">
        <v>1285</v>
      </c>
      <c r="L97" s="224">
        <v>100</v>
      </c>
      <c r="M97" s="224" t="s">
        <v>1285</v>
      </c>
      <c r="N97" s="224">
        <v>22</v>
      </c>
      <c r="O97" s="142" t="s">
        <v>1288</v>
      </c>
      <c r="P97" s="142">
        <v>188</v>
      </c>
      <c r="Q97" s="117" t="s">
        <v>1286</v>
      </c>
      <c r="R97" s="122">
        <v>702.15929203539827</v>
      </c>
      <c r="S97" s="144">
        <v>46.806666666666665</v>
      </c>
      <c r="T97" s="144">
        <v>25.487777777777779</v>
      </c>
    </row>
    <row r="98" spans="1:20" ht="14.25">
      <c r="A98" s="86" t="s">
        <v>1446</v>
      </c>
      <c r="B98" s="142" t="s">
        <v>213</v>
      </c>
      <c r="C98" s="170" t="s">
        <v>197</v>
      </c>
      <c r="D98" s="118" t="s">
        <v>2</v>
      </c>
      <c r="E98" s="119">
        <v>193</v>
      </c>
      <c r="F98" s="119">
        <v>67</v>
      </c>
      <c r="G98" s="117">
        <v>150</v>
      </c>
      <c r="H98" s="142">
        <v>4252</v>
      </c>
      <c r="I98" s="142">
        <v>17.5</v>
      </c>
      <c r="J98" s="142">
        <v>100</v>
      </c>
      <c r="K98" s="224" t="s">
        <v>1285</v>
      </c>
      <c r="L98" s="224">
        <v>100</v>
      </c>
      <c r="M98" s="224" t="s">
        <v>1285</v>
      </c>
      <c r="N98" s="224">
        <v>22</v>
      </c>
      <c r="O98" s="142" t="s">
        <v>1288</v>
      </c>
      <c r="P98" s="142">
        <v>193</v>
      </c>
      <c r="Q98" s="117" t="s">
        <v>1297</v>
      </c>
      <c r="R98" s="122">
        <v>453.39428571428567</v>
      </c>
      <c r="S98" s="144">
        <v>48.189333333333337</v>
      </c>
      <c r="T98" s="144">
        <v>40.444444444444443</v>
      </c>
    </row>
    <row r="99" spans="1:20" ht="14.25">
      <c r="A99" s="86" t="s">
        <v>1447</v>
      </c>
      <c r="B99" s="153" t="s">
        <v>1357</v>
      </c>
      <c r="C99" s="170" t="s">
        <v>197</v>
      </c>
      <c r="D99" s="151" t="s">
        <v>2</v>
      </c>
      <c r="E99" s="152">
        <v>195</v>
      </c>
      <c r="F99" s="152">
        <v>70</v>
      </c>
      <c r="G99" s="150">
        <v>150</v>
      </c>
      <c r="H99" s="153">
        <v>3814</v>
      </c>
      <c r="I99" s="153">
        <v>16.7</v>
      </c>
      <c r="J99" s="153">
        <v>100</v>
      </c>
      <c r="K99" s="226" t="s">
        <v>1285</v>
      </c>
      <c r="L99" s="226">
        <v>100</v>
      </c>
      <c r="M99" s="226" t="s">
        <v>1285</v>
      </c>
      <c r="N99" s="226">
        <v>19.5</v>
      </c>
      <c r="O99" s="153" t="s">
        <v>1267</v>
      </c>
      <c r="P99" s="153">
        <v>195</v>
      </c>
      <c r="Q99" s="150" t="s">
        <v>1358</v>
      </c>
      <c r="R99" s="158">
        <v>375</v>
      </c>
      <c r="S99" s="155">
        <v>43.225333333333339</v>
      </c>
      <c r="T99" s="155">
        <v>38.966666666666669</v>
      </c>
    </row>
    <row r="100" spans="1:20" ht="14.25">
      <c r="A100" s="86" t="s">
        <v>1448</v>
      </c>
      <c r="B100" s="117" t="s">
        <v>1359</v>
      </c>
      <c r="C100" s="170" t="s">
        <v>197</v>
      </c>
      <c r="D100" s="118" t="s">
        <v>2</v>
      </c>
      <c r="E100" s="119">
        <v>196</v>
      </c>
      <c r="F100" s="119">
        <v>68</v>
      </c>
      <c r="G100" s="142">
        <v>150</v>
      </c>
      <c r="H100" s="142">
        <v>3920</v>
      </c>
      <c r="I100" s="142">
        <v>12.2</v>
      </c>
      <c r="J100" s="142">
        <v>150</v>
      </c>
      <c r="K100" s="224" t="s">
        <v>1335</v>
      </c>
      <c r="L100" s="224">
        <v>100</v>
      </c>
      <c r="M100" s="224" t="s">
        <v>1285</v>
      </c>
      <c r="N100" s="224">
        <v>20</v>
      </c>
      <c r="O100" s="142" t="s">
        <v>1288</v>
      </c>
      <c r="P100" s="119">
        <v>196</v>
      </c>
      <c r="Q100" s="117" t="s">
        <v>1351</v>
      </c>
      <c r="R100" s="122">
        <v>650</v>
      </c>
      <c r="S100" s="144">
        <v>66.64</v>
      </c>
      <c r="T100" s="144">
        <v>28.60222222222222</v>
      </c>
    </row>
    <row r="101" spans="1:20" ht="14.25">
      <c r="A101" s="86" t="s">
        <v>1449</v>
      </c>
      <c r="B101" s="117" t="s">
        <v>1360</v>
      </c>
      <c r="C101" s="167">
        <v>1</v>
      </c>
      <c r="D101" s="118" t="s">
        <v>2</v>
      </c>
      <c r="E101" s="119">
        <v>188</v>
      </c>
      <c r="F101" s="119">
        <v>85</v>
      </c>
      <c r="G101" s="142">
        <v>150</v>
      </c>
      <c r="H101" s="142">
        <v>2737</v>
      </c>
      <c r="I101" s="142">
        <v>12</v>
      </c>
      <c r="J101" s="142">
        <v>200</v>
      </c>
      <c r="K101" s="224" t="s">
        <v>1329</v>
      </c>
      <c r="L101" s="224">
        <v>200</v>
      </c>
      <c r="M101" s="224" t="s">
        <v>1329</v>
      </c>
      <c r="N101" s="224">
        <v>15</v>
      </c>
      <c r="O101" s="142" t="s">
        <v>1264</v>
      </c>
      <c r="P101" s="142">
        <v>183</v>
      </c>
      <c r="Q101" s="142" t="s">
        <v>1361</v>
      </c>
      <c r="R101" s="143">
        <v>661.19999999999993</v>
      </c>
      <c r="S101" s="144">
        <v>62.038666666666671</v>
      </c>
      <c r="T101" s="144">
        <v>52.8</v>
      </c>
    </row>
    <row r="102" spans="1:20" ht="14.25">
      <c r="A102" s="86" t="s">
        <v>1450</v>
      </c>
      <c r="B102" s="117" t="s">
        <v>1360</v>
      </c>
      <c r="C102" s="167">
        <v>1</v>
      </c>
      <c r="D102" s="118" t="s">
        <v>2</v>
      </c>
      <c r="E102" s="119">
        <v>188</v>
      </c>
      <c r="F102" s="119">
        <v>103</v>
      </c>
      <c r="G102" s="142">
        <v>150</v>
      </c>
      <c r="H102" s="142">
        <v>2914</v>
      </c>
      <c r="I102" s="142">
        <v>14</v>
      </c>
      <c r="J102" s="142">
        <v>200</v>
      </c>
      <c r="K102" s="224" t="s">
        <v>1331</v>
      </c>
      <c r="L102" s="224">
        <v>200</v>
      </c>
      <c r="M102" s="224" t="s">
        <v>1285</v>
      </c>
      <c r="N102" s="224">
        <v>15.5</v>
      </c>
      <c r="O102" s="142" t="s">
        <v>1288</v>
      </c>
      <c r="P102" s="119">
        <v>188</v>
      </c>
      <c r="Q102" s="117" t="s">
        <v>1362</v>
      </c>
      <c r="R102" s="122">
        <v>566.74285714285713</v>
      </c>
      <c r="S102" s="144">
        <v>66.050666666666672</v>
      </c>
      <c r="T102" s="144">
        <v>63.155555555555559</v>
      </c>
    </row>
    <row r="103" spans="1:20" ht="14.25">
      <c r="A103" s="86" t="s">
        <v>1450</v>
      </c>
      <c r="B103" s="117" t="s">
        <v>1360</v>
      </c>
      <c r="C103" s="167">
        <v>1</v>
      </c>
      <c r="D103" s="118" t="s">
        <v>1</v>
      </c>
      <c r="E103" s="119">
        <v>188</v>
      </c>
      <c r="F103" s="119">
        <v>103</v>
      </c>
      <c r="G103" s="142">
        <v>150</v>
      </c>
      <c r="H103" s="142">
        <v>2914</v>
      </c>
      <c r="I103" s="142">
        <v>14</v>
      </c>
      <c r="J103" s="142">
        <v>200</v>
      </c>
      <c r="K103" s="224" t="s">
        <v>1331</v>
      </c>
      <c r="L103" s="224">
        <v>200</v>
      </c>
      <c r="M103" s="224" t="s">
        <v>1285</v>
      </c>
      <c r="N103" s="224">
        <v>15.5</v>
      </c>
      <c r="O103" s="142" t="s">
        <v>1288</v>
      </c>
      <c r="P103" s="119">
        <v>188</v>
      </c>
      <c r="Q103" s="117" t="s">
        <v>1362</v>
      </c>
      <c r="R103" s="122">
        <v>566.74285714285713</v>
      </c>
      <c r="S103" s="144">
        <v>66.050666666666672</v>
      </c>
      <c r="T103" s="144">
        <v>63.155555555555559</v>
      </c>
    </row>
    <row r="104" spans="1:20" ht="14.25">
      <c r="A104" s="86" t="s">
        <v>1451</v>
      </c>
      <c r="B104" s="117" t="s">
        <v>215</v>
      </c>
      <c r="C104" s="167">
        <v>1</v>
      </c>
      <c r="D104" s="118" t="s">
        <v>2</v>
      </c>
      <c r="E104" s="119">
        <v>195</v>
      </c>
      <c r="F104" s="119">
        <v>64</v>
      </c>
      <c r="G104" s="142">
        <v>150</v>
      </c>
      <c r="H104" s="142">
        <v>4192</v>
      </c>
      <c r="I104" s="142">
        <v>9.6</v>
      </c>
      <c r="J104" s="142">
        <v>100</v>
      </c>
      <c r="K104" s="224" t="s">
        <v>1285</v>
      </c>
      <c r="L104" s="224">
        <v>200</v>
      </c>
      <c r="M104" s="224" t="s">
        <v>1329</v>
      </c>
      <c r="N104" s="224">
        <v>20</v>
      </c>
      <c r="O104" s="142" t="s">
        <v>1267</v>
      </c>
      <c r="P104" s="119">
        <v>195</v>
      </c>
      <c r="Q104" s="142" t="s">
        <v>1363</v>
      </c>
      <c r="R104" s="122">
        <v>827</v>
      </c>
      <c r="S104" s="144">
        <v>47.51</v>
      </c>
      <c r="T104" s="144">
        <v>44.8</v>
      </c>
    </row>
    <row r="105" spans="1:20" ht="14.25">
      <c r="A105" s="86" t="s">
        <v>1452</v>
      </c>
      <c r="B105" s="117" t="s">
        <v>215</v>
      </c>
      <c r="C105" s="170" t="s">
        <v>197</v>
      </c>
      <c r="D105" s="118" t="s">
        <v>2</v>
      </c>
      <c r="E105" s="119">
        <v>208</v>
      </c>
      <c r="F105" s="119">
        <v>64</v>
      </c>
      <c r="G105" s="142">
        <v>150</v>
      </c>
      <c r="H105" s="142">
        <v>4472</v>
      </c>
      <c r="I105" s="142">
        <v>9.8000000000000007</v>
      </c>
      <c r="J105" s="142">
        <v>100</v>
      </c>
      <c r="K105" s="224" t="s">
        <v>1285</v>
      </c>
      <c r="L105" s="224">
        <v>200</v>
      </c>
      <c r="M105" s="224" t="s">
        <v>1329</v>
      </c>
      <c r="N105" s="224">
        <v>21.5</v>
      </c>
      <c r="O105" s="142" t="s">
        <v>1264</v>
      </c>
      <c r="P105" s="142">
        <v>208</v>
      </c>
      <c r="Q105" s="142" t="s">
        <v>1364</v>
      </c>
      <c r="R105" s="143">
        <v>810</v>
      </c>
      <c r="S105" s="144">
        <v>50.68266666666667</v>
      </c>
      <c r="T105" s="144">
        <v>48.564444444444447</v>
      </c>
    </row>
    <row r="106" spans="1:20" ht="14.25">
      <c r="A106" s="86" t="s">
        <v>1185</v>
      </c>
      <c r="B106" s="136" t="s">
        <v>215</v>
      </c>
      <c r="C106" s="167">
        <v>0.33333333333333331</v>
      </c>
      <c r="D106" s="118" t="s">
        <v>2</v>
      </c>
      <c r="E106" s="119">
        <v>188</v>
      </c>
      <c r="F106" s="119">
        <v>68</v>
      </c>
      <c r="G106" s="142">
        <v>150</v>
      </c>
      <c r="H106" s="142">
        <v>3750</v>
      </c>
      <c r="I106" s="142">
        <v>11</v>
      </c>
      <c r="J106" s="142">
        <v>100</v>
      </c>
      <c r="K106" s="224" t="s">
        <v>1285</v>
      </c>
      <c r="L106" s="224">
        <v>200</v>
      </c>
      <c r="M106" s="224" t="s">
        <v>1329</v>
      </c>
      <c r="N106" s="224">
        <v>20</v>
      </c>
      <c r="O106" s="142" t="s">
        <v>1288</v>
      </c>
      <c r="P106" s="119">
        <v>188</v>
      </c>
      <c r="Q106" s="117" t="s">
        <v>1365</v>
      </c>
      <c r="R106" s="123">
        <v>670</v>
      </c>
      <c r="S106" s="144">
        <v>42.5</v>
      </c>
      <c r="T106" s="144">
        <v>49.62222222222222</v>
      </c>
    </row>
    <row r="107" spans="1:20" ht="14.25">
      <c r="A107" s="86" t="s">
        <v>1185</v>
      </c>
      <c r="B107" s="117" t="s">
        <v>215</v>
      </c>
      <c r="C107" s="167">
        <v>0.33333333333333331</v>
      </c>
      <c r="D107" s="118" t="s">
        <v>1</v>
      </c>
      <c r="E107" s="119">
        <v>188</v>
      </c>
      <c r="F107" s="119">
        <v>68</v>
      </c>
      <c r="G107" s="142">
        <v>150</v>
      </c>
      <c r="H107" s="142">
        <v>3750</v>
      </c>
      <c r="I107" s="142">
        <v>10.7</v>
      </c>
      <c r="J107" s="142">
        <v>100</v>
      </c>
      <c r="K107" s="224" t="s">
        <v>1327</v>
      </c>
      <c r="L107" s="224">
        <v>200</v>
      </c>
      <c r="M107" s="224" t="s">
        <v>1366</v>
      </c>
      <c r="N107" s="224">
        <v>20</v>
      </c>
      <c r="O107" s="142" t="s">
        <v>1288</v>
      </c>
      <c r="P107" s="119">
        <v>188</v>
      </c>
      <c r="Q107" s="117" t="s">
        <v>1367</v>
      </c>
      <c r="R107" s="123">
        <v>670</v>
      </c>
      <c r="S107" s="144">
        <v>42.5</v>
      </c>
      <c r="T107" s="144">
        <v>48.268888888888888</v>
      </c>
    </row>
    <row r="108" spans="1:20" ht="14.25">
      <c r="A108" s="86" t="s">
        <v>1453</v>
      </c>
      <c r="B108" s="117" t="s">
        <v>1368</v>
      </c>
      <c r="C108" s="167">
        <v>0.33333333333333331</v>
      </c>
      <c r="D108" s="118" t="s">
        <v>2</v>
      </c>
      <c r="E108" s="119">
        <v>188</v>
      </c>
      <c r="F108" s="119">
        <v>68</v>
      </c>
      <c r="G108" s="117">
        <v>150</v>
      </c>
      <c r="H108" s="142">
        <v>3750</v>
      </c>
      <c r="I108" s="142">
        <v>14</v>
      </c>
      <c r="J108" s="142">
        <v>100</v>
      </c>
      <c r="K108" s="224" t="s">
        <v>1285</v>
      </c>
      <c r="L108" s="224">
        <v>150</v>
      </c>
      <c r="M108" s="224" t="s">
        <v>1335</v>
      </c>
      <c r="N108" s="224">
        <v>20</v>
      </c>
      <c r="O108" s="142" t="s">
        <v>1267</v>
      </c>
      <c r="P108" s="142">
        <v>188</v>
      </c>
      <c r="Q108" s="142" t="s">
        <v>1314</v>
      </c>
      <c r="R108" s="122">
        <v>480</v>
      </c>
      <c r="S108" s="144">
        <v>42.5</v>
      </c>
      <c r="T108" s="144">
        <v>47.366666666666667</v>
      </c>
    </row>
    <row r="109" spans="1:20" ht="14.25">
      <c r="A109" s="86" t="s">
        <v>1453</v>
      </c>
      <c r="B109" s="117" t="s">
        <v>1368</v>
      </c>
      <c r="C109" s="167">
        <v>0.33333333333333331</v>
      </c>
      <c r="D109" s="118" t="s">
        <v>1</v>
      </c>
      <c r="E109" s="119">
        <v>188</v>
      </c>
      <c r="F109" s="119">
        <v>68</v>
      </c>
      <c r="G109" s="117">
        <v>150</v>
      </c>
      <c r="H109" s="142">
        <v>3750</v>
      </c>
      <c r="I109" s="142">
        <v>14</v>
      </c>
      <c r="J109" s="142">
        <v>100</v>
      </c>
      <c r="K109" s="224" t="s">
        <v>1285</v>
      </c>
      <c r="L109" s="224">
        <v>150</v>
      </c>
      <c r="M109" s="224" t="s">
        <v>1335</v>
      </c>
      <c r="N109" s="224">
        <v>20</v>
      </c>
      <c r="O109" s="142" t="s">
        <v>1267</v>
      </c>
      <c r="P109" s="142">
        <v>188</v>
      </c>
      <c r="Q109" s="142" t="s">
        <v>1314</v>
      </c>
      <c r="R109" s="122">
        <v>480</v>
      </c>
      <c r="S109" s="144">
        <v>42.5</v>
      </c>
      <c r="T109" s="144">
        <v>47.366666666666667</v>
      </c>
    </row>
    <row r="110" spans="1:20" ht="14.25">
      <c r="A110" s="86" t="s">
        <v>1454</v>
      </c>
      <c r="B110" s="117" t="s">
        <v>1368</v>
      </c>
      <c r="C110" s="167">
        <v>0.33333333333333331</v>
      </c>
      <c r="D110" s="118" t="s">
        <v>2</v>
      </c>
      <c r="E110" s="119">
        <v>188</v>
      </c>
      <c r="F110" s="119">
        <v>76</v>
      </c>
      <c r="G110" s="117">
        <v>150</v>
      </c>
      <c r="H110" s="142">
        <v>3750</v>
      </c>
      <c r="I110" s="142">
        <v>16.7</v>
      </c>
      <c r="J110" s="142">
        <v>100</v>
      </c>
      <c r="K110" s="224" t="s">
        <v>1285</v>
      </c>
      <c r="L110" s="224">
        <v>150</v>
      </c>
      <c r="M110" s="224" t="s">
        <v>1335</v>
      </c>
      <c r="N110" s="224">
        <v>20</v>
      </c>
      <c r="O110" s="142" t="s">
        <v>1288</v>
      </c>
      <c r="P110" s="142">
        <v>188</v>
      </c>
      <c r="Q110" s="117" t="s">
        <v>1369</v>
      </c>
      <c r="R110" s="122">
        <v>475.11377245508982</v>
      </c>
      <c r="S110" s="144">
        <v>42.5</v>
      </c>
      <c r="T110" s="144">
        <v>56.501666666666665</v>
      </c>
    </row>
    <row r="111" spans="1:20" ht="14.25">
      <c r="A111" s="86" t="s">
        <v>1455</v>
      </c>
      <c r="B111" s="128" t="s">
        <v>1370</v>
      </c>
      <c r="C111" s="170" t="s">
        <v>197</v>
      </c>
      <c r="D111" s="129" t="s">
        <v>2</v>
      </c>
      <c r="E111" s="130">
        <v>190</v>
      </c>
      <c r="F111" s="130">
        <v>71</v>
      </c>
      <c r="G111" s="128">
        <v>150</v>
      </c>
      <c r="H111" s="143">
        <v>4012</v>
      </c>
      <c r="I111" s="143">
        <v>13.8</v>
      </c>
      <c r="J111" s="143">
        <v>100</v>
      </c>
      <c r="K111" s="228" t="s">
        <v>1285</v>
      </c>
      <c r="L111" s="228">
        <v>150</v>
      </c>
      <c r="M111" s="228" t="s">
        <v>1335</v>
      </c>
      <c r="N111" s="228">
        <v>20</v>
      </c>
      <c r="O111" s="143" t="s">
        <v>1267</v>
      </c>
      <c r="P111" s="143">
        <v>190</v>
      </c>
      <c r="Q111" s="128" t="s">
        <v>1371</v>
      </c>
      <c r="R111" s="122">
        <v>574.95652173913038</v>
      </c>
      <c r="S111" s="134">
        <v>45.469333333333331</v>
      </c>
      <c r="T111" s="144">
        <v>47.15</v>
      </c>
    </row>
    <row r="112" spans="1:20" ht="14.25">
      <c r="A112" s="86" t="s">
        <v>1456</v>
      </c>
      <c r="B112" s="128" t="s">
        <v>1372</v>
      </c>
      <c r="C112" s="170" t="s">
        <v>197</v>
      </c>
      <c r="D112" s="129" t="s">
        <v>2</v>
      </c>
      <c r="E112" s="130">
        <v>190</v>
      </c>
      <c r="F112" s="130">
        <v>60</v>
      </c>
      <c r="G112" s="128">
        <v>150</v>
      </c>
      <c r="H112" s="143">
        <v>2952</v>
      </c>
      <c r="I112" s="143">
        <v>13.8</v>
      </c>
      <c r="J112" s="143">
        <v>100</v>
      </c>
      <c r="K112" s="228" t="s">
        <v>1285</v>
      </c>
      <c r="L112" s="228">
        <v>150</v>
      </c>
      <c r="M112" s="228" t="s">
        <v>1335</v>
      </c>
      <c r="N112" s="228">
        <v>15.5</v>
      </c>
      <c r="O112" s="143" t="s">
        <v>1267</v>
      </c>
      <c r="P112" s="143">
        <v>190</v>
      </c>
      <c r="Q112" s="128" t="s">
        <v>1371</v>
      </c>
      <c r="R112" s="122">
        <v>574.95652173913038</v>
      </c>
      <c r="S112" s="134">
        <v>33.455999999999996</v>
      </c>
      <c r="T112" s="144">
        <v>47.15</v>
      </c>
    </row>
    <row r="113" spans="1:20" ht="14.25">
      <c r="A113" s="86" t="s">
        <v>1457</v>
      </c>
      <c r="B113" s="117" t="s">
        <v>215</v>
      </c>
      <c r="C113" s="167">
        <v>0.33333333333333331</v>
      </c>
      <c r="D113" s="118" t="s">
        <v>2</v>
      </c>
      <c r="E113" s="119">
        <v>188</v>
      </c>
      <c r="F113" s="119">
        <v>76</v>
      </c>
      <c r="G113" s="142">
        <v>150</v>
      </c>
      <c r="H113" s="142">
        <v>3750</v>
      </c>
      <c r="I113" s="142">
        <v>13</v>
      </c>
      <c r="J113" s="142">
        <v>100</v>
      </c>
      <c r="K113" s="224" t="s">
        <v>1285</v>
      </c>
      <c r="L113" s="224">
        <v>200</v>
      </c>
      <c r="M113" s="224" t="s">
        <v>1329</v>
      </c>
      <c r="N113" s="224">
        <v>20</v>
      </c>
      <c r="O113" s="142" t="s">
        <v>1288</v>
      </c>
      <c r="P113" s="119">
        <v>188</v>
      </c>
      <c r="Q113" s="117" t="s">
        <v>1373</v>
      </c>
      <c r="R113" s="123">
        <v>530</v>
      </c>
      <c r="S113" s="144">
        <v>42.5</v>
      </c>
      <c r="T113" s="144">
        <v>58.64</v>
      </c>
    </row>
    <row r="114" spans="1:20" ht="14.25">
      <c r="A114" s="86" t="s">
        <v>1457</v>
      </c>
      <c r="B114" s="117" t="s">
        <v>215</v>
      </c>
      <c r="C114" s="167">
        <v>0.33333333333333331</v>
      </c>
      <c r="D114" s="118" t="s">
        <v>1</v>
      </c>
      <c r="E114" s="119">
        <v>188</v>
      </c>
      <c r="F114" s="119">
        <v>76</v>
      </c>
      <c r="G114" s="142">
        <v>150</v>
      </c>
      <c r="H114" s="142">
        <v>3750</v>
      </c>
      <c r="I114" s="142">
        <v>13</v>
      </c>
      <c r="J114" s="142">
        <v>100</v>
      </c>
      <c r="K114" s="224" t="s">
        <v>1327</v>
      </c>
      <c r="L114" s="224">
        <v>200</v>
      </c>
      <c r="M114" s="224" t="s">
        <v>1366</v>
      </c>
      <c r="N114" s="224">
        <v>20</v>
      </c>
      <c r="O114" s="142" t="s">
        <v>1288</v>
      </c>
      <c r="P114" s="119">
        <v>188</v>
      </c>
      <c r="Q114" s="117" t="s">
        <v>1373</v>
      </c>
      <c r="R114" s="123">
        <v>530</v>
      </c>
      <c r="S114" s="144">
        <v>42.5</v>
      </c>
      <c r="T114" s="144">
        <v>58.644444444444446</v>
      </c>
    </row>
    <row r="115" spans="1:20" ht="14.25">
      <c r="B115" s="146" t="s">
        <v>1374</v>
      </c>
      <c r="C115" s="167">
        <v>1</v>
      </c>
      <c r="D115" s="118" t="s">
        <v>1</v>
      </c>
      <c r="E115" s="119">
        <v>164</v>
      </c>
      <c r="F115" s="119"/>
      <c r="G115" s="142">
        <v>122</v>
      </c>
      <c r="H115" s="142">
        <v>4592</v>
      </c>
      <c r="I115" s="142">
        <v>18</v>
      </c>
      <c r="J115" s="142">
        <v>150</v>
      </c>
      <c r="K115" s="224" t="s">
        <v>1337</v>
      </c>
      <c r="L115" s="224">
        <v>200</v>
      </c>
      <c r="M115" s="224" t="s">
        <v>1375</v>
      </c>
      <c r="N115" s="224">
        <v>28</v>
      </c>
      <c r="O115" s="142" t="s">
        <v>1264</v>
      </c>
      <c r="P115" s="142">
        <v>164</v>
      </c>
      <c r="Q115" s="142" t="s">
        <v>1376</v>
      </c>
      <c r="R115" s="143">
        <v>440.79999999999995</v>
      </c>
      <c r="S115" s="144">
        <v>78.063999999999993</v>
      </c>
      <c r="T115" s="144">
        <v>71.599999999999994</v>
      </c>
    </row>
    <row r="116" spans="1:20" ht="14.25">
      <c r="A116" s="86" t="s">
        <v>1187</v>
      </c>
      <c r="B116" s="117" t="s">
        <v>215</v>
      </c>
      <c r="C116" s="167">
        <v>0.33333333333333331</v>
      </c>
      <c r="D116" s="118" t="s">
        <v>2</v>
      </c>
      <c r="E116" s="119">
        <v>188</v>
      </c>
      <c r="F116" s="119">
        <v>80</v>
      </c>
      <c r="G116" s="142">
        <v>150</v>
      </c>
      <c r="H116" s="142">
        <v>3750</v>
      </c>
      <c r="I116" s="142">
        <v>14.3</v>
      </c>
      <c r="J116" s="142">
        <v>100</v>
      </c>
      <c r="K116" s="224" t="s">
        <v>1285</v>
      </c>
      <c r="L116" s="224">
        <v>200</v>
      </c>
      <c r="M116" s="224" t="s">
        <v>1329</v>
      </c>
      <c r="N116" s="224">
        <v>20</v>
      </c>
      <c r="O116" s="142" t="s">
        <v>1264</v>
      </c>
      <c r="P116" s="142">
        <v>188</v>
      </c>
      <c r="Q116" s="142" t="s">
        <v>1377</v>
      </c>
      <c r="R116" s="143">
        <v>554</v>
      </c>
      <c r="S116" s="144">
        <v>42.5</v>
      </c>
      <c r="T116" s="144">
        <v>64.509</v>
      </c>
    </row>
    <row r="117" spans="1:20" ht="14.25">
      <c r="A117" s="86" t="s">
        <v>1186</v>
      </c>
      <c r="B117" s="117" t="s">
        <v>216</v>
      </c>
      <c r="C117" s="167">
        <v>0.33333333333333331</v>
      </c>
      <c r="D117" s="118" t="s">
        <v>2</v>
      </c>
      <c r="E117" s="119">
        <v>188</v>
      </c>
      <c r="F117" s="119">
        <v>82</v>
      </c>
      <c r="G117" s="142">
        <v>150</v>
      </c>
      <c r="H117" s="142">
        <v>3750</v>
      </c>
      <c r="I117" s="142">
        <v>10</v>
      </c>
      <c r="J117" s="142">
        <v>100</v>
      </c>
      <c r="K117" s="224" t="s">
        <v>1285</v>
      </c>
      <c r="L117" s="224">
        <v>300</v>
      </c>
      <c r="M117" s="224" t="s">
        <v>1352</v>
      </c>
      <c r="N117" s="224">
        <v>20</v>
      </c>
      <c r="O117" s="142" t="s">
        <v>1288</v>
      </c>
      <c r="P117" s="119">
        <v>188</v>
      </c>
      <c r="Q117" s="117" t="s">
        <v>1378</v>
      </c>
      <c r="R117" s="123">
        <v>660</v>
      </c>
      <c r="S117" s="144">
        <v>42.5</v>
      </c>
      <c r="T117" s="144">
        <v>67.666666666666671</v>
      </c>
    </row>
    <row r="118" spans="1:20" ht="14.25">
      <c r="A118" s="86" t="s">
        <v>1186</v>
      </c>
      <c r="B118" s="117" t="s">
        <v>216</v>
      </c>
      <c r="C118" s="167">
        <v>0.33333333333333331</v>
      </c>
      <c r="D118" s="118" t="s">
        <v>1</v>
      </c>
      <c r="E118" s="119">
        <v>188</v>
      </c>
      <c r="F118" s="119">
        <v>82</v>
      </c>
      <c r="G118" s="142">
        <v>150</v>
      </c>
      <c r="H118" s="142">
        <v>3750</v>
      </c>
      <c r="I118" s="142">
        <v>10</v>
      </c>
      <c r="J118" s="142">
        <v>100</v>
      </c>
      <c r="K118" s="224" t="s">
        <v>1327</v>
      </c>
      <c r="L118" s="224">
        <v>300</v>
      </c>
      <c r="M118" s="224" t="s">
        <v>1379</v>
      </c>
      <c r="N118" s="224">
        <v>20</v>
      </c>
      <c r="O118" s="142" t="s">
        <v>1288</v>
      </c>
      <c r="P118" s="119">
        <v>188</v>
      </c>
      <c r="Q118" s="117" t="s">
        <v>1378</v>
      </c>
      <c r="R118" s="123">
        <v>660</v>
      </c>
      <c r="S118" s="144">
        <v>42.5</v>
      </c>
      <c r="T118" s="144">
        <v>67.666666666666671</v>
      </c>
    </row>
    <row r="119" spans="1:20" ht="14.25">
      <c r="A119" s="86" t="s">
        <v>1184</v>
      </c>
      <c r="B119" s="117" t="s">
        <v>216</v>
      </c>
      <c r="C119" s="167">
        <v>0.33333333333333331</v>
      </c>
      <c r="D119" s="118" t="s">
        <v>2</v>
      </c>
      <c r="E119" s="119">
        <v>188</v>
      </c>
      <c r="F119" s="119">
        <v>86</v>
      </c>
      <c r="G119" s="142">
        <v>150</v>
      </c>
      <c r="H119" s="142">
        <v>3750</v>
      </c>
      <c r="I119" s="142">
        <v>11</v>
      </c>
      <c r="J119" s="142">
        <v>100</v>
      </c>
      <c r="K119" s="224" t="s">
        <v>1285</v>
      </c>
      <c r="L119" s="224">
        <v>300</v>
      </c>
      <c r="M119" s="224" t="s">
        <v>1352</v>
      </c>
      <c r="N119" s="224">
        <v>20</v>
      </c>
      <c r="O119" s="142" t="s">
        <v>1288</v>
      </c>
      <c r="P119" s="119">
        <v>188</v>
      </c>
      <c r="Q119" s="117" t="s">
        <v>1365</v>
      </c>
      <c r="R119" s="123">
        <v>640</v>
      </c>
      <c r="S119" s="144">
        <v>42.5</v>
      </c>
      <c r="T119" s="144">
        <v>74.433333333333337</v>
      </c>
    </row>
    <row r="120" spans="1:20" ht="14.25">
      <c r="A120" s="86" t="s">
        <v>1184</v>
      </c>
      <c r="B120" s="117" t="s">
        <v>216</v>
      </c>
      <c r="C120" s="167">
        <v>0.33333333333333331</v>
      </c>
      <c r="D120" s="118" t="s">
        <v>1</v>
      </c>
      <c r="E120" s="119">
        <v>188</v>
      </c>
      <c r="F120" s="119">
        <v>86</v>
      </c>
      <c r="G120" s="142">
        <v>150</v>
      </c>
      <c r="H120" s="142">
        <v>3750</v>
      </c>
      <c r="I120" s="142">
        <v>11</v>
      </c>
      <c r="J120" s="142">
        <v>100</v>
      </c>
      <c r="K120" s="224" t="s">
        <v>1327</v>
      </c>
      <c r="L120" s="224">
        <v>300</v>
      </c>
      <c r="M120" s="224" t="s">
        <v>1379</v>
      </c>
      <c r="N120" s="224">
        <v>20</v>
      </c>
      <c r="O120" s="142" t="s">
        <v>1288</v>
      </c>
      <c r="P120" s="119">
        <v>188</v>
      </c>
      <c r="Q120" s="117" t="s">
        <v>1365</v>
      </c>
      <c r="R120" s="123">
        <v>640</v>
      </c>
      <c r="S120" s="144">
        <v>42.5</v>
      </c>
      <c r="T120" s="144">
        <v>74.433333333333337</v>
      </c>
    </row>
    <row r="121" spans="1:20" ht="14.25">
      <c r="A121" s="86" t="s">
        <v>1458</v>
      </c>
      <c r="B121" s="120" t="s">
        <v>216</v>
      </c>
      <c r="C121" s="167">
        <v>0.33333333333333331</v>
      </c>
      <c r="D121" s="118" t="s">
        <v>1</v>
      </c>
      <c r="E121" s="119">
        <v>190</v>
      </c>
      <c r="F121" s="119">
        <v>85</v>
      </c>
      <c r="G121" s="142">
        <v>150</v>
      </c>
      <c r="H121" s="142">
        <v>4040</v>
      </c>
      <c r="I121" s="142">
        <v>10</v>
      </c>
      <c r="J121" s="142">
        <v>100</v>
      </c>
      <c r="K121" s="224" t="s">
        <v>1327</v>
      </c>
      <c r="L121" s="224">
        <v>300</v>
      </c>
      <c r="M121" s="224" t="s">
        <v>1379</v>
      </c>
      <c r="N121" s="224">
        <v>21</v>
      </c>
      <c r="O121" s="142" t="s">
        <v>1288</v>
      </c>
      <c r="P121" s="119">
        <v>190</v>
      </c>
      <c r="Q121" s="117" t="s">
        <v>1330</v>
      </c>
      <c r="R121" s="122">
        <v>793.44</v>
      </c>
      <c r="S121" s="144">
        <v>45.786666666666662</v>
      </c>
      <c r="T121" s="144">
        <v>68.333333333333329</v>
      </c>
    </row>
    <row r="122" spans="1:20" ht="14.25">
      <c r="A122" s="86" t="s">
        <v>1459</v>
      </c>
      <c r="B122" s="117" t="s">
        <v>216</v>
      </c>
      <c r="C122" s="170" t="s">
        <v>197</v>
      </c>
      <c r="D122" s="118" t="s">
        <v>2</v>
      </c>
      <c r="E122" s="119">
        <v>190</v>
      </c>
      <c r="F122" s="119">
        <v>90</v>
      </c>
      <c r="G122" s="142">
        <v>150</v>
      </c>
      <c r="H122" s="142">
        <v>4360</v>
      </c>
      <c r="I122" s="142">
        <v>11</v>
      </c>
      <c r="J122" s="142">
        <v>100</v>
      </c>
      <c r="K122" s="224" t="s">
        <v>1285</v>
      </c>
      <c r="L122" s="224">
        <v>300</v>
      </c>
      <c r="M122" s="224" t="s">
        <v>1352</v>
      </c>
      <c r="N122" s="224">
        <v>22.8</v>
      </c>
      <c r="O122" s="142" t="s">
        <v>1267</v>
      </c>
      <c r="P122" s="142">
        <v>190</v>
      </c>
      <c r="Q122" s="142" t="s">
        <v>1365</v>
      </c>
      <c r="R122" s="123">
        <v>720</v>
      </c>
      <c r="S122" s="144">
        <v>49.413333333333334</v>
      </c>
      <c r="T122" s="144">
        <v>75.166666666666671</v>
      </c>
    </row>
    <row r="123" spans="1:20" ht="14.25">
      <c r="A123" s="86" t="s">
        <v>1459</v>
      </c>
      <c r="B123" s="117" t="s">
        <v>216</v>
      </c>
      <c r="C123" s="170" t="s">
        <v>197</v>
      </c>
      <c r="D123" s="118" t="s">
        <v>1</v>
      </c>
      <c r="E123" s="119">
        <v>190</v>
      </c>
      <c r="F123" s="119">
        <v>90</v>
      </c>
      <c r="G123" s="142">
        <v>150</v>
      </c>
      <c r="H123" s="142">
        <v>4360</v>
      </c>
      <c r="I123" s="142">
        <v>11</v>
      </c>
      <c r="J123" s="142">
        <v>100</v>
      </c>
      <c r="K123" s="224" t="s">
        <v>1293</v>
      </c>
      <c r="L123" s="224">
        <v>300</v>
      </c>
      <c r="M123" s="224" t="s">
        <v>1379</v>
      </c>
      <c r="N123" s="224">
        <v>22.8</v>
      </c>
      <c r="O123" s="142" t="s">
        <v>1267</v>
      </c>
      <c r="P123" s="142">
        <v>190</v>
      </c>
      <c r="Q123" s="142" t="s">
        <v>1365</v>
      </c>
      <c r="R123" s="123">
        <v>720</v>
      </c>
      <c r="S123" s="144">
        <v>49.413333333333334</v>
      </c>
      <c r="T123" s="144">
        <v>75.166666666666671</v>
      </c>
    </row>
    <row r="124" spans="1:20" ht="14.25">
      <c r="A124" s="86" t="s">
        <v>1099</v>
      </c>
      <c r="B124" s="117" t="s">
        <v>216</v>
      </c>
      <c r="C124" s="167">
        <v>0.33333333333333331</v>
      </c>
      <c r="D124" s="118" t="s">
        <v>2</v>
      </c>
      <c r="E124" s="119">
        <v>188</v>
      </c>
      <c r="F124" s="119">
        <v>96</v>
      </c>
      <c r="G124" s="142">
        <v>150</v>
      </c>
      <c r="H124" s="142">
        <v>3750</v>
      </c>
      <c r="I124" s="142">
        <v>13.5</v>
      </c>
      <c r="J124" s="142">
        <v>100</v>
      </c>
      <c r="K124" s="224" t="s">
        <v>1285</v>
      </c>
      <c r="L124" s="224">
        <v>300</v>
      </c>
      <c r="M124" s="224" t="s">
        <v>1352</v>
      </c>
      <c r="N124" s="224">
        <v>20</v>
      </c>
      <c r="O124" s="142" t="s">
        <v>1288</v>
      </c>
      <c r="P124" s="119">
        <v>188</v>
      </c>
      <c r="Q124" s="117" t="s">
        <v>1318</v>
      </c>
      <c r="R124" s="123">
        <v>530</v>
      </c>
      <c r="S124" s="144">
        <v>42.5</v>
      </c>
      <c r="T124" s="144">
        <v>91.35</v>
      </c>
    </row>
    <row r="125" spans="1:20" ht="14.25">
      <c r="A125" s="86" t="s">
        <v>1099</v>
      </c>
      <c r="B125" s="117" t="s">
        <v>216</v>
      </c>
      <c r="C125" s="167">
        <v>0.33333333333333331</v>
      </c>
      <c r="D125" s="118" t="s">
        <v>1</v>
      </c>
      <c r="E125" s="119">
        <v>188</v>
      </c>
      <c r="F125" s="119">
        <v>96</v>
      </c>
      <c r="G125" s="142">
        <v>150</v>
      </c>
      <c r="H125" s="142">
        <v>3750</v>
      </c>
      <c r="I125" s="142">
        <v>13.5</v>
      </c>
      <c r="J125" s="142">
        <v>100</v>
      </c>
      <c r="K125" s="224" t="s">
        <v>1327</v>
      </c>
      <c r="L125" s="224">
        <v>300</v>
      </c>
      <c r="M125" s="224" t="s">
        <v>1379</v>
      </c>
      <c r="N125" s="224">
        <v>20</v>
      </c>
      <c r="O125" s="142" t="s">
        <v>1288</v>
      </c>
      <c r="P125" s="119">
        <v>188</v>
      </c>
      <c r="Q125" s="117" t="s">
        <v>1318</v>
      </c>
      <c r="R125" s="123">
        <v>530</v>
      </c>
      <c r="S125" s="144">
        <v>42.5</v>
      </c>
      <c r="T125" s="144">
        <v>91.35</v>
      </c>
    </row>
    <row r="126" spans="1:20" ht="14.25">
      <c r="A126" s="86" t="s">
        <v>1460</v>
      </c>
      <c r="B126" s="117" t="s">
        <v>1380</v>
      </c>
      <c r="C126" s="167" t="s">
        <v>197</v>
      </c>
      <c r="D126" s="118" t="s">
        <v>2</v>
      </c>
      <c r="E126" s="119">
        <v>196</v>
      </c>
      <c r="F126" s="119">
        <v>72</v>
      </c>
      <c r="G126" s="142">
        <v>150</v>
      </c>
      <c r="H126" s="142">
        <v>3920</v>
      </c>
      <c r="I126" s="142">
        <v>9.84</v>
      </c>
      <c r="J126" s="142">
        <v>150</v>
      </c>
      <c r="K126" s="224" t="s">
        <v>1335</v>
      </c>
      <c r="L126" s="224">
        <v>150</v>
      </c>
      <c r="M126" s="224" t="s">
        <v>1335</v>
      </c>
      <c r="N126" s="224">
        <v>20</v>
      </c>
      <c r="O126" s="142" t="s">
        <v>1288</v>
      </c>
      <c r="P126" s="119">
        <v>196</v>
      </c>
      <c r="Q126" s="117" t="s">
        <v>1378</v>
      </c>
      <c r="R126" s="122">
        <v>806.34146341463406</v>
      </c>
      <c r="S126" s="144">
        <v>66.64</v>
      </c>
      <c r="T126" s="144">
        <v>34.603999999999992</v>
      </c>
    </row>
    <row r="127" spans="1:20" ht="14.25">
      <c r="A127" s="86" t="s">
        <v>1461</v>
      </c>
      <c r="B127" s="117" t="s">
        <v>1380</v>
      </c>
      <c r="C127" s="167" t="s">
        <v>197</v>
      </c>
      <c r="D127" s="118" t="s">
        <v>2</v>
      </c>
      <c r="E127" s="119">
        <v>203.5</v>
      </c>
      <c r="F127" s="119">
        <v>72</v>
      </c>
      <c r="G127" s="142">
        <v>150</v>
      </c>
      <c r="H127" s="142">
        <v>3842</v>
      </c>
      <c r="I127" s="142">
        <v>9.1</v>
      </c>
      <c r="J127" s="142">
        <v>150</v>
      </c>
      <c r="K127" s="224" t="s">
        <v>1335</v>
      </c>
      <c r="L127" s="224">
        <v>150</v>
      </c>
      <c r="M127" s="224" t="s">
        <v>1335</v>
      </c>
      <c r="N127" s="224">
        <v>18.7</v>
      </c>
      <c r="O127" s="142" t="s">
        <v>1288</v>
      </c>
      <c r="P127" s="119">
        <v>203.5</v>
      </c>
      <c r="Q127" s="117" t="s">
        <v>1345</v>
      </c>
      <c r="R127" s="122">
        <v>871.91208791208783</v>
      </c>
      <c r="S127" s="144">
        <v>65.313999999999993</v>
      </c>
      <c r="T127" s="144">
        <v>33.139166666666668</v>
      </c>
    </row>
    <row r="128" spans="1:20" ht="14.25">
      <c r="A128" s="86" t="s">
        <v>1462</v>
      </c>
      <c r="B128" s="137" t="s">
        <v>1380</v>
      </c>
      <c r="C128" s="167">
        <v>1</v>
      </c>
      <c r="D128" s="164" t="s">
        <v>2</v>
      </c>
      <c r="E128" s="160">
        <v>188</v>
      </c>
      <c r="F128" s="160">
        <v>84</v>
      </c>
      <c r="G128" s="137">
        <v>150</v>
      </c>
      <c r="H128" s="137">
        <v>3584</v>
      </c>
      <c r="I128" s="137">
        <v>12.5</v>
      </c>
      <c r="J128" s="137">
        <v>150</v>
      </c>
      <c r="K128" s="229" t="s">
        <v>1335</v>
      </c>
      <c r="L128" s="229">
        <v>150</v>
      </c>
      <c r="M128" s="229" t="s">
        <v>1335</v>
      </c>
      <c r="N128" s="229">
        <v>20</v>
      </c>
      <c r="O128" s="138" t="s">
        <v>1267</v>
      </c>
      <c r="P128" s="137">
        <v>188</v>
      </c>
      <c r="Q128" s="138" t="s">
        <v>1351</v>
      </c>
      <c r="R128" s="123">
        <v>550</v>
      </c>
      <c r="S128" s="139">
        <v>60.928000000000004</v>
      </c>
      <c r="T128" s="139">
        <v>42.291666666666664</v>
      </c>
    </row>
    <row r="129" spans="1:21" ht="14.25">
      <c r="A129" s="86" t="s">
        <v>1463</v>
      </c>
      <c r="B129" s="142" t="s">
        <v>1072</v>
      </c>
      <c r="C129" s="167">
        <v>0.33333333333333331</v>
      </c>
      <c r="D129" s="142" t="s">
        <v>2</v>
      </c>
      <c r="E129" s="142">
        <v>195</v>
      </c>
      <c r="F129" s="142">
        <v>94</v>
      </c>
      <c r="G129" s="142">
        <v>150</v>
      </c>
      <c r="H129" s="142">
        <v>3717</v>
      </c>
      <c r="I129" s="142">
        <v>9.1999999999999993</v>
      </c>
      <c r="J129" s="142">
        <v>150</v>
      </c>
      <c r="K129" s="224" t="s">
        <v>1335</v>
      </c>
      <c r="L129" s="224">
        <v>300</v>
      </c>
      <c r="M129" s="224" t="s">
        <v>1342</v>
      </c>
      <c r="N129" s="224">
        <v>19</v>
      </c>
      <c r="O129" s="142" t="s">
        <v>1264</v>
      </c>
      <c r="P129" s="142">
        <v>195</v>
      </c>
      <c r="Q129" s="142" t="s">
        <v>1381</v>
      </c>
      <c r="R129" s="122">
        <v>862.43478260869563</v>
      </c>
      <c r="S129" s="144">
        <v>63.189000000000007</v>
      </c>
      <c r="T129" s="144">
        <v>64.399999999999991</v>
      </c>
    </row>
    <row r="130" spans="1:21" ht="14.25">
      <c r="A130" s="86" t="s">
        <v>1085</v>
      </c>
      <c r="B130" s="117" t="s">
        <v>217</v>
      </c>
      <c r="C130" s="167">
        <v>0.33333333333333331</v>
      </c>
      <c r="D130" s="118" t="s">
        <v>2</v>
      </c>
      <c r="E130" s="119">
        <v>180</v>
      </c>
      <c r="F130" s="119">
        <v>106</v>
      </c>
      <c r="G130" s="142">
        <v>150</v>
      </c>
      <c r="H130" s="142">
        <v>3700</v>
      </c>
      <c r="I130" s="142">
        <v>10</v>
      </c>
      <c r="J130" s="142">
        <v>200</v>
      </c>
      <c r="K130" s="224" t="s">
        <v>1331</v>
      </c>
      <c r="L130" s="224">
        <v>300</v>
      </c>
      <c r="M130" s="224" t="s">
        <v>1352</v>
      </c>
      <c r="N130" s="224">
        <v>20</v>
      </c>
      <c r="O130" s="142" t="s">
        <v>1288</v>
      </c>
      <c r="P130" s="119">
        <v>180</v>
      </c>
      <c r="Q130" s="117" t="s">
        <v>1378</v>
      </c>
      <c r="R130" s="123">
        <v>730</v>
      </c>
      <c r="S130" s="144">
        <v>83.866666666666674</v>
      </c>
      <c r="T130" s="144">
        <v>65</v>
      </c>
    </row>
    <row r="131" spans="1:21" ht="14.25">
      <c r="A131" s="86" t="s">
        <v>1085</v>
      </c>
      <c r="B131" s="117" t="s">
        <v>217</v>
      </c>
      <c r="C131" s="167">
        <v>0.33333333333333331</v>
      </c>
      <c r="D131" s="118" t="s">
        <v>1</v>
      </c>
      <c r="E131" s="119">
        <v>180</v>
      </c>
      <c r="F131" s="119">
        <v>106</v>
      </c>
      <c r="G131" s="142">
        <v>150</v>
      </c>
      <c r="H131" s="142">
        <v>3700</v>
      </c>
      <c r="I131" s="142">
        <v>10</v>
      </c>
      <c r="J131" s="142">
        <v>200</v>
      </c>
      <c r="K131" s="224" t="s">
        <v>1382</v>
      </c>
      <c r="L131" s="224">
        <v>300</v>
      </c>
      <c r="M131" s="224" t="s">
        <v>1379</v>
      </c>
      <c r="N131" s="224">
        <v>20</v>
      </c>
      <c r="O131" s="142" t="s">
        <v>1288</v>
      </c>
      <c r="P131" s="119">
        <v>180</v>
      </c>
      <c r="Q131" s="117" t="s">
        <v>1378</v>
      </c>
      <c r="R131" s="123">
        <v>730</v>
      </c>
      <c r="S131" s="144">
        <v>83.866666666666674</v>
      </c>
      <c r="T131" s="144">
        <v>65</v>
      </c>
    </row>
    <row r="132" spans="1:21" ht="14.25">
      <c r="A132" s="86" t="s">
        <v>1086</v>
      </c>
      <c r="B132" s="117" t="s">
        <v>217</v>
      </c>
      <c r="C132" s="167">
        <v>0.33333333333333331</v>
      </c>
      <c r="D132" s="118" t="s">
        <v>2</v>
      </c>
      <c r="E132" s="119">
        <v>180</v>
      </c>
      <c r="F132" s="119">
        <v>116</v>
      </c>
      <c r="G132" s="142">
        <v>150</v>
      </c>
      <c r="H132" s="142">
        <v>3700</v>
      </c>
      <c r="I132" s="142">
        <v>11.9</v>
      </c>
      <c r="J132" s="142">
        <v>200</v>
      </c>
      <c r="K132" s="224" t="s">
        <v>1331</v>
      </c>
      <c r="L132" s="224">
        <v>300</v>
      </c>
      <c r="M132" s="224" t="s">
        <v>1352</v>
      </c>
      <c r="N132" s="224">
        <v>20</v>
      </c>
      <c r="O132" s="142" t="s">
        <v>1288</v>
      </c>
      <c r="P132" s="119">
        <v>180</v>
      </c>
      <c r="Q132" s="117" t="s">
        <v>1332</v>
      </c>
      <c r="R132" s="123">
        <v>560</v>
      </c>
      <c r="S132" s="144">
        <v>83.866666666666674</v>
      </c>
      <c r="T132" s="144">
        <v>77.349999999999994</v>
      </c>
    </row>
    <row r="133" spans="1:21" ht="14.25">
      <c r="A133" s="86" t="s">
        <v>1086</v>
      </c>
      <c r="B133" s="117" t="s">
        <v>217</v>
      </c>
      <c r="C133" s="167">
        <v>0.33333333333333331</v>
      </c>
      <c r="D133" s="118" t="s">
        <v>1</v>
      </c>
      <c r="E133" s="119">
        <v>180</v>
      </c>
      <c r="F133" s="119">
        <v>116</v>
      </c>
      <c r="G133" s="142">
        <v>150</v>
      </c>
      <c r="H133" s="142">
        <v>3700</v>
      </c>
      <c r="I133" s="142">
        <v>12.9</v>
      </c>
      <c r="J133" s="142">
        <v>200</v>
      </c>
      <c r="K133" s="224" t="s">
        <v>1382</v>
      </c>
      <c r="L133" s="224">
        <v>300</v>
      </c>
      <c r="M133" s="224" t="s">
        <v>1379</v>
      </c>
      <c r="N133" s="224">
        <v>20</v>
      </c>
      <c r="O133" s="142" t="s">
        <v>1288</v>
      </c>
      <c r="P133" s="119">
        <v>180</v>
      </c>
      <c r="Q133" s="117" t="s">
        <v>1373</v>
      </c>
      <c r="R133" s="123">
        <v>560</v>
      </c>
      <c r="S133" s="144">
        <v>83.866666666666674</v>
      </c>
      <c r="T133" s="144">
        <v>83.85</v>
      </c>
    </row>
    <row r="134" spans="1:21" ht="14.25">
      <c r="A134" s="86" t="s">
        <v>1087</v>
      </c>
      <c r="B134" s="117" t="s">
        <v>217</v>
      </c>
      <c r="C134" s="167">
        <v>0.33333333333333331</v>
      </c>
      <c r="D134" s="118" t="s">
        <v>2</v>
      </c>
      <c r="E134" s="119">
        <v>180</v>
      </c>
      <c r="F134" s="119">
        <v>126</v>
      </c>
      <c r="G134" s="142">
        <v>150</v>
      </c>
      <c r="H134" s="142">
        <v>3700</v>
      </c>
      <c r="I134" s="142">
        <v>15.1</v>
      </c>
      <c r="J134" s="142">
        <v>200</v>
      </c>
      <c r="K134" s="224" t="s">
        <v>1329</v>
      </c>
      <c r="L134" s="224">
        <v>300</v>
      </c>
      <c r="M134" s="224" t="s">
        <v>1352</v>
      </c>
      <c r="N134" s="224">
        <v>20</v>
      </c>
      <c r="O134" s="142" t="s">
        <v>1288</v>
      </c>
      <c r="P134" s="119">
        <v>180</v>
      </c>
      <c r="Q134" s="117" t="s">
        <v>1319</v>
      </c>
      <c r="R134" s="123">
        <v>475</v>
      </c>
      <c r="S134" s="144">
        <v>83.866666666666674</v>
      </c>
      <c r="T134" s="144">
        <v>98.15</v>
      </c>
    </row>
    <row r="135" spans="1:21" ht="14.25">
      <c r="A135" s="86" t="s">
        <v>1087</v>
      </c>
      <c r="B135" s="117" t="s">
        <v>217</v>
      </c>
      <c r="C135" s="167">
        <v>0.33333333333333331</v>
      </c>
      <c r="D135" s="118" t="s">
        <v>1</v>
      </c>
      <c r="E135" s="119">
        <v>180</v>
      </c>
      <c r="F135" s="119">
        <v>126</v>
      </c>
      <c r="G135" s="142">
        <v>150</v>
      </c>
      <c r="H135" s="142">
        <v>3700</v>
      </c>
      <c r="I135" s="142">
        <v>15.1</v>
      </c>
      <c r="J135" s="142">
        <v>200</v>
      </c>
      <c r="K135" s="224" t="s">
        <v>1350</v>
      </c>
      <c r="L135" s="224">
        <v>300</v>
      </c>
      <c r="M135" s="224" t="s">
        <v>1379</v>
      </c>
      <c r="N135" s="224">
        <v>20</v>
      </c>
      <c r="O135" s="142" t="s">
        <v>1288</v>
      </c>
      <c r="P135" s="119">
        <v>180</v>
      </c>
      <c r="Q135" s="117" t="s">
        <v>1319</v>
      </c>
      <c r="R135" s="122">
        <v>475</v>
      </c>
      <c r="S135" s="144">
        <v>83.866666666666674</v>
      </c>
      <c r="T135" s="144">
        <v>98.15</v>
      </c>
    </row>
    <row r="136" spans="1:21" ht="14.25">
      <c r="A136" s="86" t="s">
        <v>1464</v>
      </c>
      <c r="B136" s="117" t="s">
        <v>217</v>
      </c>
      <c r="C136" s="167">
        <v>0.33333333333333331</v>
      </c>
      <c r="D136" s="118" t="s">
        <v>2</v>
      </c>
      <c r="E136" s="119">
        <v>180</v>
      </c>
      <c r="F136" s="119">
        <v>140</v>
      </c>
      <c r="G136" s="142">
        <v>150</v>
      </c>
      <c r="H136" s="142">
        <v>3700</v>
      </c>
      <c r="I136" s="142">
        <v>16.7</v>
      </c>
      <c r="J136" s="142">
        <v>200</v>
      </c>
      <c r="K136" s="224" t="s">
        <v>1329</v>
      </c>
      <c r="L136" s="224">
        <v>300</v>
      </c>
      <c r="M136" s="224" t="s">
        <v>1352</v>
      </c>
      <c r="N136" s="224">
        <v>20</v>
      </c>
      <c r="O136" s="142" t="s">
        <v>1288</v>
      </c>
      <c r="P136" s="119">
        <v>180</v>
      </c>
      <c r="Q136" s="117" t="s">
        <v>1358</v>
      </c>
      <c r="R136" s="123">
        <v>425</v>
      </c>
      <c r="S136" s="144">
        <v>83.866666666666674</v>
      </c>
      <c r="T136" s="144">
        <v>108.55</v>
      </c>
    </row>
    <row r="137" spans="1:21" ht="14.25">
      <c r="A137" s="86" t="s">
        <v>1464</v>
      </c>
      <c r="B137" s="136" t="s">
        <v>217</v>
      </c>
      <c r="C137" s="167">
        <v>0.33333333333333331</v>
      </c>
      <c r="D137" s="118" t="s">
        <v>1</v>
      </c>
      <c r="E137" s="135">
        <v>180</v>
      </c>
      <c r="F137" s="135">
        <v>140</v>
      </c>
      <c r="G137" s="145">
        <v>150</v>
      </c>
      <c r="H137" s="145">
        <v>3700</v>
      </c>
      <c r="I137" s="145">
        <v>16.7</v>
      </c>
      <c r="J137" s="145">
        <v>200</v>
      </c>
      <c r="K137" s="230" t="s">
        <v>1350</v>
      </c>
      <c r="L137" s="230">
        <v>300</v>
      </c>
      <c r="M137" s="230" t="s">
        <v>1379</v>
      </c>
      <c r="N137" s="230">
        <v>20</v>
      </c>
      <c r="O137" s="145" t="s">
        <v>1288</v>
      </c>
      <c r="P137" s="135">
        <v>180</v>
      </c>
      <c r="Q137" s="117" t="s">
        <v>1358</v>
      </c>
      <c r="R137" s="123">
        <v>425</v>
      </c>
      <c r="S137" s="144">
        <v>83.866666666666674</v>
      </c>
      <c r="T137" s="144">
        <v>108.55</v>
      </c>
    </row>
    <row r="138" spans="1:21" ht="14.25">
      <c r="A138" s="86" t="s">
        <v>1465</v>
      </c>
      <c r="B138" s="136" t="s">
        <v>217</v>
      </c>
      <c r="C138" s="167">
        <v>0.33333333333333331</v>
      </c>
      <c r="D138" s="118" t="s">
        <v>2</v>
      </c>
      <c r="E138" s="119">
        <v>180</v>
      </c>
      <c r="F138" s="119">
        <v>145</v>
      </c>
      <c r="G138" s="142">
        <v>150</v>
      </c>
      <c r="H138" s="142">
        <v>3584</v>
      </c>
      <c r="I138" s="142">
        <v>12.2</v>
      </c>
      <c r="J138" s="142">
        <v>200</v>
      </c>
      <c r="K138" s="224" t="s">
        <v>1329</v>
      </c>
      <c r="L138" s="224">
        <v>450</v>
      </c>
      <c r="M138" s="224" t="s">
        <v>1383</v>
      </c>
      <c r="N138" s="224">
        <v>20</v>
      </c>
      <c r="O138" s="142" t="s">
        <v>1288</v>
      </c>
      <c r="P138" s="142">
        <v>180</v>
      </c>
      <c r="Q138" s="142" t="s">
        <v>1351</v>
      </c>
      <c r="R138" s="123">
        <v>570</v>
      </c>
      <c r="S138" s="144">
        <v>81.237333333333339</v>
      </c>
      <c r="T138" s="144">
        <v>118.95</v>
      </c>
    </row>
    <row r="139" spans="1:21" ht="14.25">
      <c r="A139" s="86" t="s">
        <v>1466</v>
      </c>
      <c r="B139" s="136" t="s">
        <v>217</v>
      </c>
      <c r="C139" s="167">
        <v>0.33333333333333331</v>
      </c>
      <c r="D139" s="118" t="s">
        <v>2</v>
      </c>
      <c r="E139" s="119">
        <v>180</v>
      </c>
      <c r="F139" s="119">
        <v>155</v>
      </c>
      <c r="G139" s="142">
        <v>150</v>
      </c>
      <c r="H139" s="142">
        <v>3584</v>
      </c>
      <c r="I139" s="142">
        <v>13.5</v>
      </c>
      <c r="J139" s="142">
        <v>200</v>
      </c>
      <c r="K139" s="224" t="s">
        <v>1329</v>
      </c>
      <c r="L139" s="224">
        <v>450</v>
      </c>
      <c r="M139" s="224" t="s">
        <v>1383</v>
      </c>
      <c r="N139" s="224">
        <v>20</v>
      </c>
      <c r="O139" s="142" t="s">
        <v>1288</v>
      </c>
      <c r="P139" s="142">
        <v>180</v>
      </c>
      <c r="Q139" s="142" t="s">
        <v>1371</v>
      </c>
      <c r="R139" s="123">
        <v>512</v>
      </c>
      <c r="S139" s="144">
        <v>81.237333333333339</v>
      </c>
      <c r="T139" s="144">
        <v>131.625</v>
      </c>
      <c r="U139">
        <f>J139/900*H139/1000*1.02</f>
        <v>0.81237333333333317</v>
      </c>
    </row>
    <row r="140" spans="1:21" ht="14.25">
      <c r="A140" s="86"/>
      <c r="B140" s="136" t="s">
        <v>217</v>
      </c>
      <c r="C140" s="167">
        <v>0.33333333333333331</v>
      </c>
      <c r="D140" s="118" t="s">
        <v>2</v>
      </c>
      <c r="E140" s="119">
        <v>180</v>
      </c>
      <c r="F140" s="119">
        <v>135</v>
      </c>
      <c r="G140" s="142">
        <v>180</v>
      </c>
      <c r="H140" s="142">
        <v>3584</v>
      </c>
      <c r="I140" s="142">
        <v>16.100000000000001</v>
      </c>
      <c r="J140" s="142">
        <v>200</v>
      </c>
      <c r="K140" s="224"/>
      <c r="L140" s="224">
        <v>300</v>
      </c>
      <c r="M140" s="224"/>
      <c r="N140" s="224"/>
      <c r="O140" s="142"/>
      <c r="P140" s="142"/>
      <c r="Q140" s="142"/>
      <c r="R140" s="123">
        <v>467</v>
      </c>
      <c r="S140" s="144"/>
      <c r="T140" s="144"/>
    </row>
    <row r="141" spans="1:21" ht="14.25">
      <c r="A141" s="86" t="s">
        <v>1467</v>
      </c>
      <c r="B141" s="142" t="s">
        <v>1071</v>
      </c>
      <c r="C141" s="170" t="s">
        <v>197</v>
      </c>
      <c r="D141" s="118" t="s">
        <v>2</v>
      </c>
      <c r="E141" s="142">
        <v>189</v>
      </c>
      <c r="F141" s="119">
        <v>40</v>
      </c>
      <c r="G141" s="142">
        <v>150</v>
      </c>
      <c r="H141" s="142">
        <v>5698</v>
      </c>
      <c r="I141" s="142">
        <v>14.3</v>
      </c>
      <c r="J141" s="142">
        <v>30</v>
      </c>
      <c r="K141" s="224" t="s">
        <v>1278</v>
      </c>
      <c r="L141" s="224">
        <v>100</v>
      </c>
      <c r="M141" s="224" t="s">
        <v>1285</v>
      </c>
      <c r="N141" s="224">
        <v>30</v>
      </c>
      <c r="O141" s="142" t="s">
        <v>1267</v>
      </c>
      <c r="P141" s="142">
        <v>189</v>
      </c>
      <c r="Q141" s="142" t="s">
        <v>1384</v>
      </c>
      <c r="R141" s="122">
        <v>495.90000000000003</v>
      </c>
      <c r="S141" s="144">
        <v>19.373200000000001</v>
      </c>
      <c r="T141" s="144">
        <v>32.413333333333334</v>
      </c>
    </row>
    <row r="142" spans="1:21" ht="14.25">
      <c r="A142" s="86" t="s">
        <v>1468</v>
      </c>
      <c r="B142" s="142" t="s">
        <v>208</v>
      </c>
      <c r="C142" s="170" t="s">
        <v>197</v>
      </c>
      <c r="D142" s="118" t="s">
        <v>2</v>
      </c>
      <c r="E142" s="142">
        <v>189</v>
      </c>
      <c r="F142" s="119">
        <v>50</v>
      </c>
      <c r="G142" s="142">
        <v>150</v>
      </c>
      <c r="H142" s="142">
        <v>3808</v>
      </c>
      <c r="I142" s="142">
        <v>11.8</v>
      </c>
      <c r="J142" s="142">
        <v>75</v>
      </c>
      <c r="K142" s="224" t="s">
        <v>1284</v>
      </c>
      <c r="L142" s="224">
        <v>100</v>
      </c>
      <c r="M142" s="224" t="s">
        <v>1285</v>
      </c>
      <c r="N142" s="224">
        <v>20</v>
      </c>
      <c r="O142" s="142" t="s">
        <v>1267</v>
      </c>
      <c r="P142" s="142">
        <v>189</v>
      </c>
      <c r="Q142" s="142" t="s">
        <v>1385</v>
      </c>
      <c r="R142" s="165">
        <v>450</v>
      </c>
      <c r="S142" s="144">
        <v>32.368000000000002</v>
      </c>
      <c r="T142" s="144">
        <v>26.74666666666667</v>
      </c>
    </row>
    <row r="143" spans="1:21" ht="14.25">
      <c r="A143" s="86" t="s">
        <v>1469</v>
      </c>
      <c r="B143" s="142" t="s">
        <v>213</v>
      </c>
      <c r="C143" s="170" t="s">
        <v>197</v>
      </c>
      <c r="D143" s="118" t="s">
        <v>2</v>
      </c>
      <c r="E143" s="142">
        <v>189</v>
      </c>
      <c r="F143" s="119">
        <v>53</v>
      </c>
      <c r="G143" s="142">
        <v>150</v>
      </c>
      <c r="H143" s="142">
        <v>3808</v>
      </c>
      <c r="I143" s="142">
        <v>12.8</v>
      </c>
      <c r="J143" s="142">
        <v>100</v>
      </c>
      <c r="K143" s="224" t="s">
        <v>1285</v>
      </c>
      <c r="L143" s="224">
        <v>100</v>
      </c>
      <c r="M143" s="224" t="s">
        <v>1285</v>
      </c>
      <c r="N143" s="224">
        <v>20</v>
      </c>
      <c r="O143" s="142" t="s">
        <v>1267</v>
      </c>
      <c r="P143" s="142">
        <v>189</v>
      </c>
      <c r="Q143" s="142" t="s">
        <v>1326</v>
      </c>
      <c r="R143" s="165">
        <v>594</v>
      </c>
      <c r="S143" s="144">
        <v>43.157333333333334</v>
      </c>
      <c r="T143" s="144">
        <v>29.013333333333335</v>
      </c>
    </row>
    <row r="144" spans="1:21" ht="14.25">
      <c r="A144" s="86" t="s">
        <v>1470</v>
      </c>
      <c r="B144" s="142" t="s">
        <v>1386</v>
      </c>
      <c r="C144" s="170" t="s">
        <v>197</v>
      </c>
      <c r="D144" s="118" t="s">
        <v>2</v>
      </c>
      <c r="E144" s="142">
        <v>189</v>
      </c>
      <c r="F144" s="119">
        <v>65</v>
      </c>
      <c r="G144" s="142">
        <v>150</v>
      </c>
      <c r="H144" s="142">
        <v>3808</v>
      </c>
      <c r="I144" s="142">
        <v>10.4</v>
      </c>
      <c r="J144" s="142">
        <v>100</v>
      </c>
      <c r="K144" s="224" t="s">
        <v>1285</v>
      </c>
      <c r="L144" s="224">
        <v>200</v>
      </c>
      <c r="M144" s="224" t="s">
        <v>1329</v>
      </c>
      <c r="N144" s="224">
        <v>20</v>
      </c>
      <c r="O144" s="142" t="s">
        <v>1267</v>
      </c>
      <c r="P144" s="142">
        <v>189</v>
      </c>
      <c r="Q144" s="142" t="s">
        <v>1301</v>
      </c>
      <c r="R144" s="165">
        <v>603</v>
      </c>
      <c r="S144" s="144">
        <v>43.157333333333334</v>
      </c>
      <c r="T144" s="144">
        <v>47.146666666666668</v>
      </c>
    </row>
    <row r="145" spans="1:20" ht="14.25">
      <c r="A145" s="86" t="s">
        <v>1471</v>
      </c>
      <c r="B145" s="142" t="s">
        <v>1341</v>
      </c>
      <c r="C145" s="170" t="s">
        <v>197</v>
      </c>
      <c r="D145" s="118" t="s">
        <v>2</v>
      </c>
      <c r="E145" s="142">
        <v>189</v>
      </c>
      <c r="F145" s="119">
        <v>70</v>
      </c>
      <c r="G145" s="142">
        <v>150</v>
      </c>
      <c r="H145" s="142">
        <v>3808</v>
      </c>
      <c r="I145" s="142">
        <v>9.5</v>
      </c>
      <c r="J145" s="142">
        <v>75</v>
      </c>
      <c r="K145" s="224" t="s">
        <v>1284</v>
      </c>
      <c r="L145" s="224">
        <v>300</v>
      </c>
      <c r="M145" s="224" t="s">
        <v>1342</v>
      </c>
      <c r="N145" s="224">
        <v>20</v>
      </c>
      <c r="O145" s="142" t="s">
        <v>1267</v>
      </c>
      <c r="P145" s="142">
        <v>189</v>
      </c>
      <c r="Q145" s="142" t="s">
        <v>1345</v>
      </c>
      <c r="R145" s="165">
        <v>720</v>
      </c>
      <c r="S145" s="144">
        <v>32.368000000000002</v>
      </c>
      <c r="T145" s="144">
        <v>64.599999999999994</v>
      </c>
    </row>
    <row r="146" spans="1:20" ht="14.25">
      <c r="A146" s="86" t="s">
        <v>1472</v>
      </c>
      <c r="B146" s="142" t="s">
        <v>1347</v>
      </c>
      <c r="C146" s="170" t="s">
        <v>197</v>
      </c>
      <c r="D146" s="118" t="s">
        <v>2</v>
      </c>
      <c r="E146" s="142">
        <v>189</v>
      </c>
      <c r="F146" s="119">
        <v>82</v>
      </c>
      <c r="G146" s="142">
        <v>150</v>
      </c>
      <c r="H146" s="142">
        <v>3808</v>
      </c>
      <c r="I146" s="142">
        <v>10.4</v>
      </c>
      <c r="J146" s="142">
        <v>100</v>
      </c>
      <c r="K146" s="224" t="s">
        <v>1285</v>
      </c>
      <c r="L146" s="224">
        <v>300</v>
      </c>
      <c r="M146" s="224" t="s">
        <v>1342</v>
      </c>
      <c r="N146" s="224">
        <v>20</v>
      </c>
      <c r="O146" s="142" t="s">
        <v>1267</v>
      </c>
      <c r="P146" s="142">
        <v>189</v>
      </c>
      <c r="Q146" s="142" t="s">
        <v>1301</v>
      </c>
      <c r="R146" s="165">
        <v>594</v>
      </c>
      <c r="S146" s="144">
        <v>43.157333333333334</v>
      </c>
      <c r="T146" s="144">
        <v>70.72</v>
      </c>
    </row>
    <row r="147" spans="1:20" ht="14.25">
      <c r="A147" s="86" t="s">
        <v>1404</v>
      </c>
      <c r="B147" s="142" t="s">
        <v>201</v>
      </c>
      <c r="C147" s="170" t="s">
        <v>197</v>
      </c>
      <c r="D147" s="118" t="s">
        <v>2</v>
      </c>
      <c r="E147" s="142">
        <v>190</v>
      </c>
      <c r="F147" s="119">
        <v>27</v>
      </c>
      <c r="G147" s="142">
        <v>150</v>
      </c>
      <c r="H147" s="142">
        <v>5712</v>
      </c>
      <c r="I147" s="142">
        <v>21.3</v>
      </c>
      <c r="J147" s="142">
        <v>30</v>
      </c>
      <c r="K147" s="224" t="s">
        <v>1278</v>
      </c>
      <c r="L147" s="224">
        <v>30</v>
      </c>
      <c r="M147" s="224" t="s">
        <v>1278</v>
      </c>
      <c r="N147" s="224">
        <v>30</v>
      </c>
      <c r="O147" s="142" t="s">
        <v>1267</v>
      </c>
      <c r="P147" s="142">
        <v>190</v>
      </c>
      <c r="Q147" s="142" t="s">
        <v>1272</v>
      </c>
      <c r="R147" s="122">
        <v>340</v>
      </c>
      <c r="S147" s="144">
        <v>19.4208</v>
      </c>
      <c r="T147" s="144">
        <v>14.555</v>
      </c>
    </row>
    <row r="148" spans="1:20" ht="14.25">
      <c r="A148" s="86" t="s">
        <v>1425</v>
      </c>
      <c r="B148" s="142" t="s">
        <v>206</v>
      </c>
      <c r="C148" s="170" t="s">
        <v>197</v>
      </c>
      <c r="D148" s="118" t="s">
        <v>2</v>
      </c>
      <c r="E148" s="142">
        <v>190</v>
      </c>
      <c r="F148" s="119">
        <v>43</v>
      </c>
      <c r="G148" s="142">
        <v>150</v>
      </c>
      <c r="H148" s="142">
        <v>3840</v>
      </c>
      <c r="I148" s="142">
        <v>16.5</v>
      </c>
      <c r="J148" s="142">
        <v>75</v>
      </c>
      <c r="K148" s="224" t="s">
        <v>1284</v>
      </c>
      <c r="L148" s="224">
        <v>75</v>
      </c>
      <c r="M148" s="224" t="s">
        <v>1284</v>
      </c>
      <c r="N148" s="224">
        <v>20</v>
      </c>
      <c r="O148" s="142" t="s">
        <v>1300</v>
      </c>
      <c r="P148" s="142">
        <v>190</v>
      </c>
      <c r="Q148" s="142" t="s">
        <v>1295</v>
      </c>
      <c r="R148" s="122">
        <v>400</v>
      </c>
      <c r="S148" s="144">
        <v>32.64</v>
      </c>
      <c r="T148" s="144">
        <v>28.1875</v>
      </c>
    </row>
    <row r="149" spans="1:20" ht="14.25">
      <c r="A149" s="86" t="s">
        <v>1473</v>
      </c>
      <c r="B149" s="142" t="s">
        <v>206</v>
      </c>
      <c r="C149" s="170" t="s">
        <v>197</v>
      </c>
      <c r="D149" s="118" t="s">
        <v>2</v>
      </c>
      <c r="E149" s="142">
        <v>190</v>
      </c>
      <c r="F149" s="119">
        <v>46</v>
      </c>
      <c r="G149" s="142">
        <v>150</v>
      </c>
      <c r="H149" s="142">
        <v>4182</v>
      </c>
      <c r="I149" s="142">
        <v>18.5</v>
      </c>
      <c r="J149" s="142">
        <v>75</v>
      </c>
      <c r="K149" s="224" t="s">
        <v>1284</v>
      </c>
      <c r="L149" s="224">
        <v>75</v>
      </c>
      <c r="M149" s="224" t="s">
        <v>1284</v>
      </c>
      <c r="N149" s="224">
        <v>21.8</v>
      </c>
      <c r="O149" s="142" t="s">
        <v>1300</v>
      </c>
      <c r="P149" s="142">
        <v>190</v>
      </c>
      <c r="Q149" s="142" t="s">
        <v>1387</v>
      </c>
      <c r="R149" s="122">
        <v>380</v>
      </c>
      <c r="S149" s="144">
        <v>35.547000000000004</v>
      </c>
      <c r="T149" s="144">
        <v>31.604166666666668</v>
      </c>
    </row>
    <row r="150" spans="1:20" ht="14.25">
      <c r="A150" s="86" t="s">
        <v>1474</v>
      </c>
      <c r="B150" s="142" t="s">
        <v>212</v>
      </c>
      <c r="C150" s="170" t="s">
        <v>197</v>
      </c>
      <c r="D150" s="118" t="s">
        <v>2</v>
      </c>
      <c r="E150" s="142">
        <v>190</v>
      </c>
      <c r="F150" s="119">
        <v>60</v>
      </c>
      <c r="G150" s="142">
        <v>150</v>
      </c>
      <c r="H150" s="142">
        <v>3707</v>
      </c>
      <c r="I150" s="142">
        <v>10.5</v>
      </c>
      <c r="J150" s="142">
        <v>75</v>
      </c>
      <c r="K150" s="224" t="s">
        <v>1284</v>
      </c>
      <c r="L150" s="224">
        <v>200</v>
      </c>
      <c r="M150" s="224" t="s">
        <v>1329</v>
      </c>
      <c r="N150" s="224">
        <v>19.3</v>
      </c>
      <c r="O150" s="142" t="s">
        <v>1300</v>
      </c>
      <c r="P150" s="142">
        <v>190</v>
      </c>
      <c r="Q150" s="142" t="s">
        <v>1388</v>
      </c>
      <c r="R150" s="122">
        <v>700</v>
      </c>
      <c r="S150" s="144">
        <v>31.509499999999999</v>
      </c>
      <c r="T150" s="144">
        <v>47.833333333333336</v>
      </c>
    </row>
    <row r="151" spans="1:20" ht="14.25">
      <c r="A151" s="86" t="s">
        <v>1475</v>
      </c>
      <c r="B151" s="142" t="s">
        <v>209</v>
      </c>
      <c r="C151" s="170" t="s">
        <v>197</v>
      </c>
      <c r="D151" s="118" t="s">
        <v>2</v>
      </c>
      <c r="E151" s="142">
        <v>190</v>
      </c>
      <c r="F151" s="119">
        <v>67</v>
      </c>
      <c r="G151" s="142">
        <v>150</v>
      </c>
      <c r="H151" s="142">
        <v>3840</v>
      </c>
      <c r="I151" s="142">
        <v>9.4</v>
      </c>
      <c r="J151" s="142">
        <v>75</v>
      </c>
      <c r="K151" s="224" t="s">
        <v>1284</v>
      </c>
      <c r="L151" s="224">
        <v>300</v>
      </c>
      <c r="M151" s="224" t="s">
        <v>1342</v>
      </c>
      <c r="N151" s="224">
        <v>20</v>
      </c>
      <c r="O151" s="142" t="s">
        <v>1300</v>
      </c>
      <c r="P151" s="142">
        <v>190</v>
      </c>
      <c r="Q151" s="142" t="s">
        <v>1345</v>
      </c>
      <c r="R151" s="122">
        <v>780</v>
      </c>
      <c r="S151" s="144">
        <v>32.64</v>
      </c>
      <c r="T151" s="144">
        <v>64.233333333333334</v>
      </c>
    </row>
    <row r="152" spans="1:20" ht="14.25">
      <c r="A152" s="86" t="s">
        <v>1476</v>
      </c>
      <c r="B152" s="142" t="s">
        <v>209</v>
      </c>
      <c r="C152" s="170" t="s">
        <v>197</v>
      </c>
      <c r="D152" s="118" t="s">
        <v>2</v>
      </c>
      <c r="E152" s="142">
        <v>190</v>
      </c>
      <c r="F152" s="119">
        <v>78</v>
      </c>
      <c r="G152" s="142">
        <v>150</v>
      </c>
      <c r="H152" s="142">
        <v>4296</v>
      </c>
      <c r="I152" s="142">
        <v>10.5</v>
      </c>
      <c r="J152" s="142">
        <v>75</v>
      </c>
      <c r="K152" s="224" t="s">
        <v>1284</v>
      </c>
      <c r="L152" s="224">
        <v>300</v>
      </c>
      <c r="M152" s="224" t="s">
        <v>1342</v>
      </c>
      <c r="N152" s="224">
        <v>22.4</v>
      </c>
      <c r="O152" s="142" t="s">
        <v>1300</v>
      </c>
      <c r="P152" s="142">
        <v>190</v>
      </c>
      <c r="Q152" s="142" t="s">
        <v>1388</v>
      </c>
      <c r="R152" s="122">
        <v>700</v>
      </c>
      <c r="S152" s="144">
        <v>36.515999999999998</v>
      </c>
      <c r="T152" s="144">
        <v>71.75</v>
      </c>
    </row>
    <row r="153" spans="1:20" ht="14.25">
      <c r="A153" s="86" t="s">
        <v>1404</v>
      </c>
      <c r="B153" s="142" t="s">
        <v>1389</v>
      </c>
      <c r="C153" s="170" t="s">
        <v>197</v>
      </c>
      <c r="D153" s="118" t="s">
        <v>2</v>
      </c>
      <c r="E153" s="142">
        <v>190</v>
      </c>
      <c r="F153" s="119">
        <v>27</v>
      </c>
      <c r="G153" s="142">
        <v>150</v>
      </c>
      <c r="H153" s="142">
        <v>5712</v>
      </c>
      <c r="I153" s="142">
        <v>21.3</v>
      </c>
      <c r="J153" s="142">
        <v>30</v>
      </c>
      <c r="K153" s="224" t="s">
        <v>1278</v>
      </c>
      <c r="L153" s="224">
        <v>30</v>
      </c>
      <c r="M153" s="224" t="s">
        <v>1278</v>
      </c>
      <c r="N153" s="224">
        <v>30</v>
      </c>
      <c r="O153" s="142" t="s">
        <v>1267</v>
      </c>
      <c r="P153" s="142">
        <v>190</v>
      </c>
      <c r="Q153" s="142" t="s">
        <v>1272</v>
      </c>
      <c r="R153" s="122">
        <v>340</v>
      </c>
      <c r="S153" s="144">
        <v>19.4208</v>
      </c>
      <c r="T153" s="144">
        <v>14.555</v>
      </c>
    </row>
    <row r="154" spans="1:20" ht="14.25">
      <c r="A154" s="86" t="s">
        <v>1425</v>
      </c>
      <c r="B154" s="142" t="s">
        <v>1390</v>
      </c>
      <c r="C154" s="170" t="s">
        <v>197</v>
      </c>
      <c r="D154" s="118" t="s">
        <v>2</v>
      </c>
      <c r="E154" s="142">
        <v>190</v>
      </c>
      <c r="F154" s="119">
        <v>43</v>
      </c>
      <c r="G154" s="142">
        <v>150</v>
      </c>
      <c r="H154" s="142">
        <v>3840</v>
      </c>
      <c r="I154" s="142">
        <v>16.5</v>
      </c>
      <c r="J154" s="142">
        <v>75</v>
      </c>
      <c r="K154" s="224" t="s">
        <v>1284</v>
      </c>
      <c r="L154" s="224">
        <v>75</v>
      </c>
      <c r="M154" s="224" t="s">
        <v>1284</v>
      </c>
      <c r="N154" s="224">
        <v>20</v>
      </c>
      <c r="O154" s="142" t="s">
        <v>1300</v>
      </c>
      <c r="P154" s="142">
        <v>190</v>
      </c>
      <c r="Q154" s="142" t="s">
        <v>1295</v>
      </c>
      <c r="R154" s="122">
        <v>400</v>
      </c>
      <c r="S154" s="144">
        <v>32.64</v>
      </c>
      <c r="T154" s="144">
        <v>28.1875</v>
      </c>
    </row>
    <row r="155" spans="1:20" ht="14.25">
      <c r="A155" s="86" t="s">
        <v>1473</v>
      </c>
      <c r="B155" s="142" t="s">
        <v>1390</v>
      </c>
      <c r="C155" s="170" t="s">
        <v>197</v>
      </c>
      <c r="D155" s="118" t="s">
        <v>2</v>
      </c>
      <c r="E155" s="142">
        <v>190</v>
      </c>
      <c r="F155" s="119">
        <v>46</v>
      </c>
      <c r="G155" s="142">
        <v>150</v>
      </c>
      <c r="H155" s="142">
        <v>4182</v>
      </c>
      <c r="I155" s="142">
        <v>18.5</v>
      </c>
      <c r="J155" s="142">
        <v>75</v>
      </c>
      <c r="K155" s="224" t="s">
        <v>1284</v>
      </c>
      <c r="L155" s="224">
        <v>75</v>
      </c>
      <c r="M155" s="224" t="s">
        <v>1284</v>
      </c>
      <c r="N155" s="224">
        <v>21.8</v>
      </c>
      <c r="O155" s="142" t="s">
        <v>1300</v>
      </c>
      <c r="P155" s="142">
        <v>190</v>
      </c>
      <c r="Q155" s="142" t="s">
        <v>1387</v>
      </c>
      <c r="R155" s="122">
        <v>380</v>
      </c>
      <c r="S155" s="144">
        <v>35.547000000000004</v>
      </c>
      <c r="T155" s="144">
        <v>31.604166666666668</v>
      </c>
    </row>
    <row r="156" spans="1:20" ht="14.25">
      <c r="A156" s="86" t="s">
        <v>1474</v>
      </c>
      <c r="B156" s="142" t="s">
        <v>1391</v>
      </c>
      <c r="C156" s="170" t="s">
        <v>197</v>
      </c>
      <c r="D156" s="118" t="s">
        <v>2</v>
      </c>
      <c r="E156" s="142">
        <v>190</v>
      </c>
      <c r="F156" s="119">
        <v>60</v>
      </c>
      <c r="G156" s="142">
        <v>150</v>
      </c>
      <c r="H156" s="142">
        <v>3707</v>
      </c>
      <c r="I156" s="142">
        <v>10.5</v>
      </c>
      <c r="J156" s="142">
        <v>75</v>
      </c>
      <c r="K156" s="224" t="s">
        <v>1284</v>
      </c>
      <c r="L156" s="224">
        <v>200</v>
      </c>
      <c r="M156" s="224" t="s">
        <v>1329</v>
      </c>
      <c r="N156" s="224">
        <v>19.3</v>
      </c>
      <c r="O156" s="142" t="s">
        <v>1300</v>
      </c>
      <c r="P156" s="142">
        <v>190</v>
      </c>
      <c r="Q156" s="142" t="s">
        <v>1388</v>
      </c>
      <c r="R156" s="122">
        <v>700</v>
      </c>
      <c r="S156" s="144">
        <v>31.509499999999999</v>
      </c>
      <c r="T156" s="144">
        <v>47.833333333333336</v>
      </c>
    </row>
    <row r="157" spans="1:20" ht="14.25">
      <c r="A157" s="86" t="s">
        <v>1475</v>
      </c>
      <c r="B157" s="142" t="s">
        <v>1392</v>
      </c>
      <c r="C157" s="170" t="s">
        <v>197</v>
      </c>
      <c r="D157" s="118" t="s">
        <v>2</v>
      </c>
      <c r="E157" s="142">
        <v>190</v>
      </c>
      <c r="F157" s="119">
        <v>67</v>
      </c>
      <c r="G157" s="142">
        <v>150</v>
      </c>
      <c r="H157" s="142">
        <v>3840</v>
      </c>
      <c r="I157" s="142">
        <v>9.4</v>
      </c>
      <c r="J157" s="142">
        <v>75</v>
      </c>
      <c r="K157" s="224" t="s">
        <v>1284</v>
      </c>
      <c r="L157" s="224">
        <v>300</v>
      </c>
      <c r="M157" s="224" t="s">
        <v>1342</v>
      </c>
      <c r="N157" s="224">
        <v>20</v>
      </c>
      <c r="O157" s="142" t="s">
        <v>1300</v>
      </c>
      <c r="P157" s="142">
        <v>190</v>
      </c>
      <c r="Q157" s="142" t="s">
        <v>1345</v>
      </c>
      <c r="R157" s="122">
        <v>780</v>
      </c>
      <c r="S157" s="144">
        <v>32.64</v>
      </c>
      <c r="T157" s="144">
        <v>64.233333333333334</v>
      </c>
    </row>
    <row r="158" spans="1:20" ht="14.25">
      <c r="A158" s="86" t="s">
        <v>1476</v>
      </c>
      <c r="B158" s="142" t="s">
        <v>1392</v>
      </c>
      <c r="C158" s="170" t="s">
        <v>197</v>
      </c>
      <c r="D158" s="118" t="s">
        <v>2</v>
      </c>
      <c r="E158" s="142">
        <v>190</v>
      </c>
      <c r="F158" s="119">
        <v>78</v>
      </c>
      <c r="G158" s="142">
        <v>150</v>
      </c>
      <c r="H158" s="142">
        <v>4296</v>
      </c>
      <c r="I158" s="142">
        <v>10.5</v>
      </c>
      <c r="J158" s="142">
        <v>75</v>
      </c>
      <c r="K158" s="224" t="s">
        <v>1284</v>
      </c>
      <c r="L158" s="224">
        <v>300</v>
      </c>
      <c r="M158" s="224" t="s">
        <v>1342</v>
      </c>
      <c r="N158" s="224">
        <v>22.4</v>
      </c>
      <c r="O158" s="142" t="s">
        <v>1300</v>
      </c>
      <c r="P158" s="142">
        <v>190</v>
      </c>
      <c r="Q158" s="142" t="s">
        <v>1388</v>
      </c>
      <c r="R158" s="122">
        <v>700</v>
      </c>
      <c r="S158" s="144">
        <v>36.515999999999998</v>
      </c>
      <c r="T158" s="144">
        <v>71.75</v>
      </c>
    </row>
    <row r="159" spans="1:20" ht="14.25">
      <c r="A159" s="86" t="s">
        <v>1419</v>
      </c>
      <c r="B159" s="117" t="s">
        <v>1393</v>
      </c>
      <c r="C159" s="170" t="s">
        <v>197</v>
      </c>
      <c r="D159" s="117" t="s">
        <v>2</v>
      </c>
      <c r="E159" s="119">
        <v>190.5</v>
      </c>
      <c r="F159" s="119">
        <v>41</v>
      </c>
      <c r="G159" s="142">
        <v>150</v>
      </c>
      <c r="H159" s="142">
        <v>5298</v>
      </c>
      <c r="I159" s="142">
        <v>14.1</v>
      </c>
      <c r="J159" s="142">
        <v>50</v>
      </c>
      <c r="K159" s="224" t="s">
        <v>1305</v>
      </c>
      <c r="L159" s="224">
        <v>75</v>
      </c>
      <c r="M159" s="224" t="s">
        <v>1284</v>
      </c>
      <c r="N159" s="224">
        <v>27.5</v>
      </c>
      <c r="O159" s="142" t="s">
        <v>1313</v>
      </c>
      <c r="P159" s="119">
        <v>190.5</v>
      </c>
      <c r="Q159" s="117" t="s">
        <v>1314</v>
      </c>
      <c r="R159" s="140">
        <v>563</v>
      </c>
      <c r="S159" s="144">
        <v>30.022000000000002</v>
      </c>
      <c r="T159" s="144">
        <v>24.146249999999998</v>
      </c>
    </row>
    <row r="160" spans="1:20" ht="14.25">
      <c r="A160" s="86" t="s">
        <v>1478</v>
      </c>
      <c r="B160" s="142" t="s">
        <v>1393</v>
      </c>
      <c r="C160" s="170" t="s">
        <v>197</v>
      </c>
      <c r="D160" s="117" t="s">
        <v>2</v>
      </c>
      <c r="E160" s="141">
        <v>143</v>
      </c>
      <c r="F160" s="141">
        <v>41</v>
      </c>
      <c r="G160" s="141">
        <v>112</v>
      </c>
      <c r="H160" s="142">
        <v>3787</v>
      </c>
      <c r="I160" s="142">
        <v>14.5</v>
      </c>
      <c r="J160" s="142">
        <v>50</v>
      </c>
      <c r="K160" s="224" t="s">
        <v>1305</v>
      </c>
      <c r="L160" s="224">
        <v>75</v>
      </c>
      <c r="M160" s="224" t="s">
        <v>1284</v>
      </c>
      <c r="N160" s="224">
        <v>26.4</v>
      </c>
      <c r="O160" s="142" t="s">
        <v>1267</v>
      </c>
      <c r="P160" s="142">
        <v>143</v>
      </c>
      <c r="Q160" s="142" t="s">
        <v>1384</v>
      </c>
      <c r="R160" s="143">
        <v>547</v>
      </c>
      <c r="S160" s="144">
        <v>21.5</v>
      </c>
      <c r="T160" s="144">
        <v>19.100000000000001</v>
      </c>
    </row>
    <row r="161" spans="1:20" ht="14.25">
      <c r="A161" s="86" t="s">
        <v>1479</v>
      </c>
      <c r="B161" s="145" t="s">
        <v>1394</v>
      </c>
      <c r="C161" s="167">
        <v>1</v>
      </c>
      <c r="D161" s="136" t="s">
        <v>2</v>
      </c>
      <c r="E161" s="147">
        <v>143</v>
      </c>
      <c r="F161" s="147">
        <v>19</v>
      </c>
      <c r="G161" s="147">
        <v>112</v>
      </c>
      <c r="H161" s="145">
        <v>3960</v>
      </c>
      <c r="I161" s="145">
        <v>19.3</v>
      </c>
      <c r="J161" s="145">
        <v>30</v>
      </c>
      <c r="K161" s="230" t="s">
        <v>1278</v>
      </c>
      <c r="L161" s="230">
        <v>15</v>
      </c>
      <c r="M161" s="230" t="s">
        <v>1266</v>
      </c>
      <c r="N161" s="230">
        <v>27.6</v>
      </c>
      <c r="O161" s="145" t="s">
        <v>1267</v>
      </c>
      <c r="P161" s="145">
        <v>143</v>
      </c>
      <c r="Q161" s="145" t="s">
        <v>1290</v>
      </c>
      <c r="R161" s="148">
        <v>411</v>
      </c>
      <c r="S161" s="149">
        <v>13.5</v>
      </c>
      <c r="T161" s="149">
        <v>5.0999999999999996</v>
      </c>
    </row>
  </sheetData>
  <phoneticPr fontId="1" type="noConversion"/>
  <pageMargins left="0" right="0" top="0" bottom="0" header="0" footer="0"/>
  <pageSetup paperSize="9" scale="88" orientation="landscape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>
  <sheetPr codeName="Sheet18"/>
  <dimension ref="A1:C13"/>
  <sheetViews>
    <sheetView workbookViewId="0">
      <selection activeCell="B7" sqref="B7"/>
    </sheetView>
  </sheetViews>
  <sheetFormatPr defaultRowHeight="13.5"/>
  <cols>
    <col min="1" max="1" width="9" style="177"/>
    <col min="2" max="2" width="35.875" style="177" bestFit="1" customWidth="1"/>
    <col min="3" max="3" width="13" style="177" bestFit="1" customWidth="1"/>
    <col min="4" max="16384" width="9" style="177"/>
  </cols>
  <sheetData>
    <row r="1" spans="1:3">
      <c r="A1" s="177" t="s">
        <v>1627</v>
      </c>
      <c r="B1" s="177" t="s">
        <v>1628</v>
      </c>
      <c r="C1" s="177" t="s">
        <v>1629</v>
      </c>
    </row>
    <row r="2" spans="1:3">
      <c r="A2" s="177">
        <v>1</v>
      </c>
      <c r="B2" s="177" t="s">
        <v>1619</v>
      </c>
      <c r="C2" s="177" t="s">
        <v>1630</v>
      </c>
    </row>
    <row r="3" spans="1:3">
      <c r="A3" s="177">
        <v>2</v>
      </c>
      <c r="B3" s="177" t="s">
        <v>1631</v>
      </c>
      <c r="C3" s="177" t="s">
        <v>1632</v>
      </c>
    </row>
    <row r="4" spans="1:3">
      <c r="A4" s="177">
        <v>3</v>
      </c>
      <c r="B4" s="250" t="s">
        <v>2883</v>
      </c>
      <c r="C4" s="250" t="s">
        <v>1632</v>
      </c>
    </row>
    <row r="5" spans="1:3">
      <c r="A5" s="177">
        <v>4</v>
      </c>
      <c r="B5" s="250" t="s">
        <v>2995</v>
      </c>
      <c r="C5" s="250" t="s">
        <v>2996</v>
      </c>
    </row>
    <row r="6" spans="1:3">
      <c r="A6" s="177">
        <v>5</v>
      </c>
      <c r="B6" s="250" t="s">
        <v>2998</v>
      </c>
      <c r="C6" s="250" t="s">
        <v>2999</v>
      </c>
    </row>
    <row r="7" spans="1:3">
      <c r="A7" s="177">
        <v>6</v>
      </c>
    </row>
    <row r="8" spans="1:3">
      <c r="A8" s="177">
        <v>7</v>
      </c>
    </row>
    <row r="9" spans="1:3">
      <c r="A9" s="177">
        <v>8</v>
      </c>
    </row>
    <row r="10" spans="1:3">
      <c r="A10" s="177">
        <v>9</v>
      </c>
    </row>
    <row r="11" spans="1:3">
      <c r="A11" s="177">
        <v>10</v>
      </c>
    </row>
    <row r="12" spans="1:3">
      <c r="A12" s="177">
        <v>11</v>
      </c>
    </row>
    <row r="13" spans="1:3">
      <c r="A13" s="177">
        <v>12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sheetPr codeName="Sheet19"/>
  <dimension ref="A1:O32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6" sqref="J6:O7"/>
    </sheetView>
  </sheetViews>
  <sheetFormatPr defaultRowHeight="13.5"/>
  <cols>
    <col min="1" max="1" width="19.25" style="28" customWidth="1"/>
    <col min="2" max="2" width="13.875" style="114" customWidth="1"/>
    <col min="3" max="3" width="9.5" style="28" bestFit="1" customWidth="1"/>
    <col min="4" max="4" width="9" style="114"/>
    <col min="5" max="7" width="9" style="28"/>
    <col min="8" max="8" width="9" style="28" customWidth="1"/>
    <col min="9" max="11" width="9" style="28"/>
    <col min="12" max="12" width="9" style="28" customWidth="1"/>
    <col min="13" max="13" width="10.5" style="28" bestFit="1" customWidth="1"/>
    <col min="14" max="14" width="12.75" style="28" bestFit="1" customWidth="1"/>
    <col min="15" max="16384" width="9" style="28"/>
  </cols>
  <sheetData>
    <row r="1" spans="1:15" ht="17.25" customHeight="1">
      <c r="B1" s="114" t="s">
        <v>1677</v>
      </c>
      <c r="C1" s="142" t="s">
        <v>1250</v>
      </c>
      <c r="D1" s="259" t="s">
        <v>268</v>
      </c>
      <c r="E1" s="142" t="s">
        <v>124</v>
      </c>
      <c r="F1" s="141" t="s">
        <v>1251</v>
      </c>
      <c r="G1" s="141" t="s">
        <v>1796</v>
      </c>
      <c r="H1" s="141" t="s">
        <v>1253</v>
      </c>
      <c r="I1" s="142" t="s">
        <v>1254</v>
      </c>
      <c r="J1" s="142" t="s">
        <v>1255</v>
      </c>
      <c r="K1" s="142" t="s">
        <v>1261</v>
      </c>
      <c r="L1" s="143" t="s">
        <v>1059</v>
      </c>
      <c r="M1" s="144" t="s">
        <v>1681</v>
      </c>
      <c r="N1" s="144" t="s">
        <v>1206</v>
      </c>
      <c r="O1" s="194" t="s">
        <v>1687</v>
      </c>
    </row>
    <row r="2" spans="1:15" ht="15.95" customHeight="1">
      <c r="A2" s="28" t="str">
        <f>B2&amp;E2&amp;D2</f>
        <v>10010018854白1/1</v>
      </c>
      <c r="B2" s="114" t="s">
        <v>1116</v>
      </c>
      <c r="C2" s="194" t="s">
        <v>1733</v>
      </c>
      <c r="D2" s="92" t="s">
        <v>1679</v>
      </c>
      <c r="E2" s="194" t="s">
        <v>1675</v>
      </c>
      <c r="F2" s="194" t="str">
        <f t="shared" ref="F2:F75" si="0">IF(B2="","",MID(B2,LEN(C2),LEN(B2)-LEN(C2)-LEN(G2)+1))</f>
        <v>188</v>
      </c>
      <c r="G2" s="194">
        <v>54</v>
      </c>
      <c r="H2" s="194"/>
      <c r="I2" s="194">
        <v>3750</v>
      </c>
      <c r="J2" s="194">
        <f t="shared" ref="J2:J40" si="1">IF(B2="","",IF(D2&lt;&gt;"1/1",RIGHT(K2,2)/2.54/2,RIGHT(K2,2)/2.54))</f>
        <v>25.590551181102363</v>
      </c>
      <c r="K2" s="194" t="s">
        <v>2267</v>
      </c>
      <c r="L2" s="194"/>
      <c r="M2" s="194">
        <f t="shared" ref="M2:M40" si="2">IF(B2="","",LEFT(C2,FIND("*",C2)-1)/9000*I2/1000*1.02)</f>
        <v>4.2500000000000003E-2</v>
      </c>
      <c r="N2" s="194">
        <f t="shared" ref="N2:N40" si="3">IF(B2="","",RIGHT(C2,LEN(C2)-FIND("*",C2))/9000*(F2+15)*J2/1000)</f>
        <v>5.7720909886264216E-2</v>
      </c>
      <c r="O2" s="194"/>
    </row>
    <row r="3" spans="1:15" ht="15.95" customHeight="1">
      <c r="A3" s="28" t="str">
        <f>B3&amp;E3&amp;D3</f>
        <v>10020018878白3/1</v>
      </c>
      <c r="B3" s="114" t="s">
        <v>1788</v>
      </c>
      <c r="C3" s="194" t="s">
        <v>1789</v>
      </c>
      <c r="D3" s="92" t="s">
        <v>2445</v>
      </c>
      <c r="E3" s="194" t="s">
        <v>1675</v>
      </c>
      <c r="F3" s="194" t="str">
        <f t="shared" si="0"/>
        <v>188</v>
      </c>
      <c r="G3" s="194">
        <v>78</v>
      </c>
      <c r="H3" s="194"/>
      <c r="I3" s="194">
        <v>3750</v>
      </c>
      <c r="J3" s="194">
        <f t="shared" si="1"/>
        <v>13.58267716535433</v>
      </c>
      <c r="K3" s="194" t="s">
        <v>2265</v>
      </c>
      <c r="L3" s="194"/>
      <c r="M3" s="194">
        <f t="shared" si="2"/>
        <v>4.2500000000000003E-2</v>
      </c>
      <c r="N3" s="194">
        <f t="shared" si="3"/>
        <v>6.127296587926509E-2</v>
      </c>
      <c r="O3" s="194"/>
    </row>
    <row r="4" spans="1:15" ht="15.95" customHeight="1">
      <c r="A4" s="28" t="str">
        <f>B4&amp;E4&amp;D4</f>
        <v>10020018878黑3/1</v>
      </c>
      <c r="B4" s="114" t="s">
        <v>1788</v>
      </c>
      <c r="C4" s="194" t="s">
        <v>1789</v>
      </c>
      <c r="D4" s="92" t="s">
        <v>2445</v>
      </c>
      <c r="E4" s="194" t="s">
        <v>1727</v>
      </c>
      <c r="F4" s="194" t="str">
        <f t="shared" si="0"/>
        <v>188</v>
      </c>
      <c r="G4" s="194">
        <v>78</v>
      </c>
      <c r="H4" s="194"/>
      <c r="I4" s="194">
        <v>3750</v>
      </c>
      <c r="J4" s="194">
        <f t="shared" si="1"/>
        <v>13.58267716535433</v>
      </c>
      <c r="K4" s="194" t="s">
        <v>2265</v>
      </c>
      <c r="L4" s="194"/>
      <c r="M4" s="194">
        <f t="shared" si="2"/>
        <v>4.2500000000000003E-2</v>
      </c>
      <c r="N4" s="194">
        <f t="shared" si="3"/>
        <v>6.127296587926509E-2</v>
      </c>
      <c r="O4" s="194"/>
    </row>
    <row r="5" spans="1:15" ht="15.95" customHeight="1">
      <c r="A5" s="28" t="str">
        <f>B5&amp;E5&amp;D5</f>
        <v>10020018886白3/1</v>
      </c>
      <c r="B5" s="114" t="s">
        <v>1806</v>
      </c>
      <c r="C5" s="194" t="s">
        <v>1789</v>
      </c>
      <c r="D5" s="92" t="s">
        <v>2445</v>
      </c>
      <c r="E5" s="194" t="s">
        <v>1675</v>
      </c>
      <c r="F5" s="194" t="str">
        <f t="shared" si="0"/>
        <v>188</v>
      </c>
      <c r="G5" s="194">
        <v>86</v>
      </c>
      <c r="H5" s="194"/>
      <c r="I5" s="194">
        <v>3750</v>
      </c>
      <c r="J5" s="194">
        <f t="shared" si="1"/>
        <v>11.023622047244094</v>
      </c>
      <c r="K5" s="194" t="s">
        <v>2266</v>
      </c>
      <c r="L5" s="194"/>
      <c r="M5" s="194">
        <f t="shared" si="2"/>
        <v>4.2500000000000003E-2</v>
      </c>
      <c r="N5" s="194">
        <f t="shared" si="3"/>
        <v>4.9728783902012248E-2</v>
      </c>
      <c r="O5" s="194"/>
    </row>
    <row r="6" spans="1:15" ht="15.95" customHeight="1">
      <c r="A6" s="28" t="str">
        <f>B6&amp;E6&amp;D6</f>
        <v>10020018886黑3/1</v>
      </c>
      <c r="B6" s="114" t="s">
        <v>1806</v>
      </c>
      <c r="C6" s="194" t="s">
        <v>1789</v>
      </c>
      <c r="D6" s="92" t="s">
        <v>2445</v>
      </c>
      <c r="E6" s="194" t="s">
        <v>1727</v>
      </c>
      <c r="F6" s="194" t="str">
        <f t="shared" si="0"/>
        <v>188</v>
      </c>
      <c r="G6" s="194">
        <v>86</v>
      </c>
      <c r="H6" s="194"/>
      <c r="I6" s="194">
        <v>3750</v>
      </c>
      <c r="J6" s="194">
        <f t="shared" si="1"/>
        <v>11.023622047244094</v>
      </c>
      <c r="K6" s="194" t="s">
        <v>2266</v>
      </c>
      <c r="L6" s="194"/>
      <c r="M6" s="194">
        <f t="shared" si="2"/>
        <v>4.2500000000000003E-2</v>
      </c>
      <c r="N6" s="194">
        <f t="shared" si="3"/>
        <v>4.9728783902012248E-2</v>
      </c>
      <c r="O6" s="194"/>
    </row>
    <row r="7" spans="1:15" ht="15.95" customHeight="1">
      <c r="A7" s="28" t="str">
        <f>B7&amp;E7&amp;D7</f>
        <v>10030018882白3/1</v>
      </c>
      <c r="B7" s="114" t="s">
        <v>3140</v>
      </c>
      <c r="C7" s="246" t="s">
        <v>1734</v>
      </c>
      <c r="D7" s="92" t="s">
        <v>2444</v>
      </c>
      <c r="E7" s="246" t="s">
        <v>2551</v>
      </c>
      <c r="F7" s="246" t="str">
        <f t="shared" si="0"/>
        <v>188</v>
      </c>
      <c r="G7" s="246">
        <v>82</v>
      </c>
      <c r="H7" s="246"/>
      <c r="I7" s="246">
        <v>3750</v>
      </c>
      <c r="J7" s="246">
        <f t="shared" ref="J7" si="4">IF(B7="","",IF(D7&lt;&gt;"1/1",RIGHT(K7,2)/2.54/2,RIGHT(K7,2)/2.54))</f>
        <v>11.023622047244094</v>
      </c>
      <c r="K7" s="246" t="s">
        <v>1728</v>
      </c>
      <c r="L7" s="246"/>
      <c r="M7" s="246">
        <f t="shared" ref="M7" si="5">IF(B7="","",LEFT(C7,FIND("*",C7)-1)/9000*I7/1000*1.02)</f>
        <v>4.2500000000000003E-2</v>
      </c>
      <c r="N7" s="246">
        <f t="shared" ref="N7" si="6">IF(B7="","",RIGHT(C7,LEN(C7)-FIND("*",C7))/9000*(F7+15)*J7/1000)</f>
        <v>7.4593175853018362E-2</v>
      </c>
      <c r="O7" s="246"/>
    </row>
    <row r="8" spans="1:15" ht="15.95" customHeight="1">
      <c r="A8" s="28" t="str">
        <f t="shared" ref="A8:A9" si="7">B8&amp;E8&amp;D8</f>
        <v>10030018882黑3/1</v>
      </c>
      <c r="B8" s="114" t="s">
        <v>3140</v>
      </c>
      <c r="C8" s="246" t="s">
        <v>1734</v>
      </c>
      <c r="D8" s="92" t="s">
        <v>2444</v>
      </c>
      <c r="E8" s="246" t="s">
        <v>1727</v>
      </c>
      <c r="F8" s="246" t="str">
        <f t="shared" si="0"/>
        <v>188</v>
      </c>
      <c r="G8" s="246">
        <v>82</v>
      </c>
      <c r="H8" s="246"/>
      <c r="I8" s="246">
        <v>3750</v>
      </c>
      <c r="J8" s="246">
        <f t="shared" ref="J8" si="8">IF(B8="","",IF(D8&lt;&gt;"1/1",RIGHT(K8,2)/2.54/2,RIGHT(K8,2)/2.54))</f>
        <v>11.023622047244094</v>
      </c>
      <c r="K8" s="246" t="s">
        <v>1728</v>
      </c>
      <c r="L8" s="246"/>
      <c r="M8" s="246">
        <f t="shared" ref="M8" si="9">IF(B8="","",LEFT(C8,FIND("*",C8)-1)/9000*I8/1000*1.02)</f>
        <v>4.2500000000000003E-2</v>
      </c>
      <c r="N8" s="246">
        <f t="shared" ref="N8" si="10">IF(B8="","",RIGHT(C8,LEN(C8)-FIND("*",C8))/9000*(F8+15)*J8/1000)</f>
        <v>7.4593175853018362E-2</v>
      </c>
      <c r="O8" s="246"/>
    </row>
    <row r="9" spans="1:15" ht="15.95" customHeight="1">
      <c r="A9" s="28" t="str">
        <f t="shared" si="7"/>
        <v>10030018896白3/1</v>
      </c>
      <c r="B9" s="114" t="s">
        <v>1099</v>
      </c>
      <c r="C9" s="194" t="s">
        <v>1734</v>
      </c>
      <c r="D9" s="92" t="s">
        <v>2445</v>
      </c>
      <c r="E9" s="194" t="s">
        <v>1675</v>
      </c>
      <c r="F9" s="246" t="str">
        <f t="shared" si="0"/>
        <v>188</v>
      </c>
      <c r="G9" s="194">
        <v>96</v>
      </c>
      <c r="H9" s="194"/>
      <c r="I9" s="194">
        <v>3750</v>
      </c>
      <c r="J9" s="194">
        <f t="shared" si="1"/>
        <v>13.385826771653543</v>
      </c>
      <c r="K9" s="194" t="s">
        <v>1735</v>
      </c>
      <c r="L9" s="194"/>
      <c r="M9" s="194">
        <f t="shared" si="2"/>
        <v>4.2500000000000003E-2</v>
      </c>
      <c r="N9" s="194">
        <f t="shared" si="3"/>
        <v>9.0577427821522311E-2</v>
      </c>
      <c r="O9" s="194"/>
    </row>
    <row r="10" spans="1:15" ht="15.95" customHeight="1">
      <c r="A10" s="28" t="str">
        <f t="shared" ref="A10" si="11">B10&amp;E10&amp;D10</f>
        <v>10030018896黑3/1</v>
      </c>
      <c r="B10" s="114" t="s">
        <v>1099</v>
      </c>
      <c r="C10" s="194" t="s">
        <v>1734</v>
      </c>
      <c r="D10" s="92" t="s">
        <v>2445</v>
      </c>
      <c r="E10" s="194" t="s">
        <v>1727</v>
      </c>
      <c r="F10" s="246" t="str">
        <f t="shared" si="0"/>
        <v>188</v>
      </c>
      <c r="G10" s="194">
        <v>96</v>
      </c>
      <c r="H10" s="194"/>
      <c r="I10" s="194">
        <v>3750</v>
      </c>
      <c r="J10" s="194">
        <f t="shared" ref="J10" si="12">IF(B10="","",IF(D10&lt;&gt;"1/1",RIGHT(K10,2)/2.54/2,RIGHT(K10,2)/2.54))</f>
        <v>13.385826771653543</v>
      </c>
      <c r="K10" s="194" t="s">
        <v>1735</v>
      </c>
      <c r="L10" s="194"/>
      <c r="M10" s="194">
        <f t="shared" ref="M10" si="13">IF(B10="","",LEFT(C10,FIND("*",C10)-1)/9000*I10/1000*1.02)</f>
        <v>4.2500000000000003E-2</v>
      </c>
      <c r="N10" s="194">
        <f t="shared" ref="N10" si="14">IF(B10="","",RIGHT(C10,LEN(C10)-FIND("*",C10))/9000*(F10+15)*J10/1000)</f>
        <v>9.0577427821522311E-2</v>
      </c>
      <c r="O10" s="194"/>
    </row>
    <row r="11" spans="1:15" ht="15.95" customHeight="1">
      <c r="A11" s="28" t="str">
        <f t="shared" ref="A9:A79" si="15">B11&amp;E11&amp;D11</f>
        <v>10030018886白3/1</v>
      </c>
      <c r="B11" s="114" t="s">
        <v>1791</v>
      </c>
      <c r="C11" s="194" t="s">
        <v>1734</v>
      </c>
      <c r="D11" s="92" t="s">
        <v>2445</v>
      </c>
      <c r="E11" s="194" t="s">
        <v>1675</v>
      </c>
      <c r="F11" s="246" t="str">
        <f t="shared" si="0"/>
        <v>188</v>
      </c>
      <c r="G11" s="194">
        <v>86</v>
      </c>
      <c r="H11" s="194"/>
      <c r="I11" s="194">
        <v>3750</v>
      </c>
      <c r="J11" s="194">
        <f t="shared" si="1"/>
        <v>10.826771653543307</v>
      </c>
      <c r="K11" s="194" t="s">
        <v>1793</v>
      </c>
      <c r="L11" s="194"/>
      <c r="M11" s="194">
        <f t="shared" si="2"/>
        <v>4.2500000000000003E-2</v>
      </c>
      <c r="N11" s="194">
        <f t="shared" si="3"/>
        <v>7.3261154855643038E-2</v>
      </c>
      <c r="O11" s="194"/>
    </row>
    <row r="12" spans="1:15" ht="15.95" customHeight="1">
      <c r="A12" s="28" t="str">
        <f t="shared" si="15"/>
        <v>10030018886黑3/1</v>
      </c>
      <c r="B12" s="114" t="s">
        <v>1791</v>
      </c>
      <c r="C12" s="194" t="s">
        <v>1734</v>
      </c>
      <c r="D12" s="92" t="s">
        <v>2445</v>
      </c>
      <c r="E12" s="194" t="s">
        <v>1727</v>
      </c>
      <c r="F12" s="246" t="str">
        <f t="shared" si="0"/>
        <v>188</v>
      </c>
      <c r="G12" s="194">
        <v>96</v>
      </c>
      <c r="H12" s="194"/>
      <c r="I12" s="194">
        <v>3750</v>
      </c>
      <c r="J12" s="194">
        <f t="shared" si="1"/>
        <v>10.826771653543307</v>
      </c>
      <c r="K12" s="194" t="s">
        <v>1793</v>
      </c>
      <c r="L12" s="194"/>
      <c r="M12" s="194">
        <f t="shared" si="2"/>
        <v>4.2500000000000003E-2</v>
      </c>
      <c r="N12" s="194">
        <f t="shared" si="3"/>
        <v>7.3261154855643038E-2</v>
      </c>
      <c r="O12" s="194"/>
    </row>
    <row r="13" spans="1:15" s="173" customFormat="1" ht="15.95" customHeight="1">
      <c r="A13" s="173" t="str">
        <f t="shared" si="15"/>
        <v>10030018096白3/1</v>
      </c>
      <c r="B13" s="257" t="s">
        <v>1808</v>
      </c>
      <c r="C13" s="19" t="s">
        <v>1734</v>
      </c>
      <c r="D13" s="92" t="s">
        <v>2445</v>
      </c>
      <c r="E13" s="19" t="s">
        <v>1675</v>
      </c>
      <c r="F13" s="19" t="str">
        <f t="shared" si="0"/>
        <v>180</v>
      </c>
      <c r="G13" s="19">
        <v>96</v>
      </c>
      <c r="H13" s="19"/>
      <c r="I13" s="19"/>
      <c r="J13" s="19" t="e">
        <f t="shared" si="1"/>
        <v>#VALUE!</v>
      </c>
      <c r="K13" s="19"/>
      <c r="L13" s="19"/>
      <c r="M13" s="19">
        <f t="shared" si="2"/>
        <v>0</v>
      </c>
      <c r="N13" s="19" t="e">
        <f t="shared" si="3"/>
        <v>#VALUE!</v>
      </c>
      <c r="O13" s="19"/>
    </row>
    <row r="14" spans="1:15" s="173" customFormat="1" ht="15.95" customHeight="1">
      <c r="A14" s="173" t="str">
        <f t="shared" si="15"/>
        <v>10030018096黑3/1</v>
      </c>
      <c r="B14" s="257" t="s">
        <v>1808</v>
      </c>
      <c r="C14" s="19" t="s">
        <v>1734</v>
      </c>
      <c r="D14" s="92" t="s">
        <v>2445</v>
      </c>
      <c r="E14" s="19" t="s">
        <v>1727</v>
      </c>
      <c r="F14" s="19" t="str">
        <f t="shared" si="0"/>
        <v>180</v>
      </c>
      <c r="G14" s="19">
        <v>96</v>
      </c>
      <c r="H14" s="19"/>
      <c r="I14" s="19"/>
      <c r="J14" s="19" t="e">
        <f t="shared" si="1"/>
        <v>#VALUE!</v>
      </c>
      <c r="K14" s="19"/>
      <c r="L14" s="19"/>
      <c r="M14" s="19">
        <f t="shared" si="2"/>
        <v>0</v>
      </c>
      <c r="N14" s="19" t="e">
        <f t="shared" si="3"/>
        <v>#VALUE!</v>
      </c>
      <c r="O14" s="19"/>
    </row>
    <row r="15" spans="1:15" ht="15.95" customHeight="1">
      <c r="A15" s="28" t="str">
        <f t="shared" si="15"/>
        <v>151519713白1/1</v>
      </c>
      <c r="B15" s="114" t="s">
        <v>1694</v>
      </c>
      <c r="C15" s="194" t="s">
        <v>1678</v>
      </c>
      <c r="D15" s="92" t="s">
        <v>1679</v>
      </c>
      <c r="E15" s="194" t="s">
        <v>1675</v>
      </c>
      <c r="F15" s="194" t="str">
        <f t="shared" si="0"/>
        <v>197</v>
      </c>
      <c r="G15" s="194">
        <v>13</v>
      </c>
      <c r="H15" s="194"/>
      <c r="I15" s="194">
        <v>5926</v>
      </c>
      <c r="J15" s="194">
        <f t="shared" si="1"/>
        <v>19.685039370078741</v>
      </c>
      <c r="K15" s="194" t="s">
        <v>1684</v>
      </c>
      <c r="L15" s="194"/>
      <c r="M15" s="194">
        <f t="shared" si="2"/>
        <v>1.00742E-2</v>
      </c>
      <c r="N15" s="194">
        <f t="shared" si="3"/>
        <v>6.9553805774278223E-3</v>
      </c>
      <c r="O15" s="194"/>
    </row>
    <row r="16" spans="1:15" ht="15.95" customHeight="1">
      <c r="A16" s="28" t="str">
        <f t="shared" si="15"/>
        <v>151514613白1/1</v>
      </c>
      <c r="B16" s="114" t="s">
        <v>2502</v>
      </c>
      <c r="C16" s="194" t="s">
        <v>2503</v>
      </c>
      <c r="D16" s="92" t="s">
        <v>2504</v>
      </c>
      <c r="E16" s="194" t="s">
        <v>2328</v>
      </c>
      <c r="F16" s="194">
        <v>146</v>
      </c>
      <c r="G16" s="194">
        <v>13</v>
      </c>
      <c r="H16" s="194"/>
      <c r="I16" s="194">
        <v>4540</v>
      </c>
      <c r="J16" s="194">
        <f t="shared" si="1"/>
        <v>19.685039370078741</v>
      </c>
      <c r="K16" s="194" t="s">
        <v>1684</v>
      </c>
      <c r="L16" s="194"/>
      <c r="M16" s="194">
        <f t="shared" si="2"/>
        <v>7.7180000000000009E-3</v>
      </c>
      <c r="N16" s="194">
        <f t="shared" si="3"/>
        <v>5.2821522309711294E-3</v>
      </c>
      <c r="O16" s="194"/>
    </row>
    <row r="17" spans="1:15" s="173" customFormat="1" ht="15.95" customHeight="1">
      <c r="A17" s="173" t="str">
        <f t="shared" si="15"/>
        <v>15030018096白3/1</v>
      </c>
      <c r="B17" s="257" t="s">
        <v>1794</v>
      </c>
      <c r="C17" s="19" t="s">
        <v>1795</v>
      </c>
      <c r="D17" s="92" t="s">
        <v>2445</v>
      </c>
      <c r="E17" s="19" t="s">
        <v>1675</v>
      </c>
      <c r="F17" s="19" t="str">
        <f t="shared" si="0"/>
        <v>180</v>
      </c>
      <c r="G17" s="19">
        <v>96</v>
      </c>
      <c r="H17" s="19"/>
      <c r="I17" s="19"/>
      <c r="J17" s="19" t="e">
        <f t="shared" si="1"/>
        <v>#VALUE!</v>
      </c>
      <c r="K17" s="19"/>
      <c r="L17" s="19"/>
      <c r="M17" s="19">
        <f t="shared" si="2"/>
        <v>0</v>
      </c>
      <c r="N17" s="19" t="e">
        <f t="shared" si="3"/>
        <v>#VALUE!</v>
      </c>
      <c r="O17" s="19"/>
    </row>
    <row r="18" spans="1:15" s="173" customFormat="1" ht="15.95" customHeight="1">
      <c r="A18" s="173" t="str">
        <f t="shared" si="15"/>
        <v>15030018096黑3/1</v>
      </c>
      <c r="B18" s="257" t="s">
        <v>1794</v>
      </c>
      <c r="C18" s="19" t="s">
        <v>1795</v>
      </c>
      <c r="D18" s="92" t="s">
        <v>2445</v>
      </c>
      <c r="E18" s="19" t="s">
        <v>1727</v>
      </c>
      <c r="F18" s="19" t="str">
        <f t="shared" si="0"/>
        <v>180</v>
      </c>
      <c r="G18" s="19">
        <v>96</v>
      </c>
      <c r="H18" s="19"/>
      <c r="I18" s="19"/>
      <c r="J18" s="19" t="e">
        <f t="shared" si="1"/>
        <v>#VALUE!</v>
      </c>
      <c r="K18" s="19"/>
      <c r="L18" s="19"/>
      <c r="M18" s="19">
        <f t="shared" si="2"/>
        <v>0</v>
      </c>
      <c r="N18" s="19" t="e">
        <f t="shared" si="3"/>
        <v>#VALUE!</v>
      </c>
      <c r="O18" s="19"/>
    </row>
    <row r="19" spans="1:15" s="173" customFormat="1" ht="15.95" customHeight="1">
      <c r="A19" s="173" t="str">
        <f t="shared" si="15"/>
        <v>150300180106白3/1</v>
      </c>
      <c r="B19" s="257" t="s">
        <v>1798</v>
      </c>
      <c r="C19" s="19" t="s">
        <v>1795</v>
      </c>
      <c r="D19" s="92" t="s">
        <v>2445</v>
      </c>
      <c r="E19" s="19" t="s">
        <v>1675</v>
      </c>
      <c r="F19" s="19" t="str">
        <f t="shared" si="0"/>
        <v>180</v>
      </c>
      <c r="G19" s="19">
        <v>106</v>
      </c>
      <c r="H19" s="19"/>
      <c r="I19" s="19"/>
      <c r="J19" s="19" t="e">
        <f t="shared" si="1"/>
        <v>#VALUE!</v>
      </c>
      <c r="K19" s="19"/>
      <c r="L19" s="19"/>
      <c r="M19" s="19">
        <f t="shared" si="2"/>
        <v>0</v>
      </c>
      <c r="N19" s="19" t="e">
        <f t="shared" si="3"/>
        <v>#VALUE!</v>
      </c>
      <c r="O19" s="19"/>
    </row>
    <row r="20" spans="1:15" s="173" customFormat="1" ht="15.95" customHeight="1">
      <c r="A20" s="173" t="str">
        <f t="shared" si="15"/>
        <v>150300180106黑3/1</v>
      </c>
      <c r="B20" s="257" t="s">
        <v>1798</v>
      </c>
      <c r="C20" s="19" t="s">
        <v>1795</v>
      </c>
      <c r="D20" s="92" t="s">
        <v>2445</v>
      </c>
      <c r="E20" s="19" t="s">
        <v>1727</v>
      </c>
      <c r="F20" s="19" t="str">
        <f t="shared" si="0"/>
        <v>180</v>
      </c>
      <c r="G20" s="19">
        <v>106</v>
      </c>
      <c r="H20" s="19"/>
      <c r="I20" s="19"/>
      <c r="J20" s="19" t="e">
        <f t="shared" si="1"/>
        <v>#VALUE!</v>
      </c>
      <c r="K20" s="19"/>
      <c r="L20" s="19"/>
      <c r="M20" s="19">
        <f t="shared" si="2"/>
        <v>0</v>
      </c>
      <c r="N20" s="19" t="e">
        <f t="shared" si="3"/>
        <v>#VALUE!</v>
      </c>
      <c r="O20" s="19"/>
    </row>
    <row r="21" spans="1:15" ht="15.95" customHeight="1">
      <c r="A21" s="28" t="str">
        <f t="shared" si="15"/>
        <v>202019717白1/1</v>
      </c>
      <c r="B21" s="114" t="s">
        <v>1696</v>
      </c>
      <c r="C21" s="194" t="s">
        <v>1682</v>
      </c>
      <c r="D21" s="92" t="s">
        <v>1679</v>
      </c>
      <c r="E21" s="194" t="s">
        <v>1675</v>
      </c>
      <c r="F21" s="194" t="str">
        <f t="shared" si="0"/>
        <v>197</v>
      </c>
      <c r="G21" s="194">
        <v>17</v>
      </c>
      <c r="H21" s="194"/>
      <c r="I21" s="194">
        <v>5926</v>
      </c>
      <c r="J21" s="194">
        <f t="shared" si="1"/>
        <v>20.866141732283463</v>
      </c>
      <c r="K21" s="194" t="s">
        <v>1680</v>
      </c>
      <c r="L21" s="194"/>
      <c r="M21" s="194">
        <f t="shared" si="2"/>
        <v>1.3432266666666666E-2</v>
      </c>
      <c r="N21" s="194">
        <f t="shared" si="3"/>
        <v>9.8302712160979865E-3</v>
      </c>
      <c r="O21" s="194"/>
    </row>
    <row r="22" spans="1:15" ht="15.95" customHeight="1">
      <c r="A22" s="28" t="str">
        <f t="shared" si="15"/>
        <v>202019717黑1/1</v>
      </c>
      <c r="B22" s="114" t="s">
        <v>1696</v>
      </c>
      <c r="C22" s="194" t="s">
        <v>1682</v>
      </c>
      <c r="D22" s="92" t="s">
        <v>1679</v>
      </c>
      <c r="E22" s="194" t="s">
        <v>1727</v>
      </c>
      <c r="F22" s="194" t="str">
        <f t="shared" si="0"/>
        <v>197</v>
      </c>
      <c r="G22" s="194">
        <v>17</v>
      </c>
      <c r="H22" s="194"/>
      <c r="I22" s="194">
        <v>5926</v>
      </c>
      <c r="J22" s="194">
        <f t="shared" si="1"/>
        <v>20.866141732283463</v>
      </c>
      <c r="K22" s="194" t="s">
        <v>1680</v>
      </c>
      <c r="L22" s="194"/>
      <c r="M22" s="194">
        <f t="shared" si="2"/>
        <v>1.3432266666666666E-2</v>
      </c>
      <c r="N22" s="194">
        <f t="shared" si="3"/>
        <v>9.8302712160979865E-3</v>
      </c>
      <c r="O22" s="194"/>
    </row>
    <row r="23" spans="1:15" ht="15.95" customHeight="1">
      <c r="A23" s="28" t="str">
        <f t="shared" si="15"/>
        <v>202014617白1/1</v>
      </c>
      <c r="B23" s="114" t="s">
        <v>1698</v>
      </c>
      <c r="C23" s="194" t="s">
        <v>1682</v>
      </c>
      <c r="D23" s="92" t="s">
        <v>1679</v>
      </c>
      <c r="E23" s="194" t="s">
        <v>1675</v>
      </c>
      <c r="F23" s="194" t="str">
        <f t="shared" si="0"/>
        <v>146</v>
      </c>
      <c r="G23" s="194">
        <v>17</v>
      </c>
      <c r="H23" s="194"/>
      <c r="I23" s="194">
        <v>4540</v>
      </c>
      <c r="J23" s="194">
        <f t="shared" si="1"/>
        <v>20.866141732283463</v>
      </c>
      <c r="K23" s="194" t="s">
        <v>1680</v>
      </c>
      <c r="L23" s="194"/>
      <c r="M23" s="194">
        <f t="shared" si="2"/>
        <v>1.0290666666666667E-2</v>
      </c>
      <c r="N23" s="194">
        <f t="shared" si="3"/>
        <v>7.4654418197725274E-3</v>
      </c>
      <c r="O23" s="194"/>
    </row>
    <row r="24" spans="1:15" ht="15.95" customHeight="1">
      <c r="A24" s="28" t="str">
        <f t="shared" si="15"/>
        <v>200300180135白3/1</v>
      </c>
      <c r="B24" s="114" t="s">
        <v>1107</v>
      </c>
      <c r="C24" s="194" t="s">
        <v>1736</v>
      </c>
      <c r="D24" s="92" t="s">
        <v>2445</v>
      </c>
      <c r="E24" s="194" t="s">
        <v>1675</v>
      </c>
      <c r="F24" s="194" t="str">
        <f t="shared" si="0"/>
        <v>180</v>
      </c>
      <c r="G24" s="194">
        <v>135</v>
      </c>
      <c r="H24" s="194"/>
      <c r="I24" s="194">
        <v>3584</v>
      </c>
      <c r="J24" s="194">
        <f t="shared" si="1"/>
        <v>16.141732283464567</v>
      </c>
      <c r="K24" s="194" t="s">
        <v>1737</v>
      </c>
      <c r="L24" s="194"/>
      <c r="M24" s="194">
        <f t="shared" si="2"/>
        <v>8.1237333333333342E-2</v>
      </c>
      <c r="N24" s="194">
        <f t="shared" si="3"/>
        <v>0.10492125984251968</v>
      </c>
      <c r="O24" s="194"/>
    </row>
    <row r="25" spans="1:15" ht="15.95" customHeight="1">
      <c r="A25" s="28" t="str">
        <f t="shared" si="15"/>
        <v>200300180135黑3/1</v>
      </c>
      <c r="B25" s="114" t="s">
        <v>1107</v>
      </c>
      <c r="C25" s="194" t="s">
        <v>1736</v>
      </c>
      <c r="D25" s="92" t="s">
        <v>2445</v>
      </c>
      <c r="E25" s="194" t="s">
        <v>1727</v>
      </c>
      <c r="F25" s="194" t="str">
        <f t="shared" si="0"/>
        <v>180</v>
      </c>
      <c r="G25" s="194">
        <v>135</v>
      </c>
      <c r="H25" s="194"/>
      <c r="I25" s="194">
        <v>3584</v>
      </c>
      <c r="J25" s="194">
        <f t="shared" si="1"/>
        <v>16.141732283464567</v>
      </c>
      <c r="K25" s="194" t="s">
        <v>1737</v>
      </c>
      <c r="L25" s="194"/>
      <c r="M25" s="194">
        <f t="shared" si="2"/>
        <v>8.1237333333333342E-2</v>
      </c>
      <c r="N25" s="194">
        <f t="shared" si="3"/>
        <v>0.10492125984251968</v>
      </c>
      <c r="O25" s="194"/>
    </row>
    <row r="26" spans="1:15" ht="15.95" customHeight="1">
      <c r="A26" s="28" t="str">
        <f t="shared" si="15"/>
        <v>200300180116白3/1</v>
      </c>
      <c r="B26" s="114" t="s">
        <v>1086</v>
      </c>
      <c r="C26" s="194" t="s">
        <v>1736</v>
      </c>
      <c r="D26" s="92" t="s">
        <v>2445</v>
      </c>
      <c r="E26" s="194" t="s">
        <v>1675</v>
      </c>
      <c r="F26" s="194" t="str">
        <f t="shared" si="0"/>
        <v>180</v>
      </c>
      <c r="G26" s="194">
        <v>116</v>
      </c>
      <c r="H26" s="194"/>
      <c r="I26" s="194">
        <v>3700</v>
      </c>
      <c r="J26" s="194">
        <f t="shared" si="1"/>
        <v>11.614173228346457</v>
      </c>
      <c r="K26" s="194" t="s">
        <v>1739</v>
      </c>
      <c r="L26" s="194"/>
      <c r="M26" s="194">
        <f t="shared" si="2"/>
        <v>8.3866666666666673E-2</v>
      </c>
      <c r="N26" s="194">
        <f t="shared" si="3"/>
        <v>7.5492125984251965E-2</v>
      </c>
      <c r="O26" s="194"/>
    </row>
    <row r="27" spans="1:15" ht="15.95" customHeight="1">
      <c r="A27" s="28" t="str">
        <f t="shared" si="15"/>
        <v>200300180116黑3/1</v>
      </c>
      <c r="B27" s="114" t="s">
        <v>1086</v>
      </c>
      <c r="C27" s="194" t="s">
        <v>1736</v>
      </c>
      <c r="D27" s="92" t="s">
        <v>2445</v>
      </c>
      <c r="E27" s="194" t="s">
        <v>1727</v>
      </c>
      <c r="F27" s="194" t="str">
        <f t="shared" si="0"/>
        <v>180</v>
      </c>
      <c r="G27" s="194">
        <v>116</v>
      </c>
      <c r="H27" s="194"/>
      <c r="I27" s="194">
        <v>3700</v>
      </c>
      <c r="J27" s="194">
        <f t="shared" si="1"/>
        <v>12.598425196850393</v>
      </c>
      <c r="K27" s="194" t="s">
        <v>1741</v>
      </c>
      <c r="L27" s="194"/>
      <c r="M27" s="194">
        <f t="shared" si="2"/>
        <v>8.3866666666666673E-2</v>
      </c>
      <c r="N27" s="194">
        <f t="shared" si="3"/>
        <v>8.1889763779527558E-2</v>
      </c>
      <c r="O27" s="194"/>
    </row>
    <row r="28" spans="1:15" ht="15.95" customHeight="1">
      <c r="A28" s="28" t="str">
        <f t="shared" si="15"/>
        <v>200300180106白3/1</v>
      </c>
      <c r="B28" s="114" t="s">
        <v>1085</v>
      </c>
      <c r="C28" s="194" t="s">
        <v>1736</v>
      </c>
      <c r="D28" s="92" t="s">
        <v>2445</v>
      </c>
      <c r="E28" s="194" t="s">
        <v>1675</v>
      </c>
      <c r="F28" s="194" t="str">
        <f t="shared" si="0"/>
        <v>180</v>
      </c>
      <c r="G28" s="194">
        <v>106</v>
      </c>
      <c r="H28" s="194"/>
      <c r="I28" s="194">
        <v>3700</v>
      </c>
      <c r="J28" s="194">
        <f t="shared" si="1"/>
        <v>9.8425196850393704</v>
      </c>
      <c r="K28" s="194" t="s">
        <v>1738</v>
      </c>
      <c r="L28" s="194"/>
      <c r="M28" s="194">
        <f t="shared" si="2"/>
        <v>8.3866666666666673E-2</v>
      </c>
      <c r="N28" s="194">
        <f t="shared" si="3"/>
        <v>6.3976377952755917E-2</v>
      </c>
      <c r="O28" s="194"/>
    </row>
    <row r="29" spans="1:15" ht="15.95" customHeight="1">
      <c r="A29" s="28" t="str">
        <f t="shared" si="15"/>
        <v>200300180126白3/1</v>
      </c>
      <c r="B29" s="114" t="s">
        <v>1087</v>
      </c>
      <c r="C29" s="194" t="s">
        <v>1736</v>
      </c>
      <c r="D29" s="92" t="s">
        <v>2445</v>
      </c>
      <c r="E29" s="194" t="s">
        <v>1675</v>
      </c>
      <c r="F29" s="194" t="str">
        <f t="shared" si="0"/>
        <v>180</v>
      </c>
      <c r="G29" s="194">
        <v>126</v>
      </c>
      <c r="H29" s="194"/>
      <c r="I29" s="194">
        <v>3700</v>
      </c>
      <c r="J29" s="194">
        <f t="shared" si="1"/>
        <v>14.763779527559056</v>
      </c>
      <c r="K29" s="194" t="s">
        <v>1740</v>
      </c>
      <c r="L29" s="194"/>
      <c r="M29" s="194">
        <f t="shared" si="2"/>
        <v>8.3866666666666673E-2</v>
      </c>
      <c r="N29" s="194">
        <f t="shared" si="3"/>
        <v>9.5964566929133868E-2</v>
      </c>
      <c r="O29" s="194"/>
    </row>
    <row r="30" spans="1:15" ht="15.95" customHeight="1">
      <c r="A30" s="28" t="str">
        <f t="shared" si="15"/>
        <v>200300180126黑3/1</v>
      </c>
      <c r="B30" s="114" t="s">
        <v>1801</v>
      </c>
      <c r="C30" s="194" t="s">
        <v>1736</v>
      </c>
      <c r="D30" s="92" t="s">
        <v>2445</v>
      </c>
      <c r="E30" s="194" t="s">
        <v>1727</v>
      </c>
      <c r="F30" s="194" t="str">
        <f t="shared" si="0"/>
        <v>180</v>
      </c>
      <c r="G30" s="194">
        <v>126</v>
      </c>
      <c r="H30" s="194"/>
      <c r="I30" s="194">
        <v>3700</v>
      </c>
      <c r="J30" s="194">
        <f t="shared" si="1"/>
        <v>14.763779527559056</v>
      </c>
      <c r="K30" s="194" t="s">
        <v>1740</v>
      </c>
      <c r="L30" s="194"/>
      <c r="M30" s="194">
        <f t="shared" si="2"/>
        <v>8.3866666666666673E-2</v>
      </c>
      <c r="N30" s="194">
        <f t="shared" si="3"/>
        <v>9.5964566929133868E-2</v>
      </c>
      <c r="O30" s="194"/>
    </row>
    <row r="31" spans="1:15" ht="15.95" customHeight="1">
      <c r="A31" s="28" t="str">
        <f t="shared" si="15"/>
        <v>202019017白1/1</v>
      </c>
      <c r="B31" s="114" t="s">
        <v>2573</v>
      </c>
      <c r="C31" s="246" t="s">
        <v>2846</v>
      </c>
      <c r="D31" s="92" t="s">
        <v>1679</v>
      </c>
      <c r="E31" s="246" t="s">
        <v>2551</v>
      </c>
      <c r="F31" s="246">
        <v>190</v>
      </c>
      <c r="G31" s="246">
        <v>17</v>
      </c>
      <c r="H31" s="246"/>
      <c r="I31" s="246"/>
      <c r="J31" s="246" t="e">
        <f t="shared" ref="J31" si="16">IF(B31="","",IF(D31&lt;&gt;"1/1",RIGHT(K31,2)/2.54/2,RIGHT(K31,2)/2.54))</f>
        <v>#VALUE!</v>
      </c>
      <c r="K31" s="246"/>
      <c r="L31" s="246"/>
      <c r="M31" s="246">
        <f t="shared" ref="M31" si="17">IF(B31="","",LEFT(C31,FIND("*",C31)-1)/9000*I31/1000*1.02)</f>
        <v>0</v>
      </c>
      <c r="N31" s="246" t="e">
        <f t="shared" ref="N31" si="18">IF(B31="","",RIGHT(C31,LEN(C31)-FIND("*",C31))/9000*(F31+15)*J31/1000)</f>
        <v>#VALUE!</v>
      </c>
      <c r="O31" s="246"/>
    </row>
    <row r="32" spans="1:15" ht="15.95" customHeight="1">
      <c r="A32" s="28" t="str">
        <f t="shared" si="15"/>
        <v>202019017黑1/1</v>
      </c>
      <c r="B32" s="114" t="s">
        <v>2573</v>
      </c>
      <c r="C32" s="246" t="s">
        <v>2846</v>
      </c>
      <c r="D32" s="92" t="s">
        <v>1679</v>
      </c>
      <c r="E32" s="246" t="s">
        <v>2527</v>
      </c>
      <c r="F32" s="246">
        <v>190</v>
      </c>
      <c r="G32" s="246">
        <v>17</v>
      </c>
      <c r="H32" s="246"/>
      <c r="I32" s="246"/>
      <c r="J32" s="246" t="e">
        <f t="shared" ref="J32" si="19">IF(B32="","",IF(D32&lt;&gt;"1/1",RIGHT(K32,2)/2.54/2,RIGHT(K32,2)/2.54))</f>
        <v>#VALUE!</v>
      </c>
      <c r="K32" s="246"/>
      <c r="L32" s="246"/>
      <c r="M32" s="246">
        <f t="shared" ref="M32" si="20">IF(B32="","",LEFT(C32,FIND("*",C32)-1)/9000*I32/1000*1.02)</f>
        <v>0</v>
      </c>
      <c r="N32" s="246" t="e">
        <f t="shared" ref="N32" si="21">IF(B32="","",RIGHT(C32,LEN(C32)-FIND("*",C32))/9000*(F32+15)*J32/1000)</f>
        <v>#VALUE!</v>
      </c>
      <c r="O32" s="246"/>
    </row>
    <row r="33" spans="1:15" ht="15.95" customHeight="1">
      <c r="A33" s="28" t="str">
        <f t="shared" si="15"/>
        <v>303014323白1/1</v>
      </c>
      <c r="B33" s="114" t="s">
        <v>1700</v>
      </c>
      <c r="C33" s="194" t="s">
        <v>1683</v>
      </c>
      <c r="D33" s="92" t="s">
        <v>1679</v>
      </c>
      <c r="E33" s="194" t="s">
        <v>1675</v>
      </c>
      <c r="F33" s="194" t="str">
        <f t="shared" si="0"/>
        <v>143</v>
      </c>
      <c r="G33" s="194">
        <v>23</v>
      </c>
      <c r="H33" s="194"/>
      <c r="I33" s="194">
        <v>4074</v>
      </c>
      <c r="J33" s="194">
        <f t="shared" si="1"/>
        <v>18.110236220472441</v>
      </c>
      <c r="K33" s="194" t="s">
        <v>1685</v>
      </c>
      <c r="L33" s="194"/>
      <c r="M33" s="194">
        <f t="shared" si="2"/>
        <v>1.38516E-2</v>
      </c>
      <c r="N33" s="194">
        <f t="shared" si="3"/>
        <v>9.5380577427821526E-3</v>
      </c>
      <c r="O33" s="194"/>
    </row>
    <row r="34" spans="1:15" ht="15.95" customHeight="1">
      <c r="A34" s="28" t="str">
        <f t="shared" si="15"/>
        <v>303019023白1/1</v>
      </c>
      <c r="B34" s="114" t="s">
        <v>1702</v>
      </c>
      <c r="C34" s="194" t="s">
        <v>1683</v>
      </c>
      <c r="D34" s="92" t="s">
        <v>1679</v>
      </c>
      <c r="E34" s="194" t="s">
        <v>1675</v>
      </c>
      <c r="F34" s="194" t="str">
        <f t="shared" si="0"/>
        <v>190</v>
      </c>
      <c r="G34" s="194">
        <v>23</v>
      </c>
      <c r="H34" s="194"/>
      <c r="I34" s="194">
        <v>5332</v>
      </c>
      <c r="J34" s="194">
        <f t="shared" si="1"/>
        <v>20.866141732283463</v>
      </c>
      <c r="K34" s="194" t="s">
        <v>1680</v>
      </c>
      <c r="L34" s="194"/>
      <c r="M34" s="194">
        <f t="shared" si="2"/>
        <v>1.81288E-2</v>
      </c>
      <c r="N34" s="194">
        <f t="shared" si="3"/>
        <v>1.4258530183727034E-2</v>
      </c>
      <c r="O34" s="194"/>
    </row>
    <row r="35" spans="1:15" ht="15.95" customHeight="1">
      <c r="A35" s="28" t="str">
        <f t="shared" si="15"/>
        <v>303019023白2/2</v>
      </c>
      <c r="B35" s="114" t="s">
        <v>1702</v>
      </c>
      <c r="C35" s="194" t="s">
        <v>1683</v>
      </c>
      <c r="D35" s="92" t="s">
        <v>1689</v>
      </c>
      <c r="E35" s="194" t="s">
        <v>1675</v>
      </c>
      <c r="F35" s="194" t="str">
        <f t="shared" si="0"/>
        <v>190</v>
      </c>
      <c r="G35" s="194">
        <v>23</v>
      </c>
      <c r="H35" s="194"/>
      <c r="I35" s="246">
        <v>5332</v>
      </c>
      <c r="J35" s="194">
        <f t="shared" si="1"/>
        <v>10.433070866141732</v>
      </c>
      <c r="K35" s="194" t="s">
        <v>1680</v>
      </c>
      <c r="L35" s="194"/>
      <c r="M35" s="194">
        <f t="shared" si="2"/>
        <v>1.81288E-2</v>
      </c>
      <c r="N35" s="194">
        <f t="shared" si="3"/>
        <v>7.1292650918635169E-3</v>
      </c>
      <c r="O35" s="194"/>
    </row>
    <row r="36" spans="1:15" ht="15.95" customHeight="1">
      <c r="A36" s="28" t="str">
        <f t="shared" si="15"/>
        <v>303019023黑1/1</v>
      </c>
      <c r="B36" s="114" t="s">
        <v>1702</v>
      </c>
      <c r="C36" s="246" t="s">
        <v>1683</v>
      </c>
      <c r="D36" s="92" t="s">
        <v>1679</v>
      </c>
      <c r="E36" s="246" t="s">
        <v>1727</v>
      </c>
      <c r="F36" s="246" t="str">
        <f t="shared" ref="F36:F37" si="22">IF(B36="","",MID(B36,LEN(C36),LEN(B36)-LEN(C36)-LEN(G36)+1))</f>
        <v>190</v>
      </c>
      <c r="G36" s="246">
        <v>23</v>
      </c>
      <c r="H36" s="246"/>
      <c r="I36" s="246">
        <v>5332</v>
      </c>
      <c r="J36" s="246">
        <f t="shared" si="1"/>
        <v>20.866141732283463</v>
      </c>
      <c r="K36" s="246" t="s">
        <v>1680</v>
      </c>
      <c r="L36" s="246"/>
      <c r="M36" s="246">
        <f t="shared" ref="M36:M38" si="23">IF(B36="","",LEFT(C36,FIND("*",C36)-1)/9000*I36/1000*1.02)</f>
        <v>1.81288E-2</v>
      </c>
      <c r="N36" s="246">
        <f t="shared" ref="N36:N38" si="24">IF(B36="","",RIGHT(C36,LEN(C36)-FIND("*",C36))/9000*(F36+15)*J36/1000)</f>
        <v>1.4258530183727034E-2</v>
      </c>
      <c r="O36" s="246"/>
    </row>
    <row r="37" spans="1:15" ht="15.95" customHeight="1">
      <c r="A37" s="28" t="str">
        <f t="shared" si="15"/>
        <v>303019023黑2/2</v>
      </c>
      <c r="B37" s="114" t="s">
        <v>1702</v>
      </c>
      <c r="C37" s="246" t="s">
        <v>1683</v>
      </c>
      <c r="D37" s="92" t="s">
        <v>1689</v>
      </c>
      <c r="E37" s="246" t="s">
        <v>1727</v>
      </c>
      <c r="F37" s="246" t="str">
        <f t="shared" si="22"/>
        <v>190</v>
      </c>
      <c r="G37" s="246">
        <v>23</v>
      </c>
      <c r="H37" s="246"/>
      <c r="I37" s="246">
        <v>5332</v>
      </c>
      <c r="J37" s="246">
        <f t="shared" si="1"/>
        <v>10.433070866141732</v>
      </c>
      <c r="K37" s="246" t="s">
        <v>1680</v>
      </c>
      <c r="L37" s="246"/>
      <c r="M37" s="246">
        <f t="shared" si="23"/>
        <v>1.81288E-2</v>
      </c>
      <c r="N37" s="246">
        <f t="shared" si="24"/>
        <v>7.1292650918635169E-3</v>
      </c>
      <c r="O37" s="246"/>
    </row>
    <row r="38" spans="1:15" ht="15.95" customHeight="1">
      <c r="A38" s="28" t="str">
        <f t="shared" si="15"/>
        <v>303019223白1/1</v>
      </c>
      <c r="B38" s="114" t="s">
        <v>1704</v>
      </c>
      <c r="C38" s="194" t="s">
        <v>1683</v>
      </c>
      <c r="D38" s="92" t="s">
        <v>1679</v>
      </c>
      <c r="E38" s="194" t="s">
        <v>1675</v>
      </c>
      <c r="F38" s="194" t="str">
        <f t="shared" si="0"/>
        <v>192</v>
      </c>
      <c r="G38" s="194">
        <v>23</v>
      </c>
      <c r="H38" s="194"/>
      <c r="I38" s="194">
        <v>5772</v>
      </c>
      <c r="J38" s="194">
        <f t="shared" si="1"/>
        <v>18.503937007874015</v>
      </c>
      <c r="K38" s="194" t="s">
        <v>1686</v>
      </c>
      <c r="L38" s="194"/>
      <c r="M38" s="246">
        <f t="shared" si="23"/>
        <v>1.9624800000000005E-2</v>
      </c>
      <c r="N38" s="246">
        <f t="shared" si="24"/>
        <v>1.2767716535433073E-2</v>
      </c>
      <c r="O38" s="194"/>
    </row>
    <row r="39" spans="1:15" ht="15.95" customHeight="1">
      <c r="A39" s="28" t="str">
        <f t="shared" si="15"/>
        <v>303020023白1/1</v>
      </c>
      <c r="B39" s="114" t="s">
        <v>1706</v>
      </c>
      <c r="C39" s="194" t="s">
        <v>1683</v>
      </c>
      <c r="D39" s="92" t="s">
        <v>1679</v>
      </c>
      <c r="E39" s="194" t="s">
        <v>1675</v>
      </c>
      <c r="F39" s="194" t="str">
        <f t="shared" si="0"/>
        <v>200</v>
      </c>
      <c r="G39" s="194">
        <v>23</v>
      </c>
      <c r="H39" s="194"/>
      <c r="I39" s="194">
        <v>6048</v>
      </c>
      <c r="J39" s="194">
        <f t="shared" si="1"/>
        <v>18.897637795275589</v>
      </c>
      <c r="K39" s="194" t="s">
        <v>1688</v>
      </c>
      <c r="L39" s="194"/>
      <c r="M39" s="194">
        <f t="shared" si="2"/>
        <v>2.05632E-2</v>
      </c>
      <c r="N39" s="194">
        <f t="shared" si="3"/>
        <v>1.3543307086614172E-2</v>
      </c>
      <c r="O39" s="194"/>
    </row>
    <row r="40" spans="1:15" ht="15.95" customHeight="1">
      <c r="A40" s="28" t="str">
        <f t="shared" si="15"/>
        <v>303020123白2/2</v>
      </c>
      <c r="B40" s="114" t="s">
        <v>1708</v>
      </c>
      <c r="C40" s="194" t="s">
        <v>1683</v>
      </c>
      <c r="D40" s="92" t="s">
        <v>1689</v>
      </c>
      <c r="E40" s="194" t="s">
        <v>1675</v>
      </c>
      <c r="F40" s="194" t="str">
        <f t="shared" si="0"/>
        <v>201</v>
      </c>
      <c r="G40" s="194">
        <v>23</v>
      </c>
      <c r="H40" s="194"/>
      <c r="I40" s="194">
        <v>6048</v>
      </c>
      <c r="J40" s="194">
        <f t="shared" si="1"/>
        <v>10.039370078740157</v>
      </c>
      <c r="K40" s="194" t="s">
        <v>1690</v>
      </c>
      <c r="L40" s="194"/>
      <c r="M40" s="194">
        <f t="shared" si="2"/>
        <v>2.05632E-2</v>
      </c>
      <c r="N40" s="194">
        <f t="shared" si="3"/>
        <v>7.2283464566929136E-3</v>
      </c>
      <c r="O40" s="194"/>
    </row>
    <row r="41" spans="1:15" ht="15.95" customHeight="1">
      <c r="A41" s="28" t="str">
        <f t="shared" si="15"/>
        <v>305019731白3/1</v>
      </c>
      <c r="B41" s="114" t="s">
        <v>1811</v>
      </c>
      <c r="C41" s="194" t="s">
        <v>1812</v>
      </c>
      <c r="D41" s="92" t="s">
        <v>2445</v>
      </c>
      <c r="E41" s="194" t="s">
        <v>1675</v>
      </c>
      <c r="F41" s="194" t="str">
        <f t="shared" si="0"/>
        <v>197</v>
      </c>
      <c r="G41" s="194">
        <v>31</v>
      </c>
      <c r="H41" s="194"/>
      <c r="I41" s="194">
        <v>5330</v>
      </c>
      <c r="J41" s="194">
        <f t="shared" ref="J41:J75" si="25">IF(B41="","",IF(D41&lt;&gt;"1/1",RIGHT(K41,2)/2.54/2,RIGHT(K41,2)/2.54))</f>
        <v>9.4488188976377945</v>
      </c>
      <c r="K41" s="194" t="s">
        <v>2268</v>
      </c>
      <c r="L41" s="194"/>
      <c r="M41" s="194">
        <f t="shared" ref="M41:M75" si="26">IF(B41="","",LEFT(C41,FIND("*",C41)-1)/9000*I41/1000*1.02)</f>
        <v>1.8122000000000003E-2</v>
      </c>
      <c r="N41" s="194">
        <f t="shared" ref="N41:N75" si="27">IF(B41="","",RIGHT(C41,LEN(C41)-FIND("*",C41))/9000*(F41+15)*J41/1000)</f>
        <v>1.1128608923884514E-2</v>
      </c>
      <c r="O41" s="194"/>
    </row>
    <row r="42" spans="1:15" ht="15.95" customHeight="1">
      <c r="A42" s="28" t="str">
        <f t="shared" si="15"/>
        <v>305019031白3/1</v>
      </c>
      <c r="B42" s="114" t="s">
        <v>2850</v>
      </c>
      <c r="C42" s="246" t="s">
        <v>1812</v>
      </c>
      <c r="D42" s="92" t="s">
        <v>2444</v>
      </c>
      <c r="E42" s="246" t="s">
        <v>1616</v>
      </c>
      <c r="F42" s="246" t="str">
        <f t="shared" ref="F42" si="28">IF(B42="","",MID(B42,LEN(C42),LEN(B42)-LEN(C42)-LEN(G42)+1))</f>
        <v>190</v>
      </c>
      <c r="G42" s="246">
        <v>31</v>
      </c>
      <c r="H42" s="246"/>
      <c r="I42" s="246">
        <v>5330</v>
      </c>
      <c r="J42" s="246">
        <f t="shared" ref="J42" si="29">IF(B42="","",IF(D42&lt;&gt;"1/1",RIGHT(K42,2)/2.54/2,RIGHT(K42,2)/2.54))</f>
        <v>9.4488188976377945</v>
      </c>
      <c r="K42" s="246" t="s">
        <v>1688</v>
      </c>
      <c r="L42" s="246"/>
      <c r="M42" s="246">
        <f t="shared" ref="M42" si="30">IF(B42="","",LEFT(C42,FIND("*",C42)-1)/9000*I42/1000*1.02)</f>
        <v>1.8122000000000003E-2</v>
      </c>
      <c r="N42" s="246">
        <f t="shared" ref="N42" si="31">IF(B42="","",RIGHT(C42,LEN(C42)-FIND("*",C42))/9000*(F42+15)*J42/1000)</f>
        <v>1.0761154855643044E-2</v>
      </c>
      <c r="O42" s="246"/>
    </row>
    <row r="43" spans="1:15" ht="15.95" customHeight="1">
      <c r="A43" s="28" t="str">
        <f t="shared" si="15"/>
        <v>5050190.537白1/1</v>
      </c>
      <c r="B43" s="114" t="s">
        <v>1710</v>
      </c>
      <c r="C43" s="194" t="s">
        <v>1711</v>
      </c>
      <c r="D43" s="92" t="s">
        <v>1679</v>
      </c>
      <c r="E43" s="194" t="s">
        <v>1675</v>
      </c>
      <c r="F43" s="194" t="str">
        <f t="shared" si="0"/>
        <v>190.5</v>
      </c>
      <c r="G43" s="194">
        <v>37</v>
      </c>
      <c r="H43" s="194"/>
      <c r="I43" s="194">
        <v>5298</v>
      </c>
      <c r="J43" s="194">
        <f t="shared" si="25"/>
        <v>33.85826771653543</v>
      </c>
      <c r="K43" s="194" t="s">
        <v>1715</v>
      </c>
      <c r="L43" s="194"/>
      <c r="M43" s="194">
        <f t="shared" si="26"/>
        <v>3.0022E-2</v>
      </c>
      <c r="N43" s="194">
        <f t="shared" si="27"/>
        <v>3.8654855643044612E-2</v>
      </c>
      <c r="O43" s="194"/>
    </row>
    <row r="44" spans="1:15" ht="15.95" customHeight="1">
      <c r="A44" s="28" t="str">
        <f t="shared" si="15"/>
        <v>5050190.537白2/2</v>
      </c>
      <c r="B44" s="114" t="s">
        <v>1710</v>
      </c>
      <c r="C44" s="194" t="s">
        <v>1711</v>
      </c>
      <c r="D44" s="92" t="s">
        <v>1689</v>
      </c>
      <c r="E44" s="194" t="s">
        <v>1675</v>
      </c>
      <c r="F44" s="194" t="str">
        <f t="shared" si="0"/>
        <v>190.5</v>
      </c>
      <c r="G44" s="194">
        <v>37</v>
      </c>
      <c r="H44" s="194"/>
      <c r="I44" s="194">
        <v>5298</v>
      </c>
      <c r="J44" s="194">
        <f t="shared" si="25"/>
        <v>17.519685039370078</v>
      </c>
      <c r="K44" s="194" t="s">
        <v>1712</v>
      </c>
      <c r="L44" s="194"/>
      <c r="M44" s="194">
        <f t="shared" si="26"/>
        <v>3.0022E-2</v>
      </c>
      <c r="N44" s="194">
        <f t="shared" si="27"/>
        <v>2.0001640419947505E-2</v>
      </c>
      <c r="O44" s="194"/>
    </row>
    <row r="45" spans="1:15" ht="15.95" customHeight="1">
      <c r="A45" s="28" t="str">
        <f t="shared" si="15"/>
        <v>5050190.537黑1/1</v>
      </c>
      <c r="B45" s="114" t="s">
        <v>1710</v>
      </c>
      <c r="C45" s="194" t="s">
        <v>1711</v>
      </c>
      <c r="D45" s="92" t="s">
        <v>1679</v>
      </c>
      <c r="E45" s="194" t="s">
        <v>1727</v>
      </c>
      <c r="F45" s="194" t="str">
        <f t="shared" si="0"/>
        <v>190.5</v>
      </c>
      <c r="G45" s="194">
        <v>37</v>
      </c>
      <c r="H45" s="194"/>
      <c r="I45" s="194">
        <v>5298</v>
      </c>
      <c r="J45" s="194">
        <f t="shared" si="25"/>
        <v>35.039370078740156</v>
      </c>
      <c r="K45" s="194" t="s">
        <v>1712</v>
      </c>
      <c r="L45" s="194"/>
      <c r="M45" s="194">
        <f t="shared" si="26"/>
        <v>3.0022E-2</v>
      </c>
      <c r="N45" s="194">
        <f t="shared" si="27"/>
        <v>4.000328083989501E-2</v>
      </c>
      <c r="O45" s="194"/>
    </row>
    <row r="46" spans="1:15" ht="15.95" customHeight="1">
      <c r="A46" s="28" t="str">
        <f t="shared" si="15"/>
        <v>5050190.537黑2/2</v>
      </c>
      <c r="B46" s="114" t="s">
        <v>1710</v>
      </c>
      <c r="C46" s="194" t="s">
        <v>1711</v>
      </c>
      <c r="D46" s="92" t="s">
        <v>1689</v>
      </c>
      <c r="E46" s="194" t="s">
        <v>1727</v>
      </c>
      <c r="F46" s="194" t="str">
        <f t="shared" si="0"/>
        <v>190.5</v>
      </c>
      <c r="G46" s="194">
        <v>37</v>
      </c>
      <c r="H46" s="194"/>
      <c r="I46" s="194">
        <v>5298</v>
      </c>
      <c r="J46" s="194">
        <f t="shared" si="25"/>
        <v>17.519685039370078</v>
      </c>
      <c r="K46" s="194" t="s">
        <v>1712</v>
      </c>
      <c r="L46" s="194"/>
      <c r="M46" s="194">
        <f t="shared" si="26"/>
        <v>3.0022E-2</v>
      </c>
      <c r="N46" s="194">
        <f t="shared" si="27"/>
        <v>2.0001640419947505E-2</v>
      </c>
      <c r="O46" s="194"/>
    </row>
    <row r="47" spans="1:15" ht="15.95" customHeight="1">
      <c r="A47" s="28" t="str">
        <f t="shared" si="15"/>
        <v>5050190.537白2/2</v>
      </c>
      <c r="B47" s="114" t="s">
        <v>1710</v>
      </c>
      <c r="C47" s="194" t="s">
        <v>1711</v>
      </c>
      <c r="D47" s="92" t="s">
        <v>1689</v>
      </c>
      <c r="E47" s="194" t="s">
        <v>1675</v>
      </c>
      <c r="F47" s="194" t="str">
        <f t="shared" si="0"/>
        <v>190.5</v>
      </c>
      <c r="G47" s="194">
        <v>37</v>
      </c>
      <c r="H47" s="194"/>
      <c r="I47" s="194">
        <v>5298</v>
      </c>
      <c r="J47" s="194">
        <f t="shared" si="25"/>
        <v>17.519685039370078</v>
      </c>
      <c r="K47" s="194" t="s">
        <v>1712</v>
      </c>
      <c r="L47" s="194"/>
      <c r="M47" s="194">
        <f t="shared" si="26"/>
        <v>3.0022E-2</v>
      </c>
      <c r="N47" s="194">
        <f t="shared" si="27"/>
        <v>2.0001640419947505E-2</v>
      </c>
      <c r="O47" s="194"/>
    </row>
    <row r="48" spans="1:15" ht="15.95" customHeight="1">
      <c r="A48" s="28" t="str">
        <f t="shared" si="15"/>
        <v>505019035白1/1</v>
      </c>
      <c r="B48" s="114" t="s">
        <v>1714</v>
      </c>
      <c r="C48" s="194" t="s">
        <v>1711</v>
      </c>
      <c r="D48" s="92" t="s">
        <v>1679</v>
      </c>
      <c r="E48" s="194" t="s">
        <v>1675</v>
      </c>
      <c r="F48" s="194" t="str">
        <f t="shared" si="0"/>
        <v>190</v>
      </c>
      <c r="G48" s="194">
        <v>35</v>
      </c>
      <c r="H48" s="194"/>
      <c r="I48" s="194">
        <v>4952</v>
      </c>
      <c r="J48" s="194">
        <f t="shared" si="25"/>
        <v>37.795275590551178</v>
      </c>
      <c r="K48" s="194" t="s">
        <v>1716</v>
      </c>
      <c r="L48" s="194"/>
      <c r="M48" s="194">
        <f t="shared" si="26"/>
        <v>2.8061333333333334E-2</v>
      </c>
      <c r="N48" s="194">
        <f t="shared" si="27"/>
        <v>4.3044619422572178E-2</v>
      </c>
      <c r="O48" s="194"/>
    </row>
    <row r="49" spans="1:15" ht="15.95" customHeight="1">
      <c r="A49" s="28" t="str">
        <f t="shared" si="15"/>
        <v>507519044白1/1</v>
      </c>
      <c r="B49" s="114" t="s">
        <v>1718</v>
      </c>
      <c r="C49" s="194" t="s">
        <v>1719</v>
      </c>
      <c r="D49" s="92" t="s">
        <v>1679</v>
      </c>
      <c r="E49" s="194" t="s">
        <v>1675</v>
      </c>
      <c r="F49" s="194" t="str">
        <f t="shared" si="0"/>
        <v>190</v>
      </c>
      <c r="G49" s="194">
        <v>44</v>
      </c>
      <c r="H49" s="194"/>
      <c r="I49" s="194">
        <v>5298</v>
      </c>
      <c r="J49" s="194">
        <f t="shared" si="25"/>
        <v>31.889763779527559</v>
      </c>
      <c r="K49" s="194" t="s">
        <v>1720</v>
      </c>
      <c r="L49" s="194"/>
      <c r="M49" s="194">
        <f t="shared" si="26"/>
        <v>3.0022E-2</v>
      </c>
      <c r="N49" s="194">
        <f t="shared" si="27"/>
        <v>5.447834645669291E-2</v>
      </c>
      <c r="O49" s="194"/>
    </row>
    <row r="50" spans="1:15" ht="15.95" customHeight="1">
      <c r="A50" s="28" t="str">
        <f t="shared" si="15"/>
        <v>75100190.550白2/2</v>
      </c>
      <c r="B50" s="114" t="s">
        <v>1084</v>
      </c>
      <c r="C50" s="194" t="s">
        <v>1721</v>
      </c>
      <c r="D50" s="92" t="s">
        <v>1689</v>
      </c>
      <c r="E50" s="194" t="s">
        <v>1675</v>
      </c>
      <c r="F50" s="194" t="str">
        <f t="shared" si="0"/>
        <v>190.5</v>
      </c>
      <c r="G50" s="194">
        <v>50</v>
      </c>
      <c r="H50" s="194"/>
      <c r="I50" s="194">
        <v>4040</v>
      </c>
      <c r="J50" s="194">
        <f t="shared" si="25"/>
        <v>15.15748031496063</v>
      </c>
      <c r="K50" s="194" t="s">
        <v>1722</v>
      </c>
      <c r="L50" s="194"/>
      <c r="M50" s="194">
        <f t="shared" si="26"/>
        <v>3.4339999999999996E-2</v>
      </c>
      <c r="N50" s="194">
        <f t="shared" si="27"/>
        <v>3.4609580052493434E-2</v>
      </c>
      <c r="O50" s="194"/>
    </row>
    <row r="51" spans="1:15" ht="15.95" customHeight="1">
      <c r="A51" s="28" t="str">
        <f t="shared" si="15"/>
        <v>75100190.550黑2/2</v>
      </c>
      <c r="B51" s="114" t="s">
        <v>1084</v>
      </c>
      <c r="C51" s="194" t="s">
        <v>1721</v>
      </c>
      <c r="D51" s="92" t="s">
        <v>1689</v>
      </c>
      <c r="E51" s="194" t="s">
        <v>1727</v>
      </c>
      <c r="F51" s="194" t="str">
        <f t="shared" si="0"/>
        <v>190.5</v>
      </c>
      <c r="G51" s="194">
        <v>50</v>
      </c>
      <c r="H51" s="194"/>
      <c r="I51" s="194">
        <v>4040</v>
      </c>
      <c r="J51" s="194">
        <f t="shared" si="25"/>
        <v>15.15748031496063</v>
      </c>
      <c r="K51" s="194" t="s">
        <v>1722</v>
      </c>
      <c r="L51" s="194"/>
      <c r="M51" s="194">
        <f t="shared" si="26"/>
        <v>3.4339999999999996E-2</v>
      </c>
      <c r="N51" s="194">
        <f t="shared" si="27"/>
        <v>3.4609580052493434E-2</v>
      </c>
      <c r="O51" s="194"/>
    </row>
    <row r="52" spans="1:15" s="173" customFormat="1" ht="15.95" customHeight="1">
      <c r="A52" s="173" t="str">
        <f t="shared" si="15"/>
        <v>75100190.550白3/1</v>
      </c>
      <c r="B52" s="257" t="s">
        <v>2274</v>
      </c>
      <c r="C52" s="19" t="s">
        <v>1721</v>
      </c>
      <c r="D52" s="92" t="s">
        <v>2445</v>
      </c>
      <c r="E52" s="19" t="s">
        <v>1675</v>
      </c>
      <c r="F52" s="19" t="str">
        <f t="shared" si="0"/>
        <v>190.5</v>
      </c>
      <c r="G52" s="19">
        <v>50</v>
      </c>
      <c r="H52" s="19"/>
      <c r="I52" s="194">
        <v>4040</v>
      </c>
      <c r="J52" s="194">
        <f t="shared" ref="J52:J54" si="32">IF(B52="","",IF(D52&lt;&gt;"1/1",RIGHT(K52,2)/2.54/2,RIGHT(K52,2)/2.54))</f>
        <v>15.15748031496063</v>
      </c>
      <c r="K52" s="194" t="s">
        <v>1722</v>
      </c>
      <c r="L52" s="194"/>
      <c r="M52" s="194">
        <f t="shared" ref="M52:M54" si="33">IF(B52="","",LEFT(C52,FIND("*",C52)-1)/9000*I52/1000*1.02)</f>
        <v>3.4339999999999996E-2</v>
      </c>
      <c r="N52" s="194">
        <f t="shared" ref="N52:N54" si="34">IF(B52="","",RIGHT(C52,LEN(C52)-FIND("*",C52))/9000*(F52+15)*J52/1000)</f>
        <v>3.4609580052493434E-2</v>
      </c>
      <c r="O52" s="19"/>
    </row>
    <row r="53" spans="1:15" s="173" customFormat="1" ht="15.95" customHeight="1">
      <c r="A53" s="173" t="str">
        <f t="shared" si="15"/>
        <v>75100190.550黑3/1</v>
      </c>
      <c r="B53" s="257" t="s">
        <v>2274</v>
      </c>
      <c r="C53" s="19" t="s">
        <v>1721</v>
      </c>
      <c r="D53" s="92" t="s">
        <v>2445</v>
      </c>
      <c r="E53" s="19" t="s">
        <v>1727</v>
      </c>
      <c r="F53" s="19" t="str">
        <f t="shared" si="0"/>
        <v>190.5</v>
      </c>
      <c r="G53" s="19">
        <v>52</v>
      </c>
      <c r="H53" s="19"/>
      <c r="I53" s="194">
        <v>4040</v>
      </c>
      <c r="J53" s="194">
        <f t="shared" si="32"/>
        <v>15.15748031496063</v>
      </c>
      <c r="K53" s="194" t="s">
        <v>1722</v>
      </c>
      <c r="L53" s="194"/>
      <c r="M53" s="194">
        <f t="shared" si="33"/>
        <v>3.4339999999999996E-2</v>
      </c>
      <c r="N53" s="194">
        <f t="shared" si="34"/>
        <v>3.4609580052493434E-2</v>
      </c>
      <c r="O53" s="19"/>
    </row>
    <row r="54" spans="1:15" s="173" customFormat="1" ht="15.95" customHeight="1">
      <c r="A54" s="173" t="str">
        <f t="shared" si="15"/>
        <v>7510019143白1/1</v>
      </c>
      <c r="B54" s="257" t="s">
        <v>2616</v>
      </c>
      <c r="C54" s="19" t="s">
        <v>1721</v>
      </c>
      <c r="D54" s="92" t="s">
        <v>1679</v>
      </c>
      <c r="E54" s="19" t="s">
        <v>1616</v>
      </c>
      <c r="F54" s="19" t="str">
        <f t="shared" si="0"/>
        <v>191</v>
      </c>
      <c r="G54" s="19">
        <v>43</v>
      </c>
      <c r="H54" s="19"/>
      <c r="I54" s="246">
        <v>3820</v>
      </c>
      <c r="J54" s="246">
        <f t="shared" si="32"/>
        <v>22.047244094488189</v>
      </c>
      <c r="K54" s="246" t="s">
        <v>2788</v>
      </c>
      <c r="L54" s="246"/>
      <c r="M54" s="246">
        <f t="shared" si="33"/>
        <v>3.2469999999999999E-2</v>
      </c>
      <c r="N54" s="246">
        <f t="shared" si="34"/>
        <v>5.0463692038495198E-2</v>
      </c>
      <c r="O54" s="19"/>
    </row>
    <row r="55" spans="1:15" s="173" customFormat="1" ht="15.95" customHeight="1">
      <c r="A55" s="173" t="str">
        <f t="shared" si="15"/>
        <v>7510019143黑1/1</v>
      </c>
      <c r="B55" s="257" t="s">
        <v>2616</v>
      </c>
      <c r="C55" s="19" t="s">
        <v>1721</v>
      </c>
      <c r="D55" s="92" t="s">
        <v>1679</v>
      </c>
      <c r="E55" s="19" t="s">
        <v>1727</v>
      </c>
      <c r="F55" s="19" t="str">
        <f t="shared" ref="F55" si="35">IF(B55="","",MID(B55,LEN(C55),LEN(B55)-LEN(C55)-LEN(G55)+1))</f>
        <v>191</v>
      </c>
      <c r="G55" s="19">
        <v>43</v>
      </c>
      <c r="H55" s="19"/>
      <c r="I55" s="246">
        <v>3820</v>
      </c>
      <c r="J55" s="246">
        <f t="shared" ref="J55" si="36">IF(B55="","",IF(D55&lt;&gt;"1/1",RIGHT(K55,2)/2.54/2,RIGHT(K55,2)/2.54))</f>
        <v>22.047244094488189</v>
      </c>
      <c r="K55" s="246" t="s">
        <v>2788</v>
      </c>
      <c r="L55" s="246"/>
      <c r="M55" s="246">
        <f t="shared" ref="M55" si="37">IF(B55="","",LEFT(C55,FIND("*",C55)-1)/9000*I55/1000*1.02)</f>
        <v>3.2469999999999999E-2</v>
      </c>
      <c r="N55" s="246">
        <f t="shared" ref="N55" si="38">IF(B55="","",RIGHT(C55,LEN(C55)-FIND("*",C55))/9000*(F55+15)*J55/1000)</f>
        <v>5.0463692038495198E-2</v>
      </c>
      <c r="O55" s="19"/>
    </row>
    <row r="56" spans="1:15" ht="15.95" customHeight="1">
      <c r="A56" s="28" t="str">
        <f t="shared" si="15"/>
        <v>75150190.554白2/2</v>
      </c>
      <c r="B56" s="114" t="s">
        <v>1692</v>
      </c>
      <c r="C56" s="194" t="s">
        <v>1723</v>
      </c>
      <c r="D56" s="92" t="s">
        <v>1689</v>
      </c>
      <c r="E56" s="194" t="s">
        <v>1675</v>
      </c>
      <c r="F56" s="194" t="str">
        <f t="shared" si="0"/>
        <v>190.5</v>
      </c>
      <c r="G56" s="194">
        <v>54</v>
      </c>
      <c r="H56" s="194"/>
      <c r="I56" s="194">
        <v>4040</v>
      </c>
      <c r="J56" s="194">
        <f t="shared" si="25"/>
        <v>11.417322834645669</v>
      </c>
      <c r="K56" s="194" t="s">
        <v>1724</v>
      </c>
      <c r="L56" s="194"/>
      <c r="M56" s="194">
        <f t="shared" si="26"/>
        <v>3.4339999999999996E-2</v>
      </c>
      <c r="N56" s="194">
        <f t="shared" si="27"/>
        <v>3.9104330708661414E-2</v>
      </c>
      <c r="O56" s="194"/>
    </row>
    <row r="57" spans="1:15" ht="15.95" customHeight="1">
      <c r="A57" s="28" t="str">
        <f t="shared" si="15"/>
        <v>75150190.554黑2/2</v>
      </c>
      <c r="B57" s="114" t="s">
        <v>1692</v>
      </c>
      <c r="C57" s="194" t="s">
        <v>1723</v>
      </c>
      <c r="D57" s="92" t="s">
        <v>1689</v>
      </c>
      <c r="E57" s="194" t="s">
        <v>1727</v>
      </c>
      <c r="F57" s="194" t="str">
        <f t="shared" si="0"/>
        <v>190.5</v>
      </c>
      <c r="G57" s="194">
        <v>54</v>
      </c>
      <c r="H57" s="194"/>
      <c r="I57" s="194">
        <v>4040</v>
      </c>
      <c r="J57" s="194">
        <f t="shared" si="25"/>
        <v>11.417322834645669</v>
      </c>
      <c r="K57" s="194" t="s">
        <v>1724</v>
      </c>
      <c r="L57" s="194"/>
      <c r="M57" s="194">
        <f t="shared" si="26"/>
        <v>3.4339999999999996E-2</v>
      </c>
      <c r="N57" s="194">
        <f t="shared" si="27"/>
        <v>3.9104330708661414E-2</v>
      </c>
      <c r="O57" s="194"/>
    </row>
    <row r="58" spans="1:15" ht="15.95" customHeight="1">
      <c r="A58" s="28" t="str">
        <f t="shared" si="15"/>
        <v>75150190.554白3/1</v>
      </c>
      <c r="B58" s="114" t="s">
        <v>2272</v>
      </c>
      <c r="C58" s="194" t="s">
        <v>1723</v>
      </c>
      <c r="D58" s="92" t="s">
        <v>2445</v>
      </c>
      <c r="E58" s="194" t="s">
        <v>1616</v>
      </c>
      <c r="F58" s="194" t="str">
        <f t="shared" si="0"/>
        <v>190.5</v>
      </c>
      <c r="G58" s="194">
        <v>54</v>
      </c>
      <c r="H58" s="194"/>
      <c r="I58" s="194">
        <v>4040</v>
      </c>
      <c r="J58" s="194">
        <f t="shared" ref="J58" si="39">IF(B58="","",IF(D58&lt;&gt;"1/1",RIGHT(K58,2)/2.54/2,RIGHT(K58,2)/2.54))</f>
        <v>11.417322834645669</v>
      </c>
      <c r="K58" s="194" t="s">
        <v>1724</v>
      </c>
      <c r="L58" s="194"/>
      <c r="M58" s="194">
        <f t="shared" ref="M58" si="40">IF(B58="","",LEFT(C58,FIND("*",C58)-1)/9000*I58/1000*1.02)</f>
        <v>3.4339999999999996E-2</v>
      </c>
      <c r="N58" s="194">
        <f t="shared" ref="N58" si="41">IF(B58="","",RIGHT(C58,LEN(C58)-FIND("*",C58))/9000*(F58+15)*J58/1000)</f>
        <v>3.9104330708661414E-2</v>
      </c>
      <c r="O58" s="194"/>
    </row>
    <row r="59" spans="1:15" ht="15.95" customHeight="1">
      <c r="A59" s="28" t="str">
        <f t="shared" si="15"/>
        <v>75150190.554黑3/1</v>
      </c>
      <c r="B59" s="114" t="s">
        <v>2272</v>
      </c>
      <c r="C59" s="194" t="s">
        <v>1723</v>
      </c>
      <c r="D59" s="92" t="s">
        <v>2445</v>
      </c>
      <c r="E59" s="194" t="s">
        <v>1727</v>
      </c>
      <c r="F59" s="194" t="str">
        <f t="shared" ref="F59" si="42">IF(B59="","",MID(B59,LEN(C59),LEN(B59)-LEN(C59)-LEN(G59)+1))</f>
        <v>190.5</v>
      </c>
      <c r="G59" s="194">
        <v>54</v>
      </c>
      <c r="H59" s="194"/>
      <c r="I59" s="194">
        <v>4040</v>
      </c>
      <c r="J59" s="194">
        <f t="shared" ref="J59" si="43">IF(B59="","",IF(D59&lt;&gt;"1/1",RIGHT(K59,2)/2.54/2,RIGHT(K59,2)/2.54))</f>
        <v>11.417322834645669</v>
      </c>
      <c r="K59" s="194" t="s">
        <v>1724</v>
      </c>
      <c r="L59" s="194"/>
      <c r="M59" s="194">
        <f t="shared" ref="M59" si="44">IF(B59="","",LEFT(C59,FIND("*",C59)-1)/9000*I59/1000*1.02)</f>
        <v>3.4339999999999996E-2</v>
      </c>
      <c r="N59" s="194">
        <f t="shared" ref="N59" si="45">IF(B59="","",RIGHT(C59,LEN(C59)-FIND("*",C59))/9000*(F59+15)*J59/1000)</f>
        <v>3.9104330708661414E-2</v>
      </c>
      <c r="O59" s="194"/>
    </row>
    <row r="60" spans="1:15" ht="15.95" customHeight="1">
      <c r="A60" s="28" t="str">
        <f t="shared" si="15"/>
        <v>75150190.558白2/2</v>
      </c>
      <c r="B60" s="114" t="s">
        <v>1088</v>
      </c>
      <c r="C60" s="194" t="s">
        <v>1723</v>
      </c>
      <c r="D60" s="92" t="s">
        <v>1689</v>
      </c>
      <c r="E60" s="194" t="s">
        <v>1675</v>
      </c>
      <c r="F60" s="194" t="str">
        <f t="shared" si="0"/>
        <v>190.5</v>
      </c>
      <c r="G60" s="194">
        <v>58</v>
      </c>
      <c r="H60" s="194"/>
      <c r="I60" s="194">
        <v>4040</v>
      </c>
      <c r="J60" s="194">
        <f t="shared" si="25"/>
        <v>12.401574803149606</v>
      </c>
      <c r="K60" s="194" t="s">
        <v>1726</v>
      </c>
      <c r="L60" s="194"/>
      <c r="M60" s="194">
        <f t="shared" si="26"/>
        <v>3.4339999999999996E-2</v>
      </c>
      <c r="N60" s="194">
        <f t="shared" si="27"/>
        <v>4.2475393700787401E-2</v>
      </c>
      <c r="O60" s="194"/>
    </row>
    <row r="61" spans="1:15" ht="15.95" customHeight="1">
      <c r="A61" s="28" t="str">
        <f t="shared" si="15"/>
        <v>75150190.558黑2/2</v>
      </c>
      <c r="B61" s="114" t="s">
        <v>1088</v>
      </c>
      <c r="C61" s="194" t="s">
        <v>1723</v>
      </c>
      <c r="D61" s="92" t="s">
        <v>1689</v>
      </c>
      <c r="E61" s="194" t="s">
        <v>1727</v>
      </c>
      <c r="F61" s="194" t="str">
        <f t="shared" si="0"/>
        <v>190.5</v>
      </c>
      <c r="G61" s="194">
        <v>58</v>
      </c>
      <c r="H61" s="194"/>
      <c r="I61" s="194">
        <v>4040</v>
      </c>
      <c r="J61" s="194">
        <f t="shared" si="25"/>
        <v>12.401574803149606</v>
      </c>
      <c r="K61" s="194" t="s">
        <v>1726</v>
      </c>
      <c r="L61" s="194"/>
      <c r="M61" s="194">
        <f t="shared" si="26"/>
        <v>3.4339999999999996E-2</v>
      </c>
      <c r="N61" s="194">
        <f t="shared" si="27"/>
        <v>4.2475393700787401E-2</v>
      </c>
      <c r="O61" s="194"/>
    </row>
    <row r="62" spans="1:15" ht="15.95" customHeight="1">
      <c r="A62" s="28" t="str">
        <f t="shared" si="15"/>
        <v>7515018854黑3/1</v>
      </c>
      <c r="B62" s="114" t="s">
        <v>1121</v>
      </c>
      <c r="C62" s="194" t="s">
        <v>1723</v>
      </c>
      <c r="D62" s="92" t="s">
        <v>2445</v>
      </c>
      <c r="E62" s="194" t="s">
        <v>1727</v>
      </c>
      <c r="F62" s="194" t="str">
        <f t="shared" si="0"/>
        <v>188</v>
      </c>
      <c r="G62" s="194">
        <v>54</v>
      </c>
      <c r="H62" s="194"/>
      <c r="I62" s="194">
        <v>4130</v>
      </c>
      <c r="J62" s="194">
        <f t="shared" si="25"/>
        <v>11.023622047244094</v>
      </c>
      <c r="K62" s="194" t="s">
        <v>1728</v>
      </c>
      <c r="L62" s="194"/>
      <c r="M62" s="194">
        <f t="shared" si="26"/>
        <v>3.5104999999999997E-2</v>
      </c>
      <c r="N62" s="194">
        <f t="shared" si="27"/>
        <v>3.7296587926509181E-2</v>
      </c>
      <c r="O62" s="194"/>
    </row>
    <row r="63" spans="1:15" ht="15.95" customHeight="1">
      <c r="A63" s="28" t="str">
        <f t="shared" si="15"/>
        <v>75150190.558白3/1</v>
      </c>
      <c r="B63" s="114" t="s">
        <v>1773</v>
      </c>
      <c r="C63" s="194" t="s">
        <v>1723</v>
      </c>
      <c r="D63" s="92" t="s">
        <v>2445</v>
      </c>
      <c r="E63" s="194" t="s">
        <v>1675</v>
      </c>
      <c r="F63" s="194" t="str">
        <f t="shared" si="0"/>
        <v>190.5</v>
      </c>
      <c r="G63" s="194">
        <v>58</v>
      </c>
      <c r="H63" s="194"/>
      <c r="I63" s="194">
        <v>4040</v>
      </c>
      <c r="J63" s="194">
        <f t="shared" si="25"/>
        <v>15.94488188976378</v>
      </c>
      <c r="K63" s="194" t="s">
        <v>1306</v>
      </c>
      <c r="L63" s="194"/>
      <c r="M63" s="194">
        <f t="shared" si="26"/>
        <v>3.4339999999999996E-2</v>
      </c>
      <c r="N63" s="194">
        <f t="shared" si="27"/>
        <v>5.4611220472440943E-2</v>
      </c>
      <c r="O63" s="194"/>
    </row>
    <row r="64" spans="1:15" ht="15.95" customHeight="1">
      <c r="A64" s="28" t="str">
        <f t="shared" si="15"/>
        <v>7515018858黑3/1</v>
      </c>
      <c r="B64" s="114" t="s">
        <v>1775</v>
      </c>
      <c r="C64" s="194" t="s">
        <v>1723</v>
      </c>
      <c r="D64" s="92" t="s">
        <v>2445</v>
      </c>
      <c r="E64" s="194" t="s">
        <v>1727</v>
      </c>
      <c r="F64" s="194" t="str">
        <f t="shared" si="0"/>
        <v>188</v>
      </c>
      <c r="G64" s="194">
        <v>58</v>
      </c>
      <c r="H64" s="194"/>
      <c r="I64" s="194">
        <v>4130</v>
      </c>
      <c r="J64" s="194">
        <f t="shared" si="25"/>
        <v>12.401574803149606</v>
      </c>
      <c r="K64" s="194" t="s">
        <v>1726</v>
      </c>
      <c r="L64" s="194"/>
      <c r="M64" s="194">
        <f t="shared" si="26"/>
        <v>3.5104999999999997E-2</v>
      </c>
      <c r="N64" s="194">
        <f t="shared" si="27"/>
        <v>4.195866141732283E-2</v>
      </c>
      <c r="O64" s="194"/>
    </row>
    <row r="65" spans="1:15" s="173" customFormat="1" ht="15.95" customHeight="1">
      <c r="A65" s="173" t="str">
        <f t="shared" si="15"/>
        <v>7515018858白3/1</v>
      </c>
      <c r="B65" s="257" t="s">
        <v>1775</v>
      </c>
      <c r="C65" s="19" t="s">
        <v>1723</v>
      </c>
      <c r="D65" s="92" t="s">
        <v>2445</v>
      </c>
      <c r="E65" s="19" t="s">
        <v>1675</v>
      </c>
      <c r="F65" s="19" t="str">
        <f t="shared" si="0"/>
        <v>188</v>
      </c>
      <c r="G65" s="19">
        <v>58</v>
      </c>
      <c r="H65" s="19"/>
      <c r="I65" s="246">
        <v>4130</v>
      </c>
      <c r="J65" s="19">
        <f t="shared" si="25"/>
        <v>12.401574803149606</v>
      </c>
      <c r="K65" s="246" t="s">
        <v>1726</v>
      </c>
      <c r="L65" s="19"/>
      <c r="M65" s="19">
        <f t="shared" si="26"/>
        <v>3.5104999999999997E-2</v>
      </c>
      <c r="N65" s="19">
        <f t="shared" si="27"/>
        <v>4.195866141732283E-2</v>
      </c>
      <c r="O65" s="19"/>
    </row>
    <row r="66" spans="1:15" ht="15.95" customHeight="1">
      <c r="A66" s="28" t="str">
        <f t="shared" si="15"/>
        <v>75200190.562白2/2</v>
      </c>
      <c r="B66" s="114" t="s">
        <v>1089</v>
      </c>
      <c r="C66" s="194" t="s">
        <v>1729</v>
      </c>
      <c r="D66" s="92" t="s">
        <v>1689</v>
      </c>
      <c r="E66" s="194" t="s">
        <v>1675</v>
      </c>
      <c r="F66" s="194" t="str">
        <f t="shared" si="0"/>
        <v>190.5</v>
      </c>
      <c r="G66" s="194">
        <v>62</v>
      </c>
      <c r="H66" s="194"/>
      <c r="I66" s="194">
        <v>4040</v>
      </c>
      <c r="J66" s="194">
        <f t="shared" si="25"/>
        <v>11.417322834645669</v>
      </c>
      <c r="K66" s="194" t="s">
        <v>1724</v>
      </c>
      <c r="L66" s="194"/>
      <c r="M66" s="194">
        <f t="shared" si="26"/>
        <v>3.4339999999999996E-2</v>
      </c>
      <c r="N66" s="194">
        <f t="shared" si="27"/>
        <v>5.2139107611548552E-2</v>
      </c>
      <c r="O66" s="194"/>
    </row>
    <row r="67" spans="1:15" ht="15.95" customHeight="1">
      <c r="A67" s="28" t="str">
        <f t="shared" si="15"/>
        <v>75200190.562黑2/2</v>
      </c>
      <c r="B67" s="114" t="s">
        <v>1089</v>
      </c>
      <c r="C67" s="194" t="s">
        <v>1729</v>
      </c>
      <c r="D67" s="92" t="s">
        <v>1689</v>
      </c>
      <c r="E67" s="194" t="s">
        <v>1727</v>
      </c>
      <c r="F67" s="194" t="str">
        <f t="shared" si="0"/>
        <v>190.5</v>
      </c>
      <c r="G67" s="194">
        <v>62</v>
      </c>
      <c r="H67" s="194"/>
      <c r="I67" s="194">
        <v>4130</v>
      </c>
      <c r="J67" s="194">
        <f t="shared" si="25"/>
        <v>11.417322834645669</v>
      </c>
      <c r="K67" s="194" t="s">
        <v>1724</v>
      </c>
      <c r="L67" s="194"/>
      <c r="M67" s="194">
        <f t="shared" si="26"/>
        <v>3.5104999999999997E-2</v>
      </c>
      <c r="N67" s="194">
        <f t="shared" si="27"/>
        <v>5.2139107611548552E-2</v>
      </c>
      <c r="O67" s="194"/>
    </row>
    <row r="68" spans="1:15" s="173" customFormat="1" ht="15.95" customHeight="1">
      <c r="A68" s="173" t="str">
        <f t="shared" si="15"/>
        <v>7520018862黑3/1</v>
      </c>
      <c r="B68" s="257" t="s">
        <v>1804</v>
      </c>
      <c r="C68" s="19" t="s">
        <v>1729</v>
      </c>
      <c r="D68" s="92" t="s">
        <v>2445</v>
      </c>
      <c r="E68" s="19" t="s">
        <v>1727</v>
      </c>
      <c r="F68" s="19" t="str">
        <f t="shared" si="0"/>
        <v>188</v>
      </c>
      <c r="G68" s="19">
        <v>62</v>
      </c>
      <c r="H68" s="19"/>
      <c r="I68" s="246">
        <v>4130</v>
      </c>
      <c r="J68" s="19">
        <f t="shared" si="25"/>
        <v>11.417322834645669</v>
      </c>
      <c r="K68" s="246" t="s">
        <v>1724</v>
      </c>
      <c r="L68" s="19"/>
      <c r="M68" s="19">
        <f t="shared" si="26"/>
        <v>3.5104999999999997E-2</v>
      </c>
      <c r="N68" s="19">
        <f t="shared" si="27"/>
        <v>5.1504811898512685E-2</v>
      </c>
      <c r="O68" s="19"/>
    </row>
    <row r="69" spans="1:15" ht="15.95" customHeight="1">
      <c r="A69" s="28" t="str">
        <f t="shared" si="15"/>
        <v>75200190.562白3/1</v>
      </c>
      <c r="B69" s="114" t="s">
        <v>1815</v>
      </c>
      <c r="C69" s="194" t="s">
        <v>1729</v>
      </c>
      <c r="D69" s="92" t="s">
        <v>2445</v>
      </c>
      <c r="E69" s="194" t="s">
        <v>1675</v>
      </c>
      <c r="F69" s="194" t="str">
        <f t="shared" si="0"/>
        <v>190.5</v>
      </c>
      <c r="G69" s="194">
        <v>62</v>
      </c>
      <c r="H69" s="194"/>
      <c r="I69" s="194">
        <v>4040</v>
      </c>
      <c r="J69" s="194">
        <f t="shared" si="25"/>
        <v>10.62992125984252</v>
      </c>
      <c r="K69" s="194" t="s">
        <v>2269</v>
      </c>
      <c r="L69" s="194"/>
      <c r="M69" s="194">
        <f t="shared" si="26"/>
        <v>3.4339999999999996E-2</v>
      </c>
      <c r="N69" s="194">
        <f t="shared" si="27"/>
        <v>4.8543307086614168E-2</v>
      </c>
      <c r="O69" s="194"/>
    </row>
    <row r="70" spans="1:15" ht="15.95" customHeight="1">
      <c r="A70" s="28" t="str">
        <f t="shared" si="15"/>
        <v>75300190.570白2/2</v>
      </c>
      <c r="B70" s="114" t="s">
        <v>1091</v>
      </c>
      <c r="C70" s="194" t="s">
        <v>1730</v>
      </c>
      <c r="D70" s="92" t="s">
        <v>1689</v>
      </c>
      <c r="E70" s="194" t="s">
        <v>1675</v>
      </c>
      <c r="F70" s="194" t="str">
        <f t="shared" si="0"/>
        <v>190.5</v>
      </c>
      <c r="G70" s="194">
        <v>70</v>
      </c>
      <c r="H70" s="194"/>
      <c r="I70" s="194">
        <v>4040</v>
      </c>
      <c r="J70" s="194">
        <f t="shared" si="25"/>
        <v>9.0551181102362204</v>
      </c>
      <c r="K70" s="194" t="s">
        <v>2270</v>
      </c>
      <c r="L70" s="194"/>
      <c r="M70" s="194">
        <f t="shared" si="26"/>
        <v>3.4339999999999996E-2</v>
      </c>
      <c r="N70" s="194">
        <f t="shared" si="27"/>
        <v>6.2027559055118101E-2</v>
      </c>
      <c r="O70" s="194"/>
    </row>
    <row r="71" spans="1:15" ht="15.95" customHeight="1">
      <c r="A71" s="28" t="str">
        <f t="shared" si="15"/>
        <v>75300190.570黑2/2</v>
      </c>
      <c r="B71" s="114" t="s">
        <v>1091</v>
      </c>
      <c r="C71" s="194" t="s">
        <v>1730</v>
      </c>
      <c r="D71" s="92" t="s">
        <v>1689</v>
      </c>
      <c r="E71" s="194" t="s">
        <v>1727</v>
      </c>
      <c r="F71" s="194" t="str">
        <f t="shared" si="0"/>
        <v>190.5</v>
      </c>
      <c r="G71" s="194">
        <v>70</v>
      </c>
      <c r="H71" s="194"/>
      <c r="I71" s="194">
        <v>4040</v>
      </c>
      <c r="J71" s="194">
        <f t="shared" si="25"/>
        <v>9.0551181102362204</v>
      </c>
      <c r="K71" s="194" t="s">
        <v>2270</v>
      </c>
      <c r="L71" s="194"/>
      <c r="M71" s="194">
        <f t="shared" si="26"/>
        <v>3.4339999999999996E-2</v>
      </c>
      <c r="N71" s="194">
        <f t="shared" si="27"/>
        <v>6.2027559055118101E-2</v>
      </c>
      <c r="O71" s="194"/>
    </row>
    <row r="72" spans="1:15" ht="15.95" customHeight="1">
      <c r="A72" s="28" t="str">
        <f t="shared" si="15"/>
        <v>7575190.543白2/2</v>
      </c>
      <c r="B72" s="114" t="s">
        <v>1093</v>
      </c>
      <c r="C72" s="194" t="s">
        <v>1731</v>
      </c>
      <c r="D72" s="92" t="s">
        <v>1689</v>
      </c>
      <c r="E72" s="194" t="s">
        <v>1675</v>
      </c>
      <c r="F72" s="194" t="str">
        <f t="shared" si="0"/>
        <v>190.5</v>
      </c>
      <c r="G72" s="194">
        <v>43</v>
      </c>
      <c r="H72" s="194"/>
      <c r="I72" s="194">
        <v>4040</v>
      </c>
      <c r="J72" s="194">
        <f t="shared" si="25"/>
        <v>15.354330708661417</v>
      </c>
      <c r="K72" s="194" t="s">
        <v>1732</v>
      </c>
      <c r="L72" s="194"/>
      <c r="M72" s="194">
        <f t="shared" si="26"/>
        <v>3.4339999999999996E-2</v>
      </c>
      <c r="N72" s="194">
        <f t="shared" si="27"/>
        <v>2.6294291338582673E-2</v>
      </c>
      <c r="O72" s="194"/>
    </row>
    <row r="73" spans="1:15" ht="15.95" customHeight="1">
      <c r="A73" s="28" t="str">
        <f t="shared" si="15"/>
        <v>7575190.543黑2/2</v>
      </c>
      <c r="B73" s="114" t="s">
        <v>1093</v>
      </c>
      <c r="C73" s="194" t="s">
        <v>1731</v>
      </c>
      <c r="D73" s="92" t="s">
        <v>1689</v>
      </c>
      <c r="E73" s="194" t="s">
        <v>1727</v>
      </c>
      <c r="F73" s="194" t="str">
        <f t="shared" si="0"/>
        <v>190.5</v>
      </c>
      <c r="G73" s="194">
        <v>43</v>
      </c>
      <c r="H73" s="194"/>
      <c r="I73" s="194">
        <v>4040</v>
      </c>
      <c r="J73" s="194">
        <f t="shared" si="25"/>
        <v>15.354330708661417</v>
      </c>
      <c r="K73" s="194" t="s">
        <v>1732</v>
      </c>
      <c r="L73" s="194"/>
      <c r="M73" s="194">
        <f t="shared" si="26"/>
        <v>3.4339999999999996E-2</v>
      </c>
      <c r="N73" s="194">
        <f t="shared" si="27"/>
        <v>2.6294291338582673E-2</v>
      </c>
      <c r="O73" s="194"/>
    </row>
    <row r="74" spans="1:15" ht="15.95" customHeight="1">
      <c r="A74" s="28" t="str">
        <f t="shared" si="15"/>
        <v>7575190.545白3/1</v>
      </c>
      <c r="B74" s="114" t="s">
        <v>1769</v>
      </c>
      <c r="C74" s="194" t="s">
        <v>1731</v>
      </c>
      <c r="D74" s="92" t="s">
        <v>2445</v>
      </c>
      <c r="E74" s="194" t="s">
        <v>1675</v>
      </c>
      <c r="F74" s="194" t="str">
        <f t="shared" si="0"/>
        <v>190.5</v>
      </c>
      <c r="G74" s="194">
        <v>45</v>
      </c>
      <c r="H74" s="194"/>
      <c r="I74" s="194">
        <v>4040</v>
      </c>
      <c r="J74" s="194">
        <f t="shared" si="25"/>
        <v>16.929133858267715</v>
      </c>
      <c r="K74" s="194" t="s">
        <v>2271</v>
      </c>
      <c r="L74" s="194"/>
      <c r="M74" s="194">
        <f t="shared" si="26"/>
        <v>3.4339999999999996E-2</v>
      </c>
      <c r="N74" s="194">
        <f t="shared" si="27"/>
        <v>2.8991141732283461E-2</v>
      </c>
      <c r="O74" s="194"/>
    </row>
    <row r="75" spans="1:15" s="173" customFormat="1" ht="15.95" customHeight="1">
      <c r="A75" s="173" t="str">
        <f t="shared" si="15"/>
        <v>757518845黑3/1</v>
      </c>
      <c r="B75" s="257" t="s">
        <v>1771</v>
      </c>
      <c r="C75" s="19" t="s">
        <v>1731</v>
      </c>
      <c r="D75" s="92" t="s">
        <v>2445</v>
      </c>
      <c r="E75" s="19" t="s">
        <v>1727</v>
      </c>
      <c r="F75" s="19" t="str">
        <f t="shared" si="0"/>
        <v>188</v>
      </c>
      <c r="G75" s="19">
        <v>45</v>
      </c>
      <c r="H75" s="19"/>
      <c r="I75" s="19">
        <v>4040</v>
      </c>
      <c r="J75" s="19">
        <f t="shared" si="25"/>
        <v>15.748031496062993</v>
      </c>
      <c r="K75" s="19" t="s">
        <v>1323</v>
      </c>
      <c r="L75" s="19"/>
      <c r="M75" s="19">
        <f t="shared" si="26"/>
        <v>3.4339999999999996E-2</v>
      </c>
      <c r="N75" s="19">
        <f t="shared" si="27"/>
        <v>2.6640419947506561E-2</v>
      </c>
      <c r="O75" s="19"/>
    </row>
    <row r="76" spans="1:15">
      <c r="A76" s="28" t="str">
        <f t="shared" si="15"/>
        <v/>
      </c>
      <c r="F76" s="28" t="str">
        <f t="shared" ref="F76:F138" si="46">IF(B76="","",MID(B76,LEN(C76),LEN(B76)-LEN(C76)-LEN(G76)+1))</f>
        <v/>
      </c>
      <c r="J76" s="28" t="str">
        <f t="shared" ref="J76:J88" si="47">IF(B76="","",IF(D76&lt;&gt;"1/1",RIGHT(K76,2)/2.54/2,RIGHT(K76,2)/2.54))</f>
        <v/>
      </c>
      <c r="M76" s="28" t="str">
        <f t="shared" ref="M76:M88" si="48">IF(B76="","",LEFT(C76,FIND("*",C76)-1)/9000*I76/1000*1.02)</f>
        <v/>
      </c>
      <c r="N76" s="28" t="str">
        <f t="shared" ref="N76:N88" si="49">IF(B76="","",RIGHT(C76,LEN(C76)-FIND("*",C76))/9000*(F76+15)*J76/1000)</f>
        <v/>
      </c>
    </row>
    <row r="77" spans="1:15">
      <c r="A77" s="28" t="str">
        <f t="shared" si="15"/>
        <v/>
      </c>
      <c r="F77" s="28" t="str">
        <f t="shared" si="46"/>
        <v/>
      </c>
      <c r="J77" s="28" t="str">
        <f t="shared" si="47"/>
        <v/>
      </c>
      <c r="M77" s="28" t="str">
        <f t="shared" si="48"/>
        <v/>
      </c>
      <c r="N77" s="28" t="str">
        <f t="shared" si="49"/>
        <v/>
      </c>
    </row>
    <row r="78" spans="1:15">
      <c r="A78" s="28" t="str">
        <f t="shared" si="15"/>
        <v/>
      </c>
      <c r="F78" s="28" t="str">
        <f t="shared" si="46"/>
        <v/>
      </c>
      <c r="J78" s="28" t="str">
        <f t="shared" si="47"/>
        <v/>
      </c>
      <c r="M78" s="28" t="str">
        <f t="shared" si="48"/>
        <v/>
      </c>
      <c r="N78" s="28" t="str">
        <f t="shared" si="49"/>
        <v/>
      </c>
    </row>
    <row r="79" spans="1:15">
      <c r="A79" s="28" t="str">
        <f t="shared" si="15"/>
        <v/>
      </c>
      <c r="F79" s="28" t="str">
        <f t="shared" si="46"/>
        <v/>
      </c>
      <c r="J79" s="28" t="str">
        <f t="shared" si="47"/>
        <v/>
      </c>
      <c r="M79" s="28" t="str">
        <f t="shared" si="48"/>
        <v/>
      </c>
      <c r="N79" s="28" t="str">
        <f t="shared" si="49"/>
        <v/>
      </c>
    </row>
    <row r="80" spans="1:15">
      <c r="F80" s="28" t="str">
        <f t="shared" si="46"/>
        <v/>
      </c>
      <c r="J80" s="28" t="str">
        <f t="shared" si="47"/>
        <v/>
      </c>
      <c r="M80" s="28" t="str">
        <f t="shared" si="48"/>
        <v/>
      </c>
      <c r="N80" s="28" t="str">
        <f t="shared" si="49"/>
        <v/>
      </c>
    </row>
    <row r="81" spans="6:14">
      <c r="F81" s="28" t="str">
        <f t="shared" si="46"/>
        <v/>
      </c>
      <c r="J81" s="28" t="str">
        <f t="shared" si="47"/>
        <v/>
      </c>
      <c r="M81" s="28" t="str">
        <f t="shared" si="48"/>
        <v/>
      </c>
      <c r="N81" s="28" t="str">
        <f t="shared" si="49"/>
        <v/>
      </c>
    </row>
    <row r="82" spans="6:14">
      <c r="F82" s="28" t="str">
        <f t="shared" si="46"/>
        <v/>
      </c>
      <c r="J82" s="28" t="str">
        <f t="shared" si="47"/>
        <v/>
      </c>
      <c r="M82" s="28" t="str">
        <f t="shared" si="48"/>
        <v/>
      </c>
      <c r="N82" s="28" t="str">
        <f t="shared" si="49"/>
        <v/>
      </c>
    </row>
    <row r="83" spans="6:14">
      <c r="F83" s="28" t="str">
        <f t="shared" si="46"/>
        <v/>
      </c>
      <c r="J83" s="28" t="str">
        <f t="shared" si="47"/>
        <v/>
      </c>
      <c r="M83" s="28" t="str">
        <f t="shared" si="48"/>
        <v/>
      </c>
      <c r="N83" s="28" t="str">
        <f t="shared" si="49"/>
        <v/>
      </c>
    </row>
    <row r="84" spans="6:14">
      <c r="F84" s="28" t="str">
        <f t="shared" si="46"/>
        <v/>
      </c>
      <c r="J84" s="28" t="str">
        <f t="shared" si="47"/>
        <v/>
      </c>
      <c r="M84" s="28" t="str">
        <f t="shared" si="48"/>
        <v/>
      </c>
      <c r="N84" s="28" t="str">
        <f t="shared" si="49"/>
        <v/>
      </c>
    </row>
    <row r="85" spans="6:14">
      <c r="F85" s="28" t="str">
        <f t="shared" si="46"/>
        <v/>
      </c>
      <c r="J85" s="28" t="str">
        <f t="shared" si="47"/>
        <v/>
      </c>
      <c r="M85" s="28" t="str">
        <f t="shared" si="48"/>
        <v/>
      </c>
      <c r="N85" s="28" t="str">
        <f t="shared" si="49"/>
        <v/>
      </c>
    </row>
    <row r="86" spans="6:14">
      <c r="F86" s="28" t="str">
        <f t="shared" si="46"/>
        <v/>
      </c>
      <c r="J86" s="28" t="str">
        <f t="shared" si="47"/>
        <v/>
      </c>
      <c r="M86" s="28" t="str">
        <f t="shared" si="48"/>
        <v/>
      </c>
      <c r="N86" s="28" t="str">
        <f t="shared" si="49"/>
        <v/>
      </c>
    </row>
    <row r="87" spans="6:14">
      <c r="F87" s="28" t="str">
        <f t="shared" si="46"/>
        <v/>
      </c>
      <c r="J87" s="28" t="str">
        <f t="shared" si="47"/>
        <v/>
      </c>
      <c r="M87" s="28" t="str">
        <f t="shared" si="48"/>
        <v/>
      </c>
      <c r="N87" s="28" t="str">
        <f t="shared" si="49"/>
        <v/>
      </c>
    </row>
    <row r="88" spans="6:14">
      <c r="F88" s="28" t="str">
        <f t="shared" si="46"/>
        <v/>
      </c>
      <c r="J88" s="28" t="str">
        <f t="shared" si="47"/>
        <v/>
      </c>
      <c r="M88" s="28" t="str">
        <f t="shared" si="48"/>
        <v/>
      </c>
      <c r="N88" s="28" t="str">
        <f t="shared" si="49"/>
        <v/>
      </c>
    </row>
    <row r="89" spans="6:14">
      <c r="F89" s="28" t="str">
        <f t="shared" si="46"/>
        <v/>
      </c>
    </row>
    <row r="90" spans="6:14">
      <c r="F90" s="28" t="str">
        <f t="shared" si="46"/>
        <v/>
      </c>
    </row>
    <row r="91" spans="6:14">
      <c r="F91" s="28" t="str">
        <f t="shared" si="46"/>
        <v/>
      </c>
    </row>
    <row r="92" spans="6:14">
      <c r="F92" s="28" t="str">
        <f t="shared" si="46"/>
        <v/>
      </c>
    </row>
    <row r="93" spans="6:14">
      <c r="F93" s="28" t="str">
        <f t="shared" si="46"/>
        <v/>
      </c>
    </row>
    <row r="94" spans="6:14">
      <c r="F94" s="28" t="str">
        <f t="shared" si="46"/>
        <v/>
      </c>
    </row>
    <row r="95" spans="6:14">
      <c r="F95" s="28" t="str">
        <f t="shared" si="46"/>
        <v/>
      </c>
    </row>
    <row r="96" spans="6:14">
      <c r="F96" s="28" t="str">
        <f t="shared" si="46"/>
        <v/>
      </c>
    </row>
    <row r="97" spans="6:6">
      <c r="F97" s="28" t="str">
        <f t="shared" si="46"/>
        <v/>
      </c>
    </row>
    <row r="98" spans="6:6">
      <c r="F98" s="28" t="str">
        <f t="shared" si="46"/>
        <v/>
      </c>
    </row>
    <row r="99" spans="6:6">
      <c r="F99" s="28" t="str">
        <f t="shared" si="46"/>
        <v/>
      </c>
    </row>
    <row r="100" spans="6:6">
      <c r="F100" s="28" t="str">
        <f t="shared" si="46"/>
        <v/>
      </c>
    </row>
    <row r="101" spans="6:6">
      <c r="F101" s="28" t="str">
        <f t="shared" si="46"/>
        <v/>
      </c>
    </row>
    <row r="102" spans="6:6">
      <c r="F102" s="28" t="str">
        <f t="shared" si="46"/>
        <v/>
      </c>
    </row>
    <row r="103" spans="6:6">
      <c r="F103" s="28" t="str">
        <f t="shared" si="46"/>
        <v/>
      </c>
    </row>
    <row r="104" spans="6:6">
      <c r="F104" s="28" t="str">
        <f t="shared" si="46"/>
        <v/>
      </c>
    </row>
    <row r="105" spans="6:6">
      <c r="F105" s="28" t="str">
        <f t="shared" si="46"/>
        <v/>
      </c>
    </row>
    <row r="106" spans="6:6">
      <c r="F106" s="28" t="str">
        <f t="shared" si="46"/>
        <v/>
      </c>
    </row>
    <row r="107" spans="6:6">
      <c r="F107" s="28" t="str">
        <f t="shared" si="46"/>
        <v/>
      </c>
    </row>
    <row r="108" spans="6:6">
      <c r="F108" s="28" t="str">
        <f t="shared" si="46"/>
        <v/>
      </c>
    </row>
    <row r="109" spans="6:6">
      <c r="F109" s="28" t="str">
        <f t="shared" si="46"/>
        <v/>
      </c>
    </row>
    <row r="110" spans="6:6">
      <c r="F110" s="28" t="str">
        <f t="shared" si="46"/>
        <v/>
      </c>
    </row>
    <row r="111" spans="6:6">
      <c r="F111" s="28" t="str">
        <f t="shared" si="46"/>
        <v/>
      </c>
    </row>
    <row r="112" spans="6:6">
      <c r="F112" s="28" t="str">
        <f t="shared" si="46"/>
        <v/>
      </c>
    </row>
    <row r="113" spans="6:6">
      <c r="F113" s="28" t="str">
        <f t="shared" si="46"/>
        <v/>
      </c>
    </row>
    <row r="114" spans="6:6">
      <c r="F114" s="28" t="str">
        <f t="shared" si="46"/>
        <v/>
      </c>
    </row>
    <row r="115" spans="6:6">
      <c r="F115" s="28" t="str">
        <f t="shared" si="46"/>
        <v/>
      </c>
    </row>
    <row r="116" spans="6:6">
      <c r="F116" s="28" t="str">
        <f t="shared" si="46"/>
        <v/>
      </c>
    </row>
    <row r="117" spans="6:6">
      <c r="F117" s="28" t="str">
        <f t="shared" si="46"/>
        <v/>
      </c>
    </row>
    <row r="118" spans="6:6">
      <c r="F118" s="28" t="str">
        <f t="shared" si="46"/>
        <v/>
      </c>
    </row>
    <row r="119" spans="6:6">
      <c r="F119" s="28" t="str">
        <f t="shared" si="46"/>
        <v/>
      </c>
    </row>
    <row r="120" spans="6:6">
      <c r="F120" s="28" t="str">
        <f t="shared" si="46"/>
        <v/>
      </c>
    </row>
    <row r="121" spans="6:6">
      <c r="F121" s="28" t="str">
        <f t="shared" si="46"/>
        <v/>
      </c>
    </row>
    <row r="122" spans="6:6">
      <c r="F122" s="28" t="str">
        <f t="shared" si="46"/>
        <v/>
      </c>
    </row>
    <row r="123" spans="6:6">
      <c r="F123" s="28" t="str">
        <f t="shared" si="46"/>
        <v/>
      </c>
    </row>
    <row r="124" spans="6:6">
      <c r="F124" s="28" t="str">
        <f t="shared" si="46"/>
        <v/>
      </c>
    </row>
    <row r="125" spans="6:6">
      <c r="F125" s="28" t="str">
        <f t="shared" si="46"/>
        <v/>
      </c>
    </row>
    <row r="126" spans="6:6">
      <c r="F126" s="28" t="str">
        <f t="shared" si="46"/>
        <v/>
      </c>
    </row>
    <row r="127" spans="6:6">
      <c r="F127" s="28" t="str">
        <f t="shared" si="46"/>
        <v/>
      </c>
    </row>
    <row r="128" spans="6:6">
      <c r="F128" s="28" t="str">
        <f t="shared" si="46"/>
        <v/>
      </c>
    </row>
    <row r="129" spans="6:6">
      <c r="F129" s="28" t="str">
        <f t="shared" si="46"/>
        <v/>
      </c>
    </row>
    <row r="130" spans="6:6">
      <c r="F130" s="28" t="str">
        <f t="shared" si="46"/>
        <v/>
      </c>
    </row>
    <row r="131" spans="6:6">
      <c r="F131" s="28" t="str">
        <f t="shared" si="46"/>
        <v/>
      </c>
    </row>
    <row r="132" spans="6:6">
      <c r="F132" s="28" t="str">
        <f t="shared" si="46"/>
        <v/>
      </c>
    </row>
    <row r="133" spans="6:6">
      <c r="F133" s="28" t="str">
        <f t="shared" si="46"/>
        <v/>
      </c>
    </row>
    <row r="134" spans="6:6">
      <c r="F134" s="28" t="str">
        <f t="shared" si="46"/>
        <v/>
      </c>
    </row>
    <row r="135" spans="6:6">
      <c r="F135" s="28" t="str">
        <f t="shared" si="46"/>
        <v/>
      </c>
    </row>
    <row r="136" spans="6:6">
      <c r="F136" s="28" t="str">
        <f t="shared" si="46"/>
        <v/>
      </c>
    </row>
    <row r="137" spans="6:6">
      <c r="F137" s="28" t="str">
        <f t="shared" si="46"/>
        <v/>
      </c>
    </row>
    <row r="138" spans="6:6">
      <c r="F138" s="28" t="str">
        <f t="shared" si="46"/>
        <v/>
      </c>
    </row>
    <row r="139" spans="6:6">
      <c r="F139" s="28" t="str">
        <f t="shared" ref="F139:F202" si="50">IF(B139="","",MID(B139,LEN(C139),LEN(B139)-LEN(C139)-LEN(G139)+1))</f>
        <v/>
      </c>
    </row>
    <row r="140" spans="6:6">
      <c r="F140" s="28" t="str">
        <f t="shared" si="50"/>
        <v/>
      </c>
    </row>
    <row r="141" spans="6:6">
      <c r="F141" s="28" t="str">
        <f t="shared" si="50"/>
        <v/>
      </c>
    </row>
    <row r="142" spans="6:6">
      <c r="F142" s="28" t="str">
        <f t="shared" si="50"/>
        <v/>
      </c>
    </row>
    <row r="143" spans="6:6">
      <c r="F143" s="28" t="str">
        <f t="shared" si="50"/>
        <v/>
      </c>
    </row>
    <row r="144" spans="6:6">
      <c r="F144" s="28" t="str">
        <f t="shared" si="50"/>
        <v/>
      </c>
    </row>
    <row r="145" spans="6:6">
      <c r="F145" s="28" t="str">
        <f t="shared" si="50"/>
        <v/>
      </c>
    </row>
    <row r="146" spans="6:6">
      <c r="F146" s="28" t="str">
        <f t="shared" si="50"/>
        <v/>
      </c>
    </row>
    <row r="147" spans="6:6">
      <c r="F147" s="28" t="str">
        <f t="shared" si="50"/>
        <v/>
      </c>
    </row>
    <row r="148" spans="6:6">
      <c r="F148" s="28" t="str">
        <f t="shared" si="50"/>
        <v/>
      </c>
    </row>
    <row r="149" spans="6:6">
      <c r="F149" s="28" t="str">
        <f t="shared" si="50"/>
        <v/>
      </c>
    </row>
    <row r="150" spans="6:6">
      <c r="F150" s="28" t="str">
        <f t="shared" si="50"/>
        <v/>
      </c>
    </row>
    <row r="151" spans="6:6">
      <c r="F151" s="28" t="str">
        <f t="shared" si="50"/>
        <v/>
      </c>
    </row>
    <row r="152" spans="6:6">
      <c r="F152" s="28" t="str">
        <f t="shared" si="50"/>
        <v/>
      </c>
    </row>
    <row r="153" spans="6:6">
      <c r="F153" s="28" t="str">
        <f t="shared" si="50"/>
        <v/>
      </c>
    </row>
    <row r="154" spans="6:6">
      <c r="F154" s="28" t="str">
        <f t="shared" si="50"/>
        <v/>
      </c>
    </row>
    <row r="155" spans="6:6">
      <c r="F155" s="28" t="str">
        <f t="shared" si="50"/>
        <v/>
      </c>
    </row>
    <row r="156" spans="6:6">
      <c r="F156" s="28" t="str">
        <f t="shared" si="50"/>
        <v/>
      </c>
    </row>
    <row r="157" spans="6:6">
      <c r="F157" s="28" t="str">
        <f t="shared" si="50"/>
        <v/>
      </c>
    </row>
    <row r="158" spans="6:6">
      <c r="F158" s="28" t="str">
        <f t="shared" si="50"/>
        <v/>
      </c>
    </row>
    <row r="159" spans="6:6">
      <c r="F159" s="28" t="str">
        <f t="shared" si="50"/>
        <v/>
      </c>
    </row>
    <row r="160" spans="6:6">
      <c r="F160" s="28" t="str">
        <f t="shared" si="50"/>
        <v/>
      </c>
    </row>
    <row r="161" spans="6:6">
      <c r="F161" s="28" t="str">
        <f t="shared" si="50"/>
        <v/>
      </c>
    </row>
    <row r="162" spans="6:6">
      <c r="F162" s="28" t="str">
        <f t="shared" si="50"/>
        <v/>
      </c>
    </row>
    <row r="163" spans="6:6">
      <c r="F163" s="28" t="str">
        <f t="shared" si="50"/>
        <v/>
      </c>
    </row>
    <row r="164" spans="6:6">
      <c r="F164" s="28" t="str">
        <f t="shared" si="50"/>
        <v/>
      </c>
    </row>
    <row r="165" spans="6:6">
      <c r="F165" s="28" t="str">
        <f t="shared" si="50"/>
        <v/>
      </c>
    </row>
    <row r="166" spans="6:6">
      <c r="F166" s="28" t="str">
        <f t="shared" si="50"/>
        <v/>
      </c>
    </row>
    <row r="167" spans="6:6">
      <c r="F167" s="28" t="str">
        <f t="shared" si="50"/>
        <v/>
      </c>
    </row>
    <row r="168" spans="6:6">
      <c r="F168" s="28" t="str">
        <f t="shared" si="50"/>
        <v/>
      </c>
    </row>
    <row r="169" spans="6:6">
      <c r="F169" s="28" t="str">
        <f t="shared" si="50"/>
        <v/>
      </c>
    </row>
    <row r="170" spans="6:6">
      <c r="F170" s="28" t="str">
        <f t="shared" si="50"/>
        <v/>
      </c>
    </row>
    <row r="171" spans="6:6">
      <c r="F171" s="28" t="str">
        <f t="shared" si="50"/>
        <v/>
      </c>
    </row>
    <row r="172" spans="6:6">
      <c r="F172" s="28" t="str">
        <f t="shared" si="50"/>
        <v/>
      </c>
    </row>
    <row r="173" spans="6:6">
      <c r="F173" s="28" t="str">
        <f t="shared" si="50"/>
        <v/>
      </c>
    </row>
    <row r="174" spans="6:6">
      <c r="F174" s="28" t="str">
        <f t="shared" si="50"/>
        <v/>
      </c>
    </row>
    <row r="175" spans="6:6">
      <c r="F175" s="28" t="str">
        <f t="shared" si="50"/>
        <v/>
      </c>
    </row>
    <row r="176" spans="6:6">
      <c r="F176" s="28" t="str">
        <f t="shared" si="50"/>
        <v/>
      </c>
    </row>
    <row r="177" spans="6:6">
      <c r="F177" s="28" t="str">
        <f t="shared" si="50"/>
        <v/>
      </c>
    </row>
    <row r="178" spans="6:6">
      <c r="F178" s="28" t="str">
        <f t="shared" si="50"/>
        <v/>
      </c>
    </row>
    <row r="179" spans="6:6">
      <c r="F179" s="28" t="str">
        <f t="shared" si="50"/>
        <v/>
      </c>
    </row>
    <row r="180" spans="6:6">
      <c r="F180" s="28" t="str">
        <f t="shared" si="50"/>
        <v/>
      </c>
    </row>
    <row r="181" spans="6:6">
      <c r="F181" s="28" t="str">
        <f t="shared" si="50"/>
        <v/>
      </c>
    </row>
    <row r="182" spans="6:6">
      <c r="F182" s="28" t="str">
        <f t="shared" si="50"/>
        <v/>
      </c>
    </row>
    <row r="183" spans="6:6">
      <c r="F183" s="28" t="str">
        <f t="shared" si="50"/>
        <v/>
      </c>
    </row>
    <row r="184" spans="6:6">
      <c r="F184" s="28" t="str">
        <f t="shared" si="50"/>
        <v/>
      </c>
    </row>
    <row r="185" spans="6:6">
      <c r="F185" s="28" t="str">
        <f t="shared" si="50"/>
        <v/>
      </c>
    </row>
    <row r="186" spans="6:6">
      <c r="F186" s="28" t="str">
        <f t="shared" si="50"/>
        <v/>
      </c>
    </row>
    <row r="187" spans="6:6">
      <c r="F187" s="28" t="str">
        <f t="shared" si="50"/>
        <v/>
      </c>
    </row>
    <row r="188" spans="6:6">
      <c r="F188" s="28" t="str">
        <f t="shared" si="50"/>
        <v/>
      </c>
    </row>
    <row r="189" spans="6:6">
      <c r="F189" s="28" t="str">
        <f t="shared" si="50"/>
        <v/>
      </c>
    </row>
    <row r="190" spans="6:6">
      <c r="F190" s="28" t="str">
        <f t="shared" si="50"/>
        <v/>
      </c>
    </row>
    <row r="191" spans="6:6">
      <c r="F191" s="28" t="str">
        <f t="shared" si="50"/>
        <v/>
      </c>
    </row>
    <row r="192" spans="6:6">
      <c r="F192" s="28" t="str">
        <f t="shared" si="50"/>
        <v/>
      </c>
    </row>
    <row r="193" spans="6:6">
      <c r="F193" s="28" t="str">
        <f t="shared" si="50"/>
        <v/>
      </c>
    </row>
    <row r="194" spans="6:6">
      <c r="F194" s="28" t="str">
        <f t="shared" si="50"/>
        <v/>
      </c>
    </row>
    <row r="195" spans="6:6">
      <c r="F195" s="28" t="str">
        <f t="shared" si="50"/>
        <v/>
      </c>
    </row>
    <row r="196" spans="6:6">
      <c r="F196" s="28" t="str">
        <f t="shared" si="50"/>
        <v/>
      </c>
    </row>
    <row r="197" spans="6:6">
      <c r="F197" s="28" t="str">
        <f t="shared" si="50"/>
        <v/>
      </c>
    </row>
    <row r="198" spans="6:6">
      <c r="F198" s="28" t="str">
        <f t="shared" si="50"/>
        <v/>
      </c>
    </row>
    <row r="199" spans="6:6">
      <c r="F199" s="28" t="str">
        <f t="shared" si="50"/>
        <v/>
      </c>
    </row>
    <row r="200" spans="6:6">
      <c r="F200" s="28" t="str">
        <f t="shared" si="50"/>
        <v/>
      </c>
    </row>
    <row r="201" spans="6:6">
      <c r="F201" s="28" t="str">
        <f t="shared" si="50"/>
        <v/>
      </c>
    </row>
    <row r="202" spans="6:6">
      <c r="F202" s="28" t="str">
        <f t="shared" si="50"/>
        <v/>
      </c>
    </row>
    <row r="203" spans="6:6">
      <c r="F203" s="28" t="str">
        <f t="shared" ref="F203:F266" si="51">IF(B203="","",MID(B203,LEN(C203),LEN(B203)-LEN(C203)-LEN(G203)+1))</f>
        <v/>
      </c>
    </row>
    <row r="204" spans="6:6">
      <c r="F204" s="28" t="str">
        <f t="shared" si="51"/>
        <v/>
      </c>
    </row>
    <row r="205" spans="6:6">
      <c r="F205" s="28" t="str">
        <f t="shared" si="51"/>
        <v/>
      </c>
    </row>
    <row r="206" spans="6:6">
      <c r="F206" s="28" t="str">
        <f t="shared" si="51"/>
        <v/>
      </c>
    </row>
    <row r="207" spans="6:6">
      <c r="F207" s="28" t="str">
        <f t="shared" si="51"/>
        <v/>
      </c>
    </row>
    <row r="208" spans="6:6">
      <c r="F208" s="28" t="str">
        <f t="shared" si="51"/>
        <v/>
      </c>
    </row>
    <row r="209" spans="6:6">
      <c r="F209" s="28" t="str">
        <f t="shared" si="51"/>
        <v/>
      </c>
    </row>
    <row r="210" spans="6:6">
      <c r="F210" s="28" t="str">
        <f t="shared" si="51"/>
        <v/>
      </c>
    </row>
    <row r="211" spans="6:6">
      <c r="F211" s="28" t="str">
        <f t="shared" si="51"/>
        <v/>
      </c>
    </row>
    <row r="212" spans="6:6">
      <c r="F212" s="28" t="str">
        <f t="shared" si="51"/>
        <v/>
      </c>
    </row>
    <row r="213" spans="6:6">
      <c r="F213" s="28" t="str">
        <f t="shared" si="51"/>
        <v/>
      </c>
    </row>
    <row r="214" spans="6:6">
      <c r="F214" s="28" t="str">
        <f t="shared" si="51"/>
        <v/>
      </c>
    </row>
    <row r="215" spans="6:6">
      <c r="F215" s="28" t="str">
        <f t="shared" si="51"/>
        <v/>
      </c>
    </row>
    <row r="216" spans="6:6">
      <c r="F216" s="28" t="str">
        <f t="shared" si="51"/>
        <v/>
      </c>
    </row>
    <row r="217" spans="6:6">
      <c r="F217" s="28" t="str">
        <f t="shared" si="51"/>
        <v/>
      </c>
    </row>
    <row r="218" spans="6:6">
      <c r="F218" s="28" t="str">
        <f t="shared" si="51"/>
        <v/>
      </c>
    </row>
    <row r="219" spans="6:6">
      <c r="F219" s="28" t="str">
        <f t="shared" si="51"/>
        <v/>
      </c>
    </row>
    <row r="220" spans="6:6">
      <c r="F220" s="28" t="str">
        <f t="shared" si="51"/>
        <v/>
      </c>
    </row>
    <row r="221" spans="6:6">
      <c r="F221" s="28" t="str">
        <f t="shared" si="51"/>
        <v/>
      </c>
    </row>
    <row r="222" spans="6:6">
      <c r="F222" s="28" t="str">
        <f t="shared" si="51"/>
        <v/>
      </c>
    </row>
    <row r="223" spans="6:6">
      <c r="F223" s="28" t="str">
        <f t="shared" si="51"/>
        <v/>
      </c>
    </row>
    <row r="224" spans="6:6">
      <c r="F224" s="28" t="str">
        <f t="shared" si="51"/>
        <v/>
      </c>
    </row>
    <row r="225" spans="6:6">
      <c r="F225" s="28" t="str">
        <f t="shared" si="51"/>
        <v/>
      </c>
    </row>
    <row r="226" spans="6:6">
      <c r="F226" s="28" t="str">
        <f t="shared" si="51"/>
        <v/>
      </c>
    </row>
    <row r="227" spans="6:6">
      <c r="F227" s="28" t="str">
        <f t="shared" si="51"/>
        <v/>
      </c>
    </row>
    <row r="228" spans="6:6">
      <c r="F228" s="28" t="str">
        <f t="shared" si="51"/>
        <v/>
      </c>
    </row>
    <row r="229" spans="6:6">
      <c r="F229" s="28" t="str">
        <f t="shared" si="51"/>
        <v/>
      </c>
    </row>
    <row r="230" spans="6:6">
      <c r="F230" s="28" t="str">
        <f t="shared" si="51"/>
        <v/>
      </c>
    </row>
    <row r="231" spans="6:6">
      <c r="F231" s="28" t="str">
        <f t="shared" si="51"/>
        <v/>
      </c>
    </row>
    <row r="232" spans="6:6">
      <c r="F232" s="28" t="str">
        <f t="shared" si="51"/>
        <v/>
      </c>
    </row>
    <row r="233" spans="6:6">
      <c r="F233" s="28" t="str">
        <f t="shared" si="51"/>
        <v/>
      </c>
    </row>
    <row r="234" spans="6:6">
      <c r="F234" s="28" t="str">
        <f t="shared" si="51"/>
        <v/>
      </c>
    </row>
    <row r="235" spans="6:6">
      <c r="F235" s="28" t="str">
        <f t="shared" si="51"/>
        <v/>
      </c>
    </row>
    <row r="236" spans="6:6">
      <c r="F236" s="28" t="str">
        <f t="shared" si="51"/>
        <v/>
      </c>
    </row>
    <row r="237" spans="6:6">
      <c r="F237" s="28" t="str">
        <f t="shared" si="51"/>
        <v/>
      </c>
    </row>
    <row r="238" spans="6:6">
      <c r="F238" s="28" t="str">
        <f t="shared" si="51"/>
        <v/>
      </c>
    </row>
    <row r="239" spans="6:6">
      <c r="F239" s="28" t="str">
        <f t="shared" si="51"/>
        <v/>
      </c>
    </row>
    <row r="240" spans="6:6">
      <c r="F240" s="28" t="str">
        <f t="shared" si="51"/>
        <v/>
      </c>
    </row>
    <row r="241" spans="6:6">
      <c r="F241" s="28" t="str">
        <f t="shared" si="51"/>
        <v/>
      </c>
    </row>
    <row r="242" spans="6:6">
      <c r="F242" s="28" t="str">
        <f t="shared" si="51"/>
        <v/>
      </c>
    </row>
    <row r="243" spans="6:6">
      <c r="F243" s="28" t="str">
        <f t="shared" si="51"/>
        <v/>
      </c>
    </row>
    <row r="244" spans="6:6">
      <c r="F244" s="28" t="str">
        <f t="shared" si="51"/>
        <v/>
      </c>
    </row>
    <row r="245" spans="6:6">
      <c r="F245" s="28" t="str">
        <f t="shared" si="51"/>
        <v/>
      </c>
    </row>
    <row r="246" spans="6:6">
      <c r="F246" s="28" t="str">
        <f t="shared" si="51"/>
        <v/>
      </c>
    </row>
    <row r="247" spans="6:6">
      <c r="F247" s="28" t="str">
        <f t="shared" si="51"/>
        <v/>
      </c>
    </row>
    <row r="248" spans="6:6">
      <c r="F248" s="28" t="str">
        <f t="shared" si="51"/>
        <v/>
      </c>
    </row>
    <row r="249" spans="6:6">
      <c r="F249" s="28" t="str">
        <f t="shared" si="51"/>
        <v/>
      </c>
    </row>
    <row r="250" spans="6:6">
      <c r="F250" s="28" t="str">
        <f t="shared" si="51"/>
        <v/>
      </c>
    </row>
    <row r="251" spans="6:6">
      <c r="F251" s="28" t="str">
        <f t="shared" si="51"/>
        <v/>
      </c>
    </row>
    <row r="252" spans="6:6">
      <c r="F252" s="28" t="str">
        <f t="shared" si="51"/>
        <v/>
      </c>
    </row>
    <row r="253" spans="6:6">
      <c r="F253" s="28" t="str">
        <f t="shared" si="51"/>
        <v/>
      </c>
    </row>
    <row r="254" spans="6:6">
      <c r="F254" s="28" t="str">
        <f t="shared" si="51"/>
        <v/>
      </c>
    </row>
    <row r="255" spans="6:6">
      <c r="F255" s="28" t="str">
        <f t="shared" si="51"/>
        <v/>
      </c>
    </row>
    <row r="256" spans="6:6">
      <c r="F256" s="28" t="str">
        <f t="shared" si="51"/>
        <v/>
      </c>
    </row>
    <row r="257" spans="6:6">
      <c r="F257" s="28" t="str">
        <f t="shared" si="51"/>
        <v/>
      </c>
    </row>
    <row r="258" spans="6:6">
      <c r="F258" s="28" t="str">
        <f t="shared" si="51"/>
        <v/>
      </c>
    </row>
    <row r="259" spans="6:6">
      <c r="F259" s="28" t="str">
        <f t="shared" si="51"/>
        <v/>
      </c>
    </row>
    <row r="260" spans="6:6">
      <c r="F260" s="28" t="str">
        <f t="shared" si="51"/>
        <v/>
      </c>
    </row>
    <row r="261" spans="6:6">
      <c r="F261" s="28" t="str">
        <f t="shared" si="51"/>
        <v/>
      </c>
    </row>
    <row r="262" spans="6:6">
      <c r="F262" s="28" t="str">
        <f t="shared" si="51"/>
        <v/>
      </c>
    </row>
    <row r="263" spans="6:6">
      <c r="F263" s="28" t="str">
        <f t="shared" si="51"/>
        <v/>
      </c>
    </row>
    <row r="264" spans="6:6">
      <c r="F264" s="28" t="str">
        <f t="shared" si="51"/>
        <v/>
      </c>
    </row>
    <row r="265" spans="6:6">
      <c r="F265" s="28" t="str">
        <f t="shared" si="51"/>
        <v/>
      </c>
    </row>
    <row r="266" spans="6:6">
      <c r="F266" s="28" t="str">
        <f t="shared" si="51"/>
        <v/>
      </c>
    </row>
    <row r="267" spans="6:6">
      <c r="F267" s="28" t="str">
        <f t="shared" ref="F267:F321" si="52">IF(B267="","",MID(B267,LEN(C267),LEN(B267)-LEN(C267)-LEN(G267)+1))</f>
        <v/>
      </c>
    </row>
    <row r="268" spans="6:6">
      <c r="F268" s="28" t="str">
        <f t="shared" si="52"/>
        <v/>
      </c>
    </row>
    <row r="269" spans="6:6">
      <c r="F269" s="28" t="str">
        <f t="shared" si="52"/>
        <v/>
      </c>
    </row>
    <row r="270" spans="6:6">
      <c r="F270" s="28" t="str">
        <f t="shared" si="52"/>
        <v/>
      </c>
    </row>
    <row r="271" spans="6:6">
      <c r="F271" s="28" t="str">
        <f t="shared" si="52"/>
        <v/>
      </c>
    </row>
    <row r="272" spans="6:6">
      <c r="F272" s="28" t="str">
        <f t="shared" si="52"/>
        <v/>
      </c>
    </row>
    <row r="273" spans="6:6">
      <c r="F273" s="28" t="str">
        <f t="shared" si="52"/>
        <v/>
      </c>
    </row>
    <row r="274" spans="6:6">
      <c r="F274" s="28" t="str">
        <f t="shared" si="52"/>
        <v/>
      </c>
    </row>
    <row r="275" spans="6:6">
      <c r="F275" s="28" t="str">
        <f t="shared" si="52"/>
        <v/>
      </c>
    </row>
    <row r="276" spans="6:6">
      <c r="F276" s="28" t="str">
        <f t="shared" si="52"/>
        <v/>
      </c>
    </row>
    <row r="277" spans="6:6">
      <c r="F277" s="28" t="str">
        <f t="shared" si="52"/>
        <v/>
      </c>
    </row>
    <row r="278" spans="6:6">
      <c r="F278" s="28" t="str">
        <f t="shared" si="52"/>
        <v/>
      </c>
    </row>
    <row r="279" spans="6:6">
      <c r="F279" s="28" t="str">
        <f t="shared" si="52"/>
        <v/>
      </c>
    </row>
    <row r="280" spans="6:6">
      <c r="F280" s="28" t="str">
        <f t="shared" si="52"/>
        <v/>
      </c>
    </row>
    <row r="281" spans="6:6">
      <c r="F281" s="28" t="str">
        <f t="shared" si="52"/>
        <v/>
      </c>
    </row>
    <row r="282" spans="6:6">
      <c r="F282" s="28" t="str">
        <f t="shared" si="52"/>
        <v/>
      </c>
    </row>
    <row r="283" spans="6:6">
      <c r="F283" s="28" t="str">
        <f t="shared" si="52"/>
        <v/>
      </c>
    </row>
    <row r="284" spans="6:6">
      <c r="F284" s="28" t="str">
        <f t="shared" si="52"/>
        <v/>
      </c>
    </row>
    <row r="285" spans="6:6">
      <c r="F285" s="28" t="str">
        <f t="shared" si="52"/>
        <v/>
      </c>
    </row>
    <row r="286" spans="6:6">
      <c r="F286" s="28" t="str">
        <f t="shared" si="52"/>
        <v/>
      </c>
    </row>
    <row r="287" spans="6:6">
      <c r="F287" s="28" t="str">
        <f t="shared" si="52"/>
        <v/>
      </c>
    </row>
    <row r="288" spans="6:6">
      <c r="F288" s="28" t="str">
        <f t="shared" si="52"/>
        <v/>
      </c>
    </row>
    <row r="289" spans="6:6">
      <c r="F289" s="28" t="str">
        <f t="shared" si="52"/>
        <v/>
      </c>
    </row>
    <row r="290" spans="6:6">
      <c r="F290" s="28" t="str">
        <f t="shared" si="52"/>
        <v/>
      </c>
    </row>
    <row r="291" spans="6:6">
      <c r="F291" s="28" t="str">
        <f t="shared" si="52"/>
        <v/>
      </c>
    </row>
    <row r="292" spans="6:6">
      <c r="F292" s="28" t="str">
        <f t="shared" si="52"/>
        <v/>
      </c>
    </row>
    <row r="293" spans="6:6">
      <c r="F293" s="28" t="str">
        <f t="shared" si="52"/>
        <v/>
      </c>
    </row>
    <row r="294" spans="6:6">
      <c r="F294" s="28" t="str">
        <f t="shared" si="52"/>
        <v/>
      </c>
    </row>
    <row r="295" spans="6:6">
      <c r="F295" s="28" t="str">
        <f t="shared" si="52"/>
        <v/>
      </c>
    </row>
    <row r="296" spans="6:6">
      <c r="F296" s="28" t="str">
        <f t="shared" si="52"/>
        <v/>
      </c>
    </row>
    <row r="297" spans="6:6">
      <c r="F297" s="28" t="str">
        <f t="shared" si="52"/>
        <v/>
      </c>
    </row>
    <row r="298" spans="6:6">
      <c r="F298" s="28" t="str">
        <f t="shared" si="52"/>
        <v/>
      </c>
    </row>
    <row r="299" spans="6:6">
      <c r="F299" s="28" t="str">
        <f t="shared" si="52"/>
        <v/>
      </c>
    </row>
    <row r="300" spans="6:6">
      <c r="F300" s="28" t="str">
        <f t="shared" si="52"/>
        <v/>
      </c>
    </row>
    <row r="301" spans="6:6">
      <c r="F301" s="28" t="str">
        <f t="shared" si="52"/>
        <v/>
      </c>
    </row>
    <row r="302" spans="6:6">
      <c r="F302" s="28" t="str">
        <f t="shared" si="52"/>
        <v/>
      </c>
    </row>
    <row r="303" spans="6:6">
      <c r="F303" s="28" t="str">
        <f t="shared" si="52"/>
        <v/>
      </c>
    </row>
    <row r="304" spans="6:6">
      <c r="F304" s="28" t="str">
        <f t="shared" si="52"/>
        <v/>
      </c>
    </row>
    <row r="305" spans="6:6">
      <c r="F305" s="28" t="str">
        <f t="shared" si="52"/>
        <v/>
      </c>
    </row>
    <row r="306" spans="6:6">
      <c r="F306" s="28" t="str">
        <f t="shared" si="52"/>
        <v/>
      </c>
    </row>
    <row r="307" spans="6:6">
      <c r="F307" s="28" t="str">
        <f t="shared" si="52"/>
        <v/>
      </c>
    </row>
    <row r="308" spans="6:6">
      <c r="F308" s="28" t="str">
        <f t="shared" si="52"/>
        <v/>
      </c>
    </row>
    <row r="309" spans="6:6">
      <c r="F309" s="28" t="str">
        <f t="shared" si="52"/>
        <v/>
      </c>
    </row>
    <row r="310" spans="6:6">
      <c r="F310" s="28" t="str">
        <f t="shared" si="52"/>
        <v/>
      </c>
    </row>
    <row r="311" spans="6:6">
      <c r="F311" s="28" t="str">
        <f t="shared" si="52"/>
        <v/>
      </c>
    </row>
    <row r="312" spans="6:6">
      <c r="F312" s="28" t="str">
        <f t="shared" si="52"/>
        <v/>
      </c>
    </row>
    <row r="313" spans="6:6">
      <c r="F313" s="28" t="str">
        <f t="shared" si="52"/>
        <v/>
      </c>
    </row>
    <row r="314" spans="6:6">
      <c r="F314" s="28" t="str">
        <f t="shared" si="52"/>
        <v/>
      </c>
    </row>
    <row r="315" spans="6:6">
      <c r="F315" s="28" t="str">
        <f t="shared" si="52"/>
        <v/>
      </c>
    </row>
    <row r="316" spans="6:6">
      <c r="F316" s="28" t="str">
        <f t="shared" si="52"/>
        <v/>
      </c>
    </row>
    <row r="317" spans="6:6">
      <c r="F317" s="28" t="str">
        <f t="shared" si="52"/>
        <v/>
      </c>
    </row>
    <row r="318" spans="6:6">
      <c r="F318" s="28" t="str">
        <f t="shared" si="52"/>
        <v/>
      </c>
    </row>
    <row r="319" spans="6:6">
      <c r="F319" s="28" t="str">
        <f t="shared" si="52"/>
        <v/>
      </c>
    </row>
    <row r="320" spans="6:6">
      <c r="F320" s="28" t="str">
        <f t="shared" si="52"/>
        <v/>
      </c>
    </row>
    <row r="321" spans="6:6">
      <c r="F321" s="28" t="str">
        <f t="shared" si="52"/>
        <v/>
      </c>
    </row>
  </sheetData>
  <sortState ref="A2:O311">
    <sortCondition ref="C2:C311"/>
  </sortState>
  <phoneticPr fontId="1" type="noConversion"/>
  <pageMargins left="0.19685039370078741" right="0.19685039370078741" top="0.19685039370078741" bottom="0.19685039370078741" header="0.19685039370078741" footer="0.19685039370078741"/>
  <pageSetup paperSize="9" orientation="landscape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>
  <sheetPr codeName="Sheet20" filterMode="1"/>
  <dimension ref="A1:W147"/>
  <sheetViews>
    <sheetView workbookViewId="0">
      <selection sqref="A1:XFD1"/>
    </sheetView>
  </sheetViews>
  <sheetFormatPr defaultRowHeight="13.5"/>
  <cols>
    <col min="1" max="1" width="45.875" customWidth="1"/>
    <col min="2" max="2" width="22.625" style="260" customWidth="1"/>
    <col min="3" max="3" width="14.125" bestFit="1" customWidth="1"/>
    <col min="4" max="4" width="9.375" bestFit="1" customWidth="1"/>
    <col min="5" max="8" width="9.5" bestFit="1" customWidth="1"/>
    <col min="9" max="9" width="30.5" bestFit="1" customWidth="1"/>
    <col min="10" max="10" width="12.125" bestFit="1" customWidth="1"/>
    <col min="11" max="11" width="9.5" bestFit="1" customWidth="1"/>
    <col min="12" max="12" width="5.5" bestFit="1" customWidth="1"/>
    <col min="13" max="14" width="6.5" bestFit="1" customWidth="1"/>
    <col min="15" max="15" width="5.5" bestFit="1" customWidth="1"/>
    <col min="16" max="16" width="6.5" bestFit="1" customWidth="1"/>
    <col min="17" max="17" width="9.5" bestFit="1" customWidth="1"/>
    <col min="18" max="18" width="7.5" bestFit="1" customWidth="1"/>
    <col min="19" max="20" width="9.5" bestFit="1" customWidth="1"/>
    <col min="21" max="21" width="5.5" bestFit="1" customWidth="1"/>
    <col min="22" max="22" width="10.5" bestFit="1" customWidth="1"/>
    <col min="23" max="23" width="13" bestFit="1" customWidth="1"/>
  </cols>
  <sheetData>
    <row r="1" spans="1:23" ht="15">
      <c r="B1" s="281" t="s">
        <v>2426</v>
      </c>
      <c r="C1" s="280" t="s">
        <v>260</v>
      </c>
      <c r="D1" s="280" t="s">
        <v>261</v>
      </c>
      <c r="E1" s="280" t="s">
        <v>262</v>
      </c>
      <c r="F1" s="280" t="s">
        <v>263</v>
      </c>
      <c r="G1" s="280" t="s">
        <v>264</v>
      </c>
      <c r="H1" s="280" t="s">
        <v>265</v>
      </c>
      <c r="I1" s="280" t="s">
        <v>266</v>
      </c>
      <c r="J1" s="280" t="s">
        <v>1829</v>
      </c>
      <c r="K1" s="280" t="s">
        <v>1830</v>
      </c>
      <c r="L1" s="280" t="s">
        <v>268</v>
      </c>
      <c r="M1" s="280" t="s">
        <v>271</v>
      </c>
      <c r="N1" s="280" t="s">
        <v>269</v>
      </c>
      <c r="O1" s="280" t="s">
        <v>124</v>
      </c>
      <c r="P1" s="280" t="s">
        <v>272</v>
      </c>
      <c r="Q1" s="280" t="s">
        <v>126</v>
      </c>
      <c r="R1" s="280" t="s">
        <v>270</v>
      </c>
      <c r="S1" s="280" t="s">
        <v>1831</v>
      </c>
      <c r="T1" s="280" t="s">
        <v>273</v>
      </c>
      <c r="U1" s="280" t="s">
        <v>274</v>
      </c>
      <c r="V1" s="280" t="s">
        <v>275</v>
      </c>
      <c r="W1" s="280" t="s">
        <v>276</v>
      </c>
    </row>
    <row r="2" spans="1:23" hidden="1">
      <c r="A2" t="str">
        <f>I2&amp;K2&amp;L2&amp;M2&amp;N2&amp;O2&amp;P2&amp;T2&amp;W2</f>
        <v>F/100/100/54/188/1/1/W/AAA100*1001/154.0188白AAA2</v>
      </c>
      <c r="B2" s="260" t="s">
        <v>2428</v>
      </c>
      <c r="C2" s="279" t="s">
        <v>1832</v>
      </c>
      <c r="D2" s="279" t="s">
        <v>285</v>
      </c>
      <c r="E2" s="279">
        <f>IF(ISNA(--VLOOKUP(A2,喷水import!A:D,4,FALSE)),0,--VLOOKUP(A2,喷水import!A:D,4,FALSE))</f>
        <v>4767</v>
      </c>
      <c r="F2" s="279">
        <f>IF(ISNA(--VLOOKUP(A2,喷水import!A:E,5,FALSE)),0,--VLOOKUP(A2,喷水import!A:E,5,FALSE))</f>
        <v>7</v>
      </c>
      <c r="G2" s="279" t="s">
        <v>612</v>
      </c>
      <c r="H2" s="279" t="s">
        <v>612</v>
      </c>
      <c r="I2" s="279" t="s">
        <v>1833</v>
      </c>
      <c r="J2" s="279" t="s">
        <v>641</v>
      </c>
      <c r="K2" s="279" t="s">
        <v>213</v>
      </c>
      <c r="L2" s="279" t="s">
        <v>1110</v>
      </c>
      <c r="M2" s="279" t="s">
        <v>1834</v>
      </c>
      <c r="N2" s="279" t="s">
        <v>1835</v>
      </c>
      <c r="O2" s="279" t="s">
        <v>2</v>
      </c>
      <c r="P2" s="279" t="s">
        <v>287</v>
      </c>
      <c r="Q2" s="279" t="s">
        <v>399</v>
      </c>
      <c r="R2" s="279" t="s">
        <v>399</v>
      </c>
      <c r="S2" s="279" t="s">
        <v>620</v>
      </c>
      <c r="T2" s="279" t="s">
        <v>620</v>
      </c>
      <c r="U2" s="279" t="s">
        <v>1836</v>
      </c>
      <c r="V2" s="279" t="s">
        <v>1837</v>
      </c>
      <c r="W2" s="279" t="s">
        <v>399</v>
      </c>
    </row>
    <row r="3" spans="1:23" hidden="1">
      <c r="A3" t="str">
        <f t="shared" ref="A3:A66" si="0">I3&amp;K3&amp;L3&amp;M3&amp;N3&amp;O3&amp;P3&amp;T3&amp;W3</f>
        <v>F/100/200/78/188/3/1/B/AAA100*2003/178.0188黑AAA0</v>
      </c>
      <c r="B3" s="260" t="s">
        <v>2427</v>
      </c>
      <c r="C3" s="279" t="s">
        <v>1832</v>
      </c>
      <c r="D3" s="279" t="s">
        <v>285</v>
      </c>
      <c r="E3" s="279">
        <f>IF(ISNA(--VLOOKUP(A3,喷水import!A:D,4,FALSE)),0,--VLOOKUP(A3,喷水import!A:D,4,FALSE))</f>
        <v>14050</v>
      </c>
      <c r="F3" s="279">
        <f>IF(ISNA(--VLOOKUP(A3,喷水import!A:E,5,FALSE)),0,--VLOOKUP(A3,喷水import!A:E,5,FALSE))</f>
        <v>28</v>
      </c>
      <c r="G3" s="279" t="s">
        <v>612</v>
      </c>
      <c r="H3" s="279" t="s">
        <v>612</v>
      </c>
      <c r="I3" s="279" t="s">
        <v>1838</v>
      </c>
      <c r="J3" s="279" t="s">
        <v>641</v>
      </c>
      <c r="K3" s="279" t="s">
        <v>215</v>
      </c>
      <c r="L3" s="279" t="s">
        <v>200</v>
      </c>
      <c r="M3" s="279" t="s">
        <v>1839</v>
      </c>
      <c r="N3" s="279" t="s">
        <v>1835</v>
      </c>
      <c r="O3" s="279" t="s">
        <v>1</v>
      </c>
      <c r="P3" s="279" t="s">
        <v>287</v>
      </c>
      <c r="Q3" s="279" t="s">
        <v>399</v>
      </c>
      <c r="R3" s="279" t="s">
        <v>399</v>
      </c>
      <c r="S3" s="279" t="s">
        <v>620</v>
      </c>
      <c r="T3" s="279" t="s">
        <v>612</v>
      </c>
      <c r="U3" s="279" t="s">
        <v>1840</v>
      </c>
      <c r="V3" s="279" t="s">
        <v>1841</v>
      </c>
      <c r="W3" s="279" t="s">
        <v>399</v>
      </c>
    </row>
    <row r="4" spans="1:23" hidden="1">
      <c r="A4" t="str">
        <f t="shared" si="0"/>
        <v>F/100/200/78/188/3/1/W/AAA100*2003/178.0188白AAA01</v>
      </c>
      <c r="B4" s="260" t="s">
        <v>2427</v>
      </c>
      <c r="C4" s="279" t="s">
        <v>1832</v>
      </c>
      <c r="D4" s="279" t="s">
        <v>285</v>
      </c>
      <c r="E4" s="279">
        <f>IF(ISNA(--VLOOKUP(A4,喷水import!A:D,4,FALSE)),0,--VLOOKUP(A4,喷水import!A:D,4,FALSE))</f>
        <v>13635</v>
      </c>
      <c r="F4" s="279">
        <f>IF(ISNA(--VLOOKUP(A4,喷水import!A:E,5,FALSE)),0,--VLOOKUP(A4,喷水import!A:E,5,FALSE))</f>
        <v>26</v>
      </c>
      <c r="G4" s="279" t="s">
        <v>612</v>
      </c>
      <c r="H4" s="279" t="s">
        <v>612</v>
      </c>
      <c r="I4" s="279" t="s">
        <v>1842</v>
      </c>
      <c r="J4" s="279" t="s">
        <v>641</v>
      </c>
      <c r="K4" s="279" t="s">
        <v>215</v>
      </c>
      <c r="L4" s="279" t="s">
        <v>200</v>
      </c>
      <c r="M4" s="279" t="s">
        <v>1839</v>
      </c>
      <c r="N4" s="279" t="s">
        <v>1835</v>
      </c>
      <c r="O4" s="279" t="s">
        <v>2</v>
      </c>
      <c r="P4" s="279" t="s">
        <v>287</v>
      </c>
      <c r="Q4" s="279" t="s">
        <v>399</v>
      </c>
      <c r="R4" s="279" t="s">
        <v>399</v>
      </c>
      <c r="S4" s="279" t="s">
        <v>620</v>
      </c>
      <c r="T4" s="279" t="s">
        <v>612</v>
      </c>
      <c r="U4" s="279" t="s">
        <v>1843</v>
      </c>
      <c r="V4" s="279" t="s">
        <v>1844</v>
      </c>
      <c r="W4" s="279" t="s">
        <v>641</v>
      </c>
    </row>
    <row r="5" spans="1:23">
      <c r="A5" t="str">
        <f t="shared" si="0"/>
        <v>F/100/300/82/188/3/1/W/AAA100*3003/182.0188白AAA21</v>
      </c>
      <c r="B5" s="260" t="s">
        <v>2429</v>
      </c>
      <c r="C5" s="279" t="s">
        <v>1832</v>
      </c>
      <c r="D5" s="279" t="s">
        <v>285</v>
      </c>
      <c r="E5" s="279">
        <f>IF(ISNA(--VLOOKUP(A5,喷水import!A:D,4,FALSE)),0,--VLOOKUP(A5,喷水import!A:D,4,FALSE))</f>
        <v>5150</v>
      </c>
      <c r="F5" s="279">
        <f>IF(ISNA(--VLOOKUP(A5,喷水import!A:E,5,FALSE)),0,--VLOOKUP(A5,喷水import!A:E,5,FALSE))</f>
        <v>9</v>
      </c>
      <c r="G5" s="279" t="s">
        <v>612</v>
      </c>
      <c r="H5" s="279" t="s">
        <v>612</v>
      </c>
      <c r="I5" s="279" t="s">
        <v>1845</v>
      </c>
      <c r="J5" s="279" t="s">
        <v>641</v>
      </c>
      <c r="K5" s="279" t="s">
        <v>216</v>
      </c>
      <c r="L5" s="279" t="s">
        <v>200</v>
      </c>
      <c r="M5" s="279" t="s">
        <v>1846</v>
      </c>
      <c r="N5" s="279" t="s">
        <v>1835</v>
      </c>
      <c r="O5" s="279" t="s">
        <v>2</v>
      </c>
      <c r="P5" s="279" t="s">
        <v>287</v>
      </c>
      <c r="Q5" s="279" t="s">
        <v>399</v>
      </c>
      <c r="R5" s="279" t="s">
        <v>399</v>
      </c>
      <c r="S5" s="279" t="s">
        <v>620</v>
      </c>
      <c r="T5" s="279" t="s">
        <v>620</v>
      </c>
      <c r="U5" s="279" t="s">
        <v>1847</v>
      </c>
      <c r="V5" s="279" t="s">
        <v>1848</v>
      </c>
      <c r="W5" s="279" t="s">
        <v>641</v>
      </c>
    </row>
    <row r="6" spans="1:23" hidden="1">
      <c r="A6" t="str">
        <f t="shared" si="0"/>
        <v>F/100/300/96/188/3/1/B/AAA100*3003/196.0188黑AAA01</v>
      </c>
      <c r="B6" s="260" t="s">
        <v>2430</v>
      </c>
      <c r="C6" s="279" t="s">
        <v>1832</v>
      </c>
      <c r="D6" s="279" t="s">
        <v>285</v>
      </c>
      <c r="E6" s="279">
        <f>IF(ISNA(--VLOOKUP(A6,喷水import!A:D,4,FALSE)),0,--VLOOKUP(A6,喷水import!A:D,4,FALSE))</f>
        <v>25170</v>
      </c>
      <c r="F6" s="279">
        <f>IF(ISNA(--VLOOKUP(A6,喷水import!A:E,5,FALSE)),0,--VLOOKUP(A6,喷水import!A:E,5,FALSE))</f>
        <v>48</v>
      </c>
      <c r="G6" s="279" t="s">
        <v>612</v>
      </c>
      <c r="H6" s="279" t="s">
        <v>612</v>
      </c>
      <c r="I6" s="279" t="s">
        <v>2359</v>
      </c>
      <c r="J6" s="279" t="s">
        <v>641</v>
      </c>
      <c r="K6" s="279" t="s">
        <v>216</v>
      </c>
      <c r="L6" s="279" t="s">
        <v>200</v>
      </c>
      <c r="M6" s="279" t="s">
        <v>1856</v>
      </c>
      <c r="N6" s="279" t="s">
        <v>1835</v>
      </c>
      <c r="O6" s="279" t="s">
        <v>1</v>
      </c>
      <c r="P6" s="279" t="s">
        <v>287</v>
      </c>
      <c r="Q6" s="279" t="s">
        <v>399</v>
      </c>
      <c r="R6" s="279" t="s">
        <v>399</v>
      </c>
      <c r="S6" s="279" t="s">
        <v>620</v>
      </c>
      <c r="T6" s="279" t="s">
        <v>612</v>
      </c>
      <c r="U6" s="279" t="s">
        <v>2360</v>
      </c>
      <c r="V6" s="279" t="s">
        <v>2361</v>
      </c>
      <c r="W6" s="279" t="s">
        <v>641</v>
      </c>
    </row>
    <row r="7" spans="1:23">
      <c r="A7" t="str">
        <f t="shared" si="0"/>
        <v>F/100/300/82/188/3/1/B/AAA100*3003/182.0188黑AAA01</v>
      </c>
      <c r="B7" s="260" t="s">
        <v>2429</v>
      </c>
      <c r="C7" s="279" t="s">
        <v>1832</v>
      </c>
      <c r="D7" s="279" t="s">
        <v>285</v>
      </c>
      <c r="E7" s="279">
        <f>IF(ISNA(--VLOOKUP(A7,喷水import!A:D,4,FALSE)),0,--VLOOKUP(A7,喷水import!A:D,4,FALSE))</f>
        <v>2467</v>
      </c>
      <c r="F7" s="279">
        <f>IF(ISNA(--VLOOKUP(A7,喷水import!A:E,5,FALSE)),0,--VLOOKUP(A7,喷水import!A:E,5,FALSE))</f>
        <v>4</v>
      </c>
      <c r="G7" s="279" t="s">
        <v>612</v>
      </c>
      <c r="H7" s="279" t="s">
        <v>612</v>
      </c>
      <c r="I7" s="279" t="s">
        <v>1849</v>
      </c>
      <c r="J7" s="279" t="s">
        <v>641</v>
      </c>
      <c r="K7" s="279" t="s">
        <v>216</v>
      </c>
      <c r="L7" s="279" t="s">
        <v>200</v>
      </c>
      <c r="M7" s="279" t="s">
        <v>1846</v>
      </c>
      <c r="N7" s="279" t="s">
        <v>1835</v>
      </c>
      <c r="O7" s="279" t="s">
        <v>1</v>
      </c>
      <c r="P7" s="279" t="s">
        <v>287</v>
      </c>
      <c r="Q7" s="279" t="s">
        <v>399</v>
      </c>
      <c r="R7" s="279" t="s">
        <v>399</v>
      </c>
      <c r="S7" s="279" t="s">
        <v>620</v>
      </c>
      <c r="T7" s="279" t="s">
        <v>612</v>
      </c>
      <c r="U7" s="279" t="s">
        <v>1850</v>
      </c>
      <c r="V7" s="279" t="s">
        <v>1851</v>
      </c>
      <c r="W7" s="279" t="s">
        <v>641</v>
      </c>
    </row>
    <row r="8" spans="1:23" hidden="1">
      <c r="A8" t="str">
        <f t="shared" si="0"/>
        <v>F/100/300/86/188/3/1/W/AAA100*3003/186.0188白AAA21</v>
      </c>
      <c r="B8" s="260" t="s">
        <v>2431</v>
      </c>
      <c r="C8" s="279" t="s">
        <v>1832</v>
      </c>
      <c r="D8" s="279" t="s">
        <v>285</v>
      </c>
      <c r="E8" s="279">
        <f>IF(ISNA(--VLOOKUP(A8,喷水import!A:D,4,FALSE)),0,--VLOOKUP(A8,喷水import!A:D,4,FALSE))</f>
        <v>24290</v>
      </c>
      <c r="F8" s="279">
        <f>IF(ISNA(--VLOOKUP(A8,喷水import!A:E,5,FALSE)),0,--VLOOKUP(A8,喷水import!A:E,5,FALSE))</f>
        <v>45</v>
      </c>
      <c r="G8" s="279" t="s">
        <v>612</v>
      </c>
      <c r="H8" s="279" t="s">
        <v>612</v>
      </c>
      <c r="I8" s="279" t="s">
        <v>2362</v>
      </c>
      <c r="J8" s="279" t="s">
        <v>641</v>
      </c>
      <c r="K8" s="279" t="s">
        <v>216</v>
      </c>
      <c r="L8" s="279" t="s">
        <v>200</v>
      </c>
      <c r="M8" s="279" t="s">
        <v>1853</v>
      </c>
      <c r="N8" s="279" t="s">
        <v>1835</v>
      </c>
      <c r="O8" s="279" t="s">
        <v>2</v>
      </c>
      <c r="P8" s="279" t="s">
        <v>287</v>
      </c>
      <c r="Q8" s="279" t="s">
        <v>399</v>
      </c>
      <c r="R8" s="279" t="s">
        <v>399</v>
      </c>
      <c r="S8" s="279" t="s">
        <v>620</v>
      </c>
      <c r="T8" s="279" t="s">
        <v>620</v>
      </c>
      <c r="U8" s="279" t="s">
        <v>1922</v>
      </c>
      <c r="V8" s="279" t="s">
        <v>2363</v>
      </c>
      <c r="W8" s="279" t="s">
        <v>641</v>
      </c>
    </row>
    <row r="9" spans="1:23" hidden="1">
      <c r="A9" t="str">
        <f t="shared" si="0"/>
        <v>F/100/300/86/188/3/1/B/AAA100*3003/186.0188黑AAA01</v>
      </c>
      <c r="B9" s="260" t="s">
        <v>2431</v>
      </c>
      <c r="C9" s="279" t="s">
        <v>1832</v>
      </c>
      <c r="D9" s="279" t="s">
        <v>285</v>
      </c>
      <c r="E9" s="279">
        <f>IF(ISNA(--VLOOKUP(A9,喷水import!A:D,4,FALSE)),0,--VLOOKUP(A9,喷水import!A:D,4,FALSE))</f>
        <v>500</v>
      </c>
      <c r="F9" s="279">
        <f>IF(ISNA(--VLOOKUP(A9,喷水import!A:E,5,FALSE)),0,--VLOOKUP(A9,喷水import!A:E,5,FALSE))</f>
        <v>1</v>
      </c>
      <c r="G9" s="279" t="s">
        <v>612</v>
      </c>
      <c r="H9" s="279" t="s">
        <v>612</v>
      </c>
      <c r="I9" s="279" t="s">
        <v>1852</v>
      </c>
      <c r="J9" s="279" t="s">
        <v>641</v>
      </c>
      <c r="K9" s="279" t="s">
        <v>216</v>
      </c>
      <c r="L9" s="279" t="s">
        <v>200</v>
      </c>
      <c r="M9" s="279" t="s">
        <v>1853</v>
      </c>
      <c r="N9" s="279" t="s">
        <v>1835</v>
      </c>
      <c r="O9" s="279" t="s">
        <v>1</v>
      </c>
      <c r="P9" s="279" t="s">
        <v>287</v>
      </c>
      <c r="Q9" s="279" t="s">
        <v>399</v>
      </c>
      <c r="R9" s="279" t="s">
        <v>399</v>
      </c>
      <c r="S9" s="279" t="s">
        <v>620</v>
      </c>
      <c r="T9" s="279" t="s">
        <v>612</v>
      </c>
      <c r="U9" s="279" t="s">
        <v>1854</v>
      </c>
      <c r="V9" s="279" t="s">
        <v>2364</v>
      </c>
      <c r="W9" s="279" t="s">
        <v>641</v>
      </c>
    </row>
    <row r="10" spans="1:23" hidden="1">
      <c r="A10" t="str">
        <f t="shared" si="0"/>
        <v>F/100/300/96/188/3/1/W/AAA100*3003/196.0188白AAA01</v>
      </c>
      <c r="B10" s="260" t="s">
        <v>2430</v>
      </c>
      <c r="C10" s="279" t="s">
        <v>1832</v>
      </c>
      <c r="D10" s="279" t="s">
        <v>285</v>
      </c>
      <c r="E10" s="279">
        <f>IF(ISNA(--VLOOKUP(A10,喷水import!A:D,4,FALSE)),0,--VLOOKUP(A10,喷水import!A:D,4,FALSE))</f>
        <v>0</v>
      </c>
      <c r="F10" s="279">
        <f>IF(ISNA(--VLOOKUP(A10,喷水import!A:E,5,FALSE)),0,--VLOOKUP(A10,喷水import!A:E,5,FALSE))</f>
        <v>0</v>
      </c>
      <c r="G10" s="279" t="s">
        <v>612</v>
      </c>
      <c r="H10" s="279" t="s">
        <v>612</v>
      </c>
      <c r="I10" s="279" t="s">
        <v>1855</v>
      </c>
      <c r="J10" s="279" t="s">
        <v>641</v>
      </c>
      <c r="K10" s="279" t="s">
        <v>216</v>
      </c>
      <c r="L10" s="279" t="s">
        <v>200</v>
      </c>
      <c r="M10" s="279" t="s">
        <v>1856</v>
      </c>
      <c r="N10" s="279" t="s">
        <v>1835</v>
      </c>
      <c r="O10" s="279" t="s">
        <v>2</v>
      </c>
      <c r="P10" s="279" t="s">
        <v>287</v>
      </c>
      <c r="Q10" s="279" t="s">
        <v>399</v>
      </c>
      <c r="R10" s="279" t="s">
        <v>399</v>
      </c>
      <c r="S10" s="279" t="s">
        <v>620</v>
      </c>
      <c r="T10" s="279" t="s">
        <v>612</v>
      </c>
      <c r="U10" s="279" t="s">
        <v>1857</v>
      </c>
      <c r="V10" s="279" t="s">
        <v>1858</v>
      </c>
      <c r="W10" s="279" t="s">
        <v>641</v>
      </c>
    </row>
    <row r="11" spans="1:23" hidden="1">
      <c r="A11" t="str">
        <f t="shared" si="0"/>
        <v>F/15/15/13/197/1/1/W/AAA15*151/113.0197白AAA21</v>
      </c>
      <c r="B11" s="260" t="s">
        <v>2432</v>
      </c>
      <c r="C11" s="279" t="s">
        <v>1832</v>
      </c>
      <c r="D11" s="279" t="s">
        <v>285</v>
      </c>
      <c r="E11" s="279">
        <f>IF(ISNA(--VLOOKUP(A11,喷水import!A:D,4,FALSE)),0,--VLOOKUP(A11,喷水import!A:D,4,FALSE))</f>
        <v>57200</v>
      </c>
      <c r="F11" s="279">
        <f>IF(ISNA(--VLOOKUP(A11,喷水import!A:E,5,FALSE)),0,--VLOOKUP(A11,喷水import!A:E,5,FALSE))</f>
        <v>56</v>
      </c>
      <c r="G11" s="279" t="s">
        <v>612</v>
      </c>
      <c r="H11" s="279" t="s">
        <v>612</v>
      </c>
      <c r="I11" s="279" t="s">
        <v>1859</v>
      </c>
      <c r="J11" s="279" t="s">
        <v>630</v>
      </c>
      <c r="K11" s="279" t="s">
        <v>194</v>
      </c>
      <c r="L11" s="279" t="s">
        <v>1110</v>
      </c>
      <c r="M11" s="279" t="s">
        <v>1860</v>
      </c>
      <c r="N11" s="279" t="s">
        <v>1861</v>
      </c>
      <c r="O11" s="279" t="s">
        <v>2</v>
      </c>
      <c r="P11" s="279" t="s">
        <v>287</v>
      </c>
      <c r="Q11" s="279" t="s">
        <v>399</v>
      </c>
      <c r="R11" s="279" t="s">
        <v>399</v>
      </c>
      <c r="S11" s="279" t="s">
        <v>620</v>
      </c>
      <c r="T11" s="279" t="s">
        <v>620</v>
      </c>
      <c r="U11" s="279" t="s">
        <v>1862</v>
      </c>
      <c r="V11" s="279" t="s">
        <v>2365</v>
      </c>
      <c r="W11" s="279" t="s">
        <v>641</v>
      </c>
    </row>
    <row r="12" spans="1:23" hidden="1">
      <c r="A12" t="str">
        <f t="shared" si="0"/>
        <v>F/15/15/13/197/1/1/W/AAAA15*151/113.0197白AAAA01</v>
      </c>
      <c r="B12" s="260" t="s">
        <v>1694</v>
      </c>
      <c r="C12" s="279" t="s">
        <v>1832</v>
      </c>
      <c r="D12" s="279" t="s">
        <v>285</v>
      </c>
      <c r="E12" s="279">
        <f>IF(ISNA(--VLOOKUP(A12,喷水import!A:D,4,FALSE)),0,--VLOOKUP(A12,喷水import!A:D,4,FALSE))</f>
        <v>3001</v>
      </c>
      <c r="F12" s="279">
        <f>IF(ISNA(--VLOOKUP(A12,喷水import!A:E,5,FALSE)),0,--VLOOKUP(A12,喷水import!A:E,5,FALSE))</f>
        <v>3</v>
      </c>
      <c r="G12" s="279" t="s">
        <v>612</v>
      </c>
      <c r="H12" s="279" t="s">
        <v>612</v>
      </c>
      <c r="I12" s="279" t="s">
        <v>1864</v>
      </c>
      <c r="J12" s="279" t="s">
        <v>630</v>
      </c>
      <c r="K12" s="279" t="s">
        <v>194</v>
      </c>
      <c r="L12" s="279" t="s">
        <v>1110</v>
      </c>
      <c r="M12" s="279" t="s">
        <v>1860</v>
      </c>
      <c r="N12" s="279" t="s">
        <v>1861</v>
      </c>
      <c r="O12" s="279" t="s">
        <v>2</v>
      </c>
      <c r="P12" s="279" t="s">
        <v>387</v>
      </c>
      <c r="Q12" s="279" t="s">
        <v>399</v>
      </c>
      <c r="R12" s="279" t="s">
        <v>399</v>
      </c>
      <c r="S12" s="279" t="s">
        <v>620</v>
      </c>
      <c r="T12" s="279" t="s">
        <v>612</v>
      </c>
      <c r="U12" s="279" t="s">
        <v>1862</v>
      </c>
      <c r="V12" s="279" t="s">
        <v>1865</v>
      </c>
      <c r="W12" s="279" t="s">
        <v>641</v>
      </c>
    </row>
    <row r="13" spans="1:23" hidden="1">
      <c r="A13" t="str">
        <f t="shared" si="0"/>
        <v>F/15/15/13/146/1/1/W/AAA15*151/113.0146白AAA21</v>
      </c>
      <c r="B13" s="260" t="s">
        <v>2433</v>
      </c>
      <c r="C13" s="279" t="s">
        <v>1832</v>
      </c>
      <c r="D13" s="279" t="s">
        <v>285</v>
      </c>
      <c r="E13" s="279">
        <f>IF(ISNA(--VLOOKUP(A13,喷水import!A:D,4,FALSE)),0,--VLOOKUP(A13,喷水import!A:D,4,FALSE))</f>
        <v>89443</v>
      </c>
      <c r="F13" s="279">
        <f>IF(ISNA(--VLOOKUP(A13,喷水import!A:E,5,FALSE)),0,--VLOOKUP(A13,喷水import!A:E,5,FALSE))</f>
        <v>84</v>
      </c>
      <c r="G13" s="279" t="s">
        <v>612</v>
      </c>
      <c r="H13" s="279" t="s">
        <v>612</v>
      </c>
      <c r="I13" s="279" t="s">
        <v>1866</v>
      </c>
      <c r="J13" s="279" t="s">
        <v>620</v>
      </c>
      <c r="K13" s="279" t="s">
        <v>194</v>
      </c>
      <c r="L13" s="279" t="s">
        <v>1110</v>
      </c>
      <c r="M13" s="279" t="s">
        <v>1860</v>
      </c>
      <c r="N13" s="279" t="s">
        <v>1867</v>
      </c>
      <c r="O13" s="279" t="s">
        <v>2</v>
      </c>
      <c r="P13" s="279" t="s">
        <v>287</v>
      </c>
      <c r="Q13" s="279" t="s">
        <v>399</v>
      </c>
      <c r="R13" s="279" t="s">
        <v>399</v>
      </c>
      <c r="S13" s="279" t="s">
        <v>620</v>
      </c>
      <c r="T13" s="279" t="s">
        <v>620</v>
      </c>
      <c r="U13" s="279" t="s">
        <v>1868</v>
      </c>
      <c r="V13" s="279" t="s">
        <v>1869</v>
      </c>
      <c r="W13" s="279" t="s">
        <v>641</v>
      </c>
    </row>
    <row r="14" spans="1:23" hidden="1">
      <c r="A14" t="str">
        <f t="shared" si="0"/>
        <v>F/15/15/13/197/1/1/W/AA15*151/113.0197白AA01</v>
      </c>
      <c r="B14" s="260" t="s">
        <v>2432</v>
      </c>
      <c r="C14" s="279" t="s">
        <v>1832</v>
      </c>
      <c r="D14" s="279" t="s">
        <v>285</v>
      </c>
      <c r="E14" s="279">
        <f>IF(ISNA(--VLOOKUP(A14,喷水import!A:D,4,FALSE)),0,--VLOOKUP(A14,喷水import!A:D,4,FALSE))</f>
        <v>11076</v>
      </c>
      <c r="F14" s="279">
        <f>IF(ISNA(--VLOOKUP(A14,喷水import!A:E,5,FALSE)),0,--VLOOKUP(A14,喷水import!A:E,5,FALSE))</f>
        <v>9</v>
      </c>
      <c r="G14" s="279" t="s">
        <v>612</v>
      </c>
      <c r="H14" s="279" t="s">
        <v>612</v>
      </c>
      <c r="I14" s="279" t="s">
        <v>1870</v>
      </c>
      <c r="J14" s="279" t="s">
        <v>630</v>
      </c>
      <c r="K14" s="279" t="s">
        <v>194</v>
      </c>
      <c r="L14" s="279" t="s">
        <v>1110</v>
      </c>
      <c r="M14" s="279" t="s">
        <v>1860</v>
      </c>
      <c r="N14" s="279" t="s">
        <v>1861</v>
      </c>
      <c r="O14" s="279" t="s">
        <v>2</v>
      </c>
      <c r="P14" s="279" t="s">
        <v>282</v>
      </c>
      <c r="Q14" s="279" t="s">
        <v>399</v>
      </c>
      <c r="R14" s="279" t="s">
        <v>399</v>
      </c>
      <c r="S14" s="279" t="s">
        <v>620</v>
      </c>
      <c r="T14" s="279" t="s">
        <v>612</v>
      </c>
      <c r="U14" s="279" t="s">
        <v>1862</v>
      </c>
      <c r="V14" s="279" t="s">
        <v>2367</v>
      </c>
      <c r="W14" s="279" t="s">
        <v>641</v>
      </c>
    </row>
    <row r="15" spans="1:23" hidden="1">
      <c r="A15" t="str">
        <f t="shared" si="0"/>
        <v>F/15/15/13/146/1/1/W/AA15*151/113.0146白AA0烘干</v>
      </c>
      <c r="C15" s="279" t="s">
        <v>1832</v>
      </c>
      <c r="D15" s="279" t="s">
        <v>285</v>
      </c>
      <c r="E15" s="279">
        <f>IF(ISNA(--VLOOKUP(A15,喷水import!A:D,4,FALSE)),0,--VLOOKUP(A15,喷水import!A:D,4,FALSE))</f>
        <v>2122</v>
      </c>
      <c r="F15" s="279">
        <f>IF(ISNA(--VLOOKUP(A15,喷水import!A:E,5,FALSE)),0,--VLOOKUP(A15,喷水import!A:E,5,FALSE))</f>
        <v>3</v>
      </c>
      <c r="G15" s="279" t="s">
        <v>612</v>
      </c>
      <c r="H15" s="279" t="s">
        <v>612</v>
      </c>
      <c r="I15" s="279" t="s">
        <v>1872</v>
      </c>
      <c r="J15" s="279" t="s">
        <v>1873</v>
      </c>
      <c r="K15" s="279" t="s">
        <v>194</v>
      </c>
      <c r="L15" s="279" t="s">
        <v>1110</v>
      </c>
      <c r="M15" s="279" t="s">
        <v>1860</v>
      </c>
      <c r="N15" s="279" t="s">
        <v>1867</v>
      </c>
      <c r="O15" s="279" t="s">
        <v>2</v>
      </c>
      <c r="P15" s="279" t="s">
        <v>282</v>
      </c>
      <c r="Q15" s="279" t="s">
        <v>399</v>
      </c>
      <c r="R15" s="279" t="s">
        <v>281</v>
      </c>
      <c r="S15" s="279" t="s">
        <v>620</v>
      </c>
      <c r="T15" s="279" t="s">
        <v>612</v>
      </c>
      <c r="U15" s="279" t="s">
        <v>1836</v>
      </c>
      <c r="V15" s="279" t="s">
        <v>1874</v>
      </c>
      <c r="W15" s="279" t="s">
        <v>1875</v>
      </c>
    </row>
    <row r="16" spans="1:23" hidden="1">
      <c r="A16" t="str">
        <f t="shared" si="0"/>
        <v>F/15/15/13/197/1/1/W/AAA15*15-11/113.0197白AAA01</v>
      </c>
      <c r="B16" s="260" t="s">
        <v>1694</v>
      </c>
      <c r="C16" s="279" t="s">
        <v>1832</v>
      </c>
      <c r="D16" s="279" t="s">
        <v>285</v>
      </c>
      <c r="E16" s="279">
        <f>IF(ISNA(--VLOOKUP(A16,喷水import!A:D,4,FALSE)),0,--VLOOKUP(A16,喷水import!A:D,4,FALSE))</f>
        <v>914</v>
      </c>
      <c r="F16" s="279">
        <f>IF(ISNA(--VLOOKUP(A16,喷水import!A:E,5,FALSE)),0,--VLOOKUP(A16,喷水import!A:E,5,FALSE))</f>
        <v>1</v>
      </c>
      <c r="G16" s="279" t="s">
        <v>612</v>
      </c>
      <c r="H16" s="279" t="s">
        <v>612</v>
      </c>
      <c r="I16" s="279" t="s">
        <v>1859</v>
      </c>
      <c r="J16" s="279" t="s">
        <v>630</v>
      </c>
      <c r="K16" s="279" t="s">
        <v>1877</v>
      </c>
      <c r="L16" s="279" t="s">
        <v>1110</v>
      </c>
      <c r="M16" s="279" t="s">
        <v>1860</v>
      </c>
      <c r="N16" s="279" t="s">
        <v>1861</v>
      </c>
      <c r="O16" s="279" t="s">
        <v>2</v>
      </c>
      <c r="P16" s="279" t="s">
        <v>287</v>
      </c>
      <c r="Q16" s="279" t="s">
        <v>399</v>
      </c>
      <c r="R16" s="279" t="s">
        <v>399</v>
      </c>
      <c r="S16" s="279" t="s">
        <v>620</v>
      </c>
      <c r="T16" s="279" t="s">
        <v>612</v>
      </c>
      <c r="U16" s="279" t="s">
        <v>1878</v>
      </c>
      <c r="V16" s="279" t="s">
        <v>1879</v>
      </c>
      <c r="W16" s="279" t="s">
        <v>641</v>
      </c>
    </row>
    <row r="17" spans="1:23" hidden="1">
      <c r="A17" t="str">
        <f t="shared" si="0"/>
        <v>F/20/15/15/197/1/1/W/AAA20*151/115.0197白AAA0</v>
      </c>
      <c r="C17" s="279" t="s">
        <v>1832</v>
      </c>
      <c r="D17" s="279" t="s">
        <v>1880</v>
      </c>
      <c r="E17" s="279">
        <f>IF(ISNA(--VLOOKUP(A17,喷水import!A:D,4,FALSE)),0,--VLOOKUP(A17,喷水import!A:D,4,FALSE))</f>
        <v>26303</v>
      </c>
      <c r="F17" s="279">
        <f>IF(ISNA(--VLOOKUP(A17,喷水import!A:E,5,FALSE)),0,--VLOOKUP(A17,喷水import!A:E,5,FALSE))</f>
        <v>22</v>
      </c>
      <c r="G17" s="279" t="s">
        <v>612</v>
      </c>
      <c r="H17" s="279" t="s">
        <v>612</v>
      </c>
      <c r="I17" s="279" t="s">
        <v>1882</v>
      </c>
      <c r="J17" s="279" t="s">
        <v>641</v>
      </c>
      <c r="K17" s="279" t="s">
        <v>198</v>
      </c>
      <c r="L17" s="279" t="s">
        <v>1110</v>
      </c>
      <c r="M17" s="279" t="s">
        <v>1883</v>
      </c>
      <c r="N17" s="279" t="s">
        <v>1861</v>
      </c>
      <c r="O17" s="279" t="s">
        <v>2</v>
      </c>
      <c r="P17" s="279" t="s">
        <v>287</v>
      </c>
      <c r="Q17" s="279" t="s">
        <v>399</v>
      </c>
      <c r="R17" s="279" t="s">
        <v>281</v>
      </c>
      <c r="S17" s="279" t="s">
        <v>620</v>
      </c>
      <c r="T17" s="279" t="s">
        <v>612</v>
      </c>
      <c r="U17" s="279" t="s">
        <v>1884</v>
      </c>
      <c r="V17" s="279" t="s">
        <v>1885</v>
      </c>
      <c r="W17" s="279" t="s">
        <v>399</v>
      </c>
    </row>
    <row r="18" spans="1:23" hidden="1">
      <c r="A18" t="str">
        <f t="shared" si="0"/>
        <v>F/20/15/15/197/1/1/W/AAA20*151/115.0197白AAA0</v>
      </c>
      <c r="C18" s="279" t="s">
        <v>1832</v>
      </c>
      <c r="D18" s="279" t="s">
        <v>285</v>
      </c>
      <c r="E18" s="279">
        <f>IF(ISNA(--VLOOKUP(A18,喷水import!A:D,4,FALSE)),0,--VLOOKUP(A18,喷水import!A:D,4,FALSE))</f>
        <v>26303</v>
      </c>
      <c r="F18" s="279">
        <f>IF(ISNA(--VLOOKUP(A18,喷水import!A:E,5,FALSE)),0,--VLOOKUP(A18,喷水import!A:E,5,FALSE))</f>
        <v>22</v>
      </c>
      <c r="G18" s="279" t="s">
        <v>612</v>
      </c>
      <c r="H18" s="279" t="s">
        <v>612</v>
      </c>
      <c r="I18" s="279" t="s">
        <v>1882</v>
      </c>
      <c r="J18" s="279" t="s">
        <v>641</v>
      </c>
      <c r="K18" s="279" t="s">
        <v>198</v>
      </c>
      <c r="L18" s="279" t="s">
        <v>1110</v>
      </c>
      <c r="M18" s="279" t="s">
        <v>1883</v>
      </c>
      <c r="N18" s="279" t="s">
        <v>1861</v>
      </c>
      <c r="O18" s="279" t="s">
        <v>2</v>
      </c>
      <c r="P18" s="279" t="s">
        <v>287</v>
      </c>
      <c r="Q18" s="279" t="s">
        <v>399</v>
      </c>
      <c r="R18" s="279" t="s">
        <v>281</v>
      </c>
      <c r="S18" s="279" t="s">
        <v>620</v>
      </c>
      <c r="T18" s="279" t="s">
        <v>612</v>
      </c>
      <c r="U18" s="279" t="s">
        <v>1884</v>
      </c>
      <c r="V18" s="279" t="s">
        <v>1887</v>
      </c>
      <c r="W18" s="279" t="s">
        <v>399</v>
      </c>
    </row>
    <row r="19" spans="1:23" hidden="1">
      <c r="A19" t="str">
        <f t="shared" si="0"/>
        <v>F/20/15/15/197/1/1/W/AA20*15-11/115.0197白AA0</v>
      </c>
      <c r="C19" s="279" t="s">
        <v>1832</v>
      </c>
      <c r="D19" s="279" t="s">
        <v>1888</v>
      </c>
      <c r="E19" s="279">
        <f>IF(ISNA(--VLOOKUP(A19,喷水import!A:D,4,FALSE)),0,--VLOOKUP(A19,喷水import!A:D,4,FALSE))</f>
        <v>2343</v>
      </c>
      <c r="F19" s="279">
        <f>IF(ISNA(--VLOOKUP(A19,喷水import!A:E,5,FALSE)),0,--VLOOKUP(A19,喷水import!A:E,5,FALSE))</f>
        <v>2</v>
      </c>
      <c r="G19" s="279" t="s">
        <v>612</v>
      </c>
      <c r="H19" s="279" t="s">
        <v>612</v>
      </c>
      <c r="I19" s="279" t="s">
        <v>1890</v>
      </c>
      <c r="J19" s="279" t="s">
        <v>641</v>
      </c>
      <c r="K19" s="279" t="s">
        <v>1891</v>
      </c>
      <c r="L19" s="279" t="s">
        <v>1110</v>
      </c>
      <c r="M19" s="279" t="s">
        <v>1883</v>
      </c>
      <c r="N19" s="279" t="s">
        <v>1861</v>
      </c>
      <c r="O19" s="279" t="s">
        <v>2</v>
      </c>
      <c r="P19" s="279" t="s">
        <v>282</v>
      </c>
      <c r="Q19" s="279" t="s">
        <v>399</v>
      </c>
      <c r="R19" s="279" t="s">
        <v>281</v>
      </c>
      <c r="S19" s="279" t="s">
        <v>620</v>
      </c>
      <c r="T19" s="279" t="s">
        <v>612</v>
      </c>
      <c r="U19" s="279" t="s">
        <v>1843</v>
      </c>
      <c r="V19" s="279" t="s">
        <v>1892</v>
      </c>
      <c r="W19" s="279" t="s">
        <v>399</v>
      </c>
    </row>
    <row r="20" spans="1:23" hidden="1">
      <c r="A20" t="str">
        <f t="shared" si="0"/>
        <v>20*201/117.0197白AAA0环保丝</v>
      </c>
      <c r="C20" s="279" t="s">
        <v>1832</v>
      </c>
      <c r="D20" s="279" t="s">
        <v>285</v>
      </c>
      <c r="E20" s="279">
        <f>IF(ISNA(--VLOOKUP(A20,喷水import!A:D,4,FALSE)),0,--VLOOKUP(A20,喷水import!A:D,4,FALSE))</f>
        <v>3182</v>
      </c>
      <c r="F20" s="279">
        <f>IF(ISNA(--VLOOKUP(A20,喷水import!A:E,5,FALSE)),0,--VLOOKUP(A20,喷水import!A:E,5,FALSE))</f>
        <v>2</v>
      </c>
      <c r="G20" s="279" t="s">
        <v>612</v>
      </c>
      <c r="H20" s="279" t="s">
        <v>612</v>
      </c>
      <c r="I20" s="279" t="s">
        <v>399</v>
      </c>
      <c r="J20" s="279" t="s">
        <v>1894</v>
      </c>
      <c r="K20" s="279" t="s">
        <v>195</v>
      </c>
      <c r="L20" s="279" t="s">
        <v>1110</v>
      </c>
      <c r="M20" s="279" t="s">
        <v>1895</v>
      </c>
      <c r="N20" s="279" t="s">
        <v>1861</v>
      </c>
      <c r="O20" s="279" t="s">
        <v>2</v>
      </c>
      <c r="P20" s="279" t="s">
        <v>287</v>
      </c>
      <c r="Q20" s="279" t="s">
        <v>399</v>
      </c>
      <c r="R20" s="279" t="s">
        <v>281</v>
      </c>
      <c r="S20" s="279" t="s">
        <v>620</v>
      </c>
      <c r="T20" s="279" t="s">
        <v>612</v>
      </c>
      <c r="U20" s="279" t="s">
        <v>1868</v>
      </c>
      <c r="V20" s="279" t="s">
        <v>1896</v>
      </c>
      <c r="W20" s="279" t="s">
        <v>173</v>
      </c>
    </row>
    <row r="21" spans="1:23" hidden="1">
      <c r="A21" t="str">
        <f t="shared" si="0"/>
        <v>F/20/20/17/197/1/1/W/AAA20*201/117.0197白AAA0</v>
      </c>
      <c r="C21" s="279" t="s">
        <v>1832</v>
      </c>
      <c r="D21" s="279" t="s">
        <v>285</v>
      </c>
      <c r="E21" s="279">
        <f>IF(ISNA(--VLOOKUP(A21,喷水import!A:D,4,FALSE)),0,--VLOOKUP(A21,喷水import!A:D,4,FALSE))</f>
        <v>5330</v>
      </c>
      <c r="F21" s="279">
        <f>IF(ISNA(--VLOOKUP(A21,喷水import!A:E,5,FALSE)),0,--VLOOKUP(A21,喷水import!A:E,5,FALSE))</f>
        <v>5</v>
      </c>
      <c r="G21" s="279" t="s">
        <v>612</v>
      </c>
      <c r="H21" s="279" t="s">
        <v>612</v>
      </c>
      <c r="I21" s="279" t="s">
        <v>1897</v>
      </c>
      <c r="J21" s="279" t="s">
        <v>620</v>
      </c>
      <c r="K21" s="279" t="s">
        <v>195</v>
      </c>
      <c r="L21" s="279" t="s">
        <v>1110</v>
      </c>
      <c r="M21" s="279" t="s">
        <v>1895</v>
      </c>
      <c r="N21" s="279" t="s">
        <v>1861</v>
      </c>
      <c r="O21" s="279" t="s">
        <v>2</v>
      </c>
      <c r="P21" s="279" t="s">
        <v>287</v>
      </c>
      <c r="Q21" s="279" t="s">
        <v>399</v>
      </c>
      <c r="R21" s="279" t="s">
        <v>281</v>
      </c>
      <c r="S21" s="279" t="s">
        <v>620</v>
      </c>
      <c r="T21" s="279" t="s">
        <v>612</v>
      </c>
      <c r="U21" s="279" t="s">
        <v>1836</v>
      </c>
      <c r="V21" s="279" t="s">
        <v>1898</v>
      </c>
      <c r="W21" s="279" t="s">
        <v>399</v>
      </c>
    </row>
    <row r="22" spans="1:23" hidden="1">
      <c r="A22" t="str">
        <f t="shared" si="0"/>
        <v>20*201/117.0197白AA0环保 打样</v>
      </c>
      <c r="C22" s="279" t="s">
        <v>1832</v>
      </c>
      <c r="D22" s="279" t="s">
        <v>285</v>
      </c>
      <c r="E22" s="279">
        <f>IF(ISNA(--VLOOKUP(A22,喷水import!A:D,4,FALSE)),0,--VLOOKUP(A22,喷水import!A:D,4,FALSE))</f>
        <v>3192</v>
      </c>
      <c r="F22" s="279">
        <f>IF(ISNA(--VLOOKUP(A22,喷水import!A:E,5,FALSE)),0,--VLOOKUP(A22,喷水import!A:E,5,FALSE))</f>
        <v>3</v>
      </c>
      <c r="G22" s="279" t="s">
        <v>612</v>
      </c>
      <c r="H22" s="279" t="s">
        <v>612</v>
      </c>
      <c r="I22" s="279" t="s">
        <v>399</v>
      </c>
      <c r="J22" s="279" t="s">
        <v>1894</v>
      </c>
      <c r="K22" s="279" t="s">
        <v>195</v>
      </c>
      <c r="L22" s="279" t="s">
        <v>1110</v>
      </c>
      <c r="M22" s="279" t="s">
        <v>1895</v>
      </c>
      <c r="N22" s="279" t="s">
        <v>1861</v>
      </c>
      <c r="O22" s="279" t="s">
        <v>2</v>
      </c>
      <c r="P22" s="279" t="s">
        <v>282</v>
      </c>
      <c r="Q22" s="279" t="s">
        <v>399</v>
      </c>
      <c r="R22" s="279" t="s">
        <v>281</v>
      </c>
      <c r="S22" s="279" t="s">
        <v>620</v>
      </c>
      <c r="T22" s="279" t="s">
        <v>612</v>
      </c>
      <c r="U22" s="279" t="s">
        <v>1900</v>
      </c>
      <c r="V22" s="279" t="s">
        <v>1901</v>
      </c>
      <c r="W22" s="279" t="s">
        <v>1902</v>
      </c>
    </row>
    <row r="23" spans="1:23" hidden="1">
      <c r="A23" t="str">
        <f t="shared" si="0"/>
        <v>F/20/20/17/197/1/1/W/AAA20*20-11/117.0197白AAA01</v>
      </c>
      <c r="C23" s="279" t="s">
        <v>1832</v>
      </c>
      <c r="D23" s="279" t="s">
        <v>285</v>
      </c>
      <c r="E23" s="279">
        <f>IF(ISNA(--VLOOKUP(A23,喷水import!A:D,4,FALSE)),0,--VLOOKUP(A23,喷水import!A:D,4,FALSE))</f>
        <v>24050</v>
      </c>
      <c r="F23" s="279">
        <f>IF(ISNA(--VLOOKUP(A23,喷水import!A:E,5,FALSE)),0,--VLOOKUP(A23,喷水import!A:E,5,FALSE))</f>
        <v>22</v>
      </c>
      <c r="G23" s="279" t="s">
        <v>612</v>
      </c>
      <c r="H23" s="279" t="s">
        <v>612</v>
      </c>
      <c r="I23" s="279" t="s">
        <v>1897</v>
      </c>
      <c r="J23" s="279" t="s">
        <v>630</v>
      </c>
      <c r="K23" s="279" t="s">
        <v>1906</v>
      </c>
      <c r="L23" s="279" t="s">
        <v>1110</v>
      </c>
      <c r="M23" s="279" t="s">
        <v>1895</v>
      </c>
      <c r="N23" s="279" t="s">
        <v>1861</v>
      </c>
      <c r="O23" s="279" t="s">
        <v>2</v>
      </c>
      <c r="P23" s="279" t="s">
        <v>287</v>
      </c>
      <c r="Q23" s="279" t="s">
        <v>399</v>
      </c>
      <c r="R23" s="279" t="s">
        <v>399</v>
      </c>
      <c r="S23" s="279" t="s">
        <v>620</v>
      </c>
      <c r="T23" s="279" t="s">
        <v>612</v>
      </c>
      <c r="U23" s="279" t="s">
        <v>1907</v>
      </c>
      <c r="V23" s="279" t="s">
        <v>2368</v>
      </c>
      <c r="W23" s="279" t="s">
        <v>641</v>
      </c>
    </row>
    <row r="24" spans="1:23" hidden="1">
      <c r="A24" t="str">
        <f t="shared" si="0"/>
        <v>F/20/20/17/197/1/1/W/AAAA20*20-11/117.0197白AAAA0</v>
      </c>
      <c r="C24" s="279" t="s">
        <v>1832</v>
      </c>
      <c r="D24" s="279" t="s">
        <v>285</v>
      </c>
      <c r="E24" s="279">
        <f>IF(ISNA(--VLOOKUP(A24,喷水import!A:D,4,FALSE)),0,--VLOOKUP(A24,喷水import!A:D,4,FALSE))</f>
        <v>78485</v>
      </c>
      <c r="F24" s="279">
        <f>IF(ISNA(--VLOOKUP(A24,喷水import!A:E,5,FALSE)),0,--VLOOKUP(A24,喷水import!A:E,5,FALSE))</f>
        <v>66</v>
      </c>
      <c r="G24" s="279" t="s">
        <v>612</v>
      </c>
      <c r="H24" s="279" t="s">
        <v>612</v>
      </c>
      <c r="I24" s="279" t="s">
        <v>1903</v>
      </c>
      <c r="J24" s="279" t="s">
        <v>641</v>
      </c>
      <c r="K24" s="279" t="s">
        <v>1906</v>
      </c>
      <c r="L24" s="279" t="s">
        <v>1110</v>
      </c>
      <c r="M24" s="279" t="s">
        <v>1895</v>
      </c>
      <c r="N24" s="279" t="s">
        <v>1861</v>
      </c>
      <c r="O24" s="279" t="s">
        <v>2</v>
      </c>
      <c r="P24" s="279" t="s">
        <v>387</v>
      </c>
      <c r="Q24" s="279" t="s">
        <v>399</v>
      </c>
      <c r="R24" s="279" t="s">
        <v>281</v>
      </c>
      <c r="S24" s="279" t="s">
        <v>620</v>
      </c>
      <c r="T24" s="279" t="s">
        <v>612</v>
      </c>
      <c r="U24" s="279" t="s">
        <v>1908</v>
      </c>
      <c r="V24" s="279" t="s">
        <v>1909</v>
      </c>
      <c r="W24" s="279" t="s">
        <v>399</v>
      </c>
    </row>
    <row r="25" spans="1:23" hidden="1">
      <c r="A25" t="str">
        <f t="shared" si="0"/>
        <v>F/20/20/17/197/1/1/W/AAAA20*20-11/117.0197白AAAA0骏马湿布</v>
      </c>
      <c r="C25" s="279" t="s">
        <v>1832</v>
      </c>
      <c r="D25" s="279" t="s">
        <v>285</v>
      </c>
      <c r="E25" s="279">
        <f>IF(ISNA(--VLOOKUP(A25,喷水import!A:D,4,FALSE)),0,--VLOOKUP(A25,喷水import!A:D,4,FALSE))</f>
        <v>0</v>
      </c>
      <c r="F25" s="279">
        <f>IF(ISNA(--VLOOKUP(A25,喷水import!A:E,5,FALSE)),0,--VLOOKUP(A25,喷水import!A:E,5,FALSE))</f>
        <v>0</v>
      </c>
      <c r="G25" s="279" t="s">
        <v>612</v>
      </c>
      <c r="H25" s="279" t="s">
        <v>612</v>
      </c>
      <c r="I25" s="279" t="s">
        <v>1903</v>
      </c>
      <c r="J25" s="279" t="s">
        <v>1911</v>
      </c>
      <c r="K25" s="279" t="s">
        <v>1906</v>
      </c>
      <c r="L25" s="279" t="s">
        <v>1110</v>
      </c>
      <c r="M25" s="279" t="s">
        <v>1895</v>
      </c>
      <c r="N25" s="279" t="s">
        <v>1861</v>
      </c>
      <c r="O25" s="279" t="s">
        <v>2</v>
      </c>
      <c r="P25" s="279" t="s">
        <v>387</v>
      </c>
      <c r="Q25" s="279" t="s">
        <v>399</v>
      </c>
      <c r="R25" s="279" t="s">
        <v>281</v>
      </c>
      <c r="S25" s="279" t="s">
        <v>620</v>
      </c>
      <c r="T25" s="279" t="s">
        <v>612</v>
      </c>
      <c r="U25" s="279" t="s">
        <v>1836</v>
      </c>
      <c r="V25" s="279" t="s">
        <v>1912</v>
      </c>
      <c r="W25" s="279" t="s">
        <v>1911</v>
      </c>
    </row>
    <row r="26" spans="1:23" hidden="1">
      <c r="A26" t="str">
        <f t="shared" si="0"/>
        <v>F/20/20/17/146/1/1/W/AAA20*20-11/117.0146白AAA0</v>
      </c>
      <c r="C26" s="279" t="s">
        <v>1832</v>
      </c>
      <c r="D26" s="279" t="s">
        <v>285</v>
      </c>
      <c r="E26" s="279">
        <f>IF(ISNA(--VLOOKUP(A26,喷水import!A:D,4,FALSE)),0,--VLOOKUP(A26,喷水import!A:D,4,FALSE))</f>
        <v>15861</v>
      </c>
      <c r="F26" s="279">
        <f>IF(ISNA(--VLOOKUP(A26,喷水import!A:E,5,FALSE)),0,--VLOOKUP(A26,喷水import!A:E,5,FALSE))</f>
        <v>12</v>
      </c>
      <c r="G26" s="279" t="s">
        <v>612</v>
      </c>
      <c r="H26" s="279" t="s">
        <v>612</v>
      </c>
      <c r="I26" s="279" t="s">
        <v>1914</v>
      </c>
      <c r="J26" s="279" t="s">
        <v>641</v>
      </c>
      <c r="K26" s="279" t="s">
        <v>1906</v>
      </c>
      <c r="L26" s="279" t="s">
        <v>1110</v>
      </c>
      <c r="M26" s="279" t="s">
        <v>1895</v>
      </c>
      <c r="N26" s="279" t="s">
        <v>1867</v>
      </c>
      <c r="O26" s="279" t="s">
        <v>2</v>
      </c>
      <c r="P26" s="279" t="s">
        <v>287</v>
      </c>
      <c r="Q26" s="279" t="s">
        <v>399</v>
      </c>
      <c r="R26" s="279" t="s">
        <v>281</v>
      </c>
      <c r="S26" s="279" t="s">
        <v>620</v>
      </c>
      <c r="T26" s="279" t="s">
        <v>612</v>
      </c>
      <c r="U26" s="279" t="s">
        <v>1905</v>
      </c>
      <c r="V26" s="279" t="s">
        <v>1915</v>
      </c>
      <c r="W26" s="279" t="s">
        <v>399</v>
      </c>
    </row>
    <row r="27" spans="1:23" hidden="1">
      <c r="A27" t="str">
        <f t="shared" si="0"/>
        <v>F/20/20/17/197/1/1/W/AA20*20-11/117.0197白AA0</v>
      </c>
      <c r="C27" s="279" t="s">
        <v>1832</v>
      </c>
      <c r="D27" s="279" t="s">
        <v>285</v>
      </c>
      <c r="E27" s="279">
        <f>IF(ISNA(--VLOOKUP(A27,喷水import!A:D,4,FALSE)),0,--VLOOKUP(A27,喷水import!A:D,4,FALSE))</f>
        <v>5807</v>
      </c>
      <c r="F27" s="279">
        <f>IF(ISNA(--VLOOKUP(A27,喷水import!A:E,5,FALSE)),0,--VLOOKUP(A27,喷水import!A:E,5,FALSE))</f>
        <v>5</v>
      </c>
      <c r="G27" s="279" t="s">
        <v>612</v>
      </c>
      <c r="H27" s="279" t="s">
        <v>612</v>
      </c>
      <c r="I27" s="279" t="s">
        <v>1918</v>
      </c>
      <c r="J27" s="279" t="s">
        <v>641</v>
      </c>
      <c r="K27" s="279" t="s">
        <v>1906</v>
      </c>
      <c r="L27" s="279" t="s">
        <v>1110</v>
      </c>
      <c r="M27" s="279" t="s">
        <v>1895</v>
      </c>
      <c r="N27" s="279" t="s">
        <v>1861</v>
      </c>
      <c r="O27" s="279" t="s">
        <v>2</v>
      </c>
      <c r="P27" s="279" t="s">
        <v>282</v>
      </c>
      <c r="Q27" s="279" t="s">
        <v>399</v>
      </c>
      <c r="R27" s="279" t="s">
        <v>281</v>
      </c>
      <c r="S27" s="279" t="s">
        <v>620</v>
      </c>
      <c r="T27" s="279" t="s">
        <v>612</v>
      </c>
      <c r="U27" s="279" t="s">
        <v>1919</v>
      </c>
      <c r="V27" s="279" t="s">
        <v>1920</v>
      </c>
      <c r="W27" s="279" t="s">
        <v>399</v>
      </c>
    </row>
    <row r="28" spans="1:23" hidden="1">
      <c r="A28" t="str">
        <f t="shared" si="0"/>
        <v>F/20/20/17/197/1/1/W/AAA20*20-101/117.0197白AAA0</v>
      </c>
      <c r="C28" s="279" t="s">
        <v>1832</v>
      </c>
      <c r="D28" s="279" t="s">
        <v>285</v>
      </c>
      <c r="E28" s="279">
        <f>IF(ISNA(--VLOOKUP(A28,喷水import!A:D,4,FALSE)),0,--VLOOKUP(A28,喷水import!A:D,4,FALSE))</f>
        <v>0</v>
      </c>
      <c r="F28" s="279">
        <f>IF(ISNA(--VLOOKUP(A28,喷水import!A:E,5,FALSE)),0,--VLOOKUP(A28,喷水import!A:E,5,FALSE))</f>
        <v>0</v>
      </c>
      <c r="G28" s="279" t="s">
        <v>612</v>
      </c>
      <c r="H28" s="279" t="s">
        <v>612</v>
      </c>
      <c r="I28" s="279" t="s">
        <v>1897</v>
      </c>
      <c r="J28" s="279" t="s">
        <v>620</v>
      </c>
      <c r="K28" s="279" t="s">
        <v>1921</v>
      </c>
      <c r="L28" s="279" t="s">
        <v>1110</v>
      </c>
      <c r="M28" s="279" t="s">
        <v>1895</v>
      </c>
      <c r="N28" s="279" t="s">
        <v>1861</v>
      </c>
      <c r="O28" s="279" t="s">
        <v>2</v>
      </c>
      <c r="P28" s="279" t="s">
        <v>287</v>
      </c>
      <c r="Q28" s="279" t="s">
        <v>399</v>
      </c>
      <c r="R28" s="279" t="s">
        <v>281</v>
      </c>
      <c r="S28" s="279" t="s">
        <v>620</v>
      </c>
      <c r="T28" s="279" t="s">
        <v>612</v>
      </c>
      <c r="U28" s="279" t="s">
        <v>1922</v>
      </c>
      <c r="V28" s="279" t="s">
        <v>1923</v>
      </c>
      <c r="W28" s="279" t="s">
        <v>399</v>
      </c>
    </row>
    <row r="29" spans="1:23" hidden="1">
      <c r="A29" t="str">
        <f t="shared" si="0"/>
        <v>F/20/20/17/197/1/1/W/AAAA20*20-101/117.0197白AAAA0</v>
      </c>
      <c r="C29" s="279" t="s">
        <v>1832</v>
      </c>
      <c r="D29" s="279" t="s">
        <v>285</v>
      </c>
      <c r="E29" s="279">
        <f>IF(ISNA(--VLOOKUP(A29,喷水import!A:D,4,FALSE)),0,--VLOOKUP(A29,喷水import!A:D,4,FALSE))</f>
        <v>9773</v>
      </c>
      <c r="F29" s="279">
        <f>IF(ISNA(--VLOOKUP(A29,喷水import!A:E,5,FALSE)),0,--VLOOKUP(A29,喷水import!A:E,5,FALSE))</f>
        <v>8</v>
      </c>
      <c r="G29" s="279" t="s">
        <v>612</v>
      </c>
      <c r="H29" s="279" t="s">
        <v>612</v>
      </c>
      <c r="I29" s="279" t="s">
        <v>1903</v>
      </c>
      <c r="J29" s="279" t="s">
        <v>620</v>
      </c>
      <c r="K29" s="279" t="s">
        <v>1921</v>
      </c>
      <c r="L29" s="279" t="s">
        <v>1110</v>
      </c>
      <c r="M29" s="279" t="s">
        <v>1895</v>
      </c>
      <c r="N29" s="279" t="s">
        <v>1861</v>
      </c>
      <c r="O29" s="279" t="s">
        <v>2</v>
      </c>
      <c r="P29" s="279" t="s">
        <v>387</v>
      </c>
      <c r="Q29" s="279" t="s">
        <v>399</v>
      </c>
      <c r="R29" s="279" t="s">
        <v>281</v>
      </c>
      <c r="S29" s="279" t="s">
        <v>620</v>
      </c>
      <c r="T29" s="279" t="s">
        <v>612</v>
      </c>
      <c r="U29" s="279" t="s">
        <v>1924</v>
      </c>
      <c r="V29" s="279" t="s">
        <v>1925</v>
      </c>
      <c r="W29" s="279" t="s">
        <v>399</v>
      </c>
    </row>
    <row r="30" spans="1:23" hidden="1">
      <c r="A30" t="str">
        <f t="shared" si="0"/>
        <v>F/20/20/17/197/1/1/W/AA20*20-101/117.0197白AA0</v>
      </c>
      <c r="C30" s="279" t="s">
        <v>1832</v>
      </c>
      <c r="D30" s="279" t="s">
        <v>285</v>
      </c>
      <c r="E30" s="279">
        <f>IF(ISNA(--VLOOKUP(A30,喷水import!A:D,4,FALSE)),0,--VLOOKUP(A30,喷水import!A:D,4,FALSE))</f>
        <v>42316</v>
      </c>
      <c r="F30" s="279">
        <f>IF(ISNA(--VLOOKUP(A30,喷水import!A:E,5,FALSE)),0,--VLOOKUP(A30,喷水import!A:E,5,FALSE))</f>
        <v>34</v>
      </c>
      <c r="G30" s="279" t="s">
        <v>612</v>
      </c>
      <c r="H30" s="279" t="s">
        <v>612</v>
      </c>
      <c r="I30" s="279" t="s">
        <v>1918</v>
      </c>
      <c r="J30" s="279" t="s">
        <v>620</v>
      </c>
      <c r="K30" s="279" t="s">
        <v>1921</v>
      </c>
      <c r="L30" s="279" t="s">
        <v>1110</v>
      </c>
      <c r="M30" s="279" t="s">
        <v>1895</v>
      </c>
      <c r="N30" s="279" t="s">
        <v>1861</v>
      </c>
      <c r="O30" s="279" t="s">
        <v>2</v>
      </c>
      <c r="P30" s="279" t="s">
        <v>282</v>
      </c>
      <c r="Q30" s="279" t="s">
        <v>399</v>
      </c>
      <c r="R30" s="279" t="s">
        <v>281</v>
      </c>
      <c r="S30" s="279" t="s">
        <v>620</v>
      </c>
      <c r="T30" s="279" t="s">
        <v>612</v>
      </c>
      <c r="U30" s="279" t="s">
        <v>1924</v>
      </c>
      <c r="V30" s="279" t="s">
        <v>1927</v>
      </c>
      <c r="W30" s="279" t="s">
        <v>399</v>
      </c>
    </row>
    <row r="31" spans="1:23" hidden="1">
      <c r="A31" t="str">
        <f t="shared" si="0"/>
        <v>F/20/20/17/190/乱纹/W/AA20*20-2乱纹17.0190白AA01</v>
      </c>
      <c r="C31" s="279" t="s">
        <v>1832</v>
      </c>
      <c r="D31" s="279" t="s">
        <v>1928</v>
      </c>
      <c r="E31" s="279">
        <f>IF(ISNA(--VLOOKUP(A31,喷水import!A:D,4,FALSE)),0,--VLOOKUP(A31,喷水import!A:D,4,FALSE))</f>
        <v>1255</v>
      </c>
      <c r="F31" s="279">
        <f>IF(ISNA(--VLOOKUP(A31,喷水import!A:E,5,FALSE)),0,--VLOOKUP(A31,喷水import!A:E,5,FALSE))</f>
        <v>1</v>
      </c>
      <c r="G31" s="279" t="s">
        <v>612</v>
      </c>
      <c r="H31" s="279" t="s">
        <v>612</v>
      </c>
      <c r="I31" s="279" t="s">
        <v>1930</v>
      </c>
      <c r="J31" s="279" t="s">
        <v>630</v>
      </c>
      <c r="K31" s="279" t="s">
        <v>1931</v>
      </c>
      <c r="L31" s="279" t="s">
        <v>1932</v>
      </c>
      <c r="M31" s="279" t="s">
        <v>1895</v>
      </c>
      <c r="N31" s="279" t="s">
        <v>1933</v>
      </c>
      <c r="O31" s="279" t="s">
        <v>2</v>
      </c>
      <c r="P31" s="279" t="s">
        <v>282</v>
      </c>
      <c r="Q31" s="279" t="s">
        <v>399</v>
      </c>
      <c r="R31" s="279" t="s">
        <v>399</v>
      </c>
      <c r="S31" s="279" t="s">
        <v>620</v>
      </c>
      <c r="T31" s="279" t="s">
        <v>612</v>
      </c>
      <c r="U31" s="279" t="s">
        <v>1934</v>
      </c>
      <c r="V31" s="279" t="s">
        <v>1935</v>
      </c>
      <c r="W31" s="279" t="s">
        <v>641</v>
      </c>
    </row>
    <row r="32" spans="1:23" hidden="1">
      <c r="A32" t="str">
        <f t="shared" si="0"/>
        <v>F/20/20/17/146/1/1/W/AAA20*20-31/117.0146白AAA0</v>
      </c>
      <c r="C32" s="279" t="s">
        <v>1832</v>
      </c>
      <c r="D32" s="279" t="s">
        <v>285</v>
      </c>
      <c r="E32" s="279">
        <f>IF(ISNA(--VLOOKUP(A32,喷水import!A:D,4,FALSE)),0,--VLOOKUP(A32,喷水import!A:D,4,FALSE))</f>
        <v>41888</v>
      </c>
      <c r="F32" s="279">
        <f>IF(ISNA(--VLOOKUP(A32,喷水import!A:E,5,FALSE)),0,--VLOOKUP(A32,喷水import!A:E,5,FALSE))</f>
        <v>31</v>
      </c>
      <c r="G32" s="279" t="s">
        <v>612</v>
      </c>
      <c r="H32" s="279" t="s">
        <v>612</v>
      </c>
      <c r="I32" s="279" t="s">
        <v>1914</v>
      </c>
      <c r="J32" s="279" t="s">
        <v>641</v>
      </c>
      <c r="K32" s="279" t="s">
        <v>1936</v>
      </c>
      <c r="L32" s="279" t="s">
        <v>1110</v>
      </c>
      <c r="M32" s="279" t="s">
        <v>1895</v>
      </c>
      <c r="N32" s="279" t="s">
        <v>1867</v>
      </c>
      <c r="O32" s="279" t="s">
        <v>2</v>
      </c>
      <c r="P32" s="279" t="s">
        <v>287</v>
      </c>
      <c r="Q32" s="279" t="s">
        <v>399</v>
      </c>
      <c r="R32" s="279" t="s">
        <v>281</v>
      </c>
      <c r="S32" s="279" t="s">
        <v>620</v>
      </c>
      <c r="T32" s="279" t="s">
        <v>612</v>
      </c>
      <c r="U32" s="279" t="s">
        <v>1916</v>
      </c>
      <c r="V32" s="279" t="s">
        <v>2370</v>
      </c>
      <c r="W32" s="279" t="s">
        <v>399</v>
      </c>
    </row>
    <row r="33" spans="1:23" hidden="1">
      <c r="A33" t="str">
        <f t="shared" si="0"/>
        <v>F/20/20/17/197/1/1/B/AAAA20*20-41/117.0197黑AAAA0骏马湿布</v>
      </c>
      <c r="C33" s="279" t="s">
        <v>1832</v>
      </c>
      <c r="D33" s="279" t="s">
        <v>285</v>
      </c>
      <c r="E33" s="279">
        <f>IF(ISNA(--VLOOKUP(A33,喷水import!A:D,4,FALSE)),0,--VLOOKUP(A33,喷水import!A:D,4,FALSE))</f>
        <v>0</v>
      </c>
      <c r="F33" s="279">
        <f>IF(ISNA(--VLOOKUP(A33,喷水import!A:E,5,FALSE)),0,--VLOOKUP(A33,喷水import!A:E,5,FALSE))</f>
        <v>0</v>
      </c>
      <c r="G33" s="279" t="s">
        <v>612</v>
      </c>
      <c r="H33" s="279" t="s">
        <v>612</v>
      </c>
      <c r="I33" s="279" t="s">
        <v>1937</v>
      </c>
      <c r="J33" s="279" t="s">
        <v>1911</v>
      </c>
      <c r="K33" s="279" t="s">
        <v>1938</v>
      </c>
      <c r="L33" s="279" t="s">
        <v>1110</v>
      </c>
      <c r="M33" s="279" t="s">
        <v>1895</v>
      </c>
      <c r="N33" s="279" t="s">
        <v>1861</v>
      </c>
      <c r="O33" s="279" t="s">
        <v>1</v>
      </c>
      <c r="P33" s="279" t="s">
        <v>387</v>
      </c>
      <c r="Q33" s="279" t="s">
        <v>399</v>
      </c>
      <c r="R33" s="279" t="s">
        <v>281</v>
      </c>
      <c r="S33" s="279" t="s">
        <v>620</v>
      </c>
      <c r="T33" s="279" t="s">
        <v>612</v>
      </c>
      <c r="U33" s="279" t="s">
        <v>1939</v>
      </c>
      <c r="V33" s="279" t="s">
        <v>2371</v>
      </c>
      <c r="W33" s="279" t="s">
        <v>1911</v>
      </c>
    </row>
    <row r="34" spans="1:23" hidden="1">
      <c r="A34" t="str">
        <f t="shared" si="0"/>
        <v>F/20/20/17/197/1/1/B/AA20*20-41/117.0197黑AA0老库存</v>
      </c>
      <c r="C34" s="279" t="s">
        <v>1832</v>
      </c>
      <c r="D34" s="279" t="s">
        <v>285</v>
      </c>
      <c r="E34" s="279">
        <f>IF(ISNA(--VLOOKUP(A34,喷水import!A:D,4,FALSE)),0,--VLOOKUP(A34,喷水import!A:D,4,FALSE))</f>
        <v>2758</v>
      </c>
      <c r="F34" s="279">
        <f>IF(ISNA(--VLOOKUP(A34,喷水import!A:E,5,FALSE)),0,--VLOOKUP(A34,喷水import!A:E,5,FALSE))</f>
        <v>2</v>
      </c>
      <c r="G34" s="279" t="s">
        <v>612</v>
      </c>
      <c r="H34" s="279" t="s">
        <v>612</v>
      </c>
      <c r="I34" s="279" t="s">
        <v>1941</v>
      </c>
      <c r="J34" s="279" t="s">
        <v>641</v>
      </c>
      <c r="K34" s="279" t="s">
        <v>1938</v>
      </c>
      <c r="L34" s="279" t="s">
        <v>1110</v>
      </c>
      <c r="M34" s="279" t="s">
        <v>1895</v>
      </c>
      <c r="N34" s="279" t="s">
        <v>1861</v>
      </c>
      <c r="O34" s="279" t="s">
        <v>1</v>
      </c>
      <c r="P34" s="279" t="s">
        <v>282</v>
      </c>
      <c r="Q34" s="279" t="s">
        <v>399</v>
      </c>
      <c r="R34" s="279" t="s">
        <v>281</v>
      </c>
      <c r="S34" s="279" t="s">
        <v>620</v>
      </c>
      <c r="T34" s="279" t="s">
        <v>612</v>
      </c>
      <c r="U34" s="279" t="s">
        <v>1939</v>
      </c>
      <c r="V34" s="279" t="s">
        <v>1942</v>
      </c>
      <c r="W34" s="279" t="s">
        <v>1943</v>
      </c>
    </row>
    <row r="35" spans="1:23" hidden="1">
      <c r="A35" t="str">
        <f t="shared" si="0"/>
        <v>F/20/20/17/197/1/1/B/AAA20*20-41/117.0197黑AAA0</v>
      </c>
      <c r="C35" s="279" t="s">
        <v>1832</v>
      </c>
      <c r="D35" s="279" t="s">
        <v>285</v>
      </c>
      <c r="E35" s="279">
        <f>IF(ISNA(--VLOOKUP(A35,喷水import!A:D,4,FALSE)),0,--VLOOKUP(A35,喷水import!A:D,4,FALSE))</f>
        <v>1485</v>
      </c>
      <c r="F35" s="279">
        <f>IF(ISNA(--VLOOKUP(A35,喷水import!A:E,5,FALSE)),0,--VLOOKUP(A35,喷水import!A:E,5,FALSE))</f>
        <v>1</v>
      </c>
      <c r="G35" s="279" t="s">
        <v>612</v>
      </c>
      <c r="H35" s="279" t="s">
        <v>612</v>
      </c>
      <c r="I35" s="279" t="s">
        <v>1945</v>
      </c>
      <c r="J35" s="279" t="s">
        <v>641</v>
      </c>
      <c r="K35" s="279" t="s">
        <v>1938</v>
      </c>
      <c r="L35" s="279" t="s">
        <v>1110</v>
      </c>
      <c r="M35" s="279" t="s">
        <v>1895</v>
      </c>
      <c r="N35" s="279" t="s">
        <v>1861</v>
      </c>
      <c r="O35" s="279" t="s">
        <v>1</v>
      </c>
      <c r="P35" s="279" t="s">
        <v>287</v>
      </c>
      <c r="Q35" s="279" t="s">
        <v>399</v>
      </c>
      <c r="R35" s="279" t="s">
        <v>281</v>
      </c>
      <c r="S35" s="279" t="s">
        <v>620</v>
      </c>
      <c r="T35" s="279" t="s">
        <v>612</v>
      </c>
      <c r="U35" s="279" t="s">
        <v>1939</v>
      </c>
      <c r="V35" s="279" t="s">
        <v>1946</v>
      </c>
      <c r="W35" s="279" t="s">
        <v>399</v>
      </c>
    </row>
    <row r="36" spans="1:23" hidden="1">
      <c r="A36" t="str">
        <f t="shared" si="0"/>
        <v>20*20-61/117.0146白AAA0</v>
      </c>
      <c r="C36" s="279" t="s">
        <v>1832</v>
      </c>
      <c r="D36" s="279" t="s">
        <v>285</v>
      </c>
      <c r="E36" s="279">
        <f>IF(ISNA(--VLOOKUP(A36,喷水import!A:D,4,FALSE)),0,--VLOOKUP(A36,喷水import!A:D,4,FALSE))</f>
        <v>16706</v>
      </c>
      <c r="F36" s="279">
        <f>IF(ISNA(--VLOOKUP(A36,喷水import!A:E,5,FALSE)),0,--VLOOKUP(A36,喷水import!A:E,5,FALSE))</f>
        <v>12</v>
      </c>
      <c r="G36" s="279" t="s">
        <v>612</v>
      </c>
      <c r="H36" s="279" t="s">
        <v>612</v>
      </c>
      <c r="I36" s="279" t="s">
        <v>399</v>
      </c>
      <c r="J36" s="279" t="s">
        <v>641</v>
      </c>
      <c r="K36" s="279" t="s">
        <v>1948</v>
      </c>
      <c r="L36" s="279" t="s">
        <v>1110</v>
      </c>
      <c r="M36" s="279" t="s">
        <v>1895</v>
      </c>
      <c r="N36" s="279" t="s">
        <v>1867</v>
      </c>
      <c r="O36" s="279" t="s">
        <v>2</v>
      </c>
      <c r="P36" s="279" t="s">
        <v>287</v>
      </c>
      <c r="Q36" s="279" t="s">
        <v>399</v>
      </c>
      <c r="R36" s="279" t="s">
        <v>399</v>
      </c>
      <c r="S36" s="279" t="s">
        <v>620</v>
      </c>
      <c r="T36" s="279" t="s">
        <v>612</v>
      </c>
      <c r="U36" s="279" t="s">
        <v>1919</v>
      </c>
      <c r="V36" s="279" t="s">
        <v>1949</v>
      </c>
      <c r="W36" s="279" t="s">
        <v>399</v>
      </c>
    </row>
    <row r="37" spans="1:23" hidden="1">
      <c r="A37" t="str">
        <f t="shared" si="0"/>
        <v>20*20-81/117.0146白AAA0</v>
      </c>
      <c r="C37" s="279" t="s">
        <v>1832</v>
      </c>
      <c r="D37" s="279" t="s">
        <v>285</v>
      </c>
      <c r="E37" s="279">
        <f>IF(ISNA(--VLOOKUP(A37,喷水import!A:D,4,FALSE)),0,--VLOOKUP(A37,喷水import!A:D,4,FALSE))</f>
        <v>16759</v>
      </c>
      <c r="F37" s="279">
        <f>IF(ISNA(--VLOOKUP(A37,喷水import!A:E,5,FALSE)),0,--VLOOKUP(A37,喷水import!A:E,5,FALSE))</f>
        <v>13</v>
      </c>
      <c r="G37" s="279" t="s">
        <v>612</v>
      </c>
      <c r="H37" s="279" t="s">
        <v>612</v>
      </c>
      <c r="I37" s="279" t="s">
        <v>399</v>
      </c>
      <c r="J37" s="279" t="s">
        <v>641</v>
      </c>
      <c r="K37" s="279" t="s">
        <v>1951</v>
      </c>
      <c r="L37" s="279" t="s">
        <v>1110</v>
      </c>
      <c r="M37" s="279" t="s">
        <v>1895</v>
      </c>
      <c r="N37" s="279" t="s">
        <v>1867</v>
      </c>
      <c r="O37" s="279" t="s">
        <v>2</v>
      </c>
      <c r="P37" s="279" t="s">
        <v>287</v>
      </c>
      <c r="Q37" s="279" t="s">
        <v>399</v>
      </c>
      <c r="R37" s="279" t="s">
        <v>281</v>
      </c>
      <c r="S37" s="279" t="s">
        <v>620</v>
      </c>
      <c r="T37" s="279" t="s">
        <v>612</v>
      </c>
      <c r="U37" s="279" t="s">
        <v>1952</v>
      </c>
      <c r="V37" s="279" t="s">
        <v>1953</v>
      </c>
      <c r="W37" s="279" t="s">
        <v>399</v>
      </c>
    </row>
    <row r="38" spans="1:23" hidden="1">
      <c r="A38" t="str">
        <f t="shared" si="0"/>
        <v>20*20-91/117.0146白AA0</v>
      </c>
      <c r="C38" s="279" t="s">
        <v>1832</v>
      </c>
      <c r="D38" s="279" t="s">
        <v>285</v>
      </c>
      <c r="E38" s="279">
        <f>IF(ISNA(--VLOOKUP(A38,喷水import!A:D,4,FALSE)),0,--VLOOKUP(A38,喷水import!A:D,4,FALSE))</f>
        <v>952</v>
      </c>
      <c r="F38" s="279">
        <f>IF(ISNA(--VLOOKUP(A38,喷水import!A:E,5,FALSE)),0,--VLOOKUP(A38,喷水import!A:E,5,FALSE))</f>
        <v>1</v>
      </c>
      <c r="G38" s="279" t="s">
        <v>612</v>
      </c>
      <c r="H38" s="279" t="s">
        <v>612</v>
      </c>
      <c r="I38" s="279" t="s">
        <v>399</v>
      </c>
      <c r="J38" s="279" t="s">
        <v>641</v>
      </c>
      <c r="K38" s="279" t="s">
        <v>1955</v>
      </c>
      <c r="L38" s="279" t="s">
        <v>1110</v>
      </c>
      <c r="M38" s="279" t="s">
        <v>1895</v>
      </c>
      <c r="N38" s="279" t="s">
        <v>1867</v>
      </c>
      <c r="O38" s="279" t="s">
        <v>2</v>
      </c>
      <c r="P38" s="279" t="s">
        <v>282</v>
      </c>
      <c r="Q38" s="279" t="s">
        <v>399</v>
      </c>
      <c r="R38" s="279" t="s">
        <v>281</v>
      </c>
      <c r="S38" s="279" t="s">
        <v>620</v>
      </c>
      <c r="T38" s="279" t="s">
        <v>612</v>
      </c>
      <c r="U38" s="279" t="s">
        <v>1956</v>
      </c>
      <c r="V38" s="279" t="s">
        <v>1957</v>
      </c>
      <c r="W38" s="279" t="s">
        <v>399</v>
      </c>
    </row>
    <row r="39" spans="1:23" hidden="1">
      <c r="A39" t="str">
        <f t="shared" si="0"/>
        <v>20*20-91/117.0146白AAA0</v>
      </c>
      <c r="C39" s="279" t="s">
        <v>1832</v>
      </c>
      <c r="D39" s="279" t="s">
        <v>285</v>
      </c>
      <c r="E39" s="279">
        <f>IF(ISNA(--VLOOKUP(A39,喷水import!A:D,4,FALSE)),0,--VLOOKUP(A39,喷水import!A:D,4,FALSE))</f>
        <v>15160</v>
      </c>
      <c r="F39" s="279">
        <f>IF(ISNA(--VLOOKUP(A39,喷水import!A:E,5,FALSE)),0,--VLOOKUP(A39,喷水import!A:E,5,FALSE))</f>
        <v>10</v>
      </c>
      <c r="G39" s="279" t="s">
        <v>612</v>
      </c>
      <c r="H39" s="279" t="s">
        <v>612</v>
      </c>
      <c r="I39" s="279" t="s">
        <v>399</v>
      </c>
      <c r="J39" s="279" t="s">
        <v>641</v>
      </c>
      <c r="K39" s="279" t="s">
        <v>1955</v>
      </c>
      <c r="L39" s="279" t="s">
        <v>1110</v>
      </c>
      <c r="M39" s="279" t="s">
        <v>1895</v>
      </c>
      <c r="N39" s="279" t="s">
        <v>1867</v>
      </c>
      <c r="O39" s="279" t="s">
        <v>2</v>
      </c>
      <c r="P39" s="279" t="s">
        <v>287</v>
      </c>
      <c r="Q39" s="279" t="s">
        <v>399</v>
      </c>
      <c r="R39" s="279" t="s">
        <v>399</v>
      </c>
      <c r="S39" s="279" t="s">
        <v>620</v>
      </c>
      <c r="T39" s="279" t="s">
        <v>612</v>
      </c>
      <c r="U39" s="279" t="s">
        <v>1952</v>
      </c>
      <c r="V39" s="279" t="s">
        <v>1959</v>
      </c>
      <c r="W39" s="279" t="s">
        <v>399</v>
      </c>
    </row>
    <row r="40" spans="1:23" hidden="1">
      <c r="A40" t="str">
        <f t="shared" si="0"/>
        <v>F/200/300/116/180/3/1/W/AAA200*3003/1116.0180白AAA01</v>
      </c>
      <c r="B40" s="260" t="s">
        <v>2434</v>
      </c>
      <c r="C40" s="279" t="s">
        <v>1832</v>
      </c>
      <c r="D40" s="279" t="s">
        <v>285</v>
      </c>
      <c r="E40" s="279">
        <f>IF(ISNA(--VLOOKUP(A40,喷水import!A:D,4,FALSE)),0,--VLOOKUP(A40,喷水import!A:D,4,FALSE))</f>
        <v>2400</v>
      </c>
      <c r="F40" s="279">
        <f>IF(ISNA(--VLOOKUP(A40,喷水import!A:E,5,FALSE)),0,--VLOOKUP(A40,喷水import!A:E,5,FALSE))</f>
        <v>6</v>
      </c>
      <c r="G40" s="279" t="s">
        <v>612</v>
      </c>
      <c r="H40" s="279" t="s">
        <v>612</v>
      </c>
      <c r="I40" s="279" t="s">
        <v>1960</v>
      </c>
      <c r="J40" s="279" t="s">
        <v>641</v>
      </c>
      <c r="K40" s="279" t="s">
        <v>217</v>
      </c>
      <c r="L40" s="279" t="s">
        <v>200</v>
      </c>
      <c r="M40" s="279" t="s">
        <v>1961</v>
      </c>
      <c r="N40" s="279" t="s">
        <v>959</v>
      </c>
      <c r="O40" s="279" t="s">
        <v>2</v>
      </c>
      <c r="P40" s="279" t="s">
        <v>287</v>
      </c>
      <c r="Q40" s="279" t="s">
        <v>399</v>
      </c>
      <c r="R40" s="279" t="s">
        <v>399</v>
      </c>
      <c r="S40" s="279" t="s">
        <v>620</v>
      </c>
      <c r="T40" s="279" t="s">
        <v>612</v>
      </c>
      <c r="U40" s="279" t="s">
        <v>1962</v>
      </c>
      <c r="V40" s="279" t="s">
        <v>2372</v>
      </c>
      <c r="W40" s="279" t="s">
        <v>641</v>
      </c>
    </row>
    <row r="41" spans="1:23" hidden="1">
      <c r="A41" t="str">
        <f t="shared" si="0"/>
        <v>F/200/300/116/180/3/1/B/AAA200*3003/1116.0180黑AAA01</v>
      </c>
      <c r="B41" s="260" t="s">
        <v>2434</v>
      </c>
      <c r="C41" s="279" t="s">
        <v>1832</v>
      </c>
      <c r="D41" s="279" t="s">
        <v>285</v>
      </c>
      <c r="E41" s="279">
        <f>IF(ISNA(--VLOOKUP(A41,喷水import!A:D,4,FALSE)),0,--VLOOKUP(A41,喷水import!A:D,4,FALSE))</f>
        <v>46100</v>
      </c>
      <c r="F41" s="279">
        <f>IF(ISNA(--VLOOKUP(A41,喷水import!A:E,5,FALSE)),0,--VLOOKUP(A41,喷水import!A:E,5,FALSE))</f>
        <v>120</v>
      </c>
      <c r="G41" s="279" t="s">
        <v>612</v>
      </c>
      <c r="H41" s="279" t="s">
        <v>612</v>
      </c>
      <c r="I41" s="279" t="s">
        <v>1963</v>
      </c>
      <c r="J41" s="279" t="s">
        <v>641</v>
      </c>
      <c r="K41" s="279" t="s">
        <v>217</v>
      </c>
      <c r="L41" s="279" t="s">
        <v>200</v>
      </c>
      <c r="M41" s="279" t="s">
        <v>1961</v>
      </c>
      <c r="N41" s="279" t="s">
        <v>959</v>
      </c>
      <c r="O41" s="279" t="s">
        <v>1</v>
      </c>
      <c r="P41" s="279" t="s">
        <v>287</v>
      </c>
      <c r="Q41" s="279" t="s">
        <v>399</v>
      </c>
      <c r="R41" s="279" t="s">
        <v>281</v>
      </c>
      <c r="S41" s="279" t="s">
        <v>620</v>
      </c>
      <c r="T41" s="279" t="s">
        <v>612</v>
      </c>
      <c r="U41" s="279" t="s">
        <v>1956</v>
      </c>
      <c r="V41" s="279" t="s">
        <v>2373</v>
      </c>
      <c r="W41" s="279" t="s">
        <v>641</v>
      </c>
    </row>
    <row r="42" spans="1:23" hidden="1">
      <c r="A42" t="str">
        <f t="shared" si="0"/>
        <v>F/200/300/126/180/3/1/B/AAA200*3003/1126.0180黑AAA01</v>
      </c>
      <c r="B42" s="260" t="s">
        <v>2435</v>
      </c>
      <c r="C42" s="279" t="s">
        <v>1832</v>
      </c>
      <c r="D42" s="279" t="s">
        <v>285</v>
      </c>
      <c r="E42" s="279">
        <f>IF(ISNA(--VLOOKUP(A42,喷水import!A:D,4,FALSE)),0,--VLOOKUP(A42,喷水import!A:D,4,FALSE))</f>
        <v>50900</v>
      </c>
      <c r="F42" s="279">
        <f>IF(ISNA(--VLOOKUP(A42,喷水import!A:E,5,FALSE)),0,--VLOOKUP(A42,喷水import!A:E,5,FALSE))</f>
        <v>128</v>
      </c>
      <c r="G42" s="279" t="s">
        <v>612</v>
      </c>
      <c r="H42" s="279" t="s">
        <v>612</v>
      </c>
      <c r="I42" s="279" t="s">
        <v>1964</v>
      </c>
      <c r="J42" s="279" t="s">
        <v>641</v>
      </c>
      <c r="K42" s="279" t="s">
        <v>217</v>
      </c>
      <c r="L42" s="279" t="s">
        <v>200</v>
      </c>
      <c r="M42" s="279" t="s">
        <v>1965</v>
      </c>
      <c r="N42" s="279" t="s">
        <v>959</v>
      </c>
      <c r="O42" s="279" t="s">
        <v>1</v>
      </c>
      <c r="P42" s="279" t="s">
        <v>287</v>
      </c>
      <c r="Q42" s="279" t="s">
        <v>399</v>
      </c>
      <c r="R42" s="279" t="s">
        <v>399</v>
      </c>
      <c r="S42" s="279" t="s">
        <v>612</v>
      </c>
      <c r="T42" s="279" t="s">
        <v>612</v>
      </c>
      <c r="U42" s="279" t="s">
        <v>1966</v>
      </c>
      <c r="V42" s="279" t="s">
        <v>2374</v>
      </c>
      <c r="W42" s="279" t="s">
        <v>641</v>
      </c>
    </row>
    <row r="43" spans="1:23" hidden="1">
      <c r="A43" t="str">
        <f t="shared" si="0"/>
        <v>F/200/300/126/180/3/1/W/AAA200*3003/1126.0180白AAA01</v>
      </c>
      <c r="B43" s="260" t="s">
        <v>2435</v>
      </c>
      <c r="C43" s="279" t="s">
        <v>1832</v>
      </c>
      <c r="D43" s="279" t="s">
        <v>285</v>
      </c>
      <c r="E43" s="279">
        <f>IF(ISNA(--VLOOKUP(A43,喷水import!A:D,4,FALSE)),0,--VLOOKUP(A43,喷水import!A:D,4,FALSE))</f>
        <v>1836</v>
      </c>
      <c r="F43" s="279">
        <f>IF(ISNA(--VLOOKUP(A43,喷水import!A:E,5,FALSE)),0,--VLOOKUP(A43,喷水import!A:E,5,FALSE))</f>
        <v>5</v>
      </c>
      <c r="G43" s="279" t="s">
        <v>612</v>
      </c>
      <c r="H43" s="279" t="s">
        <v>612</v>
      </c>
      <c r="I43" s="279" t="s">
        <v>1967</v>
      </c>
      <c r="J43" s="279" t="s">
        <v>641</v>
      </c>
      <c r="K43" s="279" t="s">
        <v>217</v>
      </c>
      <c r="L43" s="279" t="s">
        <v>200</v>
      </c>
      <c r="M43" s="279" t="s">
        <v>1965</v>
      </c>
      <c r="N43" s="279" t="s">
        <v>959</v>
      </c>
      <c r="O43" s="279" t="s">
        <v>2</v>
      </c>
      <c r="P43" s="279" t="s">
        <v>287</v>
      </c>
      <c r="Q43" s="279" t="s">
        <v>399</v>
      </c>
      <c r="R43" s="279" t="s">
        <v>281</v>
      </c>
      <c r="S43" s="279" t="s">
        <v>620</v>
      </c>
      <c r="T43" s="279" t="s">
        <v>612</v>
      </c>
      <c r="U43" s="279" t="s">
        <v>1968</v>
      </c>
      <c r="V43" s="279" t="s">
        <v>2375</v>
      </c>
      <c r="W43" s="279" t="s">
        <v>641</v>
      </c>
    </row>
    <row r="44" spans="1:23" hidden="1">
      <c r="A44" t="str">
        <f t="shared" si="0"/>
        <v>F/200/300/106/180/3/1/B/AAA200*3003/1106.0180黑AAA01</v>
      </c>
      <c r="B44" s="260" t="s">
        <v>2436</v>
      </c>
      <c r="C44" s="279" t="s">
        <v>1832</v>
      </c>
      <c r="D44" s="279" t="s">
        <v>285</v>
      </c>
      <c r="E44" s="279">
        <f>IF(ISNA(--VLOOKUP(A44,喷水import!A:D,4,FALSE)),0,--VLOOKUP(A44,喷水import!A:D,4,FALSE))</f>
        <v>241846</v>
      </c>
      <c r="F44" s="279">
        <f>IF(ISNA(--VLOOKUP(A44,喷水import!A:E,5,FALSE)),0,--VLOOKUP(A44,喷水import!A:E,5,FALSE))</f>
        <v>507</v>
      </c>
      <c r="G44" s="279" t="s">
        <v>612</v>
      </c>
      <c r="H44" s="279" t="s">
        <v>612</v>
      </c>
      <c r="I44" s="279" t="s">
        <v>1969</v>
      </c>
      <c r="J44" s="279" t="s">
        <v>641</v>
      </c>
      <c r="K44" s="279" t="s">
        <v>217</v>
      </c>
      <c r="L44" s="279" t="s">
        <v>200</v>
      </c>
      <c r="M44" s="279" t="s">
        <v>1970</v>
      </c>
      <c r="N44" s="279" t="s">
        <v>959</v>
      </c>
      <c r="O44" s="279" t="s">
        <v>1</v>
      </c>
      <c r="P44" s="279" t="s">
        <v>287</v>
      </c>
      <c r="Q44" s="279" t="s">
        <v>399</v>
      </c>
      <c r="R44" s="279" t="s">
        <v>399</v>
      </c>
      <c r="S44" s="279" t="s">
        <v>612</v>
      </c>
      <c r="T44" s="279" t="s">
        <v>612</v>
      </c>
      <c r="U44" s="279" t="s">
        <v>1840</v>
      </c>
      <c r="V44" s="279" t="s">
        <v>1971</v>
      </c>
      <c r="W44" s="279" t="s">
        <v>641</v>
      </c>
    </row>
    <row r="45" spans="1:23" hidden="1">
      <c r="A45" t="str">
        <f t="shared" si="0"/>
        <v>F/200/300/106/180/3/1/W/AAA200*3003/1106.0180白AAA01</v>
      </c>
      <c r="B45" s="260" t="s">
        <v>2436</v>
      </c>
      <c r="C45" s="279" t="s">
        <v>1832</v>
      </c>
      <c r="D45" s="279" t="s">
        <v>285</v>
      </c>
      <c r="E45" s="279">
        <f>IF(ISNA(--VLOOKUP(A45,喷水import!A:D,4,FALSE)),0,--VLOOKUP(A45,喷水import!A:D,4,FALSE))</f>
        <v>0</v>
      </c>
      <c r="F45" s="279">
        <f>IF(ISNA(--VLOOKUP(A45,喷水import!A:E,5,FALSE)),0,--VLOOKUP(A45,喷水import!A:E,5,FALSE))</f>
        <v>0</v>
      </c>
      <c r="G45" s="279" t="s">
        <v>612</v>
      </c>
      <c r="H45" s="279" t="s">
        <v>612</v>
      </c>
      <c r="I45" s="279" t="s">
        <v>1972</v>
      </c>
      <c r="J45" s="279" t="s">
        <v>641</v>
      </c>
      <c r="K45" s="279" t="s">
        <v>217</v>
      </c>
      <c r="L45" s="279" t="s">
        <v>200</v>
      </c>
      <c r="M45" s="279" t="s">
        <v>1970</v>
      </c>
      <c r="N45" s="279" t="s">
        <v>959</v>
      </c>
      <c r="O45" s="279" t="s">
        <v>2</v>
      </c>
      <c r="P45" s="279" t="s">
        <v>287</v>
      </c>
      <c r="Q45" s="279" t="s">
        <v>399</v>
      </c>
      <c r="R45" s="279" t="s">
        <v>399</v>
      </c>
      <c r="S45" s="279" t="s">
        <v>612</v>
      </c>
      <c r="T45" s="279" t="s">
        <v>612</v>
      </c>
      <c r="U45" s="279" t="s">
        <v>1850</v>
      </c>
      <c r="V45" s="279" t="s">
        <v>1973</v>
      </c>
      <c r="W45" s="279" t="s">
        <v>641</v>
      </c>
    </row>
    <row r="46" spans="1:23" hidden="1">
      <c r="A46" t="str">
        <f t="shared" si="0"/>
        <v>F/200/300/135/180/3/1/B/AAA200*3003/1135.0180黑AAA0</v>
      </c>
      <c r="B46" s="260" t="s">
        <v>2437</v>
      </c>
      <c r="C46" s="279" t="s">
        <v>1832</v>
      </c>
      <c r="D46" s="279" t="s">
        <v>285</v>
      </c>
      <c r="E46" s="279">
        <f>IF(ISNA(--VLOOKUP(A46,喷水import!A:D,4,FALSE)),0,--VLOOKUP(A46,喷水import!A:D,4,FALSE))</f>
        <v>0</v>
      </c>
      <c r="F46" s="279">
        <f>IF(ISNA(--VLOOKUP(A46,喷水import!A:E,5,FALSE)),0,--VLOOKUP(A46,喷水import!A:E,5,FALSE))</f>
        <v>0</v>
      </c>
      <c r="G46" s="279" t="s">
        <v>612</v>
      </c>
      <c r="H46" s="279" t="s">
        <v>612</v>
      </c>
      <c r="I46" s="279" t="s">
        <v>1974</v>
      </c>
      <c r="J46" s="279" t="s">
        <v>641</v>
      </c>
      <c r="K46" s="279" t="s">
        <v>217</v>
      </c>
      <c r="L46" s="279" t="s">
        <v>200</v>
      </c>
      <c r="M46" s="279" t="s">
        <v>1975</v>
      </c>
      <c r="N46" s="279" t="s">
        <v>959</v>
      </c>
      <c r="O46" s="279" t="s">
        <v>1</v>
      </c>
      <c r="P46" s="279" t="s">
        <v>287</v>
      </c>
      <c r="Q46" s="279" t="s">
        <v>399</v>
      </c>
      <c r="R46" s="279" t="s">
        <v>281</v>
      </c>
      <c r="S46" s="279" t="s">
        <v>1820</v>
      </c>
      <c r="T46" s="279" t="s">
        <v>612</v>
      </c>
      <c r="U46" s="279" t="s">
        <v>1976</v>
      </c>
      <c r="V46" s="279" t="s">
        <v>1977</v>
      </c>
      <c r="W46" s="279" t="s">
        <v>399</v>
      </c>
    </row>
    <row r="47" spans="1:23" hidden="1">
      <c r="A47" t="str">
        <f t="shared" si="0"/>
        <v>F/200/300/135/180/3/1/W/AAA200*3003/1135.0180白AAA0</v>
      </c>
      <c r="B47" s="260" t="s">
        <v>2437</v>
      </c>
      <c r="C47" s="279" t="s">
        <v>1832</v>
      </c>
      <c r="D47" s="279" t="s">
        <v>285</v>
      </c>
      <c r="E47" s="279">
        <f>IF(ISNA(--VLOOKUP(A47,喷水import!A:D,4,FALSE)),0,--VLOOKUP(A47,喷水import!A:D,4,FALSE))</f>
        <v>8600</v>
      </c>
      <c r="F47" s="279">
        <f>IF(ISNA(--VLOOKUP(A47,喷水import!A:E,5,FALSE)),0,--VLOOKUP(A47,喷水import!A:E,5,FALSE))</f>
        <v>23</v>
      </c>
      <c r="G47" s="279" t="s">
        <v>612</v>
      </c>
      <c r="H47" s="279" t="s">
        <v>612</v>
      </c>
      <c r="I47" s="279" t="s">
        <v>1978</v>
      </c>
      <c r="J47" s="279" t="s">
        <v>641</v>
      </c>
      <c r="K47" s="279" t="s">
        <v>217</v>
      </c>
      <c r="L47" s="279" t="s">
        <v>200</v>
      </c>
      <c r="M47" s="279" t="s">
        <v>1975</v>
      </c>
      <c r="N47" s="279" t="s">
        <v>959</v>
      </c>
      <c r="O47" s="279" t="s">
        <v>2</v>
      </c>
      <c r="P47" s="279" t="s">
        <v>287</v>
      </c>
      <c r="Q47" s="279" t="s">
        <v>399</v>
      </c>
      <c r="R47" s="279" t="s">
        <v>399</v>
      </c>
      <c r="S47" s="279" t="s">
        <v>620</v>
      </c>
      <c r="T47" s="279" t="s">
        <v>612</v>
      </c>
      <c r="U47" s="279" t="s">
        <v>1979</v>
      </c>
      <c r="V47" s="279" t="s">
        <v>1980</v>
      </c>
      <c r="W47" s="279" t="s">
        <v>399</v>
      </c>
    </row>
    <row r="48" spans="1:23" hidden="1">
      <c r="A48" t="str">
        <f t="shared" si="0"/>
        <v>30*301/10.0窄幅白AA0鑫茂</v>
      </c>
      <c r="C48" s="279" t="s">
        <v>1832</v>
      </c>
      <c r="D48" s="279" t="s">
        <v>285</v>
      </c>
      <c r="E48" s="279">
        <f>IF(ISNA(--VLOOKUP(A48,喷水import!A:D,4,FALSE)),0,--VLOOKUP(A48,喷水import!A:D,4,FALSE))</f>
        <v>1962</v>
      </c>
      <c r="F48" s="279">
        <f>IF(ISNA(--VLOOKUP(A48,喷水import!A:E,5,FALSE)),0,--VLOOKUP(A48,喷水import!A:E,5,FALSE))</f>
        <v>10</v>
      </c>
      <c r="G48" s="279" t="s">
        <v>612</v>
      </c>
      <c r="H48" s="279" t="s">
        <v>612</v>
      </c>
      <c r="I48" s="279" t="s">
        <v>399</v>
      </c>
      <c r="J48" s="279" t="s">
        <v>1982</v>
      </c>
      <c r="K48" s="279" t="s">
        <v>201</v>
      </c>
      <c r="L48" s="279" t="s">
        <v>1110</v>
      </c>
      <c r="M48" s="279" t="s">
        <v>1983</v>
      </c>
      <c r="N48" s="279" t="s">
        <v>1984</v>
      </c>
      <c r="O48" s="279" t="s">
        <v>2</v>
      </c>
      <c r="P48" s="279" t="s">
        <v>282</v>
      </c>
      <c r="Q48" s="279" t="s">
        <v>399</v>
      </c>
      <c r="R48" s="279" t="s">
        <v>281</v>
      </c>
      <c r="S48" s="279" t="s">
        <v>620</v>
      </c>
      <c r="T48" s="279" t="s">
        <v>612</v>
      </c>
      <c r="U48" s="279" t="s">
        <v>1985</v>
      </c>
      <c r="V48" s="279" t="s">
        <v>1986</v>
      </c>
      <c r="W48" s="279" t="s">
        <v>1982</v>
      </c>
    </row>
    <row r="49" spans="1:23" hidden="1">
      <c r="A49" t="str">
        <f t="shared" si="0"/>
        <v>30*301/123.0161白HAAA0鑫茂</v>
      </c>
      <c r="B49" s="260" t="s">
        <v>2439</v>
      </c>
      <c r="C49" s="279" t="s">
        <v>1832</v>
      </c>
      <c r="D49" s="279" t="s">
        <v>285</v>
      </c>
      <c r="E49" s="279">
        <f>IF(ISNA(--VLOOKUP(A49,喷水import!A:D,4,FALSE)),0,--VLOOKUP(A49,喷水import!A:D,4,FALSE))</f>
        <v>9249</v>
      </c>
      <c r="F49" s="279">
        <f>IF(ISNA(--VLOOKUP(A49,喷水import!A:E,5,FALSE)),0,--VLOOKUP(A49,喷水import!A:E,5,FALSE))</f>
        <v>8</v>
      </c>
      <c r="G49" s="279" t="s">
        <v>612</v>
      </c>
      <c r="H49" s="279" t="s">
        <v>612</v>
      </c>
      <c r="I49" s="279" t="s">
        <v>399</v>
      </c>
      <c r="J49" s="279" t="s">
        <v>1982</v>
      </c>
      <c r="K49" s="279" t="s">
        <v>201</v>
      </c>
      <c r="L49" s="279" t="s">
        <v>1110</v>
      </c>
      <c r="M49" s="279" t="s">
        <v>1991</v>
      </c>
      <c r="N49" s="279" t="s">
        <v>2377</v>
      </c>
      <c r="O49" s="279" t="s">
        <v>2</v>
      </c>
      <c r="P49" s="279" t="s">
        <v>1076</v>
      </c>
      <c r="Q49" s="279" t="s">
        <v>399</v>
      </c>
      <c r="R49" s="279" t="s">
        <v>399</v>
      </c>
      <c r="S49" s="279" t="s">
        <v>620</v>
      </c>
      <c r="T49" s="279" t="s">
        <v>612</v>
      </c>
      <c r="U49" s="279" t="s">
        <v>2003</v>
      </c>
      <c r="V49" s="279" t="s">
        <v>2378</v>
      </c>
      <c r="W49" s="279" t="s">
        <v>1982</v>
      </c>
    </row>
    <row r="50" spans="1:23" hidden="1">
      <c r="A50" t="str">
        <f t="shared" si="0"/>
        <v>F/30/30/0/宽幅/1/1/W/AAA30*301/10.0宽幅白AAA0烘干 泓涵</v>
      </c>
      <c r="C50" s="279" t="s">
        <v>1832</v>
      </c>
      <c r="D50" s="279" t="s">
        <v>285</v>
      </c>
      <c r="E50" s="279">
        <f>IF(ISNA(--VLOOKUP(A50,喷水import!A:D,4,FALSE)),0,--VLOOKUP(A50,喷水import!A:D,4,FALSE))</f>
        <v>0</v>
      </c>
      <c r="F50" s="279">
        <f>IF(ISNA(--VLOOKUP(A50,喷水import!A:E,5,FALSE)),0,--VLOOKUP(A50,喷水import!A:E,5,FALSE))</f>
        <v>0</v>
      </c>
      <c r="G50" s="279" t="s">
        <v>612</v>
      </c>
      <c r="H50" s="279" t="s">
        <v>612</v>
      </c>
      <c r="I50" s="279" t="s">
        <v>1987</v>
      </c>
      <c r="J50" s="279" t="s">
        <v>1988</v>
      </c>
      <c r="K50" s="279" t="s">
        <v>201</v>
      </c>
      <c r="L50" s="279" t="s">
        <v>1110</v>
      </c>
      <c r="M50" s="279" t="s">
        <v>1983</v>
      </c>
      <c r="N50" s="279" t="s">
        <v>1074</v>
      </c>
      <c r="O50" s="279" t="s">
        <v>2</v>
      </c>
      <c r="P50" s="279" t="s">
        <v>287</v>
      </c>
      <c r="Q50" s="279" t="s">
        <v>399</v>
      </c>
      <c r="R50" s="279" t="s">
        <v>281</v>
      </c>
      <c r="S50" s="279" t="s">
        <v>620</v>
      </c>
      <c r="T50" s="279" t="s">
        <v>612</v>
      </c>
      <c r="U50" s="279" t="s">
        <v>1989</v>
      </c>
      <c r="V50" s="279" t="s">
        <v>655</v>
      </c>
      <c r="W50" s="279" t="s">
        <v>1988</v>
      </c>
    </row>
    <row r="51" spans="1:23" hidden="1">
      <c r="A51" t="str">
        <f t="shared" si="0"/>
        <v>30*302/223.0201白AAA0环保加密打样</v>
      </c>
      <c r="C51" s="279" t="s">
        <v>1832</v>
      </c>
      <c r="D51" s="279" t="s">
        <v>285</v>
      </c>
      <c r="E51" s="279">
        <f>IF(ISNA(--VLOOKUP(A51,喷水import!A:D,4,FALSE)),0,--VLOOKUP(A51,喷水import!A:D,4,FALSE))</f>
        <v>1238</v>
      </c>
      <c r="F51" s="279">
        <f>IF(ISNA(--VLOOKUP(A51,喷水import!A:E,5,FALSE)),0,--VLOOKUP(A51,喷水import!A:E,5,FALSE))</f>
        <v>1</v>
      </c>
      <c r="G51" s="279" t="s">
        <v>612</v>
      </c>
      <c r="H51" s="279" t="s">
        <v>612</v>
      </c>
      <c r="I51" s="279" t="s">
        <v>399</v>
      </c>
      <c r="J51" s="279" t="s">
        <v>515</v>
      </c>
      <c r="K51" s="279" t="s">
        <v>201</v>
      </c>
      <c r="L51" s="279" t="s">
        <v>197</v>
      </c>
      <c r="M51" s="279" t="s">
        <v>1991</v>
      </c>
      <c r="N51" s="279" t="s">
        <v>1992</v>
      </c>
      <c r="O51" s="279" t="s">
        <v>2</v>
      </c>
      <c r="P51" s="279" t="s">
        <v>287</v>
      </c>
      <c r="Q51" s="279" t="s">
        <v>399</v>
      </c>
      <c r="R51" s="279" t="s">
        <v>281</v>
      </c>
      <c r="S51" s="279" t="s">
        <v>620</v>
      </c>
      <c r="T51" s="279" t="s">
        <v>612</v>
      </c>
      <c r="U51" s="279" t="s">
        <v>1993</v>
      </c>
      <c r="V51" s="279" t="s">
        <v>1994</v>
      </c>
      <c r="W51" s="279" t="s">
        <v>1995</v>
      </c>
    </row>
    <row r="52" spans="1:23" hidden="1">
      <c r="A52" t="str">
        <f t="shared" si="0"/>
        <v>30*301/123.0200白AAA0</v>
      </c>
      <c r="C52" s="279" t="s">
        <v>1832</v>
      </c>
      <c r="D52" s="279" t="s">
        <v>285</v>
      </c>
      <c r="E52" s="279">
        <f>IF(ISNA(--VLOOKUP(A52,喷水import!A:D,4,FALSE)),0,--VLOOKUP(A52,喷水import!A:D,4,FALSE))</f>
        <v>5299</v>
      </c>
      <c r="F52" s="279">
        <f>IF(ISNA(--VLOOKUP(A52,喷水import!A:E,5,FALSE)),0,--VLOOKUP(A52,喷水import!A:E,5,FALSE))</f>
        <v>5</v>
      </c>
      <c r="G52" s="279" t="s">
        <v>612</v>
      </c>
      <c r="H52" s="279" t="s">
        <v>612</v>
      </c>
      <c r="I52" s="279" t="s">
        <v>399</v>
      </c>
      <c r="J52" s="279" t="s">
        <v>641</v>
      </c>
      <c r="K52" s="279" t="s">
        <v>201</v>
      </c>
      <c r="L52" s="279" t="s">
        <v>1110</v>
      </c>
      <c r="M52" s="279" t="s">
        <v>1991</v>
      </c>
      <c r="N52" s="279" t="s">
        <v>1784</v>
      </c>
      <c r="O52" s="279" t="s">
        <v>2</v>
      </c>
      <c r="P52" s="279" t="s">
        <v>287</v>
      </c>
      <c r="Q52" s="279" t="s">
        <v>399</v>
      </c>
      <c r="R52" s="279" t="s">
        <v>281</v>
      </c>
      <c r="S52" s="279" t="s">
        <v>620</v>
      </c>
      <c r="T52" s="279" t="s">
        <v>612</v>
      </c>
      <c r="U52" s="279" t="s">
        <v>1996</v>
      </c>
      <c r="V52" s="279" t="s">
        <v>2379</v>
      </c>
      <c r="W52" s="279" t="s">
        <v>399</v>
      </c>
    </row>
    <row r="53" spans="1:23" hidden="1">
      <c r="A53" t="str">
        <f t="shared" si="0"/>
        <v>30*301/123.0165白AAA0烘干 鑫茂</v>
      </c>
      <c r="C53" s="279" t="s">
        <v>1832</v>
      </c>
      <c r="D53" s="279" t="s">
        <v>285</v>
      </c>
      <c r="E53" s="279">
        <f>IF(ISNA(--VLOOKUP(A53,喷水import!A:D,4,FALSE)),0,--VLOOKUP(A53,喷水import!A:D,4,FALSE))</f>
        <v>815</v>
      </c>
      <c r="F53" s="279">
        <f>IF(ISNA(--VLOOKUP(A53,喷水import!A:E,5,FALSE)),0,--VLOOKUP(A53,喷水import!A:E,5,FALSE))</f>
        <v>1</v>
      </c>
      <c r="G53" s="279" t="s">
        <v>612</v>
      </c>
      <c r="H53" s="279" t="s">
        <v>612</v>
      </c>
      <c r="I53" s="279" t="s">
        <v>399</v>
      </c>
      <c r="J53" s="279" t="s">
        <v>1998</v>
      </c>
      <c r="K53" s="279" t="s">
        <v>201</v>
      </c>
      <c r="L53" s="279" t="s">
        <v>1110</v>
      </c>
      <c r="M53" s="279" t="s">
        <v>1991</v>
      </c>
      <c r="N53" s="279" t="s">
        <v>1999</v>
      </c>
      <c r="O53" s="279" t="s">
        <v>2</v>
      </c>
      <c r="P53" s="279" t="s">
        <v>287</v>
      </c>
      <c r="Q53" s="279" t="s">
        <v>399</v>
      </c>
      <c r="R53" s="279" t="s">
        <v>281</v>
      </c>
      <c r="S53" s="279" t="s">
        <v>612</v>
      </c>
      <c r="T53" s="279" t="s">
        <v>612</v>
      </c>
      <c r="U53" s="279" t="s">
        <v>1989</v>
      </c>
      <c r="V53" s="279" t="s">
        <v>2000</v>
      </c>
      <c r="W53" s="279" t="s">
        <v>1998</v>
      </c>
    </row>
    <row r="54" spans="1:23" hidden="1">
      <c r="A54" t="str">
        <f t="shared" si="0"/>
        <v>F/30/30/23/192/1/1/W/AAA30*301/123.0192白AAA0</v>
      </c>
      <c r="C54" s="279" t="s">
        <v>1832</v>
      </c>
      <c r="D54" s="279" t="s">
        <v>285</v>
      </c>
      <c r="E54" s="279">
        <f>IF(ISNA(--VLOOKUP(A54,喷水import!A:D,4,FALSE)),0,--VLOOKUP(A54,喷水import!A:D,4,FALSE))</f>
        <v>28293</v>
      </c>
      <c r="F54" s="279">
        <f>IF(ISNA(--VLOOKUP(A54,喷水import!A:E,5,FALSE)),0,--VLOOKUP(A54,喷水import!A:E,5,FALSE))</f>
        <v>24</v>
      </c>
      <c r="G54" s="279" t="s">
        <v>612</v>
      </c>
      <c r="H54" s="279" t="s">
        <v>612</v>
      </c>
      <c r="I54" s="279" t="s">
        <v>2001</v>
      </c>
      <c r="J54" s="279" t="s">
        <v>641</v>
      </c>
      <c r="K54" s="279" t="s">
        <v>201</v>
      </c>
      <c r="L54" s="279" t="s">
        <v>1110</v>
      </c>
      <c r="M54" s="279" t="s">
        <v>1991</v>
      </c>
      <c r="N54" s="279" t="s">
        <v>2002</v>
      </c>
      <c r="O54" s="279" t="s">
        <v>2</v>
      </c>
      <c r="P54" s="279" t="s">
        <v>287</v>
      </c>
      <c r="Q54" s="279" t="s">
        <v>399</v>
      </c>
      <c r="R54" s="279" t="s">
        <v>281</v>
      </c>
      <c r="S54" s="279" t="s">
        <v>620</v>
      </c>
      <c r="T54" s="279" t="s">
        <v>612</v>
      </c>
      <c r="U54" s="279" t="s">
        <v>2003</v>
      </c>
      <c r="V54" s="279" t="s">
        <v>2004</v>
      </c>
      <c r="W54" s="279" t="s">
        <v>399</v>
      </c>
    </row>
    <row r="55" spans="1:23" hidden="1">
      <c r="A55" t="str">
        <f t="shared" si="0"/>
        <v>30*301/123.0190白AA0涂层退回</v>
      </c>
      <c r="C55" s="279" t="s">
        <v>1832</v>
      </c>
      <c r="D55" s="279" t="s">
        <v>285</v>
      </c>
      <c r="E55" s="279">
        <f>IF(ISNA(--VLOOKUP(A55,喷水import!A:D,4,FALSE)),0,--VLOOKUP(A55,喷水import!A:D,4,FALSE))</f>
        <v>0</v>
      </c>
      <c r="F55" s="279">
        <f>IF(ISNA(--VLOOKUP(A55,喷水import!A:E,5,FALSE)),0,--VLOOKUP(A55,喷水import!A:E,5,FALSE))</f>
        <v>0</v>
      </c>
      <c r="G55" s="279" t="s">
        <v>612</v>
      </c>
      <c r="H55" s="279" t="s">
        <v>612</v>
      </c>
      <c r="I55" s="279" t="s">
        <v>399</v>
      </c>
      <c r="J55" s="279" t="s">
        <v>2005</v>
      </c>
      <c r="K55" s="279" t="s">
        <v>201</v>
      </c>
      <c r="L55" s="279" t="s">
        <v>1110</v>
      </c>
      <c r="M55" s="279" t="s">
        <v>1991</v>
      </c>
      <c r="N55" s="279" t="s">
        <v>1933</v>
      </c>
      <c r="O55" s="279" t="s">
        <v>2</v>
      </c>
      <c r="P55" s="279" t="s">
        <v>282</v>
      </c>
      <c r="Q55" s="279" t="s">
        <v>399</v>
      </c>
      <c r="R55" s="279" t="s">
        <v>281</v>
      </c>
      <c r="S55" s="279" t="s">
        <v>620</v>
      </c>
      <c r="T55" s="279" t="s">
        <v>612</v>
      </c>
      <c r="U55" s="279" t="s">
        <v>2006</v>
      </c>
      <c r="V55" s="279" t="s">
        <v>2007</v>
      </c>
      <c r="W55" s="279" t="s">
        <v>2008</v>
      </c>
    </row>
    <row r="56" spans="1:23" hidden="1">
      <c r="A56" t="str">
        <f t="shared" si="0"/>
        <v>F/30/30/23/1921/1/W/AAAA30*301/123.0192白AAAA0</v>
      </c>
      <c r="C56" s="279" t="s">
        <v>1832</v>
      </c>
      <c r="D56" s="279" t="s">
        <v>285</v>
      </c>
      <c r="E56" s="279">
        <f>IF(ISNA(--VLOOKUP(A56,喷水import!A:D,4,FALSE)),0,--VLOOKUP(A56,喷水import!A:D,4,FALSE))</f>
        <v>16234</v>
      </c>
      <c r="F56" s="279">
        <f>IF(ISNA(--VLOOKUP(A56,喷水import!A:E,5,FALSE)),0,--VLOOKUP(A56,喷水import!A:E,5,FALSE))</f>
        <v>14</v>
      </c>
      <c r="G56" s="279" t="s">
        <v>612</v>
      </c>
      <c r="H56" s="279" t="s">
        <v>612</v>
      </c>
      <c r="I56" s="279" t="s">
        <v>2010</v>
      </c>
      <c r="J56" s="279" t="s">
        <v>641</v>
      </c>
      <c r="K56" s="279" t="s">
        <v>201</v>
      </c>
      <c r="L56" s="279" t="s">
        <v>1110</v>
      </c>
      <c r="M56" s="279" t="s">
        <v>1991</v>
      </c>
      <c r="N56" s="279" t="s">
        <v>2002</v>
      </c>
      <c r="O56" s="279" t="s">
        <v>2</v>
      </c>
      <c r="P56" s="279" t="s">
        <v>387</v>
      </c>
      <c r="Q56" s="279" t="s">
        <v>399</v>
      </c>
      <c r="R56" s="279" t="s">
        <v>281</v>
      </c>
      <c r="S56" s="279" t="s">
        <v>620</v>
      </c>
      <c r="T56" s="279" t="s">
        <v>612</v>
      </c>
      <c r="U56" s="279" t="s">
        <v>2011</v>
      </c>
      <c r="V56" s="279" t="s">
        <v>2381</v>
      </c>
      <c r="W56" s="279" t="s">
        <v>399</v>
      </c>
    </row>
    <row r="57" spans="1:23" hidden="1">
      <c r="A57" t="str">
        <f t="shared" si="0"/>
        <v>30*301/123.0165白AAA0鑫茂</v>
      </c>
      <c r="B57" s="260" t="s">
        <v>2440</v>
      </c>
      <c r="C57" s="279" t="s">
        <v>1832</v>
      </c>
      <c r="D57" s="279" t="s">
        <v>285</v>
      </c>
      <c r="E57" s="279">
        <f>IF(ISNA(--VLOOKUP(A57,喷水import!A:D,4,FALSE)),0,--VLOOKUP(A57,喷水import!A:D,4,FALSE))</f>
        <v>84663</v>
      </c>
      <c r="F57" s="279">
        <f>IF(ISNA(--VLOOKUP(A57,喷水import!A:E,5,FALSE)),0,--VLOOKUP(A57,喷水import!A:E,5,FALSE))</f>
        <v>71</v>
      </c>
      <c r="G57" s="279" t="s">
        <v>612</v>
      </c>
      <c r="H57" s="279" t="s">
        <v>612</v>
      </c>
      <c r="I57" s="279" t="s">
        <v>399</v>
      </c>
      <c r="J57" s="279" t="s">
        <v>1982</v>
      </c>
      <c r="K57" s="279" t="s">
        <v>201</v>
      </c>
      <c r="L57" s="279" t="s">
        <v>1110</v>
      </c>
      <c r="M57" s="279" t="s">
        <v>1991</v>
      </c>
      <c r="N57" s="279" t="s">
        <v>1999</v>
      </c>
      <c r="O57" s="279" t="s">
        <v>2</v>
      </c>
      <c r="P57" s="279" t="s">
        <v>287</v>
      </c>
      <c r="Q57" s="279" t="s">
        <v>399</v>
      </c>
      <c r="R57" s="279" t="s">
        <v>399</v>
      </c>
      <c r="S57" s="279" t="s">
        <v>612</v>
      </c>
      <c r="T57" s="279" t="s">
        <v>612</v>
      </c>
      <c r="U57" s="279" t="s">
        <v>2012</v>
      </c>
      <c r="V57" s="279" t="s">
        <v>2384</v>
      </c>
      <c r="W57" s="279" t="s">
        <v>1982</v>
      </c>
    </row>
    <row r="58" spans="1:23" hidden="1">
      <c r="A58" t="str">
        <f t="shared" si="0"/>
        <v>30*301/123.0190白HAAA2鑫茂</v>
      </c>
      <c r="B58" s="260" t="s">
        <v>2442</v>
      </c>
      <c r="C58" s="279" t="s">
        <v>1832</v>
      </c>
      <c r="D58" s="279" t="s">
        <v>285</v>
      </c>
      <c r="E58" s="279">
        <f>IF(ISNA(--VLOOKUP(A58,喷水import!A:D,4,FALSE)),0,--VLOOKUP(A58,喷水import!A:D,4,FALSE))</f>
        <v>0</v>
      </c>
      <c r="F58" s="279">
        <f>IF(ISNA(--VLOOKUP(A58,喷水import!A:E,5,FALSE)),0,--VLOOKUP(A58,喷水import!A:E,5,FALSE))</f>
        <v>0</v>
      </c>
      <c r="G58" s="279" t="s">
        <v>612</v>
      </c>
      <c r="H58" s="279" t="s">
        <v>612</v>
      </c>
      <c r="I58" s="279" t="s">
        <v>399</v>
      </c>
      <c r="J58" s="279" t="s">
        <v>1982</v>
      </c>
      <c r="K58" s="279" t="s">
        <v>201</v>
      </c>
      <c r="L58" s="279" t="s">
        <v>1110</v>
      </c>
      <c r="M58" s="279" t="s">
        <v>1991</v>
      </c>
      <c r="N58" s="279" t="s">
        <v>1933</v>
      </c>
      <c r="O58" s="279" t="s">
        <v>2</v>
      </c>
      <c r="P58" s="279" t="s">
        <v>1076</v>
      </c>
      <c r="Q58" s="279" t="s">
        <v>399</v>
      </c>
      <c r="R58" s="279" t="s">
        <v>399</v>
      </c>
      <c r="S58" s="279" t="s">
        <v>620</v>
      </c>
      <c r="T58" s="279" t="s">
        <v>620</v>
      </c>
      <c r="U58" s="279" t="s">
        <v>2003</v>
      </c>
      <c r="V58" s="279" t="s">
        <v>2385</v>
      </c>
      <c r="W58" s="279" t="s">
        <v>1982</v>
      </c>
    </row>
    <row r="59" spans="1:23" hidden="1">
      <c r="A59" t="str">
        <f t="shared" si="0"/>
        <v>30*301/1宽幅白AA0鑫茂</v>
      </c>
      <c r="C59" s="279" t="s">
        <v>1832</v>
      </c>
      <c r="D59" s="279" t="s">
        <v>285</v>
      </c>
      <c r="E59" s="279">
        <f>IF(ISNA(--VLOOKUP(A59,喷水import!A:D,4,FALSE)),0,--VLOOKUP(A59,喷水import!A:D,4,FALSE))</f>
        <v>5975</v>
      </c>
      <c r="F59" s="279">
        <f>IF(ISNA(--VLOOKUP(A59,喷水import!A:E,5,FALSE)),0,--VLOOKUP(A59,喷水import!A:E,5,FALSE))</f>
        <v>20</v>
      </c>
      <c r="G59" s="279" t="s">
        <v>612</v>
      </c>
      <c r="H59" s="279" t="s">
        <v>612</v>
      </c>
      <c r="I59" s="279" t="s">
        <v>399</v>
      </c>
      <c r="J59" s="279" t="s">
        <v>1982</v>
      </c>
      <c r="K59" s="279" t="s">
        <v>201</v>
      </c>
      <c r="L59" s="279" t="s">
        <v>1110</v>
      </c>
      <c r="M59" s="279" t="s">
        <v>399</v>
      </c>
      <c r="N59" s="279" t="s">
        <v>1074</v>
      </c>
      <c r="O59" s="279" t="s">
        <v>2</v>
      </c>
      <c r="P59" s="279" t="s">
        <v>282</v>
      </c>
      <c r="Q59" s="279" t="s">
        <v>399</v>
      </c>
      <c r="R59" s="279" t="s">
        <v>281</v>
      </c>
      <c r="S59" s="279" t="s">
        <v>620</v>
      </c>
      <c r="T59" s="279" t="s">
        <v>612</v>
      </c>
      <c r="U59" s="279" t="s">
        <v>2014</v>
      </c>
      <c r="V59" s="279" t="s">
        <v>2015</v>
      </c>
      <c r="W59" s="279" t="s">
        <v>1982</v>
      </c>
    </row>
    <row r="60" spans="1:23" hidden="1">
      <c r="A60" t="str">
        <f t="shared" si="0"/>
        <v>30*301/123.0190白AAA0环保丝 打样</v>
      </c>
      <c r="C60" s="279" t="s">
        <v>1832</v>
      </c>
      <c r="D60" s="279" t="s">
        <v>285</v>
      </c>
      <c r="E60" s="279">
        <f>IF(ISNA(--VLOOKUP(A60,喷水import!A:D,4,FALSE)),0,--VLOOKUP(A60,喷水import!A:D,4,FALSE))</f>
        <v>0</v>
      </c>
      <c r="F60" s="279">
        <f>IF(ISNA(--VLOOKUP(A60,喷水import!A:E,5,FALSE)),0,--VLOOKUP(A60,喷水import!A:E,5,FALSE))</f>
        <v>0</v>
      </c>
      <c r="G60" s="279" t="s">
        <v>612</v>
      </c>
      <c r="H60" s="279" t="s">
        <v>612</v>
      </c>
      <c r="I60" s="279" t="s">
        <v>399</v>
      </c>
      <c r="J60" s="279" t="s">
        <v>515</v>
      </c>
      <c r="K60" s="279" t="s">
        <v>201</v>
      </c>
      <c r="L60" s="279" t="s">
        <v>1110</v>
      </c>
      <c r="M60" s="279" t="s">
        <v>1991</v>
      </c>
      <c r="N60" s="279" t="s">
        <v>1933</v>
      </c>
      <c r="O60" s="279" t="s">
        <v>2</v>
      </c>
      <c r="P60" s="279" t="s">
        <v>287</v>
      </c>
      <c r="Q60" s="279" t="s">
        <v>399</v>
      </c>
      <c r="R60" s="279" t="s">
        <v>281</v>
      </c>
      <c r="S60" s="279" t="s">
        <v>620</v>
      </c>
      <c r="T60" s="279" t="s">
        <v>612</v>
      </c>
      <c r="U60" s="279" t="s">
        <v>1850</v>
      </c>
      <c r="V60" s="279" t="s">
        <v>2016</v>
      </c>
      <c r="W60" s="279" t="s">
        <v>2017</v>
      </c>
    </row>
    <row r="61" spans="1:23" hidden="1">
      <c r="A61" t="str">
        <f t="shared" si="0"/>
        <v>30*301/123.0190白AAA0鑫茂</v>
      </c>
      <c r="B61" s="260" t="s">
        <v>2442</v>
      </c>
      <c r="C61" s="279" t="s">
        <v>1832</v>
      </c>
      <c r="D61" s="279" t="s">
        <v>285</v>
      </c>
      <c r="E61" s="279">
        <f>IF(ISNA(--VLOOKUP(A61,喷水import!A:D,4,FALSE)),0,--VLOOKUP(A61,喷水import!A:D,4,FALSE))</f>
        <v>26904</v>
      </c>
      <c r="F61" s="279">
        <f>IF(ISNA(--VLOOKUP(A61,喷水import!A:E,5,FALSE)),0,--VLOOKUP(A61,喷水import!A:E,5,FALSE))</f>
        <v>26</v>
      </c>
      <c r="G61" s="279" t="s">
        <v>612</v>
      </c>
      <c r="H61" s="279" t="s">
        <v>612</v>
      </c>
      <c r="I61" s="279" t="s">
        <v>399</v>
      </c>
      <c r="J61" s="279" t="s">
        <v>1982</v>
      </c>
      <c r="K61" s="279" t="s">
        <v>201</v>
      </c>
      <c r="L61" s="279" t="s">
        <v>1110</v>
      </c>
      <c r="M61" s="279" t="s">
        <v>1991</v>
      </c>
      <c r="N61" s="279" t="s">
        <v>1933</v>
      </c>
      <c r="O61" s="279" t="s">
        <v>2</v>
      </c>
      <c r="P61" s="279" t="s">
        <v>287</v>
      </c>
      <c r="Q61" s="279" t="s">
        <v>399</v>
      </c>
      <c r="R61" s="279" t="s">
        <v>399</v>
      </c>
      <c r="S61" s="279" t="s">
        <v>620</v>
      </c>
      <c r="T61" s="279" t="s">
        <v>612</v>
      </c>
      <c r="U61" s="279" t="s">
        <v>2003</v>
      </c>
      <c r="V61" s="279" t="s">
        <v>2386</v>
      </c>
      <c r="W61" s="279" t="s">
        <v>1982</v>
      </c>
    </row>
    <row r="62" spans="1:23" hidden="1">
      <c r="A62" t="str">
        <f t="shared" si="0"/>
        <v>30*301/123.0149白AAA0鑫茂</v>
      </c>
      <c r="B62" s="260" t="s">
        <v>2438</v>
      </c>
      <c r="C62" s="279" t="s">
        <v>1832</v>
      </c>
      <c r="D62" s="279" t="s">
        <v>285</v>
      </c>
      <c r="E62" s="279">
        <f>IF(ISNA(--VLOOKUP(A62,喷水import!A:D,4,FALSE)),0,--VLOOKUP(A62,喷水import!A:D,4,FALSE))</f>
        <v>0</v>
      </c>
      <c r="F62" s="279">
        <f>IF(ISNA(--VLOOKUP(A62,喷水import!A:E,5,FALSE)),0,--VLOOKUP(A62,喷水import!A:E,5,FALSE))</f>
        <v>0</v>
      </c>
      <c r="G62" s="279" t="s">
        <v>612</v>
      </c>
      <c r="H62" s="279" t="s">
        <v>612</v>
      </c>
      <c r="I62" s="279" t="s">
        <v>399</v>
      </c>
      <c r="J62" s="279" t="s">
        <v>1982</v>
      </c>
      <c r="K62" s="279" t="s">
        <v>201</v>
      </c>
      <c r="L62" s="279" t="s">
        <v>1110</v>
      </c>
      <c r="M62" s="279" t="s">
        <v>1991</v>
      </c>
      <c r="N62" s="279" t="s">
        <v>2387</v>
      </c>
      <c r="O62" s="279" t="s">
        <v>2</v>
      </c>
      <c r="P62" s="279" t="s">
        <v>287</v>
      </c>
      <c r="Q62" s="279" t="s">
        <v>399</v>
      </c>
      <c r="R62" s="279" t="s">
        <v>281</v>
      </c>
      <c r="S62" s="279" t="s">
        <v>620</v>
      </c>
      <c r="T62" s="279" t="s">
        <v>612</v>
      </c>
      <c r="U62" s="279" t="s">
        <v>2003</v>
      </c>
      <c r="V62" s="279" t="s">
        <v>2388</v>
      </c>
      <c r="W62" s="279" t="s">
        <v>1982</v>
      </c>
    </row>
    <row r="63" spans="1:23" hidden="1">
      <c r="A63" t="str">
        <f t="shared" si="0"/>
        <v>30*301/123.0165白HAAA鑫茂HAAA鑫茂</v>
      </c>
      <c r="B63" s="260" t="s">
        <v>2440</v>
      </c>
      <c r="C63" s="279" t="s">
        <v>1832</v>
      </c>
      <c r="D63" s="279" t="s">
        <v>285</v>
      </c>
      <c r="E63" s="279">
        <f>IF(ISNA(--VLOOKUP(A63,喷水import!A:D,4,FALSE)),0,--VLOOKUP(A63,喷水import!A:D,4,FALSE))</f>
        <v>16082</v>
      </c>
      <c r="F63" s="279">
        <f>IF(ISNA(--VLOOKUP(A63,喷水import!A:E,5,FALSE)),0,--VLOOKUP(A63,喷水import!A:E,5,FALSE))</f>
        <v>14</v>
      </c>
      <c r="G63" s="279" t="s">
        <v>612</v>
      </c>
      <c r="H63" s="279" t="s">
        <v>612</v>
      </c>
      <c r="I63" s="279" t="s">
        <v>399</v>
      </c>
      <c r="J63" s="279" t="s">
        <v>1982</v>
      </c>
      <c r="K63" s="279" t="s">
        <v>201</v>
      </c>
      <c r="L63" s="279" t="s">
        <v>1110</v>
      </c>
      <c r="M63" s="279" t="s">
        <v>1991</v>
      </c>
      <c r="N63" s="279" t="s">
        <v>1999</v>
      </c>
      <c r="O63" s="279" t="s">
        <v>2</v>
      </c>
      <c r="P63" s="279" t="s">
        <v>1076</v>
      </c>
      <c r="Q63" s="279" t="s">
        <v>399</v>
      </c>
      <c r="R63" s="279" t="s">
        <v>281</v>
      </c>
      <c r="S63" s="279" t="s">
        <v>620</v>
      </c>
      <c r="T63" s="279" t="s">
        <v>2390</v>
      </c>
      <c r="U63" s="279" t="s">
        <v>399</v>
      </c>
      <c r="V63" s="279" t="s">
        <v>612</v>
      </c>
      <c r="W63" s="279" t="s">
        <v>1982</v>
      </c>
    </row>
    <row r="64" spans="1:23" hidden="1">
      <c r="A64" t="str">
        <f t="shared" si="0"/>
        <v>30*301/123.0189白AAA0鑫茂</v>
      </c>
      <c r="B64" s="260" t="s">
        <v>2441</v>
      </c>
      <c r="C64" s="279" t="s">
        <v>1832</v>
      </c>
      <c r="D64" s="279" t="s">
        <v>285</v>
      </c>
      <c r="E64" s="279">
        <f>IF(ISNA(--VLOOKUP(A64,喷水import!A:D,4,FALSE)),0,--VLOOKUP(A64,喷水import!A:D,4,FALSE))</f>
        <v>0</v>
      </c>
      <c r="F64" s="279">
        <f>IF(ISNA(--VLOOKUP(A64,喷水import!A:E,5,FALSE)),0,--VLOOKUP(A64,喷水import!A:E,5,FALSE))</f>
        <v>0</v>
      </c>
      <c r="G64" s="279" t="s">
        <v>612</v>
      </c>
      <c r="H64" s="279" t="s">
        <v>612</v>
      </c>
      <c r="I64" s="279" t="s">
        <v>399</v>
      </c>
      <c r="J64" s="279" t="s">
        <v>1982</v>
      </c>
      <c r="K64" s="279" t="s">
        <v>201</v>
      </c>
      <c r="L64" s="279" t="s">
        <v>1110</v>
      </c>
      <c r="M64" s="279" t="s">
        <v>1991</v>
      </c>
      <c r="N64" s="279" t="s">
        <v>2019</v>
      </c>
      <c r="O64" s="279" t="s">
        <v>2</v>
      </c>
      <c r="P64" s="279" t="s">
        <v>287</v>
      </c>
      <c r="Q64" s="279" t="s">
        <v>399</v>
      </c>
      <c r="R64" s="279" t="s">
        <v>281</v>
      </c>
      <c r="S64" s="279" t="s">
        <v>620</v>
      </c>
      <c r="T64" s="279" t="s">
        <v>612</v>
      </c>
      <c r="U64" s="279" t="s">
        <v>1916</v>
      </c>
      <c r="V64" s="279" t="s">
        <v>2391</v>
      </c>
      <c r="W64" s="279" t="s">
        <v>1982</v>
      </c>
    </row>
    <row r="65" spans="1:23" hidden="1">
      <c r="A65" t="str">
        <f t="shared" si="0"/>
        <v>F/30/30/23/192/1/1/W/AA30*301/123.0192白AA0</v>
      </c>
      <c r="C65" s="279" t="s">
        <v>1832</v>
      </c>
      <c r="D65" s="279" t="s">
        <v>285</v>
      </c>
      <c r="E65" s="279">
        <f>IF(ISNA(--VLOOKUP(A65,喷水import!A:D,4,FALSE)),0,--VLOOKUP(A65,喷水import!A:D,4,FALSE))</f>
        <v>1010</v>
      </c>
      <c r="F65" s="279">
        <f>IF(ISNA(--VLOOKUP(A65,喷水import!A:E,5,FALSE)),0,--VLOOKUP(A65,喷水import!A:E,5,FALSE))</f>
        <v>1</v>
      </c>
      <c r="G65" s="279" t="s">
        <v>612</v>
      </c>
      <c r="H65" s="279" t="s">
        <v>612</v>
      </c>
      <c r="I65" s="279" t="s">
        <v>2021</v>
      </c>
      <c r="J65" s="279" t="s">
        <v>620</v>
      </c>
      <c r="K65" s="279" t="s">
        <v>201</v>
      </c>
      <c r="L65" s="279" t="s">
        <v>1110</v>
      </c>
      <c r="M65" s="279" t="s">
        <v>1991</v>
      </c>
      <c r="N65" s="279" t="s">
        <v>2002</v>
      </c>
      <c r="O65" s="279" t="s">
        <v>2</v>
      </c>
      <c r="P65" s="279" t="s">
        <v>282</v>
      </c>
      <c r="Q65" s="279" t="s">
        <v>399</v>
      </c>
      <c r="R65" s="279" t="s">
        <v>281</v>
      </c>
      <c r="S65" s="279" t="s">
        <v>620</v>
      </c>
      <c r="T65" s="279" t="s">
        <v>612</v>
      </c>
      <c r="U65" s="279" t="s">
        <v>2022</v>
      </c>
      <c r="V65" s="279" t="s">
        <v>2023</v>
      </c>
      <c r="W65" s="279" t="s">
        <v>399</v>
      </c>
    </row>
    <row r="66" spans="1:23" hidden="1">
      <c r="A66" t="str">
        <f t="shared" si="0"/>
        <v>30*301/123.0190白AAAA0环保 打样</v>
      </c>
      <c r="C66" s="279" t="s">
        <v>1832</v>
      </c>
      <c r="D66" s="279" t="s">
        <v>285</v>
      </c>
      <c r="E66" s="279">
        <f>IF(ISNA(--VLOOKUP(A66,喷水import!A:D,4,FALSE)),0,--VLOOKUP(A66,喷水import!A:D,4,FALSE))</f>
        <v>1913</v>
      </c>
      <c r="F66" s="279">
        <f>IF(ISNA(--VLOOKUP(A66,喷水import!A:E,5,FALSE)),0,--VLOOKUP(A66,喷水import!A:E,5,FALSE))</f>
        <v>2</v>
      </c>
      <c r="G66" s="279" t="s">
        <v>612</v>
      </c>
      <c r="H66" s="279" t="s">
        <v>612</v>
      </c>
      <c r="I66" s="279" t="s">
        <v>399</v>
      </c>
      <c r="J66" s="279" t="s">
        <v>515</v>
      </c>
      <c r="K66" s="279" t="s">
        <v>201</v>
      </c>
      <c r="L66" s="279" t="s">
        <v>1110</v>
      </c>
      <c r="M66" s="279" t="s">
        <v>1991</v>
      </c>
      <c r="N66" s="279" t="s">
        <v>1933</v>
      </c>
      <c r="O66" s="279" t="s">
        <v>2</v>
      </c>
      <c r="P66" s="279" t="s">
        <v>387</v>
      </c>
      <c r="Q66" s="279" t="s">
        <v>399</v>
      </c>
      <c r="R66" s="279" t="s">
        <v>281</v>
      </c>
      <c r="S66" s="279" t="s">
        <v>620</v>
      </c>
      <c r="T66" s="279" t="s">
        <v>612</v>
      </c>
      <c r="U66" s="279" t="s">
        <v>1850</v>
      </c>
      <c r="V66" s="279" t="s">
        <v>2025</v>
      </c>
      <c r="W66" s="279" t="s">
        <v>1902</v>
      </c>
    </row>
    <row r="67" spans="1:23" hidden="1">
      <c r="A67" t="str">
        <f t="shared" ref="A67:A130" si="1">I67&amp;K67&amp;L67&amp;M67&amp;N67&amp;O67&amp;P67&amp;T67&amp;W67</f>
        <v>F/30/30/23/201/2/2/W/AAA30*302/223.0201白AAA21</v>
      </c>
      <c r="C67" s="279" t="s">
        <v>1832</v>
      </c>
      <c r="D67" s="279" t="s">
        <v>285</v>
      </c>
      <c r="E67" s="279">
        <f>IF(ISNA(--VLOOKUP(A67,喷水import!A:D,4,FALSE)),0,--VLOOKUP(A67,喷水import!A:D,4,FALSE))</f>
        <v>9350</v>
      </c>
      <c r="F67" s="279">
        <f>IF(ISNA(--VLOOKUP(A67,喷水import!A:E,5,FALSE)),0,--VLOOKUP(A67,喷水import!A:E,5,FALSE))</f>
        <v>8</v>
      </c>
      <c r="G67" s="279" t="s">
        <v>612</v>
      </c>
      <c r="H67" s="279" t="s">
        <v>612</v>
      </c>
      <c r="I67" s="279" t="s">
        <v>2026</v>
      </c>
      <c r="J67" s="279" t="s">
        <v>630</v>
      </c>
      <c r="K67" s="279" t="s">
        <v>201</v>
      </c>
      <c r="L67" s="279" t="s">
        <v>197</v>
      </c>
      <c r="M67" s="279" t="s">
        <v>1991</v>
      </c>
      <c r="N67" s="279" t="s">
        <v>1992</v>
      </c>
      <c r="O67" s="279" t="s">
        <v>2</v>
      </c>
      <c r="P67" s="279" t="s">
        <v>287</v>
      </c>
      <c r="Q67" s="279" t="s">
        <v>399</v>
      </c>
      <c r="R67" s="279" t="s">
        <v>399</v>
      </c>
      <c r="S67" s="279" t="s">
        <v>620</v>
      </c>
      <c r="T67" s="279" t="s">
        <v>620</v>
      </c>
      <c r="U67" s="279" t="s">
        <v>2027</v>
      </c>
      <c r="V67" s="279" t="s">
        <v>2028</v>
      </c>
      <c r="W67" s="279" t="s">
        <v>641</v>
      </c>
    </row>
    <row r="68" spans="1:23" hidden="1">
      <c r="A68" t="str">
        <f t="shared" si="1"/>
        <v>30*301/123.0200白AAAA0</v>
      </c>
      <c r="C68" s="279" t="s">
        <v>1832</v>
      </c>
      <c r="D68" s="279" t="s">
        <v>285</v>
      </c>
      <c r="E68" s="279">
        <f>IF(ISNA(--VLOOKUP(A68,喷水import!A:D,4,FALSE)),0,--VLOOKUP(A68,喷水import!A:D,4,FALSE))</f>
        <v>2242</v>
      </c>
      <c r="F68" s="279">
        <f>IF(ISNA(--VLOOKUP(A68,喷水import!A:E,5,FALSE)),0,--VLOOKUP(A68,喷水import!A:E,5,FALSE))</f>
        <v>2</v>
      </c>
      <c r="G68" s="279" t="s">
        <v>612</v>
      </c>
      <c r="H68" s="279" t="s">
        <v>612</v>
      </c>
      <c r="I68" s="279" t="s">
        <v>399</v>
      </c>
      <c r="J68" s="279" t="s">
        <v>641</v>
      </c>
      <c r="K68" s="279" t="s">
        <v>201</v>
      </c>
      <c r="L68" s="279" t="s">
        <v>1110</v>
      </c>
      <c r="M68" s="279" t="s">
        <v>1991</v>
      </c>
      <c r="N68" s="279" t="s">
        <v>1784</v>
      </c>
      <c r="O68" s="279" t="s">
        <v>2</v>
      </c>
      <c r="P68" s="279" t="s">
        <v>387</v>
      </c>
      <c r="Q68" s="279" t="s">
        <v>399</v>
      </c>
      <c r="R68" s="279" t="s">
        <v>281</v>
      </c>
      <c r="S68" s="279" t="s">
        <v>620</v>
      </c>
      <c r="T68" s="279" t="s">
        <v>612</v>
      </c>
      <c r="U68" s="279" t="s">
        <v>1996</v>
      </c>
      <c r="V68" s="279" t="s">
        <v>2030</v>
      </c>
      <c r="W68" s="279" t="s">
        <v>399</v>
      </c>
    </row>
    <row r="69" spans="1:23" hidden="1">
      <c r="A69" t="str">
        <f t="shared" si="1"/>
        <v>30*301/123.0161白AAA0鑫茂</v>
      </c>
      <c r="B69" s="260" t="s">
        <v>2439</v>
      </c>
      <c r="C69" s="279" t="s">
        <v>1832</v>
      </c>
      <c r="D69" s="279" t="s">
        <v>285</v>
      </c>
      <c r="E69" s="279">
        <f>IF(ISNA(--VLOOKUP(A69,喷水import!A:D,4,FALSE)),0,--VLOOKUP(A69,喷水import!A:D,4,FALSE))</f>
        <v>19061</v>
      </c>
      <c r="F69" s="279">
        <f>IF(ISNA(--VLOOKUP(A69,喷水import!A:E,5,FALSE)),0,--VLOOKUP(A69,喷水import!A:E,5,FALSE))</f>
        <v>18</v>
      </c>
      <c r="G69" s="279" t="s">
        <v>612</v>
      </c>
      <c r="H69" s="279" t="s">
        <v>612</v>
      </c>
      <c r="I69" s="279" t="s">
        <v>399</v>
      </c>
      <c r="J69" s="279" t="s">
        <v>1982</v>
      </c>
      <c r="K69" s="279" t="s">
        <v>201</v>
      </c>
      <c r="L69" s="279" t="s">
        <v>1110</v>
      </c>
      <c r="M69" s="279" t="s">
        <v>1991</v>
      </c>
      <c r="N69" s="279" t="s">
        <v>2377</v>
      </c>
      <c r="O69" s="279" t="s">
        <v>2</v>
      </c>
      <c r="P69" s="279" t="s">
        <v>287</v>
      </c>
      <c r="Q69" s="279" t="s">
        <v>399</v>
      </c>
      <c r="R69" s="279" t="s">
        <v>281</v>
      </c>
      <c r="S69" s="279" t="s">
        <v>620</v>
      </c>
      <c r="T69" s="279" t="s">
        <v>612</v>
      </c>
      <c r="U69" s="279" t="s">
        <v>2088</v>
      </c>
      <c r="V69" s="279" t="s">
        <v>2393</v>
      </c>
      <c r="W69" s="279" t="s">
        <v>1982</v>
      </c>
    </row>
    <row r="70" spans="1:23" hidden="1">
      <c r="A70" t="str">
        <f t="shared" si="1"/>
        <v>F/30/30/23/190/1/1/W/AAA30*301/123.0190白AA0环保 打样</v>
      </c>
      <c r="C70" s="279" t="s">
        <v>1832</v>
      </c>
      <c r="D70" s="279" t="s">
        <v>285</v>
      </c>
      <c r="E70" s="279">
        <f>IF(ISNA(--VLOOKUP(A70,喷水import!A:D,4,FALSE)),0,--VLOOKUP(A70,喷水import!A:D,4,FALSE))</f>
        <v>1624</v>
      </c>
      <c r="F70" s="279">
        <f>IF(ISNA(--VLOOKUP(A70,喷水import!A:E,5,FALSE)),0,--VLOOKUP(A70,喷水import!A:E,5,FALSE))</f>
        <v>2</v>
      </c>
      <c r="G70" s="279" t="s">
        <v>612</v>
      </c>
      <c r="H70" s="279" t="s">
        <v>612</v>
      </c>
      <c r="I70" s="279" t="s">
        <v>2032</v>
      </c>
      <c r="J70" s="279" t="s">
        <v>515</v>
      </c>
      <c r="K70" s="279" t="s">
        <v>201</v>
      </c>
      <c r="L70" s="279" t="s">
        <v>1110</v>
      </c>
      <c r="M70" s="279" t="s">
        <v>1991</v>
      </c>
      <c r="N70" s="279" t="s">
        <v>1933</v>
      </c>
      <c r="O70" s="279" t="s">
        <v>2</v>
      </c>
      <c r="P70" s="279" t="s">
        <v>282</v>
      </c>
      <c r="Q70" s="279" t="s">
        <v>399</v>
      </c>
      <c r="R70" s="279" t="s">
        <v>281</v>
      </c>
      <c r="S70" s="279" t="s">
        <v>620</v>
      </c>
      <c r="T70" s="279" t="s">
        <v>612</v>
      </c>
      <c r="U70" s="279" t="s">
        <v>2033</v>
      </c>
      <c r="V70" s="279" t="s">
        <v>2034</v>
      </c>
      <c r="W70" s="279" t="s">
        <v>1902</v>
      </c>
    </row>
    <row r="71" spans="1:23" hidden="1">
      <c r="A71" t="str">
        <f t="shared" si="1"/>
        <v>F/30/30/23/201/2/2/W/AA30*302/223.0201白AA21</v>
      </c>
      <c r="C71" s="279" t="s">
        <v>1832</v>
      </c>
      <c r="D71" s="279" t="s">
        <v>285</v>
      </c>
      <c r="E71" s="279">
        <f>IF(ISNA(--VLOOKUP(A71,喷水import!A:D,4,FALSE)),0,--VLOOKUP(A71,喷水import!A:D,4,FALSE))</f>
        <v>0</v>
      </c>
      <c r="F71" s="279">
        <f>IF(ISNA(--VLOOKUP(A71,喷水import!A:E,5,FALSE)),0,--VLOOKUP(A71,喷水import!A:E,5,FALSE))</f>
        <v>0</v>
      </c>
      <c r="G71" s="279" t="s">
        <v>612</v>
      </c>
      <c r="H71" s="279" t="s">
        <v>612</v>
      </c>
      <c r="I71" s="279" t="s">
        <v>2035</v>
      </c>
      <c r="J71" s="279" t="s">
        <v>630</v>
      </c>
      <c r="K71" s="279" t="s">
        <v>201</v>
      </c>
      <c r="L71" s="279" t="s">
        <v>197</v>
      </c>
      <c r="M71" s="279" t="s">
        <v>1991</v>
      </c>
      <c r="N71" s="279" t="s">
        <v>1992</v>
      </c>
      <c r="O71" s="279" t="s">
        <v>2</v>
      </c>
      <c r="P71" s="279" t="s">
        <v>282</v>
      </c>
      <c r="Q71" s="279" t="s">
        <v>399</v>
      </c>
      <c r="R71" s="279" t="s">
        <v>399</v>
      </c>
      <c r="S71" s="279" t="s">
        <v>620</v>
      </c>
      <c r="T71" s="279" t="s">
        <v>620</v>
      </c>
      <c r="U71" s="279" t="s">
        <v>2027</v>
      </c>
      <c r="V71" s="279" t="s">
        <v>2036</v>
      </c>
      <c r="W71" s="279" t="s">
        <v>641</v>
      </c>
    </row>
    <row r="72" spans="1:23" hidden="1">
      <c r="A72" t="str">
        <f t="shared" si="1"/>
        <v>30*30-11/123.0200白AAA0</v>
      </c>
      <c r="C72" s="279" t="s">
        <v>1832</v>
      </c>
      <c r="D72" s="279" t="s">
        <v>285</v>
      </c>
      <c r="E72" s="279">
        <f>IF(ISNA(--VLOOKUP(A72,喷水import!A:D,4,FALSE)),0,--VLOOKUP(A72,喷水import!A:D,4,FALSE))</f>
        <v>54028</v>
      </c>
      <c r="F72" s="279">
        <f>IF(ISNA(--VLOOKUP(A72,喷水import!A:E,5,FALSE)),0,--VLOOKUP(A72,喷水import!A:E,5,FALSE))</f>
        <v>47</v>
      </c>
      <c r="G72" s="279" t="s">
        <v>612</v>
      </c>
      <c r="H72" s="279" t="s">
        <v>612</v>
      </c>
      <c r="I72" s="279" t="s">
        <v>399</v>
      </c>
      <c r="J72" s="279" t="s">
        <v>641</v>
      </c>
      <c r="K72" s="279" t="s">
        <v>2037</v>
      </c>
      <c r="L72" s="279" t="s">
        <v>1110</v>
      </c>
      <c r="M72" s="279" t="s">
        <v>1991</v>
      </c>
      <c r="N72" s="279" t="s">
        <v>1784</v>
      </c>
      <c r="O72" s="279" t="s">
        <v>2</v>
      </c>
      <c r="P72" s="279" t="s">
        <v>287</v>
      </c>
      <c r="Q72" s="279" t="s">
        <v>399</v>
      </c>
      <c r="R72" s="279" t="s">
        <v>281</v>
      </c>
      <c r="S72" s="279" t="s">
        <v>620</v>
      </c>
      <c r="T72" s="279" t="s">
        <v>612</v>
      </c>
      <c r="U72" s="279" t="s">
        <v>1996</v>
      </c>
      <c r="V72" s="279" t="s">
        <v>2038</v>
      </c>
      <c r="W72" s="279" t="s">
        <v>399</v>
      </c>
    </row>
    <row r="73" spans="1:23" hidden="1">
      <c r="A73" t="str">
        <f t="shared" si="1"/>
        <v>30*30-11/123.0200白AA0</v>
      </c>
      <c r="C73" s="279" t="s">
        <v>1832</v>
      </c>
      <c r="D73" s="279" t="s">
        <v>285</v>
      </c>
      <c r="E73" s="279">
        <f>IF(ISNA(--VLOOKUP(A73,喷水import!A:D,4,FALSE)),0,--VLOOKUP(A73,喷水import!A:D,4,FALSE))</f>
        <v>15497</v>
      </c>
      <c r="F73" s="279">
        <f>IF(ISNA(--VLOOKUP(A73,喷水import!A:E,5,FALSE)),0,--VLOOKUP(A73,喷水import!A:E,5,FALSE))</f>
        <v>13</v>
      </c>
      <c r="G73" s="279" t="s">
        <v>612</v>
      </c>
      <c r="H73" s="279" t="s">
        <v>612</v>
      </c>
      <c r="I73" s="279" t="s">
        <v>399</v>
      </c>
      <c r="J73" s="279" t="s">
        <v>641</v>
      </c>
      <c r="K73" s="279" t="s">
        <v>2037</v>
      </c>
      <c r="L73" s="279" t="s">
        <v>1110</v>
      </c>
      <c r="M73" s="279" t="s">
        <v>1991</v>
      </c>
      <c r="N73" s="279" t="s">
        <v>1784</v>
      </c>
      <c r="O73" s="279" t="s">
        <v>2</v>
      </c>
      <c r="P73" s="279" t="s">
        <v>282</v>
      </c>
      <c r="Q73" s="279" t="s">
        <v>399</v>
      </c>
      <c r="R73" s="279" t="s">
        <v>281</v>
      </c>
      <c r="S73" s="279" t="s">
        <v>620</v>
      </c>
      <c r="T73" s="279" t="s">
        <v>612</v>
      </c>
      <c r="U73" s="279" t="s">
        <v>2006</v>
      </c>
      <c r="V73" s="279" t="s">
        <v>2039</v>
      </c>
      <c r="W73" s="279" t="s">
        <v>399</v>
      </c>
    </row>
    <row r="74" spans="1:23" hidden="1">
      <c r="A74" t="str">
        <f t="shared" si="1"/>
        <v>30*30-111/123.0190白AA0</v>
      </c>
      <c r="C74" s="279" t="s">
        <v>1832</v>
      </c>
      <c r="D74" s="279" t="s">
        <v>285</v>
      </c>
      <c r="E74" s="279">
        <f>IF(ISNA(--VLOOKUP(A74,喷水import!A:D,4,FALSE)),0,--VLOOKUP(A74,喷水import!A:D,4,FALSE))</f>
        <v>0</v>
      </c>
      <c r="F74" s="279">
        <f>IF(ISNA(--VLOOKUP(A74,喷水import!A:E,5,FALSE)),0,--VLOOKUP(A74,喷水import!A:E,5,FALSE))</f>
        <v>0</v>
      </c>
      <c r="G74" s="279" t="s">
        <v>612</v>
      </c>
      <c r="H74" s="279" t="s">
        <v>612</v>
      </c>
      <c r="I74" s="279" t="s">
        <v>399</v>
      </c>
      <c r="J74" s="279" t="s">
        <v>641</v>
      </c>
      <c r="K74" s="279" t="s">
        <v>2040</v>
      </c>
      <c r="L74" s="279" t="s">
        <v>1110</v>
      </c>
      <c r="M74" s="279" t="s">
        <v>1991</v>
      </c>
      <c r="N74" s="279" t="s">
        <v>1933</v>
      </c>
      <c r="O74" s="279" t="s">
        <v>2</v>
      </c>
      <c r="P74" s="279" t="s">
        <v>282</v>
      </c>
      <c r="Q74" s="279" t="s">
        <v>399</v>
      </c>
      <c r="R74" s="279" t="s">
        <v>281</v>
      </c>
      <c r="S74" s="279" t="s">
        <v>620</v>
      </c>
      <c r="T74" s="279" t="s">
        <v>612</v>
      </c>
      <c r="U74" s="279" t="s">
        <v>1996</v>
      </c>
      <c r="V74" s="279" t="s">
        <v>2041</v>
      </c>
      <c r="W74" s="279" t="s">
        <v>399</v>
      </c>
    </row>
    <row r="75" spans="1:23" hidden="1">
      <c r="A75" t="str">
        <f t="shared" si="1"/>
        <v>30*30-111/123.0190白AAA0</v>
      </c>
      <c r="C75" s="279" t="s">
        <v>1832</v>
      </c>
      <c r="D75" s="279" t="s">
        <v>285</v>
      </c>
      <c r="E75" s="279">
        <f>IF(ISNA(--VLOOKUP(A75,喷水import!A:D,4,FALSE)),0,--VLOOKUP(A75,喷水import!A:D,4,FALSE))</f>
        <v>3980</v>
      </c>
      <c r="F75" s="279">
        <f>IF(ISNA(--VLOOKUP(A75,喷水import!A:E,5,FALSE)),0,--VLOOKUP(A75,喷水import!A:E,5,FALSE))</f>
        <v>4</v>
      </c>
      <c r="G75" s="279" t="s">
        <v>612</v>
      </c>
      <c r="H75" s="279" t="s">
        <v>612</v>
      </c>
      <c r="I75" s="279" t="s">
        <v>399</v>
      </c>
      <c r="J75" s="279" t="s">
        <v>641</v>
      </c>
      <c r="K75" s="279" t="s">
        <v>2040</v>
      </c>
      <c r="L75" s="279" t="s">
        <v>1110</v>
      </c>
      <c r="M75" s="279" t="s">
        <v>1991</v>
      </c>
      <c r="N75" s="279" t="s">
        <v>1933</v>
      </c>
      <c r="O75" s="279" t="s">
        <v>2</v>
      </c>
      <c r="P75" s="279" t="s">
        <v>287</v>
      </c>
      <c r="Q75" s="279" t="s">
        <v>399</v>
      </c>
      <c r="R75" s="279" t="s">
        <v>281</v>
      </c>
      <c r="S75" s="279" t="s">
        <v>620</v>
      </c>
      <c r="T75" s="279" t="s">
        <v>612</v>
      </c>
      <c r="U75" s="279" t="s">
        <v>2006</v>
      </c>
      <c r="V75" s="279" t="s">
        <v>2042</v>
      </c>
      <c r="W75" s="279" t="s">
        <v>399</v>
      </c>
    </row>
    <row r="76" spans="1:23" hidden="1">
      <c r="A76" t="str">
        <f t="shared" si="1"/>
        <v>30*30-111/123.0190白AAAA0骏马湿布</v>
      </c>
      <c r="C76" s="279" t="s">
        <v>1832</v>
      </c>
      <c r="D76" s="279" t="s">
        <v>285</v>
      </c>
      <c r="E76" s="279">
        <f>IF(ISNA(--VLOOKUP(A76,喷水import!A:D,4,FALSE)),0,--VLOOKUP(A76,喷水import!A:D,4,FALSE))</f>
        <v>0</v>
      </c>
      <c r="F76" s="279">
        <f>IF(ISNA(--VLOOKUP(A76,喷水import!A:E,5,FALSE)),0,--VLOOKUP(A76,喷水import!A:E,5,FALSE))</f>
        <v>0</v>
      </c>
      <c r="G76" s="279" t="s">
        <v>612</v>
      </c>
      <c r="H76" s="279" t="s">
        <v>612</v>
      </c>
      <c r="I76" s="279" t="s">
        <v>399</v>
      </c>
      <c r="J76" s="279" t="s">
        <v>1911</v>
      </c>
      <c r="K76" s="279" t="s">
        <v>2040</v>
      </c>
      <c r="L76" s="279" t="s">
        <v>1110</v>
      </c>
      <c r="M76" s="279" t="s">
        <v>1991</v>
      </c>
      <c r="N76" s="279" t="s">
        <v>1933</v>
      </c>
      <c r="O76" s="279" t="s">
        <v>2</v>
      </c>
      <c r="P76" s="279" t="s">
        <v>387</v>
      </c>
      <c r="Q76" s="279" t="s">
        <v>399</v>
      </c>
      <c r="R76" s="279" t="s">
        <v>281</v>
      </c>
      <c r="S76" s="279" t="s">
        <v>620</v>
      </c>
      <c r="T76" s="279" t="s">
        <v>612</v>
      </c>
      <c r="U76" s="279" t="s">
        <v>1996</v>
      </c>
      <c r="V76" s="279" t="s">
        <v>2394</v>
      </c>
      <c r="W76" s="279" t="s">
        <v>1911</v>
      </c>
    </row>
    <row r="77" spans="1:23" hidden="1">
      <c r="A77" t="str">
        <f t="shared" si="1"/>
        <v>30*30-121/123.0190白AA0</v>
      </c>
      <c r="C77" s="279" t="s">
        <v>1832</v>
      </c>
      <c r="D77" s="279" t="s">
        <v>285</v>
      </c>
      <c r="E77" s="279">
        <f>IF(ISNA(--VLOOKUP(A77,喷水import!A:D,4,FALSE)),0,--VLOOKUP(A77,喷水import!A:D,4,FALSE))</f>
        <v>1131</v>
      </c>
      <c r="F77" s="279">
        <f>IF(ISNA(--VLOOKUP(A77,喷水import!A:E,5,FALSE)),0,--VLOOKUP(A77,喷水import!A:E,5,FALSE))</f>
        <v>1</v>
      </c>
      <c r="G77" s="279" t="s">
        <v>612</v>
      </c>
      <c r="H77" s="279" t="s">
        <v>612</v>
      </c>
      <c r="I77" s="279" t="s">
        <v>399</v>
      </c>
      <c r="J77" s="279" t="s">
        <v>641</v>
      </c>
      <c r="K77" s="279" t="s">
        <v>2044</v>
      </c>
      <c r="L77" s="279" t="s">
        <v>1110</v>
      </c>
      <c r="M77" s="279" t="s">
        <v>1991</v>
      </c>
      <c r="N77" s="279" t="s">
        <v>1933</v>
      </c>
      <c r="O77" s="279" t="s">
        <v>2</v>
      </c>
      <c r="P77" s="279" t="s">
        <v>282</v>
      </c>
      <c r="Q77" s="279" t="s">
        <v>399</v>
      </c>
      <c r="R77" s="279" t="s">
        <v>281</v>
      </c>
      <c r="S77" s="279" t="s">
        <v>620</v>
      </c>
      <c r="T77" s="279" t="s">
        <v>612</v>
      </c>
      <c r="U77" s="279" t="s">
        <v>2045</v>
      </c>
      <c r="V77" s="279" t="s">
        <v>2046</v>
      </c>
      <c r="W77" s="279" t="s">
        <v>399</v>
      </c>
    </row>
    <row r="78" spans="1:23" hidden="1">
      <c r="A78" t="str">
        <f t="shared" si="1"/>
        <v>30*30-121/123.0190白AAAA可发骏马骏马湿布</v>
      </c>
      <c r="C78" s="279" t="s">
        <v>1832</v>
      </c>
      <c r="D78" s="279" t="s">
        <v>285</v>
      </c>
      <c r="E78" s="279">
        <f>IF(ISNA(--VLOOKUP(A78,喷水import!A:D,4,FALSE)),0,--VLOOKUP(A78,喷水import!A:D,4,FALSE))</f>
        <v>0</v>
      </c>
      <c r="F78" s="279">
        <f>IF(ISNA(--VLOOKUP(A78,喷水import!A:E,5,FALSE)),0,--VLOOKUP(A78,喷水import!A:E,5,FALSE))</f>
        <v>0</v>
      </c>
      <c r="G78" s="279" t="s">
        <v>612</v>
      </c>
      <c r="H78" s="279" t="s">
        <v>612</v>
      </c>
      <c r="I78" s="279" t="s">
        <v>399</v>
      </c>
      <c r="J78" s="279" t="s">
        <v>1911</v>
      </c>
      <c r="K78" s="279" t="s">
        <v>2044</v>
      </c>
      <c r="L78" s="279" t="s">
        <v>1110</v>
      </c>
      <c r="M78" s="279" t="s">
        <v>1991</v>
      </c>
      <c r="N78" s="279" t="s">
        <v>1933</v>
      </c>
      <c r="O78" s="279" t="s">
        <v>2</v>
      </c>
      <c r="P78" s="279" t="s">
        <v>387</v>
      </c>
      <c r="Q78" s="279" t="s">
        <v>399</v>
      </c>
      <c r="R78" s="279" t="s">
        <v>281</v>
      </c>
      <c r="S78" s="279" t="s">
        <v>620</v>
      </c>
      <c r="T78" s="279" t="s">
        <v>2047</v>
      </c>
      <c r="U78" s="279" t="s">
        <v>2045</v>
      </c>
      <c r="V78" s="279" t="s">
        <v>2048</v>
      </c>
      <c r="W78" s="279" t="s">
        <v>1911</v>
      </c>
    </row>
    <row r="79" spans="1:23" hidden="1">
      <c r="A79" t="str">
        <f t="shared" si="1"/>
        <v>30*30-121/123.0190白AAA0</v>
      </c>
      <c r="C79" s="279" t="s">
        <v>1832</v>
      </c>
      <c r="D79" s="279" t="s">
        <v>285</v>
      </c>
      <c r="E79" s="279">
        <f>IF(ISNA(--VLOOKUP(A79,喷水import!A:D,4,FALSE)),0,--VLOOKUP(A79,喷水import!A:D,4,FALSE))</f>
        <v>4700</v>
      </c>
      <c r="F79" s="279">
        <f>IF(ISNA(--VLOOKUP(A79,喷水import!A:E,5,FALSE)),0,--VLOOKUP(A79,喷水import!A:E,5,FALSE))</f>
        <v>4</v>
      </c>
      <c r="G79" s="279" t="s">
        <v>612</v>
      </c>
      <c r="H79" s="279" t="s">
        <v>612</v>
      </c>
      <c r="I79" s="279" t="s">
        <v>399</v>
      </c>
      <c r="J79" s="279" t="s">
        <v>641</v>
      </c>
      <c r="K79" s="279" t="s">
        <v>2044</v>
      </c>
      <c r="L79" s="279" t="s">
        <v>1110</v>
      </c>
      <c r="M79" s="279" t="s">
        <v>1991</v>
      </c>
      <c r="N79" s="279" t="s">
        <v>1933</v>
      </c>
      <c r="O79" s="279" t="s">
        <v>2</v>
      </c>
      <c r="P79" s="279" t="s">
        <v>287</v>
      </c>
      <c r="Q79" s="279" t="s">
        <v>399</v>
      </c>
      <c r="R79" s="279" t="s">
        <v>281</v>
      </c>
      <c r="S79" s="279" t="s">
        <v>620</v>
      </c>
      <c r="T79" s="279" t="s">
        <v>612</v>
      </c>
      <c r="U79" s="279" t="s">
        <v>1996</v>
      </c>
      <c r="V79" s="279" t="s">
        <v>2396</v>
      </c>
      <c r="W79" s="279" t="s">
        <v>399</v>
      </c>
    </row>
    <row r="80" spans="1:23" hidden="1">
      <c r="A80" t="str">
        <f t="shared" si="1"/>
        <v>30*30-141/123.0190白AAA0</v>
      </c>
      <c r="C80" s="279" t="s">
        <v>1832</v>
      </c>
      <c r="D80" s="279" t="s">
        <v>285</v>
      </c>
      <c r="E80" s="279">
        <f>IF(ISNA(--VLOOKUP(A80,喷水import!A:D,4,FALSE)),0,--VLOOKUP(A80,喷水import!A:D,4,FALSE))</f>
        <v>1703</v>
      </c>
      <c r="F80" s="279">
        <f>IF(ISNA(--VLOOKUP(A80,喷水import!A:E,5,FALSE)),0,--VLOOKUP(A80,喷水import!A:E,5,FALSE))</f>
        <v>2</v>
      </c>
      <c r="G80" s="279" t="s">
        <v>612</v>
      </c>
      <c r="H80" s="279" t="s">
        <v>612</v>
      </c>
      <c r="I80" s="279" t="s">
        <v>399</v>
      </c>
      <c r="J80" s="279" t="s">
        <v>641</v>
      </c>
      <c r="K80" s="279" t="s">
        <v>2049</v>
      </c>
      <c r="L80" s="279" t="s">
        <v>1110</v>
      </c>
      <c r="M80" s="279" t="s">
        <v>1991</v>
      </c>
      <c r="N80" s="279" t="s">
        <v>1933</v>
      </c>
      <c r="O80" s="279" t="s">
        <v>2</v>
      </c>
      <c r="P80" s="279" t="s">
        <v>287</v>
      </c>
      <c r="Q80" s="279" t="s">
        <v>399</v>
      </c>
      <c r="R80" s="279" t="s">
        <v>281</v>
      </c>
      <c r="S80" s="279" t="s">
        <v>620</v>
      </c>
      <c r="T80" s="279" t="s">
        <v>612</v>
      </c>
      <c r="U80" s="279" t="s">
        <v>2050</v>
      </c>
      <c r="V80" s="279" t="s">
        <v>2051</v>
      </c>
      <c r="W80" s="279" t="s">
        <v>399</v>
      </c>
    </row>
    <row r="81" spans="1:23" hidden="1">
      <c r="A81" t="str">
        <f t="shared" si="1"/>
        <v>30*30-22/223.0190白AAA环保打样环保打样</v>
      </c>
      <c r="C81" s="279" t="s">
        <v>1832</v>
      </c>
      <c r="D81" s="279" t="s">
        <v>285</v>
      </c>
      <c r="E81" s="279">
        <f>IF(ISNA(--VLOOKUP(A81,喷水import!A:D,4,FALSE)),0,--VLOOKUP(A81,喷水import!A:D,4,FALSE))</f>
        <v>835</v>
      </c>
      <c r="F81" s="279">
        <f>IF(ISNA(--VLOOKUP(A81,喷水import!A:E,5,FALSE)),0,--VLOOKUP(A81,喷水import!A:E,5,FALSE))</f>
        <v>1</v>
      </c>
      <c r="G81" s="279" t="s">
        <v>612</v>
      </c>
      <c r="H81" s="279" t="s">
        <v>612</v>
      </c>
      <c r="I81" s="279" t="s">
        <v>399</v>
      </c>
      <c r="J81" s="279" t="s">
        <v>515</v>
      </c>
      <c r="K81" s="279" t="s">
        <v>2053</v>
      </c>
      <c r="L81" s="279" t="s">
        <v>197</v>
      </c>
      <c r="M81" s="279" t="s">
        <v>1991</v>
      </c>
      <c r="N81" s="279" t="s">
        <v>1933</v>
      </c>
      <c r="O81" s="279" t="s">
        <v>2</v>
      </c>
      <c r="P81" s="279" t="s">
        <v>287</v>
      </c>
      <c r="Q81" s="279" t="s">
        <v>399</v>
      </c>
      <c r="R81" s="279" t="s">
        <v>281</v>
      </c>
      <c r="S81" s="279" t="s">
        <v>620</v>
      </c>
      <c r="T81" s="279" t="s">
        <v>2054</v>
      </c>
      <c r="U81" s="279" t="s">
        <v>2055</v>
      </c>
      <c r="V81" s="279" t="s">
        <v>2056</v>
      </c>
      <c r="W81" s="279" t="s">
        <v>2054</v>
      </c>
    </row>
    <row r="82" spans="1:23" hidden="1">
      <c r="A82" t="str">
        <f t="shared" si="1"/>
        <v>F/30/30/23/190/1/1/W/AAA30*30-22/223.0190白AA0加密环保打样</v>
      </c>
      <c r="C82" s="279" t="s">
        <v>1832</v>
      </c>
      <c r="D82" s="279" t="s">
        <v>285</v>
      </c>
      <c r="E82" s="279">
        <f>IF(ISNA(--VLOOKUP(A82,喷水import!A:D,4,FALSE)),0,--VLOOKUP(A82,喷水import!A:D,4,FALSE))</f>
        <v>5291</v>
      </c>
      <c r="F82" s="279">
        <f>IF(ISNA(--VLOOKUP(A82,喷水import!A:E,5,FALSE)),0,--VLOOKUP(A82,喷水import!A:E,5,FALSE))</f>
        <v>5</v>
      </c>
      <c r="G82" s="279" t="s">
        <v>612</v>
      </c>
      <c r="H82" s="279" t="s">
        <v>612</v>
      </c>
      <c r="I82" s="279" t="s">
        <v>2032</v>
      </c>
      <c r="J82" s="279" t="s">
        <v>515</v>
      </c>
      <c r="K82" s="279" t="s">
        <v>2053</v>
      </c>
      <c r="L82" s="279" t="s">
        <v>197</v>
      </c>
      <c r="M82" s="279" t="s">
        <v>1991</v>
      </c>
      <c r="N82" s="279" t="s">
        <v>1933</v>
      </c>
      <c r="O82" s="279" t="s">
        <v>2</v>
      </c>
      <c r="P82" s="279" t="s">
        <v>282</v>
      </c>
      <c r="Q82" s="279" t="s">
        <v>399</v>
      </c>
      <c r="R82" s="279" t="s">
        <v>281</v>
      </c>
      <c r="S82" s="279" t="s">
        <v>620</v>
      </c>
      <c r="T82" s="279" t="s">
        <v>612</v>
      </c>
      <c r="U82" s="279" t="s">
        <v>2003</v>
      </c>
      <c r="V82" s="279" t="s">
        <v>2058</v>
      </c>
      <c r="W82" s="279" t="s">
        <v>2059</v>
      </c>
    </row>
    <row r="83" spans="1:23" hidden="1">
      <c r="A83" t="str">
        <f t="shared" si="1"/>
        <v>30*30-22/223.0190白AAA0环保加密</v>
      </c>
      <c r="C83" s="279" t="s">
        <v>1832</v>
      </c>
      <c r="D83" s="279" t="s">
        <v>285</v>
      </c>
      <c r="E83" s="279">
        <f>IF(ISNA(--VLOOKUP(A83,喷水import!A:D,4,FALSE)),0,--VLOOKUP(A83,喷水import!A:D,4,FALSE))</f>
        <v>1356</v>
      </c>
      <c r="F83" s="279">
        <f>IF(ISNA(--VLOOKUP(A83,喷水import!A:E,5,FALSE)),0,--VLOOKUP(A83,喷水import!A:E,5,FALSE))</f>
        <v>1</v>
      </c>
      <c r="G83" s="279" t="s">
        <v>612</v>
      </c>
      <c r="H83" s="279" t="s">
        <v>612</v>
      </c>
      <c r="I83" s="279" t="s">
        <v>399</v>
      </c>
      <c r="J83" s="279" t="s">
        <v>515</v>
      </c>
      <c r="K83" s="279" t="s">
        <v>2053</v>
      </c>
      <c r="L83" s="279" t="s">
        <v>197</v>
      </c>
      <c r="M83" s="279" t="s">
        <v>1991</v>
      </c>
      <c r="N83" s="279" t="s">
        <v>1933</v>
      </c>
      <c r="O83" s="279" t="s">
        <v>2</v>
      </c>
      <c r="P83" s="279" t="s">
        <v>287</v>
      </c>
      <c r="Q83" s="279" t="s">
        <v>399</v>
      </c>
      <c r="R83" s="279" t="s">
        <v>281</v>
      </c>
      <c r="S83" s="279" t="s">
        <v>620</v>
      </c>
      <c r="T83" s="279" t="s">
        <v>612</v>
      </c>
      <c r="U83" s="279" t="s">
        <v>2061</v>
      </c>
      <c r="V83" s="279" t="s">
        <v>2062</v>
      </c>
      <c r="W83" s="279" t="s">
        <v>2063</v>
      </c>
    </row>
    <row r="84" spans="1:23" hidden="1">
      <c r="A84" t="str">
        <f t="shared" si="1"/>
        <v>30*30-22/223.0190白AA0环保打样</v>
      </c>
      <c r="C84" s="279" t="s">
        <v>1832</v>
      </c>
      <c r="D84" s="279" t="s">
        <v>285</v>
      </c>
      <c r="E84" s="279">
        <f>IF(ISNA(--VLOOKUP(A84,喷水import!A:D,4,FALSE)),0,--VLOOKUP(A84,喷水import!A:D,4,FALSE))</f>
        <v>4242</v>
      </c>
      <c r="F84" s="279">
        <f>IF(ISNA(--VLOOKUP(A84,喷水import!A:E,5,FALSE)),0,--VLOOKUP(A84,喷水import!A:E,5,FALSE))</f>
        <v>4</v>
      </c>
      <c r="G84" s="279" t="s">
        <v>612</v>
      </c>
      <c r="H84" s="279" t="s">
        <v>612</v>
      </c>
      <c r="I84" s="279" t="s">
        <v>399</v>
      </c>
      <c r="J84" s="279" t="s">
        <v>515</v>
      </c>
      <c r="K84" s="279" t="s">
        <v>2053</v>
      </c>
      <c r="L84" s="279" t="s">
        <v>197</v>
      </c>
      <c r="M84" s="279" t="s">
        <v>1991</v>
      </c>
      <c r="N84" s="279" t="s">
        <v>1933</v>
      </c>
      <c r="O84" s="279" t="s">
        <v>2</v>
      </c>
      <c r="P84" s="279" t="s">
        <v>282</v>
      </c>
      <c r="Q84" s="279" t="s">
        <v>399</v>
      </c>
      <c r="R84" s="279" t="s">
        <v>399</v>
      </c>
      <c r="S84" s="279" t="s">
        <v>612</v>
      </c>
      <c r="T84" s="279" t="s">
        <v>612</v>
      </c>
      <c r="U84" s="279" t="s">
        <v>1900</v>
      </c>
      <c r="V84" s="279" t="s">
        <v>2065</v>
      </c>
      <c r="W84" s="279" t="s">
        <v>2054</v>
      </c>
    </row>
    <row r="85" spans="1:23" hidden="1">
      <c r="A85" t="str">
        <f t="shared" si="1"/>
        <v>30*30-32/223.0190白AA加密环保加密环保</v>
      </c>
      <c r="C85" s="279" t="s">
        <v>1832</v>
      </c>
      <c r="D85" s="279" t="s">
        <v>285</v>
      </c>
      <c r="E85" s="279">
        <f>IF(ISNA(--VLOOKUP(A85,喷水import!A:D,4,FALSE)),0,--VLOOKUP(A85,喷水import!A:D,4,FALSE))</f>
        <v>1217</v>
      </c>
      <c r="F85" s="279">
        <f>IF(ISNA(--VLOOKUP(A85,喷水import!A:E,5,FALSE)),0,--VLOOKUP(A85,喷水import!A:E,5,FALSE))</f>
        <v>1</v>
      </c>
      <c r="G85" s="279" t="s">
        <v>612</v>
      </c>
      <c r="H85" s="279" t="s">
        <v>612</v>
      </c>
      <c r="I85" s="279" t="s">
        <v>399</v>
      </c>
      <c r="J85" s="279" t="s">
        <v>515</v>
      </c>
      <c r="K85" s="279" t="s">
        <v>2067</v>
      </c>
      <c r="L85" s="279" t="s">
        <v>197</v>
      </c>
      <c r="M85" s="279" t="s">
        <v>1991</v>
      </c>
      <c r="N85" s="279" t="s">
        <v>1933</v>
      </c>
      <c r="O85" s="279" t="s">
        <v>2</v>
      </c>
      <c r="P85" s="279" t="s">
        <v>282</v>
      </c>
      <c r="Q85" s="279" t="s">
        <v>399</v>
      </c>
      <c r="R85" s="279" t="s">
        <v>281</v>
      </c>
      <c r="S85" s="279" t="s">
        <v>620</v>
      </c>
      <c r="T85" s="279" t="s">
        <v>2068</v>
      </c>
      <c r="U85" s="279" t="s">
        <v>2055</v>
      </c>
      <c r="V85" s="279" t="s">
        <v>2069</v>
      </c>
      <c r="W85" s="279" t="s">
        <v>2068</v>
      </c>
    </row>
    <row r="86" spans="1:23" hidden="1">
      <c r="A86" t="str">
        <f t="shared" si="1"/>
        <v>30*30-41/123.0190白AAAA0骏马湿布</v>
      </c>
      <c r="C86" s="279" t="s">
        <v>1832</v>
      </c>
      <c r="D86" s="279" t="s">
        <v>285</v>
      </c>
      <c r="E86" s="279">
        <f>IF(ISNA(--VLOOKUP(A86,喷水import!A:D,4,FALSE)),0,--VLOOKUP(A86,喷水import!A:D,4,FALSE))</f>
        <v>0</v>
      </c>
      <c r="F86" s="279">
        <f>IF(ISNA(--VLOOKUP(A86,喷水import!A:E,5,FALSE)),0,--VLOOKUP(A86,喷水import!A:E,5,FALSE))</f>
        <v>0</v>
      </c>
      <c r="G86" s="279" t="s">
        <v>612</v>
      </c>
      <c r="H86" s="279" t="s">
        <v>612</v>
      </c>
      <c r="I86" s="279" t="s">
        <v>399</v>
      </c>
      <c r="J86" s="279" t="s">
        <v>1911</v>
      </c>
      <c r="K86" s="279" t="s">
        <v>2070</v>
      </c>
      <c r="L86" s="279" t="s">
        <v>1110</v>
      </c>
      <c r="M86" s="279" t="s">
        <v>1991</v>
      </c>
      <c r="N86" s="279" t="s">
        <v>1933</v>
      </c>
      <c r="O86" s="279" t="s">
        <v>2</v>
      </c>
      <c r="P86" s="279" t="s">
        <v>387</v>
      </c>
      <c r="Q86" s="279" t="s">
        <v>399</v>
      </c>
      <c r="R86" s="279" t="s">
        <v>281</v>
      </c>
      <c r="S86" s="279" t="s">
        <v>620</v>
      </c>
      <c r="T86" s="279" t="s">
        <v>612</v>
      </c>
      <c r="U86" s="279" t="s">
        <v>2134</v>
      </c>
      <c r="V86" s="279" t="s">
        <v>2397</v>
      </c>
      <c r="W86" s="279" t="s">
        <v>1911</v>
      </c>
    </row>
    <row r="87" spans="1:23" hidden="1">
      <c r="A87" t="str">
        <f t="shared" si="1"/>
        <v>30*30-41/123.0190白AA0</v>
      </c>
      <c r="C87" s="279" t="s">
        <v>1832</v>
      </c>
      <c r="D87" s="279" t="s">
        <v>285</v>
      </c>
      <c r="E87" s="279">
        <f>IF(ISNA(--VLOOKUP(A87,喷水import!A:D,4,FALSE)),0,--VLOOKUP(A87,喷水import!A:D,4,FALSE))</f>
        <v>2752</v>
      </c>
      <c r="F87" s="279">
        <f>IF(ISNA(--VLOOKUP(A87,喷水import!A:E,5,FALSE)),0,--VLOOKUP(A87,喷水import!A:E,5,FALSE))</f>
        <v>3</v>
      </c>
      <c r="G87" s="279" t="s">
        <v>612</v>
      </c>
      <c r="H87" s="279" t="s">
        <v>612</v>
      </c>
      <c r="I87" s="279" t="s">
        <v>399</v>
      </c>
      <c r="J87" s="279" t="s">
        <v>641</v>
      </c>
      <c r="K87" s="279" t="s">
        <v>2070</v>
      </c>
      <c r="L87" s="279" t="s">
        <v>1110</v>
      </c>
      <c r="M87" s="279" t="s">
        <v>1991</v>
      </c>
      <c r="N87" s="279" t="s">
        <v>1933</v>
      </c>
      <c r="O87" s="279" t="s">
        <v>2</v>
      </c>
      <c r="P87" s="279" t="s">
        <v>282</v>
      </c>
      <c r="Q87" s="279" t="s">
        <v>399</v>
      </c>
      <c r="R87" s="279" t="s">
        <v>281</v>
      </c>
      <c r="S87" s="279" t="s">
        <v>620</v>
      </c>
      <c r="T87" s="279" t="s">
        <v>612</v>
      </c>
      <c r="U87" s="279" t="s">
        <v>2006</v>
      </c>
      <c r="V87" s="279" t="s">
        <v>2399</v>
      </c>
      <c r="W87" s="279" t="s">
        <v>399</v>
      </c>
    </row>
    <row r="88" spans="1:23" hidden="1">
      <c r="A88" t="str">
        <f t="shared" si="1"/>
        <v>30*30-41/123.0190白AAA0</v>
      </c>
      <c r="C88" s="279" t="s">
        <v>1832</v>
      </c>
      <c r="D88" s="279" t="s">
        <v>285</v>
      </c>
      <c r="E88" s="279">
        <f>IF(ISNA(--VLOOKUP(A88,喷水import!A:D,4,FALSE)),0,--VLOOKUP(A88,喷水import!A:D,4,FALSE))</f>
        <v>14400</v>
      </c>
      <c r="F88" s="279">
        <f>IF(ISNA(--VLOOKUP(A88,喷水import!A:E,5,FALSE)),0,--VLOOKUP(A88,喷水import!A:E,5,FALSE))</f>
        <v>13</v>
      </c>
      <c r="G88" s="279" t="s">
        <v>612</v>
      </c>
      <c r="H88" s="279" t="s">
        <v>612</v>
      </c>
      <c r="I88" s="279" t="s">
        <v>399</v>
      </c>
      <c r="J88" s="279" t="s">
        <v>641</v>
      </c>
      <c r="K88" s="279" t="s">
        <v>2070</v>
      </c>
      <c r="L88" s="279" t="s">
        <v>1110</v>
      </c>
      <c r="M88" s="279" t="s">
        <v>1991</v>
      </c>
      <c r="N88" s="279" t="s">
        <v>1933</v>
      </c>
      <c r="O88" s="279" t="s">
        <v>2</v>
      </c>
      <c r="P88" s="279" t="s">
        <v>287</v>
      </c>
      <c r="Q88" s="279" t="s">
        <v>399</v>
      </c>
      <c r="R88" s="279" t="s">
        <v>281</v>
      </c>
      <c r="S88" s="279" t="s">
        <v>620</v>
      </c>
      <c r="T88" s="279" t="s">
        <v>612</v>
      </c>
      <c r="U88" s="279" t="s">
        <v>1850</v>
      </c>
      <c r="V88" s="279" t="s">
        <v>2400</v>
      </c>
      <c r="W88" s="279" t="s">
        <v>399</v>
      </c>
    </row>
    <row r="89" spans="1:23" hidden="1">
      <c r="A89" t="str">
        <f t="shared" si="1"/>
        <v>30*30-51/123.0192白AAAA0</v>
      </c>
      <c r="C89" s="279" t="s">
        <v>1832</v>
      </c>
      <c r="D89" s="279" t="s">
        <v>285</v>
      </c>
      <c r="E89" s="279">
        <f>IF(ISNA(--VLOOKUP(A89,喷水import!A:D,4,FALSE)),0,--VLOOKUP(A89,喷水import!A:D,4,FALSE))</f>
        <v>30183</v>
      </c>
      <c r="F89" s="279">
        <f>IF(ISNA(--VLOOKUP(A89,喷水import!A:E,5,FALSE)),0,--VLOOKUP(A89,喷水import!A:E,5,FALSE))</f>
        <v>25</v>
      </c>
      <c r="G89" s="279" t="s">
        <v>612</v>
      </c>
      <c r="H89" s="279" t="s">
        <v>612</v>
      </c>
      <c r="I89" s="279" t="s">
        <v>399</v>
      </c>
      <c r="J89" s="279" t="s">
        <v>641</v>
      </c>
      <c r="K89" s="279" t="s">
        <v>2071</v>
      </c>
      <c r="L89" s="279" t="s">
        <v>1110</v>
      </c>
      <c r="M89" s="279" t="s">
        <v>1991</v>
      </c>
      <c r="N89" s="279" t="s">
        <v>2002</v>
      </c>
      <c r="O89" s="279" t="s">
        <v>2</v>
      </c>
      <c r="P89" s="279" t="s">
        <v>387</v>
      </c>
      <c r="Q89" s="279" t="s">
        <v>399</v>
      </c>
      <c r="R89" s="279" t="s">
        <v>281</v>
      </c>
      <c r="S89" s="279" t="s">
        <v>620</v>
      </c>
      <c r="T89" s="279" t="s">
        <v>612</v>
      </c>
      <c r="U89" s="279" t="s">
        <v>2006</v>
      </c>
      <c r="V89" s="279" t="s">
        <v>2402</v>
      </c>
      <c r="W89" s="279" t="s">
        <v>399</v>
      </c>
    </row>
    <row r="90" spans="1:23" hidden="1">
      <c r="A90" t="str">
        <f t="shared" si="1"/>
        <v>F/30/30/23/192/1/1/W/AAA30*30-51/123.0192白AAA0</v>
      </c>
      <c r="C90" s="279" t="s">
        <v>1832</v>
      </c>
      <c r="D90" s="279" t="s">
        <v>285</v>
      </c>
      <c r="E90" s="279">
        <f>IF(ISNA(--VLOOKUP(A90,喷水import!A:D,4,FALSE)),0,--VLOOKUP(A90,喷水import!A:D,4,FALSE))</f>
        <v>17908</v>
      </c>
      <c r="F90" s="279">
        <f>IF(ISNA(--VLOOKUP(A90,喷水import!A:E,5,FALSE)),0,--VLOOKUP(A90,喷水import!A:E,5,FALSE))</f>
        <v>14</v>
      </c>
      <c r="G90" s="279" t="s">
        <v>612</v>
      </c>
      <c r="H90" s="279" t="s">
        <v>612</v>
      </c>
      <c r="I90" s="279" t="s">
        <v>2001</v>
      </c>
      <c r="J90" s="279" t="s">
        <v>641</v>
      </c>
      <c r="K90" s="279" t="s">
        <v>2071</v>
      </c>
      <c r="L90" s="279" t="s">
        <v>1110</v>
      </c>
      <c r="M90" s="279" t="s">
        <v>1991</v>
      </c>
      <c r="N90" s="279" t="s">
        <v>2002</v>
      </c>
      <c r="O90" s="279" t="s">
        <v>2</v>
      </c>
      <c r="P90" s="279" t="s">
        <v>287</v>
      </c>
      <c r="Q90" s="279" t="s">
        <v>399</v>
      </c>
      <c r="R90" s="279" t="s">
        <v>281</v>
      </c>
      <c r="S90" s="279" t="s">
        <v>620</v>
      </c>
      <c r="T90" s="279" t="s">
        <v>612</v>
      </c>
      <c r="U90" s="279" t="s">
        <v>1908</v>
      </c>
      <c r="V90" s="279" t="s">
        <v>2072</v>
      </c>
      <c r="W90" s="279" t="s">
        <v>399</v>
      </c>
    </row>
    <row r="91" spans="1:23" hidden="1">
      <c r="A91" t="str">
        <f t="shared" si="1"/>
        <v>30*30-91/123.0143白AAA0</v>
      </c>
      <c r="C91" s="279" t="s">
        <v>1832</v>
      </c>
      <c r="D91" s="279" t="s">
        <v>285</v>
      </c>
      <c r="E91" s="279">
        <f>IF(ISNA(--VLOOKUP(A91,喷水import!A:D,4,FALSE)),0,--VLOOKUP(A91,喷水import!A:D,4,FALSE))</f>
        <v>0</v>
      </c>
      <c r="F91" s="279">
        <f>IF(ISNA(--VLOOKUP(A91,喷水import!A:E,5,FALSE)),0,--VLOOKUP(A91,喷水import!A:E,5,FALSE))</f>
        <v>0</v>
      </c>
      <c r="G91" s="279" t="s">
        <v>612</v>
      </c>
      <c r="H91" s="279" t="s">
        <v>612</v>
      </c>
      <c r="I91" s="279" t="s">
        <v>399</v>
      </c>
      <c r="J91" s="279" t="s">
        <v>641</v>
      </c>
      <c r="K91" s="279" t="s">
        <v>2073</v>
      </c>
      <c r="L91" s="279" t="s">
        <v>1110</v>
      </c>
      <c r="M91" s="279" t="s">
        <v>1991</v>
      </c>
      <c r="N91" s="279" t="s">
        <v>1823</v>
      </c>
      <c r="O91" s="279" t="s">
        <v>2</v>
      </c>
      <c r="P91" s="279" t="s">
        <v>287</v>
      </c>
      <c r="Q91" s="279" t="s">
        <v>399</v>
      </c>
      <c r="R91" s="279" t="s">
        <v>399</v>
      </c>
      <c r="S91" s="279" t="s">
        <v>620</v>
      </c>
      <c r="T91" s="279" t="s">
        <v>612</v>
      </c>
      <c r="U91" s="279" t="s">
        <v>2074</v>
      </c>
      <c r="V91" s="279" t="s">
        <v>2075</v>
      </c>
      <c r="W91" s="279" t="s">
        <v>399</v>
      </c>
    </row>
    <row r="92" spans="1:23" hidden="1">
      <c r="A92" t="str">
        <f t="shared" si="1"/>
        <v>50*501/135.0189白HAAA0鑫茂</v>
      </c>
      <c r="C92" s="279" t="s">
        <v>1832</v>
      </c>
      <c r="D92" s="279" t="s">
        <v>285</v>
      </c>
      <c r="E92" s="279">
        <f>IF(ISNA(--VLOOKUP(A92,喷水import!A:D,4,FALSE)),0,--VLOOKUP(A92,喷水import!A:D,4,FALSE))</f>
        <v>11812</v>
      </c>
      <c r="F92" s="279">
        <f>IF(ISNA(--VLOOKUP(A92,喷水import!A:E,5,FALSE)),0,--VLOOKUP(A92,喷水import!A:E,5,FALSE))</f>
        <v>17</v>
      </c>
      <c r="G92" s="279" t="s">
        <v>612</v>
      </c>
      <c r="H92" s="279" t="s">
        <v>612</v>
      </c>
      <c r="I92" s="279" t="s">
        <v>399</v>
      </c>
      <c r="J92" s="279" t="s">
        <v>1982</v>
      </c>
      <c r="K92" s="279" t="s">
        <v>203</v>
      </c>
      <c r="L92" s="279" t="s">
        <v>1110</v>
      </c>
      <c r="M92" s="279" t="s">
        <v>2076</v>
      </c>
      <c r="N92" s="279" t="s">
        <v>2019</v>
      </c>
      <c r="O92" s="279" t="s">
        <v>2</v>
      </c>
      <c r="P92" s="279" t="s">
        <v>1076</v>
      </c>
      <c r="Q92" s="279" t="s">
        <v>399</v>
      </c>
      <c r="R92" s="279" t="s">
        <v>281</v>
      </c>
      <c r="S92" s="279" t="s">
        <v>620</v>
      </c>
      <c r="T92" s="279" t="s">
        <v>612</v>
      </c>
      <c r="U92" s="279" t="s">
        <v>2003</v>
      </c>
      <c r="V92" s="279" t="s">
        <v>2077</v>
      </c>
      <c r="W92" s="279" t="s">
        <v>1982</v>
      </c>
    </row>
    <row r="93" spans="1:23" hidden="1">
      <c r="A93" t="str">
        <f t="shared" si="1"/>
        <v>F/50/50/37/190.5/1/1/W/HAAA50*501/137.0190.5白HAAA2</v>
      </c>
      <c r="C93" s="279" t="s">
        <v>1832</v>
      </c>
      <c r="D93" s="279" t="s">
        <v>285</v>
      </c>
      <c r="E93" s="279">
        <f>IF(ISNA(--VLOOKUP(A93,喷水import!A:D,4,FALSE)),0,--VLOOKUP(A93,喷水import!A:D,4,FALSE))</f>
        <v>788</v>
      </c>
      <c r="F93" s="279">
        <f>IF(ISNA(--VLOOKUP(A93,喷水import!A:E,5,FALSE)),0,--VLOOKUP(A93,喷水import!A:E,5,FALSE))</f>
        <v>1</v>
      </c>
      <c r="G93" s="279" t="s">
        <v>612</v>
      </c>
      <c r="H93" s="279" t="s">
        <v>612</v>
      </c>
      <c r="I93" s="279" t="s">
        <v>2079</v>
      </c>
      <c r="J93" s="279" t="s">
        <v>630</v>
      </c>
      <c r="K93" s="279" t="s">
        <v>203</v>
      </c>
      <c r="L93" s="279" t="s">
        <v>1110</v>
      </c>
      <c r="M93" s="279" t="s">
        <v>2080</v>
      </c>
      <c r="N93" s="279" t="s">
        <v>2081</v>
      </c>
      <c r="O93" s="279" t="s">
        <v>2</v>
      </c>
      <c r="P93" s="279" t="s">
        <v>1076</v>
      </c>
      <c r="Q93" s="279" t="s">
        <v>399</v>
      </c>
      <c r="R93" s="279" t="s">
        <v>399</v>
      </c>
      <c r="S93" s="279" t="s">
        <v>620</v>
      </c>
      <c r="T93" s="279" t="s">
        <v>620</v>
      </c>
      <c r="U93" s="279" t="s">
        <v>1952</v>
      </c>
      <c r="V93" s="279" t="s">
        <v>2082</v>
      </c>
      <c r="W93" s="279" t="s">
        <v>399</v>
      </c>
    </row>
    <row r="94" spans="1:23" hidden="1">
      <c r="A94" t="str">
        <f t="shared" si="1"/>
        <v>50*501/10.0宽幅白AA0鑫茂</v>
      </c>
      <c r="C94" s="279" t="s">
        <v>1832</v>
      </c>
      <c r="D94" s="279" t="s">
        <v>285</v>
      </c>
      <c r="E94" s="279">
        <f>IF(ISNA(--VLOOKUP(A94,喷水import!A:D,4,FALSE)),0,--VLOOKUP(A94,喷水import!A:D,4,FALSE))</f>
        <v>7079</v>
      </c>
      <c r="F94" s="279">
        <f>IF(ISNA(--VLOOKUP(A94,喷水import!A:E,5,FALSE)),0,--VLOOKUP(A94,喷水import!A:E,5,FALSE))</f>
        <v>18</v>
      </c>
      <c r="G94" s="279" t="s">
        <v>612</v>
      </c>
      <c r="H94" s="279" t="s">
        <v>612</v>
      </c>
      <c r="I94" s="279" t="s">
        <v>399</v>
      </c>
      <c r="J94" s="279" t="s">
        <v>1982</v>
      </c>
      <c r="K94" s="279" t="s">
        <v>203</v>
      </c>
      <c r="L94" s="279" t="s">
        <v>1110</v>
      </c>
      <c r="M94" s="279" t="s">
        <v>1983</v>
      </c>
      <c r="N94" s="279" t="s">
        <v>1074</v>
      </c>
      <c r="O94" s="279" t="s">
        <v>2</v>
      </c>
      <c r="P94" s="279" t="s">
        <v>282</v>
      </c>
      <c r="Q94" s="279" t="s">
        <v>399</v>
      </c>
      <c r="R94" s="279" t="s">
        <v>281</v>
      </c>
      <c r="S94" s="279" t="s">
        <v>620</v>
      </c>
      <c r="T94" s="279" t="s">
        <v>612</v>
      </c>
      <c r="U94" s="279" t="s">
        <v>2014</v>
      </c>
      <c r="V94" s="279" t="s">
        <v>2084</v>
      </c>
      <c r="W94" s="279" t="s">
        <v>1982</v>
      </c>
    </row>
    <row r="95" spans="1:23" hidden="1">
      <c r="A95" t="str">
        <f t="shared" si="1"/>
        <v>50*501/137.0190.5白AAAA0骏马湿布</v>
      </c>
      <c r="C95" s="279" t="s">
        <v>1832</v>
      </c>
      <c r="D95" s="279" t="s">
        <v>285</v>
      </c>
      <c r="E95" s="279">
        <f>IF(ISNA(--VLOOKUP(A95,喷水import!A:D,4,FALSE)),0,--VLOOKUP(A95,喷水import!A:D,4,FALSE))</f>
        <v>0</v>
      </c>
      <c r="F95" s="279">
        <f>IF(ISNA(--VLOOKUP(A95,喷水import!A:E,5,FALSE)),0,--VLOOKUP(A95,喷水import!A:E,5,FALSE))</f>
        <v>0</v>
      </c>
      <c r="G95" s="279" t="s">
        <v>612</v>
      </c>
      <c r="H95" s="279" t="s">
        <v>612</v>
      </c>
      <c r="I95" s="279" t="s">
        <v>399</v>
      </c>
      <c r="J95" s="279" t="s">
        <v>1911</v>
      </c>
      <c r="K95" s="279" t="s">
        <v>203</v>
      </c>
      <c r="L95" s="279" t="s">
        <v>1110</v>
      </c>
      <c r="M95" s="279" t="s">
        <v>2080</v>
      </c>
      <c r="N95" s="279" t="s">
        <v>2081</v>
      </c>
      <c r="O95" s="279" t="s">
        <v>2</v>
      </c>
      <c r="P95" s="279" t="s">
        <v>387</v>
      </c>
      <c r="Q95" s="279" t="s">
        <v>399</v>
      </c>
      <c r="R95" s="279" t="s">
        <v>281</v>
      </c>
      <c r="S95" s="279" t="s">
        <v>620</v>
      </c>
      <c r="T95" s="279" t="s">
        <v>612</v>
      </c>
      <c r="U95" s="279" t="s">
        <v>1908</v>
      </c>
      <c r="V95" s="279" t="s">
        <v>2086</v>
      </c>
      <c r="W95" s="279" t="s">
        <v>1911</v>
      </c>
    </row>
    <row r="96" spans="1:23" hidden="1">
      <c r="A96" t="str">
        <f t="shared" si="1"/>
        <v>F/50/50/37/190.5/1/1/B/AAA50*501/137.0190.5黑AAA0</v>
      </c>
      <c r="B96" s="260" t="s">
        <v>2443</v>
      </c>
      <c r="C96" s="279" t="s">
        <v>1832</v>
      </c>
      <c r="D96" s="279" t="s">
        <v>285</v>
      </c>
      <c r="E96" s="279">
        <f>IF(ISNA(--VLOOKUP(A96,喷水import!A:D,4,FALSE)),0,--VLOOKUP(A96,喷水import!A:D,4,FALSE))</f>
        <v>0</v>
      </c>
      <c r="F96" s="279">
        <f>IF(ISNA(--VLOOKUP(A96,喷水import!A:E,5,FALSE)),0,--VLOOKUP(A96,喷水import!A:E,5,FALSE))</f>
        <v>0</v>
      </c>
      <c r="G96" s="279" t="s">
        <v>612</v>
      </c>
      <c r="H96" s="279" t="s">
        <v>612</v>
      </c>
      <c r="I96" s="279" t="s">
        <v>2403</v>
      </c>
      <c r="J96" s="279" t="s">
        <v>641</v>
      </c>
      <c r="K96" s="279" t="s">
        <v>203</v>
      </c>
      <c r="L96" s="279" t="s">
        <v>1110</v>
      </c>
      <c r="M96" s="279" t="s">
        <v>2080</v>
      </c>
      <c r="N96" s="279" t="s">
        <v>2081</v>
      </c>
      <c r="O96" s="279" t="s">
        <v>1</v>
      </c>
      <c r="P96" s="279" t="s">
        <v>287</v>
      </c>
      <c r="Q96" s="279" t="s">
        <v>399</v>
      </c>
      <c r="R96" s="279" t="s">
        <v>281</v>
      </c>
      <c r="S96" s="279" t="s">
        <v>612</v>
      </c>
      <c r="T96" s="279" t="s">
        <v>612</v>
      </c>
      <c r="U96" s="279" t="s">
        <v>2404</v>
      </c>
      <c r="V96" s="279" t="s">
        <v>2405</v>
      </c>
      <c r="W96" s="279" t="s">
        <v>399</v>
      </c>
    </row>
    <row r="97" spans="1:23" hidden="1">
      <c r="A97" t="str">
        <f t="shared" si="1"/>
        <v>50*501/135.0189白AAA0鑫茂</v>
      </c>
      <c r="C97" s="279" t="s">
        <v>1832</v>
      </c>
      <c r="D97" s="279" t="s">
        <v>285</v>
      </c>
      <c r="E97" s="279">
        <f>IF(ISNA(--VLOOKUP(A97,喷水import!A:D,4,FALSE)),0,--VLOOKUP(A97,喷水import!A:D,4,FALSE))</f>
        <v>58952</v>
      </c>
      <c r="F97" s="279">
        <f>IF(ISNA(--VLOOKUP(A97,喷水import!A:E,5,FALSE)),0,--VLOOKUP(A97,喷水import!A:E,5,FALSE))</f>
        <v>81</v>
      </c>
      <c r="G97" s="279" t="s">
        <v>612</v>
      </c>
      <c r="H97" s="279" t="s">
        <v>612</v>
      </c>
      <c r="I97" s="279" t="s">
        <v>399</v>
      </c>
      <c r="J97" s="279" t="s">
        <v>1982</v>
      </c>
      <c r="K97" s="279" t="s">
        <v>203</v>
      </c>
      <c r="L97" s="279" t="s">
        <v>1110</v>
      </c>
      <c r="M97" s="279" t="s">
        <v>2076</v>
      </c>
      <c r="N97" s="279" t="s">
        <v>2019</v>
      </c>
      <c r="O97" s="279" t="s">
        <v>2</v>
      </c>
      <c r="P97" s="279" t="s">
        <v>287</v>
      </c>
      <c r="Q97" s="279" t="s">
        <v>399</v>
      </c>
      <c r="R97" s="279" t="s">
        <v>281</v>
      </c>
      <c r="S97" s="279" t="s">
        <v>620</v>
      </c>
      <c r="T97" s="279" t="s">
        <v>612</v>
      </c>
      <c r="U97" s="279" t="s">
        <v>2022</v>
      </c>
      <c r="V97" s="279" t="s">
        <v>2408</v>
      </c>
      <c r="W97" s="279" t="s">
        <v>1982</v>
      </c>
    </row>
    <row r="98" spans="1:23" hidden="1">
      <c r="A98" t="str">
        <f t="shared" si="1"/>
        <v>50*501/137.0190.5白AAA0杨拾泉加工</v>
      </c>
      <c r="B98" s="260" t="s">
        <v>2443</v>
      </c>
      <c r="C98" s="279" t="s">
        <v>1832</v>
      </c>
      <c r="D98" s="279" t="s">
        <v>285</v>
      </c>
      <c r="E98" s="279">
        <f>IF(ISNA(--VLOOKUP(A98,喷水import!A:D,4,FALSE)),0,--VLOOKUP(A98,喷水import!A:D,4,FALSE))</f>
        <v>0</v>
      </c>
      <c r="F98" s="279">
        <f>IF(ISNA(--VLOOKUP(A98,喷水import!A:E,5,FALSE)),0,--VLOOKUP(A98,喷水import!A:E,5,FALSE))</f>
        <v>0</v>
      </c>
      <c r="G98" s="279" t="s">
        <v>612</v>
      </c>
      <c r="H98" s="279" t="s">
        <v>612</v>
      </c>
      <c r="I98" s="279" t="s">
        <v>399</v>
      </c>
      <c r="J98" s="279" t="s">
        <v>2087</v>
      </c>
      <c r="K98" s="279" t="s">
        <v>203</v>
      </c>
      <c r="L98" s="279" t="s">
        <v>1110</v>
      </c>
      <c r="M98" s="279" t="s">
        <v>2080</v>
      </c>
      <c r="N98" s="279" t="s">
        <v>2081</v>
      </c>
      <c r="O98" s="279" t="s">
        <v>2</v>
      </c>
      <c r="P98" s="279" t="s">
        <v>287</v>
      </c>
      <c r="Q98" s="279" t="s">
        <v>399</v>
      </c>
      <c r="R98" s="279" t="s">
        <v>281</v>
      </c>
      <c r="S98" s="279" t="s">
        <v>620</v>
      </c>
      <c r="T98" s="279" t="s">
        <v>612</v>
      </c>
      <c r="U98" s="279" t="s">
        <v>2088</v>
      </c>
      <c r="V98" s="279" t="s">
        <v>2089</v>
      </c>
      <c r="W98" s="279" t="s">
        <v>2090</v>
      </c>
    </row>
    <row r="99" spans="1:23" hidden="1">
      <c r="A99" t="str">
        <f t="shared" si="1"/>
        <v>F/50/50/37/190.5/2/2/W/AA50*50-12/237.0190.5白AA01</v>
      </c>
      <c r="C99" s="279" t="s">
        <v>1832</v>
      </c>
      <c r="D99" s="279" t="s">
        <v>285</v>
      </c>
      <c r="E99" s="279">
        <f>IF(ISNA(--VLOOKUP(A99,喷水import!A:D,4,FALSE)),0,--VLOOKUP(A99,喷水import!A:D,4,FALSE))</f>
        <v>11063</v>
      </c>
      <c r="F99" s="279">
        <f>IF(ISNA(--VLOOKUP(A99,喷水import!A:E,5,FALSE)),0,--VLOOKUP(A99,喷水import!A:E,5,FALSE))</f>
        <v>13</v>
      </c>
      <c r="G99" s="279" t="s">
        <v>612</v>
      </c>
      <c r="H99" s="279" t="s">
        <v>612</v>
      </c>
      <c r="I99" s="279" t="s">
        <v>2092</v>
      </c>
      <c r="J99" s="279" t="s">
        <v>630</v>
      </c>
      <c r="K99" s="279" t="s">
        <v>2091</v>
      </c>
      <c r="L99" s="279" t="s">
        <v>197</v>
      </c>
      <c r="M99" s="279" t="s">
        <v>2080</v>
      </c>
      <c r="N99" s="279" t="s">
        <v>2081</v>
      </c>
      <c r="O99" s="279" t="s">
        <v>2</v>
      </c>
      <c r="P99" s="279" t="s">
        <v>282</v>
      </c>
      <c r="Q99" s="279" t="s">
        <v>399</v>
      </c>
      <c r="R99" s="279" t="s">
        <v>399</v>
      </c>
      <c r="S99" s="279" t="s">
        <v>620</v>
      </c>
      <c r="T99" s="279" t="s">
        <v>612</v>
      </c>
      <c r="U99" s="279" t="s">
        <v>1952</v>
      </c>
      <c r="V99" s="279" t="s">
        <v>2409</v>
      </c>
      <c r="W99" s="279" t="s">
        <v>641</v>
      </c>
    </row>
    <row r="100" spans="1:23" hidden="1">
      <c r="A100" t="str">
        <f t="shared" si="1"/>
        <v>F/50/50/37/190.5/1/1/W/AAA50*50-11/137.0190.5白AAA21</v>
      </c>
      <c r="C100" s="279" t="s">
        <v>1832</v>
      </c>
      <c r="D100" s="279" t="s">
        <v>285</v>
      </c>
      <c r="E100" s="279">
        <f>IF(ISNA(--VLOOKUP(A100,喷水import!A:D,4,FALSE)),0,--VLOOKUP(A100,喷水import!A:D,4,FALSE))</f>
        <v>40382</v>
      </c>
      <c r="F100" s="279">
        <f>IF(ISNA(--VLOOKUP(A100,喷水import!A:E,5,FALSE)),0,--VLOOKUP(A100,喷水import!A:E,5,FALSE))</f>
        <v>45</v>
      </c>
      <c r="G100" s="279" t="s">
        <v>612</v>
      </c>
      <c r="H100" s="279" t="s">
        <v>612</v>
      </c>
      <c r="I100" s="279" t="s">
        <v>2410</v>
      </c>
      <c r="J100" s="279" t="s">
        <v>630</v>
      </c>
      <c r="K100" s="279" t="s">
        <v>2091</v>
      </c>
      <c r="L100" s="279" t="s">
        <v>1110</v>
      </c>
      <c r="M100" s="279" t="s">
        <v>2080</v>
      </c>
      <c r="N100" s="279" t="s">
        <v>2081</v>
      </c>
      <c r="O100" s="279" t="s">
        <v>2</v>
      </c>
      <c r="P100" s="279" t="s">
        <v>287</v>
      </c>
      <c r="Q100" s="279" t="s">
        <v>399</v>
      </c>
      <c r="R100" s="279" t="s">
        <v>399</v>
      </c>
      <c r="S100" s="279" t="s">
        <v>620</v>
      </c>
      <c r="T100" s="279" t="s">
        <v>620</v>
      </c>
      <c r="U100" s="279" t="s">
        <v>1952</v>
      </c>
      <c r="V100" s="279" t="s">
        <v>2411</v>
      </c>
      <c r="W100" s="279" t="s">
        <v>641</v>
      </c>
    </row>
    <row r="101" spans="1:23" hidden="1">
      <c r="A101" t="str">
        <f t="shared" si="1"/>
        <v>F/50/50/37/190.5/2/2/B/AAA50*50-22/237.0190.5黑AAA0</v>
      </c>
      <c r="C101" s="279" t="s">
        <v>1832</v>
      </c>
      <c r="D101" s="279" t="s">
        <v>285</v>
      </c>
      <c r="E101" s="279">
        <f>IF(ISNA(--VLOOKUP(A101,喷水import!A:D,4,FALSE)),0,--VLOOKUP(A101,喷水import!A:D,4,FALSE))</f>
        <v>10525</v>
      </c>
      <c r="F101" s="279">
        <f>IF(ISNA(--VLOOKUP(A101,喷水import!A:E,5,FALSE)),0,--VLOOKUP(A101,喷水import!A:E,5,FALSE))</f>
        <v>11</v>
      </c>
      <c r="G101" s="279" t="s">
        <v>612</v>
      </c>
      <c r="H101" s="279" t="s">
        <v>612</v>
      </c>
      <c r="I101" s="279" t="s">
        <v>2093</v>
      </c>
      <c r="J101" s="279" t="s">
        <v>641</v>
      </c>
      <c r="K101" s="279" t="s">
        <v>2094</v>
      </c>
      <c r="L101" s="279" t="s">
        <v>197</v>
      </c>
      <c r="M101" s="279" t="s">
        <v>2080</v>
      </c>
      <c r="N101" s="279" t="s">
        <v>2081</v>
      </c>
      <c r="O101" s="279" t="s">
        <v>1</v>
      </c>
      <c r="P101" s="279" t="s">
        <v>287</v>
      </c>
      <c r="Q101" s="279" t="s">
        <v>399</v>
      </c>
      <c r="R101" s="279" t="s">
        <v>399</v>
      </c>
      <c r="S101" s="279" t="s">
        <v>612</v>
      </c>
      <c r="T101" s="279" t="s">
        <v>612</v>
      </c>
      <c r="U101" s="279" t="s">
        <v>2095</v>
      </c>
      <c r="V101" s="279" t="s">
        <v>2412</v>
      </c>
      <c r="W101" s="279" t="s">
        <v>399</v>
      </c>
    </row>
    <row r="102" spans="1:23" hidden="1">
      <c r="A102" t="str">
        <f t="shared" si="1"/>
        <v>F/50/50/37/190/2/2/B/AA50*50-32/237.0190黑AA01</v>
      </c>
      <c r="C102" s="279" t="s">
        <v>1832</v>
      </c>
      <c r="D102" s="279" t="s">
        <v>2096</v>
      </c>
      <c r="E102" s="279">
        <f>IF(ISNA(--VLOOKUP(A102,喷水import!A:D,4,FALSE)),0,--VLOOKUP(A102,喷水import!A:D,4,FALSE))</f>
        <v>0</v>
      </c>
      <c r="F102" s="279">
        <f>IF(ISNA(--VLOOKUP(A102,喷水import!A:E,5,FALSE)),0,--VLOOKUP(A102,喷水import!A:E,5,FALSE))</f>
        <v>4</v>
      </c>
      <c r="G102" s="279" t="s">
        <v>612</v>
      </c>
      <c r="H102" s="279" t="s">
        <v>612</v>
      </c>
      <c r="I102" s="279" t="s">
        <v>2097</v>
      </c>
      <c r="J102" s="279" t="s">
        <v>641</v>
      </c>
      <c r="K102" s="279" t="s">
        <v>2098</v>
      </c>
      <c r="L102" s="279" t="s">
        <v>197</v>
      </c>
      <c r="M102" s="279" t="s">
        <v>2080</v>
      </c>
      <c r="N102" s="279" t="s">
        <v>1933</v>
      </c>
      <c r="O102" s="279" t="s">
        <v>1</v>
      </c>
      <c r="P102" s="279" t="s">
        <v>282</v>
      </c>
      <c r="Q102" s="279" t="s">
        <v>399</v>
      </c>
      <c r="R102" s="279" t="s">
        <v>399</v>
      </c>
      <c r="S102" s="279" t="s">
        <v>612</v>
      </c>
      <c r="T102" s="279" t="s">
        <v>612</v>
      </c>
      <c r="U102" s="279" t="s">
        <v>2095</v>
      </c>
      <c r="V102" s="279" t="s">
        <v>612</v>
      </c>
      <c r="W102" s="279" t="s">
        <v>641</v>
      </c>
    </row>
    <row r="103" spans="1:23" hidden="1">
      <c r="A103" t="str">
        <f t="shared" si="1"/>
        <v>F/50/75/44/190/1/1/W/HAAA50*75-11/144.0190白HAAA0</v>
      </c>
      <c r="C103" s="279" t="s">
        <v>1832</v>
      </c>
      <c r="D103" s="279" t="s">
        <v>285</v>
      </c>
      <c r="E103" s="279">
        <f>IF(ISNA(--VLOOKUP(A103,喷水import!A:D,4,FALSE)),0,--VLOOKUP(A103,喷水import!A:D,4,FALSE))</f>
        <v>788</v>
      </c>
      <c r="F103" s="279">
        <f>IF(ISNA(--VLOOKUP(A103,喷水import!A:E,5,FALSE)),0,--VLOOKUP(A103,喷水import!A:E,5,FALSE))</f>
        <v>1</v>
      </c>
      <c r="G103" s="279" t="s">
        <v>612</v>
      </c>
      <c r="H103" s="279" t="s">
        <v>612</v>
      </c>
      <c r="I103" s="279" t="s">
        <v>2413</v>
      </c>
      <c r="J103" s="279" t="s">
        <v>641</v>
      </c>
      <c r="K103" s="279" t="s">
        <v>2100</v>
      </c>
      <c r="L103" s="279" t="s">
        <v>1110</v>
      </c>
      <c r="M103" s="279" t="s">
        <v>2101</v>
      </c>
      <c r="N103" s="279" t="s">
        <v>1933</v>
      </c>
      <c r="O103" s="279" t="s">
        <v>2</v>
      </c>
      <c r="P103" s="279" t="s">
        <v>1076</v>
      </c>
      <c r="Q103" s="279" t="s">
        <v>399</v>
      </c>
      <c r="R103" s="279" t="s">
        <v>281</v>
      </c>
      <c r="S103" s="279" t="s">
        <v>620</v>
      </c>
      <c r="T103" s="279" t="s">
        <v>612</v>
      </c>
      <c r="U103" s="279" t="s">
        <v>2102</v>
      </c>
      <c r="V103" s="279" t="s">
        <v>2414</v>
      </c>
      <c r="W103" s="279" t="s">
        <v>399</v>
      </c>
    </row>
    <row r="104" spans="1:23" hidden="1">
      <c r="A104" t="str">
        <f t="shared" si="1"/>
        <v>F/50/75/44/190/1/1/W/AAA50*75-11/144.0190白AAA0</v>
      </c>
      <c r="C104" s="279" t="s">
        <v>1832</v>
      </c>
      <c r="D104" s="279" t="s">
        <v>285</v>
      </c>
      <c r="E104" s="279">
        <f>IF(ISNA(--VLOOKUP(A104,喷水import!A:D,4,FALSE)),0,--VLOOKUP(A104,喷水import!A:D,4,FALSE))</f>
        <v>24518</v>
      </c>
      <c r="F104" s="279">
        <f>IF(ISNA(--VLOOKUP(A104,喷水import!A:E,5,FALSE)),0,--VLOOKUP(A104,喷水import!A:E,5,FALSE))</f>
        <v>33</v>
      </c>
      <c r="G104" s="279" t="s">
        <v>612</v>
      </c>
      <c r="H104" s="279" t="s">
        <v>612</v>
      </c>
      <c r="I104" s="279" t="s">
        <v>2099</v>
      </c>
      <c r="J104" s="279" t="s">
        <v>641</v>
      </c>
      <c r="K104" s="279" t="s">
        <v>2100</v>
      </c>
      <c r="L104" s="279" t="s">
        <v>1110</v>
      </c>
      <c r="M104" s="279" t="s">
        <v>2101</v>
      </c>
      <c r="N104" s="279" t="s">
        <v>1933</v>
      </c>
      <c r="O104" s="279" t="s">
        <v>2</v>
      </c>
      <c r="P104" s="279" t="s">
        <v>287</v>
      </c>
      <c r="Q104" s="279" t="s">
        <v>399</v>
      </c>
      <c r="R104" s="279" t="s">
        <v>281</v>
      </c>
      <c r="S104" s="279" t="s">
        <v>620</v>
      </c>
      <c r="T104" s="279" t="s">
        <v>612</v>
      </c>
      <c r="U104" s="279" t="s">
        <v>2102</v>
      </c>
      <c r="V104" s="279" t="s">
        <v>2415</v>
      </c>
      <c r="W104" s="279" t="s">
        <v>399</v>
      </c>
    </row>
    <row r="105" spans="1:23" hidden="1">
      <c r="A105" t="str">
        <f t="shared" si="1"/>
        <v>75*1002/250.0190.5黑AAAA0骏马湿布</v>
      </c>
      <c r="C105" s="279" t="s">
        <v>1832</v>
      </c>
      <c r="D105" s="279" t="s">
        <v>285</v>
      </c>
      <c r="E105" s="279">
        <f>IF(ISNA(--VLOOKUP(A105,喷水import!A:D,4,FALSE)),0,--VLOOKUP(A105,喷水import!A:D,4,FALSE))</f>
        <v>0</v>
      </c>
      <c r="F105" s="279">
        <f>IF(ISNA(--VLOOKUP(A105,喷水import!A:E,5,FALSE)),0,--VLOOKUP(A105,喷水import!A:E,5,FALSE))</f>
        <v>0</v>
      </c>
      <c r="G105" s="279" t="s">
        <v>612</v>
      </c>
      <c r="H105" s="279" t="s">
        <v>612</v>
      </c>
      <c r="I105" s="279" t="s">
        <v>399</v>
      </c>
      <c r="J105" s="279" t="s">
        <v>1911</v>
      </c>
      <c r="K105" s="279" t="s">
        <v>208</v>
      </c>
      <c r="L105" s="279" t="s">
        <v>197</v>
      </c>
      <c r="M105" s="279" t="s">
        <v>2103</v>
      </c>
      <c r="N105" s="279" t="s">
        <v>2081</v>
      </c>
      <c r="O105" s="279" t="s">
        <v>1</v>
      </c>
      <c r="P105" s="279" t="s">
        <v>387</v>
      </c>
      <c r="Q105" s="279" t="s">
        <v>399</v>
      </c>
      <c r="R105" s="279" t="s">
        <v>281</v>
      </c>
      <c r="S105" s="279" t="s">
        <v>620</v>
      </c>
      <c r="T105" s="279" t="s">
        <v>612</v>
      </c>
      <c r="U105" s="279" t="s">
        <v>2088</v>
      </c>
      <c r="V105" s="279" t="s">
        <v>2104</v>
      </c>
      <c r="W105" s="279" t="s">
        <v>1911</v>
      </c>
    </row>
    <row r="106" spans="1:23" hidden="1">
      <c r="A106" t="str">
        <f t="shared" si="1"/>
        <v>75*1002/247.0190.5白AAA0</v>
      </c>
      <c r="C106" s="279" t="s">
        <v>1832</v>
      </c>
      <c r="D106" s="279" t="s">
        <v>285</v>
      </c>
      <c r="E106" s="279">
        <f>IF(ISNA(--VLOOKUP(A106,喷水import!A:D,4,FALSE)),0,--VLOOKUP(A106,喷水import!A:D,4,FALSE))</f>
        <v>599</v>
      </c>
      <c r="F106" s="279">
        <f>IF(ISNA(--VLOOKUP(A106,喷水import!A:E,5,FALSE)),0,--VLOOKUP(A106,喷水import!A:E,5,FALSE))</f>
        <v>1</v>
      </c>
      <c r="G106" s="279" t="s">
        <v>612</v>
      </c>
      <c r="H106" s="279" t="s">
        <v>612</v>
      </c>
      <c r="I106" s="279" t="s">
        <v>399</v>
      </c>
      <c r="J106" s="279" t="s">
        <v>641</v>
      </c>
      <c r="K106" s="279" t="s">
        <v>208</v>
      </c>
      <c r="L106" s="279" t="s">
        <v>197</v>
      </c>
      <c r="M106" s="279" t="s">
        <v>2106</v>
      </c>
      <c r="N106" s="279" t="s">
        <v>2081</v>
      </c>
      <c r="O106" s="279" t="s">
        <v>2</v>
      </c>
      <c r="P106" s="279" t="s">
        <v>287</v>
      </c>
      <c r="Q106" s="279" t="s">
        <v>399</v>
      </c>
      <c r="R106" s="279" t="s">
        <v>281</v>
      </c>
      <c r="S106" s="279" t="s">
        <v>620</v>
      </c>
      <c r="T106" s="279" t="s">
        <v>612</v>
      </c>
      <c r="U106" s="279" t="s">
        <v>1939</v>
      </c>
      <c r="V106" s="279" t="s">
        <v>2107</v>
      </c>
      <c r="W106" s="279" t="s">
        <v>399</v>
      </c>
    </row>
    <row r="107" spans="1:23" hidden="1">
      <c r="A107" t="str">
        <f t="shared" si="1"/>
        <v>75*1002/247.0190.5白AAA0</v>
      </c>
      <c r="C107" s="279" t="s">
        <v>1832</v>
      </c>
      <c r="D107" s="279" t="s">
        <v>2108</v>
      </c>
      <c r="E107" s="279">
        <f>IF(ISNA(--VLOOKUP(A107,喷水import!A:D,4,FALSE)),0,--VLOOKUP(A107,喷水import!A:D,4,FALSE))</f>
        <v>599</v>
      </c>
      <c r="F107" s="279">
        <f>IF(ISNA(--VLOOKUP(A107,喷水import!A:E,5,FALSE)),0,--VLOOKUP(A107,喷水import!A:E,5,FALSE))</f>
        <v>1</v>
      </c>
      <c r="G107" s="279" t="s">
        <v>612</v>
      </c>
      <c r="H107" s="279" t="s">
        <v>612</v>
      </c>
      <c r="I107" s="279" t="s">
        <v>399</v>
      </c>
      <c r="J107" s="279" t="s">
        <v>641</v>
      </c>
      <c r="K107" s="279" t="s">
        <v>208</v>
      </c>
      <c r="L107" s="279" t="s">
        <v>197</v>
      </c>
      <c r="M107" s="279" t="s">
        <v>2106</v>
      </c>
      <c r="N107" s="279" t="s">
        <v>2081</v>
      </c>
      <c r="O107" s="279" t="s">
        <v>2</v>
      </c>
      <c r="P107" s="279" t="s">
        <v>287</v>
      </c>
      <c r="Q107" s="279" t="s">
        <v>399</v>
      </c>
      <c r="R107" s="279" t="s">
        <v>281</v>
      </c>
      <c r="S107" s="279" t="s">
        <v>620</v>
      </c>
      <c r="T107" s="279" t="s">
        <v>612</v>
      </c>
      <c r="U107" s="279" t="s">
        <v>1939</v>
      </c>
      <c r="V107" s="279" t="s">
        <v>2110</v>
      </c>
      <c r="W107" s="279" t="s">
        <v>399</v>
      </c>
    </row>
    <row r="108" spans="1:23" hidden="1">
      <c r="A108" t="str">
        <f t="shared" si="1"/>
        <v>75*1002/247.0190.5白AAA0</v>
      </c>
      <c r="C108" s="279" t="s">
        <v>1832</v>
      </c>
      <c r="D108" s="279" t="s">
        <v>2111</v>
      </c>
      <c r="E108" s="279">
        <f>IF(ISNA(--VLOOKUP(A108,喷水import!A:D,4,FALSE)),0,--VLOOKUP(A108,喷水import!A:D,4,FALSE))</f>
        <v>599</v>
      </c>
      <c r="F108" s="279">
        <f>IF(ISNA(--VLOOKUP(A108,喷水import!A:E,5,FALSE)),0,--VLOOKUP(A108,喷水import!A:E,5,FALSE))</f>
        <v>1</v>
      </c>
      <c r="G108" s="279" t="s">
        <v>612</v>
      </c>
      <c r="H108" s="279" t="s">
        <v>612</v>
      </c>
      <c r="I108" s="279" t="s">
        <v>399</v>
      </c>
      <c r="J108" s="279" t="s">
        <v>641</v>
      </c>
      <c r="K108" s="279" t="s">
        <v>208</v>
      </c>
      <c r="L108" s="279" t="s">
        <v>197</v>
      </c>
      <c r="M108" s="279" t="s">
        <v>2106</v>
      </c>
      <c r="N108" s="279" t="s">
        <v>2081</v>
      </c>
      <c r="O108" s="279" t="s">
        <v>2</v>
      </c>
      <c r="P108" s="279" t="s">
        <v>287</v>
      </c>
      <c r="Q108" s="279" t="s">
        <v>399</v>
      </c>
      <c r="R108" s="279" t="s">
        <v>281</v>
      </c>
      <c r="S108" s="279" t="s">
        <v>620</v>
      </c>
      <c r="T108" s="279" t="s">
        <v>612</v>
      </c>
      <c r="U108" s="279" t="s">
        <v>1939</v>
      </c>
      <c r="V108" s="279" t="s">
        <v>2113</v>
      </c>
      <c r="W108" s="279" t="s">
        <v>399</v>
      </c>
    </row>
    <row r="109" spans="1:23" hidden="1">
      <c r="A109" t="str">
        <f t="shared" si="1"/>
        <v>75*100-21/145.0191白AAA0</v>
      </c>
      <c r="C109" s="279" t="s">
        <v>1832</v>
      </c>
      <c r="D109" s="279" t="s">
        <v>285</v>
      </c>
      <c r="E109" s="279">
        <f>IF(ISNA(--VLOOKUP(A109,喷水import!A:D,4,FALSE)),0,--VLOOKUP(A109,喷水import!A:D,4,FALSE))</f>
        <v>0</v>
      </c>
      <c r="F109" s="279">
        <f>IF(ISNA(--VLOOKUP(A109,喷水import!A:E,5,FALSE)),0,--VLOOKUP(A109,喷水import!A:E,5,FALSE))</f>
        <v>0</v>
      </c>
      <c r="G109" s="279" t="s">
        <v>612</v>
      </c>
      <c r="H109" s="279" t="s">
        <v>612</v>
      </c>
      <c r="I109" s="279" t="s">
        <v>399</v>
      </c>
      <c r="J109" s="279" t="s">
        <v>641</v>
      </c>
      <c r="K109" s="279" t="s">
        <v>2114</v>
      </c>
      <c r="L109" s="279" t="s">
        <v>1110</v>
      </c>
      <c r="M109" s="279" t="s">
        <v>2115</v>
      </c>
      <c r="N109" s="279" t="s">
        <v>2116</v>
      </c>
      <c r="O109" s="279" t="s">
        <v>2</v>
      </c>
      <c r="P109" s="279" t="s">
        <v>287</v>
      </c>
      <c r="Q109" s="279" t="s">
        <v>399</v>
      </c>
      <c r="R109" s="279" t="s">
        <v>281</v>
      </c>
      <c r="S109" s="279" t="s">
        <v>620</v>
      </c>
      <c r="T109" s="279" t="s">
        <v>612</v>
      </c>
      <c r="U109" s="279" t="s">
        <v>2117</v>
      </c>
      <c r="V109" s="279" t="s">
        <v>2118</v>
      </c>
      <c r="W109" s="279" t="s">
        <v>399</v>
      </c>
    </row>
    <row r="110" spans="1:23" hidden="1">
      <c r="A110" t="str">
        <f t="shared" si="1"/>
        <v>F/75/150/58/190.5/2/2/W/AAA75*1502/258.0190.5白AAA21</v>
      </c>
      <c r="C110" s="279" t="s">
        <v>1832</v>
      </c>
      <c r="D110" s="279" t="s">
        <v>285</v>
      </c>
      <c r="E110" s="279">
        <f>IF(ISNA(--VLOOKUP(A110,喷水import!A:D,4,FALSE)),0,--VLOOKUP(A110,喷水import!A:D,4,FALSE))</f>
        <v>3052</v>
      </c>
      <c r="F110" s="279">
        <f>IF(ISNA(--VLOOKUP(A110,喷水import!A:E,5,FALSE)),0,--VLOOKUP(A110,喷水import!A:E,5,FALSE))</f>
        <v>5</v>
      </c>
      <c r="G110" s="279" t="s">
        <v>612</v>
      </c>
      <c r="H110" s="279" t="s">
        <v>612</v>
      </c>
      <c r="I110" s="279" t="s">
        <v>2119</v>
      </c>
      <c r="J110" s="279" t="s">
        <v>630</v>
      </c>
      <c r="K110" s="279" t="s">
        <v>211</v>
      </c>
      <c r="L110" s="279" t="s">
        <v>197</v>
      </c>
      <c r="M110" s="279" t="s">
        <v>2120</v>
      </c>
      <c r="N110" s="279" t="s">
        <v>2081</v>
      </c>
      <c r="O110" s="279" t="s">
        <v>2</v>
      </c>
      <c r="P110" s="279" t="s">
        <v>287</v>
      </c>
      <c r="Q110" s="279" t="s">
        <v>399</v>
      </c>
      <c r="R110" s="279" t="s">
        <v>399</v>
      </c>
      <c r="S110" s="279" t="s">
        <v>620</v>
      </c>
      <c r="T110" s="279" t="s">
        <v>620</v>
      </c>
      <c r="U110" s="279" t="s">
        <v>1904</v>
      </c>
      <c r="V110" s="279" t="s">
        <v>2416</v>
      </c>
      <c r="W110" s="279" t="s">
        <v>641</v>
      </c>
    </row>
    <row r="111" spans="1:23" hidden="1">
      <c r="A111" t="str">
        <f t="shared" si="1"/>
        <v>75*1502/254.0190.5黑AAA0</v>
      </c>
      <c r="C111" s="279" t="s">
        <v>1832</v>
      </c>
      <c r="D111" s="279" t="s">
        <v>285</v>
      </c>
      <c r="E111" s="279">
        <f>IF(ISNA(--VLOOKUP(A111,喷水import!A:D,4,FALSE)),0,--VLOOKUP(A111,喷水import!A:D,4,FALSE))</f>
        <v>6983</v>
      </c>
      <c r="F111" s="279">
        <f>IF(ISNA(--VLOOKUP(A111,喷水import!A:E,5,FALSE)),0,--VLOOKUP(A111,喷水import!A:E,5,FALSE))</f>
        <v>11</v>
      </c>
      <c r="G111" s="279" t="s">
        <v>612</v>
      </c>
      <c r="H111" s="279" t="s">
        <v>612</v>
      </c>
      <c r="I111" s="279" t="s">
        <v>399</v>
      </c>
      <c r="J111" s="279" t="s">
        <v>641</v>
      </c>
      <c r="K111" s="279" t="s">
        <v>211</v>
      </c>
      <c r="L111" s="279" t="s">
        <v>197</v>
      </c>
      <c r="M111" s="279" t="s">
        <v>1834</v>
      </c>
      <c r="N111" s="279" t="s">
        <v>2081</v>
      </c>
      <c r="O111" s="279" t="s">
        <v>1</v>
      </c>
      <c r="P111" s="279" t="s">
        <v>287</v>
      </c>
      <c r="Q111" s="279" t="s">
        <v>399</v>
      </c>
      <c r="R111" s="279" t="s">
        <v>281</v>
      </c>
      <c r="S111" s="279" t="s">
        <v>620</v>
      </c>
      <c r="T111" s="279" t="s">
        <v>612</v>
      </c>
      <c r="U111" s="279" t="s">
        <v>2022</v>
      </c>
      <c r="V111" s="279" t="s">
        <v>2121</v>
      </c>
      <c r="W111" s="279" t="s">
        <v>399</v>
      </c>
    </row>
    <row r="112" spans="1:23" hidden="1">
      <c r="A112" t="str">
        <f t="shared" si="1"/>
        <v>75*1502/258.0190.5白AAAA94A94</v>
      </c>
      <c r="C112" s="279" t="s">
        <v>1832</v>
      </c>
      <c r="D112" s="279" t="s">
        <v>285</v>
      </c>
      <c r="E112" s="279">
        <f>IF(ISNA(--VLOOKUP(A112,喷水import!A:D,4,FALSE)),0,--VLOOKUP(A112,喷水import!A:D,4,FALSE))</f>
        <v>14082</v>
      </c>
      <c r="F112" s="279">
        <f>IF(ISNA(--VLOOKUP(A112,喷水import!A:E,5,FALSE)),0,--VLOOKUP(A112,喷水import!A:E,5,FALSE))</f>
        <v>24</v>
      </c>
      <c r="G112" s="279" t="s">
        <v>612</v>
      </c>
      <c r="H112" s="279" t="s">
        <v>612</v>
      </c>
      <c r="I112" s="279" t="s">
        <v>399</v>
      </c>
      <c r="J112" s="279" t="s">
        <v>227</v>
      </c>
      <c r="K112" s="279" t="s">
        <v>211</v>
      </c>
      <c r="L112" s="279" t="s">
        <v>197</v>
      </c>
      <c r="M112" s="279" t="s">
        <v>2120</v>
      </c>
      <c r="N112" s="279" t="s">
        <v>2081</v>
      </c>
      <c r="O112" s="279" t="s">
        <v>2</v>
      </c>
      <c r="P112" s="279" t="s">
        <v>287</v>
      </c>
      <c r="Q112" s="279" t="s">
        <v>399</v>
      </c>
      <c r="R112" s="279" t="s">
        <v>281</v>
      </c>
      <c r="S112" s="279" t="s">
        <v>620</v>
      </c>
      <c r="T112" s="279" t="s">
        <v>227</v>
      </c>
      <c r="U112" s="279" t="s">
        <v>399</v>
      </c>
      <c r="V112" s="279" t="s">
        <v>612</v>
      </c>
      <c r="W112" s="279" t="s">
        <v>227</v>
      </c>
    </row>
    <row r="113" spans="1:23" hidden="1">
      <c r="A113" t="str">
        <f t="shared" si="1"/>
        <v>F/75/150/58/190.5/2/2/W/AA75*1502/258.0190.5白AA01</v>
      </c>
      <c r="C113" s="279" t="s">
        <v>1832</v>
      </c>
      <c r="D113" s="279" t="s">
        <v>285</v>
      </c>
      <c r="E113" s="279">
        <f>IF(ISNA(--VLOOKUP(A113,喷水import!A:D,4,FALSE)),0,--VLOOKUP(A113,喷水import!A:D,4,FALSE))</f>
        <v>0</v>
      </c>
      <c r="F113" s="279">
        <f>IF(ISNA(--VLOOKUP(A113,喷水import!A:E,5,FALSE)),0,--VLOOKUP(A113,喷水import!A:E,5,FALSE))</f>
        <v>0</v>
      </c>
      <c r="G113" s="279" t="s">
        <v>612</v>
      </c>
      <c r="H113" s="279" t="s">
        <v>612</v>
      </c>
      <c r="I113" s="279" t="s">
        <v>2122</v>
      </c>
      <c r="J113" s="279" t="s">
        <v>630</v>
      </c>
      <c r="K113" s="279" t="s">
        <v>211</v>
      </c>
      <c r="L113" s="279" t="s">
        <v>197</v>
      </c>
      <c r="M113" s="279" t="s">
        <v>2120</v>
      </c>
      <c r="N113" s="279" t="s">
        <v>2081</v>
      </c>
      <c r="O113" s="279" t="s">
        <v>2</v>
      </c>
      <c r="P113" s="279" t="s">
        <v>282</v>
      </c>
      <c r="Q113" s="279" t="s">
        <v>399</v>
      </c>
      <c r="R113" s="279" t="s">
        <v>399</v>
      </c>
      <c r="S113" s="279" t="s">
        <v>620</v>
      </c>
      <c r="T113" s="279" t="s">
        <v>612</v>
      </c>
      <c r="U113" s="279" t="s">
        <v>1904</v>
      </c>
      <c r="V113" s="279" t="s">
        <v>2417</v>
      </c>
      <c r="W113" s="279" t="s">
        <v>641</v>
      </c>
    </row>
    <row r="114" spans="1:23" hidden="1">
      <c r="A114" t="str">
        <f t="shared" si="1"/>
        <v>75*1502/254.0190.5白AAA0</v>
      </c>
      <c r="C114" s="279" t="s">
        <v>1832</v>
      </c>
      <c r="D114" s="279" t="s">
        <v>285</v>
      </c>
      <c r="E114" s="279">
        <f>IF(ISNA(--VLOOKUP(A114,喷水import!A:D,4,FALSE)),0,--VLOOKUP(A114,喷水import!A:D,4,FALSE))</f>
        <v>42063</v>
      </c>
      <c r="F114" s="279">
        <f>IF(ISNA(--VLOOKUP(A114,喷水import!A:E,5,FALSE)),0,--VLOOKUP(A114,喷水import!A:E,5,FALSE))</f>
        <v>65</v>
      </c>
      <c r="G114" s="279" t="s">
        <v>612</v>
      </c>
      <c r="H114" s="279" t="s">
        <v>612</v>
      </c>
      <c r="I114" s="279" t="s">
        <v>399</v>
      </c>
      <c r="J114" s="279" t="s">
        <v>641</v>
      </c>
      <c r="K114" s="279" t="s">
        <v>211</v>
      </c>
      <c r="L114" s="279" t="s">
        <v>197</v>
      </c>
      <c r="M114" s="279" t="s">
        <v>1834</v>
      </c>
      <c r="N114" s="279" t="s">
        <v>2081</v>
      </c>
      <c r="O114" s="279" t="s">
        <v>2</v>
      </c>
      <c r="P114" s="279" t="s">
        <v>287</v>
      </c>
      <c r="Q114" s="279" t="s">
        <v>399</v>
      </c>
      <c r="R114" s="279" t="s">
        <v>281</v>
      </c>
      <c r="S114" s="279" t="s">
        <v>620</v>
      </c>
      <c r="T114" s="279" t="s">
        <v>612</v>
      </c>
      <c r="U114" s="279" t="s">
        <v>2117</v>
      </c>
      <c r="V114" s="279" t="s">
        <v>2418</v>
      </c>
      <c r="W114" s="279" t="s">
        <v>399</v>
      </c>
    </row>
    <row r="115" spans="1:23" hidden="1">
      <c r="A115" t="str">
        <f t="shared" si="1"/>
        <v>75*1502/258.0190.5黑AAA0</v>
      </c>
      <c r="C115" s="279" t="s">
        <v>1832</v>
      </c>
      <c r="D115" s="279" t="s">
        <v>285</v>
      </c>
      <c r="E115" s="279">
        <f>IF(ISNA(--VLOOKUP(A115,喷水import!A:D,4,FALSE)),0,--VLOOKUP(A115,喷水import!A:D,4,FALSE))</f>
        <v>56518</v>
      </c>
      <c r="F115" s="279">
        <f>IF(ISNA(--VLOOKUP(A115,喷水import!A:E,5,FALSE)),0,--VLOOKUP(A115,喷水import!A:E,5,FALSE))</f>
        <v>89</v>
      </c>
      <c r="G115" s="279" t="s">
        <v>612</v>
      </c>
      <c r="H115" s="279" t="s">
        <v>612</v>
      </c>
      <c r="I115" s="279" t="s">
        <v>399</v>
      </c>
      <c r="J115" s="279" t="s">
        <v>641</v>
      </c>
      <c r="K115" s="279" t="s">
        <v>211</v>
      </c>
      <c r="L115" s="279" t="s">
        <v>197</v>
      </c>
      <c r="M115" s="279" t="s">
        <v>2120</v>
      </c>
      <c r="N115" s="279" t="s">
        <v>2081</v>
      </c>
      <c r="O115" s="279" t="s">
        <v>1</v>
      </c>
      <c r="P115" s="279" t="s">
        <v>287</v>
      </c>
      <c r="Q115" s="279" t="s">
        <v>399</v>
      </c>
      <c r="R115" s="279" t="s">
        <v>281</v>
      </c>
      <c r="S115" s="279" t="s">
        <v>620</v>
      </c>
      <c r="T115" s="279" t="s">
        <v>612</v>
      </c>
      <c r="U115" s="279" t="s">
        <v>2095</v>
      </c>
      <c r="V115" s="279" t="s">
        <v>2419</v>
      </c>
      <c r="W115" s="279" t="s">
        <v>399</v>
      </c>
    </row>
    <row r="116" spans="1:23" hidden="1">
      <c r="A116" t="str">
        <f t="shared" si="1"/>
        <v>F/75/150/54/190.5/3/1/W/AAA75*1503/154.0190.5白AAA01</v>
      </c>
      <c r="C116" s="279" t="s">
        <v>1832</v>
      </c>
      <c r="D116" s="279" t="s">
        <v>285</v>
      </c>
      <c r="E116" s="279">
        <f>IF(ISNA(--VLOOKUP(A116,喷水import!A:D,4,FALSE)),0,--VLOOKUP(A116,喷水import!A:D,4,FALSE))</f>
        <v>0</v>
      </c>
      <c r="F116" s="279">
        <f>IF(ISNA(--VLOOKUP(A116,喷水import!A:E,5,FALSE)),0,--VLOOKUP(A116,喷水import!A:E,5,FALSE))</f>
        <v>0</v>
      </c>
      <c r="G116" s="279" t="s">
        <v>612</v>
      </c>
      <c r="H116" s="279" t="s">
        <v>612</v>
      </c>
      <c r="I116" s="279" t="s">
        <v>2123</v>
      </c>
      <c r="J116" s="279" t="s">
        <v>641</v>
      </c>
      <c r="K116" s="279" t="s">
        <v>211</v>
      </c>
      <c r="L116" s="279" t="s">
        <v>200</v>
      </c>
      <c r="M116" s="279" t="s">
        <v>1834</v>
      </c>
      <c r="N116" s="279" t="s">
        <v>2081</v>
      </c>
      <c r="O116" s="279" t="s">
        <v>2</v>
      </c>
      <c r="P116" s="279" t="s">
        <v>287</v>
      </c>
      <c r="Q116" s="279" t="s">
        <v>399</v>
      </c>
      <c r="R116" s="279" t="s">
        <v>399</v>
      </c>
      <c r="S116" s="279" t="s">
        <v>620</v>
      </c>
      <c r="T116" s="279" t="s">
        <v>612</v>
      </c>
      <c r="U116" s="279" t="s">
        <v>1919</v>
      </c>
      <c r="V116" s="279" t="s">
        <v>2124</v>
      </c>
      <c r="W116" s="279" t="s">
        <v>641</v>
      </c>
    </row>
    <row r="117" spans="1:23" hidden="1">
      <c r="A117" t="str">
        <f t="shared" si="1"/>
        <v>75*1502/254.0190.5黑AA0</v>
      </c>
      <c r="C117" s="279" t="s">
        <v>1832</v>
      </c>
      <c r="D117" s="279" t="s">
        <v>285</v>
      </c>
      <c r="E117" s="279">
        <f>IF(ISNA(--VLOOKUP(A117,喷水import!A:D,4,FALSE)),0,--VLOOKUP(A117,喷水import!A:D,4,FALSE))</f>
        <v>1782</v>
      </c>
      <c r="F117" s="279">
        <f>IF(ISNA(--VLOOKUP(A117,喷水import!A:E,5,FALSE)),0,--VLOOKUP(A117,喷水import!A:E,5,FALSE))</f>
        <v>3</v>
      </c>
      <c r="G117" s="279" t="s">
        <v>612</v>
      </c>
      <c r="H117" s="279" t="s">
        <v>612</v>
      </c>
      <c r="I117" s="279" t="s">
        <v>399</v>
      </c>
      <c r="J117" s="279" t="s">
        <v>641</v>
      </c>
      <c r="K117" s="279" t="s">
        <v>211</v>
      </c>
      <c r="L117" s="279" t="s">
        <v>197</v>
      </c>
      <c r="M117" s="279" t="s">
        <v>1834</v>
      </c>
      <c r="N117" s="279" t="s">
        <v>2081</v>
      </c>
      <c r="O117" s="279" t="s">
        <v>1</v>
      </c>
      <c r="P117" s="279" t="s">
        <v>282</v>
      </c>
      <c r="Q117" s="279" t="s">
        <v>399</v>
      </c>
      <c r="R117" s="279" t="s">
        <v>281</v>
      </c>
      <c r="S117" s="279" t="s">
        <v>620</v>
      </c>
      <c r="T117" s="279" t="s">
        <v>612</v>
      </c>
      <c r="U117" s="279" t="s">
        <v>2095</v>
      </c>
      <c r="V117" s="279" t="s">
        <v>2126</v>
      </c>
      <c r="W117" s="279" t="s">
        <v>399</v>
      </c>
    </row>
    <row r="118" spans="1:23" hidden="1">
      <c r="A118" t="str">
        <f t="shared" si="1"/>
        <v>75*3002/270.0190.5黑AAA0打样</v>
      </c>
      <c r="C118" s="279" t="s">
        <v>1832</v>
      </c>
      <c r="D118" s="279" t="s">
        <v>285</v>
      </c>
      <c r="E118" s="279">
        <f>IF(ISNA(--VLOOKUP(A118,喷水import!A:D,4,FALSE)),0,--VLOOKUP(A118,喷水import!A:D,4,FALSE))</f>
        <v>3953</v>
      </c>
      <c r="F118" s="279">
        <f>IF(ISNA(--VLOOKUP(A118,喷水import!A:E,5,FALSE)),0,--VLOOKUP(A118,喷水import!A:E,5,FALSE))</f>
        <v>7</v>
      </c>
      <c r="G118" s="279" t="s">
        <v>612</v>
      </c>
      <c r="H118" s="279" t="s">
        <v>612</v>
      </c>
      <c r="I118" s="279" t="s">
        <v>399</v>
      </c>
      <c r="J118" s="279" t="s">
        <v>620</v>
      </c>
      <c r="K118" s="279" t="s">
        <v>209</v>
      </c>
      <c r="L118" s="279" t="s">
        <v>197</v>
      </c>
      <c r="M118" s="279" t="s">
        <v>2128</v>
      </c>
      <c r="N118" s="279" t="s">
        <v>2081</v>
      </c>
      <c r="O118" s="279" t="s">
        <v>1</v>
      </c>
      <c r="P118" s="279" t="s">
        <v>287</v>
      </c>
      <c r="Q118" s="279" t="s">
        <v>399</v>
      </c>
      <c r="R118" s="279" t="s">
        <v>399</v>
      </c>
      <c r="S118" s="279" t="s">
        <v>620</v>
      </c>
      <c r="T118" s="279" t="s">
        <v>612</v>
      </c>
      <c r="U118" s="279" t="s">
        <v>1924</v>
      </c>
      <c r="V118" s="279" t="s">
        <v>2129</v>
      </c>
      <c r="W118" s="279" t="s">
        <v>515</v>
      </c>
    </row>
    <row r="119" spans="1:23" hidden="1">
      <c r="A119" t="str">
        <f t="shared" si="1"/>
        <v>F/75/300/70/190.5/2/2/B/AA75*3002/270.0190.5黑AA01</v>
      </c>
      <c r="C119" s="279" t="s">
        <v>1832</v>
      </c>
      <c r="D119" s="279" t="s">
        <v>285</v>
      </c>
      <c r="E119" s="279">
        <f>IF(ISNA(--VLOOKUP(A119,喷水import!A:D,4,FALSE)),0,--VLOOKUP(A119,喷水import!A:D,4,FALSE))</f>
        <v>13836</v>
      </c>
      <c r="F119" s="279">
        <f>IF(ISNA(--VLOOKUP(A119,喷水import!A:E,5,FALSE)),0,--VLOOKUP(A119,喷水import!A:E,5,FALSE))</f>
        <v>27</v>
      </c>
      <c r="G119" s="279" t="s">
        <v>612</v>
      </c>
      <c r="H119" s="279" t="s">
        <v>612</v>
      </c>
      <c r="I119" s="279" t="s">
        <v>2130</v>
      </c>
      <c r="J119" s="279" t="s">
        <v>641</v>
      </c>
      <c r="K119" s="279" t="s">
        <v>209</v>
      </c>
      <c r="L119" s="279" t="s">
        <v>197</v>
      </c>
      <c r="M119" s="279" t="s">
        <v>2128</v>
      </c>
      <c r="N119" s="279" t="s">
        <v>2081</v>
      </c>
      <c r="O119" s="279" t="s">
        <v>1</v>
      </c>
      <c r="P119" s="279" t="s">
        <v>282</v>
      </c>
      <c r="Q119" s="279" t="s">
        <v>399</v>
      </c>
      <c r="R119" s="279" t="s">
        <v>281</v>
      </c>
      <c r="S119" s="279" t="s">
        <v>620</v>
      </c>
      <c r="T119" s="279" t="s">
        <v>612</v>
      </c>
      <c r="U119" s="279" t="s">
        <v>2131</v>
      </c>
      <c r="V119" s="279" t="s">
        <v>2420</v>
      </c>
      <c r="W119" s="279" t="s">
        <v>641</v>
      </c>
    </row>
    <row r="120" spans="1:23" hidden="1">
      <c r="A120" t="str">
        <f t="shared" si="1"/>
        <v>F/75/300/70/190.5/2/2/B/AAA75*3002/270.0190.5黑AAA01</v>
      </c>
      <c r="C120" s="279" t="s">
        <v>1832</v>
      </c>
      <c r="D120" s="279" t="s">
        <v>285</v>
      </c>
      <c r="E120" s="279">
        <f>IF(ISNA(--VLOOKUP(A120,喷水import!A:D,4,FALSE)),0,--VLOOKUP(A120,喷水import!A:D,4,FALSE))</f>
        <v>211947</v>
      </c>
      <c r="F120" s="279">
        <f>IF(ISNA(--VLOOKUP(A120,喷水import!A:E,5,FALSE)),0,--VLOOKUP(A120,喷水import!A:E,5,FALSE))</f>
        <v>407</v>
      </c>
      <c r="G120" s="279" t="s">
        <v>612</v>
      </c>
      <c r="H120" s="279" t="s">
        <v>612</v>
      </c>
      <c r="I120" s="279" t="s">
        <v>2132</v>
      </c>
      <c r="J120" s="279" t="s">
        <v>641</v>
      </c>
      <c r="K120" s="279" t="s">
        <v>209</v>
      </c>
      <c r="L120" s="279" t="s">
        <v>197</v>
      </c>
      <c r="M120" s="279" t="s">
        <v>2128</v>
      </c>
      <c r="N120" s="279" t="s">
        <v>2081</v>
      </c>
      <c r="O120" s="279" t="s">
        <v>1</v>
      </c>
      <c r="P120" s="279" t="s">
        <v>287</v>
      </c>
      <c r="Q120" s="279" t="s">
        <v>399</v>
      </c>
      <c r="R120" s="279" t="s">
        <v>281</v>
      </c>
      <c r="S120" s="279" t="s">
        <v>620</v>
      </c>
      <c r="T120" s="279" t="s">
        <v>612</v>
      </c>
      <c r="U120" s="279" t="s">
        <v>1922</v>
      </c>
      <c r="V120" s="279" t="s">
        <v>2421</v>
      </c>
      <c r="W120" s="279" t="s">
        <v>641</v>
      </c>
    </row>
    <row r="121" spans="1:23" hidden="1">
      <c r="A121" t="str">
        <f t="shared" si="1"/>
        <v>F/75/300/70/190.5/2/2/W/AAA75*3002/270.0190.5白AAA0</v>
      </c>
      <c r="C121" s="279" t="s">
        <v>1832</v>
      </c>
      <c r="D121" s="279" t="s">
        <v>285</v>
      </c>
      <c r="E121" s="279">
        <f>IF(ISNA(--VLOOKUP(A121,喷水import!A:D,4,FALSE)),0,--VLOOKUP(A121,喷水import!A:D,4,FALSE))</f>
        <v>10515</v>
      </c>
      <c r="F121" s="279">
        <f>IF(ISNA(--VLOOKUP(A121,喷水import!A:E,5,FALSE)),0,--VLOOKUP(A121,喷水import!A:E,5,FALSE))</f>
        <v>20</v>
      </c>
      <c r="G121" s="279" t="s">
        <v>612</v>
      </c>
      <c r="H121" s="279" t="s">
        <v>612</v>
      </c>
      <c r="I121" s="279" t="s">
        <v>2133</v>
      </c>
      <c r="J121" s="279" t="s">
        <v>620</v>
      </c>
      <c r="K121" s="279" t="s">
        <v>209</v>
      </c>
      <c r="L121" s="279" t="s">
        <v>197</v>
      </c>
      <c r="M121" s="279" t="s">
        <v>2128</v>
      </c>
      <c r="N121" s="279" t="s">
        <v>2081</v>
      </c>
      <c r="O121" s="279" t="s">
        <v>2</v>
      </c>
      <c r="P121" s="279" t="s">
        <v>287</v>
      </c>
      <c r="Q121" s="279" t="s">
        <v>399</v>
      </c>
      <c r="R121" s="279" t="s">
        <v>281</v>
      </c>
      <c r="S121" s="279" t="s">
        <v>620</v>
      </c>
      <c r="T121" s="279" t="s">
        <v>612</v>
      </c>
      <c r="U121" s="279" t="s">
        <v>2134</v>
      </c>
      <c r="V121" s="279" t="s">
        <v>2135</v>
      </c>
      <c r="W121" s="279" t="s">
        <v>399</v>
      </c>
    </row>
    <row r="122" spans="1:23" hidden="1">
      <c r="A122" t="str">
        <f t="shared" si="1"/>
        <v>75*752/250.0198白AA0</v>
      </c>
      <c r="C122" s="279" t="s">
        <v>1832</v>
      </c>
      <c r="D122" s="279" t="s">
        <v>2136</v>
      </c>
      <c r="E122" s="279">
        <f>IF(ISNA(--VLOOKUP(A122,喷水import!A:D,4,FALSE)),0,--VLOOKUP(A122,喷水import!A:D,4,FALSE))</f>
        <v>630</v>
      </c>
      <c r="F122" s="279">
        <f>IF(ISNA(--VLOOKUP(A122,喷水import!A:E,5,FALSE)),0,--VLOOKUP(A122,喷水import!A:E,5,FALSE))</f>
        <v>1</v>
      </c>
      <c r="G122" s="279" t="s">
        <v>612</v>
      </c>
      <c r="H122" s="279" t="s">
        <v>612</v>
      </c>
      <c r="I122" s="279" t="s">
        <v>399</v>
      </c>
      <c r="J122" s="279" t="s">
        <v>620</v>
      </c>
      <c r="K122" s="279" t="s">
        <v>206</v>
      </c>
      <c r="L122" s="279" t="s">
        <v>197</v>
      </c>
      <c r="M122" s="279" t="s">
        <v>2103</v>
      </c>
      <c r="N122" s="279" t="s">
        <v>2138</v>
      </c>
      <c r="O122" s="279" t="s">
        <v>2</v>
      </c>
      <c r="P122" s="279" t="s">
        <v>282</v>
      </c>
      <c r="Q122" s="279" t="s">
        <v>399</v>
      </c>
      <c r="R122" s="279" t="s">
        <v>399</v>
      </c>
      <c r="S122" s="279" t="s">
        <v>620</v>
      </c>
      <c r="T122" s="279" t="s">
        <v>612</v>
      </c>
      <c r="U122" s="279" t="s">
        <v>2139</v>
      </c>
      <c r="V122" s="279" t="s">
        <v>2137</v>
      </c>
      <c r="W122" s="279" t="s">
        <v>399</v>
      </c>
    </row>
    <row r="123" spans="1:23" hidden="1">
      <c r="A123" t="str">
        <f t="shared" si="1"/>
        <v>F/75/75/45/156/1/1/W/AAA75*751/145.0156白AAA01</v>
      </c>
      <c r="C123" s="279" t="s">
        <v>1832</v>
      </c>
      <c r="D123" s="279" t="s">
        <v>2140</v>
      </c>
      <c r="E123" s="279">
        <f>IF(ISNA(--VLOOKUP(A123,喷水import!A:D,4,FALSE)),0,--VLOOKUP(A123,喷水import!A:D,4,FALSE))</f>
        <v>602</v>
      </c>
      <c r="F123" s="279">
        <f>IF(ISNA(--VLOOKUP(A123,喷水import!A:E,5,FALSE)),0,--VLOOKUP(A123,喷水import!A:E,5,FALSE))</f>
        <v>1</v>
      </c>
      <c r="G123" s="279" t="s">
        <v>612</v>
      </c>
      <c r="H123" s="279" t="s">
        <v>612</v>
      </c>
      <c r="I123" s="279" t="s">
        <v>2142</v>
      </c>
      <c r="J123" s="279" t="s">
        <v>641</v>
      </c>
      <c r="K123" s="279" t="s">
        <v>206</v>
      </c>
      <c r="L123" s="279" t="s">
        <v>1110</v>
      </c>
      <c r="M123" s="279" t="s">
        <v>2115</v>
      </c>
      <c r="N123" s="279" t="s">
        <v>2143</v>
      </c>
      <c r="O123" s="279" t="s">
        <v>2</v>
      </c>
      <c r="P123" s="279" t="s">
        <v>287</v>
      </c>
      <c r="Q123" s="279" t="s">
        <v>399</v>
      </c>
      <c r="R123" s="279" t="s">
        <v>399</v>
      </c>
      <c r="S123" s="279" t="s">
        <v>620</v>
      </c>
      <c r="T123" s="279" t="s">
        <v>612</v>
      </c>
      <c r="U123" s="279" t="s">
        <v>2144</v>
      </c>
      <c r="V123" s="279" t="s">
        <v>2145</v>
      </c>
      <c r="W123" s="279" t="s">
        <v>641</v>
      </c>
    </row>
    <row r="124" spans="1:23" hidden="1">
      <c r="A124" t="str">
        <f t="shared" si="1"/>
        <v>F/75/75/50/198/2/2/W/HAAA75*752/250.0198白HAAA0</v>
      </c>
      <c r="C124" s="279" t="s">
        <v>1832</v>
      </c>
      <c r="D124" s="279" t="s">
        <v>2136</v>
      </c>
      <c r="E124" s="279">
        <f>IF(ISNA(--VLOOKUP(A124,喷水import!A:D,4,FALSE)),0,--VLOOKUP(A124,喷水import!A:D,4,FALSE))</f>
        <v>522</v>
      </c>
      <c r="F124" s="279">
        <f>IF(ISNA(--VLOOKUP(A124,喷水import!A:E,5,FALSE)),0,--VLOOKUP(A124,喷水import!A:E,5,FALSE))</f>
        <v>1</v>
      </c>
      <c r="G124" s="279" t="s">
        <v>612</v>
      </c>
      <c r="H124" s="279" t="s">
        <v>612</v>
      </c>
      <c r="I124" s="279" t="s">
        <v>2147</v>
      </c>
      <c r="J124" s="279" t="s">
        <v>620</v>
      </c>
      <c r="K124" s="279" t="s">
        <v>206</v>
      </c>
      <c r="L124" s="279" t="s">
        <v>197</v>
      </c>
      <c r="M124" s="279" t="s">
        <v>2103</v>
      </c>
      <c r="N124" s="279" t="s">
        <v>2138</v>
      </c>
      <c r="O124" s="279" t="s">
        <v>2</v>
      </c>
      <c r="P124" s="279" t="s">
        <v>1076</v>
      </c>
      <c r="Q124" s="279" t="s">
        <v>399</v>
      </c>
      <c r="R124" s="279" t="s">
        <v>281</v>
      </c>
      <c r="S124" s="279" t="s">
        <v>620</v>
      </c>
      <c r="T124" s="279" t="s">
        <v>612</v>
      </c>
      <c r="U124" s="279" t="s">
        <v>2095</v>
      </c>
      <c r="V124" s="279" t="s">
        <v>2148</v>
      </c>
      <c r="W124" s="279" t="s">
        <v>399</v>
      </c>
    </row>
    <row r="125" spans="1:23" hidden="1">
      <c r="A125" t="str">
        <f t="shared" si="1"/>
        <v>F/75/75/50/198/2/2/W/AAA75*752/250.0198白AAA0</v>
      </c>
      <c r="C125" s="279" t="s">
        <v>1832</v>
      </c>
      <c r="D125" s="279" t="s">
        <v>2111</v>
      </c>
      <c r="E125" s="279">
        <f>IF(ISNA(--VLOOKUP(A125,喷水import!A:D,4,FALSE)),0,--VLOOKUP(A125,喷水import!A:D,4,FALSE))</f>
        <v>10199</v>
      </c>
      <c r="F125" s="279">
        <f>IF(ISNA(--VLOOKUP(A125,喷水import!A:E,5,FALSE)),0,--VLOOKUP(A125,喷水import!A:E,5,FALSE))</f>
        <v>15</v>
      </c>
      <c r="G125" s="279" t="s">
        <v>612</v>
      </c>
      <c r="H125" s="279" t="s">
        <v>612</v>
      </c>
      <c r="I125" s="279" t="s">
        <v>2150</v>
      </c>
      <c r="J125" s="279" t="s">
        <v>641</v>
      </c>
      <c r="K125" s="279" t="s">
        <v>206</v>
      </c>
      <c r="L125" s="279" t="s">
        <v>197</v>
      </c>
      <c r="M125" s="279" t="s">
        <v>2103</v>
      </c>
      <c r="N125" s="279" t="s">
        <v>2138</v>
      </c>
      <c r="O125" s="279" t="s">
        <v>2</v>
      </c>
      <c r="P125" s="279" t="s">
        <v>287</v>
      </c>
      <c r="Q125" s="279" t="s">
        <v>399</v>
      </c>
      <c r="R125" s="279" t="s">
        <v>281</v>
      </c>
      <c r="S125" s="279" t="s">
        <v>620</v>
      </c>
      <c r="T125" s="279" t="s">
        <v>612</v>
      </c>
      <c r="U125" s="279" t="s">
        <v>2151</v>
      </c>
      <c r="V125" s="279" t="s">
        <v>2152</v>
      </c>
      <c r="W125" s="279" t="s">
        <v>399</v>
      </c>
    </row>
    <row r="126" spans="1:23" hidden="1">
      <c r="A126" t="str">
        <f t="shared" si="1"/>
        <v>F/75/75/50/198/2/2/W/AAA75*752/250.0198白AAA0</v>
      </c>
      <c r="C126" s="279" t="s">
        <v>1832</v>
      </c>
      <c r="D126" s="279" t="s">
        <v>285</v>
      </c>
      <c r="E126" s="279">
        <f>IF(ISNA(--VLOOKUP(A126,喷水import!A:D,4,FALSE)),0,--VLOOKUP(A126,喷水import!A:D,4,FALSE))</f>
        <v>10199</v>
      </c>
      <c r="F126" s="279">
        <f>IF(ISNA(--VLOOKUP(A126,喷水import!A:E,5,FALSE)),0,--VLOOKUP(A126,喷水import!A:E,5,FALSE))</f>
        <v>15</v>
      </c>
      <c r="G126" s="279" t="s">
        <v>612</v>
      </c>
      <c r="H126" s="279" t="s">
        <v>612</v>
      </c>
      <c r="I126" s="279" t="s">
        <v>2150</v>
      </c>
      <c r="J126" s="279" t="s">
        <v>641</v>
      </c>
      <c r="K126" s="279" t="s">
        <v>206</v>
      </c>
      <c r="L126" s="279" t="s">
        <v>197</v>
      </c>
      <c r="M126" s="279" t="s">
        <v>2103</v>
      </c>
      <c r="N126" s="279" t="s">
        <v>2138</v>
      </c>
      <c r="O126" s="279" t="s">
        <v>2</v>
      </c>
      <c r="P126" s="279" t="s">
        <v>287</v>
      </c>
      <c r="Q126" s="279" t="s">
        <v>399</v>
      </c>
      <c r="R126" s="279" t="s">
        <v>281</v>
      </c>
      <c r="S126" s="279" t="s">
        <v>620</v>
      </c>
      <c r="T126" s="279" t="s">
        <v>612</v>
      </c>
      <c r="U126" s="279" t="s">
        <v>2151</v>
      </c>
      <c r="V126" s="279" t="s">
        <v>2154</v>
      </c>
      <c r="W126" s="279" t="s">
        <v>399</v>
      </c>
    </row>
    <row r="127" spans="1:23" hidden="1">
      <c r="A127" t="str">
        <f t="shared" si="1"/>
        <v>75*752/243.0190.5白AAAS21325-6杨拾泉</v>
      </c>
      <c r="B127" s="260" t="s">
        <v>2629</v>
      </c>
      <c r="C127" s="279" t="s">
        <v>1832</v>
      </c>
      <c r="D127" s="279" t="s">
        <v>285</v>
      </c>
      <c r="E127" s="279">
        <f>IF(ISNA(--VLOOKUP(A127,喷水import!A:D,4,FALSE)),0,--VLOOKUP(A127,喷水import!A:D,4,FALSE))</f>
        <v>97995</v>
      </c>
      <c r="F127" s="279">
        <f>IF(ISNA(--VLOOKUP(A127,喷水import!A:E,5,FALSE)),0,--VLOOKUP(A127,喷水import!A:E,5,FALSE))</f>
        <v>138</v>
      </c>
      <c r="G127" s="279" t="s">
        <v>612</v>
      </c>
      <c r="H127" s="279" t="s">
        <v>612</v>
      </c>
      <c r="I127" s="279" t="s">
        <v>399</v>
      </c>
      <c r="J127" s="279" t="s">
        <v>2087</v>
      </c>
      <c r="K127" s="279" t="s">
        <v>206</v>
      </c>
      <c r="L127" s="279" t="s">
        <v>197</v>
      </c>
      <c r="M127" s="279" t="s">
        <v>2156</v>
      </c>
      <c r="N127" s="279" t="s">
        <v>2081</v>
      </c>
      <c r="O127" s="279" t="s">
        <v>2</v>
      </c>
      <c r="P127" s="279" t="s">
        <v>287</v>
      </c>
      <c r="Q127" s="279" t="s">
        <v>399</v>
      </c>
      <c r="R127" s="279" t="s">
        <v>281</v>
      </c>
      <c r="S127" s="279" t="s">
        <v>620</v>
      </c>
      <c r="T127" s="339" t="s">
        <v>2698</v>
      </c>
      <c r="U127" s="279" t="s">
        <v>2117</v>
      </c>
      <c r="V127" s="279" t="s">
        <v>2157</v>
      </c>
      <c r="W127" s="279" t="s">
        <v>2158</v>
      </c>
    </row>
    <row r="128" spans="1:23" hidden="1">
      <c r="A128" t="str">
        <f t="shared" si="1"/>
        <v>F/75/75/65/183/1/1/W/AAA75*751/165.0183白AAA0长丝</v>
      </c>
      <c r="C128" s="279" t="s">
        <v>1832</v>
      </c>
      <c r="D128" s="279" t="s">
        <v>2159</v>
      </c>
      <c r="E128" s="279">
        <f>IF(ISNA(--VLOOKUP(A128,喷水import!A:D,4,FALSE)),0,--VLOOKUP(A128,喷水import!A:D,4,FALSE))</f>
        <v>849</v>
      </c>
      <c r="F128" s="279">
        <f>IF(ISNA(--VLOOKUP(A128,喷水import!A:E,5,FALSE)),0,--VLOOKUP(A128,喷水import!A:E,5,FALSE))</f>
        <v>1</v>
      </c>
      <c r="G128" s="279" t="s">
        <v>612</v>
      </c>
      <c r="H128" s="279" t="s">
        <v>612</v>
      </c>
      <c r="I128" s="279" t="s">
        <v>2161</v>
      </c>
      <c r="J128" s="279" t="s">
        <v>630</v>
      </c>
      <c r="K128" s="279" t="s">
        <v>206</v>
      </c>
      <c r="L128" s="279" t="s">
        <v>1110</v>
      </c>
      <c r="M128" s="279" t="s">
        <v>2162</v>
      </c>
      <c r="N128" s="279" t="s">
        <v>2163</v>
      </c>
      <c r="O128" s="279" t="s">
        <v>2</v>
      </c>
      <c r="P128" s="279" t="s">
        <v>287</v>
      </c>
      <c r="Q128" s="279" t="s">
        <v>399</v>
      </c>
      <c r="R128" s="279" t="s">
        <v>399</v>
      </c>
      <c r="S128" s="279" t="s">
        <v>620</v>
      </c>
      <c r="T128" s="279" t="s">
        <v>612</v>
      </c>
      <c r="U128" s="279" t="s">
        <v>1904</v>
      </c>
      <c r="V128" s="279" t="s">
        <v>2164</v>
      </c>
      <c r="W128" s="279" t="s">
        <v>2165</v>
      </c>
    </row>
    <row r="129" spans="1:23" hidden="1">
      <c r="A129" t="str">
        <f t="shared" si="1"/>
        <v>F/75/75/45/143/3/1/B/AAA75*753/145.0143黑AAA21老库存</v>
      </c>
      <c r="C129" s="279" t="s">
        <v>1832</v>
      </c>
      <c r="D129" s="279" t="s">
        <v>2166</v>
      </c>
      <c r="E129" s="279">
        <f>IF(ISNA(--VLOOKUP(A129,喷水import!A:D,4,FALSE)),0,--VLOOKUP(A129,喷水import!A:D,4,FALSE))</f>
        <v>9591</v>
      </c>
      <c r="F129" s="279">
        <f>IF(ISNA(--VLOOKUP(A129,喷水import!A:E,5,FALSE)),0,--VLOOKUP(A129,喷水import!A:E,5,FALSE))</f>
        <v>14</v>
      </c>
      <c r="G129" s="279" t="s">
        <v>612</v>
      </c>
      <c r="H129" s="279" t="s">
        <v>612</v>
      </c>
      <c r="I129" s="279" t="s">
        <v>2168</v>
      </c>
      <c r="J129" s="279" t="s">
        <v>641</v>
      </c>
      <c r="K129" s="279" t="s">
        <v>206</v>
      </c>
      <c r="L129" s="279" t="s">
        <v>200</v>
      </c>
      <c r="M129" s="279" t="s">
        <v>2115</v>
      </c>
      <c r="N129" s="279" t="s">
        <v>1823</v>
      </c>
      <c r="O129" s="279" t="s">
        <v>1</v>
      </c>
      <c r="P129" s="279" t="s">
        <v>287</v>
      </c>
      <c r="Q129" s="279" t="s">
        <v>399</v>
      </c>
      <c r="R129" s="279" t="s">
        <v>399</v>
      </c>
      <c r="S129" s="279" t="s">
        <v>1820</v>
      </c>
      <c r="T129" s="279" t="s">
        <v>620</v>
      </c>
      <c r="U129" s="279" t="s">
        <v>1996</v>
      </c>
      <c r="V129" s="279" t="s">
        <v>2169</v>
      </c>
      <c r="W129" s="279" t="s">
        <v>2170</v>
      </c>
    </row>
    <row r="130" spans="1:23" hidden="1">
      <c r="A130" t="str">
        <f t="shared" si="1"/>
        <v>75*75-12/243.0190.5白AAA0厚康 加工</v>
      </c>
      <c r="B130" s="260" t="s">
        <v>2629</v>
      </c>
      <c r="C130" s="279" t="s">
        <v>1832</v>
      </c>
      <c r="D130" s="279" t="s">
        <v>285</v>
      </c>
      <c r="E130" s="279">
        <f>IF(ISNA(--VLOOKUP(A130,喷水import!A:D,4,FALSE)),0,--VLOOKUP(A130,喷水import!A:D,4,FALSE))</f>
        <v>30508</v>
      </c>
      <c r="F130" s="279">
        <f>IF(ISNA(--VLOOKUP(A130,喷水import!A:E,5,FALSE)),0,--VLOOKUP(A130,喷水import!A:E,5,FALSE))</f>
        <v>36</v>
      </c>
      <c r="G130" s="279" t="s">
        <v>612</v>
      </c>
      <c r="H130" s="279" t="s">
        <v>612</v>
      </c>
      <c r="I130" s="279" t="s">
        <v>399</v>
      </c>
      <c r="J130" s="279" t="s">
        <v>2171</v>
      </c>
      <c r="K130" s="279" t="s">
        <v>2172</v>
      </c>
      <c r="L130" s="279" t="s">
        <v>197</v>
      </c>
      <c r="M130" s="279" t="s">
        <v>2156</v>
      </c>
      <c r="N130" s="279" t="s">
        <v>2081</v>
      </c>
      <c r="O130" s="279" t="s">
        <v>2</v>
      </c>
      <c r="P130" s="279" t="s">
        <v>287</v>
      </c>
      <c r="Q130" s="279" t="s">
        <v>399</v>
      </c>
      <c r="R130" s="279" t="s">
        <v>281</v>
      </c>
      <c r="S130" s="279" t="s">
        <v>620</v>
      </c>
      <c r="T130" s="279" t="s">
        <v>612</v>
      </c>
      <c r="U130" s="279" t="s">
        <v>1916</v>
      </c>
      <c r="V130" s="279" t="s">
        <v>2173</v>
      </c>
      <c r="W130" s="279" t="s">
        <v>2174</v>
      </c>
    </row>
    <row r="131" spans="1:23" hidden="1">
      <c r="A131" t="str">
        <f t="shared" ref="A131:A147" si="2">I131&amp;K131&amp;L131&amp;M131&amp;N131&amp;O131&amp;P131&amp;T131&amp;W131</f>
        <v>75*75-12/250.0198白AA0</v>
      </c>
      <c r="C131" s="279" t="s">
        <v>1832</v>
      </c>
      <c r="D131" s="279" t="s">
        <v>285</v>
      </c>
      <c r="E131" s="279">
        <f>IF(ISNA(--VLOOKUP(A131,喷水import!A:D,4,FALSE)),0,--VLOOKUP(A131,喷水import!A:D,4,FALSE))</f>
        <v>760</v>
      </c>
      <c r="F131" s="279">
        <f>IF(ISNA(--VLOOKUP(A131,喷水import!A:E,5,FALSE)),0,--VLOOKUP(A131,喷水import!A:E,5,FALSE))</f>
        <v>1</v>
      </c>
      <c r="G131" s="279" t="s">
        <v>612</v>
      </c>
      <c r="H131" s="279" t="s">
        <v>612</v>
      </c>
      <c r="I131" s="279" t="s">
        <v>399</v>
      </c>
      <c r="J131" s="279" t="s">
        <v>641</v>
      </c>
      <c r="K131" s="279" t="s">
        <v>2172</v>
      </c>
      <c r="L131" s="279" t="s">
        <v>197</v>
      </c>
      <c r="M131" s="279" t="s">
        <v>2103</v>
      </c>
      <c r="N131" s="279" t="s">
        <v>2138</v>
      </c>
      <c r="O131" s="279" t="s">
        <v>2</v>
      </c>
      <c r="P131" s="279" t="s">
        <v>282</v>
      </c>
      <c r="Q131" s="279" t="s">
        <v>399</v>
      </c>
      <c r="R131" s="279" t="s">
        <v>281</v>
      </c>
      <c r="S131" s="279" t="s">
        <v>620</v>
      </c>
      <c r="T131" s="279" t="s">
        <v>612</v>
      </c>
      <c r="U131" s="279" t="s">
        <v>2022</v>
      </c>
      <c r="V131" s="279" t="s">
        <v>2176</v>
      </c>
      <c r="W131" s="279" t="s">
        <v>399</v>
      </c>
    </row>
    <row r="132" spans="1:23" hidden="1">
      <c r="A132" t="str">
        <f t="shared" si="2"/>
        <v>75*75-12/250.0198白AAA0A35</v>
      </c>
      <c r="C132" s="279" t="s">
        <v>1832</v>
      </c>
      <c r="D132" s="279" t="s">
        <v>285</v>
      </c>
      <c r="E132" s="279">
        <f>IF(ISNA(--VLOOKUP(A132,喷水import!A:D,4,FALSE)),0,--VLOOKUP(A132,喷水import!A:D,4,FALSE))</f>
        <v>5264</v>
      </c>
      <c r="F132" s="279">
        <f>IF(ISNA(--VLOOKUP(A132,喷水import!A:E,5,FALSE)),0,--VLOOKUP(A132,喷水import!A:E,5,FALSE))</f>
        <v>8</v>
      </c>
      <c r="G132" s="279" t="s">
        <v>612</v>
      </c>
      <c r="H132" s="279" t="s">
        <v>612</v>
      </c>
      <c r="I132" s="279" t="s">
        <v>399</v>
      </c>
      <c r="J132" s="279" t="s">
        <v>620</v>
      </c>
      <c r="K132" s="279" t="s">
        <v>2172</v>
      </c>
      <c r="L132" s="279" t="s">
        <v>197</v>
      </c>
      <c r="M132" s="279" t="s">
        <v>2103</v>
      </c>
      <c r="N132" s="279" t="s">
        <v>2138</v>
      </c>
      <c r="O132" s="279" t="s">
        <v>2</v>
      </c>
      <c r="P132" s="279" t="s">
        <v>287</v>
      </c>
      <c r="Q132" s="279" t="s">
        <v>399</v>
      </c>
      <c r="R132" s="279" t="s">
        <v>399</v>
      </c>
      <c r="S132" s="279" t="s">
        <v>620</v>
      </c>
      <c r="T132" s="279" t="s">
        <v>612</v>
      </c>
      <c r="U132" s="279" t="s">
        <v>1989</v>
      </c>
      <c r="V132" s="279" t="s">
        <v>2178</v>
      </c>
      <c r="W132" s="279" t="s">
        <v>1590</v>
      </c>
    </row>
    <row r="133" spans="1:23" hidden="1">
      <c r="A133" t="str">
        <f t="shared" si="2"/>
        <v>75*75-22/243.0190.5白AA已验厚康</v>
      </c>
      <c r="B133" s="260" t="s">
        <v>2629</v>
      </c>
      <c r="C133" s="279" t="s">
        <v>1832</v>
      </c>
      <c r="D133" s="279" t="s">
        <v>285</v>
      </c>
      <c r="E133" s="279">
        <f>IF(ISNA(--VLOOKUP(A133,喷水import!A:D,4,FALSE)),0,--VLOOKUP(A133,喷水import!A:D,4,FALSE))</f>
        <v>2420</v>
      </c>
      <c r="F133" s="279">
        <f>IF(ISNA(--VLOOKUP(A133,喷水import!A:E,5,FALSE)),0,--VLOOKUP(A133,喷水import!A:E,5,FALSE))</f>
        <v>3</v>
      </c>
      <c r="G133" s="279" t="s">
        <v>612</v>
      </c>
      <c r="H133" s="279" t="s">
        <v>612</v>
      </c>
      <c r="I133" s="279" t="s">
        <v>399</v>
      </c>
      <c r="J133" s="279" t="s">
        <v>2171</v>
      </c>
      <c r="K133" s="279" t="s">
        <v>2180</v>
      </c>
      <c r="L133" s="279" t="s">
        <v>197</v>
      </c>
      <c r="M133" s="279" t="s">
        <v>2156</v>
      </c>
      <c r="N133" s="279" t="s">
        <v>2081</v>
      </c>
      <c r="O133" s="279" t="s">
        <v>2</v>
      </c>
      <c r="P133" s="279" t="s">
        <v>282</v>
      </c>
      <c r="Q133" s="279" t="s">
        <v>399</v>
      </c>
      <c r="R133" s="279" t="s">
        <v>281</v>
      </c>
      <c r="S133" s="279" t="s">
        <v>620</v>
      </c>
      <c r="T133" s="279" t="s">
        <v>2181</v>
      </c>
      <c r="U133" s="279" t="s">
        <v>399</v>
      </c>
      <c r="V133" s="279" t="s">
        <v>612</v>
      </c>
      <c r="W133" s="279" t="s">
        <v>2171</v>
      </c>
    </row>
    <row r="134" spans="1:23" hidden="1">
      <c r="A134" t="str">
        <f t="shared" si="2"/>
        <v>75*75-22/243.0190.5白AAA已验厚康 已验</v>
      </c>
      <c r="B134" s="260" t="s">
        <v>2629</v>
      </c>
      <c r="C134" s="279" t="s">
        <v>1832</v>
      </c>
      <c r="D134" s="279" t="s">
        <v>285</v>
      </c>
      <c r="E134" s="279">
        <f>IF(ISNA(--VLOOKUP(A134,喷水import!A:D,4,FALSE)),0,--VLOOKUP(A134,喷水import!A:D,4,FALSE))</f>
        <v>37689</v>
      </c>
      <c r="F134" s="279">
        <f>IF(ISNA(--VLOOKUP(A134,喷水import!A:E,5,FALSE)),0,--VLOOKUP(A134,喷水import!A:E,5,FALSE))</f>
        <v>46</v>
      </c>
      <c r="G134" s="279" t="s">
        <v>612</v>
      </c>
      <c r="H134" s="279" t="s">
        <v>612</v>
      </c>
      <c r="I134" s="279" t="s">
        <v>399</v>
      </c>
      <c r="J134" s="279" t="s">
        <v>2171</v>
      </c>
      <c r="K134" s="279" t="s">
        <v>2180</v>
      </c>
      <c r="L134" s="279" t="s">
        <v>197</v>
      </c>
      <c r="M134" s="279" t="s">
        <v>2156</v>
      </c>
      <c r="N134" s="279" t="s">
        <v>2081</v>
      </c>
      <c r="O134" s="279" t="s">
        <v>2</v>
      </c>
      <c r="P134" s="279" t="s">
        <v>287</v>
      </c>
      <c r="Q134" s="279" t="s">
        <v>399</v>
      </c>
      <c r="R134" s="279" t="s">
        <v>281</v>
      </c>
      <c r="S134" s="279" t="s">
        <v>620</v>
      </c>
      <c r="T134" s="279" t="s">
        <v>2181</v>
      </c>
      <c r="U134" s="279" t="s">
        <v>399</v>
      </c>
      <c r="V134" s="279" t="s">
        <v>612</v>
      </c>
      <c r="W134" s="279" t="s">
        <v>2182</v>
      </c>
    </row>
    <row r="135" spans="1:23" hidden="1">
      <c r="A135" t="str">
        <f t="shared" si="2"/>
        <v>75*75-22/243.0190.5白HAAA已验厚康</v>
      </c>
      <c r="C135" s="279" t="s">
        <v>1832</v>
      </c>
      <c r="D135" s="279" t="s">
        <v>285</v>
      </c>
      <c r="E135" s="279">
        <f>IF(ISNA(--VLOOKUP(A135,喷水import!A:D,4,FALSE)),0,--VLOOKUP(A135,喷水import!A:D,4,FALSE))</f>
        <v>1656</v>
      </c>
      <c r="F135" s="279">
        <f>IF(ISNA(--VLOOKUP(A135,喷水import!A:E,5,FALSE)),0,--VLOOKUP(A135,喷水import!A:E,5,FALSE))</f>
        <v>2</v>
      </c>
      <c r="G135" s="279" t="s">
        <v>612</v>
      </c>
      <c r="H135" s="279" t="s">
        <v>612</v>
      </c>
      <c r="I135" s="279" t="s">
        <v>399</v>
      </c>
      <c r="J135" s="279" t="s">
        <v>2171</v>
      </c>
      <c r="K135" s="279" t="s">
        <v>2180</v>
      </c>
      <c r="L135" s="279" t="s">
        <v>197</v>
      </c>
      <c r="M135" s="279" t="s">
        <v>2156</v>
      </c>
      <c r="N135" s="279" t="s">
        <v>2081</v>
      </c>
      <c r="O135" s="279" t="s">
        <v>2</v>
      </c>
      <c r="P135" s="279" t="s">
        <v>1076</v>
      </c>
      <c r="Q135" s="279" t="s">
        <v>399</v>
      </c>
      <c r="R135" s="279" t="s">
        <v>281</v>
      </c>
      <c r="S135" s="279" t="s">
        <v>620</v>
      </c>
      <c r="T135" s="279" t="s">
        <v>2181</v>
      </c>
      <c r="U135" s="279" t="s">
        <v>399</v>
      </c>
      <c r="V135" s="279" t="s">
        <v>612</v>
      </c>
      <c r="W135" s="279" t="s">
        <v>2171</v>
      </c>
    </row>
    <row r="136" spans="1:23" hidden="1">
      <c r="A136" t="str">
        <f t="shared" si="2"/>
        <v>75*75-22/243.0190.5白AAA大机丝徐明彬</v>
      </c>
      <c r="B136" s="260" t="s">
        <v>2629</v>
      </c>
      <c r="C136" s="279" t="s">
        <v>1832</v>
      </c>
      <c r="D136" s="279" t="s">
        <v>285</v>
      </c>
      <c r="E136" s="279">
        <f>IF(ISNA(--VLOOKUP(A136,喷水import!A:D,4,FALSE)),0,--VLOOKUP(A136,喷水import!A:D,4,FALSE))</f>
        <v>15356</v>
      </c>
      <c r="F136" s="279">
        <f>IF(ISNA(--VLOOKUP(A136,喷水import!A:E,5,FALSE)),0,--VLOOKUP(A136,喷水import!A:E,5,FALSE))</f>
        <v>18</v>
      </c>
      <c r="G136" s="279" t="s">
        <v>612</v>
      </c>
      <c r="H136" s="279" t="s">
        <v>612</v>
      </c>
      <c r="I136" s="279" t="s">
        <v>399</v>
      </c>
      <c r="J136" s="279" t="s">
        <v>2183</v>
      </c>
      <c r="K136" s="279" t="s">
        <v>2180</v>
      </c>
      <c r="L136" s="279" t="s">
        <v>197</v>
      </c>
      <c r="M136" s="279" t="s">
        <v>2156</v>
      </c>
      <c r="N136" s="279" t="s">
        <v>2081</v>
      </c>
      <c r="O136" s="279" t="s">
        <v>2</v>
      </c>
      <c r="P136" s="279" t="s">
        <v>287</v>
      </c>
      <c r="Q136" s="279" t="s">
        <v>399</v>
      </c>
      <c r="R136" s="279" t="s">
        <v>399</v>
      </c>
      <c r="S136" s="279" t="s">
        <v>620</v>
      </c>
      <c r="T136" s="279" t="s">
        <v>2184</v>
      </c>
      <c r="U136" s="279" t="s">
        <v>1916</v>
      </c>
      <c r="V136" s="279" t="s">
        <v>2185</v>
      </c>
      <c r="W136" s="279" t="s">
        <v>2183</v>
      </c>
    </row>
    <row r="137" spans="1:23" hidden="1">
      <c r="A137" t="str">
        <f t="shared" si="2"/>
        <v>75*75-22/243.0190.5白AAA0厚康加工</v>
      </c>
      <c r="B137" s="260" t="s">
        <v>2629</v>
      </c>
      <c r="C137" s="279" t="s">
        <v>1832</v>
      </c>
      <c r="D137" s="279" t="s">
        <v>285</v>
      </c>
      <c r="E137" s="279">
        <f>IF(ISNA(--VLOOKUP(A137,喷水import!A:D,4,FALSE)),0,--VLOOKUP(A137,喷水import!A:D,4,FALSE))</f>
        <v>205553</v>
      </c>
      <c r="F137" s="279">
        <f>IF(ISNA(--VLOOKUP(A137,喷水import!A:E,5,FALSE)),0,--VLOOKUP(A137,喷水import!A:E,5,FALSE))</f>
        <v>240</v>
      </c>
      <c r="G137" s="279" t="s">
        <v>612</v>
      </c>
      <c r="H137" s="279" t="s">
        <v>612</v>
      </c>
      <c r="I137" s="279" t="s">
        <v>399</v>
      </c>
      <c r="J137" s="279" t="s">
        <v>2171</v>
      </c>
      <c r="K137" s="279" t="s">
        <v>2180</v>
      </c>
      <c r="L137" s="279" t="s">
        <v>197</v>
      </c>
      <c r="M137" s="279" t="s">
        <v>2156</v>
      </c>
      <c r="N137" s="279" t="s">
        <v>2081</v>
      </c>
      <c r="O137" s="279" t="s">
        <v>2</v>
      </c>
      <c r="P137" s="279" t="s">
        <v>287</v>
      </c>
      <c r="Q137" s="279" t="s">
        <v>399</v>
      </c>
      <c r="R137" s="279" t="s">
        <v>281</v>
      </c>
      <c r="S137" s="279" t="s">
        <v>620</v>
      </c>
      <c r="T137" s="279" t="s">
        <v>612</v>
      </c>
      <c r="U137" s="279" t="s">
        <v>2186</v>
      </c>
      <c r="V137" s="279" t="s">
        <v>2187</v>
      </c>
      <c r="W137" s="279" t="s">
        <v>2188</v>
      </c>
    </row>
    <row r="138" spans="1:23" hidden="1">
      <c r="A138" t="str">
        <f t="shared" si="2"/>
        <v>F/75/75/45/190.5/2/2/W/AA75*75-32/245.0190.5白AA0</v>
      </c>
      <c r="C138" s="279" t="s">
        <v>1832</v>
      </c>
      <c r="D138" s="279" t="s">
        <v>285</v>
      </c>
      <c r="E138" s="279">
        <f>IF(ISNA(--VLOOKUP(A138,喷水import!A:D,4,FALSE)),0,--VLOOKUP(A138,喷水import!A:D,4,FALSE))</f>
        <v>0</v>
      </c>
      <c r="F138" s="279">
        <f>IF(ISNA(--VLOOKUP(A138,喷水import!A:E,5,FALSE)),0,--VLOOKUP(A138,喷水import!A:E,5,FALSE))</f>
        <v>0</v>
      </c>
      <c r="G138" s="279" t="s">
        <v>612</v>
      </c>
      <c r="H138" s="279" t="s">
        <v>612</v>
      </c>
      <c r="I138" s="279" t="s">
        <v>2189</v>
      </c>
      <c r="J138" s="279" t="s">
        <v>630</v>
      </c>
      <c r="K138" s="279" t="s">
        <v>2190</v>
      </c>
      <c r="L138" s="279" t="s">
        <v>197</v>
      </c>
      <c r="M138" s="279" t="s">
        <v>2115</v>
      </c>
      <c r="N138" s="279" t="s">
        <v>2081</v>
      </c>
      <c r="O138" s="279" t="s">
        <v>2</v>
      </c>
      <c r="P138" s="279" t="s">
        <v>282</v>
      </c>
      <c r="Q138" s="279" t="s">
        <v>399</v>
      </c>
      <c r="R138" s="279" t="s">
        <v>399</v>
      </c>
      <c r="S138" s="279" t="s">
        <v>620</v>
      </c>
      <c r="T138" s="279" t="s">
        <v>612</v>
      </c>
      <c r="U138" s="279" t="s">
        <v>2088</v>
      </c>
      <c r="V138" s="279" t="s">
        <v>2191</v>
      </c>
      <c r="W138" s="279" t="s">
        <v>399</v>
      </c>
    </row>
    <row r="139" spans="1:23" hidden="1">
      <c r="A139" t="str">
        <f t="shared" si="2"/>
        <v>F/75/75/43/190.5/2/2/W/AA75*75-32/243.0190.5白AA01</v>
      </c>
      <c r="B139" s="260" t="s">
        <v>2629</v>
      </c>
      <c r="C139" s="279" t="s">
        <v>1832</v>
      </c>
      <c r="D139" s="279" t="s">
        <v>285</v>
      </c>
      <c r="E139" s="279">
        <f>IF(ISNA(--VLOOKUP(A139,喷水import!A:D,4,FALSE)),0,--VLOOKUP(A139,喷水import!A:D,4,FALSE))</f>
        <v>537</v>
      </c>
      <c r="F139" s="279">
        <f>IF(ISNA(--VLOOKUP(A139,喷水import!A:E,5,FALSE)),0,--VLOOKUP(A139,喷水import!A:E,5,FALSE))</f>
        <v>1</v>
      </c>
      <c r="G139" s="279" t="s">
        <v>612</v>
      </c>
      <c r="H139" s="279" t="s">
        <v>612</v>
      </c>
      <c r="I139" s="279" t="s">
        <v>2192</v>
      </c>
      <c r="J139" s="279" t="s">
        <v>630</v>
      </c>
      <c r="K139" s="279" t="s">
        <v>2190</v>
      </c>
      <c r="L139" s="279" t="s">
        <v>197</v>
      </c>
      <c r="M139" s="279" t="s">
        <v>2156</v>
      </c>
      <c r="N139" s="279" t="s">
        <v>2081</v>
      </c>
      <c r="O139" s="279" t="s">
        <v>2</v>
      </c>
      <c r="P139" s="279" t="s">
        <v>282</v>
      </c>
      <c r="Q139" s="279" t="s">
        <v>399</v>
      </c>
      <c r="R139" s="279" t="s">
        <v>399</v>
      </c>
      <c r="S139" s="279" t="s">
        <v>620</v>
      </c>
      <c r="T139" s="279" t="s">
        <v>612</v>
      </c>
      <c r="U139" s="279" t="s">
        <v>2022</v>
      </c>
      <c r="V139" s="279" t="s">
        <v>2193</v>
      </c>
      <c r="W139" s="279" t="s">
        <v>641</v>
      </c>
    </row>
    <row r="140" spans="1:23" hidden="1">
      <c r="A140" t="str">
        <f t="shared" si="2"/>
        <v>F/75/75/43/190.5/2/2/W/AAA75*75-32/243.0190.5白AAA01</v>
      </c>
      <c r="B140" s="260" t="s">
        <v>2629</v>
      </c>
      <c r="C140" s="279" t="s">
        <v>1832</v>
      </c>
      <c r="D140" s="279" t="s">
        <v>285</v>
      </c>
      <c r="E140" s="279">
        <f>IF(ISNA(--VLOOKUP(A140,喷水import!A:D,4,FALSE)),0,--VLOOKUP(A140,喷水import!A:D,4,FALSE))</f>
        <v>13895</v>
      </c>
      <c r="F140" s="279">
        <f>IF(ISNA(--VLOOKUP(A140,喷水import!A:E,5,FALSE)),0,--VLOOKUP(A140,喷水import!A:E,5,FALSE))</f>
        <v>17</v>
      </c>
      <c r="G140" s="279" t="s">
        <v>612</v>
      </c>
      <c r="H140" s="279" t="s">
        <v>612</v>
      </c>
      <c r="I140" s="279" t="s">
        <v>2194</v>
      </c>
      <c r="J140" s="279" t="s">
        <v>630</v>
      </c>
      <c r="K140" s="279" t="s">
        <v>2190</v>
      </c>
      <c r="L140" s="279" t="s">
        <v>197</v>
      </c>
      <c r="M140" s="279" t="s">
        <v>2156</v>
      </c>
      <c r="N140" s="279" t="s">
        <v>2081</v>
      </c>
      <c r="O140" s="279" t="s">
        <v>2</v>
      </c>
      <c r="P140" s="279" t="s">
        <v>287</v>
      </c>
      <c r="Q140" s="279" t="s">
        <v>399</v>
      </c>
      <c r="R140" s="279" t="s">
        <v>399</v>
      </c>
      <c r="S140" s="279" t="s">
        <v>620</v>
      </c>
      <c r="T140" s="279" t="s">
        <v>612</v>
      </c>
      <c r="U140" s="279" t="s">
        <v>2022</v>
      </c>
      <c r="V140" s="279" t="s">
        <v>2423</v>
      </c>
      <c r="W140" s="279" t="s">
        <v>641</v>
      </c>
    </row>
    <row r="141" spans="1:23" hidden="1">
      <c r="A141" t="str">
        <f t="shared" si="2"/>
        <v>F/75/75/45/190.5/2/2/W/AAA75*75-32/245.0190.5白AAA0</v>
      </c>
      <c r="C141" s="279" t="s">
        <v>1832</v>
      </c>
      <c r="D141" s="279" t="s">
        <v>285</v>
      </c>
      <c r="E141" s="279">
        <f>IF(ISNA(--VLOOKUP(A141,喷水import!A:D,4,FALSE)),0,--VLOOKUP(A141,喷水import!A:D,4,FALSE))</f>
        <v>7573</v>
      </c>
      <c r="F141" s="279">
        <f>IF(ISNA(--VLOOKUP(A141,喷水import!A:E,5,FALSE)),0,--VLOOKUP(A141,喷水import!A:E,5,FALSE))</f>
        <v>9</v>
      </c>
      <c r="G141" s="279" t="s">
        <v>612</v>
      </c>
      <c r="H141" s="279" t="s">
        <v>612</v>
      </c>
      <c r="I141" s="279" t="s">
        <v>2195</v>
      </c>
      <c r="J141" s="279" t="s">
        <v>641</v>
      </c>
      <c r="K141" s="279" t="s">
        <v>2190</v>
      </c>
      <c r="L141" s="279" t="s">
        <v>197</v>
      </c>
      <c r="M141" s="279" t="s">
        <v>2115</v>
      </c>
      <c r="N141" s="279" t="s">
        <v>2081</v>
      </c>
      <c r="O141" s="279" t="s">
        <v>2</v>
      </c>
      <c r="P141" s="279" t="s">
        <v>287</v>
      </c>
      <c r="Q141" s="279" t="s">
        <v>399</v>
      </c>
      <c r="R141" s="279" t="s">
        <v>399</v>
      </c>
      <c r="S141" s="279" t="s">
        <v>620</v>
      </c>
      <c r="T141" s="279" t="s">
        <v>612</v>
      </c>
      <c r="U141" s="279" t="s">
        <v>2088</v>
      </c>
      <c r="V141" s="279" t="s">
        <v>2196</v>
      </c>
      <c r="W141" s="279" t="s">
        <v>399</v>
      </c>
    </row>
    <row r="142" spans="1:23" hidden="1">
      <c r="A142" t="str">
        <f t="shared" si="2"/>
        <v>F/75/75/43/190.5/2/2/W/AAA75*75-42/243.0190.5白AAA01</v>
      </c>
      <c r="B142" s="260" t="s">
        <v>2629</v>
      </c>
      <c r="C142" s="279" t="s">
        <v>1832</v>
      </c>
      <c r="D142" s="279" t="s">
        <v>285</v>
      </c>
      <c r="E142" s="279">
        <f>IF(ISNA(--VLOOKUP(A142,喷水import!A:D,4,FALSE)),0,--VLOOKUP(A142,喷水import!A:D,4,FALSE))</f>
        <v>8300</v>
      </c>
      <c r="F142" s="279">
        <f>IF(ISNA(--VLOOKUP(A142,喷水import!A:E,5,FALSE)),0,--VLOOKUP(A142,喷水import!A:E,5,FALSE))</f>
        <v>10</v>
      </c>
      <c r="G142" s="279" t="s">
        <v>612</v>
      </c>
      <c r="H142" s="279" t="s">
        <v>612</v>
      </c>
      <c r="I142" s="279" t="s">
        <v>2194</v>
      </c>
      <c r="J142" s="279" t="s">
        <v>630</v>
      </c>
      <c r="K142" s="279" t="s">
        <v>2425</v>
      </c>
      <c r="L142" s="279" t="s">
        <v>197</v>
      </c>
      <c r="M142" s="279" t="s">
        <v>2156</v>
      </c>
      <c r="N142" s="279" t="s">
        <v>2081</v>
      </c>
      <c r="O142" s="279" t="s">
        <v>2</v>
      </c>
      <c r="P142" s="279" t="s">
        <v>287</v>
      </c>
      <c r="Q142" s="279" t="s">
        <v>399</v>
      </c>
      <c r="R142" s="279" t="s">
        <v>399</v>
      </c>
      <c r="S142" s="279" t="s">
        <v>620</v>
      </c>
      <c r="T142" s="279" t="s">
        <v>612</v>
      </c>
      <c r="U142" s="279" t="s">
        <v>2139</v>
      </c>
      <c r="V142" s="279" t="s">
        <v>2424</v>
      </c>
      <c r="W142" s="279" t="s">
        <v>641</v>
      </c>
    </row>
    <row r="143" spans="1:23" hidden="1">
      <c r="A143" t="str">
        <f t="shared" si="2"/>
        <v>F/75/75/43/190.5/2/2/W/AAA75*75-52/243.0190.5白AAA01</v>
      </c>
      <c r="B143" s="260" t="s">
        <v>2629</v>
      </c>
      <c r="C143" s="279" t="s">
        <v>1832</v>
      </c>
      <c r="D143" s="279" t="s">
        <v>285</v>
      </c>
      <c r="E143" s="279">
        <f>IF(ISNA(--VLOOKUP(A143,喷水import!A:D,4,FALSE)),0,--VLOOKUP(A143,喷水import!A:D,4,FALSE))</f>
        <v>843</v>
      </c>
      <c r="F143" s="279">
        <f>IF(ISNA(--VLOOKUP(A143,喷水import!A:E,5,FALSE)),0,--VLOOKUP(A143,喷水import!A:E,5,FALSE))</f>
        <v>1</v>
      </c>
      <c r="G143" s="279" t="s">
        <v>612</v>
      </c>
      <c r="H143" s="279" t="s">
        <v>612</v>
      </c>
      <c r="I143" s="279" t="s">
        <v>2194</v>
      </c>
      <c r="J143" s="279" t="s">
        <v>630</v>
      </c>
      <c r="K143" s="279" t="s">
        <v>2198</v>
      </c>
      <c r="L143" s="279" t="s">
        <v>197</v>
      </c>
      <c r="M143" s="279" t="s">
        <v>2156</v>
      </c>
      <c r="N143" s="279" t="s">
        <v>2081</v>
      </c>
      <c r="O143" s="279" t="s">
        <v>2</v>
      </c>
      <c r="P143" s="279" t="s">
        <v>287</v>
      </c>
      <c r="Q143" s="279" t="s">
        <v>399</v>
      </c>
      <c r="R143" s="279" t="s">
        <v>399</v>
      </c>
      <c r="S143" s="279" t="s">
        <v>620</v>
      </c>
      <c r="T143" s="279" t="s">
        <v>612</v>
      </c>
      <c r="U143" s="279" t="s">
        <v>2199</v>
      </c>
      <c r="V143" s="279" t="s">
        <v>2200</v>
      </c>
      <c r="W143" s="279" t="s">
        <v>641</v>
      </c>
    </row>
    <row r="144" spans="1:23" hidden="1">
      <c r="A144" t="str">
        <f t="shared" si="2"/>
        <v>F/75/75/43/190.5/2/2/W/AA75*75-52/243.0190.5白AA01</v>
      </c>
      <c r="B144" s="260" t="s">
        <v>2629</v>
      </c>
      <c r="C144" s="279" t="s">
        <v>1832</v>
      </c>
      <c r="D144" s="279" t="s">
        <v>285</v>
      </c>
      <c r="E144" s="279">
        <f>IF(ISNA(--VLOOKUP(A144,喷水import!A:D,4,FALSE)),0,--VLOOKUP(A144,喷水import!A:D,4,FALSE))</f>
        <v>763</v>
      </c>
      <c r="F144" s="279">
        <f>IF(ISNA(--VLOOKUP(A144,喷水import!A:E,5,FALSE)),0,--VLOOKUP(A144,喷水import!A:E,5,FALSE))</f>
        <v>1</v>
      </c>
      <c r="G144" s="279" t="s">
        <v>612</v>
      </c>
      <c r="H144" s="279" t="s">
        <v>612</v>
      </c>
      <c r="I144" s="279" t="s">
        <v>2192</v>
      </c>
      <c r="J144" s="279" t="s">
        <v>630</v>
      </c>
      <c r="K144" s="279" t="s">
        <v>2198</v>
      </c>
      <c r="L144" s="279" t="s">
        <v>197</v>
      </c>
      <c r="M144" s="279" t="s">
        <v>2156</v>
      </c>
      <c r="N144" s="279" t="s">
        <v>2081</v>
      </c>
      <c r="O144" s="279" t="s">
        <v>2</v>
      </c>
      <c r="P144" s="279" t="s">
        <v>282</v>
      </c>
      <c r="Q144" s="279" t="s">
        <v>399</v>
      </c>
      <c r="R144" s="279" t="s">
        <v>399</v>
      </c>
      <c r="S144" s="279" t="s">
        <v>620</v>
      </c>
      <c r="T144" s="279" t="s">
        <v>612</v>
      </c>
      <c r="U144" s="279" t="s">
        <v>2199</v>
      </c>
      <c r="V144" s="279" t="s">
        <v>2202</v>
      </c>
      <c r="W144" s="279" t="s">
        <v>641</v>
      </c>
    </row>
    <row r="145" spans="1:23" hidden="1">
      <c r="A145" t="str">
        <f t="shared" si="2"/>
        <v>75*75-62/243.0190.5白AAA小机丝徐明彬</v>
      </c>
      <c r="B145" s="260" t="s">
        <v>2629</v>
      </c>
      <c r="C145" s="279" t="s">
        <v>1832</v>
      </c>
      <c r="D145" s="279" t="s">
        <v>285</v>
      </c>
      <c r="E145" s="279">
        <f>IF(ISNA(--VLOOKUP(A145,喷水import!A:D,4,FALSE)),0,--VLOOKUP(A145,喷水import!A:D,4,FALSE))</f>
        <v>0</v>
      </c>
      <c r="F145" s="279">
        <f>IF(ISNA(--VLOOKUP(A145,喷水import!A:E,5,FALSE)),0,--VLOOKUP(A145,喷水import!A:E,5,FALSE))</f>
        <v>0</v>
      </c>
      <c r="G145" s="279" t="s">
        <v>612</v>
      </c>
      <c r="H145" s="279" t="s">
        <v>612</v>
      </c>
      <c r="I145" s="279" t="s">
        <v>399</v>
      </c>
      <c r="J145" s="279" t="s">
        <v>2183</v>
      </c>
      <c r="K145" s="279" t="s">
        <v>2203</v>
      </c>
      <c r="L145" s="279" t="s">
        <v>197</v>
      </c>
      <c r="M145" s="279" t="s">
        <v>2156</v>
      </c>
      <c r="N145" s="279" t="s">
        <v>2081</v>
      </c>
      <c r="O145" s="279" t="s">
        <v>2</v>
      </c>
      <c r="P145" s="279" t="s">
        <v>287</v>
      </c>
      <c r="Q145" s="279" t="s">
        <v>399</v>
      </c>
      <c r="R145" s="279" t="s">
        <v>399</v>
      </c>
      <c r="S145" s="279" t="s">
        <v>612</v>
      </c>
      <c r="T145" s="279" t="s">
        <v>2204</v>
      </c>
      <c r="U145" s="279" t="s">
        <v>1939</v>
      </c>
      <c r="V145" s="279" t="s">
        <v>2205</v>
      </c>
      <c r="W145" s="279" t="s">
        <v>2183</v>
      </c>
    </row>
    <row r="146" spans="1:23" hidden="1">
      <c r="A146" t="str">
        <f t="shared" si="2"/>
        <v>次布烘干00.00白A0次布烘干</v>
      </c>
      <c r="C146" s="279" t="s">
        <v>1832</v>
      </c>
      <c r="D146" s="279" t="s">
        <v>285</v>
      </c>
      <c r="E146" s="279">
        <f>IF(ISNA(--VLOOKUP(A146,喷水import!A:D,4,FALSE)),0,--VLOOKUP(A146,喷水import!A:D,4,FALSE))</f>
        <v>2060</v>
      </c>
      <c r="F146" s="279">
        <f>IF(ISNA(--VLOOKUP(A146,喷水import!A:E,5,FALSE)),0,--VLOOKUP(A146,喷水import!A:E,5,FALSE))</f>
        <v>6</v>
      </c>
      <c r="G146" s="279" t="s">
        <v>612</v>
      </c>
      <c r="H146" s="279" t="s">
        <v>612</v>
      </c>
      <c r="I146" s="279" t="s">
        <v>399</v>
      </c>
      <c r="J146" s="279" t="s">
        <v>641</v>
      </c>
      <c r="K146" s="279" t="s">
        <v>2207</v>
      </c>
      <c r="L146" s="279" t="s">
        <v>612</v>
      </c>
      <c r="M146" s="279" t="s">
        <v>1983</v>
      </c>
      <c r="N146" s="279" t="s">
        <v>612</v>
      </c>
      <c r="O146" s="279" t="s">
        <v>2</v>
      </c>
      <c r="P146" s="279" t="s">
        <v>281</v>
      </c>
      <c r="Q146" s="279" t="s">
        <v>399</v>
      </c>
      <c r="R146" s="279" t="s">
        <v>399</v>
      </c>
      <c r="S146" s="279" t="s">
        <v>612</v>
      </c>
      <c r="T146" s="279" t="s">
        <v>612</v>
      </c>
      <c r="U146" s="279" t="s">
        <v>1983</v>
      </c>
      <c r="V146" s="279" t="s">
        <v>612</v>
      </c>
      <c r="W146" s="279" t="s">
        <v>2207</v>
      </c>
    </row>
    <row r="147" spans="1:23" hidden="1">
      <c r="A147" t="str">
        <f t="shared" si="2"/>
        <v>次布烘干00.00黑A0次布烘干</v>
      </c>
      <c r="C147" s="279" t="s">
        <v>1832</v>
      </c>
      <c r="D147" s="279" t="s">
        <v>285</v>
      </c>
      <c r="E147" s="279">
        <f>IF(ISNA(--VLOOKUP(A147,喷水import!A:D,4,FALSE)),0,--VLOOKUP(A147,喷水import!A:D,4,FALSE))</f>
        <v>3325</v>
      </c>
      <c r="F147" s="279">
        <f>IF(ISNA(--VLOOKUP(A147,喷水import!A:E,5,FALSE)),0,--VLOOKUP(A147,喷水import!A:E,5,FALSE))</f>
        <v>18</v>
      </c>
      <c r="G147" s="279" t="s">
        <v>612</v>
      </c>
      <c r="H147" s="279" t="s">
        <v>612</v>
      </c>
      <c r="I147" s="279" t="s">
        <v>399</v>
      </c>
      <c r="J147" s="279" t="s">
        <v>641</v>
      </c>
      <c r="K147" s="279" t="s">
        <v>2207</v>
      </c>
      <c r="L147" s="279" t="s">
        <v>612</v>
      </c>
      <c r="M147" s="279" t="s">
        <v>1983</v>
      </c>
      <c r="N147" s="279" t="s">
        <v>612</v>
      </c>
      <c r="O147" s="279" t="s">
        <v>1</v>
      </c>
      <c r="P147" s="279" t="s">
        <v>281</v>
      </c>
      <c r="Q147" s="279" t="s">
        <v>399</v>
      </c>
      <c r="R147" s="279" t="s">
        <v>399</v>
      </c>
      <c r="S147" s="279" t="s">
        <v>612</v>
      </c>
      <c r="T147" s="279" t="s">
        <v>612</v>
      </c>
      <c r="U147" s="279" t="s">
        <v>399</v>
      </c>
      <c r="V147" s="279" t="s">
        <v>612</v>
      </c>
      <c r="W147" s="279" t="s">
        <v>2207</v>
      </c>
    </row>
  </sheetData>
  <autoFilter ref="A1:W147">
    <filterColumn colId="12">
      <filters>
        <filter val="82.0"/>
      </filters>
    </filterColumn>
    <filterColumn colId="13">
      <filters>
        <filter val="188"/>
      </filters>
    </filterColumn>
  </autoFilter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21"/>
  <dimension ref="A1:W219"/>
  <sheetViews>
    <sheetView topLeftCell="B133" workbookViewId="0">
      <selection activeCell="B1" sqref="B1:V168"/>
    </sheetView>
  </sheetViews>
  <sheetFormatPr defaultRowHeight="13.5"/>
  <cols>
    <col min="1" max="1" width="30.25" hidden="1" customWidth="1"/>
    <col min="2" max="2" width="14.125" bestFit="1" customWidth="1"/>
    <col min="3" max="3" width="9.375" bestFit="1" customWidth="1"/>
    <col min="4" max="7" width="9.5" bestFit="1" customWidth="1"/>
    <col min="8" max="8" width="30.5" bestFit="1" customWidth="1"/>
    <col min="9" max="9" width="12.125" bestFit="1" customWidth="1"/>
    <col min="10" max="10" width="9.5" bestFit="1" customWidth="1"/>
    <col min="11" max="11" width="5.5" bestFit="1" customWidth="1"/>
    <col min="12" max="13" width="6.5" bestFit="1" customWidth="1"/>
    <col min="14" max="14" width="5.5" bestFit="1" customWidth="1"/>
    <col min="15" max="15" width="6.5" bestFit="1" customWidth="1"/>
    <col min="16" max="16" width="9.5" bestFit="1" customWidth="1"/>
    <col min="17" max="17" width="7.5" bestFit="1" customWidth="1"/>
    <col min="18" max="19" width="9.5" bestFit="1" customWidth="1"/>
    <col min="20" max="20" width="5.5" bestFit="1" customWidth="1"/>
    <col min="21" max="21" width="10.5" bestFit="1" customWidth="1"/>
    <col min="22" max="22" width="13" bestFit="1" customWidth="1"/>
  </cols>
  <sheetData>
    <row r="1" spans="1:23" ht="15">
      <c r="B1" s="372" t="s">
        <v>260</v>
      </c>
      <c r="C1" s="372" t="s">
        <v>261</v>
      </c>
      <c r="D1" s="372" t="s">
        <v>262</v>
      </c>
      <c r="E1" s="372" t="s">
        <v>263</v>
      </c>
      <c r="F1" s="372" t="s">
        <v>264</v>
      </c>
      <c r="G1" s="372" t="s">
        <v>265</v>
      </c>
      <c r="H1" s="372" t="s">
        <v>266</v>
      </c>
      <c r="I1" s="372" t="s">
        <v>1829</v>
      </c>
      <c r="J1" s="372" t="s">
        <v>1830</v>
      </c>
      <c r="K1" s="372" t="s">
        <v>268</v>
      </c>
      <c r="L1" s="372" t="s">
        <v>271</v>
      </c>
      <c r="M1" s="372" t="s">
        <v>269</v>
      </c>
      <c r="N1" s="372" t="s">
        <v>124</v>
      </c>
      <c r="O1" s="372" t="s">
        <v>272</v>
      </c>
      <c r="P1" s="372" t="s">
        <v>126</v>
      </c>
      <c r="Q1" s="372" t="s">
        <v>270</v>
      </c>
      <c r="R1" s="372" t="s">
        <v>1831</v>
      </c>
      <c r="S1" s="372" t="s">
        <v>273</v>
      </c>
      <c r="T1" s="372" t="s">
        <v>274</v>
      </c>
      <c r="U1" s="372" t="s">
        <v>275</v>
      </c>
      <c r="V1" s="372" t="s">
        <v>276</v>
      </c>
    </row>
    <row r="2" spans="1:23">
      <c r="A2" t="str">
        <f>H2&amp;J2&amp;K2&amp;L2&amp;M2&amp;N2&amp;O2&amp;S2&amp;V2</f>
        <v>F/100/100/54/188/1/1/W/AAA100*1001/154.0188白AAA2</v>
      </c>
      <c r="B2" s="371" t="s">
        <v>1832</v>
      </c>
      <c r="C2" s="371" t="s">
        <v>285</v>
      </c>
      <c r="D2" s="371" t="s">
        <v>2630</v>
      </c>
      <c r="E2" s="371" t="s">
        <v>625</v>
      </c>
      <c r="F2" s="371" t="s">
        <v>612</v>
      </c>
      <c r="G2" s="371" t="s">
        <v>612</v>
      </c>
      <c r="H2" s="371" t="s">
        <v>1833</v>
      </c>
      <c r="I2" s="371" t="s">
        <v>641</v>
      </c>
      <c r="J2" s="371" t="s">
        <v>213</v>
      </c>
      <c r="K2" s="371" t="s">
        <v>1110</v>
      </c>
      <c r="L2" s="371" t="s">
        <v>1834</v>
      </c>
      <c r="M2" s="371" t="s">
        <v>1835</v>
      </c>
      <c r="N2" s="371" t="s">
        <v>2</v>
      </c>
      <c r="O2" s="371" t="s">
        <v>287</v>
      </c>
      <c r="P2" s="371" t="s">
        <v>399</v>
      </c>
      <c r="Q2" s="371" t="s">
        <v>399</v>
      </c>
      <c r="R2" s="371" t="s">
        <v>620</v>
      </c>
      <c r="S2" s="371" t="s">
        <v>620</v>
      </c>
      <c r="T2" s="371" t="s">
        <v>1836</v>
      </c>
      <c r="U2" s="371" t="s">
        <v>2631</v>
      </c>
      <c r="V2" s="371" t="s">
        <v>399</v>
      </c>
      <c r="W2">
        <f>COUNTIF(A$2:A2,A2)</f>
        <v>1</v>
      </c>
    </row>
    <row r="3" spans="1:23">
      <c r="A3" t="str">
        <f t="shared" ref="A3:A66" si="0">H3&amp;J3&amp;K3&amp;L3&amp;M3&amp;N3&amp;O3&amp;S3&amp;V3</f>
        <v>F/100/200/78/188/3/1/B/AAA100*2003/178.0188黑AAA0</v>
      </c>
      <c r="B3" s="371" t="s">
        <v>1832</v>
      </c>
      <c r="C3" s="371" t="s">
        <v>285</v>
      </c>
      <c r="D3" s="371" t="s">
        <v>3034</v>
      </c>
      <c r="E3" s="371" t="s">
        <v>629</v>
      </c>
      <c r="F3" s="371" t="s">
        <v>612</v>
      </c>
      <c r="G3" s="371" t="s">
        <v>612</v>
      </c>
      <c r="H3" s="371" t="s">
        <v>1838</v>
      </c>
      <c r="I3" s="371" t="s">
        <v>641</v>
      </c>
      <c r="J3" s="371" t="s">
        <v>215</v>
      </c>
      <c r="K3" s="371" t="s">
        <v>200</v>
      </c>
      <c r="L3" s="371" t="s">
        <v>1839</v>
      </c>
      <c r="M3" s="371" t="s">
        <v>1835</v>
      </c>
      <c r="N3" s="371" t="s">
        <v>1</v>
      </c>
      <c r="O3" s="371" t="s">
        <v>287</v>
      </c>
      <c r="P3" s="371" t="s">
        <v>399</v>
      </c>
      <c r="Q3" s="371" t="s">
        <v>399</v>
      </c>
      <c r="R3" s="371" t="s">
        <v>620</v>
      </c>
      <c r="S3" s="371" t="s">
        <v>612</v>
      </c>
      <c r="T3" s="371" t="s">
        <v>1840</v>
      </c>
      <c r="U3" s="371" t="s">
        <v>3035</v>
      </c>
      <c r="V3" s="371" t="s">
        <v>399</v>
      </c>
      <c r="W3">
        <f>COUNTIF(A$2:A3,A3)</f>
        <v>1</v>
      </c>
    </row>
    <row r="4" spans="1:23">
      <c r="A4" t="str">
        <f t="shared" si="0"/>
        <v>F/100/200/78/188/3/1/W/AAA100*2003/178.0188白AAA01</v>
      </c>
      <c r="B4" s="371" t="s">
        <v>1832</v>
      </c>
      <c r="C4" s="371" t="s">
        <v>285</v>
      </c>
      <c r="D4" s="371" t="s">
        <v>2632</v>
      </c>
      <c r="E4" s="371" t="s">
        <v>1662</v>
      </c>
      <c r="F4" s="371" t="s">
        <v>612</v>
      </c>
      <c r="G4" s="371" t="s">
        <v>612</v>
      </c>
      <c r="H4" s="371" t="s">
        <v>1842</v>
      </c>
      <c r="I4" s="371" t="s">
        <v>641</v>
      </c>
      <c r="J4" s="371" t="s">
        <v>215</v>
      </c>
      <c r="K4" s="371" t="s">
        <v>200</v>
      </c>
      <c r="L4" s="371" t="s">
        <v>1839</v>
      </c>
      <c r="M4" s="371" t="s">
        <v>1835</v>
      </c>
      <c r="N4" s="371" t="s">
        <v>2</v>
      </c>
      <c r="O4" s="371" t="s">
        <v>287</v>
      </c>
      <c r="P4" s="371" t="s">
        <v>399</v>
      </c>
      <c r="Q4" s="371" t="s">
        <v>399</v>
      </c>
      <c r="R4" s="371" t="s">
        <v>620</v>
      </c>
      <c r="S4" s="371" t="s">
        <v>612</v>
      </c>
      <c r="T4" s="371" t="s">
        <v>1843</v>
      </c>
      <c r="U4" s="371" t="s">
        <v>2633</v>
      </c>
      <c r="V4" s="371" t="s">
        <v>641</v>
      </c>
      <c r="W4">
        <f>COUNTIF(A$2:A4,A4)</f>
        <v>1</v>
      </c>
    </row>
    <row r="5" spans="1:23">
      <c r="A5" t="str">
        <f t="shared" si="0"/>
        <v>F/100/300/82/188/3/1/W/AAA100*3003/182.0188白AAA21</v>
      </c>
      <c r="B5" s="371" t="s">
        <v>1832</v>
      </c>
      <c r="C5" s="371" t="s">
        <v>285</v>
      </c>
      <c r="D5" s="371" t="s">
        <v>3036</v>
      </c>
      <c r="E5" s="371" t="s">
        <v>2009</v>
      </c>
      <c r="F5" s="371" t="s">
        <v>612</v>
      </c>
      <c r="G5" s="371" t="s">
        <v>612</v>
      </c>
      <c r="H5" s="371" t="s">
        <v>1845</v>
      </c>
      <c r="I5" s="371" t="s">
        <v>641</v>
      </c>
      <c r="J5" s="371" t="s">
        <v>216</v>
      </c>
      <c r="K5" s="371" t="s">
        <v>200</v>
      </c>
      <c r="L5" s="371" t="s">
        <v>1846</v>
      </c>
      <c r="M5" s="371" t="s">
        <v>1835</v>
      </c>
      <c r="N5" s="371" t="s">
        <v>2</v>
      </c>
      <c r="O5" s="371" t="s">
        <v>287</v>
      </c>
      <c r="P5" s="371" t="s">
        <v>399</v>
      </c>
      <c r="Q5" s="371" t="s">
        <v>399</v>
      </c>
      <c r="R5" s="371" t="s">
        <v>620</v>
      </c>
      <c r="S5" s="371" t="s">
        <v>620</v>
      </c>
      <c r="T5" s="371" t="s">
        <v>1847</v>
      </c>
      <c r="U5" s="371" t="s">
        <v>3037</v>
      </c>
      <c r="V5" s="371" t="s">
        <v>641</v>
      </c>
      <c r="W5">
        <f>COUNTIF(A$2:A5,A5)</f>
        <v>1</v>
      </c>
    </row>
    <row r="6" spans="1:23">
      <c r="A6" t="str">
        <f t="shared" si="0"/>
        <v>F/100/300/96/188/3/1/B/AAA100*3003/196.0188黑AAA01</v>
      </c>
      <c r="B6" s="371" t="s">
        <v>1832</v>
      </c>
      <c r="C6" s="371" t="s">
        <v>285</v>
      </c>
      <c r="D6" s="371" t="s">
        <v>3038</v>
      </c>
      <c r="E6" s="371" t="s">
        <v>688</v>
      </c>
      <c r="F6" s="371" t="s">
        <v>612</v>
      </c>
      <c r="G6" s="371" t="s">
        <v>612</v>
      </c>
      <c r="H6" s="371" t="s">
        <v>2359</v>
      </c>
      <c r="I6" s="371" t="s">
        <v>641</v>
      </c>
      <c r="J6" s="371" t="s">
        <v>216</v>
      </c>
      <c r="K6" s="371" t="s">
        <v>200</v>
      </c>
      <c r="L6" s="371" t="s">
        <v>1856</v>
      </c>
      <c r="M6" s="371" t="s">
        <v>1835</v>
      </c>
      <c r="N6" s="371" t="s">
        <v>1</v>
      </c>
      <c r="O6" s="371" t="s">
        <v>287</v>
      </c>
      <c r="P6" s="371" t="s">
        <v>399</v>
      </c>
      <c r="Q6" s="371" t="s">
        <v>399</v>
      </c>
      <c r="R6" s="371" t="s">
        <v>620</v>
      </c>
      <c r="S6" s="371" t="s">
        <v>612</v>
      </c>
      <c r="T6" s="371" t="s">
        <v>2360</v>
      </c>
      <c r="U6" s="371" t="s">
        <v>3039</v>
      </c>
      <c r="V6" s="371" t="s">
        <v>641</v>
      </c>
      <c r="W6">
        <f>COUNTIF(A$2:A6,A6)</f>
        <v>1</v>
      </c>
    </row>
    <row r="7" spans="1:23">
      <c r="A7" t="str">
        <f t="shared" si="0"/>
        <v>F/100/300/82/188/3/1/B/AAA100*3003/182.0188黑AAA01</v>
      </c>
      <c r="B7" s="371" t="s">
        <v>1832</v>
      </c>
      <c r="C7" s="371" t="s">
        <v>285</v>
      </c>
      <c r="D7" s="371" t="s">
        <v>2634</v>
      </c>
      <c r="E7" s="371" t="s">
        <v>719</v>
      </c>
      <c r="F7" s="371" t="s">
        <v>612</v>
      </c>
      <c r="G7" s="371" t="s">
        <v>612</v>
      </c>
      <c r="H7" s="371" t="s">
        <v>1849</v>
      </c>
      <c r="I7" s="371" t="s">
        <v>641</v>
      </c>
      <c r="J7" s="371" t="s">
        <v>216</v>
      </c>
      <c r="K7" s="371" t="s">
        <v>200</v>
      </c>
      <c r="L7" s="371" t="s">
        <v>1846</v>
      </c>
      <c r="M7" s="371" t="s">
        <v>1835</v>
      </c>
      <c r="N7" s="371" t="s">
        <v>1</v>
      </c>
      <c r="O7" s="371" t="s">
        <v>287</v>
      </c>
      <c r="P7" s="371" t="s">
        <v>399</v>
      </c>
      <c r="Q7" s="371" t="s">
        <v>399</v>
      </c>
      <c r="R7" s="371" t="s">
        <v>620</v>
      </c>
      <c r="S7" s="371" t="s">
        <v>612</v>
      </c>
      <c r="T7" s="371" t="s">
        <v>1850</v>
      </c>
      <c r="U7" s="371" t="s">
        <v>2635</v>
      </c>
      <c r="V7" s="371" t="s">
        <v>641</v>
      </c>
      <c r="W7">
        <f>COUNTIF(A$2:A7,A7)</f>
        <v>1</v>
      </c>
    </row>
    <row r="8" spans="1:23">
      <c r="A8" t="str">
        <f t="shared" si="0"/>
        <v>F/100/300/86/188/3/1/W/AAA100*3003/186.0188白AAA21</v>
      </c>
      <c r="B8" s="371" t="s">
        <v>1832</v>
      </c>
      <c r="C8" s="371" t="s">
        <v>285</v>
      </c>
      <c r="D8" s="371" t="s">
        <v>2946</v>
      </c>
      <c r="E8" s="371" t="s">
        <v>690</v>
      </c>
      <c r="F8" s="371" t="s">
        <v>612</v>
      </c>
      <c r="G8" s="371" t="s">
        <v>612</v>
      </c>
      <c r="H8" s="371" t="s">
        <v>2362</v>
      </c>
      <c r="I8" s="371" t="s">
        <v>641</v>
      </c>
      <c r="J8" s="371" t="s">
        <v>216</v>
      </c>
      <c r="K8" s="371" t="s">
        <v>200</v>
      </c>
      <c r="L8" s="371" t="s">
        <v>1853</v>
      </c>
      <c r="M8" s="371" t="s">
        <v>1835</v>
      </c>
      <c r="N8" s="371" t="s">
        <v>2</v>
      </c>
      <c r="O8" s="371" t="s">
        <v>287</v>
      </c>
      <c r="P8" s="371" t="s">
        <v>399</v>
      </c>
      <c r="Q8" s="371" t="s">
        <v>399</v>
      </c>
      <c r="R8" s="371" t="s">
        <v>620</v>
      </c>
      <c r="S8" s="371" t="s">
        <v>620</v>
      </c>
      <c r="T8" s="371" t="s">
        <v>1922</v>
      </c>
      <c r="U8" s="371" t="s">
        <v>2947</v>
      </c>
      <c r="V8" s="371" t="s">
        <v>641</v>
      </c>
      <c r="W8">
        <f>COUNTIF(A$2:A8,A8)</f>
        <v>1</v>
      </c>
    </row>
    <row r="9" spans="1:23">
      <c r="A9" t="str">
        <f t="shared" si="0"/>
        <v>F/100/300/86/188/3/1/B/AAA100*3003/186.0188黑AAA01</v>
      </c>
      <c r="B9" s="371" t="s">
        <v>1832</v>
      </c>
      <c r="C9" s="371" t="s">
        <v>285</v>
      </c>
      <c r="D9" s="371" t="s">
        <v>2636</v>
      </c>
      <c r="E9" s="371" t="s">
        <v>641</v>
      </c>
      <c r="F9" s="371" t="s">
        <v>612</v>
      </c>
      <c r="G9" s="371" t="s">
        <v>612</v>
      </c>
      <c r="H9" s="371" t="s">
        <v>1852</v>
      </c>
      <c r="I9" s="371" t="s">
        <v>641</v>
      </c>
      <c r="J9" s="371" t="s">
        <v>216</v>
      </c>
      <c r="K9" s="371" t="s">
        <v>200</v>
      </c>
      <c r="L9" s="371" t="s">
        <v>1853</v>
      </c>
      <c r="M9" s="371" t="s">
        <v>1835</v>
      </c>
      <c r="N9" s="371" t="s">
        <v>1</v>
      </c>
      <c r="O9" s="371" t="s">
        <v>287</v>
      </c>
      <c r="P9" s="371" t="s">
        <v>399</v>
      </c>
      <c r="Q9" s="371" t="s">
        <v>399</v>
      </c>
      <c r="R9" s="371" t="s">
        <v>620</v>
      </c>
      <c r="S9" s="371" t="s">
        <v>612</v>
      </c>
      <c r="T9" s="371" t="s">
        <v>1854</v>
      </c>
      <c r="U9" s="371" t="s">
        <v>2637</v>
      </c>
      <c r="V9" s="371" t="s">
        <v>641</v>
      </c>
      <c r="W9">
        <f>COUNTIF(A$2:A9,A9)</f>
        <v>1</v>
      </c>
    </row>
    <row r="10" spans="1:23">
      <c r="A10" t="str">
        <f t="shared" si="0"/>
        <v>F/100/300/86/188/3/1/B/AAA100*3003/186.0188黑AAA01</v>
      </c>
      <c r="B10" s="371" t="s">
        <v>1832</v>
      </c>
      <c r="C10" s="371" t="s">
        <v>285</v>
      </c>
      <c r="D10" s="371" t="s">
        <v>3040</v>
      </c>
      <c r="E10" s="371" t="s">
        <v>626</v>
      </c>
      <c r="F10" s="371" t="s">
        <v>612</v>
      </c>
      <c r="G10" s="371" t="s">
        <v>612</v>
      </c>
      <c r="H10" s="371" t="s">
        <v>1852</v>
      </c>
      <c r="I10" s="371" t="s">
        <v>641</v>
      </c>
      <c r="J10" s="371" t="s">
        <v>216</v>
      </c>
      <c r="K10" s="371" t="s">
        <v>200</v>
      </c>
      <c r="L10" s="371" t="s">
        <v>1853</v>
      </c>
      <c r="M10" s="371" t="s">
        <v>1835</v>
      </c>
      <c r="N10" s="371" t="s">
        <v>1</v>
      </c>
      <c r="O10" s="371" t="s">
        <v>287</v>
      </c>
      <c r="P10" s="371" t="s">
        <v>399</v>
      </c>
      <c r="Q10" s="371" t="s">
        <v>399</v>
      </c>
      <c r="R10" s="371" t="s">
        <v>612</v>
      </c>
      <c r="S10" s="371" t="s">
        <v>612</v>
      </c>
      <c r="T10" s="371" t="s">
        <v>1843</v>
      </c>
      <c r="U10" s="371" t="s">
        <v>3041</v>
      </c>
      <c r="V10" s="371" t="s">
        <v>641</v>
      </c>
      <c r="W10">
        <f>COUNTIF(A$2:A10,A10)</f>
        <v>2</v>
      </c>
    </row>
    <row r="11" spans="1:23">
      <c r="A11" t="str">
        <f t="shared" si="0"/>
        <v>F/15/15/13/197/1/1/W/AAA15*151/113.0197白AAA21</v>
      </c>
      <c r="B11" s="371" t="s">
        <v>1832</v>
      </c>
      <c r="C11" s="371" t="s">
        <v>285</v>
      </c>
      <c r="D11" s="371" t="s">
        <v>2638</v>
      </c>
      <c r="E11" s="371" t="s">
        <v>651</v>
      </c>
      <c r="F11" s="371" t="s">
        <v>612</v>
      </c>
      <c r="G11" s="371" t="s">
        <v>612</v>
      </c>
      <c r="H11" s="371" t="s">
        <v>1859</v>
      </c>
      <c r="I11" s="371" t="s">
        <v>630</v>
      </c>
      <c r="J11" s="371" t="s">
        <v>194</v>
      </c>
      <c r="K11" s="371" t="s">
        <v>1110</v>
      </c>
      <c r="L11" s="371" t="s">
        <v>1860</v>
      </c>
      <c r="M11" s="371" t="s">
        <v>1861</v>
      </c>
      <c r="N11" s="371" t="s">
        <v>2</v>
      </c>
      <c r="O11" s="371" t="s">
        <v>287</v>
      </c>
      <c r="P11" s="371" t="s">
        <v>399</v>
      </c>
      <c r="Q11" s="371" t="s">
        <v>399</v>
      </c>
      <c r="R11" s="371" t="s">
        <v>620</v>
      </c>
      <c r="S11" s="371" t="s">
        <v>620</v>
      </c>
      <c r="T11" s="371" t="s">
        <v>1862</v>
      </c>
      <c r="U11" s="371" t="s">
        <v>2639</v>
      </c>
      <c r="V11" s="371" t="s">
        <v>641</v>
      </c>
      <c r="W11">
        <f>COUNTIF(A$2:A11,A11)</f>
        <v>1</v>
      </c>
    </row>
    <row r="12" spans="1:23">
      <c r="A12" t="str">
        <f t="shared" si="0"/>
        <v>F/15/15/13/197/1/1/W/AAAA15*151/113.0197白AAAA01</v>
      </c>
      <c r="B12" s="371" t="s">
        <v>1832</v>
      </c>
      <c r="C12" s="371" t="s">
        <v>285</v>
      </c>
      <c r="D12" s="371" t="s">
        <v>1863</v>
      </c>
      <c r="E12" s="371" t="s">
        <v>630</v>
      </c>
      <c r="F12" s="371" t="s">
        <v>612</v>
      </c>
      <c r="G12" s="371" t="s">
        <v>612</v>
      </c>
      <c r="H12" s="371" t="s">
        <v>1864</v>
      </c>
      <c r="I12" s="371" t="s">
        <v>630</v>
      </c>
      <c r="J12" s="371" t="s">
        <v>194</v>
      </c>
      <c r="K12" s="371" t="s">
        <v>1110</v>
      </c>
      <c r="L12" s="371" t="s">
        <v>1860</v>
      </c>
      <c r="M12" s="371" t="s">
        <v>1861</v>
      </c>
      <c r="N12" s="371" t="s">
        <v>2</v>
      </c>
      <c r="O12" s="371" t="s">
        <v>387</v>
      </c>
      <c r="P12" s="371" t="s">
        <v>399</v>
      </c>
      <c r="Q12" s="371" t="s">
        <v>399</v>
      </c>
      <c r="R12" s="371" t="s">
        <v>620</v>
      </c>
      <c r="S12" s="371" t="s">
        <v>612</v>
      </c>
      <c r="T12" s="371" t="s">
        <v>1862</v>
      </c>
      <c r="U12" s="371" t="s">
        <v>1865</v>
      </c>
      <c r="V12" s="371" t="s">
        <v>641</v>
      </c>
      <c r="W12">
        <f>COUNTIF(A$2:A12,A12)</f>
        <v>1</v>
      </c>
    </row>
    <row r="13" spans="1:23">
      <c r="A13" t="str">
        <f t="shared" si="0"/>
        <v>F/15/15/13/146/1/1/W/AA15*151/113.0146白AA21</v>
      </c>
      <c r="B13" s="371" t="s">
        <v>1832</v>
      </c>
      <c r="C13" s="371" t="s">
        <v>285</v>
      </c>
      <c r="D13" s="371" t="s">
        <v>2640</v>
      </c>
      <c r="E13" s="371" t="s">
        <v>641</v>
      </c>
      <c r="F13" s="371" t="s">
        <v>612</v>
      </c>
      <c r="G13" s="371" t="s">
        <v>612</v>
      </c>
      <c r="H13" s="371" t="s">
        <v>1872</v>
      </c>
      <c r="I13" s="371" t="s">
        <v>620</v>
      </c>
      <c r="J13" s="371" t="s">
        <v>194</v>
      </c>
      <c r="K13" s="371" t="s">
        <v>1110</v>
      </c>
      <c r="L13" s="371" t="s">
        <v>1860</v>
      </c>
      <c r="M13" s="371" t="s">
        <v>1867</v>
      </c>
      <c r="N13" s="371" t="s">
        <v>2</v>
      </c>
      <c r="O13" s="371" t="s">
        <v>282</v>
      </c>
      <c r="P13" s="371" t="s">
        <v>399</v>
      </c>
      <c r="Q13" s="371" t="s">
        <v>399</v>
      </c>
      <c r="R13" s="371" t="s">
        <v>620</v>
      </c>
      <c r="S13" s="371" t="s">
        <v>620</v>
      </c>
      <c r="T13" s="371" t="s">
        <v>1868</v>
      </c>
      <c r="U13" s="371" t="s">
        <v>2641</v>
      </c>
      <c r="V13" s="371" t="s">
        <v>641</v>
      </c>
      <c r="W13">
        <f>COUNTIF(A$2:A13,A13)</f>
        <v>1</v>
      </c>
    </row>
    <row r="14" spans="1:23">
      <c r="A14" t="str">
        <f t="shared" si="0"/>
        <v>F/15/15/13/146/1/1/W/AAA15*151/113.0146白AAA21</v>
      </c>
      <c r="B14" s="371" t="s">
        <v>1832</v>
      </c>
      <c r="C14" s="371" t="s">
        <v>285</v>
      </c>
      <c r="D14" s="371" t="s">
        <v>2642</v>
      </c>
      <c r="E14" s="371" t="s">
        <v>1607</v>
      </c>
      <c r="F14" s="371" t="s">
        <v>612</v>
      </c>
      <c r="G14" s="371" t="s">
        <v>612</v>
      </c>
      <c r="H14" s="371" t="s">
        <v>1866</v>
      </c>
      <c r="I14" s="371" t="s">
        <v>620</v>
      </c>
      <c r="J14" s="371" t="s">
        <v>194</v>
      </c>
      <c r="K14" s="371" t="s">
        <v>1110</v>
      </c>
      <c r="L14" s="371" t="s">
        <v>1860</v>
      </c>
      <c r="M14" s="371" t="s">
        <v>1867</v>
      </c>
      <c r="N14" s="371" t="s">
        <v>2</v>
      </c>
      <c r="O14" s="371" t="s">
        <v>287</v>
      </c>
      <c r="P14" s="371" t="s">
        <v>399</v>
      </c>
      <c r="Q14" s="371" t="s">
        <v>399</v>
      </c>
      <c r="R14" s="371" t="s">
        <v>620</v>
      </c>
      <c r="S14" s="371" t="s">
        <v>620</v>
      </c>
      <c r="T14" s="371" t="s">
        <v>1868</v>
      </c>
      <c r="U14" s="371" t="s">
        <v>2643</v>
      </c>
      <c r="V14" s="371" t="s">
        <v>641</v>
      </c>
      <c r="W14">
        <f>COUNTIF(A$2:A14,A14)</f>
        <v>1</v>
      </c>
    </row>
    <row r="15" spans="1:23">
      <c r="A15" t="str">
        <f t="shared" si="0"/>
        <v>15*151/113.0200白AAA烘干烘干打样</v>
      </c>
      <c r="B15" s="371" t="s">
        <v>1832</v>
      </c>
      <c r="C15" s="371" t="s">
        <v>285</v>
      </c>
      <c r="D15" s="371" t="s">
        <v>2644</v>
      </c>
      <c r="E15" s="371" t="s">
        <v>641</v>
      </c>
      <c r="F15" s="371" t="s">
        <v>612</v>
      </c>
      <c r="G15" s="371" t="s">
        <v>612</v>
      </c>
      <c r="H15" s="371" t="s">
        <v>399</v>
      </c>
      <c r="I15" s="371" t="s">
        <v>1875</v>
      </c>
      <c r="J15" s="371" t="s">
        <v>194</v>
      </c>
      <c r="K15" s="371" t="s">
        <v>1110</v>
      </c>
      <c r="L15" s="371" t="s">
        <v>1860</v>
      </c>
      <c r="M15" s="371" t="s">
        <v>1784</v>
      </c>
      <c r="N15" s="371" t="s">
        <v>2</v>
      </c>
      <c r="O15" s="371" t="s">
        <v>287</v>
      </c>
      <c r="P15" s="371" t="s">
        <v>399</v>
      </c>
      <c r="Q15" s="371" t="s">
        <v>281</v>
      </c>
      <c r="R15" s="371" t="s">
        <v>620</v>
      </c>
      <c r="S15" s="371" t="s">
        <v>1875</v>
      </c>
      <c r="T15" s="371" t="s">
        <v>2948</v>
      </c>
      <c r="U15" s="371" t="s">
        <v>2949</v>
      </c>
      <c r="V15" s="371" t="s">
        <v>2645</v>
      </c>
      <c r="W15">
        <f>COUNTIF(A$2:A15,A15)</f>
        <v>1</v>
      </c>
    </row>
    <row r="16" spans="1:23">
      <c r="A16" t="str">
        <f t="shared" si="0"/>
        <v>F/15/15/13/197/1/1/W/AA15*151/113.0197白AA01</v>
      </c>
      <c r="B16" s="371" t="s">
        <v>1832</v>
      </c>
      <c r="C16" s="371" t="s">
        <v>285</v>
      </c>
      <c r="D16" s="371" t="s">
        <v>2366</v>
      </c>
      <c r="E16" s="371" t="s">
        <v>2009</v>
      </c>
      <c r="F16" s="371" t="s">
        <v>612</v>
      </c>
      <c r="G16" s="371" t="s">
        <v>612</v>
      </c>
      <c r="H16" s="371" t="s">
        <v>1870</v>
      </c>
      <c r="I16" s="371" t="s">
        <v>630</v>
      </c>
      <c r="J16" s="371" t="s">
        <v>194</v>
      </c>
      <c r="K16" s="371" t="s">
        <v>1110</v>
      </c>
      <c r="L16" s="371" t="s">
        <v>1860</v>
      </c>
      <c r="M16" s="371" t="s">
        <v>1861</v>
      </c>
      <c r="N16" s="371" t="s">
        <v>2</v>
      </c>
      <c r="O16" s="371" t="s">
        <v>282</v>
      </c>
      <c r="P16" s="371" t="s">
        <v>399</v>
      </c>
      <c r="Q16" s="371" t="s">
        <v>399</v>
      </c>
      <c r="R16" s="371" t="s">
        <v>620</v>
      </c>
      <c r="S16" s="371" t="s">
        <v>612</v>
      </c>
      <c r="T16" s="371" t="s">
        <v>1862</v>
      </c>
      <c r="U16" s="371" t="s">
        <v>2367</v>
      </c>
      <c r="V16" s="371" t="s">
        <v>641</v>
      </c>
      <c r="W16">
        <f>COUNTIF(A$2:A16,A16)</f>
        <v>1</v>
      </c>
    </row>
    <row r="17" spans="1:23">
      <c r="A17" t="str">
        <f t="shared" si="0"/>
        <v>F/15/15/13/146/1/1/W/AA15*151/113.0146白AA0烘干</v>
      </c>
      <c r="B17" s="371" t="s">
        <v>1832</v>
      </c>
      <c r="C17" s="371" t="s">
        <v>285</v>
      </c>
      <c r="D17" s="371" t="s">
        <v>1871</v>
      </c>
      <c r="E17" s="371" t="s">
        <v>630</v>
      </c>
      <c r="F17" s="371" t="s">
        <v>612</v>
      </c>
      <c r="G17" s="371" t="s">
        <v>612</v>
      </c>
      <c r="H17" s="371" t="s">
        <v>1872</v>
      </c>
      <c r="I17" s="371" t="s">
        <v>1873</v>
      </c>
      <c r="J17" s="371" t="s">
        <v>194</v>
      </c>
      <c r="K17" s="371" t="s">
        <v>1110</v>
      </c>
      <c r="L17" s="371" t="s">
        <v>1860</v>
      </c>
      <c r="M17" s="371" t="s">
        <v>1867</v>
      </c>
      <c r="N17" s="371" t="s">
        <v>2</v>
      </c>
      <c r="O17" s="371" t="s">
        <v>282</v>
      </c>
      <c r="P17" s="371" t="s">
        <v>399</v>
      </c>
      <c r="Q17" s="371" t="s">
        <v>281</v>
      </c>
      <c r="R17" s="371" t="s">
        <v>620</v>
      </c>
      <c r="S17" s="371" t="s">
        <v>612</v>
      </c>
      <c r="T17" s="371" t="s">
        <v>1836</v>
      </c>
      <c r="U17" s="371" t="s">
        <v>1874</v>
      </c>
      <c r="V17" s="371" t="s">
        <v>1875</v>
      </c>
      <c r="W17">
        <f>COUNTIF(A$2:A17,A17)</f>
        <v>1</v>
      </c>
    </row>
    <row r="18" spans="1:23">
      <c r="A18" t="str">
        <f t="shared" si="0"/>
        <v>F/15/15/13/197/1/1/W/AAA15*15-11/113.0197白AAA01</v>
      </c>
      <c r="B18" s="371" t="s">
        <v>1832</v>
      </c>
      <c r="C18" s="371" t="s">
        <v>285</v>
      </c>
      <c r="D18" s="371" t="s">
        <v>1876</v>
      </c>
      <c r="E18" s="371" t="s">
        <v>641</v>
      </c>
      <c r="F18" s="371" t="s">
        <v>612</v>
      </c>
      <c r="G18" s="371" t="s">
        <v>612</v>
      </c>
      <c r="H18" s="371" t="s">
        <v>1859</v>
      </c>
      <c r="I18" s="371" t="s">
        <v>630</v>
      </c>
      <c r="J18" s="371" t="s">
        <v>1877</v>
      </c>
      <c r="K18" s="371" t="s">
        <v>1110</v>
      </c>
      <c r="L18" s="371" t="s">
        <v>1860</v>
      </c>
      <c r="M18" s="371" t="s">
        <v>1861</v>
      </c>
      <c r="N18" s="371" t="s">
        <v>2</v>
      </c>
      <c r="O18" s="371" t="s">
        <v>287</v>
      </c>
      <c r="P18" s="371" t="s">
        <v>399</v>
      </c>
      <c r="Q18" s="371" t="s">
        <v>399</v>
      </c>
      <c r="R18" s="371" t="s">
        <v>620</v>
      </c>
      <c r="S18" s="371" t="s">
        <v>612</v>
      </c>
      <c r="T18" s="371" t="s">
        <v>1878</v>
      </c>
      <c r="U18" s="371" t="s">
        <v>1879</v>
      </c>
      <c r="V18" s="371" t="s">
        <v>641</v>
      </c>
      <c r="W18">
        <f>COUNTIF(A$2:A18,A18)</f>
        <v>1</v>
      </c>
    </row>
    <row r="19" spans="1:23">
      <c r="A19" t="str">
        <f t="shared" si="0"/>
        <v>F/20/15/15/197/1/1/W/AAA20*151/115.0197白AAA0</v>
      </c>
      <c r="B19" s="371" t="s">
        <v>1832</v>
      </c>
      <c r="C19" s="371" t="s">
        <v>1880</v>
      </c>
      <c r="D19" s="371" t="s">
        <v>1881</v>
      </c>
      <c r="E19" s="371" t="s">
        <v>640</v>
      </c>
      <c r="F19" s="371" t="s">
        <v>612</v>
      </c>
      <c r="G19" s="371" t="s">
        <v>612</v>
      </c>
      <c r="H19" s="371" t="s">
        <v>1882</v>
      </c>
      <c r="I19" s="371" t="s">
        <v>641</v>
      </c>
      <c r="J19" s="371" t="s">
        <v>198</v>
      </c>
      <c r="K19" s="371" t="s">
        <v>1110</v>
      </c>
      <c r="L19" s="371" t="s">
        <v>1883</v>
      </c>
      <c r="M19" s="371" t="s">
        <v>1861</v>
      </c>
      <c r="N19" s="371" t="s">
        <v>2</v>
      </c>
      <c r="O19" s="371" t="s">
        <v>287</v>
      </c>
      <c r="P19" s="371" t="s">
        <v>399</v>
      </c>
      <c r="Q19" s="371" t="s">
        <v>281</v>
      </c>
      <c r="R19" s="371" t="s">
        <v>620</v>
      </c>
      <c r="S19" s="371" t="s">
        <v>612</v>
      </c>
      <c r="T19" s="371" t="s">
        <v>1884</v>
      </c>
      <c r="U19" s="371" t="s">
        <v>1885</v>
      </c>
      <c r="V19" s="371" t="s">
        <v>399</v>
      </c>
      <c r="W19">
        <f>COUNTIF(A$2:A19,A19)</f>
        <v>1</v>
      </c>
    </row>
    <row r="20" spans="1:23">
      <c r="A20" t="str">
        <f t="shared" si="0"/>
        <v>F/20/15/15/197/1/1/W/AAA20*151/115.0197白AAA0</v>
      </c>
      <c r="B20" s="371" t="s">
        <v>1832</v>
      </c>
      <c r="C20" s="371" t="s">
        <v>285</v>
      </c>
      <c r="D20" s="371" t="s">
        <v>1886</v>
      </c>
      <c r="E20" s="371" t="s">
        <v>620</v>
      </c>
      <c r="F20" s="371" t="s">
        <v>612</v>
      </c>
      <c r="G20" s="371" t="s">
        <v>612</v>
      </c>
      <c r="H20" s="371" t="s">
        <v>1882</v>
      </c>
      <c r="I20" s="371" t="s">
        <v>641</v>
      </c>
      <c r="J20" s="371" t="s">
        <v>198</v>
      </c>
      <c r="K20" s="371" t="s">
        <v>1110</v>
      </c>
      <c r="L20" s="371" t="s">
        <v>1883</v>
      </c>
      <c r="M20" s="371" t="s">
        <v>1861</v>
      </c>
      <c r="N20" s="371" t="s">
        <v>2</v>
      </c>
      <c r="O20" s="371" t="s">
        <v>287</v>
      </c>
      <c r="P20" s="371" t="s">
        <v>399</v>
      </c>
      <c r="Q20" s="371" t="s">
        <v>281</v>
      </c>
      <c r="R20" s="371" t="s">
        <v>620</v>
      </c>
      <c r="S20" s="371" t="s">
        <v>612</v>
      </c>
      <c r="T20" s="371" t="s">
        <v>1884</v>
      </c>
      <c r="U20" s="371" t="s">
        <v>1887</v>
      </c>
      <c r="V20" s="371" t="s">
        <v>399</v>
      </c>
      <c r="W20">
        <f>COUNTIF(A$2:A20,A20)</f>
        <v>2</v>
      </c>
    </row>
    <row r="21" spans="1:23">
      <c r="A21" t="str">
        <f t="shared" si="0"/>
        <v>F/20/15/15/197/1/1/W/AA20*15-11/115.0197白AA0</v>
      </c>
      <c r="B21" s="371" t="s">
        <v>1832</v>
      </c>
      <c r="C21" s="371" t="s">
        <v>1888</v>
      </c>
      <c r="D21" s="371" t="s">
        <v>1889</v>
      </c>
      <c r="E21" s="371" t="s">
        <v>620</v>
      </c>
      <c r="F21" s="371" t="s">
        <v>612</v>
      </c>
      <c r="G21" s="371" t="s">
        <v>612</v>
      </c>
      <c r="H21" s="371" t="s">
        <v>1890</v>
      </c>
      <c r="I21" s="371" t="s">
        <v>641</v>
      </c>
      <c r="J21" s="371" t="s">
        <v>1891</v>
      </c>
      <c r="K21" s="371" t="s">
        <v>1110</v>
      </c>
      <c r="L21" s="371" t="s">
        <v>1883</v>
      </c>
      <c r="M21" s="371" t="s">
        <v>1861</v>
      </c>
      <c r="N21" s="371" t="s">
        <v>2</v>
      </c>
      <c r="O21" s="371" t="s">
        <v>282</v>
      </c>
      <c r="P21" s="371" t="s">
        <v>399</v>
      </c>
      <c r="Q21" s="371" t="s">
        <v>281</v>
      </c>
      <c r="R21" s="371" t="s">
        <v>620</v>
      </c>
      <c r="S21" s="371" t="s">
        <v>612</v>
      </c>
      <c r="T21" s="371" t="s">
        <v>1843</v>
      </c>
      <c r="U21" s="371" t="s">
        <v>1892</v>
      </c>
      <c r="V21" s="371" t="s">
        <v>399</v>
      </c>
      <c r="W21">
        <f>COUNTIF(A$2:A21,A21)</f>
        <v>1</v>
      </c>
    </row>
    <row r="22" spans="1:23">
      <c r="A22" t="str">
        <f t="shared" si="0"/>
        <v>20*201/117.0197白AAA0环保丝</v>
      </c>
      <c r="B22" s="371" t="s">
        <v>1832</v>
      </c>
      <c r="C22" s="371" t="s">
        <v>285</v>
      </c>
      <c r="D22" s="371" t="s">
        <v>1893</v>
      </c>
      <c r="E22" s="371" t="s">
        <v>620</v>
      </c>
      <c r="F22" s="371" t="s">
        <v>612</v>
      </c>
      <c r="G22" s="371" t="s">
        <v>612</v>
      </c>
      <c r="H22" s="371" t="s">
        <v>399</v>
      </c>
      <c r="I22" s="371" t="s">
        <v>1894</v>
      </c>
      <c r="J22" s="371" t="s">
        <v>195</v>
      </c>
      <c r="K22" s="371" t="s">
        <v>1110</v>
      </c>
      <c r="L22" s="371" t="s">
        <v>1895</v>
      </c>
      <c r="M22" s="371" t="s">
        <v>1861</v>
      </c>
      <c r="N22" s="371" t="s">
        <v>2</v>
      </c>
      <c r="O22" s="371" t="s">
        <v>287</v>
      </c>
      <c r="P22" s="371" t="s">
        <v>399</v>
      </c>
      <c r="Q22" s="371" t="s">
        <v>281</v>
      </c>
      <c r="R22" s="371" t="s">
        <v>620</v>
      </c>
      <c r="S22" s="371" t="s">
        <v>612</v>
      </c>
      <c r="T22" s="371" t="s">
        <v>1868</v>
      </c>
      <c r="U22" s="371" t="s">
        <v>1896</v>
      </c>
      <c r="V22" s="371" t="s">
        <v>173</v>
      </c>
      <c r="W22">
        <f>COUNTIF(A$2:A22,A22)</f>
        <v>1</v>
      </c>
    </row>
    <row r="23" spans="1:23">
      <c r="A23" t="str">
        <f t="shared" si="0"/>
        <v>F/20/20/17/197/1/1/W/AAA20*201/117.0197白AAA0</v>
      </c>
      <c r="B23" s="371" t="s">
        <v>1832</v>
      </c>
      <c r="C23" s="371" t="s">
        <v>285</v>
      </c>
      <c r="D23" s="371" t="s">
        <v>2646</v>
      </c>
      <c r="E23" s="371" t="s">
        <v>1820</v>
      </c>
      <c r="F23" s="371" t="s">
        <v>612</v>
      </c>
      <c r="G23" s="371" t="s">
        <v>612</v>
      </c>
      <c r="H23" s="371" t="s">
        <v>1897</v>
      </c>
      <c r="I23" s="371" t="s">
        <v>620</v>
      </c>
      <c r="J23" s="371" t="s">
        <v>195</v>
      </c>
      <c r="K23" s="371" t="s">
        <v>1110</v>
      </c>
      <c r="L23" s="371" t="s">
        <v>1895</v>
      </c>
      <c r="M23" s="371" t="s">
        <v>1861</v>
      </c>
      <c r="N23" s="371" t="s">
        <v>2</v>
      </c>
      <c r="O23" s="371" t="s">
        <v>287</v>
      </c>
      <c r="P23" s="371" t="s">
        <v>399</v>
      </c>
      <c r="Q23" s="371" t="s">
        <v>281</v>
      </c>
      <c r="R23" s="371" t="s">
        <v>620</v>
      </c>
      <c r="S23" s="371" t="s">
        <v>612</v>
      </c>
      <c r="T23" s="371" t="s">
        <v>1836</v>
      </c>
      <c r="U23" s="371" t="s">
        <v>2647</v>
      </c>
      <c r="V23" s="371" t="s">
        <v>399</v>
      </c>
      <c r="W23">
        <f>COUNTIF(A$2:A23,A23)</f>
        <v>1</v>
      </c>
    </row>
    <row r="24" spans="1:23">
      <c r="A24" t="str">
        <f t="shared" si="0"/>
        <v>20*201/117.0197白AA0环保 打样</v>
      </c>
      <c r="B24" s="371" t="s">
        <v>1832</v>
      </c>
      <c r="C24" s="371" t="s">
        <v>285</v>
      </c>
      <c r="D24" s="371" t="s">
        <v>1899</v>
      </c>
      <c r="E24" s="371" t="s">
        <v>630</v>
      </c>
      <c r="F24" s="371" t="s">
        <v>612</v>
      </c>
      <c r="G24" s="371" t="s">
        <v>612</v>
      </c>
      <c r="H24" s="371" t="s">
        <v>399</v>
      </c>
      <c r="I24" s="371" t="s">
        <v>1894</v>
      </c>
      <c r="J24" s="371" t="s">
        <v>195</v>
      </c>
      <c r="K24" s="371" t="s">
        <v>1110</v>
      </c>
      <c r="L24" s="371" t="s">
        <v>1895</v>
      </c>
      <c r="M24" s="371" t="s">
        <v>1861</v>
      </c>
      <c r="N24" s="371" t="s">
        <v>2</v>
      </c>
      <c r="O24" s="371" t="s">
        <v>282</v>
      </c>
      <c r="P24" s="371" t="s">
        <v>399</v>
      </c>
      <c r="Q24" s="371" t="s">
        <v>281</v>
      </c>
      <c r="R24" s="371" t="s">
        <v>620</v>
      </c>
      <c r="S24" s="371" t="s">
        <v>612</v>
      </c>
      <c r="T24" s="371" t="s">
        <v>1900</v>
      </c>
      <c r="U24" s="371" t="s">
        <v>1901</v>
      </c>
      <c r="V24" s="371" t="s">
        <v>1902</v>
      </c>
      <c r="W24">
        <f>COUNTIF(A$2:A24,A24)</f>
        <v>1</v>
      </c>
    </row>
    <row r="25" spans="1:23">
      <c r="A25" t="str">
        <f t="shared" si="0"/>
        <v>F/20/20/17/197/1/1/W/AAAA20*201/117.0197白AAAA0</v>
      </c>
      <c r="B25" s="371" t="s">
        <v>1832</v>
      </c>
      <c r="C25" s="371" t="s">
        <v>285</v>
      </c>
      <c r="D25" s="371" t="s">
        <v>3042</v>
      </c>
      <c r="E25" s="371" t="s">
        <v>614</v>
      </c>
      <c r="F25" s="371" t="s">
        <v>612</v>
      </c>
      <c r="G25" s="371" t="s">
        <v>612</v>
      </c>
      <c r="H25" s="371" t="s">
        <v>1903</v>
      </c>
      <c r="I25" s="371" t="s">
        <v>641</v>
      </c>
      <c r="J25" s="371" t="s">
        <v>195</v>
      </c>
      <c r="K25" s="371" t="s">
        <v>1110</v>
      </c>
      <c r="L25" s="371" t="s">
        <v>1895</v>
      </c>
      <c r="M25" s="371" t="s">
        <v>1861</v>
      </c>
      <c r="N25" s="371" t="s">
        <v>2</v>
      </c>
      <c r="O25" s="371" t="s">
        <v>387</v>
      </c>
      <c r="P25" s="371" t="s">
        <v>399</v>
      </c>
      <c r="Q25" s="371" t="s">
        <v>281</v>
      </c>
      <c r="R25" s="371" t="s">
        <v>620</v>
      </c>
      <c r="S25" s="371" t="s">
        <v>612</v>
      </c>
      <c r="T25" s="371" t="s">
        <v>1904</v>
      </c>
      <c r="U25" s="371" t="s">
        <v>3043</v>
      </c>
      <c r="V25" s="371" t="s">
        <v>399</v>
      </c>
      <c r="W25">
        <f>COUNTIF(A$2:A25,A25)</f>
        <v>1</v>
      </c>
    </row>
    <row r="26" spans="1:23">
      <c r="A26" t="str">
        <f t="shared" si="0"/>
        <v>F/20/20/17/197/1/1/W/AAA20*20-11/117.0197白AAA01</v>
      </c>
      <c r="B26" s="371" t="s">
        <v>1832</v>
      </c>
      <c r="C26" s="371" t="s">
        <v>285</v>
      </c>
      <c r="D26" s="371" t="s">
        <v>3044</v>
      </c>
      <c r="E26" s="371" t="s">
        <v>640</v>
      </c>
      <c r="F26" s="371" t="s">
        <v>612</v>
      </c>
      <c r="G26" s="371" t="s">
        <v>612</v>
      </c>
      <c r="H26" s="371" t="s">
        <v>1897</v>
      </c>
      <c r="I26" s="371" t="s">
        <v>630</v>
      </c>
      <c r="J26" s="371" t="s">
        <v>1906</v>
      </c>
      <c r="K26" s="371" t="s">
        <v>1110</v>
      </c>
      <c r="L26" s="371" t="s">
        <v>1895</v>
      </c>
      <c r="M26" s="371" t="s">
        <v>1861</v>
      </c>
      <c r="N26" s="371" t="s">
        <v>2</v>
      </c>
      <c r="O26" s="371" t="s">
        <v>287</v>
      </c>
      <c r="P26" s="371" t="s">
        <v>399</v>
      </c>
      <c r="Q26" s="371" t="s">
        <v>399</v>
      </c>
      <c r="R26" s="371" t="s">
        <v>620</v>
      </c>
      <c r="S26" s="371" t="s">
        <v>612</v>
      </c>
      <c r="T26" s="371" t="s">
        <v>1907</v>
      </c>
      <c r="U26" s="371" t="s">
        <v>3045</v>
      </c>
      <c r="V26" s="371" t="s">
        <v>641</v>
      </c>
      <c r="W26">
        <f>COUNTIF(A$2:A26,A26)</f>
        <v>1</v>
      </c>
    </row>
    <row r="27" spans="1:23">
      <c r="A27" t="str">
        <f t="shared" si="0"/>
        <v>F/20/20/17/197/1/1/W/AAAA20*20-11/117.0197白AAAA0</v>
      </c>
      <c r="B27" s="371" t="s">
        <v>1832</v>
      </c>
      <c r="C27" s="371" t="s">
        <v>285</v>
      </c>
      <c r="D27" s="371" t="s">
        <v>3046</v>
      </c>
      <c r="E27" s="371" t="s">
        <v>666</v>
      </c>
      <c r="F27" s="371" t="s">
        <v>612</v>
      </c>
      <c r="G27" s="371" t="s">
        <v>612</v>
      </c>
      <c r="H27" s="371" t="s">
        <v>1903</v>
      </c>
      <c r="I27" s="371" t="s">
        <v>641</v>
      </c>
      <c r="J27" s="371" t="s">
        <v>1906</v>
      </c>
      <c r="K27" s="371" t="s">
        <v>1110</v>
      </c>
      <c r="L27" s="371" t="s">
        <v>1895</v>
      </c>
      <c r="M27" s="371" t="s">
        <v>1861</v>
      </c>
      <c r="N27" s="371" t="s">
        <v>2</v>
      </c>
      <c r="O27" s="371" t="s">
        <v>387</v>
      </c>
      <c r="P27" s="371" t="s">
        <v>399</v>
      </c>
      <c r="Q27" s="371" t="s">
        <v>281</v>
      </c>
      <c r="R27" s="371" t="s">
        <v>620</v>
      </c>
      <c r="S27" s="371" t="s">
        <v>612</v>
      </c>
      <c r="T27" s="371" t="s">
        <v>1908</v>
      </c>
      <c r="U27" s="371" t="s">
        <v>3047</v>
      </c>
      <c r="V27" s="371" t="s">
        <v>399</v>
      </c>
      <c r="W27">
        <f>COUNTIF(A$2:A27,A27)</f>
        <v>1</v>
      </c>
    </row>
    <row r="28" spans="1:23">
      <c r="A28" t="str">
        <f t="shared" si="0"/>
        <v>F/20/20/17/197/1/1/W/AAAA20*20-11/117.0197白AAAA骏马湿布骏马湿布</v>
      </c>
      <c r="B28" s="371" t="s">
        <v>1832</v>
      </c>
      <c r="C28" s="371" t="s">
        <v>285</v>
      </c>
      <c r="D28" s="371" t="s">
        <v>3048</v>
      </c>
      <c r="E28" s="371" t="s">
        <v>685</v>
      </c>
      <c r="F28" s="371" t="s">
        <v>612</v>
      </c>
      <c r="G28" s="371" t="s">
        <v>612</v>
      </c>
      <c r="H28" s="371" t="s">
        <v>1903</v>
      </c>
      <c r="I28" s="371" t="s">
        <v>1911</v>
      </c>
      <c r="J28" s="371" t="s">
        <v>1906</v>
      </c>
      <c r="K28" s="371" t="s">
        <v>1110</v>
      </c>
      <c r="L28" s="371" t="s">
        <v>1895</v>
      </c>
      <c r="M28" s="371" t="s">
        <v>1861</v>
      </c>
      <c r="N28" s="371" t="s">
        <v>2</v>
      </c>
      <c r="O28" s="371" t="s">
        <v>387</v>
      </c>
      <c r="P28" s="371" t="s">
        <v>399</v>
      </c>
      <c r="Q28" s="371" t="s">
        <v>281</v>
      </c>
      <c r="R28" s="371" t="s">
        <v>620</v>
      </c>
      <c r="S28" s="371" t="s">
        <v>1911</v>
      </c>
      <c r="T28" s="371" t="s">
        <v>1836</v>
      </c>
      <c r="U28" s="371" t="s">
        <v>3049</v>
      </c>
      <c r="V28" s="371" t="s">
        <v>1911</v>
      </c>
      <c r="W28">
        <f>COUNTIF(A$2:A28,A28)</f>
        <v>1</v>
      </c>
    </row>
    <row r="29" spans="1:23">
      <c r="A29" t="str">
        <f t="shared" si="0"/>
        <v>F/20/20/17/146/1/1/W/AAA20*20-11/117.0146白AAA0</v>
      </c>
      <c r="B29" s="371" t="s">
        <v>1832</v>
      </c>
      <c r="C29" s="371" t="s">
        <v>285</v>
      </c>
      <c r="D29" s="371" t="s">
        <v>1913</v>
      </c>
      <c r="E29" s="371" t="s">
        <v>918</v>
      </c>
      <c r="F29" s="371" t="s">
        <v>612</v>
      </c>
      <c r="G29" s="371" t="s">
        <v>612</v>
      </c>
      <c r="H29" s="371" t="s">
        <v>1914</v>
      </c>
      <c r="I29" s="371" t="s">
        <v>641</v>
      </c>
      <c r="J29" s="371" t="s">
        <v>1906</v>
      </c>
      <c r="K29" s="371" t="s">
        <v>1110</v>
      </c>
      <c r="L29" s="371" t="s">
        <v>1895</v>
      </c>
      <c r="M29" s="371" t="s">
        <v>1867</v>
      </c>
      <c r="N29" s="371" t="s">
        <v>2</v>
      </c>
      <c r="O29" s="371" t="s">
        <v>287</v>
      </c>
      <c r="P29" s="371" t="s">
        <v>399</v>
      </c>
      <c r="Q29" s="371" t="s">
        <v>281</v>
      </c>
      <c r="R29" s="371" t="s">
        <v>620</v>
      </c>
      <c r="S29" s="371" t="s">
        <v>612</v>
      </c>
      <c r="T29" s="371" t="s">
        <v>1905</v>
      </c>
      <c r="U29" s="371" t="s">
        <v>1915</v>
      </c>
      <c r="V29" s="371" t="s">
        <v>399</v>
      </c>
      <c r="W29">
        <f>COUNTIF(A$2:A29,A29)</f>
        <v>1</v>
      </c>
    </row>
    <row r="30" spans="1:23">
      <c r="A30" t="str">
        <f t="shared" si="0"/>
        <v>F/20/20/17/197/1/1/W/HAAAA20*20-11/117.0197白HAAAA0</v>
      </c>
      <c r="B30" s="371" t="s">
        <v>1832</v>
      </c>
      <c r="C30" s="371" t="s">
        <v>285</v>
      </c>
      <c r="D30" s="371" t="s">
        <v>3050</v>
      </c>
      <c r="E30" s="371" t="s">
        <v>670</v>
      </c>
      <c r="F30" s="371" t="s">
        <v>612</v>
      </c>
      <c r="G30" s="371" t="s">
        <v>612</v>
      </c>
      <c r="H30" s="371" t="s">
        <v>2648</v>
      </c>
      <c r="I30" s="371" t="s">
        <v>641</v>
      </c>
      <c r="J30" s="371" t="s">
        <v>1906</v>
      </c>
      <c r="K30" s="371" t="s">
        <v>1110</v>
      </c>
      <c r="L30" s="371" t="s">
        <v>1895</v>
      </c>
      <c r="M30" s="371" t="s">
        <v>1861</v>
      </c>
      <c r="N30" s="371" t="s">
        <v>2</v>
      </c>
      <c r="O30" s="371" t="s">
        <v>1075</v>
      </c>
      <c r="P30" s="371" t="s">
        <v>399</v>
      </c>
      <c r="Q30" s="371" t="s">
        <v>281</v>
      </c>
      <c r="R30" s="371" t="s">
        <v>620</v>
      </c>
      <c r="S30" s="371" t="s">
        <v>612</v>
      </c>
      <c r="T30" s="371" t="s">
        <v>1916</v>
      </c>
      <c r="U30" s="371" t="s">
        <v>3051</v>
      </c>
      <c r="V30" s="371" t="s">
        <v>399</v>
      </c>
      <c r="W30">
        <f>COUNTIF(A$2:A30,A30)</f>
        <v>1</v>
      </c>
    </row>
    <row r="31" spans="1:23">
      <c r="A31" t="str">
        <f t="shared" si="0"/>
        <v>F/20/20/17/197/1/1/W/AA20*20-11/117.0197白AA0</v>
      </c>
      <c r="B31" s="371" t="s">
        <v>1832</v>
      </c>
      <c r="C31" s="371" t="s">
        <v>285</v>
      </c>
      <c r="D31" s="371" t="s">
        <v>1917</v>
      </c>
      <c r="E31" s="371" t="s">
        <v>1820</v>
      </c>
      <c r="F31" s="371" t="s">
        <v>612</v>
      </c>
      <c r="G31" s="371" t="s">
        <v>612</v>
      </c>
      <c r="H31" s="371" t="s">
        <v>1918</v>
      </c>
      <c r="I31" s="371" t="s">
        <v>641</v>
      </c>
      <c r="J31" s="371" t="s">
        <v>1906</v>
      </c>
      <c r="K31" s="371" t="s">
        <v>1110</v>
      </c>
      <c r="L31" s="371" t="s">
        <v>1895</v>
      </c>
      <c r="M31" s="371" t="s">
        <v>1861</v>
      </c>
      <c r="N31" s="371" t="s">
        <v>2</v>
      </c>
      <c r="O31" s="371" t="s">
        <v>282</v>
      </c>
      <c r="P31" s="371" t="s">
        <v>399</v>
      </c>
      <c r="Q31" s="371" t="s">
        <v>281</v>
      </c>
      <c r="R31" s="371" t="s">
        <v>620</v>
      </c>
      <c r="S31" s="371" t="s">
        <v>612</v>
      </c>
      <c r="T31" s="371" t="s">
        <v>1919</v>
      </c>
      <c r="U31" s="371" t="s">
        <v>1920</v>
      </c>
      <c r="V31" s="371" t="s">
        <v>399</v>
      </c>
      <c r="W31">
        <f>COUNTIF(A$2:A31,A31)</f>
        <v>1</v>
      </c>
    </row>
    <row r="32" spans="1:23">
      <c r="A32" t="str">
        <f t="shared" si="0"/>
        <v>F/20/2017/197/1/1/W/HAAAA20*20-101/117.0197白HAAAA0</v>
      </c>
      <c r="B32" s="371" t="s">
        <v>1832</v>
      </c>
      <c r="C32" s="371" t="s">
        <v>285</v>
      </c>
      <c r="D32" s="371" t="s">
        <v>2811</v>
      </c>
      <c r="E32" s="371" t="s">
        <v>620</v>
      </c>
      <c r="F32" s="371" t="s">
        <v>612</v>
      </c>
      <c r="G32" s="371" t="s">
        <v>612</v>
      </c>
      <c r="H32" s="371" t="s">
        <v>2812</v>
      </c>
      <c r="I32" s="371" t="s">
        <v>620</v>
      </c>
      <c r="J32" s="371" t="s">
        <v>1921</v>
      </c>
      <c r="K32" s="371" t="s">
        <v>1110</v>
      </c>
      <c r="L32" s="371" t="s">
        <v>1895</v>
      </c>
      <c r="M32" s="371" t="s">
        <v>1861</v>
      </c>
      <c r="N32" s="371" t="s">
        <v>2</v>
      </c>
      <c r="O32" s="371" t="s">
        <v>1075</v>
      </c>
      <c r="P32" s="371" t="s">
        <v>399</v>
      </c>
      <c r="Q32" s="371" t="s">
        <v>281</v>
      </c>
      <c r="R32" s="371" t="s">
        <v>620</v>
      </c>
      <c r="S32" s="371" t="s">
        <v>612</v>
      </c>
      <c r="T32" s="371" t="s">
        <v>2813</v>
      </c>
      <c r="U32" s="371" t="s">
        <v>2814</v>
      </c>
      <c r="V32" s="371" t="s">
        <v>399</v>
      </c>
      <c r="W32">
        <f>COUNTIF(A$2:A32,A32)</f>
        <v>1</v>
      </c>
    </row>
    <row r="33" spans="1:23">
      <c r="A33" t="str">
        <f t="shared" si="0"/>
        <v>F/20/20/17/197/1/1/W/HAAA20*20-101/117.0197白HAAA0</v>
      </c>
      <c r="B33" s="371" t="s">
        <v>1832</v>
      </c>
      <c r="C33" s="371" t="s">
        <v>285</v>
      </c>
      <c r="D33" s="371" t="s">
        <v>2649</v>
      </c>
      <c r="E33" s="371" t="s">
        <v>670</v>
      </c>
      <c r="F33" s="371" t="s">
        <v>612</v>
      </c>
      <c r="G33" s="371" t="s">
        <v>612</v>
      </c>
      <c r="H33" s="371" t="s">
        <v>2650</v>
      </c>
      <c r="I33" s="371" t="s">
        <v>620</v>
      </c>
      <c r="J33" s="371" t="s">
        <v>1921</v>
      </c>
      <c r="K33" s="371" t="s">
        <v>1110</v>
      </c>
      <c r="L33" s="371" t="s">
        <v>1895</v>
      </c>
      <c r="M33" s="371" t="s">
        <v>1861</v>
      </c>
      <c r="N33" s="371" t="s">
        <v>2</v>
      </c>
      <c r="O33" s="371" t="s">
        <v>1076</v>
      </c>
      <c r="P33" s="371" t="s">
        <v>399</v>
      </c>
      <c r="Q33" s="371" t="s">
        <v>281</v>
      </c>
      <c r="R33" s="371" t="s">
        <v>620</v>
      </c>
      <c r="S33" s="371" t="s">
        <v>612</v>
      </c>
      <c r="T33" s="371" t="s">
        <v>1922</v>
      </c>
      <c r="U33" s="371" t="s">
        <v>2651</v>
      </c>
      <c r="V33" s="371" t="s">
        <v>399</v>
      </c>
      <c r="W33">
        <f>COUNTIF(A$2:A33,A33)</f>
        <v>1</v>
      </c>
    </row>
    <row r="34" spans="1:23">
      <c r="A34" t="str">
        <f t="shared" si="0"/>
        <v>F/20/20/17/197/1/1/W/AAAA20*20-101/117.0197白AAAA0</v>
      </c>
      <c r="B34" s="371" t="s">
        <v>1832</v>
      </c>
      <c r="C34" s="371" t="s">
        <v>285</v>
      </c>
      <c r="D34" s="371" t="s">
        <v>3052</v>
      </c>
      <c r="E34" s="371" t="s">
        <v>708</v>
      </c>
      <c r="F34" s="371" t="s">
        <v>612</v>
      </c>
      <c r="G34" s="371" t="s">
        <v>612</v>
      </c>
      <c r="H34" s="371" t="s">
        <v>1903</v>
      </c>
      <c r="I34" s="371" t="s">
        <v>620</v>
      </c>
      <c r="J34" s="371" t="s">
        <v>1921</v>
      </c>
      <c r="K34" s="371" t="s">
        <v>1110</v>
      </c>
      <c r="L34" s="371" t="s">
        <v>1895</v>
      </c>
      <c r="M34" s="371" t="s">
        <v>1861</v>
      </c>
      <c r="N34" s="371" t="s">
        <v>2</v>
      </c>
      <c r="O34" s="371" t="s">
        <v>387</v>
      </c>
      <c r="P34" s="371" t="s">
        <v>399</v>
      </c>
      <c r="Q34" s="371" t="s">
        <v>281</v>
      </c>
      <c r="R34" s="371" t="s">
        <v>620</v>
      </c>
      <c r="S34" s="371" t="s">
        <v>612</v>
      </c>
      <c r="T34" s="371" t="s">
        <v>1924</v>
      </c>
      <c r="U34" s="371" t="s">
        <v>3053</v>
      </c>
      <c r="V34" s="371" t="s">
        <v>399</v>
      </c>
      <c r="W34">
        <f>COUNTIF(A$2:A34,A34)</f>
        <v>1</v>
      </c>
    </row>
    <row r="35" spans="1:23">
      <c r="A35" t="str">
        <f t="shared" si="0"/>
        <v>F/20/20/17/197/1/1/W/AA20*20-101/117.0197白AA0</v>
      </c>
      <c r="B35" s="371" t="s">
        <v>1832</v>
      </c>
      <c r="C35" s="371" t="s">
        <v>285</v>
      </c>
      <c r="D35" s="371" t="s">
        <v>2652</v>
      </c>
      <c r="E35" s="371" t="s">
        <v>648</v>
      </c>
      <c r="F35" s="371" t="s">
        <v>612</v>
      </c>
      <c r="G35" s="371" t="s">
        <v>612</v>
      </c>
      <c r="H35" s="371" t="s">
        <v>1918</v>
      </c>
      <c r="I35" s="371" t="s">
        <v>620</v>
      </c>
      <c r="J35" s="371" t="s">
        <v>1921</v>
      </c>
      <c r="K35" s="371" t="s">
        <v>1110</v>
      </c>
      <c r="L35" s="371" t="s">
        <v>1895</v>
      </c>
      <c r="M35" s="371" t="s">
        <v>1861</v>
      </c>
      <c r="N35" s="371" t="s">
        <v>2</v>
      </c>
      <c r="O35" s="371" t="s">
        <v>282</v>
      </c>
      <c r="P35" s="371" t="s">
        <v>399</v>
      </c>
      <c r="Q35" s="371" t="s">
        <v>281</v>
      </c>
      <c r="R35" s="371" t="s">
        <v>620</v>
      </c>
      <c r="S35" s="371" t="s">
        <v>612</v>
      </c>
      <c r="T35" s="371" t="s">
        <v>1924</v>
      </c>
      <c r="U35" s="371" t="s">
        <v>2653</v>
      </c>
      <c r="V35" s="371" t="s">
        <v>399</v>
      </c>
      <c r="W35">
        <f>COUNTIF(A$2:A35,A35)</f>
        <v>1</v>
      </c>
    </row>
    <row r="36" spans="1:23">
      <c r="A36" t="str">
        <f t="shared" si="0"/>
        <v>F/20/20/17/190/乱纹/W/AA20*20-2乱纹17.0190白AA01</v>
      </c>
      <c r="B36" s="371" t="s">
        <v>1832</v>
      </c>
      <c r="C36" s="371" t="s">
        <v>1928</v>
      </c>
      <c r="D36" s="371" t="s">
        <v>1929</v>
      </c>
      <c r="E36" s="371" t="s">
        <v>641</v>
      </c>
      <c r="F36" s="371" t="s">
        <v>612</v>
      </c>
      <c r="G36" s="371" t="s">
        <v>612</v>
      </c>
      <c r="H36" s="371" t="s">
        <v>1930</v>
      </c>
      <c r="I36" s="371" t="s">
        <v>630</v>
      </c>
      <c r="J36" s="371" t="s">
        <v>1931</v>
      </c>
      <c r="K36" s="371" t="s">
        <v>1932</v>
      </c>
      <c r="L36" s="371" t="s">
        <v>1895</v>
      </c>
      <c r="M36" s="371" t="s">
        <v>1933</v>
      </c>
      <c r="N36" s="371" t="s">
        <v>2</v>
      </c>
      <c r="O36" s="371" t="s">
        <v>282</v>
      </c>
      <c r="P36" s="371" t="s">
        <v>399</v>
      </c>
      <c r="Q36" s="371" t="s">
        <v>399</v>
      </c>
      <c r="R36" s="371" t="s">
        <v>620</v>
      </c>
      <c r="S36" s="371" t="s">
        <v>612</v>
      </c>
      <c r="T36" s="371" t="s">
        <v>1934</v>
      </c>
      <c r="U36" s="371" t="s">
        <v>1935</v>
      </c>
      <c r="V36" s="371" t="s">
        <v>641</v>
      </c>
      <c r="W36">
        <f>COUNTIF(A$2:A36,A36)</f>
        <v>1</v>
      </c>
    </row>
    <row r="37" spans="1:23">
      <c r="A37" t="str">
        <f t="shared" si="0"/>
        <v>F/20/20/17/146/1/1/W/AAA20*20-31/117.0146白AAA0</v>
      </c>
      <c r="B37" s="371" t="s">
        <v>1832</v>
      </c>
      <c r="C37" s="371" t="s">
        <v>285</v>
      </c>
      <c r="D37" s="371" t="s">
        <v>2369</v>
      </c>
      <c r="E37" s="371" t="s">
        <v>704</v>
      </c>
      <c r="F37" s="371" t="s">
        <v>612</v>
      </c>
      <c r="G37" s="371" t="s">
        <v>612</v>
      </c>
      <c r="H37" s="371" t="s">
        <v>1914</v>
      </c>
      <c r="I37" s="371" t="s">
        <v>641</v>
      </c>
      <c r="J37" s="371" t="s">
        <v>1936</v>
      </c>
      <c r="K37" s="371" t="s">
        <v>1110</v>
      </c>
      <c r="L37" s="371" t="s">
        <v>1895</v>
      </c>
      <c r="M37" s="371" t="s">
        <v>1867</v>
      </c>
      <c r="N37" s="371" t="s">
        <v>2</v>
      </c>
      <c r="O37" s="371" t="s">
        <v>287</v>
      </c>
      <c r="P37" s="371" t="s">
        <v>399</v>
      </c>
      <c r="Q37" s="371" t="s">
        <v>281</v>
      </c>
      <c r="R37" s="371" t="s">
        <v>620</v>
      </c>
      <c r="S37" s="371" t="s">
        <v>612</v>
      </c>
      <c r="T37" s="371" t="s">
        <v>1916</v>
      </c>
      <c r="U37" s="371" t="s">
        <v>2370</v>
      </c>
      <c r="V37" s="371" t="s">
        <v>399</v>
      </c>
      <c r="W37">
        <f>COUNTIF(A$2:A37,A37)</f>
        <v>1</v>
      </c>
    </row>
    <row r="38" spans="1:23">
      <c r="A38" t="str">
        <f t="shared" si="0"/>
        <v>F/20/20/17/197/1/1/B/AAAA20*20-41/117.0197黑AAAA骏马湿布骏马湿布</v>
      </c>
      <c r="B38" s="371" t="s">
        <v>1832</v>
      </c>
      <c r="C38" s="371" t="s">
        <v>285</v>
      </c>
      <c r="D38" s="371" t="s">
        <v>3054</v>
      </c>
      <c r="E38" s="371" t="s">
        <v>3055</v>
      </c>
      <c r="F38" s="371" t="s">
        <v>612</v>
      </c>
      <c r="G38" s="371" t="s">
        <v>612</v>
      </c>
      <c r="H38" s="371" t="s">
        <v>1937</v>
      </c>
      <c r="I38" s="371" t="s">
        <v>1911</v>
      </c>
      <c r="J38" s="371" t="s">
        <v>1938</v>
      </c>
      <c r="K38" s="371" t="s">
        <v>1110</v>
      </c>
      <c r="L38" s="371" t="s">
        <v>1895</v>
      </c>
      <c r="M38" s="371" t="s">
        <v>1861</v>
      </c>
      <c r="N38" s="371" t="s">
        <v>1</v>
      </c>
      <c r="O38" s="371" t="s">
        <v>387</v>
      </c>
      <c r="P38" s="371" t="s">
        <v>399</v>
      </c>
      <c r="Q38" s="371" t="s">
        <v>281</v>
      </c>
      <c r="R38" s="371" t="s">
        <v>620</v>
      </c>
      <c r="S38" s="371" t="s">
        <v>1911</v>
      </c>
      <c r="T38" s="371" t="s">
        <v>1939</v>
      </c>
      <c r="U38" s="371" t="s">
        <v>3056</v>
      </c>
      <c r="V38" s="371" t="s">
        <v>1911</v>
      </c>
      <c r="W38">
        <f>COUNTIF(A$2:A38,A38)</f>
        <v>1</v>
      </c>
    </row>
    <row r="39" spans="1:23">
      <c r="A39" t="str">
        <f t="shared" si="0"/>
        <v>F/20/20/17/197/1/1/B/AA20*20-41/117.0197黑AA0老库存</v>
      </c>
      <c r="B39" s="371" t="s">
        <v>1832</v>
      </c>
      <c r="C39" s="371" t="s">
        <v>285</v>
      </c>
      <c r="D39" s="371" t="s">
        <v>1940</v>
      </c>
      <c r="E39" s="371" t="s">
        <v>620</v>
      </c>
      <c r="F39" s="371" t="s">
        <v>612</v>
      </c>
      <c r="G39" s="371" t="s">
        <v>612</v>
      </c>
      <c r="H39" s="371" t="s">
        <v>1941</v>
      </c>
      <c r="I39" s="371" t="s">
        <v>641</v>
      </c>
      <c r="J39" s="371" t="s">
        <v>1938</v>
      </c>
      <c r="K39" s="371" t="s">
        <v>1110</v>
      </c>
      <c r="L39" s="371" t="s">
        <v>1895</v>
      </c>
      <c r="M39" s="371" t="s">
        <v>1861</v>
      </c>
      <c r="N39" s="371" t="s">
        <v>1</v>
      </c>
      <c r="O39" s="371" t="s">
        <v>282</v>
      </c>
      <c r="P39" s="371" t="s">
        <v>399</v>
      </c>
      <c r="Q39" s="371" t="s">
        <v>281</v>
      </c>
      <c r="R39" s="371" t="s">
        <v>620</v>
      </c>
      <c r="S39" s="371" t="s">
        <v>612</v>
      </c>
      <c r="T39" s="371" t="s">
        <v>1939</v>
      </c>
      <c r="U39" s="371" t="s">
        <v>1942</v>
      </c>
      <c r="V39" s="371" t="s">
        <v>1943</v>
      </c>
      <c r="W39">
        <f>COUNTIF(A$2:A39,A39)</f>
        <v>1</v>
      </c>
    </row>
    <row r="40" spans="1:23">
      <c r="A40" t="str">
        <f t="shared" si="0"/>
        <v>F/20/20/17/197/1/1/B/AAA20*20-41/117.0197黑AAA0</v>
      </c>
      <c r="B40" s="371" t="s">
        <v>1832</v>
      </c>
      <c r="C40" s="371" t="s">
        <v>285</v>
      </c>
      <c r="D40" s="371" t="s">
        <v>1944</v>
      </c>
      <c r="E40" s="371" t="s">
        <v>641</v>
      </c>
      <c r="F40" s="371" t="s">
        <v>612</v>
      </c>
      <c r="G40" s="371" t="s">
        <v>612</v>
      </c>
      <c r="H40" s="371" t="s">
        <v>1945</v>
      </c>
      <c r="I40" s="371" t="s">
        <v>641</v>
      </c>
      <c r="J40" s="371" t="s">
        <v>1938</v>
      </c>
      <c r="K40" s="371" t="s">
        <v>1110</v>
      </c>
      <c r="L40" s="371" t="s">
        <v>1895</v>
      </c>
      <c r="M40" s="371" t="s">
        <v>1861</v>
      </c>
      <c r="N40" s="371" t="s">
        <v>1</v>
      </c>
      <c r="O40" s="371" t="s">
        <v>287</v>
      </c>
      <c r="P40" s="371" t="s">
        <v>399</v>
      </c>
      <c r="Q40" s="371" t="s">
        <v>281</v>
      </c>
      <c r="R40" s="371" t="s">
        <v>620</v>
      </c>
      <c r="S40" s="371" t="s">
        <v>612</v>
      </c>
      <c r="T40" s="371" t="s">
        <v>1939</v>
      </c>
      <c r="U40" s="371" t="s">
        <v>1946</v>
      </c>
      <c r="V40" s="371" t="s">
        <v>399</v>
      </c>
      <c r="W40">
        <f>COUNTIF(A$2:A40,A40)</f>
        <v>1</v>
      </c>
    </row>
    <row r="41" spans="1:23">
      <c r="A41" t="str">
        <f t="shared" si="0"/>
        <v>20*20-61/117.0146白AAA0</v>
      </c>
      <c r="B41" s="371" t="s">
        <v>1832</v>
      </c>
      <c r="C41" s="371" t="s">
        <v>285</v>
      </c>
      <c r="D41" s="371" t="s">
        <v>1947</v>
      </c>
      <c r="E41" s="371" t="s">
        <v>918</v>
      </c>
      <c r="F41" s="371" t="s">
        <v>612</v>
      </c>
      <c r="G41" s="371" t="s">
        <v>612</v>
      </c>
      <c r="H41" s="371" t="s">
        <v>399</v>
      </c>
      <c r="I41" s="371" t="s">
        <v>641</v>
      </c>
      <c r="J41" s="371" t="s">
        <v>1948</v>
      </c>
      <c r="K41" s="371" t="s">
        <v>1110</v>
      </c>
      <c r="L41" s="371" t="s">
        <v>1895</v>
      </c>
      <c r="M41" s="371" t="s">
        <v>1867</v>
      </c>
      <c r="N41" s="371" t="s">
        <v>2</v>
      </c>
      <c r="O41" s="371" t="s">
        <v>287</v>
      </c>
      <c r="P41" s="371" t="s">
        <v>399</v>
      </c>
      <c r="Q41" s="371" t="s">
        <v>399</v>
      </c>
      <c r="R41" s="371" t="s">
        <v>620</v>
      </c>
      <c r="S41" s="371" t="s">
        <v>612</v>
      </c>
      <c r="T41" s="371" t="s">
        <v>1919</v>
      </c>
      <c r="U41" s="371" t="s">
        <v>1949</v>
      </c>
      <c r="V41" s="371" t="s">
        <v>399</v>
      </c>
      <c r="W41">
        <f>COUNTIF(A$2:A41,A41)</f>
        <v>1</v>
      </c>
    </row>
    <row r="42" spans="1:23">
      <c r="A42" t="str">
        <f t="shared" si="0"/>
        <v>20*20-81/117.0146白AAA0</v>
      </c>
      <c r="B42" s="371" t="s">
        <v>1832</v>
      </c>
      <c r="C42" s="371" t="s">
        <v>285</v>
      </c>
      <c r="D42" s="371" t="s">
        <v>1950</v>
      </c>
      <c r="E42" s="371" t="s">
        <v>679</v>
      </c>
      <c r="F42" s="371" t="s">
        <v>612</v>
      </c>
      <c r="G42" s="371" t="s">
        <v>612</v>
      </c>
      <c r="H42" s="371" t="s">
        <v>399</v>
      </c>
      <c r="I42" s="371" t="s">
        <v>641</v>
      </c>
      <c r="J42" s="371" t="s">
        <v>1951</v>
      </c>
      <c r="K42" s="371" t="s">
        <v>1110</v>
      </c>
      <c r="L42" s="371" t="s">
        <v>1895</v>
      </c>
      <c r="M42" s="371" t="s">
        <v>1867</v>
      </c>
      <c r="N42" s="371" t="s">
        <v>2</v>
      </c>
      <c r="O42" s="371" t="s">
        <v>287</v>
      </c>
      <c r="P42" s="371" t="s">
        <v>399</v>
      </c>
      <c r="Q42" s="371" t="s">
        <v>281</v>
      </c>
      <c r="R42" s="371" t="s">
        <v>620</v>
      </c>
      <c r="S42" s="371" t="s">
        <v>612</v>
      </c>
      <c r="T42" s="371" t="s">
        <v>1952</v>
      </c>
      <c r="U42" s="371" t="s">
        <v>1953</v>
      </c>
      <c r="V42" s="371" t="s">
        <v>399</v>
      </c>
      <c r="W42">
        <f>COUNTIF(A$2:A42,A42)</f>
        <v>1</v>
      </c>
    </row>
    <row r="43" spans="1:23">
      <c r="A43" t="str">
        <f t="shared" si="0"/>
        <v>20*20-91/117.0146白AA0</v>
      </c>
      <c r="B43" s="371" t="s">
        <v>1832</v>
      </c>
      <c r="C43" s="371" t="s">
        <v>285</v>
      </c>
      <c r="D43" s="371" t="s">
        <v>1954</v>
      </c>
      <c r="E43" s="371" t="s">
        <v>641</v>
      </c>
      <c r="F43" s="371" t="s">
        <v>612</v>
      </c>
      <c r="G43" s="371" t="s">
        <v>612</v>
      </c>
      <c r="H43" s="371" t="s">
        <v>399</v>
      </c>
      <c r="I43" s="371" t="s">
        <v>641</v>
      </c>
      <c r="J43" s="371" t="s">
        <v>1955</v>
      </c>
      <c r="K43" s="371" t="s">
        <v>1110</v>
      </c>
      <c r="L43" s="371" t="s">
        <v>1895</v>
      </c>
      <c r="M43" s="371" t="s">
        <v>1867</v>
      </c>
      <c r="N43" s="371" t="s">
        <v>2</v>
      </c>
      <c r="O43" s="371" t="s">
        <v>282</v>
      </c>
      <c r="P43" s="371" t="s">
        <v>399</v>
      </c>
      <c r="Q43" s="371" t="s">
        <v>281</v>
      </c>
      <c r="R43" s="371" t="s">
        <v>620</v>
      </c>
      <c r="S43" s="371" t="s">
        <v>612</v>
      </c>
      <c r="T43" s="371" t="s">
        <v>1956</v>
      </c>
      <c r="U43" s="371" t="s">
        <v>1957</v>
      </c>
      <c r="V43" s="371" t="s">
        <v>399</v>
      </c>
      <c r="W43">
        <f>COUNTIF(A$2:A43,A43)</f>
        <v>1</v>
      </c>
    </row>
    <row r="44" spans="1:23">
      <c r="A44" t="str">
        <f t="shared" si="0"/>
        <v>20*20-91/117.0146白AAA0</v>
      </c>
      <c r="B44" s="371" t="s">
        <v>1832</v>
      </c>
      <c r="C44" s="371" t="s">
        <v>285</v>
      </c>
      <c r="D44" s="371" t="s">
        <v>1958</v>
      </c>
      <c r="E44" s="371" t="s">
        <v>667</v>
      </c>
      <c r="F44" s="371" t="s">
        <v>612</v>
      </c>
      <c r="G44" s="371" t="s">
        <v>612</v>
      </c>
      <c r="H44" s="371" t="s">
        <v>399</v>
      </c>
      <c r="I44" s="371" t="s">
        <v>641</v>
      </c>
      <c r="J44" s="371" t="s">
        <v>1955</v>
      </c>
      <c r="K44" s="371" t="s">
        <v>1110</v>
      </c>
      <c r="L44" s="371" t="s">
        <v>1895</v>
      </c>
      <c r="M44" s="371" t="s">
        <v>1867</v>
      </c>
      <c r="N44" s="371" t="s">
        <v>2</v>
      </c>
      <c r="O44" s="371" t="s">
        <v>287</v>
      </c>
      <c r="P44" s="371" t="s">
        <v>399</v>
      </c>
      <c r="Q44" s="371" t="s">
        <v>399</v>
      </c>
      <c r="R44" s="371" t="s">
        <v>620</v>
      </c>
      <c r="S44" s="371" t="s">
        <v>612</v>
      </c>
      <c r="T44" s="371" t="s">
        <v>1952</v>
      </c>
      <c r="U44" s="371" t="s">
        <v>1959</v>
      </c>
      <c r="V44" s="371" t="s">
        <v>399</v>
      </c>
      <c r="W44">
        <f>COUNTIF(A$2:A44,A44)</f>
        <v>1</v>
      </c>
    </row>
    <row r="45" spans="1:23">
      <c r="A45" t="str">
        <f t="shared" si="0"/>
        <v>F/200/300/116/180/3/1/W/AAA200*3003/1116.0180白AAA01</v>
      </c>
      <c r="B45" s="371" t="s">
        <v>1832</v>
      </c>
      <c r="C45" s="371" t="s">
        <v>285</v>
      </c>
      <c r="D45" s="371" t="s">
        <v>2654</v>
      </c>
      <c r="E45" s="371" t="s">
        <v>634</v>
      </c>
      <c r="F45" s="371" t="s">
        <v>612</v>
      </c>
      <c r="G45" s="371" t="s">
        <v>612</v>
      </c>
      <c r="H45" s="371" t="s">
        <v>1960</v>
      </c>
      <c r="I45" s="371" t="s">
        <v>641</v>
      </c>
      <c r="J45" s="371" t="s">
        <v>217</v>
      </c>
      <c r="K45" s="371" t="s">
        <v>200</v>
      </c>
      <c r="L45" s="371" t="s">
        <v>1961</v>
      </c>
      <c r="M45" s="371" t="s">
        <v>959</v>
      </c>
      <c r="N45" s="371" t="s">
        <v>2</v>
      </c>
      <c r="O45" s="371" t="s">
        <v>287</v>
      </c>
      <c r="P45" s="371" t="s">
        <v>399</v>
      </c>
      <c r="Q45" s="371" t="s">
        <v>399</v>
      </c>
      <c r="R45" s="371" t="s">
        <v>620</v>
      </c>
      <c r="S45" s="371" t="s">
        <v>612</v>
      </c>
      <c r="T45" s="371" t="s">
        <v>1962</v>
      </c>
      <c r="U45" s="371" t="s">
        <v>2655</v>
      </c>
      <c r="V45" s="371" t="s">
        <v>641</v>
      </c>
      <c r="W45">
        <f>COUNTIF(A$2:A45,A45)</f>
        <v>1</v>
      </c>
    </row>
    <row r="46" spans="1:23">
      <c r="A46" t="str">
        <f t="shared" si="0"/>
        <v>F/200/300/116/180/3/1/B/AAA200*3003/1116.0180黑AAA01</v>
      </c>
      <c r="B46" s="371" t="s">
        <v>1832</v>
      </c>
      <c r="C46" s="371" t="s">
        <v>285</v>
      </c>
      <c r="D46" s="371" t="s">
        <v>3057</v>
      </c>
      <c r="E46" s="371" t="s">
        <v>2740</v>
      </c>
      <c r="F46" s="371" t="s">
        <v>612</v>
      </c>
      <c r="G46" s="371" t="s">
        <v>612</v>
      </c>
      <c r="H46" s="371" t="s">
        <v>1963</v>
      </c>
      <c r="I46" s="371" t="s">
        <v>641</v>
      </c>
      <c r="J46" s="371" t="s">
        <v>217</v>
      </c>
      <c r="K46" s="371" t="s">
        <v>200</v>
      </c>
      <c r="L46" s="371" t="s">
        <v>1961</v>
      </c>
      <c r="M46" s="371" t="s">
        <v>959</v>
      </c>
      <c r="N46" s="371" t="s">
        <v>1</v>
      </c>
      <c r="O46" s="371" t="s">
        <v>287</v>
      </c>
      <c r="P46" s="371" t="s">
        <v>399</v>
      </c>
      <c r="Q46" s="371" t="s">
        <v>281</v>
      </c>
      <c r="R46" s="371" t="s">
        <v>620</v>
      </c>
      <c r="S46" s="371" t="s">
        <v>612</v>
      </c>
      <c r="T46" s="371" t="s">
        <v>1956</v>
      </c>
      <c r="U46" s="371" t="s">
        <v>3058</v>
      </c>
      <c r="V46" s="371" t="s">
        <v>641</v>
      </c>
      <c r="W46">
        <f>COUNTIF(A$2:A46,A46)</f>
        <v>1</v>
      </c>
    </row>
    <row r="47" spans="1:23">
      <c r="A47" t="str">
        <f t="shared" si="0"/>
        <v>F/200/300/126/180/3/1/B/AAA200*3003/1126.0180黑AAA01</v>
      </c>
      <c r="B47" s="371" t="s">
        <v>1832</v>
      </c>
      <c r="C47" s="371" t="s">
        <v>285</v>
      </c>
      <c r="D47" s="371" t="s">
        <v>3059</v>
      </c>
      <c r="E47" s="371" t="s">
        <v>3060</v>
      </c>
      <c r="F47" s="371" t="s">
        <v>612</v>
      </c>
      <c r="G47" s="371" t="s">
        <v>612</v>
      </c>
      <c r="H47" s="371" t="s">
        <v>1964</v>
      </c>
      <c r="I47" s="371" t="s">
        <v>641</v>
      </c>
      <c r="J47" s="371" t="s">
        <v>217</v>
      </c>
      <c r="K47" s="371" t="s">
        <v>200</v>
      </c>
      <c r="L47" s="371" t="s">
        <v>1965</v>
      </c>
      <c r="M47" s="371" t="s">
        <v>959</v>
      </c>
      <c r="N47" s="371" t="s">
        <v>1</v>
      </c>
      <c r="O47" s="371" t="s">
        <v>287</v>
      </c>
      <c r="P47" s="371" t="s">
        <v>399</v>
      </c>
      <c r="Q47" s="371" t="s">
        <v>399</v>
      </c>
      <c r="R47" s="371" t="s">
        <v>612</v>
      </c>
      <c r="S47" s="371" t="s">
        <v>612</v>
      </c>
      <c r="T47" s="371" t="s">
        <v>1966</v>
      </c>
      <c r="U47" s="371" t="s">
        <v>3061</v>
      </c>
      <c r="V47" s="371" t="s">
        <v>641</v>
      </c>
      <c r="W47">
        <f>COUNTIF(A$2:A47,A47)</f>
        <v>1</v>
      </c>
    </row>
    <row r="48" spans="1:23">
      <c r="A48" t="str">
        <f t="shared" si="0"/>
        <v>F/200/300/126/180/3/1/W/AAA200*3003/1126.0180白AAA01</v>
      </c>
      <c r="B48" s="371" t="s">
        <v>1832</v>
      </c>
      <c r="C48" s="371" t="s">
        <v>285</v>
      </c>
      <c r="D48" s="371" t="s">
        <v>2815</v>
      </c>
      <c r="E48" s="371" t="s">
        <v>1820</v>
      </c>
      <c r="F48" s="371" t="s">
        <v>612</v>
      </c>
      <c r="G48" s="371" t="s">
        <v>612</v>
      </c>
      <c r="H48" s="371" t="s">
        <v>1967</v>
      </c>
      <c r="I48" s="371" t="s">
        <v>641</v>
      </c>
      <c r="J48" s="371" t="s">
        <v>217</v>
      </c>
      <c r="K48" s="371" t="s">
        <v>200</v>
      </c>
      <c r="L48" s="371" t="s">
        <v>1965</v>
      </c>
      <c r="M48" s="371" t="s">
        <v>959</v>
      </c>
      <c r="N48" s="371" t="s">
        <v>2</v>
      </c>
      <c r="O48" s="371" t="s">
        <v>287</v>
      </c>
      <c r="P48" s="371" t="s">
        <v>399</v>
      </c>
      <c r="Q48" s="371" t="s">
        <v>281</v>
      </c>
      <c r="R48" s="371" t="s">
        <v>620</v>
      </c>
      <c r="S48" s="371" t="s">
        <v>612</v>
      </c>
      <c r="T48" s="371" t="s">
        <v>1968</v>
      </c>
      <c r="U48" s="371" t="s">
        <v>2816</v>
      </c>
      <c r="V48" s="371" t="s">
        <v>641</v>
      </c>
      <c r="W48">
        <f>COUNTIF(A$2:A48,A48)</f>
        <v>1</v>
      </c>
    </row>
    <row r="49" spans="1:23">
      <c r="A49" t="str">
        <f t="shared" si="0"/>
        <v>F/200/300/106/180/3/1/B/AAA200*3003/1106.0180黑AAA01</v>
      </c>
      <c r="B49" s="371" t="s">
        <v>1832</v>
      </c>
      <c r="C49" s="371" t="s">
        <v>285</v>
      </c>
      <c r="D49" s="371" t="s">
        <v>2817</v>
      </c>
      <c r="E49" s="371" t="s">
        <v>2818</v>
      </c>
      <c r="F49" s="371" t="s">
        <v>612</v>
      </c>
      <c r="G49" s="371" t="s">
        <v>612</v>
      </c>
      <c r="H49" s="371" t="s">
        <v>1969</v>
      </c>
      <c r="I49" s="371" t="s">
        <v>641</v>
      </c>
      <c r="J49" s="371" t="s">
        <v>217</v>
      </c>
      <c r="K49" s="371" t="s">
        <v>200</v>
      </c>
      <c r="L49" s="371" t="s">
        <v>1970</v>
      </c>
      <c r="M49" s="371" t="s">
        <v>959</v>
      </c>
      <c r="N49" s="371" t="s">
        <v>1</v>
      </c>
      <c r="O49" s="371" t="s">
        <v>287</v>
      </c>
      <c r="P49" s="371" t="s">
        <v>399</v>
      </c>
      <c r="Q49" s="371" t="s">
        <v>399</v>
      </c>
      <c r="R49" s="371" t="s">
        <v>612</v>
      </c>
      <c r="S49" s="371" t="s">
        <v>612</v>
      </c>
      <c r="T49" s="371" t="s">
        <v>1840</v>
      </c>
      <c r="U49" s="371" t="s">
        <v>2819</v>
      </c>
      <c r="V49" s="371" t="s">
        <v>641</v>
      </c>
      <c r="W49">
        <f>COUNTIF(A$2:A49,A49)</f>
        <v>1</v>
      </c>
    </row>
    <row r="50" spans="1:23">
      <c r="A50" t="str">
        <f t="shared" si="0"/>
        <v>F/200/300/135/180/3/1/W/AAA200*3003/1135.0180白AAA0</v>
      </c>
      <c r="B50" s="371" t="s">
        <v>1832</v>
      </c>
      <c r="C50" s="371" t="s">
        <v>285</v>
      </c>
      <c r="D50" s="371" t="s">
        <v>3062</v>
      </c>
      <c r="E50" s="371" t="s">
        <v>617</v>
      </c>
      <c r="F50" s="371" t="s">
        <v>612</v>
      </c>
      <c r="G50" s="371" t="s">
        <v>612</v>
      </c>
      <c r="H50" s="371" t="s">
        <v>1978</v>
      </c>
      <c r="I50" s="371" t="s">
        <v>641</v>
      </c>
      <c r="J50" s="371" t="s">
        <v>217</v>
      </c>
      <c r="K50" s="371" t="s">
        <v>200</v>
      </c>
      <c r="L50" s="371" t="s">
        <v>1975</v>
      </c>
      <c r="M50" s="371" t="s">
        <v>959</v>
      </c>
      <c r="N50" s="371" t="s">
        <v>2</v>
      </c>
      <c r="O50" s="371" t="s">
        <v>287</v>
      </c>
      <c r="P50" s="371" t="s">
        <v>399</v>
      </c>
      <c r="Q50" s="371" t="s">
        <v>399</v>
      </c>
      <c r="R50" s="371" t="s">
        <v>620</v>
      </c>
      <c r="S50" s="371" t="s">
        <v>612</v>
      </c>
      <c r="T50" s="371" t="s">
        <v>1979</v>
      </c>
      <c r="U50" s="371" t="s">
        <v>3063</v>
      </c>
      <c r="V50" s="371" t="s">
        <v>399</v>
      </c>
      <c r="W50">
        <f>COUNTIF(A$2:A50,A50)</f>
        <v>1</v>
      </c>
    </row>
    <row r="51" spans="1:23">
      <c r="A51" t="str">
        <f t="shared" si="0"/>
        <v>30*301/10.0窄幅白AA0鑫茂</v>
      </c>
      <c r="B51" s="371" t="s">
        <v>1832</v>
      </c>
      <c r="C51" s="371" t="s">
        <v>285</v>
      </c>
      <c r="D51" s="371" t="s">
        <v>1981</v>
      </c>
      <c r="E51" s="371" t="s">
        <v>667</v>
      </c>
      <c r="F51" s="371" t="s">
        <v>612</v>
      </c>
      <c r="G51" s="371" t="s">
        <v>612</v>
      </c>
      <c r="H51" s="371" t="s">
        <v>399</v>
      </c>
      <c r="I51" s="371" t="s">
        <v>1982</v>
      </c>
      <c r="J51" s="371" t="s">
        <v>201</v>
      </c>
      <c r="K51" s="371" t="s">
        <v>1110</v>
      </c>
      <c r="L51" s="371" t="s">
        <v>1983</v>
      </c>
      <c r="M51" s="371" t="s">
        <v>1984</v>
      </c>
      <c r="N51" s="371" t="s">
        <v>2</v>
      </c>
      <c r="O51" s="371" t="s">
        <v>282</v>
      </c>
      <c r="P51" s="371" t="s">
        <v>399</v>
      </c>
      <c r="Q51" s="371" t="s">
        <v>281</v>
      </c>
      <c r="R51" s="371" t="s">
        <v>620</v>
      </c>
      <c r="S51" s="371" t="s">
        <v>612</v>
      </c>
      <c r="T51" s="371" t="s">
        <v>1985</v>
      </c>
      <c r="U51" s="371" t="s">
        <v>1986</v>
      </c>
      <c r="V51" s="371" t="s">
        <v>1982</v>
      </c>
      <c r="W51">
        <f>COUNTIF(A$2:A51,A51)</f>
        <v>1</v>
      </c>
    </row>
    <row r="52" spans="1:23">
      <c r="A52" t="str">
        <f t="shared" si="0"/>
        <v>30*301/123.0161白HAAA0鑫茂</v>
      </c>
      <c r="B52" s="371" t="s">
        <v>1832</v>
      </c>
      <c r="C52" s="371" t="s">
        <v>285</v>
      </c>
      <c r="D52" s="371" t="s">
        <v>2376</v>
      </c>
      <c r="E52" s="371" t="s">
        <v>708</v>
      </c>
      <c r="F52" s="371" t="s">
        <v>612</v>
      </c>
      <c r="G52" s="371" t="s">
        <v>612</v>
      </c>
      <c r="H52" s="371" t="s">
        <v>399</v>
      </c>
      <c r="I52" s="371" t="s">
        <v>1982</v>
      </c>
      <c r="J52" s="371" t="s">
        <v>201</v>
      </c>
      <c r="K52" s="371" t="s">
        <v>1110</v>
      </c>
      <c r="L52" s="371" t="s">
        <v>1991</v>
      </c>
      <c r="M52" s="371" t="s">
        <v>2377</v>
      </c>
      <c r="N52" s="371" t="s">
        <v>2</v>
      </c>
      <c r="O52" s="371" t="s">
        <v>1076</v>
      </c>
      <c r="P52" s="371" t="s">
        <v>399</v>
      </c>
      <c r="Q52" s="371" t="s">
        <v>399</v>
      </c>
      <c r="R52" s="371" t="s">
        <v>620</v>
      </c>
      <c r="S52" s="371" t="s">
        <v>612</v>
      </c>
      <c r="T52" s="371" t="s">
        <v>2003</v>
      </c>
      <c r="U52" s="371" t="s">
        <v>2378</v>
      </c>
      <c r="V52" s="371" t="s">
        <v>1982</v>
      </c>
      <c r="W52">
        <f>COUNTIF(A$2:A52,A52)</f>
        <v>1</v>
      </c>
    </row>
    <row r="53" spans="1:23">
      <c r="A53" t="str">
        <f t="shared" si="0"/>
        <v>30*302/223.0201白AAA0环保加密打样</v>
      </c>
      <c r="B53" s="371" t="s">
        <v>1832</v>
      </c>
      <c r="C53" s="371" t="s">
        <v>285</v>
      </c>
      <c r="D53" s="371" t="s">
        <v>1990</v>
      </c>
      <c r="E53" s="371" t="s">
        <v>641</v>
      </c>
      <c r="F53" s="371" t="s">
        <v>612</v>
      </c>
      <c r="G53" s="371" t="s">
        <v>612</v>
      </c>
      <c r="H53" s="371" t="s">
        <v>399</v>
      </c>
      <c r="I53" s="371" t="s">
        <v>515</v>
      </c>
      <c r="J53" s="371" t="s">
        <v>201</v>
      </c>
      <c r="K53" s="371" t="s">
        <v>197</v>
      </c>
      <c r="L53" s="371" t="s">
        <v>1991</v>
      </c>
      <c r="M53" s="371" t="s">
        <v>1992</v>
      </c>
      <c r="N53" s="371" t="s">
        <v>2</v>
      </c>
      <c r="O53" s="371" t="s">
        <v>287</v>
      </c>
      <c r="P53" s="371" t="s">
        <v>399</v>
      </c>
      <c r="Q53" s="371" t="s">
        <v>281</v>
      </c>
      <c r="R53" s="371" t="s">
        <v>620</v>
      </c>
      <c r="S53" s="371" t="s">
        <v>612</v>
      </c>
      <c r="T53" s="371" t="s">
        <v>1993</v>
      </c>
      <c r="U53" s="371" t="s">
        <v>1994</v>
      </c>
      <c r="V53" s="371" t="s">
        <v>1995</v>
      </c>
      <c r="W53">
        <f>COUNTIF(A$2:A53,A53)</f>
        <v>1</v>
      </c>
    </row>
    <row r="54" spans="1:23">
      <c r="A54" t="str">
        <f t="shared" si="0"/>
        <v>30*301/123.0200白AAA0</v>
      </c>
      <c r="B54" s="371" t="s">
        <v>1832</v>
      </c>
      <c r="C54" s="371" t="s">
        <v>285</v>
      </c>
      <c r="D54" s="371" t="s">
        <v>2656</v>
      </c>
      <c r="E54" s="371" t="s">
        <v>1820</v>
      </c>
      <c r="F54" s="371" t="s">
        <v>612</v>
      </c>
      <c r="G54" s="371" t="s">
        <v>612</v>
      </c>
      <c r="H54" s="371" t="s">
        <v>399</v>
      </c>
      <c r="I54" s="371" t="s">
        <v>641</v>
      </c>
      <c r="J54" s="371" t="s">
        <v>201</v>
      </c>
      <c r="K54" s="371" t="s">
        <v>1110</v>
      </c>
      <c r="L54" s="371" t="s">
        <v>1991</v>
      </c>
      <c r="M54" s="371" t="s">
        <v>1784</v>
      </c>
      <c r="N54" s="371" t="s">
        <v>2</v>
      </c>
      <c r="O54" s="371" t="s">
        <v>287</v>
      </c>
      <c r="P54" s="371" t="s">
        <v>399</v>
      </c>
      <c r="Q54" s="371" t="s">
        <v>281</v>
      </c>
      <c r="R54" s="371" t="s">
        <v>620</v>
      </c>
      <c r="S54" s="371" t="s">
        <v>612</v>
      </c>
      <c r="T54" s="371" t="s">
        <v>1996</v>
      </c>
      <c r="U54" s="371" t="s">
        <v>2657</v>
      </c>
      <c r="V54" s="371" t="s">
        <v>399</v>
      </c>
      <c r="W54">
        <f>COUNTIF(A$2:A54,A54)</f>
        <v>1</v>
      </c>
    </row>
    <row r="55" spans="1:23">
      <c r="A55" t="str">
        <f t="shared" si="0"/>
        <v>30*301/123.0190黑丝AAA0徐明彬</v>
      </c>
      <c r="B55" s="371" t="s">
        <v>1832</v>
      </c>
      <c r="C55" s="371" t="s">
        <v>285</v>
      </c>
      <c r="D55" s="371" t="s">
        <v>3064</v>
      </c>
      <c r="E55" s="371" t="s">
        <v>719</v>
      </c>
      <c r="F55" s="371" t="s">
        <v>612</v>
      </c>
      <c r="G55" s="371" t="s">
        <v>612</v>
      </c>
      <c r="H55" s="371" t="s">
        <v>399</v>
      </c>
      <c r="I55" s="371" t="s">
        <v>2183</v>
      </c>
      <c r="J55" s="371" t="s">
        <v>201</v>
      </c>
      <c r="K55" s="371" t="s">
        <v>1110</v>
      </c>
      <c r="L55" s="371" t="s">
        <v>1991</v>
      </c>
      <c r="M55" s="371" t="s">
        <v>1933</v>
      </c>
      <c r="N55" s="371" t="s">
        <v>2586</v>
      </c>
      <c r="O55" s="371" t="s">
        <v>287</v>
      </c>
      <c r="P55" s="371" t="s">
        <v>399</v>
      </c>
      <c r="Q55" s="371" t="s">
        <v>281</v>
      </c>
      <c r="R55" s="371" t="s">
        <v>620</v>
      </c>
      <c r="S55" s="371" t="s">
        <v>612</v>
      </c>
      <c r="T55" s="371" t="s">
        <v>2003</v>
      </c>
      <c r="U55" s="371" t="s">
        <v>3065</v>
      </c>
      <c r="V55" s="371" t="s">
        <v>2183</v>
      </c>
      <c r="W55">
        <f>COUNTIF(A$2:A55,A55)</f>
        <v>1</v>
      </c>
    </row>
    <row r="56" spans="1:23">
      <c r="A56" t="str">
        <f t="shared" si="0"/>
        <v>30*301/123.0165白AAA0烘干 鑫茂</v>
      </c>
      <c r="B56" s="371" t="s">
        <v>1832</v>
      </c>
      <c r="C56" s="371" t="s">
        <v>285</v>
      </c>
      <c r="D56" s="371" t="s">
        <v>1997</v>
      </c>
      <c r="E56" s="371" t="s">
        <v>641</v>
      </c>
      <c r="F56" s="371" t="s">
        <v>612</v>
      </c>
      <c r="G56" s="371" t="s">
        <v>612</v>
      </c>
      <c r="H56" s="371" t="s">
        <v>399</v>
      </c>
      <c r="I56" s="371" t="s">
        <v>1998</v>
      </c>
      <c r="J56" s="371" t="s">
        <v>201</v>
      </c>
      <c r="K56" s="371" t="s">
        <v>1110</v>
      </c>
      <c r="L56" s="371" t="s">
        <v>1991</v>
      </c>
      <c r="M56" s="371" t="s">
        <v>1999</v>
      </c>
      <c r="N56" s="371" t="s">
        <v>2</v>
      </c>
      <c r="O56" s="371" t="s">
        <v>287</v>
      </c>
      <c r="P56" s="371" t="s">
        <v>399</v>
      </c>
      <c r="Q56" s="371" t="s">
        <v>281</v>
      </c>
      <c r="R56" s="371" t="s">
        <v>612</v>
      </c>
      <c r="S56" s="371" t="s">
        <v>612</v>
      </c>
      <c r="T56" s="371" t="s">
        <v>1989</v>
      </c>
      <c r="U56" s="371" t="s">
        <v>2000</v>
      </c>
      <c r="V56" s="371" t="s">
        <v>1998</v>
      </c>
      <c r="W56">
        <f>COUNTIF(A$2:A56,A56)</f>
        <v>1</v>
      </c>
    </row>
    <row r="57" spans="1:23">
      <c r="A57" t="str">
        <f t="shared" si="0"/>
        <v>F/30/30/23/192/1/1/W/AAA30*301/123.0192白AAA0</v>
      </c>
      <c r="B57" s="371" t="s">
        <v>1832</v>
      </c>
      <c r="C57" s="371" t="s">
        <v>285</v>
      </c>
      <c r="D57" s="371" t="s">
        <v>3066</v>
      </c>
      <c r="E57" s="371" t="s">
        <v>619</v>
      </c>
      <c r="F57" s="371" t="s">
        <v>612</v>
      </c>
      <c r="G57" s="371" t="s">
        <v>612</v>
      </c>
      <c r="H57" s="371" t="s">
        <v>2001</v>
      </c>
      <c r="I57" s="371" t="s">
        <v>641</v>
      </c>
      <c r="J57" s="371" t="s">
        <v>201</v>
      </c>
      <c r="K57" s="371" t="s">
        <v>1110</v>
      </c>
      <c r="L57" s="371" t="s">
        <v>1991</v>
      </c>
      <c r="M57" s="371" t="s">
        <v>2002</v>
      </c>
      <c r="N57" s="371" t="s">
        <v>2</v>
      </c>
      <c r="O57" s="371" t="s">
        <v>287</v>
      </c>
      <c r="P57" s="371" t="s">
        <v>399</v>
      </c>
      <c r="Q57" s="371" t="s">
        <v>281</v>
      </c>
      <c r="R57" s="371" t="s">
        <v>620</v>
      </c>
      <c r="S57" s="371" t="s">
        <v>612</v>
      </c>
      <c r="T57" s="371" t="s">
        <v>2003</v>
      </c>
      <c r="U57" s="371" t="s">
        <v>3067</v>
      </c>
      <c r="V57" s="371" t="s">
        <v>399</v>
      </c>
      <c r="W57">
        <f>COUNTIF(A$2:A57,A57)</f>
        <v>1</v>
      </c>
    </row>
    <row r="58" spans="1:23">
      <c r="A58" t="str">
        <f t="shared" si="0"/>
        <v>F/30/30/23/1921/1/W/AAAA30*301/123.0192白AAAA0</v>
      </c>
      <c r="B58" s="371" t="s">
        <v>1832</v>
      </c>
      <c r="C58" s="371" t="s">
        <v>285</v>
      </c>
      <c r="D58" s="371" t="s">
        <v>2380</v>
      </c>
      <c r="E58" s="371" t="s">
        <v>932</v>
      </c>
      <c r="F58" s="371" t="s">
        <v>612</v>
      </c>
      <c r="G58" s="371" t="s">
        <v>612</v>
      </c>
      <c r="H58" s="371" t="s">
        <v>2010</v>
      </c>
      <c r="I58" s="371" t="s">
        <v>641</v>
      </c>
      <c r="J58" s="371" t="s">
        <v>201</v>
      </c>
      <c r="K58" s="371" t="s">
        <v>1110</v>
      </c>
      <c r="L58" s="371" t="s">
        <v>1991</v>
      </c>
      <c r="M58" s="371" t="s">
        <v>2002</v>
      </c>
      <c r="N58" s="371" t="s">
        <v>2</v>
      </c>
      <c r="O58" s="371" t="s">
        <v>387</v>
      </c>
      <c r="P58" s="371" t="s">
        <v>399</v>
      </c>
      <c r="Q58" s="371" t="s">
        <v>281</v>
      </c>
      <c r="R58" s="371" t="s">
        <v>620</v>
      </c>
      <c r="S58" s="371" t="s">
        <v>612</v>
      </c>
      <c r="T58" s="371" t="s">
        <v>2011</v>
      </c>
      <c r="U58" s="371" t="s">
        <v>2381</v>
      </c>
      <c r="V58" s="371" t="s">
        <v>399</v>
      </c>
      <c r="W58">
        <f>COUNTIF(A$2:A58,A58)</f>
        <v>1</v>
      </c>
    </row>
    <row r="59" spans="1:23">
      <c r="A59" t="str">
        <f t="shared" si="0"/>
        <v>30*301/123.0165白AAA0鑫茂</v>
      </c>
      <c r="B59" s="371" t="s">
        <v>1832</v>
      </c>
      <c r="C59" s="371" t="s">
        <v>285</v>
      </c>
      <c r="D59" s="371" t="s">
        <v>2382</v>
      </c>
      <c r="E59" s="371" t="s">
        <v>2383</v>
      </c>
      <c r="F59" s="371" t="s">
        <v>612</v>
      </c>
      <c r="G59" s="371" t="s">
        <v>612</v>
      </c>
      <c r="H59" s="371" t="s">
        <v>399</v>
      </c>
      <c r="I59" s="371" t="s">
        <v>1982</v>
      </c>
      <c r="J59" s="371" t="s">
        <v>201</v>
      </c>
      <c r="K59" s="371" t="s">
        <v>1110</v>
      </c>
      <c r="L59" s="371" t="s">
        <v>1991</v>
      </c>
      <c r="M59" s="371" t="s">
        <v>1999</v>
      </c>
      <c r="N59" s="371" t="s">
        <v>2</v>
      </c>
      <c r="O59" s="371" t="s">
        <v>287</v>
      </c>
      <c r="P59" s="371" t="s">
        <v>399</v>
      </c>
      <c r="Q59" s="371" t="s">
        <v>399</v>
      </c>
      <c r="R59" s="371" t="s">
        <v>612</v>
      </c>
      <c r="S59" s="371" t="s">
        <v>612</v>
      </c>
      <c r="T59" s="371" t="s">
        <v>2012</v>
      </c>
      <c r="U59" s="371" t="s">
        <v>2384</v>
      </c>
      <c r="V59" s="371" t="s">
        <v>1982</v>
      </c>
      <c r="W59">
        <f>COUNTIF(A$2:A59,A59)</f>
        <v>1</v>
      </c>
    </row>
    <row r="60" spans="1:23">
      <c r="A60" t="str">
        <f t="shared" si="0"/>
        <v>30*301/1宽幅白AA0鑫茂</v>
      </c>
      <c r="B60" s="371" t="s">
        <v>1832</v>
      </c>
      <c r="C60" s="371" t="s">
        <v>285</v>
      </c>
      <c r="D60" s="371" t="s">
        <v>2013</v>
      </c>
      <c r="E60" s="371" t="s">
        <v>670</v>
      </c>
      <c r="F60" s="371" t="s">
        <v>612</v>
      </c>
      <c r="G60" s="371" t="s">
        <v>612</v>
      </c>
      <c r="H60" s="371" t="s">
        <v>399</v>
      </c>
      <c r="I60" s="371" t="s">
        <v>1982</v>
      </c>
      <c r="J60" s="371" t="s">
        <v>201</v>
      </c>
      <c r="K60" s="371" t="s">
        <v>1110</v>
      </c>
      <c r="L60" s="371" t="s">
        <v>399</v>
      </c>
      <c r="M60" s="371" t="s">
        <v>1074</v>
      </c>
      <c r="N60" s="371" t="s">
        <v>2</v>
      </c>
      <c r="O60" s="371" t="s">
        <v>282</v>
      </c>
      <c r="P60" s="371" t="s">
        <v>399</v>
      </c>
      <c r="Q60" s="371" t="s">
        <v>281</v>
      </c>
      <c r="R60" s="371" t="s">
        <v>620</v>
      </c>
      <c r="S60" s="371" t="s">
        <v>612</v>
      </c>
      <c r="T60" s="371" t="s">
        <v>2014</v>
      </c>
      <c r="U60" s="371" t="s">
        <v>2015</v>
      </c>
      <c r="V60" s="371" t="s">
        <v>1982</v>
      </c>
      <c r="W60">
        <f>COUNTIF(A$2:A60,A60)</f>
        <v>1</v>
      </c>
    </row>
    <row r="61" spans="1:23">
      <c r="A61" t="str">
        <f t="shared" si="0"/>
        <v xml:space="preserve">30*301/123.0190白AAA0徐明彬 </v>
      </c>
      <c r="B61" s="371" t="s">
        <v>1832</v>
      </c>
      <c r="C61" s="371" t="s">
        <v>285</v>
      </c>
      <c r="D61" s="371" t="s">
        <v>3068</v>
      </c>
      <c r="E61" s="371" t="s">
        <v>2727</v>
      </c>
      <c r="F61" s="371" t="s">
        <v>612</v>
      </c>
      <c r="G61" s="371" t="s">
        <v>612</v>
      </c>
      <c r="H61" s="371" t="s">
        <v>399</v>
      </c>
      <c r="I61" s="371" t="s">
        <v>2183</v>
      </c>
      <c r="J61" s="371" t="s">
        <v>201</v>
      </c>
      <c r="K61" s="371" t="s">
        <v>1110</v>
      </c>
      <c r="L61" s="371" t="s">
        <v>1991</v>
      </c>
      <c r="M61" s="371" t="s">
        <v>1933</v>
      </c>
      <c r="N61" s="371" t="s">
        <v>2</v>
      </c>
      <c r="O61" s="371" t="s">
        <v>287</v>
      </c>
      <c r="P61" s="371" t="s">
        <v>399</v>
      </c>
      <c r="Q61" s="371" t="s">
        <v>281</v>
      </c>
      <c r="R61" s="371" t="s">
        <v>620</v>
      </c>
      <c r="S61" s="371" t="s">
        <v>612</v>
      </c>
      <c r="T61" s="371" t="s">
        <v>2027</v>
      </c>
      <c r="U61" s="371" t="s">
        <v>3069</v>
      </c>
      <c r="V61" s="371" t="s">
        <v>2854</v>
      </c>
      <c r="W61">
        <f>COUNTIF(A$2:A61,A61)</f>
        <v>1</v>
      </c>
    </row>
    <row r="62" spans="1:23">
      <c r="A62" t="str">
        <f t="shared" si="0"/>
        <v>30*301/123.0190白AAA0鑫茂</v>
      </c>
      <c r="B62" s="371" t="s">
        <v>1832</v>
      </c>
      <c r="C62" s="371" t="s">
        <v>285</v>
      </c>
      <c r="D62" s="371" t="s">
        <v>2820</v>
      </c>
      <c r="E62" s="371" t="s">
        <v>1662</v>
      </c>
      <c r="F62" s="371" t="s">
        <v>612</v>
      </c>
      <c r="G62" s="371" t="s">
        <v>612</v>
      </c>
      <c r="H62" s="371" t="s">
        <v>399</v>
      </c>
      <c r="I62" s="371" t="s">
        <v>1982</v>
      </c>
      <c r="J62" s="371" t="s">
        <v>201</v>
      </c>
      <c r="K62" s="371" t="s">
        <v>1110</v>
      </c>
      <c r="L62" s="371" t="s">
        <v>1991</v>
      </c>
      <c r="M62" s="371" t="s">
        <v>1933</v>
      </c>
      <c r="N62" s="371" t="s">
        <v>2</v>
      </c>
      <c r="O62" s="371" t="s">
        <v>287</v>
      </c>
      <c r="P62" s="371" t="s">
        <v>399</v>
      </c>
      <c r="Q62" s="371" t="s">
        <v>399</v>
      </c>
      <c r="R62" s="371" t="s">
        <v>620</v>
      </c>
      <c r="S62" s="371" t="s">
        <v>612</v>
      </c>
      <c r="T62" s="371" t="s">
        <v>2003</v>
      </c>
      <c r="U62" s="371" t="s">
        <v>2821</v>
      </c>
      <c r="V62" s="371" t="s">
        <v>1982</v>
      </c>
      <c r="W62">
        <f>COUNTIF(A$2:A62,A62)</f>
        <v>1</v>
      </c>
    </row>
    <row r="63" spans="1:23">
      <c r="A63" t="str">
        <f t="shared" si="0"/>
        <v>30*301/123.0165白HAAA鑫茂HAAA鑫茂</v>
      </c>
      <c r="B63" s="371" t="s">
        <v>1832</v>
      </c>
      <c r="C63" s="371" t="s">
        <v>285</v>
      </c>
      <c r="D63" s="371" t="s">
        <v>2389</v>
      </c>
      <c r="E63" s="371" t="s">
        <v>932</v>
      </c>
      <c r="F63" s="371" t="s">
        <v>612</v>
      </c>
      <c r="G63" s="371" t="s">
        <v>612</v>
      </c>
      <c r="H63" s="371" t="s">
        <v>399</v>
      </c>
      <c r="I63" s="371" t="s">
        <v>1982</v>
      </c>
      <c r="J63" s="371" t="s">
        <v>201</v>
      </c>
      <c r="K63" s="371" t="s">
        <v>1110</v>
      </c>
      <c r="L63" s="371" t="s">
        <v>1991</v>
      </c>
      <c r="M63" s="371" t="s">
        <v>1999</v>
      </c>
      <c r="N63" s="371" t="s">
        <v>2</v>
      </c>
      <c r="O63" s="371" t="s">
        <v>1076</v>
      </c>
      <c r="P63" s="371" t="s">
        <v>399</v>
      </c>
      <c r="Q63" s="371" t="s">
        <v>281</v>
      </c>
      <c r="R63" s="371" t="s">
        <v>620</v>
      </c>
      <c r="S63" s="371" t="s">
        <v>2390</v>
      </c>
      <c r="T63" s="371" t="s">
        <v>1850</v>
      </c>
      <c r="U63" s="371" t="s">
        <v>2950</v>
      </c>
      <c r="V63" s="371" t="s">
        <v>1982</v>
      </c>
      <c r="W63">
        <f>COUNTIF(A$2:A63,A63)</f>
        <v>1</v>
      </c>
    </row>
    <row r="64" spans="1:23">
      <c r="A64" t="str">
        <f t="shared" si="0"/>
        <v>30*301/123.0190黑AA0徐明彬</v>
      </c>
      <c r="B64" s="371" t="s">
        <v>1832</v>
      </c>
      <c r="C64" s="371" t="s">
        <v>285</v>
      </c>
      <c r="D64" s="371" t="s">
        <v>3070</v>
      </c>
      <c r="E64" s="371" t="s">
        <v>620</v>
      </c>
      <c r="F64" s="371" t="s">
        <v>612</v>
      </c>
      <c r="G64" s="371" t="s">
        <v>612</v>
      </c>
      <c r="H64" s="371" t="s">
        <v>399</v>
      </c>
      <c r="I64" s="371" t="s">
        <v>2183</v>
      </c>
      <c r="J64" s="371" t="s">
        <v>201</v>
      </c>
      <c r="K64" s="371" t="s">
        <v>1110</v>
      </c>
      <c r="L64" s="371" t="s">
        <v>1991</v>
      </c>
      <c r="M64" s="371" t="s">
        <v>1933</v>
      </c>
      <c r="N64" s="371" t="s">
        <v>1</v>
      </c>
      <c r="O64" s="371" t="s">
        <v>282</v>
      </c>
      <c r="P64" s="371" t="s">
        <v>399</v>
      </c>
      <c r="Q64" s="371" t="s">
        <v>399</v>
      </c>
      <c r="R64" s="371" t="s">
        <v>620</v>
      </c>
      <c r="S64" s="371" t="s">
        <v>612</v>
      </c>
      <c r="T64" s="371" t="s">
        <v>399</v>
      </c>
      <c r="U64" s="371" t="s">
        <v>612</v>
      </c>
      <c r="V64" s="371" t="s">
        <v>2183</v>
      </c>
      <c r="W64">
        <f>COUNTIF(A$2:A64,A64)</f>
        <v>1</v>
      </c>
    </row>
    <row r="65" spans="1:23">
      <c r="A65" t="str">
        <f t="shared" si="0"/>
        <v>F/30/30/23/192/1/1/W/AA30*301/123.0192白AA0</v>
      </c>
      <c r="B65" s="371" t="s">
        <v>1832</v>
      </c>
      <c r="C65" s="371" t="s">
        <v>285</v>
      </c>
      <c r="D65" s="371" t="s">
        <v>2020</v>
      </c>
      <c r="E65" s="371" t="s">
        <v>641</v>
      </c>
      <c r="F65" s="371" t="s">
        <v>612</v>
      </c>
      <c r="G65" s="371" t="s">
        <v>612</v>
      </c>
      <c r="H65" s="371" t="s">
        <v>2021</v>
      </c>
      <c r="I65" s="371" t="s">
        <v>620</v>
      </c>
      <c r="J65" s="371" t="s">
        <v>201</v>
      </c>
      <c r="K65" s="371" t="s">
        <v>1110</v>
      </c>
      <c r="L65" s="371" t="s">
        <v>1991</v>
      </c>
      <c r="M65" s="371" t="s">
        <v>2002</v>
      </c>
      <c r="N65" s="371" t="s">
        <v>2</v>
      </c>
      <c r="O65" s="371" t="s">
        <v>282</v>
      </c>
      <c r="P65" s="371" t="s">
        <v>399</v>
      </c>
      <c r="Q65" s="371" t="s">
        <v>281</v>
      </c>
      <c r="R65" s="371" t="s">
        <v>620</v>
      </c>
      <c r="S65" s="371" t="s">
        <v>612</v>
      </c>
      <c r="T65" s="371" t="s">
        <v>2022</v>
      </c>
      <c r="U65" s="371" t="s">
        <v>2023</v>
      </c>
      <c r="V65" s="371" t="s">
        <v>399</v>
      </c>
      <c r="W65">
        <f>COUNTIF(A$2:A65,A65)</f>
        <v>1</v>
      </c>
    </row>
    <row r="66" spans="1:23">
      <c r="A66" t="str">
        <f t="shared" si="0"/>
        <v>30*301/123.0190白AAAA0环保 打样</v>
      </c>
      <c r="B66" s="371" t="s">
        <v>1832</v>
      </c>
      <c r="C66" s="371" t="s">
        <v>285</v>
      </c>
      <c r="D66" s="371" t="s">
        <v>2024</v>
      </c>
      <c r="E66" s="371" t="s">
        <v>620</v>
      </c>
      <c r="F66" s="371" t="s">
        <v>612</v>
      </c>
      <c r="G66" s="371" t="s">
        <v>612</v>
      </c>
      <c r="H66" s="371" t="s">
        <v>399</v>
      </c>
      <c r="I66" s="371" t="s">
        <v>515</v>
      </c>
      <c r="J66" s="371" t="s">
        <v>201</v>
      </c>
      <c r="K66" s="371" t="s">
        <v>1110</v>
      </c>
      <c r="L66" s="371" t="s">
        <v>1991</v>
      </c>
      <c r="M66" s="371" t="s">
        <v>1933</v>
      </c>
      <c r="N66" s="371" t="s">
        <v>2</v>
      </c>
      <c r="O66" s="371" t="s">
        <v>387</v>
      </c>
      <c r="P66" s="371" t="s">
        <v>399</v>
      </c>
      <c r="Q66" s="371" t="s">
        <v>281</v>
      </c>
      <c r="R66" s="371" t="s">
        <v>620</v>
      </c>
      <c r="S66" s="371" t="s">
        <v>612</v>
      </c>
      <c r="T66" s="371" t="s">
        <v>1850</v>
      </c>
      <c r="U66" s="371" t="s">
        <v>2025</v>
      </c>
      <c r="V66" s="371" t="s">
        <v>1902</v>
      </c>
      <c r="W66">
        <f>COUNTIF(A$2:A66,A66)</f>
        <v>1</v>
      </c>
    </row>
    <row r="67" spans="1:23">
      <c r="A67" t="str">
        <f t="shared" ref="A67:A130" si="1">H67&amp;J67&amp;K67&amp;L67&amp;M67&amp;N67&amp;O67&amp;S67&amp;V67</f>
        <v>F/30/30/23/201/2/2/W/AAA30*302/223.0201白AAA21</v>
      </c>
      <c r="B67" s="371" t="s">
        <v>1832</v>
      </c>
      <c r="C67" s="371" t="s">
        <v>285</v>
      </c>
      <c r="D67" s="371" t="s">
        <v>2658</v>
      </c>
      <c r="E67" s="371" t="s">
        <v>708</v>
      </c>
      <c r="F67" s="371" t="s">
        <v>612</v>
      </c>
      <c r="G67" s="371" t="s">
        <v>612</v>
      </c>
      <c r="H67" s="371" t="s">
        <v>2026</v>
      </c>
      <c r="I67" s="371" t="s">
        <v>630</v>
      </c>
      <c r="J67" s="371" t="s">
        <v>201</v>
      </c>
      <c r="K67" s="371" t="s">
        <v>197</v>
      </c>
      <c r="L67" s="371" t="s">
        <v>1991</v>
      </c>
      <c r="M67" s="371" t="s">
        <v>1992</v>
      </c>
      <c r="N67" s="371" t="s">
        <v>2</v>
      </c>
      <c r="O67" s="371" t="s">
        <v>287</v>
      </c>
      <c r="P67" s="371" t="s">
        <v>399</v>
      </c>
      <c r="Q67" s="371" t="s">
        <v>399</v>
      </c>
      <c r="R67" s="371" t="s">
        <v>620</v>
      </c>
      <c r="S67" s="371" t="s">
        <v>620</v>
      </c>
      <c r="T67" s="371" t="s">
        <v>2027</v>
      </c>
      <c r="U67" s="371" t="s">
        <v>2659</v>
      </c>
      <c r="V67" s="371" t="s">
        <v>641</v>
      </c>
      <c r="W67">
        <f>COUNTIF(A$2:A67,A67)</f>
        <v>1</v>
      </c>
    </row>
    <row r="68" spans="1:23">
      <c r="A68" t="str">
        <f t="shared" si="1"/>
        <v>130*302/223.0201黑AAAA骏马湿布骏马湿布</v>
      </c>
      <c r="B68" s="371" t="s">
        <v>1832</v>
      </c>
      <c r="C68" s="371" t="s">
        <v>285</v>
      </c>
      <c r="D68" s="371" t="s">
        <v>2660</v>
      </c>
      <c r="E68" s="371" t="s">
        <v>641</v>
      </c>
      <c r="F68" s="371" t="s">
        <v>612</v>
      </c>
      <c r="G68" s="371" t="s">
        <v>612</v>
      </c>
      <c r="H68" s="371" t="s">
        <v>641</v>
      </c>
      <c r="I68" s="371" t="s">
        <v>1911</v>
      </c>
      <c r="J68" s="371" t="s">
        <v>201</v>
      </c>
      <c r="K68" s="371" t="s">
        <v>197</v>
      </c>
      <c r="L68" s="371" t="s">
        <v>1991</v>
      </c>
      <c r="M68" s="371" t="s">
        <v>1992</v>
      </c>
      <c r="N68" s="371" t="s">
        <v>1</v>
      </c>
      <c r="O68" s="371" t="s">
        <v>387</v>
      </c>
      <c r="P68" s="371" t="s">
        <v>399</v>
      </c>
      <c r="Q68" s="371" t="s">
        <v>281</v>
      </c>
      <c r="R68" s="371" t="s">
        <v>620</v>
      </c>
      <c r="S68" s="371" t="s">
        <v>1911</v>
      </c>
      <c r="T68" s="371" t="s">
        <v>2951</v>
      </c>
      <c r="U68" s="371" t="s">
        <v>2952</v>
      </c>
      <c r="V68" s="371" t="s">
        <v>1911</v>
      </c>
      <c r="W68">
        <f>COUNTIF(A$2:A68,A68)</f>
        <v>1</v>
      </c>
    </row>
    <row r="69" spans="1:23">
      <c r="A69" t="str">
        <f t="shared" si="1"/>
        <v>30*301/123.0200白AAAA0</v>
      </c>
      <c r="B69" s="371" t="s">
        <v>1832</v>
      </c>
      <c r="C69" s="371" t="s">
        <v>285</v>
      </c>
      <c r="D69" s="371" t="s">
        <v>2029</v>
      </c>
      <c r="E69" s="371" t="s">
        <v>620</v>
      </c>
      <c r="F69" s="371" t="s">
        <v>612</v>
      </c>
      <c r="G69" s="371" t="s">
        <v>612</v>
      </c>
      <c r="H69" s="371" t="s">
        <v>399</v>
      </c>
      <c r="I69" s="371" t="s">
        <v>641</v>
      </c>
      <c r="J69" s="371" t="s">
        <v>201</v>
      </c>
      <c r="K69" s="371" t="s">
        <v>1110</v>
      </c>
      <c r="L69" s="371" t="s">
        <v>1991</v>
      </c>
      <c r="M69" s="371" t="s">
        <v>1784</v>
      </c>
      <c r="N69" s="371" t="s">
        <v>2</v>
      </c>
      <c r="O69" s="371" t="s">
        <v>387</v>
      </c>
      <c r="P69" s="371" t="s">
        <v>399</v>
      </c>
      <c r="Q69" s="371" t="s">
        <v>281</v>
      </c>
      <c r="R69" s="371" t="s">
        <v>620</v>
      </c>
      <c r="S69" s="371" t="s">
        <v>612</v>
      </c>
      <c r="T69" s="371" t="s">
        <v>1996</v>
      </c>
      <c r="U69" s="371" t="s">
        <v>2030</v>
      </c>
      <c r="V69" s="371" t="s">
        <v>399</v>
      </c>
      <c r="W69">
        <f>COUNTIF(A$2:A69,A69)</f>
        <v>1</v>
      </c>
    </row>
    <row r="70" spans="1:23">
      <c r="A70" t="str">
        <f t="shared" si="1"/>
        <v>30*301/123.0161白AAA0鑫茂</v>
      </c>
      <c r="B70" s="371" t="s">
        <v>1832</v>
      </c>
      <c r="C70" s="371" t="s">
        <v>285</v>
      </c>
      <c r="D70" s="371" t="s">
        <v>2392</v>
      </c>
      <c r="E70" s="371" t="s">
        <v>614</v>
      </c>
      <c r="F70" s="371" t="s">
        <v>612</v>
      </c>
      <c r="G70" s="371" t="s">
        <v>612</v>
      </c>
      <c r="H70" s="371" t="s">
        <v>399</v>
      </c>
      <c r="I70" s="371" t="s">
        <v>1982</v>
      </c>
      <c r="J70" s="371" t="s">
        <v>201</v>
      </c>
      <c r="K70" s="371" t="s">
        <v>1110</v>
      </c>
      <c r="L70" s="371" t="s">
        <v>1991</v>
      </c>
      <c r="M70" s="371" t="s">
        <v>2377</v>
      </c>
      <c r="N70" s="371" t="s">
        <v>2</v>
      </c>
      <c r="O70" s="371" t="s">
        <v>287</v>
      </c>
      <c r="P70" s="371" t="s">
        <v>399</v>
      </c>
      <c r="Q70" s="371" t="s">
        <v>281</v>
      </c>
      <c r="R70" s="371" t="s">
        <v>620</v>
      </c>
      <c r="S70" s="371" t="s">
        <v>612</v>
      </c>
      <c r="T70" s="371" t="s">
        <v>2088</v>
      </c>
      <c r="U70" s="371" t="s">
        <v>2393</v>
      </c>
      <c r="V70" s="371" t="s">
        <v>1982</v>
      </c>
      <c r="W70">
        <f>COUNTIF(A$2:A70,A70)</f>
        <v>1</v>
      </c>
    </row>
    <row r="71" spans="1:23">
      <c r="A71" t="str">
        <f t="shared" si="1"/>
        <v>F/30/30/23/190/1/1/W/AAA30*301/123.0190白AA0环保 打样</v>
      </c>
      <c r="B71" s="371" t="s">
        <v>1832</v>
      </c>
      <c r="C71" s="371" t="s">
        <v>285</v>
      </c>
      <c r="D71" s="371" t="s">
        <v>2031</v>
      </c>
      <c r="E71" s="371" t="s">
        <v>620</v>
      </c>
      <c r="F71" s="371" t="s">
        <v>612</v>
      </c>
      <c r="G71" s="371" t="s">
        <v>612</v>
      </c>
      <c r="H71" s="371" t="s">
        <v>2032</v>
      </c>
      <c r="I71" s="371" t="s">
        <v>515</v>
      </c>
      <c r="J71" s="371" t="s">
        <v>201</v>
      </c>
      <c r="K71" s="371" t="s">
        <v>1110</v>
      </c>
      <c r="L71" s="371" t="s">
        <v>1991</v>
      </c>
      <c r="M71" s="371" t="s">
        <v>1933</v>
      </c>
      <c r="N71" s="371" t="s">
        <v>2</v>
      </c>
      <c r="O71" s="371" t="s">
        <v>282</v>
      </c>
      <c r="P71" s="371" t="s">
        <v>399</v>
      </c>
      <c r="Q71" s="371" t="s">
        <v>281</v>
      </c>
      <c r="R71" s="371" t="s">
        <v>620</v>
      </c>
      <c r="S71" s="371" t="s">
        <v>612</v>
      </c>
      <c r="T71" s="371" t="s">
        <v>2033</v>
      </c>
      <c r="U71" s="371" t="s">
        <v>2034</v>
      </c>
      <c r="V71" s="371" t="s">
        <v>1902</v>
      </c>
      <c r="W71">
        <f>COUNTIF(A$2:A71,A71)</f>
        <v>1</v>
      </c>
    </row>
    <row r="72" spans="1:23">
      <c r="A72" t="str">
        <f t="shared" si="1"/>
        <v>30*30-11/123.0200白AAA0</v>
      </c>
      <c r="B72" s="371" t="s">
        <v>1832</v>
      </c>
      <c r="C72" s="371" t="s">
        <v>285</v>
      </c>
      <c r="D72" s="371" t="s">
        <v>2855</v>
      </c>
      <c r="E72" s="371" t="s">
        <v>2856</v>
      </c>
      <c r="F72" s="371" t="s">
        <v>612</v>
      </c>
      <c r="G72" s="371" t="s">
        <v>612</v>
      </c>
      <c r="H72" s="371" t="s">
        <v>399</v>
      </c>
      <c r="I72" s="371" t="s">
        <v>641</v>
      </c>
      <c r="J72" s="371" t="s">
        <v>2037</v>
      </c>
      <c r="K72" s="371" t="s">
        <v>1110</v>
      </c>
      <c r="L72" s="371" t="s">
        <v>1991</v>
      </c>
      <c r="M72" s="371" t="s">
        <v>1784</v>
      </c>
      <c r="N72" s="371" t="s">
        <v>2</v>
      </c>
      <c r="O72" s="371" t="s">
        <v>287</v>
      </c>
      <c r="P72" s="371" t="s">
        <v>399</v>
      </c>
      <c r="Q72" s="371" t="s">
        <v>281</v>
      </c>
      <c r="R72" s="371" t="s">
        <v>620</v>
      </c>
      <c r="S72" s="371" t="s">
        <v>612</v>
      </c>
      <c r="T72" s="371" t="s">
        <v>1996</v>
      </c>
      <c r="U72" s="371" t="s">
        <v>2857</v>
      </c>
      <c r="V72" s="371" t="s">
        <v>399</v>
      </c>
      <c r="W72">
        <f>COUNTIF(A$2:A72,A72)</f>
        <v>1</v>
      </c>
    </row>
    <row r="73" spans="1:23">
      <c r="A73" t="str">
        <f t="shared" si="1"/>
        <v>F/30/30/23/192/1/1/W/AAA30*30-11/123.0192白AAA0</v>
      </c>
      <c r="B73" s="371" t="s">
        <v>1832</v>
      </c>
      <c r="C73" s="371" t="s">
        <v>285</v>
      </c>
      <c r="D73" s="371" t="s">
        <v>3071</v>
      </c>
      <c r="E73" s="371" t="s">
        <v>1820</v>
      </c>
      <c r="F73" s="371" t="s">
        <v>612</v>
      </c>
      <c r="G73" s="371" t="s">
        <v>612</v>
      </c>
      <c r="H73" s="371" t="s">
        <v>2001</v>
      </c>
      <c r="I73" s="371" t="s">
        <v>630</v>
      </c>
      <c r="J73" s="371" t="s">
        <v>2037</v>
      </c>
      <c r="K73" s="371" t="s">
        <v>1110</v>
      </c>
      <c r="L73" s="371" t="s">
        <v>1991</v>
      </c>
      <c r="M73" s="371" t="s">
        <v>2002</v>
      </c>
      <c r="N73" s="371" t="s">
        <v>2</v>
      </c>
      <c r="O73" s="371" t="s">
        <v>287</v>
      </c>
      <c r="P73" s="371" t="s">
        <v>399</v>
      </c>
      <c r="Q73" s="371" t="s">
        <v>281</v>
      </c>
      <c r="R73" s="371" t="s">
        <v>620</v>
      </c>
      <c r="S73" s="371" t="s">
        <v>612</v>
      </c>
      <c r="T73" s="371" t="s">
        <v>1908</v>
      </c>
      <c r="U73" s="371" t="s">
        <v>3072</v>
      </c>
      <c r="V73" s="371" t="s">
        <v>399</v>
      </c>
      <c r="W73">
        <f>COUNTIF(A$2:A73,A73)</f>
        <v>1</v>
      </c>
    </row>
    <row r="74" spans="1:23">
      <c r="A74" t="str">
        <f t="shared" si="1"/>
        <v>30*30-11/123.0200白AA0</v>
      </c>
      <c r="B74" s="371" t="s">
        <v>1832</v>
      </c>
      <c r="C74" s="371" t="s">
        <v>285</v>
      </c>
      <c r="D74" s="371" t="s">
        <v>2858</v>
      </c>
      <c r="E74" s="371" t="s">
        <v>679</v>
      </c>
      <c r="F74" s="371" t="s">
        <v>612</v>
      </c>
      <c r="G74" s="371" t="s">
        <v>612</v>
      </c>
      <c r="H74" s="371" t="s">
        <v>399</v>
      </c>
      <c r="I74" s="371" t="s">
        <v>641</v>
      </c>
      <c r="J74" s="371" t="s">
        <v>2037</v>
      </c>
      <c r="K74" s="371" t="s">
        <v>1110</v>
      </c>
      <c r="L74" s="371" t="s">
        <v>1991</v>
      </c>
      <c r="M74" s="371" t="s">
        <v>1784</v>
      </c>
      <c r="N74" s="371" t="s">
        <v>2</v>
      </c>
      <c r="O74" s="371" t="s">
        <v>282</v>
      </c>
      <c r="P74" s="371" t="s">
        <v>399</v>
      </c>
      <c r="Q74" s="371" t="s">
        <v>281</v>
      </c>
      <c r="R74" s="371" t="s">
        <v>620</v>
      </c>
      <c r="S74" s="371" t="s">
        <v>612</v>
      </c>
      <c r="T74" s="371" t="s">
        <v>2006</v>
      </c>
      <c r="U74" s="371" t="s">
        <v>2859</v>
      </c>
      <c r="V74" s="371" t="s">
        <v>399</v>
      </c>
      <c r="W74">
        <f>COUNTIF(A$2:A74,A74)</f>
        <v>1</v>
      </c>
    </row>
    <row r="75" spans="1:23">
      <c r="A75" t="str">
        <f t="shared" si="1"/>
        <v>30*30-111/123.0190白HAAAA0</v>
      </c>
      <c r="B75" s="371" t="s">
        <v>1832</v>
      </c>
      <c r="C75" s="371" t="s">
        <v>285</v>
      </c>
      <c r="D75" s="371" t="s">
        <v>2661</v>
      </c>
      <c r="E75" s="371" t="s">
        <v>625</v>
      </c>
      <c r="F75" s="371" t="s">
        <v>612</v>
      </c>
      <c r="G75" s="371" t="s">
        <v>612</v>
      </c>
      <c r="H75" s="371" t="s">
        <v>399</v>
      </c>
      <c r="I75" s="371" t="s">
        <v>641</v>
      </c>
      <c r="J75" s="371" t="s">
        <v>2040</v>
      </c>
      <c r="K75" s="371" t="s">
        <v>1110</v>
      </c>
      <c r="L75" s="371" t="s">
        <v>1991</v>
      </c>
      <c r="M75" s="371" t="s">
        <v>1933</v>
      </c>
      <c r="N75" s="371" t="s">
        <v>2</v>
      </c>
      <c r="O75" s="371" t="s">
        <v>1075</v>
      </c>
      <c r="P75" s="371" t="s">
        <v>399</v>
      </c>
      <c r="Q75" s="371" t="s">
        <v>281</v>
      </c>
      <c r="R75" s="371" t="s">
        <v>620</v>
      </c>
      <c r="S75" s="371" t="s">
        <v>612</v>
      </c>
      <c r="T75" s="371" t="s">
        <v>2006</v>
      </c>
      <c r="U75" s="371" t="s">
        <v>2662</v>
      </c>
      <c r="V75" s="371" t="s">
        <v>399</v>
      </c>
      <c r="W75">
        <f>COUNTIF(A$2:A75,A75)</f>
        <v>1</v>
      </c>
    </row>
    <row r="76" spans="1:23">
      <c r="A76" t="str">
        <f t="shared" si="1"/>
        <v>30*30-111/123.0190白AAA0</v>
      </c>
      <c r="B76" s="371" t="s">
        <v>1832</v>
      </c>
      <c r="C76" s="371" t="s">
        <v>285</v>
      </c>
      <c r="D76" s="371" t="s">
        <v>3073</v>
      </c>
      <c r="E76" s="371" t="s">
        <v>719</v>
      </c>
      <c r="F76" s="371" t="s">
        <v>612</v>
      </c>
      <c r="G76" s="371" t="s">
        <v>612</v>
      </c>
      <c r="H76" s="371" t="s">
        <v>399</v>
      </c>
      <c r="I76" s="371" t="s">
        <v>641</v>
      </c>
      <c r="J76" s="371" t="s">
        <v>2040</v>
      </c>
      <c r="K76" s="371" t="s">
        <v>1110</v>
      </c>
      <c r="L76" s="371" t="s">
        <v>1991</v>
      </c>
      <c r="M76" s="371" t="s">
        <v>1933</v>
      </c>
      <c r="N76" s="371" t="s">
        <v>2</v>
      </c>
      <c r="O76" s="371" t="s">
        <v>287</v>
      </c>
      <c r="P76" s="371" t="s">
        <v>399</v>
      </c>
      <c r="Q76" s="371" t="s">
        <v>281</v>
      </c>
      <c r="R76" s="371" t="s">
        <v>620</v>
      </c>
      <c r="S76" s="371" t="s">
        <v>612</v>
      </c>
      <c r="T76" s="371" t="s">
        <v>2006</v>
      </c>
      <c r="U76" s="371" t="s">
        <v>3074</v>
      </c>
      <c r="V76" s="371" t="s">
        <v>399</v>
      </c>
      <c r="W76">
        <f>COUNTIF(A$2:A76,A76)</f>
        <v>1</v>
      </c>
    </row>
    <row r="77" spans="1:23">
      <c r="A77" t="str">
        <f t="shared" si="1"/>
        <v>30*30-111/123.0190白AAAA骏马湿布骏马湿布</v>
      </c>
      <c r="B77" s="371" t="s">
        <v>1832</v>
      </c>
      <c r="C77" s="371" t="s">
        <v>285</v>
      </c>
      <c r="D77" s="371" t="s">
        <v>3075</v>
      </c>
      <c r="E77" s="371" t="s">
        <v>2155</v>
      </c>
      <c r="F77" s="371" t="s">
        <v>612</v>
      </c>
      <c r="G77" s="371" t="s">
        <v>612</v>
      </c>
      <c r="H77" s="371" t="s">
        <v>399</v>
      </c>
      <c r="I77" s="371" t="s">
        <v>1911</v>
      </c>
      <c r="J77" s="371" t="s">
        <v>2040</v>
      </c>
      <c r="K77" s="371" t="s">
        <v>1110</v>
      </c>
      <c r="L77" s="371" t="s">
        <v>1991</v>
      </c>
      <c r="M77" s="371" t="s">
        <v>1933</v>
      </c>
      <c r="N77" s="371" t="s">
        <v>2</v>
      </c>
      <c r="O77" s="371" t="s">
        <v>387</v>
      </c>
      <c r="P77" s="371" t="s">
        <v>399</v>
      </c>
      <c r="Q77" s="371" t="s">
        <v>281</v>
      </c>
      <c r="R77" s="371" t="s">
        <v>620</v>
      </c>
      <c r="S77" s="371" t="s">
        <v>1911</v>
      </c>
      <c r="T77" s="371" t="s">
        <v>1996</v>
      </c>
      <c r="U77" s="371" t="s">
        <v>3076</v>
      </c>
      <c r="V77" s="371" t="s">
        <v>1911</v>
      </c>
      <c r="W77">
        <f>COUNTIF(A$2:A77,A77)</f>
        <v>1</v>
      </c>
    </row>
    <row r="78" spans="1:23">
      <c r="A78" t="str">
        <f t="shared" si="1"/>
        <v>30*30-121/123.0190白AA0</v>
      </c>
      <c r="B78" s="371" t="s">
        <v>1832</v>
      </c>
      <c r="C78" s="371" t="s">
        <v>285</v>
      </c>
      <c r="D78" s="371" t="s">
        <v>2043</v>
      </c>
      <c r="E78" s="371" t="s">
        <v>641</v>
      </c>
      <c r="F78" s="371" t="s">
        <v>612</v>
      </c>
      <c r="G78" s="371" t="s">
        <v>612</v>
      </c>
      <c r="H78" s="371" t="s">
        <v>399</v>
      </c>
      <c r="I78" s="371" t="s">
        <v>641</v>
      </c>
      <c r="J78" s="371" t="s">
        <v>2044</v>
      </c>
      <c r="K78" s="371" t="s">
        <v>1110</v>
      </c>
      <c r="L78" s="371" t="s">
        <v>1991</v>
      </c>
      <c r="M78" s="371" t="s">
        <v>1933</v>
      </c>
      <c r="N78" s="371" t="s">
        <v>2</v>
      </c>
      <c r="O78" s="371" t="s">
        <v>282</v>
      </c>
      <c r="P78" s="371" t="s">
        <v>399</v>
      </c>
      <c r="Q78" s="371" t="s">
        <v>281</v>
      </c>
      <c r="R78" s="371" t="s">
        <v>620</v>
      </c>
      <c r="S78" s="371" t="s">
        <v>612</v>
      </c>
      <c r="T78" s="371" t="s">
        <v>2045</v>
      </c>
      <c r="U78" s="371" t="s">
        <v>2046</v>
      </c>
      <c r="V78" s="371" t="s">
        <v>399</v>
      </c>
      <c r="W78">
        <f>COUNTIF(A$2:A78,A78)</f>
        <v>1</v>
      </c>
    </row>
    <row r="79" spans="1:23">
      <c r="A79" t="str">
        <f t="shared" si="1"/>
        <v>30*30-121/123.0190白AAA0</v>
      </c>
      <c r="B79" s="371" t="s">
        <v>1832</v>
      </c>
      <c r="C79" s="371" t="s">
        <v>285</v>
      </c>
      <c r="D79" s="371" t="s">
        <v>2395</v>
      </c>
      <c r="E79" s="371" t="s">
        <v>719</v>
      </c>
      <c r="F79" s="371" t="s">
        <v>612</v>
      </c>
      <c r="G79" s="371" t="s">
        <v>612</v>
      </c>
      <c r="H79" s="371" t="s">
        <v>399</v>
      </c>
      <c r="I79" s="371" t="s">
        <v>641</v>
      </c>
      <c r="J79" s="371" t="s">
        <v>2044</v>
      </c>
      <c r="K79" s="371" t="s">
        <v>1110</v>
      </c>
      <c r="L79" s="371" t="s">
        <v>1991</v>
      </c>
      <c r="M79" s="371" t="s">
        <v>1933</v>
      </c>
      <c r="N79" s="371" t="s">
        <v>2</v>
      </c>
      <c r="O79" s="371" t="s">
        <v>287</v>
      </c>
      <c r="P79" s="371" t="s">
        <v>399</v>
      </c>
      <c r="Q79" s="371" t="s">
        <v>281</v>
      </c>
      <c r="R79" s="371" t="s">
        <v>620</v>
      </c>
      <c r="S79" s="371" t="s">
        <v>612</v>
      </c>
      <c r="T79" s="371" t="s">
        <v>1996</v>
      </c>
      <c r="U79" s="371" t="s">
        <v>2396</v>
      </c>
      <c r="V79" s="371" t="s">
        <v>399</v>
      </c>
      <c r="W79">
        <f>COUNTIF(A$2:A79,A79)</f>
        <v>1</v>
      </c>
    </row>
    <row r="80" spans="1:23">
      <c r="A80" t="str">
        <f t="shared" si="1"/>
        <v>30*30-121/123.0190白AAAA0</v>
      </c>
      <c r="B80" s="371" t="s">
        <v>1832</v>
      </c>
      <c r="C80" s="371" t="s">
        <v>285</v>
      </c>
      <c r="D80" s="371" t="s">
        <v>2663</v>
      </c>
      <c r="E80" s="371" t="s">
        <v>641</v>
      </c>
      <c r="F80" s="371" t="s">
        <v>612</v>
      </c>
      <c r="G80" s="371" t="s">
        <v>612</v>
      </c>
      <c r="H80" s="371" t="s">
        <v>399</v>
      </c>
      <c r="I80" s="371" t="s">
        <v>620</v>
      </c>
      <c r="J80" s="371" t="s">
        <v>2044</v>
      </c>
      <c r="K80" s="371" t="s">
        <v>1110</v>
      </c>
      <c r="L80" s="371" t="s">
        <v>1991</v>
      </c>
      <c r="M80" s="371" t="s">
        <v>1933</v>
      </c>
      <c r="N80" s="371" t="s">
        <v>2</v>
      </c>
      <c r="O80" s="371" t="s">
        <v>387</v>
      </c>
      <c r="P80" s="371" t="s">
        <v>399</v>
      </c>
      <c r="Q80" s="371" t="s">
        <v>399</v>
      </c>
      <c r="R80" s="371" t="s">
        <v>620</v>
      </c>
      <c r="S80" s="371" t="s">
        <v>612</v>
      </c>
      <c r="T80" s="371" t="s">
        <v>2006</v>
      </c>
      <c r="U80" s="371" t="s">
        <v>2664</v>
      </c>
      <c r="V80" s="371" t="s">
        <v>399</v>
      </c>
      <c r="W80">
        <f>COUNTIF(A$2:A80,A80)</f>
        <v>1</v>
      </c>
    </row>
    <row r="81" spans="1:23">
      <c r="A81" t="str">
        <f t="shared" si="1"/>
        <v>30*30-141/123.0190白HAAAA0</v>
      </c>
      <c r="B81" s="371" t="s">
        <v>1832</v>
      </c>
      <c r="C81" s="371" t="s">
        <v>285</v>
      </c>
      <c r="D81" s="371" t="s">
        <v>2822</v>
      </c>
      <c r="E81" s="371" t="s">
        <v>641</v>
      </c>
      <c r="F81" s="371" t="s">
        <v>612</v>
      </c>
      <c r="G81" s="371" t="s">
        <v>612</v>
      </c>
      <c r="H81" s="371" t="s">
        <v>399</v>
      </c>
      <c r="I81" s="371" t="s">
        <v>641</v>
      </c>
      <c r="J81" s="371" t="s">
        <v>2049</v>
      </c>
      <c r="K81" s="371" t="s">
        <v>1110</v>
      </c>
      <c r="L81" s="371" t="s">
        <v>1991</v>
      </c>
      <c r="M81" s="371" t="s">
        <v>1933</v>
      </c>
      <c r="N81" s="371" t="s">
        <v>2</v>
      </c>
      <c r="O81" s="371" t="s">
        <v>1075</v>
      </c>
      <c r="P81" s="371" t="s">
        <v>399</v>
      </c>
      <c r="Q81" s="371" t="s">
        <v>281</v>
      </c>
      <c r="R81" s="371" t="s">
        <v>620</v>
      </c>
      <c r="S81" s="371" t="s">
        <v>612</v>
      </c>
      <c r="T81" s="371" t="s">
        <v>1850</v>
      </c>
      <c r="U81" s="371" t="s">
        <v>2953</v>
      </c>
      <c r="V81" s="371" t="s">
        <v>399</v>
      </c>
      <c r="W81">
        <f>COUNTIF(A$2:A81,A81)</f>
        <v>1</v>
      </c>
    </row>
    <row r="82" spans="1:23">
      <c r="A82" t="str">
        <f t="shared" si="1"/>
        <v>30*30-141/123.0190白AAA0</v>
      </c>
      <c r="B82" s="371" t="s">
        <v>1832</v>
      </c>
      <c r="C82" s="371" t="s">
        <v>285</v>
      </c>
      <c r="D82" s="371" t="s">
        <v>2823</v>
      </c>
      <c r="E82" s="371" t="s">
        <v>620</v>
      </c>
      <c r="F82" s="371" t="s">
        <v>612</v>
      </c>
      <c r="G82" s="371" t="s">
        <v>612</v>
      </c>
      <c r="H82" s="371" t="s">
        <v>399</v>
      </c>
      <c r="I82" s="371" t="s">
        <v>641</v>
      </c>
      <c r="J82" s="371" t="s">
        <v>2049</v>
      </c>
      <c r="K82" s="371" t="s">
        <v>1110</v>
      </c>
      <c r="L82" s="371" t="s">
        <v>1991</v>
      </c>
      <c r="M82" s="371" t="s">
        <v>1933</v>
      </c>
      <c r="N82" s="371" t="s">
        <v>2</v>
      </c>
      <c r="O82" s="371" t="s">
        <v>287</v>
      </c>
      <c r="P82" s="371" t="s">
        <v>399</v>
      </c>
      <c r="Q82" s="371" t="s">
        <v>281</v>
      </c>
      <c r="R82" s="371" t="s">
        <v>620</v>
      </c>
      <c r="S82" s="371" t="s">
        <v>612</v>
      </c>
      <c r="T82" s="371" t="s">
        <v>2050</v>
      </c>
      <c r="U82" s="371" t="s">
        <v>2824</v>
      </c>
      <c r="V82" s="371" t="s">
        <v>399</v>
      </c>
      <c r="W82">
        <f>COUNTIF(A$2:A82,A82)</f>
        <v>1</v>
      </c>
    </row>
    <row r="83" spans="1:23">
      <c r="A83" t="str">
        <f t="shared" si="1"/>
        <v>30*30-141/123.0190白AAAA0</v>
      </c>
      <c r="B83" s="371" t="s">
        <v>1832</v>
      </c>
      <c r="C83" s="371" t="s">
        <v>285</v>
      </c>
      <c r="D83" s="371" t="s">
        <v>2825</v>
      </c>
      <c r="E83" s="371" t="s">
        <v>630</v>
      </c>
      <c r="F83" s="371" t="s">
        <v>612</v>
      </c>
      <c r="G83" s="371" t="s">
        <v>612</v>
      </c>
      <c r="H83" s="371" t="s">
        <v>399</v>
      </c>
      <c r="I83" s="371" t="s">
        <v>641</v>
      </c>
      <c r="J83" s="371" t="s">
        <v>2049</v>
      </c>
      <c r="K83" s="371" t="s">
        <v>1110</v>
      </c>
      <c r="L83" s="371" t="s">
        <v>1991</v>
      </c>
      <c r="M83" s="371" t="s">
        <v>1933</v>
      </c>
      <c r="N83" s="371" t="s">
        <v>2</v>
      </c>
      <c r="O83" s="371" t="s">
        <v>387</v>
      </c>
      <c r="P83" s="371" t="s">
        <v>399</v>
      </c>
      <c r="Q83" s="371" t="s">
        <v>281</v>
      </c>
      <c r="R83" s="371" t="s">
        <v>620</v>
      </c>
      <c r="S83" s="371" t="s">
        <v>612</v>
      </c>
      <c r="T83" s="371" t="s">
        <v>1850</v>
      </c>
      <c r="U83" s="371" t="s">
        <v>2954</v>
      </c>
      <c r="V83" s="371" t="s">
        <v>399</v>
      </c>
      <c r="W83">
        <f>COUNTIF(A$2:A83,A83)</f>
        <v>1</v>
      </c>
    </row>
    <row r="84" spans="1:23">
      <c r="A84" t="str">
        <f t="shared" si="1"/>
        <v>30*30-22/223.0190白AAA环保打样环保打样</v>
      </c>
      <c r="B84" s="371" t="s">
        <v>1832</v>
      </c>
      <c r="C84" s="371" t="s">
        <v>285</v>
      </c>
      <c r="D84" s="371" t="s">
        <v>2052</v>
      </c>
      <c r="E84" s="371" t="s">
        <v>641</v>
      </c>
      <c r="F84" s="371" t="s">
        <v>612</v>
      </c>
      <c r="G84" s="371" t="s">
        <v>612</v>
      </c>
      <c r="H84" s="371" t="s">
        <v>399</v>
      </c>
      <c r="I84" s="371" t="s">
        <v>515</v>
      </c>
      <c r="J84" s="371" t="s">
        <v>2053</v>
      </c>
      <c r="K84" s="371" t="s">
        <v>197</v>
      </c>
      <c r="L84" s="371" t="s">
        <v>1991</v>
      </c>
      <c r="M84" s="371" t="s">
        <v>1933</v>
      </c>
      <c r="N84" s="371" t="s">
        <v>2</v>
      </c>
      <c r="O84" s="371" t="s">
        <v>287</v>
      </c>
      <c r="P84" s="371" t="s">
        <v>399</v>
      </c>
      <c r="Q84" s="371" t="s">
        <v>281</v>
      </c>
      <c r="R84" s="371" t="s">
        <v>620</v>
      </c>
      <c r="S84" s="371" t="s">
        <v>2054</v>
      </c>
      <c r="T84" s="371" t="s">
        <v>2055</v>
      </c>
      <c r="U84" s="371" t="s">
        <v>2056</v>
      </c>
      <c r="V84" s="371" t="s">
        <v>2054</v>
      </c>
      <c r="W84">
        <f>COUNTIF(A$2:A84,A84)</f>
        <v>1</v>
      </c>
    </row>
    <row r="85" spans="1:23">
      <c r="A85" t="str">
        <f t="shared" si="1"/>
        <v>F/30/30/23/190/1/1/W/AAA30*30-22/223.0190白AA0加密环保打样</v>
      </c>
      <c r="B85" s="371" t="s">
        <v>1832</v>
      </c>
      <c r="C85" s="371" t="s">
        <v>285</v>
      </c>
      <c r="D85" s="371" t="s">
        <v>2057</v>
      </c>
      <c r="E85" s="371" t="s">
        <v>1820</v>
      </c>
      <c r="F85" s="371" t="s">
        <v>612</v>
      </c>
      <c r="G85" s="371" t="s">
        <v>612</v>
      </c>
      <c r="H85" s="371" t="s">
        <v>2032</v>
      </c>
      <c r="I85" s="371" t="s">
        <v>515</v>
      </c>
      <c r="J85" s="371" t="s">
        <v>2053</v>
      </c>
      <c r="K85" s="371" t="s">
        <v>197</v>
      </c>
      <c r="L85" s="371" t="s">
        <v>1991</v>
      </c>
      <c r="M85" s="371" t="s">
        <v>1933</v>
      </c>
      <c r="N85" s="371" t="s">
        <v>2</v>
      </c>
      <c r="O85" s="371" t="s">
        <v>282</v>
      </c>
      <c r="P85" s="371" t="s">
        <v>399</v>
      </c>
      <c r="Q85" s="371" t="s">
        <v>281</v>
      </c>
      <c r="R85" s="371" t="s">
        <v>620</v>
      </c>
      <c r="S85" s="371" t="s">
        <v>612</v>
      </c>
      <c r="T85" s="371" t="s">
        <v>2003</v>
      </c>
      <c r="U85" s="371" t="s">
        <v>2058</v>
      </c>
      <c r="V85" s="371" t="s">
        <v>2059</v>
      </c>
      <c r="W85">
        <f>COUNTIF(A$2:A85,A85)</f>
        <v>1</v>
      </c>
    </row>
    <row r="86" spans="1:23">
      <c r="A86" t="str">
        <f t="shared" si="1"/>
        <v>30*30-22/223.0190白AAA0环保加密</v>
      </c>
      <c r="B86" s="371" t="s">
        <v>1832</v>
      </c>
      <c r="C86" s="371" t="s">
        <v>285</v>
      </c>
      <c r="D86" s="371" t="s">
        <v>2060</v>
      </c>
      <c r="E86" s="371" t="s">
        <v>641</v>
      </c>
      <c r="F86" s="371" t="s">
        <v>612</v>
      </c>
      <c r="G86" s="371" t="s">
        <v>612</v>
      </c>
      <c r="H86" s="371" t="s">
        <v>399</v>
      </c>
      <c r="I86" s="371" t="s">
        <v>515</v>
      </c>
      <c r="J86" s="371" t="s">
        <v>2053</v>
      </c>
      <c r="K86" s="371" t="s">
        <v>197</v>
      </c>
      <c r="L86" s="371" t="s">
        <v>1991</v>
      </c>
      <c r="M86" s="371" t="s">
        <v>1933</v>
      </c>
      <c r="N86" s="371" t="s">
        <v>2</v>
      </c>
      <c r="O86" s="371" t="s">
        <v>287</v>
      </c>
      <c r="P86" s="371" t="s">
        <v>399</v>
      </c>
      <c r="Q86" s="371" t="s">
        <v>281</v>
      </c>
      <c r="R86" s="371" t="s">
        <v>620</v>
      </c>
      <c r="S86" s="371" t="s">
        <v>612</v>
      </c>
      <c r="T86" s="371" t="s">
        <v>2061</v>
      </c>
      <c r="U86" s="371" t="s">
        <v>2062</v>
      </c>
      <c r="V86" s="371" t="s">
        <v>2063</v>
      </c>
      <c r="W86">
        <f>COUNTIF(A$2:A86,A86)</f>
        <v>1</v>
      </c>
    </row>
    <row r="87" spans="1:23">
      <c r="A87" t="str">
        <f t="shared" si="1"/>
        <v>30*30-21/123.0200白AAA0</v>
      </c>
      <c r="B87" s="371" t="s">
        <v>1832</v>
      </c>
      <c r="C87" s="371" t="s">
        <v>285</v>
      </c>
      <c r="D87" s="371" t="s">
        <v>2860</v>
      </c>
      <c r="E87" s="371" t="s">
        <v>620</v>
      </c>
      <c r="F87" s="371" t="s">
        <v>612</v>
      </c>
      <c r="G87" s="371" t="s">
        <v>612</v>
      </c>
      <c r="H87" s="371" t="s">
        <v>399</v>
      </c>
      <c r="I87" s="371" t="s">
        <v>641</v>
      </c>
      <c r="J87" s="371" t="s">
        <v>2053</v>
      </c>
      <c r="K87" s="371" t="s">
        <v>1110</v>
      </c>
      <c r="L87" s="371" t="s">
        <v>1991</v>
      </c>
      <c r="M87" s="371" t="s">
        <v>1784</v>
      </c>
      <c r="N87" s="371" t="s">
        <v>2</v>
      </c>
      <c r="O87" s="371" t="s">
        <v>287</v>
      </c>
      <c r="P87" s="371" t="s">
        <v>399</v>
      </c>
      <c r="Q87" s="371" t="s">
        <v>281</v>
      </c>
      <c r="R87" s="371" t="s">
        <v>620</v>
      </c>
      <c r="S87" s="371" t="s">
        <v>612</v>
      </c>
      <c r="T87" s="371" t="s">
        <v>2955</v>
      </c>
      <c r="U87" s="371" t="s">
        <v>2956</v>
      </c>
      <c r="V87" s="371" t="s">
        <v>399</v>
      </c>
      <c r="W87">
        <f>COUNTIF(A$2:A87,A87)</f>
        <v>1</v>
      </c>
    </row>
    <row r="88" spans="1:23">
      <c r="A88" t="str">
        <f t="shared" si="1"/>
        <v>30*30-22/223.0190白AA0环保打样</v>
      </c>
      <c r="B88" s="371" t="s">
        <v>1832</v>
      </c>
      <c r="C88" s="371" t="s">
        <v>285</v>
      </c>
      <c r="D88" s="371" t="s">
        <v>2064</v>
      </c>
      <c r="E88" s="371" t="s">
        <v>719</v>
      </c>
      <c r="F88" s="371" t="s">
        <v>612</v>
      </c>
      <c r="G88" s="371" t="s">
        <v>612</v>
      </c>
      <c r="H88" s="371" t="s">
        <v>399</v>
      </c>
      <c r="I88" s="371" t="s">
        <v>515</v>
      </c>
      <c r="J88" s="371" t="s">
        <v>2053</v>
      </c>
      <c r="K88" s="371" t="s">
        <v>197</v>
      </c>
      <c r="L88" s="371" t="s">
        <v>1991</v>
      </c>
      <c r="M88" s="371" t="s">
        <v>1933</v>
      </c>
      <c r="N88" s="371" t="s">
        <v>2</v>
      </c>
      <c r="O88" s="371" t="s">
        <v>282</v>
      </c>
      <c r="P88" s="371" t="s">
        <v>399</v>
      </c>
      <c r="Q88" s="371" t="s">
        <v>399</v>
      </c>
      <c r="R88" s="371" t="s">
        <v>612</v>
      </c>
      <c r="S88" s="371" t="s">
        <v>612</v>
      </c>
      <c r="T88" s="371" t="s">
        <v>1900</v>
      </c>
      <c r="U88" s="371" t="s">
        <v>2065</v>
      </c>
      <c r="V88" s="371" t="s">
        <v>2054</v>
      </c>
      <c r="W88">
        <f>COUNTIF(A$2:A88,A88)</f>
        <v>1</v>
      </c>
    </row>
    <row r="89" spans="1:23">
      <c r="A89" t="str">
        <f t="shared" si="1"/>
        <v>30*30-32/223.0190白AA加密环保加密环保</v>
      </c>
      <c r="B89" s="371" t="s">
        <v>1832</v>
      </c>
      <c r="C89" s="371" t="s">
        <v>285</v>
      </c>
      <c r="D89" s="371" t="s">
        <v>2066</v>
      </c>
      <c r="E89" s="371" t="s">
        <v>641</v>
      </c>
      <c r="F89" s="371" t="s">
        <v>612</v>
      </c>
      <c r="G89" s="371" t="s">
        <v>612</v>
      </c>
      <c r="H89" s="371" t="s">
        <v>399</v>
      </c>
      <c r="I89" s="371" t="s">
        <v>515</v>
      </c>
      <c r="J89" s="371" t="s">
        <v>2067</v>
      </c>
      <c r="K89" s="371" t="s">
        <v>197</v>
      </c>
      <c r="L89" s="371" t="s">
        <v>1991</v>
      </c>
      <c r="M89" s="371" t="s">
        <v>1933</v>
      </c>
      <c r="N89" s="371" t="s">
        <v>2</v>
      </c>
      <c r="O89" s="371" t="s">
        <v>282</v>
      </c>
      <c r="P89" s="371" t="s">
        <v>399</v>
      </c>
      <c r="Q89" s="371" t="s">
        <v>281</v>
      </c>
      <c r="R89" s="371" t="s">
        <v>620</v>
      </c>
      <c r="S89" s="371" t="s">
        <v>2068</v>
      </c>
      <c r="T89" s="371" t="s">
        <v>2055</v>
      </c>
      <c r="U89" s="371" t="s">
        <v>2069</v>
      </c>
      <c r="V89" s="371" t="s">
        <v>2068</v>
      </c>
      <c r="W89">
        <f>COUNTIF(A$2:A89,A89)</f>
        <v>1</v>
      </c>
    </row>
    <row r="90" spans="1:23">
      <c r="A90" t="str">
        <f t="shared" si="1"/>
        <v>30*30-31/123.0190白AAA0徐明彬加工</v>
      </c>
      <c r="B90" s="371" t="s">
        <v>1832</v>
      </c>
      <c r="C90" s="371" t="s">
        <v>285</v>
      </c>
      <c r="D90" s="371" t="s">
        <v>2861</v>
      </c>
      <c r="E90" s="371" t="s">
        <v>670</v>
      </c>
      <c r="F90" s="371" t="s">
        <v>612</v>
      </c>
      <c r="G90" s="371" t="s">
        <v>612</v>
      </c>
      <c r="H90" s="371" t="s">
        <v>399</v>
      </c>
      <c r="I90" s="371" t="s">
        <v>2183</v>
      </c>
      <c r="J90" s="371" t="s">
        <v>2067</v>
      </c>
      <c r="K90" s="371" t="s">
        <v>1110</v>
      </c>
      <c r="L90" s="371" t="s">
        <v>1991</v>
      </c>
      <c r="M90" s="371" t="s">
        <v>1933</v>
      </c>
      <c r="N90" s="371" t="s">
        <v>2</v>
      </c>
      <c r="O90" s="371" t="s">
        <v>287</v>
      </c>
      <c r="P90" s="371" t="s">
        <v>399</v>
      </c>
      <c r="Q90" s="371" t="s">
        <v>281</v>
      </c>
      <c r="R90" s="371" t="s">
        <v>620</v>
      </c>
      <c r="S90" s="371" t="s">
        <v>612</v>
      </c>
      <c r="T90" s="371" t="s">
        <v>2050</v>
      </c>
      <c r="U90" s="371" t="s">
        <v>2862</v>
      </c>
      <c r="V90" s="371" t="s">
        <v>2863</v>
      </c>
      <c r="W90">
        <f>COUNTIF(A$2:A90,A90)</f>
        <v>1</v>
      </c>
    </row>
    <row r="91" spans="1:23">
      <c r="A91" t="str">
        <f t="shared" si="1"/>
        <v>30*30-41/123.0190白AAAA骏马湿布骏马湿布</v>
      </c>
      <c r="B91" s="371" t="s">
        <v>1832</v>
      </c>
      <c r="C91" s="371" t="s">
        <v>285</v>
      </c>
      <c r="D91" s="371" t="s">
        <v>2665</v>
      </c>
      <c r="E91" s="371" t="s">
        <v>667</v>
      </c>
      <c r="F91" s="371" t="s">
        <v>612</v>
      </c>
      <c r="G91" s="371" t="s">
        <v>612</v>
      </c>
      <c r="H91" s="371" t="s">
        <v>399</v>
      </c>
      <c r="I91" s="371" t="s">
        <v>1911</v>
      </c>
      <c r="J91" s="371" t="s">
        <v>2070</v>
      </c>
      <c r="K91" s="371" t="s">
        <v>1110</v>
      </c>
      <c r="L91" s="371" t="s">
        <v>1991</v>
      </c>
      <c r="M91" s="371" t="s">
        <v>1933</v>
      </c>
      <c r="N91" s="371" t="s">
        <v>2</v>
      </c>
      <c r="O91" s="371" t="s">
        <v>387</v>
      </c>
      <c r="P91" s="371" t="s">
        <v>399</v>
      </c>
      <c r="Q91" s="371" t="s">
        <v>281</v>
      </c>
      <c r="R91" s="371" t="s">
        <v>620</v>
      </c>
      <c r="S91" s="371" t="s">
        <v>1911</v>
      </c>
      <c r="T91" s="371" t="s">
        <v>2134</v>
      </c>
      <c r="U91" s="371" t="s">
        <v>2666</v>
      </c>
      <c r="V91" s="371" t="s">
        <v>1911</v>
      </c>
      <c r="W91">
        <f>COUNTIF(A$2:A91,A91)</f>
        <v>1</v>
      </c>
    </row>
    <row r="92" spans="1:23">
      <c r="A92" t="str">
        <f t="shared" si="1"/>
        <v>30*30-41/123.0190白AA0</v>
      </c>
      <c r="B92" s="371" t="s">
        <v>1832</v>
      </c>
      <c r="C92" s="371" t="s">
        <v>285</v>
      </c>
      <c r="D92" s="371" t="s">
        <v>2398</v>
      </c>
      <c r="E92" s="371" t="s">
        <v>630</v>
      </c>
      <c r="F92" s="371" t="s">
        <v>612</v>
      </c>
      <c r="G92" s="371" t="s">
        <v>612</v>
      </c>
      <c r="H92" s="371" t="s">
        <v>399</v>
      </c>
      <c r="I92" s="371" t="s">
        <v>641</v>
      </c>
      <c r="J92" s="371" t="s">
        <v>2070</v>
      </c>
      <c r="K92" s="371" t="s">
        <v>1110</v>
      </c>
      <c r="L92" s="371" t="s">
        <v>1991</v>
      </c>
      <c r="M92" s="371" t="s">
        <v>1933</v>
      </c>
      <c r="N92" s="371" t="s">
        <v>2</v>
      </c>
      <c r="O92" s="371" t="s">
        <v>282</v>
      </c>
      <c r="P92" s="371" t="s">
        <v>399</v>
      </c>
      <c r="Q92" s="371" t="s">
        <v>281</v>
      </c>
      <c r="R92" s="371" t="s">
        <v>620</v>
      </c>
      <c r="S92" s="371" t="s">
        <v>612</v>
      </c>
      <c r="T92" s="371" t="s">
        <v>2006</v>
      </c>
      <c r="U92" s="371" t="s">
        <v>2399</v>
      </c>
      <c r="V92" s="371" t="s">
        <v>399</v>
      </c>
      <c r="W92">
        <f>COUNTIF(A$2:A92,A92)</f>
        <v>1</v>
      </c>
    </row>
    <row r="93" spans="1:23">
      <c r="A93" t="str">
        <f t="shared" si="1"/>
        <v>30*30-41/123.0190白AAAA0</v>
      </c>
      <c r="B93" s="371" t="s">
        <v>1832</v>
      </c>
      <c r="C93" s="371" t="s">
        <v>285</v>
      </c>
      <c r="D93" s="371" t="s">
        <v>2667</v>
      </c>
      <c r="E93" s="371" t="s">
        <v>620</v>
      </c>
      <c r="F93" s="371" t="s">
        <v>612</v>
      </c>
      <c r="G93" s="371" t="s">
        <v>612</v>
      </c>
      <c r="H93" s="371" t="s">
        <v>399</v>
      </c>
      <c r="I93" s="371" t="s">
        <v>641</v>
      </c>
      <c r="J93" s="371" t="s">
        <v>2070</v>
      </c>
      <c r="K93" s="371" t="s">
        <v>1110</v>
      </c>
      <c r="L93" s="371" t="s">
        <v>1991</v>
      </c>
      <c r="M93" s="371" t="s">
        <v>1933</v>
      </c>
      <c r="N93" s="371" t="s">
        <v>2</v>
      </c>
      <c r="O93" s="371" t="s">
        <v>387</v>
      </c>
      <c r="P93" s="371" t="s">
        <v>399</v>
      </c>
      <c r="Q93" s="371" t="s">
        <v>281</v>
      </c>
      <c r="R93" s="371" t="s">
        <v>620</v>
      </c>
      <c r="S93" s="371" t="s">
        <v>612</v>
      </c>
      <c r="T93" s="371" t="s">
        <v>2955</v>
      </c>
      <c r="U93" s="371" t="s">
        <v>2957</v>
      </c>
      <c r="V93" s="371" t="s">
        <v>399</v>
      </c>
      <c r="W93">
        <f>COUNTIF(A$2:A93,A93)</f>
        <v>1</v>
      </c>
    </row>
    <row r="94" spans="1:23">
      <c r="A94" t="str">
        <f t="shared" si="1"/>
        <v>30*30-41/123.0190白AAA0</v>
      </c>
      <c r="B94" s="371" t="s">
        <v>1832</v>
      </c>
      <c r="C94" s="371" t="s">
        <v>285</v>
      </c>
      <c r="D94" s="371" t="s">
        <v>2668</v>
      </c>
      <c r="E94" s="371" t="s">
        <v>679</v>
      </c>
      <c r="F94" s="371" t="s">
        <v>612</v>
      </c>
      <c r="G94" s="371" t="s">
        <v>612</v>
      </c>
      <c r="H94" s="371" t="s">
        <v>399</v>
      </c>
      <c r="I94" s="371" t="s">
        <v>641</v>
      </c>
      <c r="J94" s="371" t="s">
        <v>2070</v>
      </c>
      <c r="K94" s="371" t="s">
        <v>1110</v>
      </c>
      <c r="L94" s="371" t="s">
        <v>1991</v>
      </c>
      <c r="M94" s="371" t="s">
        <v>1933</v>
      </c>
      <c r="N94" s="371" t="s">
        <v>2</v>
      </c>
      <c r="O94" s="371" t="s">
        <v>287</v>
      </c>
      <c r="P94" s="371" t="s">
        <v>399</v>
      </c>
      <c r="Q94" s="371" t="s">
        <v>281</v>
      </c>
      <c r="R94" s="371" t="s">
        <v>620</v>
      </c>
      <c r="S94" s="371" t="s">
        <v>612</v>
      </c>
      <c r="T94" s="371" t="s">
        <v>1850</v>
      </c>
      <c r="U94" s="371" t="s">
        <v>2669</v>
      </c>
      <c r="V94" s="371" t="s">
        <v>399</v>
      </c>
      <c r="W94">
        <f>COUNTIF(A$2:A94,A94)</f>
        <v>1</v>
      </c>
    </row>
    <row r="95" spans="1:23">
      <c r="A95" t="str">
        <f t="shared" si="1"/>
        <v>30*30-51/123.0192白AAAA0</v>
      </c>
      <c r="B95" s="371" t="s">
        <v>1832</v>
      </c>
      <c r="C95" s="371" t="s">
        <v>285</v>
      </c>
      <c r="D95" s="371" t="s">
        <v>2401</v>
      </c>
      <c r="E95" s="371" t="s">
        <v>635</v>
      </c>
      <c r="F95" s="371" t="s">
        <v>612</v>
      </c>
      <c r="G95" s="371" t="s">
        <v>612</v>
      </c>
      <c r="H95" s="371" t="s">
        <v>399</v>
      </c>
      <c r="I95" s="371" t="s">
        <v>641</v>
      </c>
      <c r="J95" s="371" t="s">
        <v>2071</v>
      </c>
      <c r="K95" s="371" t="s">
        <v>1110</v>
      </c>
      <c r="L95" s="371" t="s">
        <v>1991</v>
      </c>
      <c r="M95" s="371" t="s">
        <v>2002</v>
      </c>
      <c r="N95" s="371" t="s">
        <v>2</v>
      </c>
      <c r="O95" s="371" t="s">
        <v>387</v>
      </c>
      <c r="P95" s="371" t="s">
        <v>399</v>
      </c>
      <c r="Q95" s="371" t="s">
        <v>281</v>
      </c>
      <c r="R95" s="371" t="s">
        <v>620</v>
      </c>
      <c r="S95" s="371" t="s">
        <v>612</v>
      </c>
      <c r="T95" s="371" t="s">
        <v>2006</v>
      </c>
      <c r="U95" s="371" t="s">
        <v>2402</v>
      </c>
      <c r="V95" s="371" t="s">
        <v>399</v>
      </c>
      <c r="W95">
        <f>COUNTIF(A$2:A95,A95)</f>
        <v>1</v>
      </c>
    </row>
    <row r="96" spans="1:23">
      <c r="A96" t="str">
        <f t="shared" si="1"/>
        <v>F/30/30/23/192/1/1/W/AAA30*30-51/123.0192白AAA0</v>
      </c>
      <c r="B96" s="371" t="s">
        <v>1832</v>
      </c>
      <c r="C96" s="371" t="s">
        <v>285</v>
      </c>
      <c r="D96" s="371" t="s">
        <v>3077</v>
      </c>
      <c r="E96" s="371" t="s">
        <v>932</v>
      </c>
      <c r="F96" s="371" t="s">
        <v>612</v>
      </c>
      <c r="G96" s="371" t="s">
        <v>612</v>
      </c>
      <c r="H96" s="371" t="s">
        <v>2001</v>
      </c>
      <c r="I96" s="371" t="s">
        <v>641</v>
      </c>
      <c r="J96" s="371" t="s">
        <v>2071</v>
      </c>
      <c r="K96" s="371" t="s">
        <v>1110</v>
      </c>
      <c r="L96" s="371" t="s">
        <v>1991</v>
      </c>
      <c r="M96" s="371" t="s">
        <v>2002</v>
      </c>
      <c r="N96" s="371" t="s">
        <v>2</v>
      </c>
      <c r="O96" s="371" t="s">
        <v>287</v>
      </c>
      <c r="P96" s="371" t="s">
        <v>399</v>
      </c>
      <c r="Q96" s="371" t="s">
        <v>281</v>
      </c>
      <c r="R96" s="371" t="s">
        <v>620</v>
      </c>
      <c r="S96" s="371" t="s">
        <v>612</v>
      </c>
      <c r="T96" s="371" t="s">
        <v>1908</v>
      </c>
      <c r="U96" s="371" t="s">
        <v>3078</v>
      </c>
      <c r="V96" s="371" t="s">
        <v>399</v>
      </c>
      <c r="W96">
        <f>COUNTIF(A$2:A96,A96)</f>
        <v>1</v>
      </c>
    </row>
    <row r="97" spans="1:23">
      <c r="A97" t="str">
        <f t="shared" si="1"/>
        <v>30*50-23/131.0190白AAA0</v>
      </c>
      <c r="B97" s="371" t="s">
        <v>1832</v>
      </c>
      <c r="C97" s="371" t="s">
        <v>285</v>
      </c>
      <c r="D97" s="371" t="s">
        <v>2864</v>
      </c>
      <c r="E97" s="371" t="s">
        <v>634</v>
      </c>
      <c r="F97" s="371" t="s">
        <v>612</v>
      </c>
      <c r="G97" s="371" t="s">
        <v>612</v>
      </c>
      <c r="H97" s="371" t="s">
        <v>399</v>
      </c>
      <c r="I97" s="371" t="s">
        <v>641</v>
      </c>
      <c r="J97" s="371" t="s">
        <v>2865</v>
      </c>
      <c r="K97" s="371" t="s">
        <v>200</v>
      </c>
      <c r="L97" s="371" t="s">
        <v>2866</v>
      </c>
      <c r="M97" s="371" t="s">
        <v>1933</v>
      </c>
      <c r="N97" s="371" t="s">
        <v>2</v>
      </c>
      <c r="O97" s="371" t="s">
        <v>287</v>
      </c>
      <c r="P97" s="371" t="s">
        <v>399</v>
      </c>
      <c r="Q97" s="371" t="s">
        <v>281</v>
      </c>
      <c r="R97" s="371" t="s">
        <v>620</v>
      </c>
      <c r="S97" s="371" t="s">
        <v>612</v>
      </c>
      <c r="T97" s="371" t="s">
        <v>2003</v>
      </c>
      <c r="U97" s="371" t="s">
        <v>2867</v>
      </c>
      <c r="V97" s="371" t="s">
        <v>399</v>
      </c>
      <c r="W97">
        <f>COUNTIF(A$2:A97,A97)</f>
        <v>1</v>
      </c>
    </row>
    <row r="98" spans="1:23">
      <c r="A98" t="str">
        <f t="shared" si="1"/>
        <v>30*50-33/131.0190白AAA0</v>
      </c>
      <c r="B98" s="371" t="s">
        <v>1832</v>
      </c>
      <c r="C98" s="371" t="s">
        <v>285</v>
      </c>
      <c r="D98" s="371" t="s">
        <v>3079</v>
      </c>
      <c r="E98" s="371" t="s">
        <v>630</v>
      </c>
      <c r="F98" s="371" t="s">
        <v>612</v>
      </c>
      <c r="G98" s="371" t="s">
        <v>612</v>
      </c>
      <c r="H98" s="371" t="s">
        <v>399</v>
      </c>
      <c r="I98" s="371" t="s">
        <v>641</v>
      </c>
      <c r="J98" s="371" t="s">
        <v>3080</v>
      </c>
      <c r="K98" s="371" t="s">
        <v>200</v>
      </c>
      <c r="L98" s="371" t="s">
        <v>2866</v>
      </c>
      <c r="M98" s="371" t="s">
        <v>1933</v>
      </c>
      <c r="N98" s="371" t="s">
        <v>2</v>
      </c>
      <c r="O98" s="371" t="s">
        <v>287</v>
      </c>
      <c r="P98" s="371" t="s">
        <v>399</v>
      </c>
      <c r="Q98" s="371" t="s">
        <v>281</v>
      </c>
      <c r="R98" s="371" t="s">
        <v>620</v>
      </c>
      <c r="S98" s="371" t="s">
        <v>612</v>
      </c>
      <c r="T98" s="371" t="s">
        <v>399</v>
      </c>
      <c r="U98" s="371" t="s">
        <v>612</v>
      </c>
      <c r="V98" s="371" t="s">
        <v>399</v>
      </c>
      <c r="W98">
        <f>COUNTIF(A$2:A98,A98)</f>
        <v>1</v>
      </c>
    </row>
    <row r="99" spans="1:23">
      <c r="A99" t="str">
        <f t="shared" si="1"/>
        <v>50*501/135.0189白HAAA0鑫茂</v>
      </c>
      <c r="B99" s="371" t="s">
        <v>1832</v>
      </c>
      <c r="C99" s="371" t="s">
        <v>285</v>
      </c>
      <c r="D99" s="371" t="s">
        <v>2670</v>
      </c>
      <c r="E99" s="371" t="s">
        <v>621</v>
      </c>
      <c r="F99" s="371" t="s">
        <v>612</v>
      </c>
      <c r="G99" s="371" t="s">
        <v>612</v>
      </c>
      <c r="H99" s="371" t="s">
        <v>399</v>
      </c>
      <c r="I99" s="371" t="s">
        <v>1982</v>
      </c>
      <c r="J99" s="371" t="s">
        <v>203</v>
      </c>
      <c r="K99" s="371" t="s">
        <v>1110</v>
      </c>
      <c r="L99" s="371" t="s">
        <v>2076</v>
      </c>
      <c r="M99" s="371" t="s">
        <v>2019</v>
      </c>
      <c r="N99" s="371" t="s">
        <v>2</v>
      </c>
      <c r="O99" s="371" t="s">
        <v>1076</v>
      </c>
      <c r="P99" s="371" t="s">
        <v>399</v>
      </c>
      <c r="Q99" s="371" t="s">
        <v>281</v>
      </c>
      <c r="R99" s="371" t="s">
        <v>620</v>
      </c>
      <c r="S99" s="371" t="s">
        <v>612</v>
      </c>
      <c r="T99" s="371" t="s">
        <v>2003</v>
      </c>
      <c r="U99" s="371" t="s">
        <v>2671</v>
      </c>
      <c r="V99" s="371" t="s">
        <v>1982</v>
      </c>
      <c r="W99">
        <f>COUNTIF(A$2:A99,A99)</f>
        <v>1</v>
      </c>
    </row>
    <row r="100" spans="1:23">
      <c r="A100" t="str">
        <f t="shared" si="1"/>
        <v>F/50/50/37/190.5/1/1/W/HAAA50*501/137.0190.5白HAAA2</v>
      </c>
      <c r="B100" s="371" t="s">
        <v>1832</v>
      </c>
      <c r="C100" s="371" t="s">
        <v>285</v>
      </c>
      <c r="D100" s="371" t="s">
        <v>2078</v>
      </c>
      <c r="E100" s="371" t="s">
        <v>641</v>
      </c>
      <c r="F100" s="371" t="s">
        <v>612</v>
      </c>
      <c r="G100" s="371" t="s">
        <v>612</v>
      </c>
      <c r="H100" s="371" t="s">
        <v>2079</v>
      </c>
      <c r="I100" s="371" t="s">
        <v>630</v>
      </c>
      <c r="J100" s="371" t="s">
        <v>203</v>
      </c>
      <c r="K100" s="371" t="s">
        <v>1110</v>
      </c>
      <c r="L100" s="371" t="s">
        <v>2080</v>
      </c>
      <c r="M100" s="371" t="s">
        <v>2081</v>
      </c>
      <c r="N100" s="371" t="s">
        <v>2</v>
      </c>
      <c r="O100" s="371" t="s">
        <v>1076</v>
      </c>
      <c r="P100" s="371" t="s">
        <v>399</v>
      </c>
      <c r="Q100" s="371" t="s">
        <v>399</v>
      </c>
      <c r="R100" s="371" t="s">
        <v>620</v>
      </c>
      <c r="S100" s="371" t="s">
        <v>620</v>
      </c>
      <c r="T100" s="371" t="s">
        <v>1952</v>
      </c>
      <c r="U100" s="371" t="s">
        <v>2082</v>
      </c>
      <c r="V100" s="371" t="s">
        <v>399</v>
      </c>
      <c r="W100">
        <f>COUNTIF(A$2:A100,A100)</f>
        <v>1</v>
      </c>
    </row>
    <row r="101" spans="1:23">
      <c r="A101" t="str">
        <f t="shared" si="1"/>
        <v>50*501/10.0宽幅白AA0鑫茂</v>
      </c>
      <c r="B101" s="371" t="s">
        <v>1832</v>
      </c>
      <c r="C101" s="371" t="s">
        <v>285</v>
      </c>
      <c r="D101" s="371" t="s">
        <v>2083</v>
      </c>
      <c r="E101" s="371" t="s">
        <v>614</v>
      </c>
      <c r="F101" s="371" t="s">
        <v>612</v>
      </c>
      <c r="G101" s="371" t="s">
        <v>612</v>
      </c>
      <c r="H101" s="371" t="s">
        <v>399</v>
      </c>
      <c r="I101" s="371" t="s">
        <v>1982</v>
      </c>
      <c r="J101" s="371" t="s">
        <v>203</v>
      </c>
      <c r="K101" s="371" t="s">
        <v>1110</v>
      </c>
      <c r="L101" s="371" t="s">
        <v>1983</v>
      </c>
      <c r="M101" s="371" t="s">
        <v>1074</v>
      </c>
      <c r="N101" s="371" t="s">
        <v>2</v>
      </c>
      <c r="O101" s="371" t="s">
        <v>282</v>
      </c>
      <c r="P101" s="371" t="s">
        <v>399</v>
      </c>
      <c r="Q101" s="371" t="s">
        <v>281</v>
      </c>
      <c r="R101" s="371" t="s">
        <v>620</v>
      </c>
      <c r="S101" s="371" t="s">
        <v>612</v>
      </c>
      <c r="T101" s="371" t="s">
        <v>2014</v>
      </c>
      <c r="U101" s="371" t="s">
        <v>2084</v>
      </c>
      <c r="V101" s="371" t="s">
        <v>1982</v>
      </c>
      <c r="W101">
        <f>COUNTIF(A$2:A101,A101)</f>
        <v>1</v>
      </c>
    </row>
    <row r="102" spans="1:23">
      <c r="A102" t="str">
        <f t="shared" si="1"/>
        <v>50*501/137.0190.5白AAAA骏马湿布骏马湿布</v>
      </c>
      <c r="B102" s="371" t="s">
        <v>1832</v>
      </c>
      <c r="C102" s="371" t="s">
        <v>285</v>
      </c>
      <c r="D102" s="371" t="s">
        <v>2085</v>
      </c>
      <c r="E102" s="371" t="s">
        <v>620</v>
      </c>
      <c r="F102" s="371" t="s">
        <v>612</v>
      </c>
      <c r="G102" s="371" t="s">
        <v>612</v>
      </c>
      <c r="H102" s="371" t="s">
        <v>399</v>
      </c>
      <c r="I102" s="371" t="s">
        <v>1911</v>
      </c>
      <c r="J102" s="371" t="s">
        <v>203</v>
      </c>
      <c r="K102" s="371" t="s">
        <v>1110</v>
      </c>
      <c r="L102" s="371" t="s">
        <v>2080</v>
      </c>
      <c r="M102" s="371" t="s">
        <v>2081</v>
      </c>
      <c r="N102" s="371" t="s">
        <v>2</v>
      </c>
      <c r="O102" s="371" t="s">
        <v>387</v>
      </c>
      <c r="P102" s="371" t="s">
        <v>399</v>
      </c>
      <c r="Q102" s="371" t="s">
        <v>281</v>
      </c>
      <c r="R102" s="371" t="s">
        <v>620</v>
      </c>
      <c r="S102" s="371" t="s">
        <v>1911</v>
      </c>
      <c r="T102" s="371" t="s">
        <v>1908</v>
      </c>
      <c r="U102" s="371" t="s">
        <v>2086</v>
      </c>
      <c r="V102" s="371" t="s">
        <v>1911</v>
      </c>
      <c r="W102">
        <f>COUNTIF(A$2:A102,A102)</f>
        <v>1</v>
      </c>
    </row>
    <row r="103" spans="1:23">
      <c r="A103" t="str">
        <f t="shared" si="1"/>
        <v>50*501/135.0189白AAA0鑫茂</v>
      </c>
      <c r="B103" s="371" t="s">
        <v>1832</v>
      </c>
      <c r="C103" s="371" t="s">
        <v>285</v>
      </c>
      <c r="D103" s="371" t="s">
        <v>2406</v>
      </c>
      <c r="E103" s="371" t="s">
        <v>2407</v>
      </c>
      <c r="F103" s="371" t="s">
        <v>612</v>
      </c>
      <c r="G103" s="371" t="s">
        <v>612</v>
      </c>
      <c r="H103" s="371" t="s">
        <v>399</v>
      </c>
      <c r="I103" s="371" t="s">
        <v>1982</v>
      </c>
      <c r="J103" s="371" t="s">
        <v>203</v>
      </c>
      <c r="K103" s="371" t="s">
        <v>1110</v>
      </c>
      <c r="L103" s="371" t="s">
        <v>2076</v>
      </c>
      <c r="M103" s="371" t="s">
        <v>2019</v>
      </c>
      <c r="N103" s="371" t="s">
        <v>2</v>
      </c>
      <c r="O103" s="371" t="s">
        <v>287</v>
      </c>
      <c r="P103" s="371" t="s">
        <v>399</v>
      </c>
      <c r="Q103" s="371" t="s">
        <v>281</v>
      </c>
      <c r="R103" s="371" t="s">
        <v>620</v>
      </c>
      <c r="S103" s="371" t="s">
        <v>612</v>
      </c>
      <c r="T103" s="371" t="s">
        <v>2022</v>
      </c>
      <c r="U103" s="371" t="s">
        <v>2408</v>
      </c>
      <c r="V103" s="371" t="s">
        <v>1982</v>
      </c>
      <c r="W103">
        <f>COUNTIF(A$2:A103,A103)</f>
        <v>1</v>
      </c>
    </row>
    <row r="104" spans="1:23">
      <c r="A104" t="str">
        <f t="shared" si="1"/>
        <v>50*501/137.0190.5白AAAS21211-2杨拾泉加工</v>
      </c>
      <c r="B104" s="371" t="s">
        <v>1832</v>
      </c>
      <c r="C104" s="371" t="s">
        <v>285</v>
      </c>
      <c r="D104" s="371" t="s">
        <v>2672</v>
      </c>
      <c r="E104" s="371" t="s">
        <v>1910</v>
      </c>
      <c r="F104" s="371" t="s">
        <v>612</v>
      </c>
      <c r="G104" s="371" t="s">
        <v>612</v>
      </c>
      <c r="H104" s="371" t="s">
        <v>399</v>
      </c>
      <c r="I104" s="371" t="s">
        <v>2087</v>
      </c>
      <c r="J104" s="371" t="s">
        <v>203</v>
      </c>
      <c r="K104" s="371" t="s">
        <v>1110</v>
      </c>
      <c r="L104" s="371" t="s">
        <v>2080</v>
      </c>
      <c r="M104" s="371" t="s">
        <v>2081</v>
      </c>
      <c r="N104" s="371" t="s">
        <v>2</v>
      </c>
      <c r="O104" s="371" t="s">
        <v>287</v>
      </c>
      <c r="P104" s="371" t="s">
        <v>399</v>
      </c>
      <c r="Q104" s="371" t="s">
        <v>281</v>
      </c>
      <c r="R104" s="371" t="s">
        <v>620</v>
      </c>
      <c r="S104" s="371" t="s">
        <v>2673</v>
      </c>
      <c r="T104" s="371" t="s">
        <v>2088</v>
      </c>
      <c r="U104" s="371" t="s">
        <v>2674</v>
      </c>
      <c r="V104" s="371" t="s">
        <v>2090</v>
      </c>
      <c r="W104">
        <f>COUNTIF(A$2:A104,A104)</f>
        <v>1</v>
      </c>
    </row>
    <row r="105" spans="1:23">
      <c r="A105" t="str">
        <f t="shared" si="1"/>
        <v>F/50/50/37/190.5/2/2/W/AAA50*50-12/237.0190.5白AAA01</v>
      </c>
      <c r="B105" s="371" t="s">
        <v>1832</v>
      </c>
      <c r="C105" s="371" t="s">
        <v>285</v>
      </c>
      <c r="D105" s="371" t="s">
        <v>3081</v>
      </c>
      <c r="E105" s="371" t="s">
        <v>649</v>
      </c>
      <c r="F105" s="371" t="s">
        <v>612</v>
      </c>
      <c r="G105" s="371" t="s">
        <v>612</v>
      </c>
      <c r="H105" s="371" t="s">
        <v>2675</v>
      </c>
      <c r="I105" s="371" t="s">
        <v>630</v>
      </c>
      <c r="J105" s="371" t="s">
        <v>2091</v>
      </c>
      <c r="K105" s="371" t="s">
        <v>197</v>
      </c>
      <c r="L105" s="371" t="s">
        <v>2080</v>
      </c>
      <c r="M105" s="371" t="s">
        <v>2081</v>
      </c>
      <c r="N105" s="371" t="s">
        <v>2</v>
      </c>
      <c r="O105" s="371" t="s">
        <v>287</v>
      </c>
      <c r="P105" s="371" t="s">
        <v>399</v>
      </c>
      <c r="Q105" s="371" t="s">
        <v>399</v>
      </c>
      <c r="R105" s="371" t="s">
        <v>620</v>
      </c>
      <c r="S105" s="371" t="s">
        <v>612</v>
      </c>
      <c r="T105" s="371" t="s">
        <v>1952</v>
      </c>
      <c r="U105" s="371" t="s">
        <v>3082</v>
      </c>
      <c r="V105" s="371" t="s">
        <v>641</v>
      </c>
      <c r="W105">
        <f>COUNTIF(A$2:A105,A105)</f>
        <v>1</v>
      </c>
    </row>
    <row r="106" spans="1:23">
      <c r="A106" t="str">
        <f t="shared" si="1"/>
        <v>F/50/50/37/190.5/2/2/W/AA50*50-12/237.0190.5白AA01</v>
      </c>
      <c r="B106" s="371" t="s">
        <v>1832</v>
      </c>
      <c r="C106" s="371" t="s">
        <v>285</v>
      </c>
      <c r="D106" s="371" t="s">
        <v>2868</v>
      </c>
      <c r="E106" s="371" t="s">
        <v>679</v>
      </c>
      <c r="F106" s="371" t="s">
        <v>612</v>
      </c>
      <c r="G106" s="371" t="s">
        <v>612</v>
      </c>
      <c r="H106" s="371" t="s">
        <v>2092</v>
      </c>
      <c r="I106" s="371" t="s">
        <v>630</v>
      </c>
      <c r="J106" s="371" t="s">
        <v>2091</v>
      </c>
      <c r="K106" s="371" t="s">
        <v>197</v>
      </c>
      <c r="L106" s="371" t="s">
        <v>2080</v>
      </c>
      <c r="M106" s="371" t="s">
        <v>2081</v>
      </c>
      <c r="N106" s="371" t="s">
        <v>2</v>
      </c>
      <c r="O106" s="371" t="s">
        <v>282</v>
      </c>
      <c r="P106" s="371" t="s">
        <v>399</v>
      </c>
      <c r="Q106" s="371" t="s">
        <v>399</v>
      </c>
      <c r="R106" s="371" t="s">
        <v>620</v>
      </c>
      <c r="S106" s="371" t="s">
        <v>612</v>
      </c>
      <c r="T106" s="371" t="s">
        <v>1952</v>
      </c>
      <c r="U106" s="371" t="s">
        <v>2869</v>
      </c>
      <c r="V106" s="371" t="s">
        <v>641</v>
      </c>
      <c r="W106">
        <f>COUNTIF(A$2:A106,A106)</f>
        <v>1</v>
      </c>
    </row>
    <row r="107" spans="1:23">
      <c r="A107" t="str">
        <f t="shared" si="1"/>
        <v>F/50/50/37/190.5/1/1/W/AAA50*50-11/137.0190.5白AAA21</v>
      </c>
      <c r="B107" s="371" t="s">
        <v>1832</v>
      </c>
      <c r="C107" s="371" t="s">
        <v>285</v>
      </c>
      <c r="D107" s="371" t="s">
        <v>3083</v>
      </c>
      <c r="E107" s="371" t="s">
        <v>690</v>
      </c>
      <c r="F107" s="371" t="s">
        <v>612</v>
      </c>
      <c r="G107" s="371" t="s">
        <v>612</v>
      </c>
      <c r="H107" s="371" t="s">
        <v>2410</v>
      </c>
      <c r="I107" s="371" t="s">
        <v>630</v>
      </c>
      <c r="J107" s="371" t="s">
        <v>2091</v>
      </c>
      <c r="K107" s="371" t="s">
        <v>1110</v>
      </c>
      <c r="L107" s="371" t="s">
        <v>2080</v>
      </c>
      <c r="M107" s="371" t="s">
        <v>2081</v>
      </c>
      <c r="N107" s="371" t="s">
        <v>2</v>
      </c>
      <c r="O107" s="371" t="s">
        <v>287</v>
      </c>
      <c r="P107" s="371" t="s">
        <v>399</v>
      </c>
      <c r="Q107" s="371" t="s">
        <v>399</v>
      </c>
      <c r="R107" s="371" t="s">
        <v>620</v>
      </c>
      <c r="S107" s="371" t="s">
        <v>620</v>
      </c>
      <c r="T107" s="371" t="s">
        <v>1952</v>
      </c>
      <c r="U107" s="371" t="s">
        <v>3084</v>
      </c>
      <c r="V107" s="371" t="s">
        <v>641</v>
      </c>
      <c r="W107">
        <f>COUNTIF(A$2:A107,A107)</f>
        <v>1</v>
      </c>
    </row>
    <row r="108" spans="1:23">
      <c r="A108" t="str">
        <f t="shared" si="1"/>
        <v>F/50/50/37/190.5/2/2/B/AA50*50-22/237.0190.5黑AA01</v>
      </c>
      <c r="B108" s="371" t="s">
        <v>1832</v>
      </c>
      <c r="C108" s="371" t="s">
        <v>285</v>
      </c>
      <c r="D108" s="371" t="s">
        <v>2676</v>
      </c>
      <c r="E108" s="371" t="s">
        <v>641</v>
      </c>
      <c r="F108" s="371" t="s">
        <v>612</v>
      </c>
      <c r="G108" s="371" t="s">
        <v>612</v>
      </c>
      <c r="H108" s="371" t="s">
        <v>2677</v>
      </c>
      <c r="I108" s="371" t="s">
        <v>641</v>
      </c>
      <c r="J108" s="371" t="s">
        <v>2094</v>
      </c>
      <c r="K108" s="371" t="s">
        <v>197</v>
      </c>
      <c r="L108" s="371" t="s">
        <v>2080</v>
      </c>
      <c r="M108" s="371" t="s">
        <v>2081</v>
      </c>
      <c r="N108" s="371" t="s">
        <v>1</v>
      </c>
      <c r="O108" s="371" t="s">
        <v>282</v>
      </c>
      <c r="P108" s="371" t="s">
        <v>399</v>
      </c>
      <c r="Q108" s="371" t="s">
        <v>281</v>
      </c>
      <c r="R108" s="371" t="s">
        <v>620</v>
      </c>
      <c r="S108" s="371" t="s">
        <v>612</v>
      </c>
      <c r="T108" s="371" t="s">
        <v>2095</v>
      </c>
      <c r="U108" s="371" t="s">
        <v>2678</v>
      </c>
      <c r="V108" s="371" t="s">
        <v>641</v>
      </c>
      <c r="W108">
        <f>COUNTIF(A$2:A108,A108)</f>
        <v>1</v>
      </c>
    </row>
    <row r="109" spans="1:23">
      <c r="A109" t="str">
        <f t="shared" si="1"/>
        <v>F/50/50/37/190.5/2/2/B/AAA50*50-22/237.0190.5黑AAA0</v>
      </c>
      <c r="B109" s="371" t="s">
        <v>1832</v>
      </c>
      <c r="C109" s="371" t="s">
        <v>285</v>
      </c>
      <c r="D109" s="371" t="s">
        <v>3085</v>
      </c>
      <c r="E109" s="371" t="s">
        <v>656</v>
      </c>
      <c r="F109" s="371" t="s">
        <v>612</v>
      </c>
      <c r="G109" s="371" t="s">
        <v>612</v>
      </c>
      <c r="H109" s="371" t="s">
        <v>2093</v>
      </c>
      <c r="I109" s="371" t="s">
        <v>641</v>
      </c>
      <c r="J109" s="371" t="s">
        <v>2094</v>
      </c>
      <c r="K109" s="371" t="s">
        <v>197</v>
      </c>
      <c r="L109" s="371" t="s">
        <v>2080</v>
      </c>
      <c r="M109" s="371" t="s">
        <v>2081</v>
      </c>
      <c r="N109" s="371" t="s">
        <v>1</v>
      </c>
      <c r="O109" s="371" t="s">
        <v>287</v>
      </c>
      <c r="P109" s="371" t="s">
        <v>399</v>
      </c>
      <c r="Q109" s="371" t="s">
        <v>399</v>
      </c>
      <c r="R109" s="371" t="s">
        <v>612</v>
      </c>
      <c r="S109" s="371" t="s">
        <v>612</v>
      </c>
      <c r="T109" s="371" t="s">
        <v>2095</v>
      </c>
      <c r="U109" s="371" t="s">
        <v>3086</v>
      </c>
      <c r="V109" s="371" t="s">
        <v>399</v>
      </c>
      <c r="W109">
        <f>COUNTIF(A$2:A109,A109)</f>
        <v>1</v>
      </c>
    </row>
    <row r="110" spans="1:23">
      <c r="A110" t="str">
        <f t="shared" si="1"/>
        <v>F/50/50/37/190/2/2/B/AA50*50-32/237.0190黑AA01</v>
      </c>
      <c r="B110" s="371" t="s">
        <v>1832</v>
      </c>
      <c r="C110" s="371" t="s">
        <v>2096</v>
      </c>
      <c r="D110" s="371" t="s">
        <v>612</v>
      </c>
      <c r="E110" s="371" t="s">
        <v>719</v>
      </c>
      <c r="F110" s="371" t="s">
        <v>612</v>
      </c>
      <c r="G110" s="371" t="s">
        <v>612</v>
      </c>
      <c r="H110" s="371" t="s">
        <v>2097</v>
      </c>
      <c r="I110" s="371" t="s">
        <v>641</v>
      </c>
      <c r="J110" s="371" t="s">
        <v>2098</v>
      </c>
      <c r="K110" s="371" t="s">
        <v>197</v>
      </c>
      <c r="L110" s="371" t="s">
        <v>2080</v>
      </c>
      <c r="M110" s="371" t="s">
        <v>1933</v>
      </c>
      <c r="N110" s="371" t="s">
        <v>1</v>
      </c>
      <c r="O110" s="371" t="s">
        <v>282</v>
      </c>
      <c r="P110" s="371" t="s">
        <v>399</v>
      </c>
      <c r="Q110" s="371" t="s">
        <v>399</v>
      </c>
      <c r="R110" s="371" t="s">
        <v>612</v>
      </c>
      <c r="S110" s="371" t="s">
        <v>612</v>
      </c>
      <c r="T110" s="371" t="s">
        <v>2095</v>
      </c>
      <c r="U110" s="371" t="s">
        <v>612</v>
      </c>
      <c r="V110" s="371" t="s">
        <v>641</v>
      </c>
      <c r="W110">
        <f>COUNTIF(A$2:A110,A110)</f>
        <v>1</v>
      </c>
    </row>
    <row r="111" spans="1:23">
      <c r="A111" t="str">
        <f t="shared" si="1"/>
        <v>F/50/50/35/190/1/1/W/AAA50*50-66-11/135.0190白AAA0</v>
      </c>
      <c r="B111" s="371" t="s">
        <v>1832</v>
      </c>
      <c r="C111" s="371" t="s">
        <v>285</v>
      </c>
      <c r="D111" s="371" t="s">
        <v>2826</v>
      </c>
      <c r="E111" s="371" t="s">
        <v>614</v>
      </c>
      <c r="F111" s="371" t="s">
        <v>612</v>
      </c>
      <c r="G111" s="371" t="s">
        <v>612</v>
      </c>
      <c r="H111" s="371" t="s">
        <v>2679</v>
      </c>
      <c r="I111" s="371" t="s">
        <v>641</v>
      </c>
      <c r="J111" s="371" t="s">
        <v>2680</v>
      </c>
      <c r="K111" s="371" t="s">
        <v>1110</v>
      </c>
      <c r="L111" s="371" t="s">
        <v>2076</v>
      </c>
      <c r="M111" s="371" t="s">
        <v>1933</v>
      </c>
      <c r="N111" s="371" t="s">
        <v>2</v>
      </c>
      <c r="O111" s="371" t="s">
        <v>287</v>
      </c>
      <c r="P111" s="371" t="s">
        <v>399</v>
      </c>
      <c r="Q111" s="371" t="s">
        <v>399</v>
      </c>
      <c r="R111" s="371" t="s">
        <v>612</v>
      </c>
      <c r="S111" s="371" t="s">
        <v>612</v>
      </c>
      <c r="T111" s="371" t="s">
        <v>2681</v>
      </c>
      <c r="U111" s="371" t="s">
        <v>2827</v>
      </c>
      <c r="V111" s="371" t="s">
        <v>399</v>
      </c>
      <c r="W111">
        <f>COUNTIF(A$2:A111,A111)</f>
        <v>1</v>
      </c>
    </row>
    <row r="112" spans="1:23">
      <c r="A112" t="str">
        <f t="shared" si="1"/>
        <v>F/50/75/44/190/1/1/W/HAAA50*75-11/144.0190白HAAA0</v>
      </c>
      <c r="B112" s="371" t="s">
        <v>1832</v>
      </c>
      <c r="C112" s="371" t="s">
        <v>285</v>
      </c>
      <c r="D112" s="371" t="s">
        <v>2078</v>
      </c>
      <c r="E112" s="371" t="s">
        <v>641</v>
      </c>
      <c r="F112" s="371" t="s">
        <v>612</v>
      </c>
      <c r="G112" s="371" t="s">
        <v>612</v>
      </c>
      <c r="H112" s="371" t="s">
        <v>2413</v>
      </c>
      <c r="I112" s="371" t="s">
        <v>641</v>
      </c>
      <c r="J112" s="371" t="s">
        <v>2100</v>
      </c>
      <c r="K112" s="371" t="s">
        <v>1110</v>
      </c>
      <c r="L112" s="371" t="s">
        <v>2101</v>
      </c>
      <c r="M112" s="371" t="s">
        <v>1933</v>
      </c>
      <c r="N112" s="371" t="s">
        <v>2</v>
      </c>
      <c r="O112" s="371" t="s">
        <v>1076</v>
      </c>
      <c r="P112" s="371" t="s">
        <v>399</v>
      </c>
      <c r="Q112" s="371" t="s">
        <v>281</v>
      </c>
      <c r="R112" s="371" t="s">
        <v>620</v>
      </c>
      <c r="S112" s="371" t="s">
        <v>612</v>
      </c>
      <c r="T112" s="371" t="s">
        <v>2102</v>
      </c>
      <c r="U112" s="371" t="s">
        <v>2414</v>
      </c>
      <c r="V112" s="371" t="s">
        <v>399</v>
      </c>
      <c r="W112">
        <f>COUNTIF(A$2:A112,A112)</f>
        <v>1</v>
      </c>
    </row>
    <row r="113" spans="1:23">
      <c r="A113" t="str">
        <f t="shared" si="1"/>
        <v>F/50/75/44/190/1/1/W/AAA50*75-11/144.0190白AAA0</v>
      </c>
      <c r="B113" s="371" t="s">
        <v>1832</v>
      </c>
      <c r="C113" s="371" t="s">
        <v>285</v>
      </c>
      <c r="D113" s="371" t="s">
        <v>3087</v>
      </c>
      <c r="E113" s="371" t="s">
        <v>652</v>
      </c>
      <c r="F113" s="371" t="s">
        <v>612</v>
      </c>
      <c r="G113" s="371" t="s">
        <v>612</v>
      </c>
      <c r="H113" s="371" t="s">
        <v>2099</v>
      </c>
      <c r="I113" s="371" t="s">
        <v>641</v>
      </c>
      <c r="J113" s="371" t="s">
        <v>2100</v>
      </c>
      <c r="K113" s="371" t="s">
        <v>1110</v>
      </c>
      <c r="L113" s="371" t="s">
        <v>2101</v>
      </c>
      <c r="M113" s="371" t="s">
        <v>1933</v>
      </c>
      <c r="N113" s="371" t="s">
        <v>2</v>
      </c>
      <c r="O113" s="371" t="s">
        <v>287</v>
      </c>
      <c r="P113" s="371" t="s">
        <v>399</v>
      </c>
      <c r="Q113" s="371" t="s">
        <v>281</v>
      </c>
      <c r="R113" s="371" t="s">
        <v>620</v>
      </c>
      <c r="S113" s="371" t="s">
        <v>612</v>
      </c>
      <c r="T113" s="371" t="s">
        <v>2102</v>
      </c>
      <c r="U113" s="371" t="s">
        <v>3088</v>
      </c>
      <c r="V113" s="371" t="s">
        <v>399</v>
      </c>
      <c r="W113">
        <f>COUNTIF(A$2:A113,A113)</f>
        <v>1</v>
      </c>
    </row>
    <row r="114" spans="1:23">
      <c r="A114" t="str">
        <f t="shared" si="1"/>
        <v>75*1002/250.0190.5黑AAAA0</v>
      </c>
      <c r="B114" s="371" t="s">
        <v>1832</v>
      </c>
      <c r="C114" s="371" t="s">
        <v>285</v>
      </c>
      <c r="D114" s="371" t="s">
        <v>2870</v>
      </c>
      <c r="E114" s="371" t="s">
        <v>656</v>
      </c>
      <c r="F114" s="371" t="s">
        <v>612</v>
      </c>
      <c r="G114" s="371" t="s">
        <v>612</v>
      </c>
      <c r="H114" s="371" t="s">
        <v>399</v>
      </c>
      <c r="I114" s="371" t="s">
        <v>641</v>
      </c>
      <c r="J114" s="371" t="s">
        <v>208</v>
      </c>
      <c r="K114" s="371" t="s">
        <v>197</v>
      </c>
      <c r="L114" s="371" t="s">
        <v>2103</v>
      </c>
      <c r="M114" s="371" t="s">
        <v>2081</v>
      </c>
      <c r="N114" s="371" t="s">
        <v>1</v>
      </c>
      <c r="O114" s="371" t="s">
        <v>387</v>
      </c>
      <c r="P114" s="371" t="s">
        <v>399</v>
      </c>
      <c r="Q114" s="371" t="s">
        <v>281</v>
      </c>
      <c r="R114" s="371" t="s">
        <v>620</v>
      </c>
      <c r="S114" s="371" t="s">
        <v>612</v>
      </c>
      <c r="T114" s="371" t="s">
        <v>2682</v>
      </c>
      <c r="U114" s="371" t="s">
        <v>2871</v>
      </c>
      <c r="V114" s="371" t="s">
        <v>399</v>
      </c>
      <c r="W114">
        <f>COUNTIF(A$2:A114,A114)</f>
        <v>1</v>
      </c>
    </row>
    <row r="115" spans="1:23">
      <c r="A115" t="str">
        <f t="shared" si="1"/>
        <v>75*1002/250.0190.5黑AAAA骏马湿布骏马湿布</v>
      </c>
      <c r="B115" s="371" t="s">
        <v>1832</v>
      </c>
      <c r="C115" s="371" t="s">
        <v>285</v>
      </c>
      <c r="D115" s="371" t="s">
        <v>2872</v>
      </c>
      <c r="E115" s="371" t="s">
        <v>2856</v>
      </c>
      <c r="F115" s="371" t="s">
        <v>612</v>
      </c>
      <c r="G115" s="371" t="s">
        <v>612</v>
      </c>
      <c r="H115" s="371" t="s">
        <v>399</v>
      </c>
      <c r="I115" s="371" t="s">
        <v>1911</v>
      </c>
      <c r="J115" s="371" t="s">
        <v>208</v>
      </c>
      <c r="K115" s="371" t="s">
        <v>197</v>
      </c>
      <c r="L115" s="371" t="s">
        <v>2103</v>
      </c>
      <c r="M115" s="371" t="s">
        <v>2081</v>
      </c>
      <c r="N115" s="371" t="s">
        <v>1</v>
      </c>
      <c r="O115" s="371" t="s">
        <v>387</v>
      </c>
      <c r="P115" s="371" t="s">
        <v>399</v>
      </c>
      <c r="Q115" s="371" t="s">
        <v>281</v>
      </c>
      <c r="R115" s="371" t="s">
        <v>620</v>
      </c>
      <c r="S115" s="371" t="s">
        <v>1911</v>
      </c>
      <c r="T115" s="371" t="s">
        <v>2088</v>
      </c>
      <c r="U115" s="371" t="s">
        <v>2873</v>
      </c>
      <c r="V115" s="371" t="s">
        <v>1911</v>
      </c>
      <c r="W115">
        <f>COUNTIF(A$2:A115,A115)</f>
        <v>1</v>
      </c>
    </row>
    <row r="116" spans="1:23">
      <c r="A116" t="str">
        <f t="shared" si="1"/>
        <v>75*1002/250.0190.5白AAA烘干烘干</v>
      </c>
      <c r="B116" s="371" t="s">
        <v>1832</v>
      </c>
      <c r="C116" s="371" t="s">
        <v>285</v>
      </c>
      <c r="D116" s="371" t="s">
        <v>3089</v>
      </c>
      <c r="E116" s="371" t="s">
        <v>708</v>
      </c>
      <c r="F116" s="371" t="s">
        <v>612</v>
      </c>
      <c r="G116" s="371" t="s">
        <v>612</v>
      </c>
      <c r="H116" s="371" t="s">
        <v>399</v>
      </c>
      <c r="I116" s="371" t="s">
        <v>1875</v>
      </c>
      <c r="J116" s="371" t="s">
        <v>208</v>
      </c>
      <c r="K116" s="371" t="s">
        <v>197</v>
      </c>
      <c r="L116" s="371" t="s">
        <v>2103</v>
      </c>
      <c r="M116" s="371" t="s">
        <v>2081</v>
      </c>
      <c r="N116" s="371" t="s">
        <v>2</v>
      </c>
      <c r="O116" s="371" t="s">
        <v>287</v>
      </c>
      <c r="P116" s="371" t="s">
        <v>399</v>
      </c>
      <c r="Q116" s="371" t="s">
        <v>281</v>
      </c>
      <c r="R116" s="371" t="s">
        <v>620</v>
      </c>
      <c r="S116" s="371" t="s">
        <v>1875</v>
      </c>
      <c r="T116" s="371" t="s">
        <v>399</v>
      </c>
      <c r="U116" s="371" t="s">
        <v>612</v>
      </c>
      <c r="V116" s="371" t="s">
        <v>1875</v>
      </c>
      <c r="W116">
        <f>COUNTIF(A$2:A116,A116)</f>
        <v>1</v>
      </c>
    </row>
    <row r="117" spans="1:23">
      <c r="A117" t="str">
        <f t="shared" si="1"/>
        <v>F/75/100/50/190.5/2/2/B/AA75*1002/250.0190.5黑AA0老库存</v>
      </c>
      <c r="B117" s="371" t="s">
        <v>1832</v>
      </c>
      <c r="C117" s="371" t="s">
        <v>285</v>
      </c>
      <c r="D117" s="371" t="s">
        <v>2828</v>
      </c>
      <c r="E117" s="371" t="s">
        <v>641</v>
      </c>
      <c r="F117" s="371" t="s">
        <v>612</v>
      </c>
      <c r="G117" s="371" t="s">
        <v>612</v>
      </c>
      <c r="H117" s="371" t="s">
        <v>2829</v>
      </c>
      <c r="I117" s="371" t="s">
        <v>641</v>
      </c>
      <c r="J117" s="371" t="s">
        <v>208</v>
      </c>
      <c r="K117" s="371" t="s">
        <v>197</v>
      </c>
      <c r="L117" s="371" t="s">
        <v>2103</v>
      </c>
      <c r="M117" s="371" t="s">
        <v>2081</v>
      </c>
      <c r="N117" s="371" t="s">
        <v>1</v>
      </c>
      <c r="O117" s="371" t="s">
        <v>282</v>
      </c>
      <c r="P117" s="371" t="s">
        <v>399</v>
      </c>
      <c r="Q117" s="371" t="s">
        <v>281</v>
      </c>
      <c r="R117" s="371" t="s">
        <v>620</v>
      </c>
      <c r="S117" s="371" t="s">
        <v>612</v>
      </c>
      <c r="T117" s="371" t="s">
        <v>2830</v>
      </c>
      <c r="U117" s="371" t="s">
        <v>2831</v>
      </c>
      <c r="V117" s="371" t="s">
        <v>1943</v>
      </c>
      <c r="W117">
        <f>COUNTIF(A$2:A117,A117)</f>
        <v>1</v>
      </c>
    </row>
    <row r="118" spans="1:23">
      <c r="A118" t="str">
        <f t="shared" si="1"/>
        <v>75*1002/247.0190.5白AAA0</v>
      </c>
      <c r="B118" s="371" t="s">
        <v>1832</v>
      </c>
      <c r="C118" s="371" t="s">
        <v>285</v>
      </c>
      <c r="D118" s="371" t="s">
        <v>2105</v>
      </c>
      <c r="E118" s="371" t="s">
        <v>641</v>
      </c>
      <c r="F118" s="371" t="s">
        <v>612</v>
      </c>
      <c r="G118" s="371" t="s">
        <v>612</v>
      </c>
      <c r="H118" s="371" t="s">
        <v>399</v>
      </c>
      <c r="I118" s="371" t="s">
        <v>641</v>
      </c>
      <c r="J118" s="371" t="s">
        <v>208</v>
      </c>
      <c r="K118" s="371" t="s">
        <v>197</v>
      </c>
      <c r="L118" s="371" t="s">
        <v>2106</v>
      </c>
      <c r="M118" s="371" t="s">
        <v>2081</v>
      </c>
      <c r="N118" s="371" t="s">
        <v>2</v>
      </c>
      <c r="O118" s="371" t="s">
        <v>287</v>
      </c>
      <c r="P118" s="371" t="s">
        <v>399</v>
      </c>
      <c r="Q118" s="371" t="s">
        <v>281</v>
      </c>
      <c r="R118" s="371" t="s">
        <v>620</v>
      </c>
      <c r="S118" s="371" t="s">
        <v>612</v>
      </c>
      <c r="T118" s="371" t="s">
        <v>1939</v>
      </c>
      <c r="U118" s="371" t="s">
        <v>2107</v>
      </c>
      <c r="V118" s="371" t="s">
        <v>399</v>
      </c>
      <c r="W118">
        <f>COUNTIF(A$2:A118,A118)</f>
        <v>1</v>
      </c>
    </row>
    <row r="119" spans="1:23">
      <c r="A119" t="str">
        <f t="shared" si="1"/>
        <v>75*1002/247.0190.5白AAA0</v>
      </c>
      <c r="B119" s="371" t="s">
        <v>1832</v>
      </c>
      <c r="C119" s="371" t="s">
        <v>2108</v>
      </c>
      <c r="D119" s="371" t="s">
        <v>2109</v>
      </c>
      <c r="E119" s="371" t="s">
        <v>621</v>
      </c>
      <c r="F119" s="371" t="s">
        <v>612</v>
      </c>
      <c r="G119" s="371" t="s">
        <v>612</v>
      </c>
      <c r="H119" s="371" t="s">
        <v>399</v>
      </c>
      <c r="I119" s="371" t="s">
        <v>641</v>
      </c>
      <c r="J119" s="371" t="s">
        <v>208</v>
      </c>
      <c r="K119" s="371" t="s">
        <v>197</v>
      </c>
      <c r="L119" s="371" t="s">
        <v>2106</v>
      </c>
      <c r="M119" s="371" t="s">
        <v>2081</v>
      </c>
      <c r="N119" s="371" t="s">
        <v>2</v>
      </c>
      <c r="O119" s="371" t="s">
        <v>287</v>
      </c>
      <c r="P119" s="371" t="s">
        <v>399</v>
      </c>
      <c r="Q119" s="371" t="s">
        <v>281</v>
      </c>
      <c r="R119" s="371" t="s">
        <v>620</v>
      </c>
      <c r="S119" s="371" t="s">
        <v>612</v>
      </c>
      <c r="T119" s="371" t="s">
        <v>1939</v>
      </c>
      <c r="U119" s="371" t="s">
        <v>2110</v>
      </c>
      <c r="V119" s="371" t="s">
        <v>399</v>
      </c>
      <c r="W119">
        <f>COUNTIF(A$2:A119,A119)</f>
        <v>2</v>
      </c>
    </row>
    <row r="120" spans="1:23">
      <c r="A120" t="str">
        <f t="shared" si="1"/>
        <v>75*1002/247.0190.5白AAA0</v>
      </c>
      <c r="B120" s="371" t="s">
        <v>1832</v>
      </c>
      <c r="C120" s="371" t="s">
        <v>2111</v>
      </c>
      <c r="D120" s="371" t="s">
        <v>2112</v>
      </c>
      <c r="E120" s="371" t="s">
        <v>630</v>
      </c>
      <c r="F120" s="371" t="s">
        <v>612</v>
      </c>
      <c r="G120" s="371" t="s">
        <v>612</v>
      </c>
      <c r="H120" s="371" t="s">
        <v>399</v>
      </c>
      <c r="I120" s="371" t="s">
        <v>641</v>
      </c>
      <c r="J120" s="371" t="s">
        <v>208</v>
      </c>
      <c r="K120" s="371" t="s">
        <v>197</v>
      </c>
      <c r="L120" s="371" t="s">
        <v>2106</v>
      </c>
      <c r="M120" s="371" t="s">
        <v>2081</v>
      </c>
      <c r="N120" s="371" t="s">
        <v>2</v>
      </c>
      <c r="O120" s="371" t="s">
        <v>287</v>
      </c>
      <c r="P120" s="371" t="s">
        <v>399</v>
      </c>
      <c r="Q120" s="371" t="s">
        <v>281</v>
      </c>
      <c r="R120" s="371" t="s">
        <v>620</v>
      </c>
      <c r="S120" s="371" t="s">
        <v>612</v>
      </c>
      <c r="T120" s="371" t="s">
        <v>1939</v>
      </c>
      <c r="U120" s="371" t="s">
        <v>2113</v>
      </c>
      <c r="V120" s="371" t="s">
        <v>399</v>
      </c>
      <c r="W120">
        <f>COUNTIF(A$2:A120,A120)</f>
        <v>3</v>
      </c>
    </row>
    <row r="121" spans="1:23">
      <c r="A121" t="str">
        <f t="shared" si="1"/>
        <v>F/75/150/58/190.5/2/2/W/AAA75*1502/258.0190.5白AAA21</v>
      </c>
      <c r="B121" s="371" t="s">
        <v>1832</v>
      </c>
      <c r="C121" s="371" t="s">
        <v>285</v>
      </c>
      <c r="D121" s="371" t="s">
        <v>2683</v>
      </c>
      <c r="E121" s="371" t="s">
        <v>1820</v>
      </c>
      <c r="F121" s="371" t="s">
        <v>612</v>
      </c>
      <c r="G121" s="371" t="s">
        <v>612</v>
      </c>
      <c r="H121" s="371" t="s">
        <v>2119</v>
      </c>
      <c r="I121" s="371" t="s">
        <v>630</v>
      </c>
      <c r="J121" s="371" t="s">
        <v>211</v>
      </c>
      <c r="K121" s="371" t="s">
        <v>197</v>
      </c>
      <c r="L121" s="371" t="s">
        <v>2120</v>
      </c>
      <c r="M121" s="371" t="s">
        <v>2081</v>
      </c>
      <c r="N121" s="371" t="s">
        <v>2</v>
      </c>
      <c r="O121" s="371" t="s">
        <v>287</v>
      </c>
      <c r="P121" s="371" t="s">
        <v>399</v>
      </c>
      <c r="Q121" s="371" t="s">
        <v>399</v>
      </c>
      <c r="R121" s="371" t="s">
        <v>620</v>
      </c>
      <c r="S121" s="371" t="s">
        <v>620</v>
      </c>
      <c r="T121" s="371" t="s">
        <v>1904</v>
      </c>
      <c r="U121" s="371" t="s">
        <v>2684</v>
      </c>
      <c r="V121" s="371" t="s">
        <v>641</v>
      </c>
      <c r="W121">
        <f>COUNTIF(A$2:A121,A121)</f>
        <v>1</v>
      </c>
    </row>
    <row r="122" spans="1:23">
      <c r="A122" t="str">
        <f t="shared" si="1"/>
        <v>75*1502/258.0190.5白HAAA0环保</v>
      </c>
      <c r="B122" s="371" t="s">
        <v>1832</v>
      </c>
      <c r="C122" s="371" t="s">
        <v>285</v>
      </c>
      <c r="D122" s="371" t="s">
        <v>3090</v>
      </c>
      <c r="E122" s="371" t="s">
        <v>641</v>
      </c>
      <c r="F122" s="371" t="s">
        <v>612</v>
      </c>
      <c r="G122" s="371" t="s">
        <v>612</v>
      </c>
      <c r="H122" s="371" t="s">
        <v>399</v>
      </c>
      <c r="I122" s="371" t="s">
        <v>620</v>
      </c>
      <c r="J122" s="371" t="s">
        <v>211</v>
      </c>
      <c r="K122" s="371" t="s">
        <v>197</v>
      </c>
      <c r="L122" s="371" t="s">
        <v>2120</v>
      </c>
      <c r="M122" s="371" t="s">
        <v>2081</v>
      </c>
      <c r="N122" s="371" t="s">
        <v>2</v>
      </c>
      <c r="O122" s="371" t="s">
        <v>1076</v>
      </c>
      <c r="P122" s="371" t="s">
        <v>399</v>
      </c>
      <c r="Q122" s="371" t="s">
        <v>399</v>
      </c>
      <c r="R122" s="371" t="s">
        <v>620</v>
      </c>
      <c r="S122" s="371" t="s">
        <v>612</v>
      </c>
      <c r="T122" s="371" t="s">
        <v>399</v>
      </c>
      <c r="U122" s="371" t="s">
        <v>612</v>
      </c>
      <c r="V122" s="371" t="s">
        <v>1894</v>
      </c>
      <c r="W122">
        <f>COUNTIF(A$2:A122,A122)</f>
        <v>1</v>
      </c>
    </row>
    <row r="123" spans="1:23">
      <c r="A123" t="str">
        <f t="shared" si="1"/>
        <v>75*1503/154.0190.5黑AAA0</v>
      </c>
      <c r="B123" s="371" t="s">
        <v>1832</v>
      </c>
      <c r="C123" s="371" t="s">
        <v>285</v>
      </c>
      <c r="D123" s="371" t="s">
        <v>3091</v>
      </c>
      <c r="E123" s="371" t="s">
        <v>640</v>
      </c>
      <c r="F123" s="371" t="s">
        <v>612</v>
      </c>
      <c r="G123" s="371" t="s">
        <v>612</v>
      </c>
      <c r="H123" s="371" t="s">
        <v>399</v>
      </c>
      <c r="I123" s="371" t="s">
        <v>641</v>
      </c>
      <c r="J123" s="371" t="s">
        <v>211</v>
      </c>
      <c r="K123" s="371" t="s">
        <v>200</v>
      </c>
      <c r="L123" s="371" t="s">
        <v>1834</v>
      </c>
      <c r="M123" s="371" t="s">
        <v>2081</v>
      </c>
      <c r="N123" s="371" t="s">
        <v>1</v>
      </c>
      <c r="O123" s="371" t="s">
        <v>287</v>
      </c>
      <c r="P123" s="371" t="s">
        <v>399</v>
      </c>
      <c r="Q123" s="371" t="s">
        <v>281</v>
      </c>
      <c r="R123" s="371" t="s">
        <v>620</v>
      </c>
      <c r="S123" s="371" t="s">
        <v>612</v>
      </c>
      <c r="T123" s="371" t="s">
        <v>2117</v>
      </c>
      <c r="U123" s="371" t="s">
        <v>3092</v>
      </c>
      <c r="V123" s="371" t="s">
        <v>399</v>
      </c>
      <c r="W123">
        <f>COUNTIF(A$2:A123,A123)</f>
        <v>1</v>
      </c>
    </row>
    <row r="124" spans="1:23">
      <c r="A124" t="str">
        <f t="shared" si="1"/>
        <v>F/75/150/58/190.5/2/2/W/HAA75*1502/258.0190.5白HAA01</v>
      </c>
      <c r="B124" s="371" t="s">
        <v>1832</v>
      </c>
      <c r="C124" s="371" t="s">
        <v>285</v>
      </c>
      <c r="D124" s="371" t="s">
        <v>2321</v>
      </c>
      <c r="E124" s="371" t="s">
        <v>641</v>
      </c>
      <c r="F124" s="371" t="s">
        <v>612</v>
      </c>
      <c r="G124" s="371" t="s">
        <v>612</v>
      </c>
      <c r="H124" s="371" t="s">
        <v>2685</v>
      </c>
      <c r="I124" s="371" t="s">
        <v>630</v>
      </c>
      <c r="J124" s="371" t="s">
        <v>211</v>
      </c>
      <c r="K124" s="371" t="s">
        <v>197</v>
      </c>
      <c r="L124" s="371" t="s">
        <v>2120</v>
      </c>
      <c r="M124" s="371" t="s">
        <v>2081</v>
      </c>
      <c r="N124" s="371" t="s">
        <v>2</v>
      </c>
      <c r="O124" s="371" t="s">
        <v>1077</v>
      </c>
      <c r="P124" s="371" t="s">
        <v>399</v>
      </c>
      <c r="Q124" s="371" t="s">
        <v>399</v>
      </c>
      <c r="R124" s="371" t="s">
        <v>620</v>
      </c>
      <c r="S124" s="371" t="s">
        <v>612</v>
      </c>
      <c r="T124" s="371" t="s">
        <v>1904</v>
      </c>
      <c r="U124" s="371" t="s">
        <v>2686</v>
      </c>
      <c r="V124" s="371" t="s">
        <v>641</v>
      </c>
      <c r="W124">
        <f>COUNTIF(A$2:A124,A124)</f>
        <v>1</v>
      </c>
    </row>
    <row r="125" spans="1:23">
      <c r="A125" t="str">
        <f t="shared" si="1"/>
        <v>75*1502/254.0190.5黑AAA0</v>
      </c>
      <c r="B125" s="371" t="s">
        <v>1832</v>
      </c>
      <c r="C125" s="371" t="s">
        <v>285</v>
      </c>
      <c r="D125" s="371" t="s">
        <v>2832</v>
      </c>
      <c r="E125" s="371" t="s">
        <v>656</v>
      </c>
      <c r="F125" s="371" t="s">
        <v>612</v>
      </c>
      <c r="G125" s="371" t="s">
        <v>612</v>
      </c>
      <c r="H125" s="371" t="s">
        <v>399</v>
      </c>
      <c r="I125" s="371" t="s">
        <v>641</v>
      </c>
      <c r="J125" s="371" t="s">
        <v>211</v>
      </c>
      <c r="K125" s="371" t="s">
        <v>197</v>
      </c>
      <c r="L125" s="371" t="s">
        <v>1834</v>
      </c>
      <c r="M125" s="371" t="s">
        <v>2081</v>
      </c>
      <c r="N125" s="371" t="s">
        <v>1</v>
      </c>
      <c r="O125" s="371" t="s">
        <v>287</v>
      </c>
      <c r="P125" s="371" t="s">
        <v>399</v>
      </c>
      <c r="Q125" s="371" t="s">
        <v>281</v>
      </c>
      <c r="R125" s="371" t="s">
        <v>620</v>
      </c>
      <c r="S125" s="371" t="s">
        <v>612</v>
      </c>
      <c r="T125" s="371" t="s">
        <v>2022</v>
      </c>
      <c r="U125" s="371" t="s">
        <v>2833</v>
      </c>
      <c r="V125" s="371" t="s">
        <v>399</v>
      </c>
      <c r="W125">
        <f>COUNTIF(A$2:A125,A125)</f>
        <v>1</v>
      </c>
    </row>
    <row r="126" spans="1:23">
      <c r="A126" t="str">
        <f t="shared" si="1"/>
        <v>75*1502/258.0190.5白AAAA94A94</v>
      </c>
      <c r="B126" s="371" t="s">
        <v>1832</v>
      </c>
      <c r="C126" s="371" t="s">
        <v>285</v>
      </c>
      <c r="D126" s="371" t="s">
        <v>3093</v>
      </c>
      <c r="E126" s="371" t="s">
        <v>619</v>
      </c>
      <c r="F126" s="371" t="s">
        <v>612</v>
      </c>
      <c r="G126" s="371" t="s">
        <v>612</v>
      </c>
      <c r="H126" s="371" t="s">
        <v>399</v>
      </c>
      <c r="I126" s="371" t="s">
        <v>227</v>
      </c>
      <c r="J126" s="371" t="s">
        <v>211</v>
      </c>
      <c r="K126" s="371" t="s">
        <v>197</v>
      </c>
      <c r="L126" s="371" t="s">
        <v>2120</v>
      </c>
      <c r="M126" s="371" t="s">
        <v>2081</v>
      </c>
      <c r="N126" s="371" t="s">
        <v>2</v>
      </c>
      <c r="O126" s="371" t="s">
        <v>287</v>
      </c>
      <c r="P126" s="371" t="s">
        <v>399</v>
      </c>
      <c r="Q126" s="371" t="s">
        <v>281</v>
      </c>
      <c r="R126" s="371" t="s">
        <v>620</v>
      </c>
      <c r="S126" s="371" t="s">
        <v>227</v>
      </c>
      <c r="T126" s="371" t="s">
        <v>2958</v>
      </c>
      <c r="U126" s="371" t="s">
        <v>3094</v>
      </c>
      <c r="V126" s="371" t="s">
        <v>227</v>
      </c>
      <c r="W126">
        <f>COUNTIF(A$2:A126,A126)</f>
        <v>1</v>
      </c>
    </row>
    <row r="127" spans="1:23">
      <c r="A127" t="str">
        <f t="shared" si="1"/>
        <v>F/75/150/58/190.5/2/2/W/AAA75*1502/258.0190.5白AAA0环保</v>
      </c>
      <c r="B127" s="371" t="s">
        <v>1832</v>
      </c>
      <c r="C127" s="371" t="s">
        <v>285</v>
      </c>
      <c r="D127" s="371" t="s">
        <v>3095</v>
      </c>
      <c r="E127" s="371" t="s">
        <v>617</v>
      </c>
      <c r="F127" s="371" t="s">
        <v>612</v>
      </c>
      <c r="G127" s="371" t="s">
        <v>612</v>
      </c>
      <c r="H127" s="371" t="s">
        <v>2119</v>
      </c>
      <c r="I127" s="371" t="s">
        <v>641</v>
      </c>
      <c r="J127" s="371" t="s">
        <v>211</v>
      </c>
      <c r="K127" s="371" t="s">
        <v>197</v>
      </c>
      <c r="L127" s="371" t="s">
        <v>2120</v>
      </c>
      <c r="M127" s="371" t="s">
        <v>2081</v>
      </c>
      <c r="N127" s="371" t="s">
        <v>2</v>
      </c>
      <c r="O127" s="371" t="s">
        <v>287</v>
      </c>
      <c r="P127" s="371" t="s">
        <v>399</v>
      </c>
      <c r="Q127" s="371" t="s">
        <v>281</v>
      </c>
      <c r="R127" s="371" t="s">
        <v>620</v>
      </c>
      <c r="S127" s="371" t="s">
        <v>612</v>
      </c>
      <c r="T127" s="371" t="s">
        <v>1985</v>
      </c>
      <c r="U127" s="371" t="s">
        <v>3096</v>
      </c>
      <c r="V127" s="371" t="s">
        <v>1894</v>
      </c>
      <c r="W127">
        <f>COUNTIF(A$2:A127,A127)</f>
        <v>1</v>
      </c>
    </row>
    <row r="128" spans="1:23">
      <c r="A128" t="str">
        <f t="shared" si="1"/>
        <v>75*1502/254.0190.5白AAA0</v>
      </c>
      <c r="B128" s="371" t="s">
        <v>1832</v>
      </c>
      <c r="C128" s="371" t="s">
        <v>285</v>
      </c>
      <c r="D128" s="371" t="s">
        <v>3097</v>
      </c>
      <c r="E128" s="371" t="s">
        <v>2499</v>
      </c>
      <c r="F128" s="371" t="s">
        <v>612</v>
      </c>
      <c r="G128" s="371" t="s">
        <v>612</v>
      </c>
      <c r="H128" s="371" t="s">
        <v>399</v>
      </c>
      <c r="I128" s="371" t="s">
        <v>641</v>
      </c>
      <c r="J128" s="371" t="s">
        <v>211</v>
      </c>
      <c r="K128" s="371" t="s">
        <v>197</v>
      </c>
      <c r="L128" s="371" t="s">
        <v>1834</v>
      </c>
      <c r="M128" s="371" t="s">
        <v>2081</v>
      </c>
      <c r="N128" s="371" t="s">
        <v>2</v>
      </c>
      <c r="O128" s="371" t="s">
        <v>287</v>
      </c>
      <c r="P128" s="371" t="s">
        <v>399</v>
      </c>
      <c r="Q128" s="371" t="s">
        <v>281</v>
      </c>
      <c r="R128" s="371" t="s">
        <v>620</v>
      </c>
      <c r="S128" s="371" t="s">
        <v>612</v>
      </c>
      <c r="T128" s="371" t="s">
        <v>2117</v>
      </c>
      <c r="U128" s="371" t="s">
        <v>3098</v>
      </c>
      <c r="V128" s="371" t="s">
        <v>399</v>
      </c>
      <c r="W128">
        <f>COUNTIF(A$2:A128,A128)</f>
        <v>1</v>
      </c>
    </row>
    <row r="129" spans="1:23">
      <c r="A129" t="str">
        <f t="shared" si="1"/>
        <v>75*1502/258.0190.5黑AAA0</v>
      </c>
      <c r="B129" s="371" t="s">
        <v>1832</v>
      </c>
      <c r="C129" s="371" t="s">
        <v>285</v>
      </c>
      <c r="D129" s="371" t="s">
        <v>3099</v>
      </c>
      <c r="E129" s="371" t="s">
        <v>3100</v>
      </c>
      <c r="F129" s="371" t="s">
        <v>612</v>
      </c>
      <c r="G129" s="371" t="s">
        <v>612</v>
      </c>
      <c r="H129" s="371" t="s">
        <v>399</v>
      </c>
      <c r="I129" s="371" t="s">
        <v>641</v>
      </c>
      <c r="J129" s="371" t="s">
        <v>211</v>
      </c>
      <c r="K129" s="371" t="s">
        <v>197</v>
      </c>
      <c r="L129" s="371" t="s">
        <v>2120</v>
      </c>
      <c r="M129" s="371" t="s">
        <v>2081</v>
      </c>
      <c r="N129" s="371" t="s">
        <v>1</v>
      </c>
      <c r="O129" s="371" t="s">
        <v>287</v>
      </c>
      <c r="P129" s="371" t="s">
        <v>399</v>
      </c>
      <c r="Q129" s="371" t="s">
        <v>281</v>
      </c>
      <c r="R129" s="371" t="s">
        <v>620</v>
      </c>
      <c r="S129" s="371" t="s">
        <v>612</v>
      </c>
      <c r="T129" s="371" t="s">
        <v>2095</v>
      </c>
      <c r="U129" s="371" t="s">
        <v>3101</v>
      </c>
      <c r="V129" s="371" t="s">
        <v>399</v>
      </c>
      <c r="W129">
        <f>COUNTIF(A$2:A129,A129)</f>
        <v>1</v>
      </c>
    </row>
    <row r="130" spans="1:23">
      <c r="A130" t="str">
        <f t="shared" si="1"/>
        <v>75*1502/254.0190.5黑AA0</v>
      </c>
      <c r="B130" s="371" t="s">
        <v>1832</v>
      </c>
      <c r="C130" s="371" t="s">
        <v>285</v>
      </c>
      <c r="D130" s="371" t="s">
        <v>2125</v>
      </c>
      <c r="E130" s="371" t="s">
        <v>630</v>
      </c>
      <c r="F130" s="371" t="s">
        <v>612</v>
      </c>
      <c r="G130" s="371" t="s">
        <v>612</v>
      </c>
      <c r="H130" s="371" t="s">
        <v>399</v>
      </c>
      <c r="I130" s="371" t="s">
        <v>641</v>
      </c>
      <c r="J130" s="371" t="s">
        <v>211</v>
      </c>
      <c r="K130" s="371" t="s">
        <v>197</v>
      </c>
      <c r="L130" s="371" t="s">
        <v>1834</v>
      </c>
      <c r="M130" s="371" t="s">
        <v>2081</v>
      </c>
      <c r="N130" s="371" t="s">
        <v>1</v>
      </c>
      <c r="O130" s="371" t="s">
        <v>282</v>
      </c>
      <c r="P130" s="371" t="s">
        <v>399</v>
      </c>
      <c r="Q130" s="371" t="s">
        <v>281</v>
      </c>
      <c r="R130" s="371" t="s">
        <v>620</v>
      </c>
      <c r="S130" s="371" t="s">
        <v>612</v>
      </c>
      <c r="T130" s="371" t="s">
        <v>2095</v>
      </c>
      <c r="U130" s="371" t="s">
        <v>2126</v>
      </c>
      <c r="V130" s="371" t="s">
        <v>399</v>
      </c>
      <c r="W130">
        <f>COUNTIF(A$2:A130,A130)</f>
        <v>1</v>
      </c>
    </row>
    <row r="131" spans="1:23">
      <c r="A131" t="str">
        <f t="shared" ref="A131:A184" si="2">H131&amp;J131&amp;K131&amp;L131&amp;M131&amp;N131&amp;O131&amp;S131&amp;V131</f>
        <v>75*150-22/258.0190.5白AAA厚康厚康 加工</v>
      </c>
      <c r="B131" s="371" t="s">
        <v>1832</v>
      </c>
      <c r="C131" s="371" t="s">
        <v>285</v>
      </c>
      <c r="D131" s="371" t="s">
        <v>3102</v>
      </c>
      <c r="E131" s="371" t="s">
        <v>679</v>
      </c>
      <c r="F131" s="371" t="s">
        <v>612</v>
      </c>
      <c r="G131" s="371" t="s">
        <v>612</v>
      </c>
      <c r="H131" s="371" t="s">
        <v>399</v>
      </c>
      <c r="I131" s="371" t="s">
        <v>2171</v>
      </c>
      <c r="J131" s="371" t="s">
        <v>3103</v>
      </c>
      <c r="K131" s="371" t="s">
        <v>197</v>
      </c>
      <c r="L131" s="371" t="s">
        <v>2120</v>
      </c>
      <c r="M131" s="371" t="s">
        <v>2081</v>
      </c>
      <c r="N131" s="371" t="s">
        <v>2</v>
      </c>
      <c r="O131" s="371" t="s">
        <v>287</v>
      </c>
      <c r="P131" s="371" t="s">
        <v>399</v>
      </c>
      <c r="Q131" s="371" t="s">
        <v>281</v>
      </c>
      <c r="R131" s="371" t="s">
        <v>620</v>
      </c>
      <c r="S131" s="371" t="s">
        <v>2171</v>
      </c>
      <c r="T131" s="371" t="s">
        <v>399</v>
      </c>
      <c r="U131" s="371" t="s">
        <v>612</v>
      </c>
      <c r="V131" s="371" t="s">
        <v>2174</v>
      </c>
      <c r="W131">
        <f>COUNTIF(A$2:A131,A131)</f>
        <v>1</v>
      </c>
    </row>
    <row r="132" spans="1:23">
      <c r="A132" t="str">
        <f t="shared" si="2"/>
        <v>F/75/200/62/190.5/2/2/B/AAA75*2002/262.0190.5黑AAA0</v>
      </c>
      <c r="B132" s="371" t="s">
        <v>1832</v>
      </c>
      <c r="C132" s="371" t="s">
        <v>285</v>
      </c>
      <c r="D132" s="371" t="s">
        <v>2959</v>
      </c>
      <c r="E132" s="371" t="s">
        <v>632</v>
      </c>
      <c r="F132" s="371" t="s">
        <v>612</v>
      </c>
      <c r="G132" s="371" t="s">
        <v>612</v>
      </c>
      <c r="H132" s="371" t="s">
        <v>2687</v>
      </c>
      <c r="I132" s="371" t="s">
        <v>641</v>
      </c>
      <c r="J132" s="371" t="s">
        <v>212</v>
      </c>
      <c r="K132" s="371" t="s">
        <v>197</v>
      </c>
      <c r="L132" s="371" t="s">
        <v>2688</v>
      </c>
      <c r="M132" s="371" t="s">
        <v>2081</v>
      </c>
      <c r="N132" s="371" t="s">
        <v>1</v>
      </c>
      <c r="O132" s="371" t="s">
        <v>287</v>
      </c>
      <c r="P132" s="371" t="s">
        <v>399</v>
      </c>
      <c r="Q132" s="371" t="s">
        <v>281</v>
      </c>
      <c r="R132" s="371" t="s">
        <v>620</v>
      </c>
      <c r="S132" s="371" t="s">
        <v>612</v>
      </c>
      <c r="T132" s="371" t="s">
        <v>2689</v>
      </c>
      <c r="U132" s="371" t="s">
        <v>2960</v>
      </c>
      <c r="V132" s="371" t="s">
        <v>399</v>
      </c>
      <c r="W132">
        <f>COUNTIF(A$2:A132,A132)</f>
        <v>1</v>
      </c>
    </row>
    <row r="133" spans="1:23">
      <c r="A133" t="str">
        <f t="shared" si="2"/>
        <v>F/75/200/62/190.5/2/2/W/AAA75*2002/262.0190.5白AAA01</v>
      </c>
      <c r="B133" s="371" t="s">
        <v>1832</v>
      </c>
      <c r="C133" s="371" t="s">
        <v>285</v>
      </c>
      <c r="D133" s="371" t="s">
        <v>2654</v>
      </c>
      <c r="E133" s="371" t="s">
        <v>719</v>
      </c>
      <c r="F133" s="371" t="s">
        <v>612</v>
      </c>
      <c r="G133" s="371" t="s">
        <v>612</v>
      </c>
      <c r="H133" s="371" t="s">
        <v>3104</v>
      </c>
      <c r="I133" s="371" t="s">
        <v>630</v>
      </c>
      <c r="J133" s="371" t="s">
        <v>212</v>
      </c>
      <c r="K133" s="371" t="s">
        <v>197</v>
      </c>
      <c r="L133" s="371" t="s">
        <v>2688</v>
      </c>
      <c r="M133" s="371" t="s">
        <v>2081</v>
      </c>
      <c r="N133" s="371" t="s">
        <v>2</v>
      </c>
      <c r="O133" s="371" t="s">
        <v>287</v>
      </c>
      <c r="P133" s="371" t="s">
        <v>399</v>
      </c>
      <c r="Q133" s="371" t="s">
        <v>399</v>
      </c>
      <c r="R133" s="371" t="s">
        <v>620</v>
      </c>
      <c r="S133" s="371" t="s">
        <v>612</v>
      </c>
      <c r="T133" s="371" t="s">
        <v>3105</v>
      </c>
      <c r="U133" s="371" t="s">
        <v>3106</v>
      </c>
      <c r="V133" s="371" t="s">
        <v>641</v>
      </c>
      <c r="W133">
        <f>COUNTIF(A$2:A133,A133)</f>
        <v>1</v>
      </c>
    </row>
    <row r="134" spans="1:23">
      <c r="A134" t="str">
        <f t="shared" si="2"/>
        <v>75*2002/262.0190.5白AAA0烘干布</v>
      </c>
      <c r="B134" s="371" t="s">
        <v>1832</v>
      </c>
      <c r="C134" s="371" t="s">
        <v>285</v>
      </c>
      <c r="D134" s="371" t="s">
        <v>2690</v>
      </c>
      <c r="E134" s="371" t="s">
        <v>656</v>
      </c>
      <c r="F134" s="371" t="s">
        <v>612</v>
      </c>
      <c r="G134" s="371" t="s">
        <v>612</v>
      </c>
      <c r="H134" s="371" t="s">
        <v>399</v>
      </c>
      <c r="I134" s="371" t="s">
        <v>1875</v>
      </c>
      <c r="J134" s="371" t="s">
        <v>212</v>
      </c>
      <c r="K134" s="371" t="s">
        <v>197</v>
      </c>
      <c r="L134" s="371" t="s">
        <v>2688</v>
      </c>
      <c r="M134" s="371" t="s">
        <v>2081</v>
      </c>
      <c r="N134" s="371" t="s">
        <v>2</v>
      </c>
      <c r="O134" s="371" t="s">
        <v>287</v>
      </c>
      <c r="P134" s="371" t="s">
        <v>399</v>
      </c>
      <c r="Q134" s="371" t="s">
        <v>399</v>
      </c>
      <c r="R134" s="371" t="s">
        <v>612</v>
      </c>
      <c r="S134" s="371" t="s">
        <v>612</v>
      </c>
      <c r="T134" s="371" t="s">
        <v>2961</v>
      </c>
      <c r="U134" s="371" t="s">
        <v>2962</v>
      </c>
      <c r="V134" s="371" t="s">
        <v>1873</v>
      </c>
      <c r="W134">
        <f>COUNTIF(A$2:A134,A134)</f>
        <v>1</v>
      </c>
    </row>
    <row r="135" spans="1:23">
      <c r="A135" t="str">
        <f t="shared" si="2"/>
        <v>75*3002/270.0190.5黑AAA0打样</v>
      </c>
      <c r="B135" s="371" t="s">
        <v>1832</v>
      </c>
      <c r="C135" s="371" t="s">
        <v>285</v>
      </c>
      <c r="D135" s="371" t="s">
        <v>2127</v>
      </c>
      <c r="E135" s="371" t="s">
        <v>625</v>
      </c>
      <c r="F135" s="371" t="s">
        <v>612</v>
      </c>
      <c r="G135" s="371" t="s">
        <v>612</v>
      </c>
      <c r="H135" s="371" t="s">
        <v>399</v>
      </c>
      <c r="I135" s="371" t="s">
        <v>620</v>
      </c>
      <c r="J135" s="371" t="s">
        <v>209</v>
      </c>
      <c r="K135" s="371" t="s">
        <v>197</v>
      </c>
      <c r="L135" s="371" t="s">
        <v>2128</v>
      </c>
      <c r="M135" s="371" t="s">
        <v>2081</v>
      </c>
      <c r="N135" s="371" t="s">
        <v>1</v>
      </c>
      <c r="O135" s="371" t="s">
        <v>287</v>
      </c>
      <c r="P135" s="371" t="s">
        <v>399</v>
      </c>
      <c r="Q135" s="371" t="s">
        <v>399</v>
      </c>
      <c r="R135" s="371" t="s">
        <v>620</v>
      </c>
      <c r="S135" s="371" t="s">
        <v>612</v>
      </c>
      <c r="T135" s="371" t="s">
        <v>1924</v>
      </c>
      <c r="U135" s="371" t="s">
        <v>2129</v>
      </c>
      <c r="V135" s="371" t="s">
        <v>515</v>
      </c>
      <c r="W135">
        <f>COUNTIF(A$2:A135,A135)</f>
        <v>1</v>
      </c>
    </row>
    <row r="136" spans="1:23">
      <c r="A136" t="str">
        <f t="shared" si="2"/>
        <v>F/75/300/70/190.5/2/2/B/AA75*3002/270.0190.5黑AA01</v>
      </c>
      <c r="B136" s="371" t="s">
        <v>1832</v>
      </c>
      <c r="C136" s="371" t="s">
        <v>285</v>
      </c>
      <c r="D136" s="371" t="s">
        <v>3107</v>
      </c>
      <c r="E136" s="371" t="s">
        <v>626</v>
      </c>
      <c r="F136" s="371" t="s">
        <v>612</v>
      </c>
      <c r="G136" s="371" t="s">
        <v>612</v>
      </c>
      <c r="H136" s="371" t="s">
        <v>2130</v>
      </c>
      <c r="I136" s="371" t="s">
        <v>641</v>
      </c>
      <c r="J136" s="371" t="s">
        <v>209</v>
      </c>
      <c r="K136" s="371" t="s">
        <v>197</v>
      </c>
      <c r="L136" s="371" t="s">
        <v>2128</v>
      </c>
      <c r="M136" s="371" t="s">
        <v>2081</v>
      </c>
      <c r="N136" s="371" t="s">
        <v>1</v>
      </c>
      <c r="O136" s="371" t="s">
        <v>282</v>
      </c>
      <c r="P136" s="371" t="s">
        <v>399</v>
      </c>
      <c r="Q136" s="371" t="s">
        <v>281</v>
      </c>
      <c r="R136" s="371" t="s">
        <v>620</v>
      </c>
      <c r="S136" s="371" t="s">
        <v>612</v>
      </c>
      <c r="T136" s="371" t="s">
        <v>2131</v>
      </c>
      <c r="U136" s="371" t="s">
        <v>3108</v>
      </c>
      <c r="V136" s="371" t="s">
        <v>641</v>
      </c>
      <c r="W136">
        <f>COUNTIF(A$2:A136,A136)</f>
        <v>1</v>
      </c>
    </row>
    <row r="137" spans="1:23">
      <c r="A137" t="str">
        <f t="shared" si="2"/>
        <v>F/75/300/70/190.5/2/2/B/AAA75*3002/270.0190.5黑AAA01</v>
      </c>
      <c r="B137" s="371" t="s">
        <v>1832</v>
      </c>
      <c r="C137" s="371" t="s">
        <v>285</v>
      </c>
      <c r="D137" s="371" t="s">
        <v>3109</v>
      </c>
      <c r="E137" s="371" t="s">
        <v>3110</v>
      </c>
      <c r="F137" s="371" t="s">
        <v>612</v>
      </c>
      <c r="G137" s="371" t="s">
        <v>612</v>
      </c>
      <c r="H137" s="371" t="s">
        <v>2132</v>
      </c>
      <c r="I137" s="371" t="s">
        <v>641</v>
      </c>
      <c r="J137" s="371" t="s">
        <v>209</v>
      </c>
      <c r="K137" s="371" t="s">
        <v>197</v>
      </c>
      <c r="L137" s="371" t="s">
        <v>2128</v>
      </c>
      <c r="M137" s="371" t="s">
        <v>2081</v>
      </c>
      <c r="N137" s="371" t="s">
        <v>1</v>
      </c>
      <c r="O137" s="371" t="s">
        <v>287</v>
      </c>
      <c r="P137" s="371" t="s">
        <v>399</v>
      </c>
      <c r="Q137" s="371" t="s">
        <v>281</v>
      </c>
      <c r="R137" s="371" t="s">
        <v>620</v>
      </c>
      <c r="S137" s="371" t="s">
        <v>612</v>
      </c>
      <c r="T137" s="371" t="s">
        <v>1922</v>
      </c>
      <c r="U137" s="371" t="s">
        <v>3111</v>
      </c>
      <c r="V137" s="371" t="s">
        <v>641</v>
      </c>
      <c r="W137">
        <f>COUNTIF(A$2:A137,A137)</f>
        <v>1</v>
      </c>
    </row>
    <row r="138" spans="1:23">
      <c r="A138" t="str">
        <f t="shared" si="2"/>
        <v>F/75/300/70/190.5/2/2/W/AA75*3002/270.0190.5白AA0</v>
      </c>
      <c r="B138" s="371" t="s">
        <v>1832</v>
      </c>
      <c r="C138" s="371" t="s">
        <v>285</v>
      </c>
      <c r="D138" s="371" t="s">
        <v>2691</v>
      </c>
      <c r="E138" s="371" t="s">
        <v>641</v>
      </c>
      <c r="F138" s="371" t="s">
        <v>612</v>
      </c>
      <c r="G138" s="371" t="s">
        <v>612</v>
      </c>
      <c r="H138" s="371" t="s">
        <v>2692</v>
      </c>
      <c r="I138" s="371" t="s">
        <v>620</v>
      </c>
      <c r="J138" s="371" t="s">
        <v>209</v>
      </c>
      <c r="K138" s="371" t="s">
        <v>197</v>
      </c>
      <c r="L138" s="371" t="s">
        <v>2128</v>
      </c>
      <c r="M138" s="371" t="s">
        <v>2081</v>
      </c>
      <c r="N138" s="371" t="s">
        <v>2</v>
      </c>
      <c r="O138" s="371" t="s">
        <v>282</v>
      </c>
      <c r="P138" s="371" t="s">
        <v>399</v>
      </c>
      <c r="Q138" s="371" t="s">
        <v>281</v>
      </c>
      <c r="R138" s="371" t="s">
        <v>620</v>
      </c>
      <c r="S138" s="371" t="s">
        <v>612</v>
      </c>
      <c r="T138" s="371" t="s">
        <v>2134</v>
      </c>
      <c r="U138" s="371" t="s">
        <v>2693</v>
      </c>
      <c r="V138" s="371" t="s">
        <v>399</v>
      </c>
      <c r="W138">
        <f>COUNTIF(A$2:A138,A138)</f>
        <v>1</v>
      </c>
    </row>
    <row r="139" spans="1:23">
      <c r="A139" t="str">
        <f t="shared" si="2"/>
        <v>F/75/300/70/190.5/2/2/W/AAA75*3002/270.0190.5白AAA0</v>
      </c>
      <c r="B139" s="371" t="s">
        <v>1832</v>
      </c>
      <c r="C139" s="371" t="s">
        <v>285</v>
      </c>
      <c r="D139" s="371" t="s">
        <v>2694</v>
      </c>
      <c r="E139" s="371" t="s">
        <v>670</v>
      </c>
      <c r="F139" s="371" t="s">
        <v>612</v>
      </c>
      <c r="G139" s="371" t="s">
        <v>612</v>
      </c>
      <c r="H139" s="371" t="s">
        <v>2133</v>
      </c>
      <c r="I139" s="371" t="s">
        <v>620</v>
      </c>
      <c r="J139" s="371" t="s">
        <v>209</v>
      </c>
      <c r="K139" s="371" t="s">
        <v>197</v>
      </c>
      <c r="L139" s="371" t="s">
        <v>2128</v>
      </c>
      <c r="M139" s="371" t="s">
        <v>2081</v>
      </c>
      <c r="N139" s="371" t="s">
        <v>2</v>
      </c>
      <c r="O139" s="371" t="s">
        <v>287</v>
      </c>
      <c r="P139" s="371" t="s">
        <v>399</v>
      </c>
      <c r="Q139" s="371" t="s">
        <v>281</v>
      </c>
      <c r="R139" s="371" t="s">
        <v>620</v>
      </c>
      <c r="S139" s="371" t="s">
        <v>612</v>
      </c>
      <c r="T139" s="371" t="s">
        <v>2134</v>
      </c>
      <c r="U139" s="371" t="s">
        <v>2695</v>
      </c>
      <c r="V139" s="371" t="s">
        <v>399</v>
      </c>
      <c r="W139">
        <f>COUNTIF(A$2:A139,A139)</f>
        <v>1</v>
      </c>
    </row>
    <row r="140" spans="1:23">
      <c r="A140" t="str">
        <f t="shared" si="2"/>
        <v>75*752/250.0198白AA0</v>
      </c>
      <c r="B140" s="371" t="s">
        <v>1832</v>
      </c>
      <c r="C140" s="371" t="s">
        <v>2136</v>
      </c>
      <c r="D140" s="371" t="s">
        <v>2137</v>
      </c>
      <c r="E140" s="371" t="s">
        <v>641</v>
      </c>
      <c r="F140" s="371" t="s">
        <v>612</v>
      </c>
      <c r="G140" s="371" t="s">
        <v>612</v>
      </c>
      <c r="H140" s="371" t="s">
        <v>399</v>
      </c>
      <c r="I140" s="371" t="s">
        <v>620</v>
      </c>
      <c r="J140" s="371" t="s">
        <v>206</v>
      </c>
      <c r="K140" s="371" t="s">
        <v>197</v>
      </c>
      <c r="L140" s="371" t="s">
        <v>2103</v>
      </c>
      <c r="M140" s="371" t="s">
        <v>2138</v>
      </c>
      <c r="N140" s="371" t="s">
        <v>2</v>
      </c>
      <c r="O140" s="371" t="s">
        <v>282</v>
      </c>
      <c r="P140" s="371" t="s">
        <v>399</v>
      </c>
      <c r="Q140" s="371" t="s">
        <v>399</v>
      </c>
      <c r="R140" s="371" t="s">
        <v>620</v>
      </c>
      <c r="S140" s="371" t="s">
        <v>612</v>
      </c>
      <c r="T140" s="371" t="s">
        <v>2139</v>
      </c>
      <c r="U140" s="371" t="s">
        <v>2137</v>
      </c>
      <c r="V140" s="371" t="s">
        <v>399</v>
      </c>
      <c r="W140">
        <f>COUNTIF(A$2:A140,A140)</f>
        <v>1</v>
      </c>
    </row>
    <row r="141" spans="1:23">
      <c r="A141" t="str">
        <f t="shared" si="2"/>
        <v>F/75/75/45/156/1/1/W/AAA75*751/145.0156白AAA01</v>
      </c>
      <c r="B141" s="371" t="s">
        <v>1832</v>
      </c>
      <c r="C141" s="371" t="s">
        <v>2140</v>
      </c>
      <c r="D141" s="371" t="s">
        <v>2141</v>
      </c>
      <c r="E141" s="371" t="s">
        <v>641</v>
      </c>
      <c r="F141" s="371" t="s">
        <v>612</v>
      </c>
      <c r="G141" s="371" t="s">
        <v>612</v>
      </c>
      <c r="H141" s="371" t="s">
        <v>2142</v>
      </c>
      <c r="I141" s="371" t="s">
        <v>641</v>
      </c>
      <c r="J141" s="371" t="s">
        <v>206</v>
      </c>
      <c r="K141" s="371" t="s">
        <v>1110</v>
      </c>
      <c r="L141" s="371" t="s">
        <v>2115</v>
      </c>
      <c r="M141" s="371" t="s">
        <v>2143</v>
      </c>
      <c r="N141" s="371" t="s">
        <v>2</v>
      </c>
      <c r="O141" s="371" t="s">
        <v>287</v>
      </c>
      <c r="P141" s="371" t="s">
        <v>399</v>
      </c>
      <c r="Q141" s="371" t="s">
        <v>399</v>
      </c>
      <c r="R141" s="371" t="s">
        <v>620</v>
      </c>
      <c r="S141" s="371" t="s">
        <v>612</v>
      </c>
      <c r="T141" s="371" t="s">
        <v>2144</v>
      </c>
      <c r="U141" s="371" t="s">
        <v>2145</v>
      </c>
      <c r="V141" s="371" t="s">
        <v>641</v>
      </c>
      <c r="W141">
        <f>COUNTIF(A$2:A141,A141)</f>
        <v>1</v>
      </c>
    </row>
    <row r="142" spans="1:23">
      <c r="A142" t="str">
        <f t="shared" si="2"/>
        <v>75*752/243.0190.5白AAA0徐明彬</v>
      </c>
      <c r="B142" s="371" t="s">
        <v>1832</v>
      </c>
      <c r="C142" s="371" t="s">
        <v>285</v>
      </c>
      <c r="D142" s="371" t="s">
        <v>2874</v>
      </c>
      <c r="E142" s="371" t="s">
        <v>932</v>
      </c>
      <c r="F142" s="371" t="s">
        <v>612</v>
      </c>
      <c r="G142" s="371" t="s">
        <v>612</v>
      </c>
      <c r="H142" s="371" t="s">
        <v>399</v>
      </c>
      <c r="I142" s="371" t="s">
        <v>2183</v>
      </c>
      <c r="J142" s="371" t="s">
        <v>206</v>
      </c>
      <c r="K142" s="371" t="s">
        <v>197</v>
      </c>
      <c r="L142" s="371" t="s">
        <v>2156</v>
      </c>
      <c r="M142" s="371" t="s">
        <v>2081</v>
      </c>
      <c r="N142" s="371" t="s">
        <v>2</v>
      </c>
      <c r="O142" s="371" t="s">
        <v>287</v>
      </c>
      <c r="P142" s="371" t="s">
        <v>399</v>
      </c>
      <c r="Q142" s="371" t="s">
        <v>281</v>
      </c>
      <c r="R142" s="371" t="s">
        <v>620</v>
      </c>
      <c r="S142" s="371" t="s">
        <v>612</v>
      </c>
      <c r="T142" s="371" t="s">
        <v>2117</v>
      </c>
      <c r="U142" s="371" t="s">
        <v>2875</v>
      </c>
      <c r="V142" s="371" t="s">
        <v>2183</v>
      </c>
      <c r="W142">
        <f>COUNTIF(A$2:A142,A142)</f>
        <v>1</v>
      </c>
    </row>
    <row r="143" spans="1:23">
      <c r="A143" t="str">
        <f t="shared" si="2"/>
        <v>F/75/75/50/198/2/2/W/HAAA75*752/250.0198白HAAA0</v>
      </c>
      <c r="B143" s="371" t="s">
        <v>1832</v>
      </c>
      <c r="C143" s="371" t="s">
        <v>2136</v>
      </c>
      <c r="D143" s="371" t="s">
        <v>2146</v>
      </c>
      <c r="E143" s="371" t="s">
        <v>641</v>
      </c>
      <c r="F143" s="371" t="s">
        <v>612</v>
      </c>
      <c r="G143" s="371" t="s">
        <v>612</v>
      </c>
      <c r="H143" s="371" t="s">
        <v>2147</v>
      </c>
      <c r="I143" s="371" t="s">
        <v>620</v>
      </c>
      <c r="J143" s="371" t="s">
        <v>206</v>
      </c>
      <c r="K143" s="371" t="s">
        <v>197</v>
      </c>
      <c r="L143" s="371" t="s">
        <v>2103</v>
      </c>
      <c r="M143" s="371" t="s">
        <v>2138</v>
      </c>
      <c r="N143" s="371" t="s">
        <v>2</v>
      </c>
      <c r="O143" s="371" t="s">
        <v>1076</v>
      </c>
      <c r="P143" s="371" t="s">
        <v>399</v>
      </c>
      <c r="Q143" s="371" t="s">
        <v>281</v>
      </c>
      <c r="R143" s="371" t="s">
        <v>620</v>
      </c>
      <c r="S143" s="371" t="s">
        <v>612</v>
      </c>
      <c r="T143" s="371" t="s">
        <v>2095</v>
      </c>
      <c r="U143" s="371" t="s">
        <v>2148</v>
      </c>
      <c r="V143" s="371" t="s">
        <v>399</v>
      </c>
      <c r="W143">
        <f>COUNTIF(A$2:A143,A143)</f>
        <v>1</v>
      </c>
    </row>
    <row r="144" spans="1:23">
      <c r="A144" t="str">
        <f t="shared" si="2"/>
        <v>F/75/75/50/198/2/2/W/AAA75*752/250.0198白AAA0</v>
      </c>
      <c r="B144" s="371" t="s">
        <v>1832</v>
      </c>
      <c r="C144" s="371" t="s">
        <v>2111</v>
      </c>
      <c r="D144" s="371" t="s">
        <v>2149</v>
      </c>
      <c r="E144" s="371" t="s">
        <v>1661</v>
      </c>
      <c r="F144" s="371" t="s">
        <v>612</v>
      </c>
      <c r="G144" s="371" t="s">
        <v>612</v>
      </c>
      <c r="H144" s="371" t="s">
        <v>2150</v>
      </c>
      <c r="I144" s="371" t="s">
        <v>641</v>
      </c>
      <c r="J144" s="371" t="s">
        <v>206</v>
      </c>
      <c r="K144" s="371" t="s">
        <v>197</v>
      </c>
      <c r="L144" s="371" t="s">
        <v>2103</v>
      </c>
      <c r="M144" s="371" t="s">
        <v>2138</v>
      </c>
      <c r="N144" s="371" t="s">
        <v>2</v>
      </c>
      <c r="O144" s="371" t="s">
        <v>287</v>
      </c>
      <c r="P144" s="371" t="s">
        <v>399</v>
      </c>
      <c r="Q144" s="371" t="s">
        <v>281</v>
      </c>
      <c r="R144" s="371" t="s">
        <v>620</v>
      </c>
      <c r="S144" s="371" t="s">
        <v>612</v>
      </c>
      <c r="T144" s="371" t="s">
        <v>2151</v>
      </c>
      <c r="U144" s="371" t="s">
        <v>2152</v>
      </c>
      <c r="V144" s="371" t="s">
        <v>399</v>
      </c>
      <c r="W144">
        <f>COUNTIF(A$2:A144,A144)</f>
        <v>1</v>
      </c>
    </row>
    <row r="145" spans="1:23">
      <c r="A145" t="str">
        <f t="shared" si="2"/>
        <v>F/75/75/50/198/2/2/W/AAA75*752/250.0198白AAA0</v>
      </c>
      <c r="B145" s="371" t="s">
        <v>1832</v>
      </c>
      <c r="C145" s="371" t="s">
        <v>285</v>
      </c>
      <c r="D145" s="371" t="s">
        <v>2153</v>
      </c>
      <c r="E145" s="371" t="s">
        <v>719</v>
      </c>
      <c r="F145" s="371" t="s">
        <v>612</v>
      </c>
      <c r="G145" s="371" t="s">
        <v>612</v>
      </c>
      <c r="H145" s="371" t="s">
        <v>2150</v>
      </c>
      <c r="I145" s="371" t="s">
        <v>641</v>
      </c>
      <c r="J145" s="371" t="s">
        <v>206</v>
      </c>
      <c r="K145" s="371" t="s">
        <v>197</v>
      </c>
      <c r="L145" s="371" t="s">
        <v>2103</v>
      </c>
      <c r="M145" s="371" t="s">
        <v>2138</v>
      </c>
      <c r="N145" s="371" t="s">
        <v>2</v>
      </c>
      <c r="O145" s="371" t="s">
        <v>287</v>
      </c>
      <c r="P145" s="371" t="s">
        <v>399</v>
      </c>
      <c r="Q145" s="371" t="s">
        <v>281</v>
      </c>
      <c r="R145" s="371" t="s">
        <v>620</v>
      </c>
      <c r="S145" s="371" t="s">
        <v>612</v>
      </c>
      <c r="T145" s="371" t="s">
        <v>2151</v>
      </c>
      <c r="U145" s="371" t="s">
        <v>2154</v>
      </c>
      <c r="V145" s="371" t="s">
        <v>399</v>
      </c>
      <c r="W145">
        <f>COUNTIF(A$2:A145,A145)</f>
        <v>2</v>
      </c>
    </row>
    <row r="146" spans="1:23">
      <c r="A146" t="str">
        <f t="shared" si="2"/>
        <v>75*752/243.0190.5白AAAS21325-6杨拾泉</v>
      </c>
      <c r="B146" s="371" t="s">
        <v>1832</v>
      </c>
      <c r="C146" s="371" t="s">
        <v>285</v>
      </c>
      <c r="D146" s="371" t="s">
        <v>2696</v>
      </c>
      <c r="E146" s="371" t="s">
        <v>2697</v>
      </c>
      <c r="F146" s="371" t="s">
        <v>612</v>
      </c>
      <c r="G146" s="371" t="s">
        <v>612</v>
      </c>
      <c r="H146" s="371" t="s">
        <v>399</v>
      </c>
      <c r="I146" s="371" t="s">
        <v>2087</v>
      </c>
      <c r="J146" s="371" t="s">
        <v>206</v>
      </c>
      <c r="K146" s="371" t="s">
        <v>197</v>
      </c>
      <c r="L146" s="371" t="s">
        <v>2156</v>
      </c>
      <c r="M146" s="371" t="s">
        <v>2081</v>
      </c>
      <c r="N146" s="371" t="s">
        <v>2</v>
      </c>
      <c r="O146" s="371" t="s">
        <v>287</v>
      </c>
      <c r="P146" s="371" t="s">
        <v>399</v>
      </c>
      <c r="Q146" s="371" t="s">
        <v>281</v>
      </c>
      <c r="R146" s="371" t="s">
        <v>620</v>
      </c>
      <c r="S146" s="371" t="s">
        <v>2698</v>
      </c>
      <c r="T146" s="371" t="s">
        <v>2117</v>
      </c>
      <c r="U146" s="371" t="s">
        <v>2699</v>
      </c>
      <c r="V146" s="371" t="s">
        <v>2158</v>
      </c>
      <c r="W146">
        <f>COUNTIF(A$2:A146,A146)</f>
        <v>1</v>
      </c>
    </row>
    <row r="147" spans="1:23">
      <c r="A147" t="str">
        <f t="shared" si="2"/>
        <v>F/75/75/65/183/1/1/W/AAA75*751/165.0183白AAA0长丝</v>
      </c>
      <c r="B147" s="371" t="s">
        <v>1832</v>
      </c>
      <c r="C147" s="371" t="s">
        <v>2159</v>
      </c>
      <c r="D147" s="371" t="s">
        <v>2160</v>
      </c>
      <c r="E147" s="371" t="s">
        <v>641</v>
      </c>
      <c r="F147" s="371" t="s">
        <v>612</v>
      </c>
      <c r="G147" s="371" t="s">
        <v>612</v>
      </c>
      <c r="H147" s="371" t="s">
        <v>2161</v>
      </c>
      <c r="I147" s="371" t="s">
        <v>630</v>
      </c>
      <c r="J147" s="371" t="s">
        <v>206</v>
      </c>
      <c r="K147" s="371" t="s">
        <v>1110</v>
      </c>
      <c r="L147" s="371" t="s">
        <v>2162</v>
      </c>
      <c r="M147" s="371" t="s">
        <v>2163</v>
      </c>
      <c r="N147" s="371" t="s">
        <v>2</v>
      </c>
      <c r="O147" s="371" t="s">
        <v>287</v>
      </c>
      <c r="P147" s="371" t="s">
        <v>399</v>
      </c>
      <c r="Q147" s="371" t="s">
        <v>399</v>
      </c>
      <c r="R147" s="371" t="s">
        <v>620</v>
      </c>
      <c r="S147" s="371" t="s">
        <v>612</v>
      </c>
      <c r="T147" s="371" t="s">
        <v>1904</v>
      </c>
      <c r="U147" s="371" t="s">
        <v>2164</v>
      </c>
      <c r="V147" s="371" t="s">
        <v>2165</v>
      </c>
      <c r="W147">
        <f>COUNTIF(A$2:A147,A147)</f>
        <v>1</v>
      </c>
    </row>
    <row r="148" spans="1:23">
      <c r="A148" t="str">
        <f t="shared" si="2"/>
        <v>F/75/75/45/143/3/1/B/AAA75*753/145.0143黑AAA21老库存</v>
      </c>
      <c r="B148" s="371" t="s">
        <v>1832</v>
      </c>
      <c r="C148" s="371" t="s">
        <v>2166</v>
      </c>
      <c r="D148" s="371" t="s">
        <v>2167</v>
      </c>
      <c r="E148" s="371" t="s">
        <v>932</v>
      </c>
      <c r="F148" s="371" t="s">
        <v>612</v>
      </c>
      <c r="G148" s="371" t="s">
        <v>612</v>
      </c>
      <c r="H148" s="371" t="s">
        <v>2168</v>
      </c>
      <c r="I148" s="371" t="s">
        <v>641</v>
      </c>
      <c r="J148" s="371" t="s">
        <v>206</v>
      </c>
      <c r="K148" s="371" t="s">
        <v>200</v>
      </c>
      <c r="L148" s="371" t="s">
        <v>2115</v>
      </c>
      <c r="M148" s="371" t="s">
        <v>1823</v>
      </c>
      <c r="N148" s="371" t="s">
        <v>1</v>
      </c>
      <c r="O148" s="371" t="s">
        <v>287</v>
      </c>
      <c r="P148" s="371" t="s">
        <v>399</v>
      </c>
      <c r="Q148" s="371" t="s">
        <v>399</v>
      </c>
      <c r="R148" s="371" t="s">
        <v>1820</v>
      </c>
      <c r="S148" s="371" t="s">
        <v>620</v>
      </c>
      <c r="T148" s="371" t="s">
        <v>1996</v>
      </c>
      <c r="U148" s="371" t="s">
        <v>2169</v>
      </c>
      <c r="V148" s="371" t="s">
        <v>2170</v>
      </c>
    </row>
    <row r="149" spans="1:23">
      <c r="A149" t="str">
        <f t="shared" si="2"/>
        <v>F/75/75/43/190.5/2/2/B/AAA75*752/243.0190.5黑AAA0</v>
      </c>
      <c r="B149" s="371" t="s">
        <v>1832</v>
      </c>
      <c r="C149" s="371" t="s">
        <v>285</v>
      </c>
      <c r="D149" s="371" t="s">
        <v>3112</v>
      </c>
      <c r="E149" s="371" t="s">
        <v>663</v>
      </c>
      <c r="F149" s="371" t="s">
        <v>612</v>
      </c>
      <c r="G149" s="371" t="s">
        <v>612</v>
      </c>
      <c r="H149" s="371" t="s">
        <v>2700</v>
      </c>
      <c r="I149" s="371" t="s">
        <v>641</v>
      </c>
      <c r="J149" s="371" t="s">
        <v>206</v>
      </c>
      <c r="K149" s="371" t="s">
        <v>197</v>
      </c>
      <c r="L149" s="371" t="s">
        <v>2156</v>
      </c>
      <c r="M149" s="371" t="s">
        <v>2081</v>
      </c>
      <c r="N149" s="371" t="s">
        <v>1</v>
      </c>
      <c r="O149" s="371" t="s">
        <v>287</v>
      </c>
      <c r="P149" s="371" t="s">
        <v>399</v>
      </c>
      <c r="Q149" s="371" t="s">
        <v>399</v>
      </c>
      <c r="R149" s="371" t="s">
        <v>620</v>
      </c>
      <c r="S149" s="371" t="s">
        <v>612</v>
      </c>
      <c r="T149" s="371" t="s">
        <v>1908</v>
      </c>
      <c r="U149" s="371" t="s">
        <v>3113</v>
      </c>
      <c r="V149" s="371" t="s">
        <v>399</v>
      </c>
    </row>
    <row r="150" spans="1:23">
      <c r="A150" t="str">
        <f t="shared" si="2"/>
        <v>75*752/243.0190.5黑AAA0烘干</v>
      </c>
      <c r="B150" s="371" t="s">
        <v>1832</v>
      </c>
      <c r="C150" s="371" t="s">
        <v>285</v>
      </c>
      <c r="D150" s="371" t="s">
        <v>2834</v>
      </c>
      <c r="E150" s="371" t="s">
        <v>617</v>
      </c>
      <c r="F150" s="371" t="s">
        <v>612</v>
      </c>
      <c r="G150" s="371" t="s">
        <v>612</v>
      </c>
      <c r="H150" s="371" t="s">
        <v>399</v>
      </c>
      <c r="I150" s="371" t="s">
        <v>1873</v>
      </c>
      <c r="J150" s="371" t="s">
        <v>206</v>
      </c>
      <c r="K150" s="371" t="s">
        <v>197</v>
      </c>
      <c r="L150" s="371" t="s">
        <v>2156</v>
      </c>
      <c r="M150" s="371" t="s">
        <v>2081</v>
      </c>
      <c r="N150" s="371" t="s">
        <v>1</v>
      </c>
      <c r="O150" s="371" t="s">
        <v>287</v>
      </c>
      <c r="P150" s="371" t="s">
        <v>399</v>
      </c>
      <c r="Q150" s="371" t="s">
        <v>281</v>
      </c>
      <c r="R150" s="371" t="s">
        <v>1820</v>
      </c>
      <c r="S150" s="371" t="s">
        <v>612</v>
      </c>
      <c r="T150" s="371" t="s">
        <v>2701</v>
      </c>
      <c r="U150" s="371" t="s">
        <v>2835</v>
      </c>
      <c r="V150" s="371" t="s">
        <v>1875</v>
      </c>
    </row>
    <row r="151" spans="1:23">
      <c r="A151" t="str">
        <f t="shared" si="2"/>
        <v>75*752/243.0190.5黑AAA厚康厚康</v>
      </c>
      <c r="B151" s="371" t="s">
        <v>1832</v>
      </c>
      <c r="C151" s="371" t="s">
        <v>285</v>
      </c>
      <c r="D151" s="371" t="s">
        <v>3114</v>
      </c>
      <c r="E151" s="371" t="s">
        <v>702</v>
      </c>
      <c r="F151" s="371" t="s">
        <v>612</v>
      </c>
      <c r="G151" s="371" t="s">
        <v>612</v>
      </c>
      <c r="H151" s="371" t="s">
        <v>399</v>
      </c>
      <c r="I151" s="371" t="s">
        <v>2171</v>
      </c>
      <c r="J151" s="371" t="s">
        <v>206</v>
      </c>
      <c r="K151" s="371" t="s">
        <v>197</v>
      </c>
      <c r="L151" s="371" t="s">
        <v>2156</v>
      </c>
      <c r="M151" s="371" t="s">
        <v>2081</v>
      </c>
      <c r="N151" s="371" t="s">
        <v>1</v>
      </c>
      <c r="O151" s="371" t="s">
        <v>287</v>
      </c>
      <c r="P151" s="371" t="s">
        <v>399</v>
      </c>
      <c r="Q151" s="371" t="s">
        <v>281</v>
      </c>
      <c r="R151" s="371" t="s">
        <v>620</v>
      </c>
      <c r="S151" s="371" t="s">
        <v>2171</v>
      </c>
      <c r="T151" s="371" t="s">
        <v>3115</v>
      </c>
      <c r="U151" s="371" t="s">
        <v>3116</v>
      </c>
      <c r="V151" s="371" t="s">
        <v>2171</v>
      </c>
    </row>
    <row r="152" spans="1:23">
      <c r="A152" t="str">
        <f t="shared" si="2"/>
        <v>75*75-12/243.0190.5白AAA0厚康 加工</v>
      </c>
      <c r="B152" s="371" t="s">
        <v>1832</v>
      </c>
      <c r="C152" s="371" t="s">
        <v>285</v>
      </c>
      <c r="D152" s="371" t="s">
        <v>3117</v>
      </c>
      <c r="E152" s="371" t="s">
        <v>1570</v>
      </c>
      <c r="F152" s="371" t="s">
        <v>612</v>
      </c>
      <c r="G152" s="371" t="s">
        <v>612</v>
      </c>
      <c r="H152" s="371" t="s">
        <v>399</v>
      </c>
      <c r="I152" s="371" t="s">
        <v>2171</v>
      </c>
      <c r="J152" s="371" t="s">
        <v>2172</v>
      </c>
      <c r="K152" s="371" t="s">
        <v>197</v>
      </c>
      <c r="L152" s="371" t="s">
        <v>2156</v>
      </c>
      <c r="M152" s="371" t="s">
        <v>2081</v>
      </c>
      <c r="N152" s="371" t="s">
        <v>2</v>
      </c>
      <c r="O152" s="371" t="s">
        <v>287</v>
      </c>
      <c r="P152" s="371" t="s">
        <v>399</v>
      </c>
      <c r="Q152" s="371" t="s">
        <v>281</v>
      </c>
      <c r="R152" s="371" t="s">
        <v>620</v>
      </c>
      <c r="S152" s="371" t="s">
        <v>612</v>
      </c>
      <c r="T152" s="371" t="s">
        <v>1916</v>
      </c>
      <c r="U152" s="371" t="s">
        <v>3118</v>
      </c>
      <c r="V152" s="371" t="s">
        <v>2174</v>
      </c>
    </row>
    <row r="153" spans="1:23">
      <c r="A153" t="str">
        <f t="shared" si="2"/>
        <v>75*75-12/250.0198白AA0</v>
      </c>
      <c r="B153" s="371" t="s">
        <v>1832</v>
      </c>
      <c r="C153" s="371" t="s">
        <v>285</v>
      </c>
      <c r="D153" s="371" t="s">
        <v>2175</v>
      </c>
      <c r="E153" s="371" t="s">
        <v>641</v>
      </c>
      <c r="F153" s="371" t="s">
        <v>612</v>
      </c>
      <c r="G153" s="371" t="s">
        <v>612</v>
      </c>
      <c r="H153" s="371" t="s">
        <v>399</v>
      </c>
      <c r="I153" s="371" t="s">
        <v>641</v>
      </c>
      <c r="J153" s="371" t="s">
        <v>2172</v>
      </c>
      <c r="K153" s="371" t="s">
        <v>197</v>
      </c>
      <c r="L153" s="371" t="s">
        <v>2103</v>
      </c>
      <c r="M153" s="371" t="s">
        <v>2138</v>
      </c>
      <c r="N153" s="371" t="s">
        <v>2</v>
      </c>
      <c r="O153" s="371" t="s">
        <v>282</v>
      </c>
      <c r="P153" s="371" t="s">
        <v>399</v>
      </c>
      <c r="Q153" s="371" t="s">
        <v>281</v>
      </c>
      <c r="R153" s="371" t="s">
        <v>620</v>
      </c>
      <c r="S153" s="371" t="s">
        <v>612</v>
      </c>
      <c r="T153" s="371" t="s">
        <v>2022</v>
      </c>
      <c r="U153" s="371" t="s">
        <v>2176</v>
      </c>
      <c r="V153" s="371" t="s">
        <v>399</v>
      </c>
    </row>
    <row r="154" spans="1:23">
      <c r="A154" t="str">
        <f t="shared" si="2"/>
        <v>75*75-12/250.0198白AAA0A35</v>
      </c>
      <c r="B154" s="371" t="s">
        <v>1832</v>
      </c>
      <c r="C154" s="371" t="s">
        <v>285</v>
      </c>
      <c r="D154" s="371" t="s">
        <v>2177</v>
      </c>
      <c r="E154" s="371" t="s">
        <v>708</v>
      </c>
      <c r="F154" s="371" t="s">
        <v>612</v>
      </c>
      <c r="G154" s="371" t="s">
        <v>612</v>
      </c>
      <c r="H154" s="371" t="s">
        <v>399</v>
      </c>
      <c r="I154" s="371" t="s">
        <v>620</v>
      </c>
      <c r="J154" s="371" t="s">
        <v>2172</v>
      </c>
      <c r="K154" s="371" t="s">
        <v>197</v>
      </c>
      <c r="L154" s="371" t="s">
        <v>2103</v>
      </c>
      <c r="M154" s="371" t="s">
        <v>2138</v>
      </c>
      <c r="N154" s="371" t="s">
        <v>2</v>
      </c>
      <c r="O154" s="371" t="s">
        <v>287</v>
      </c>
      <c r="P154" s="371" t="s">
        <v>399</v>
      </c>
      <c r="Q154" s="371" t="s">
        <v>399</v>
      </c>
      <c r="R154" s="371" t="s">
        <v>620</v>
      </c>
      <c r="S154" s="371" t="s">
        <v>612</v>
      </c>
      <c r="T154" s="371" t="s">
        <v>1989</v>
      </c>
      <c r="U154" s="371" t="s">
        <v>2178</v>
      </c>
      <c r="V154" s="371" t="s">
        <v>1590</v>
      </c>
    </row>
    <row r="155" spans="1:23">
      <c r="A155" t="str">
        <f t="shared" si="2"/>
        <v>75*75-22/243.0190.5白AA已验厚康</v>
      </c>
      <c r="B155" s="371" t="s">
        <v>1832</v>
      </c>
      <c r="C155" s="371" t="s">
        <v>285</v>
      </c>
      <c r="D155" s="371" t="s">
        <v>2179</v>
      </c>
      <c r="E155" s="371" t="s">
        <v>630</v>
      </c>
      <c r="F155" s="371" t="s">
        <v>612</v>
      </c>
      <c r="G155" s="371" t="s">
        <v>612</v>
      </c>
      <c r="H155" s="371" t="s">
        <v>399</v>
      </c>
      <c r="I155" s="371" t="s">
        <v>2171</v>
      </c>
      <c r="J155" s="371" t="s">
        <v>2180</v>
      </c>
      <c r="K155" s="371" t="s">
        <v>197</v>
      </c>
      <c r="L155" s="371" t="s">
        <v>2156</v>
      </c>
      <c r="M155" s="371" t="s">
        <v>2081</v>
      </c>
      <c r="N155" s="371" t="s">
        <v>2</v>
      </c>
      <c r="O155" s="371" t="s">
        <v>282</v>
      </c>
      <c r="P155" s="371" t="s">
        <v>399</v>
      </c>
      <c r="Q155" s="371" t="s">
        <v>281</v>
      </c>
      <c r="R155" s="371" t="s">
        <v>620</v>
      </c>
      <c r="S155" s="371" t="s">
        <v>2181</v>
      </c>
      <c r="T155" s="371" t="s">
        <v>1868</v>
      </c>
      <c r="U155" s="371" t="s">
        <v>2963</v>
      </c>
      <c r="V155" s="371" t="s">
        <v>2171</v>
      </c>
    </row>
    <row r="156" spans="1:23">
      <c r="A156" t="str">
        <f t="shared" si="2"/>
        <v>75*75-22/243.0190.5白AAA已验厚康 已验</v>
      </c>
      <c r="B156" s="371" t="s">
        <v>1832</v>
      </c>
      <c r="C156" s="371" t="s">
        <v>285</v>
      </c>
      <c r="D156" s="371" t="s">
        <v>3119</v>
      </c>
      <c r="E156" s="371" t="s">
        <v>1926</v>
      </c>
      <c r="F156" s="371" t="s">
        <v>612</v>
      </c>
      <c r="G156" s="371" t="s">
        <v>612</v>
      </c>
      <c r="H156" s="371" t="s">
        <v>399</v>
      </c>
      <c r="I156" s="371" t="s">
        <v>2171</v>
      </c>
      <c r="J156" s="371" t="s">
        <v>2180</v>
      </c>
      <c r="K156" s="371" t="s">
        <v>197</v>
      </c>
      <c r="L156" s="371" t="s">
        <v>2156</v>
      </c>
      <c r="M156" s="371" t="s">
        <v>2081</v>
      </c>
      <c r="N156" s="371" t="s">
        <v>2</v>
      </c>
      <c r="O156" s="371" t="s">
        <v>287</v>
      </c>
      <c r="P156" s="371" t="s">
        <v>399</v>
      </c>
      <c r="Q156" s="371" t="s">
        <v>281</v>
      </c>
      <c r="R156" s="371" t="s">
        <v>620</v>
      </c>
      <c r="S156" s="371" t="s">
        <v>2181</v>
      </c>
      <c r="T156" s="371" t="s">
        <v>2955</v>
      </c>
      <c r="U156" s="371" t="s">
        <v>3120</v>
      </c>
      <c r="V156" s="371" t="s">
        <v>2182</v>
      </c>
    </row>
    <row r="157" spans="1:23">
      <c r="A157" t="str">
        <f t="shared" si="2"/>
        <v>75*75-22/243.0190.5白HAAA已验厚康</v>
      </c>
      <c r="B157" s="371" t="s">
        <v>1832</v>
      </c>
      <c r="C157" s="371" t="s">
        <v>285</v>
      </c>
      <c r="D157" s="371" t="s">
        <v>2422</v>
      </c>
      <c r="E157" s="371" t="s">
        <v>620</v>
      </c>
      <c r="F157" s="371" t="s">
        <v>612</v>
      </c>
      <c r="G157" s="371" t="s">
        <v>612</v>
      </c>
      <c r="H157" s="371" t="s">
        <v>399</v>
      </c>
      <c r="I157" s="371" t="s">
        <v>2171</v>
      </c>
      <c r="J157" s="371" t="s">
        <v>2180</v>
      </c>
      <c r="K157" s="371" t="s">
        <v>197</v>
      </c>
      <c r="L157" s="371" t="s">
        <v>2156</v>
      </c>
      <c r="M157" s="371" t="s">
        <v>2081</v>
      </c>
      <c r="N157" s="371" t="s">
        <v>2</v>
      </c>
      <c r="O157" s="371" t="s">
        <v>1076</v>
      </c>
      <c r="P157" s="371" t="s">
        <v>399</v>
      </c>
      <c r="Q157" s="371" t="s">
        <v>281</v>
      </c>
      <c r="R157" s="371" t="s">
        <v>620</v>
      </c>
      <c r="S157" s="371" t="s">
        <v>2181</v>
      </c>
      <c r="T157" s="371" t="s">
        <v>1868</v>
      </c>
      <c r="U157" s="371" t="s">
        <v>2964</v>
      </c>
      <c r="V157" s="371" t="s">
        <v>2171</v>
      </c>
    </row>
    <row r="158" spans="1:23">
      <c r="A158" t="str">
        <f t="shared" si="2"/>
        <v>75*75-22/243.0190.5白AAA大机丝徐明彬</v>
      </c>
      <c r="B158" s="371" t="s">
        <v>1832</v>
      </c>
      <c r="C158" s="371" t="s">
        <v>285</v>
      </c>
      <c r="D158" s="371" t="s">
        <v>2702</v>
      </c>
      <c r="E158" s="371" t="s">
        <v>614</v>
      </c>
      <c r="F158" s="371" t="s">
        <v>612</v>
      </c>
      <c r="G158" s="371" t="s">
        <v>612</v>
      </c>
      <c r="H158" s="371" t="s">
        <v>399</v>
      </c>
      <c r="I158" s="371" t="s">
        <v>2183</v>
      </c>
      <c r="J158" s="371" t="s">
        <v>2180</v>
      </c>
      <c r="K158" s="371" t="s">
        <v>197</v>
      </c>
      <c r="L158" s="371" t="s">
        <v>2156</v>
      </c>
      <c r="M158" s="371" t="s">
        <v>2081</v>
      </c>
      <c r="N158" s="371" t="s">
        <v>2</v>
      </c>
      <c r="O158" s="371" t="s">
        <v>287</v>
      </c>
      <c r="P158" s="371" t="s">
        <v>399</v>
      </c>
      <c r="Q158" s="371" t="s">
        <v>399</v>
      </c>
      <c r="R158" s="371" t="s">
        <v>620</v>
      </c>
      <c r="S158" s="371" t="s">
        <v>2184</v>
      </c>
      <c r="T158" s="371" t="s">
        <v>1916</v>
      </c>
      <c r="U158" s="371" t="s">
        <v>2703</v>
      </c>
      <c r="V158" s="371" t="s">
        <v>2183</v>
      </c>
    </row>
    <row r="159" spans="1:23">
      <c r="A159" t="str">
        <f t="shared" si="2"/>
        <v>75*75-22/243.0190.5白AAA0厚康加工</v>
      </c>
      <c r="B159" s="371" t="s">
        <v>1832</v>
      </c>
      <c r="C159" s="371" t="s">
        <v>285</v>
      </c>
      <c r="D159" s="371" t="s">
        <v>3121</v>
      </c>
      <c r="E159" s="371" t="s">
        <v>1587</v>
      </c>
      <c r="F159" s="371" t="s">
        <v>612</v>
      </c>
      <c r="G159" s="371" t="s">
        <v>612</v>
      </c>
      <c r="H159" s="371" t="s">
        <v>399</v>
      </c>
      <c r="I159" s="371" t="s">
        <v>2171</v>
      </c>
      <c r="J159" s="371" t="s">
        <v>2180</v>
      </c>
      <c r="K159" s="371" t="s">
        <v>197</v>
      </c>
      <c r="L159" s="371" t="s">
        <v>2156</v>
      </c>
      <c r="M159" s="371" t="s">
        <v>2081</v>
      </c>
      <c r="N159" s="371" t="s">
        <v>2</v>
      </c>
      <c r="O159" s="371" t="s">
        <v>287</v>
      </c>
      <c r="P159" s="371" t="s">
        <v>399</v>
      </c>
      <c r="Q159" s="371" t="s">
        <v>281</v>
      </c>
      <c r="R159" s="371" t="s">
        <v>620</v>
      </c>
      <c r="S159" s="371" t="s">
        <v>612</v>
      </c>
      <c r="T159" s="371" t="s">
        <v>2186</v>
      </c>
      <c r="U159" s="371" t="s">
        <v>3122</v>
      </c>
      <c r="V159" s="371" t="s">
        <v>2188</v>
      </c>
    </row>
    <row r="160" spans="1:23">
      <c r="A160" t="str">
        <f t="shared" si="2"/>
        <v>75*75-32/243.0190.5白AAA厚康厚康 加工</v>
      </c>
      <c r="B160" s="371" t="s">
        <v>1832</v>
      </c>
      <c r="C160" s="371" t="s">
        <v>285</v>
      </c>
      <c r="D160" s="371" t="s">
        <v>3123</v>
      </c>
      <c r="E160" s="371" t="s">
        <v>704</v>
      </c>
      <c r="F160" s="371" t="s">
        <v>612</v>
      </c>
      <c r="G160" s="371" t="s">
        <v>612</v>
      </c>
      <c r="H160" s="371" t="s">
        <v>399</v>
      </c>
      <c r="I160" s="371" t="s">
        <v>2171</v>
      </c>
      <c r="J160" s="371" t="s">
        <v>2190</v>
      </c>
      <c r="K160" s="371" t="s">
        <v>197</v>
      </c>
      <c r="L160" s="371" t="s">
        <v>2156</v>
      </c>
      <c r="M160" s="371" t="s">
        <v>2081</v>
      </c>
      <c r="N160" s="371" t="s">
        <v>2</v>
      </c>
      <c r="O160" s="371" t="s">
        <v>287</v>
      </c>
      <c r="P160" s="371" t="s">
        <v>399</v>
      </c>
      <c r="Q160" s="371" t="s">
        <v>281</v>
      </c>
      <c r="R160" s="371" t="s">
        <v>620</v>
      </c>
      <c r="S160" s="371" t="s">
        <v>2171</v>
      </c>
      <c r="T160" s="371" t="s">
        <v>399</v>
      </c>
      <c r="U160" s="371" t="s">
        <v>612</v>
      </c>
      <c r="V160" s="371" t="s">
        <v>2174</v>
      </c>
    </row>
    <row r="161" spans="1:22">
      <c r="A161" t="str">
        <f t="shared" si="2"/>
        <v>F/75/75/43/190.5/2/2/W/AA75*75-32/243.0190.5白AA01</v>
      </c>
      <c r="B161" s="371" t="s">
        <v>1832</v>
      </c>
      <c r="C161" s="371" t="s">
        <v>285</v>
      </c>
      <c r="D161" s="371" t="s">
        <v>2518</v>
      </c>
      <c r="E161" s="371" t="s">
        <v>641</v>
      </c>
      <c r="F161" s="371" t="s">
        <v>612</v>
      </c>
      <c r="G161" s="371" t="s">
        <v>612</v>
      </c>
      <c r="H161" s="371" t="s">
        <v>2192</v>
      </c>
      <c r="I161" s="371" t="s">
        <v>630</v>
      </c>
      <c r="J161" s="371" t="s">
        <v>2190</v>
      </c>
      <c r="K161" s="371" t="s">
        <v>197</v>
      </c>
      <c r="L161" s="371" t="s">
        <v>2156</v>
      </c>
      <c r="M161" s="371" t="s">
        <v>2081</v>
      </c>
      <c r="N161" s="371" t="s">
        <v>2</v>
      </c>
      <c r="O161" s="371" t="s">
        <v>282</v>
      </c>
      <c r="P161" s="371" t="s">
        <v>399</v>
      </c>
      <c r="Q161" s="371" t="s">
        <v>399</v>
      </c>
      <c r="R161" s="371" t="s">
        <v>620</v>
      </c>
      <c r="S161" s="371" t="s">
        <v>612</v>
      </c>
      <c r="T161" s="371" t="s">
        <v>2022</v>
      </c>
      <c r="U161" s="371" t="s">
        <v>2704</v>
      </c>
      <c r="V161" s="371" t="s">
        <v>641</v>
      </c>
    </row>
    <row r="162" spans="1:22">
      <c r="A162" t="str">
        <f t="shared" si="2"/>
        <v>F/75/75/43/190.5/2/2/W/AAA75*75-32/243.0190.5白AAA01</v>
      </c>
      <c r="B162" s="371" t="s">
        <v>1832</v>
      </c>
      <c r="C162" s="371" t="s">
        <v>285</v>
      </c>
      <c r="D162" s="371" t="s">
        <v>2705</v>
      </c>
      <c r="E162" s="371" t="s">
        <v>621</v>
      </c>
      <c r="F162" s="371" t="s">
        <v>612</v>
      </c>
      <c r="G162" s="371" t="s">
        <v>612</v>
      </c>
      <c r="H162" s="371" t="s">
        <v>2194</v>
      </c>
      <c r="I162" s="371" t="s">
        <v>630</v>
      </c>
      <c r="J162" s="371" t="s">
        <v>2190</v>
      </c>
      <c r="K162" s="371" t="s">
        <v>197</v>
      </c>
      <c r="L162" s="371" t="s">
        <v>2156</v>
      </c>
      <c r="M162" s="371" t="s">
        <v>2081</v>
      </c>
      <c r="N162" s="371" t="s">
        <v>2</v>
      </c>
      <c r="O162" s="371" t="s">
        <v>287</v>
      </c>
      <c r="P162" s="371" t="s">
        <v>399</v>
      </c>
      <c r="Q162" s="371" t="s">
        <v>399</v>
      </c>
      <c r="R162" s="371" t="s">
        <v>620</v>
      </c>
      <c r="S162" s="371" t="s">
        <v>612</v>
      </c>
      <c r="T162" s="371" t="s">
        <v>2022</v>
      </c>
      <c r="U162" s="371" t="s">
        <v>2706</v>
      </c>
      <c r="V162" s="371" t="s">
        <v>641</v>
      </c>
    </row>
    <row r="163" spans="1:22">
      <c r="A163" t="str">
        <f t="shared" si="2"/>
        <v>F/75/75/45/190.5/2/2/W/AAA75*75-32/245.0190.5白AAA0</v>
      </c>
      <c r="B163" s="371" t="s">
        <v>1832</v>
      </c>
      <c r="C163" s="371" t="s">
        <v>285</v>
      </c>
      <c r="D163" s="371" t="s">
        <v>2707</v>
      </c>
      <c r="E163" s="371" t="s">
        <v>2009</v>
      </c>
      <c r="F163" s="371" t="s">
        <v>612</v>
      </c>
      <c r="G163" s="371" t="s">
        <v>612</v>
      </c>
      <c r="H163" s="371" t="s">
        <v>2195</v>
      </c>
      <c r="I163" s="371" t="s">
        <v>641</v>
      </c>
      <c r="J163" s="371" t="s">
        <v>2190</v>
      </c>
      <c r="K163" s="371" t="s">
        <v>197</v>
      </c>
      <c r="L163" s="371" t="s">
        <v>2115</v>
      </c>
      <c r="M163" s="371" t="s">
        <v>2081</v>
      </c>
      <c r="N163" s="371" t="s">
        <v>2</v>
      </c>
      <c r="O163" s="371" t="s">
        <v>287</v>
      </c>
      <c r="P163" s="371" t="s">
        <v>399</v>
      </c>
      <c r="Q163" s="371" t="s">
        <v>399</v>
      </c>
      <c r="R163" s="371" t="s">
        <v>620</v>
      </c>
      <c r="S163" s="371" t="s">
        <v>612</v>
      </c>
      <c r="T163" s="371" t="s">
        <v>2088</v>
      </c>
      <c r="U163" s="371" t="s">
        <v>2708</v>
      </c>
      <c r="V163" s="371" t="s">
        <v>399</v>
      </c>
    </row>
    <row r="164" spans="1:22">
      <c r="A164" t="str">
        <f t="shared" si="2"/>
        <v>F/75/75/43/190.5/2/2/W/AAA75*75-42/243.0190.5白AAA01</v>
      </c>
      <c r="B164" s="371" t="s">
        <v>1832</v>
      </c>
      <c r="C164" s="371" t="s">
        <v>285</v>
      </c>
      <c r="D164" s="371" t="s">
        <v>2424</v>
      </c>
      <c r="E164" s="371" t="s">
        <v>667</v>
      </c>
      <c r="F164" s="371" t="s">
        <v>612</v>
      </c>
      <c r="G164" s="371" t="s">
        <v>612</v>
      </c>
      <c r="H164" s="371" t="s">
        <v>2194</v>
      </c>
      <c r="I164" s="371" t="s">
        <v>630</v>
      </c>
      <c r="J164" s="371" t="s">
        <v>2425</v>
      </c>
      <c r="K164" s="371" t="s">
        <v>197</v>
      </c>
      <c r="L164" s="371" t="s">
        <v>2156</v>
      </c>
      <c r="M164" s="371" t="s">
        <v>2081</v>
      </c>
      <c r="N164" s="371" t="s">
        <v>2</v>
      </c>
      <c r="O164" s="371" t="s">
        <v>287</v>
      </c>
      <c r="P164" s="371" t="s">
        <v>399</v>
      </c>
      <c r="Q164" s="371" t="s">
        <v>399</v>
      </c>
      <c r="R164" s="371" t="s">
        <v>620</v>
      </c>
      <c r="S164" s="371" t="s">
        <v>612</v>
      </c>
      <c r="T164" s="371" t="s">
        <v>2139</v>
      </c>
      <c r="U164" s="371" t="s">
        <v>2424</v>
      </c>
      <c r="V164" s="371" t="s">
        <v>641</v>
      </c>
    </row>
    <row r="165" spans="1:22">
      <c r="A165" t="str">
        <f t="shared" si="2"/>
        <v>F/75/75/43/190.5/2/2/W/AAA75*75-52/243.0190.5白AAA01</v>
      </c>
      <c r="B165" s="371" t="s">
        <v>1832</v>
      </c>
      <c r="C165" s="371" t="s">
        <v>285</v>
      </c>
      <c r="D165" s="371" t="s">
        <v>2197</v>
      </c>
      <c r="E165" s="371" t="s">
        <v>641</v>
      </c>
      <c r="F165" s="371" t="s">
        <v>612</v>
      </c>
      <c r="G165" s="371" t="s">
        <v>612</v>
      </c>
      <c r="H165" s="371" t="s">
        <v>2194</v>
      </c>
      <c r="I165" s="371" t="s">
        <v>630</v>
      </c>
      <c r="J165" s="371" t="s">
        <v>2198</v>
      </c>
      <c r="K165" s="371" t="s">
        <v>197</v>
      </c>
      <c r="L165" s="371" t="s">
        <v>2156</v>
      </c>
      <c r="M165" s="371" t="s">
        <v>2081</v>
      </c>
      <c r="N165" s="371" t="s">
        <v>2</v>
      </c>
      <c r="O165" s="371" t="s">
        <v>287</v>
      </c>
      <c r="P165" s="371" t="s">
        <v>399</v>
      </c>
      <c r="Q165" s="371" t="s">
        <v>399</v>
      </c>
      <c r="R165" s="371" t="s">
        <v>620</v>
      </c>
      <c r="S165" s="371" t="s">
        <v>612</v>
      </c>
      <c r="T165" s="371" t="s">
        <v>2199</v>
      </c>
      <c r="U165" s="371" t="s">
        <v>2200</v>
      </c>
      <c r="V165" s="371" t="s">
        <v>641</v>
      </c>
    </row>
    <row r="166" spans="1:22">
      <c r="A166" t="str">
        <f t="shared" si="2"/>
        <v>F/75/75/43/190.5/2/2/W/AA75*75-52/243.0190.5白AA01</v>
      </c>
      <c r="B166" s="371" t="s">
        <v>1832</v>
      </c>
      <c r="C166" s="371" t="s">
        <v>285</v>
      </c>
      <c r="D166" s="371" t="s">
        <v>2201</v>
      </c>
      <c r="E166" s="371" t="s">
        <v>641</v>
      </c>
      <c r="F166" s="371" t="s">
        <v>612</v>
      </c>
      <c r="G166" s="371" t="s">
        <v>612</v>
      </c>
      <c r="H166" s="371" t="s">
        <v>2192</v>
      </c>
      <c r="I166" s="371" t="s">
        <v>630</v>
      </c>
      <c r="J166" s="371" t="s">
        <v>2198</v>
      </c>
      <c r="K166" s="371" t="s">
        <v>197</v>
      </c>
      <c r="L166" s="371" t="s">
        <v>2156</v>
      </c>
      <c r="M166" s="371" t="s">
        <v>2081</v>
      </c>
      <c r="N166" s="371" t="s">
        <v>2</v>
      </c>
      <c r="O166" s="371" t="s">
        <v>282</v>
      </c>
      <c r="P166" s="371" t="s">
        <v>399</v>
      </c>
      <c r="Q166" s="371" t="s">
        <v>399</v>
      </c>
      <c r="R166" s="371" t="s">
        <v>620</v>
      </c>
      <c r="S166" s="371" t="s">
        <v>612</v>
      </c>
      <c r="T166" s="371" t="s">
        <v>2199</v>
      </c>
      <c r="U166" s="371" t="s">
        <v>2202</v>
      </c>
      <c r="V166" s="371" t="s">
        <v>641</v>
      </c>
    </row>
    <row r="167" spans="1:22">
      <c r="A167" t="str">
        <f t="shared" si="2"/>
        <v>次布烘干00.00白A0次布烘干</v>
      </c>
      <c r="B167" s="371" t="s">
        <v>1832</v>
      </c>
      <c r="C167" s="371" t="s">
        <v>285</v>
      </c>
      <c r="D167" s="371" t="s">
        <v>2206</v>
      </c>
      <c r="E167" s="371" t="s">
        <v>634</v>
      </c>
      <c r="F167" s="371" t="s">
        <v>612</v>
      </c>
      <c r="G167" s="371" t="s">
        <v>612</v>
      </c>
      <c r="H167" s="371" t="s">
        <v>399</v>
      </c>
      <c r="I167" s="371" t="s">
        <v>641</v>
      </c>
      <c r="J167" s="371" t="s">
        <v>2207</v>
      </c>
      <c r="K167" s="371" t="s">
        <v>612</v>
      </c>
      <c r="L167" s="371" t="s">
        <v>1983</v>
      </c>
      <c r="M167" s="371" t="s">
        <v>612</v>
      </c>
      <c r="N167" s="371" t="s">
        <v>2</v>
      </c>
      <c r="O167" s="371" t="s">
        <v>281</v>
      </c>
      <c r="P167" s="371" t="s">
        <v>399</v>
      </c>
      <c r="Q167" s="371" t="s">
        <v>399</v>
      </c>
      <c r="R167" s="371" t="s">
        <v>612</v>
      </c>
      <c r="S167" s="371" t="s">
        <v>612</v>
      </c>
      <c r="T167" s="371" t="s">
        <v>1983</v>
      </c>
      <c r="U167" s="371" t="s">
        <v>612</v>
      </c>
      <c r="V167" s="371" t="s">
        <v>2207</v>
      </c>
    </row>
    <row r="168" spans="1:22">
      <c r="A168" t="str">
        <f t="shared" si="2"/>
        <v>次布烘干00.00黑A0次布烘干</v>
      </c>
      <c r="B168" s="371" t="s">
        <v>1832</v>
      </c>
      <c r="C168" s="371" t="s">
        <v>285</v>
      </c>
      <c r="D168" s="371" t="s">
        <v>2208</v>
      </c>
      <c r="E168" s="371" t="s">
        <v>614</v>
      </c>
      <c r="F168" s="371" t="s">
        <v>612</v>
      </c>
      <c r="G168" s="371" t="s">
        <v>612</v>
      </c>
      <c r="H168" s="371" t="s">
        <v>399</v>
      </c>
      <c r="I168" s="371" t="s">
        <v>641</v>
      </c>
      <c r="J168" s="371" t="s">
        <v>2207</v>
      </c>
      <c r="K168" s="371" t="s">
        <v>612</v>
      </c>
      <c r="L168" s="371" t="s">
        <v>1983</v>
      </c>
      <c r="M168" s="371" t="s">
        <v>612</v>
      </c>
      <c r="N168" s="371" t="s">
        <v>1</v>
      </c>
      <c r="O168" s="371" t="s">
        <v>281</v>
      </c>
      <c r="P168" s="371" t="s">
        <v>399</v>
      </c>
      <c r="Q168" s="371" t="s">
        <v>399</v>
      </c>
      <c r="R168" s="371" t="s">
        <v>612</v>
      </c>
      <c r="S168" s="371" t="s">
        <v>612</v>
      </c>
      <c r="T168" s="371" t="s">
        <v>399</v>
      </c>
      <c r="U168" s="371" t="s">
        <v>612</v>
      </c>
      <c r="V168" s="371" t="s">
        <v>2207</v>
      </c>
    </row>
    <row r="169" spans="1:22">
      <c r="A169" t="str">
        <f t="shared" si="2"/>
        <v/>
      </c>
    </row>
    <row r="170" spans="1:22">
      <c r="A170" t="str">
        <f t="shared" si="2"/>
        <v/>
      </c>
    </row>
    <row r="171" spans="1:22">
      <c r="A171" t="str">
        <f t="shared" si="2"/>
        <v/>
      </c>
    </row>
    <row r="172" spans="1:22">
      <c r="A172" t="str">
        <f t="shared" si="2"/>
        <v/>
      </c>
    </row>
    <row r="173" spans="1:22">
      <c r="A173" t="str">
        <f t="shared" si="2"/>
        <v/>
      </c>
    </row>
    <row r="174" spans="1:22">
      <c r="A174" t="str">
        <f t="shared" si="2"/>
        <v/>
      </c>
    </row>
    <row r="175" spans="1:22">
      <c r="A175" t="str">
        <f t="shared" si="2"/>
        <v/>
      </c>
    </row>
    <row r="176" spans="1:22">
      <c r="A176" t="str">
        <f t="shared" si="2"/>
        <v/>
      </c>
    </row>
    <row r="177" spans="1:1">
      <c r="A177" t="str">
        <f t="shared" si="2"/>
        <v/>
      </c>
    </row>
    <row r="178" spans="1:1">
      <c r="A178" t="str">
        <f t="shared" si="2"/>
        <v/>
      </c>
    </row>
    <row r="179" spans="1:1">
      <c r="A179" t="str">
        <f t="shared" si="2"/>
        <v/>
      </c>
    </row>
    <row r="180" spans="1:1">
      <c r="A180" t="str">
        <f t="shared" si="2"/>
        <v/>
      </c>
    </row>
    <row r="181" spans="1:1">
      <c r="A181" t="str">
        <f t="shared" si="2"/>
        <v/>
      </c>
    </row>
    <row r="182" spans="1:1">
      <c r="A182" t="str">
        <f t="shared" si="2"/>
        <v/>
      </c>
    </row>
    <row r="183" spans="1:1">
      <c r="A183" t="str">
        <f t="shared" si="2"/>
        <v/>
      </c>
    </row>
    <row r="184" spans="1:1">
      <c r="A184" t="str">
        <f t="shared" si="2"/>
        <v/>
      </c>
    </row>
    <row r="185" spans="1:1">
      <c r="A185" t="str">
        <f t="shared" ref="A185:A219" si="3">H185&amp;J185&amp;K185&amp;L185&amp;M185&amp;N185&amp;O185&amp;S185&amp;V185</f>
        <v/>
      </c>
    </row>
    <row r="186" spans="1:1">
      <c r="A186" t="str">
        <f t="shared" si="3"/>
        <v/>
      </c>
    </row>
    <row r="187" spans="1:1">
      <c r="A187" t="str">
        <f t="shared" si="3"/>
        <v/>
      </c>
    </row>
    <row r="188" spans="1:1">
      <c r="A188" t="str">
        <f t="shared" si="3"/>
        <v/>
      </c>
    </row>
    <row r="189" spans="1:1">
      <c r="A189" t="str">
        <f t="shared" si="3"/>
        <v/>
      </c>
    </row>
    <row r="190" spans="1:1">
      <c r="A190" t="str">
        <f t="shared" si="3"/>
        <v/>
      </c>
    </row>
    <row r="191" spans="1:1">
      <c r="A191" t="str">
        <f t="shared" si="3"/>
        <v/>
      </c>
    </row>
    <row r="192" spans="1:1">
      <c r="A192" t="str">
        <f t="shared" si="3"/>
        <v/>
      </c>
    </row>
    <row r="193" spans="1:1">
      <c r="A193" t="str">
        <f t="shared" si="3"/>
        <v/>
      </c>
    </row>
    <row r="194" spans="1:1">
      <c r="A194" t="str">
        <f t="shared" si="3"/>
        <v/>
      </c>
    </row>
    <row r="195" spans="1:1">
      <c r="A195" t="str">
        <f t="shared" si="3"/>
        <v/>
      </c>
    </row>
    <row r="196" spans="1:1">
      <c r="A196" t="str">
        <f t="shared" si="3"/>
        <v/>
      </c>
    </row>
    <row r="197" spans="1:1">
      <c r="A197" t="str">
        <f t="shared" si="3"/>
        <v/>
      </c>
    </row>
    <row r="198" spans="1:1">
      <c r="A198" t="str">
        <f t="shared" si="3"/>
        <v/>
      </c>
    </row>
    <row r="199" spans="1:1">
      <c r="A199" t="str">
        <f t="shared" si="3"/>
        <v/>
      </c>
    </row>
    <row r="200" spans="1:1">
      <c r="A200" t="str">
        <f t="shared" si="3"/>
        <v/>
      </c>
    </row>
    <row r="201" spans="1:1">
      <c r="A201" t="str">
        <f t="shared" si="3"/>
        <v/>
      </c>
    </row>
    <row r="202" spans="1:1">
      <c r="A202" t="str">
        <f t="shared" si="3"/>
        <v/>
      </c>
    </row>
    <row r="203" spans="1:1">
      <c r="A203" t="str">
        <f t="shared" si="3"/>
        <v/>
      </c>
    </row>
    <row r="204" spans="1:1">
      <c r="A204" t="str">
        <f t="shared" si="3"/>
        <v/>
      </c>
    </row>
    <row r="205" spans="1:1">
      <c r="A205" t="str">
        <f t="shared" si="3"/>
        <v/>
      </c>
    </row>
    <row r="206" spans="1:1">
      <c r="A206" t="str">
        <f t="shared" si="3"/>
        <v/>
      </c>
    </row>
    <row r="207" spans="1:1">
      <c r="A207" t="str">
        <f t="shared" si="3"/>
        <v/>
      </c>
    </row>
    <row r="208" spans="1:1">
      <c r="A208" t="str">
        <f t="shared" si="3"/>
        <v/>
      </c>
    </row>
    <row r="209" spans="1:1">
      <c r="A209" t="str">
        <f t="shared" si="3"/>
        <v/>
      </c>
    </row>
    <row r="210" spans="1:1">
      <c r="A210" t="str">
        <f t="shared" si="3"/>
        <v/>
      </c>
    </row>
    <row r="211" spans="1:1">
      <c r="A211" t="str">
        <f t="shared" si="3"/>
        <v/>
      </c>
    </row>
    <row r="212" spans="1:1">
      <c r="A212" t="str">
        <f t="shared" si="3"/>
        <v/>
      </c>
    </row>
    <row r="213" spans="1:1">
      <c r="A213" t="str">
        <f t="shared" si="3"/>
        <v/>
      </c>
    </row>
    <row r="214" spans="1:1">
      <c r="A214" t="str">
        <f t="shared" si="3"/>
        <v/>
      </c>
    </row>
    <row r="215" spans="1:1">
      <c r="A215" t="str">
        <f t="shared" si="3"/>
        <v/>
      </c>
    </row>
    <row r="216" spans="1:1">
      <c r="A216" t="str">
        <f t="shared" si="3"/>
        <v/>
      </c>
    </row>
    <row r="217" spans="1:1">
      <c r="A217" t="str">
        <f t="shared" si="3"/>
        <v/>
      </c>
    </row>
    <row r="218" spans="1:1">
      <c r="A218" t="str">
        <f t="shared" si="3"/>
        <v/>
      </c>
    </row>
    <row r="219" spans="1:1">
      <c r="A219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22"/>
  <dimension ref="A1:G10"/>
  <sheetViews>
    <sheetView workbookViewId="0">
      <selection activeCell="B2" sqref="B2:C2"/>
    </sheetView>
  </sheetViews>
  <sheetFormatPr defaultRowHeight="13.5"/>
  <cols>
    <col min="1" max="7" width="14.75" style="250" customWidth="1"/>
    <col min="8" max="16384" width="9" style="250"/>
  </cols>
  <sheetData>
    <row r="1" spans="1:7" ht="27.75" customHeight="1">
      <c r="A1" s="341" t="s">
        <v>2836</v>
      </c>
      <c r="B1" s="341"/>
      <c r="C1" s="341"/>
      <c r="D1" s="344"/>
      <c r="E1" s="344"/>
      <c r="F1" s="341"/>
      <c r="G1" s="341"/>
    </row>
    <row r="2" spans="1:7" ht="33.75" customHeight="1">
      <c r="A2" s="246" t="s">
        <v>2837</v>
      </c>
      <c r="B2" s="342"/>
      <c r="C2" s="343"/>
      <c r="D2" s="345"/>
      <c r="E2" s="346"/>
      <c r="F2" s="346" t="s">
        <v>2838</v>
      </c>
      <c r="G2" s="338">
        <f ca="1">TODAY()</f>
        <v>43775</v>
      </c>
    </row>
    <row r="3" spans="1:7" ht="27.95" customHeight="1">
      <c r="A3" s="246" t="s">
        <v>1604</v>
      </c>
      <c r="B3" s="246" t="s">
        <v>2842</v>
      </c>
      <c r="C3" s="246" t="s">
        <v>2839</v>
      </c>
      <c r="D3" s="242" t="s">
        <v>2840</v>
      </c>
      <c r="E3" s="242" t="s">
        <v>2841</v>
      </c>
      <c r="F3" s="246" t="s">
        <v>2843</v>
      </c>
      <c r="G3" s="246" t="s">
        <v>1669</v>
      </c>
    </row>
    <row r="4" spans="1:7" ht="27.95" customHeight="1">
      <c r="A4" s="246"/>
      <c r="B4" s="246"/>
      <c r="C4" s="246"/>
      <c r="D4" s="246"/>
      <c r="E4" s="246"/>
      <c r="F4" s="246"/>
      <c r="G4" s="246"/>
    </row>
    <row r="5" spans="1:7" ht="27.95" customHeight="1">
      <c r="A5" s="246"/>
      <c r="B5" s="246"/>
      <c r="C5" s="246"/>
      <c r="D5" s="246"/>
      <c r="E5" s="246"/>
      <c r="F5" s="246"/>
      <c r="G5" s="246"/>
    </row>
    <row r="6" spans="1:7" ht="27.95" customHeight="1">
      <c r="A6" s="246"/>
      <c r="B6" s="246"/>
      <c r="C6" s="246"/>
      <c r="D6" s="246"/>
      <c r="E6" s="246"/>
      <c r="F6" s="246"/>
      <c r="G6" s="246"/>
    </row>
    <row r="7" spans="1:7" ht="27.95" customHeight="1">
      <c r="A7" s="246"/>
      <c r="B7" s="246"/>
      <c r="C7" s="246"/>
      <c r="D7" s="246"/>
      <c r="E7" s="246"/>
      <c r="F7" s="246"/>
      <c r="G7" s="246"/>
    </row>
    <row r="8" spans="1:7" ht="27.95" customHeight="1">
      <c r="A8" s="246"/>
      <c r="B8" s="246"/>
      <c r="C8" s="246"/>
      <c r="D8" s="246"/>
      <c r="E8" s="246"/>
      <c r="F8" s="246"/>
      <c r="G8" s="246"/>
    </row>
    <row r="9" spans="1:7" ht="27.95" customHeight="1">
      <c r="A9" s="246"/>
      <c r="B9" s="246"/>
      <c r="C9" s="246"/>
      <c r="D9" s="246"/>
      <c r="E9" s="246"/>
      <c r="F9" s="246"/>
      <c r="G9" s="246"/>
    </row>
    <row r="10" spans="1:7" ht="27.95" customHeight="1">
      <c r="A10" s="246"/>
      <c r="B10" s="246"/>
      <c r="C10" s="246"/>
      <c r="D10" s="246"/>
      <c r="E10" s="246"/>
      <c r="F10" s="246"/>
      <c r="G10" s="246"/>
    </row>
  </sheetData>
  <mergeCells count="2">
    <mergeCell ref="A1:G1"/>
    <mergeCell ref="B2:C2"/>
  </mergeCells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sheetPr codeName="Sheet23"/>
  <dimension ref="A1:D11"/>
  <sheetViews>
    <sheetView workbookViewId="0">
      <selection activeCell="C6" sqref="C6"/>
    </sheetView>
  </sheetViews>
  <sheetFormatPr defaultRowHeight="13.5"/>
  <cols>
    <col min="1" max="1" width="23.75" style="250" customWidth="1"/>
    <col min="2" max="2" width="29.625" style="250" customWidth="1"/>
    <col min="3" max="3" width="17" style="250" customWidth="1"/>
    <col min="4" max="4" width="18" style="250" customWidth="1"/>
    <col min="5" max="16384" width="9" style="250"/>
  </cols>
  <sheetData>
    <row r="1" spans="1:4" ht="50.25" customHeight="1">
      <c r="A1" s="363" t="s">
        <v>2887</v>
      </c>
      <c r="B1" s="364"/>
      <c r="C1" s="364"/>
      <c r="D1" s="364"/>
    </row>
    <row r="2" spans="1:4" ht="40.5" customHeight="1">
      <c r="A2" s="66" t="s">
        <v>2888</v>
      </c>
      <c r="B2" s="66" t="s">
        <v>2889</v>
      </c>
      <c r="C2" s="66" t="s">
        <v>2890</v>
      </c>
      <c r="D2" s="66" t="s">
        <v>2897</v>
      </c>
    </row>
    <row r="3" spans="1:4" ht="52.5" customHeight="1">
      <c r="A3" s="246" t="s">
        <v>2891</v>
      </c>
      <c r="B3" s="246" t="s">
        <v>2892</v>
      </c>
      <c r="C3" s="246" t="s">
        <v>2893</v>
      </c>
      <c r="D3" s="246">
        <v>15262808882</v>
      </c>
    </row>
    <row r="4" spans="1:4" ht="52.5" customHeight="1">
      <c r="A4" s="246" t="s">
        <v>2894</v>
      </c>
      <c r="B4" s="246" t="s">
        <v>2895</v>
      </c>
      <c r="C4" s="246" t="s">
        <v>2896</v>
      </c>
      <c r="D4" s="246">
        <v>13813616579</v>
      </c>
    </row>
    <row r="5" spans="1:4" ht="52.5" customHeight="1">
      <c r="A5" s="246" t="s">
        <v>2898</v>
      </c>
      <c r="B5" s="246" t="s">
        <v>2901</v>
      </c>
      <c r="C5" s="246" t="s">
        <v>2896</v>
      </c>
      <c r="D5" s="246">
        <v>15190933661</v>
      </c>
    </row>
    <row r="6" spans="1:4" ht="52.5" customHeight="1">
      <c r="A6" s="246" t="s">
        <v>2899</v>
      </c>
      <c r="B6" s="246" t="s">
        <v>2902</v>
      </c>
      <c r="C6" s="246" t="s">
        <v>2896</v>
      </c>
      <c r="D6" s="246">
        <v>15722508583</v>
      </c>
    </row>
    <row r="7" spans="1:4" ht="52.5" customHeight="1">
      <c r="A7" s="246" t="s">
        <v>2900</v>
      </c>
      <c r="B7" s="246" t="s">
        <v>2903</v>
      </c>
      <c r="C7" s="246" t="s">
        <v>2896</v>
      </c>
      <c r="D7" s="246">
        <v>13862891046</v>
      </c>
    </row>
    <row r="8" spans="1:4" ht="52.5" customHeight="1">
      <c r="A8" s="246" t="s">
        <v>2904</v>
      </c>
      <c r="B8" s="246" t="s">
        <v>2905</v>
      </c>
      <c r="C8" s="246" t="s">
        <v>2896</v>
      </c>
      <c r="D8" s="246">
        <v>13814607322</v>
      </c>
    </row>
    <row r="9" spans="1:4" ht="52.5" customHeight="1">
      <c r="A9" s="246" t="s">
        <v>2906</v>
      </c>
      <c r="B9" s="246" t="s">
        <v>2907</v>
      </c>
      <c r="C9" s="246" t="s">
        <v>2896</v>
      </c>
      <c r="D9" s="246">
        <v>13773893690</v>
      </c>
    </row>
    <row r="10" spans="1:4" ht="52.5" customHeight="1">
      <c r="A10" s="246" t="s">
        <v>2908</v>
      </c>
      <c r="B10" s="246" t="s">
        <v>2909</v>
      </c>
      <c r="C10" s="246" t="s">
        <v>2896</v>
      </c>
      <c r="D10" s="246">
        <v>18962811155</v>
      </c>
    </row>
    <row r="11" spans="1:4" ht="23.25" customHeight="1">
      <c r="A11" s="365" t="s">
        <v>2910</v>
      </c>
      <c r="B11" s="365"/>
      <c r="C11" s="365"/>
      <c r="D11" s="365"/>
    </row>
  </sheetData>
  <mergeCells count="2">
    <mergeCell ref="A1:D1"/>
    <mergeCell ref="A11:D11"/>
  </mergeCells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>
  <sheetPr codeName="Sheet24"/>
  <dimension ref="A1:H12"/>
  <sheetViews>
    <sheetView workbookViewId="0">
      <selection activeCell="F4" sqref="F4"/>
    </sheetView>
  </sheetViews>
  <sheetFormatPr defaultRowHeight="13.5"/>
  <cols>
    <col min="1" max="1" width="9" style="250"/>
    <col min="2" max="8" width="14.625" style="250" customWidth="1"/>
    <col min="9" max="16384" width="9" style="250"/>
  </cols>
  <sheetData>
    <row r="1" spans="1:8" ht="35.25" customHeight="1">
      <c r="A1" s="250" t="s">
        <v>1677</v>
      </c>
      <c r="B1" s="246" t="s">
        <v>2911</v>
      </c>
      <c r="C1" s="246" t="s">
        <v>2918</v>
      </c>
      <c r="D1" s="246" t="s">
        <v>2917</v>
      </c>
      <c r="E1" s="246" t="s">
        <v>2919</v>
      </c>
      <c r="F1" s="246" t="s">
        <v>1756</v>
      </c>
      <c r="G1" s="246" t="s">
        <v>1759</v>
      </c>
      <c r="H1" s="246" t="s">
        <v>2922</v>
      </c>
    </row>
    <row r="2" spans="1:8" ht="31.5" customHeight="1">
      <c r="B2" s="246" t="s">
        <v>2912</v>
      </c>
      <c r="C2" s="246">
        <v>35</v>
      </c>
      <c r="D2" s="246">
        <v>3</v>
      </c>
      <c r="E2" s="246" t="s">
        <v>2928</v>
      </c>
      <c r="F2" s="246" t="s">
        <v>1597</v>
      </c>
      <c r="G2" s="246">
        <v>10000</v>
      </c>
      <c r="H2" s="246">
        <v>10000</v>
      </c>
    </row>
    <row r="3" spans="1:8" ht="31.5" customHeight="1">
      <c r="B3" s="313" t="s">
        <v>2913</v>
      </c>
      <c r="C3" s="246">
        <v>35</v>
      </c>
      <c r="D3" s="246">
        <v>12</v>
      </c>
      <c r="E3" s="246" t="s">
        <v>2920</v>
      </c>
      <c r="F3" s="246" t="s">
        <v>1592</v>
      </c>
      <c r="G3" s="246">
        <v>30000</v>
      </c>
      <c r="H3" s="246">
        <v>18000</v>
      </c>
    </row>
    <row r="4" spans="1:8" ht="31.5" customHeight="1">
      <c r="B4" s="320"/>
      <c r="C4" s="246">
        <v>27</v>
      </c>
      <c r="D4" s="246">
        <v>4</v>
      </c>
      <c r="E4" s="246" t="s">
        <v>2477</v>
      </c>
      <c r="F4" s="246" t="s">
        <v>2921</v>
      </c>
      <c r="G4" s="246">
        <v>108000</v>
      </c>
      <c r="H4" s="246">
        <v>108000</v>
      </c>
    </row>
    <row r="5" spans="1:8" ht="31.5" customHeight="1">
      <c r="B5" s="320"/>
      <c r="C5" s="246">
        <v>38</v>
      </c>
      <c r="D5" s="246">
        <v>6</v>
      </c>
      <c r="E5" s="246" t="s">
        <v>2230</v>
      </c>
      <c r="F5" s="246" t="s">
        <v>1594</v>
      </c>
      <c r="G5" s="246">
        <v>65000</v>
      </c>
      <c r="H5" s="246">
        <v>65000</v>
      </c>
    </row>
    <row r="6" spans="1:8" ht="31.5" customHeight="1">
      <c r="B6" s="320"/>
      <c r="C6" s="246">
        <v>45</v>
      </c>
      <c r="D6" s="246">
        <v>4</v>
      </c>
      <c r="E6" s="246" t="s">
        <v>2288</v>
      </c>
      <c r="F6" s="246" t="s">
        <v>1596</v>
      </c>
      <c r="G6" s="246">
        <v>60000</v>
      </c>
      <c r="H6" s="246">
        <v>60000</v>
      </c>
    </row>
    <row r="7" spans="1:8" ht="31.5" customHeight="1">
      <c r="B7" s="320"/>
      <c r="C7" s="246">
        <v>48</v>
      </c>
      <c r="D7" s="246">
        <v>2</v>
      </c>
      <c r="E7" s="246" t="s">
        <v>2288</v>
      </c>
      <c r="F7" s="246" t="s">
        <v>1592</v>
      </c>
      <c r="G7" s="246">
        <v>30000</v>
      </c>
      <c r="H7" s="246">
        <v>30000</v>
      </c>
    </row>
    <row r="8" spans="1:8" ht="31.5" customHeight="1">
      <c r="B8" s="314"/>
      <c r="C8" s="246">
        <v>35</v>
      </c>
      <c r="D8" s="246">
        <v>3</v>
      </c>
      <c r="E8" s="246" t="s">
        <v>2298</v>
      </c>
      <c r="F8" s="246" t="s">
        <v>1597</v>
      </c>
      <c r="G8" s="246">
        <v>50000</v>
      </c>
      <c r="H8" s="246">
        <v>50000</v>
      </c>
    </row>
    <row r="9" spans="1:8" ht="31.5" customHeight="1">
      <c r="B9" s="246" t="s">
        <v>2914</v>
      </c>
      <c r="C9" s="246">
        <v>40</v>
      </c>
      <c r="D9" s="246">
        <v>6</v>
      </c>
      <c r="E9" s="246" t="s">
        <v>2230</v>
      </c>
      <c r="F9" s="246" t="s">
        <v>1600</v>
      </c>
      <c r="G9" s="246">
        <v>50000</v>
      </c>
      <c r="H9" s="246">
        <v>19835</v>
      </c>
    </row>
    <row r="10" spans="1:8" ht="31.5" customHeight="1">
      <c r="B10" s="313" t="s">
        <v>2915</v>
      </c>
      <c r="C10" s="246">
        <v>45</v>
      </c>
      <c r="D10" s="246">
        <v>5</v>
      </c>
      <c r="E10" s="246" t="s">
        <v>2928</v>
      </c>
      <c r="F10" s="246" t="s">
        <v>2927</v>
      </c>
      <c r="G10" s="246">
        <v>50000</v>
      </c>
      <c r="H10" s="246">
        <v>22000</v>
      </c>
    </row>
    <row r="11" spans="1:8" ht="31.5" customHeight="1">
      <c r="B11" s="314"/>
      <c r="C11" s="246">
        <v>36</v>
      </c>
      <c r="D11" s="246">
        <v>21</v>
      </c>
      <c r="E11" s="246" t="s">
        <v>2298</v>
      </c>
      <c r="F11" s="246" t="s">
        <v>1591</v>
      </c>
      <c r="G11" s="246">
        <v>120000</v>
      </c>
      <c r="H11" s="246">
        <v>31000</v>
      </c>
    </row>
    <row r="12" spans="1:8" ht="31.5" customHeight="1">
      <c r="B12" s="367" t="s">
        <v>2916</v>
      </c>
      <c r="C12" s="246">
        <v>42</v>
      </c>
      <c r="D12" s="246">
        <v>4</v>
      </c>
      <c r="E12" s="246" t="s">
        <v>2298</v>
      </c>
      <c r="F12" s="246" t="s">
        <v>1591</v>
      </c>
      <c r="G12" s="246">
        <v>25000</v>
      </c>
      <c r="H12" s="246">
        <v>25000</v>
      </c>
    </row>
  </sheetData>
  <mergeCells count="2">
    <mergeCell ref="B3:B8"/>
    <mergeCell ref="B10:B11"/>
  </mergeCells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sheetPr codeName="Sheet25"/>
  <dimension ref="A1:M37"/>
  <sheetViews>
    <sheetView workbookViewId="0">
      <selection activeCell="L8" sqref="L8"/>
    </sheetView>
  </sheetViews>
  <sheetFormatPr defaultRowHeight="13.5"/>
  <cols>
    <col min="1" max="1" width="9.5" style="250" bestFit="1" customWidth="1"/>
    <col min="2" max="2" width="14.125" style="250" bestFit="1" customWidth="1"/>
    <col min="3" max="3" width="7.75" style="250" bestFit="1" customWidth="1"/>
    <col min="4" max="4" width="7" style="250" bestFit="1" customWidth="1"/>
    <col min="5" max="5" width="14.375" style="2" bestFit="1" customWidth="1"/>
    <col min="6" max="6" width="9" style="250" bestFit="1" customWidth="1"/>
    <col min="7" max="7" width="5.75" style="250" bestFit="1" customWidth="1"/>
    <col min="8" max="8" width="14.125" style="250" bestFit="1" customWidth="1"/>
    <col min="9" max="9" width="9" style="2" bestFit="1" customWidth="1"/>
    <col min="10" max="10" width="8" style="250" customWidth="1"/>
    <col min="11" max="11" width="9" style="250"/>
    <col min="12" max="12" width="11" style="250" bestFit="1" customWidth="1"/>
    <col min="13" max="13" width="10.5" style="250" bestFit="1" customWidth="1"/>
    <col min="14" max="14" width="5.5" style="250" bestFit="1" customWidth="1"/>
    <col min="15" max="17" width="9" style="250"/>
    <col min="18" max="18" width="13" style="250" bestFit="1" customWidth="1"/>
    <col min="19" max="20" width="9" style="250"/>
    <col min="21" max="21" width="5.25" style="250" bestFit="1" customWidth="1"/>
    <col min="22" max="22" width="9" style="250"/>
    <col min="23" max="25" width="12.75" style="250" bestFit="1" customWidth="1"/>
    <col min="26" max="16384" width="9" style="250"/>
  </cols>
  <sheetData>
    <row r="1" spans="1:13" ht="27">
      <c r="A1" s="184" t="s">
        <v>757</v>
      </c>
      <c r="B1" s="184" t="s">
        <v>1496</v>
      </c>
      <c r="C1" s="184" t="s">
        <v>2917</v>
      </c>
      <c r="D1" s="207" t="s">
        <v>1651</v>
      </c>
      <c r="E1" s="204" t="s">
        <v>1497</v>
      </c>
      <c r="F1" s="184" t="s">
        <v>759</v>
      </c>
      <c r="G1" s="185" t="s">
        <v>1537</v>
      </c>
      <c r="H1" s="185" t="s">
        <v>1538</v>
      </c>
      <c r="I1" s="204" t="s">
        <v>963</v>
      </c>
      <c r="J1" s="184" t="s">
        <v>9</v>
      </c>
      <c r="K1" s="250" t="s">
        <v>1759</v>
      </c>
      <c r="L1" s="250" t="s">
        <v>2965</v>
      </c>
      <c r="M1" s="250" t="s">
        <v>2966</v>
      </c>
    </row>
    <row r="2" spans="1:13" ht="15.95" customHeight="1">
      <c r="A2" s="247" t="s">
        <v>80</v>
      </c>
      <c r="B2" s="321" t="s">
        <v>1493</v>
      </c>
      <c r="C2" s="246"/>
      <c r="D2" s="249">
        <v>110</v>
      </c>
      <c r="E2" s="248" t="str">
        <f>VLOOKUP(A2,小圆机汇总表!A:AP,2,FALSE)</f>
        <v>C5034w</v>
      </c>
      <c r="F2" s="247">
        <f>VLOOKUP(A2,小圆机汇总表!A:AP,7,FALSE)</f>
        <v>34</v>
      </c>
      <c r="G2" s="247"/>
      <c r="H2" s="247"/>
      <c r="I2" s="248" t="s">
        <v>177</v>
      </c>
      <c r="J2" s="246" t="s">
        <v>2</v>
      </c>
      <c r="K2" s="250">
        <f>SUMIFS(plan!I:I,plan!A:A,Sheet14!A2,plan!S:S,"")</f>
        <v>0</v>
      </c>
      <c r="L2" s="217">
        <f>SUMIFS(plan!W:W,plan!A:A,Sheet14!A2,plan!S:S,"")</f>
        <v>0</v>
      </c>
    </row>
    <row r="3" spans="1:13" ht="15.95" customHeight="1">
      <c r="A3" s="247" t="s">
        <v>1500</v>
      </c>
      <c r="B3" s="321"/>
      <c r="C3" s="246"/>
      <c r="D3" s="249"/>
      <c r="E3" s="248" t="s">
        <v>1606</v>
      </c>
      <c r="F3" s="247">
        <v>34</v>
      </c>
      <c r="G3" s="247"/>
      <c r="H3" s="247"/>
      <c r="I3" s="248" t="s">
        <v>177</v>
      </c>
      <c r="J3" s="246" t="s">
        <v>1</v>
      </c>
      <c r="K3" s="250">
        <f>SUMIFS(plan!I:I,plan!A:A,Sheet14!A3,plan!S:S,"")</f>
        <v>0</v>
      </c>
      <c r="L3" s="217">
        <f>SUMIFS(plan!W:W,plan!A:A,Sheet14!A3,plan!S:S,"")</f>
        <v>0</v>
      </c>
    </row>
    <row r="4" spans="1:13" ht="15.95" customHeight="1">
      <c r="A4" s="246" t="s">
        <v>2247</v>
      </c>
      <c r="B4" s="321"/>
      <c r="C4" s="246"/>
      <c r="D4" s="249"/>
      <c r="E4" s="248" t="s">
        <v>2247</v>
      </c>
      <c r="F4" s="247">
        <v>40</v>
      </c>
      <c r="G4" s="247">
        <v>33</v>
      </c>
      <c r="H4" s="247">
        <v>156</v>
      </c>
      <c r="I4" s="248" t="s">
        <v>177</v>
      </c>
      <c r="J4" s="246" t="s">
        <v>2</v>
      </c>
      <c r="K4" s="250">
        <f>SUMIFS(plan!I:I,plan!A:A,Sheet14!A4,plan!S:S,"")</f>
        <v>60000</v>
      </c>
      <c r="L4" s="217">
        <f>SUMIFS(plan!W:W,plan!A:A,Sheet14!A4,plan!S:S,"")</f>
        <v>29835.673187571912</v>
      </c>
    </row>
    <row r="5" spans="1:13" ht="15.95" customHeight="1">
      <c r="A5" s="241" t="s">
        <v>1605</v>
      </c>
      <c r="B5" s="241" t="s">
        <v>1503</v>
      </c>
      <c r="C5" s="241"/>
      <c r="D5" s="239">
        <v>100</v>
      </c>
      <c r="E5" s="248" t="s">
        <v>1610</v>
      </c>
      <c r="F5" s="235">
        <v>42</v>
      </c>
      <c r="G5" s="235">
        <v>38</v>
      </c>
      <c r="H5" s="235">
        <v>162</v>
      </c>
      <c r="I5" s="240" t="s">
        <v>168</v>
      </c>
      <c r="J5" s="241" t="s">
        <v>2</v>
      </c>
      <c r="K5" s="250">
        <f>SUMIFS(plan!I:I,plan!A:A,Sheet14!A5,plan!S:S,"")</f>
        <v>25000</v>
      </c>
      <c r="L5" s="217">
        <f>SUMIFS(plan!W:W,plan!A:A,Sheet14!A5,plan!S:S,"")</f>
        <v>24999.999999999996</v>
      </c>
    </row>
    <row r="6" spans="1:13" ht="15.95" customHeight="1">
      <c r="A6" s="246" t="s">
        <v>1612</v>
      </c>
      <c r="B6" s="313" t="s">
        <v>1501</v>
      </c>
      <c r="C6" s="241"/>
      <c r="D6" s="249"/>
      <c r="E6" s="248" t="s">
        <v>1613</v>
      </c>
      <c r="F6" s="247">
        <v>34</v>
      </c>
      <c r="G6" s="247"/>
      <c r="H6" s="247"/>
      <c r="I6" s="248" t="s">
        <v>170</v>
      </c>
      <c r="J6" s="246" t="s">
        <v>1058</v>
      </c>
      <c r="K6" s="250">
        <f>SUMIFS(plan!I:I,plan!A:A,Sheet14!A6,plan!S:S,"")</f>
        <v>0</v>
      </c>
      <c r="L6" s="217">
        <f>SUMIFS(plan!W:W,plan!A:A,Sheet14!A6,plan!S:S,"")</f>
        <v>0</v>
      </c>
    </row>
    <row r="7" spans="1:13" ht="15.95" customHeight="1">
      <c r="A7" s="247" t="s">
        <v>116</v>
      </c>
      <c r="B7" s="320"/>
      <c r="C7" s="245"/>
      <c r="D7" s="249">
        <v>60</v>
      </c>
      <c r="E7" s="248" t="s">
        <v>1614</v>
      </c>
      <c r="F7" s="247">
        <v>36</v>
      </c>
      <c r="G7" s="247">
        <v>36</v>
      </c>
      <c r="H7" s="247">
        <v>157.5</v>
      </c>
      <c r="I7" s="248" t="s">
        <v>170</v>
      </c>
      <c r="J7" s="246" t="s">
        <v>1058</v>
      </c>
      <c r="K7" s="250">
        <f>SUMIFS(plan!I:I,plan!A:A,Sheet14!A7,plan!S:S,"")</f>
        <v>0</v>
      </c>
      <c r="L7" s="217">
        <f>SUMIFS(plan!W:W,plan!A:A,Sheet14!A7,plan!S:S,"")</f>
        <v>0</v>
      </c>
    </row>
    <row r="8" spans="1:13" ht="15.95" customHeight="1">
      <c r="A8" s="247" t="s">
        <v>123</v>
      </c>
      <c r="B8" s="320"/>
      <c r="C8" s="245"/>
      <c r="D8" s="239">
        <v>150</v>
      </c>
      <c r="E8" s="240" t="s">
        <v>2294</v>
      </c>
      <c r="F8" s="235">
        <v>39</v>
      </c>
      <c r="G8" s="235">
        <v>41</v>
      </c>
      <c r="H8" s="235">
        <v>158</v>
      </c>
      <c r="I8" s="248" t="s">
        <v>44</v>
      </c>
      <c r="J8" s="246" t="s">
        <v>2</v>
      </c>
      <c r="K8" s="250">
        <f>SUMIFS(plan!I:I,plan!A:A,Sheet14!A8,plan!S:S,"")</f>
        <v>0</v>
      </c>
      <c r="L8" s="217">
        <f>SUMIFS(plan!W:W,plan!A:A,Sheet14!A8,plan!S:S,"")</f>
        <v>0</v>
      </c>
    </row>
    <row r="9" spans="1:13" ht="15.95" customHeight="1">
      <c r="A9" s="247" t="s">
        <v>1020</v>
      </c>
      <c r="B9" s="320"/>
      <c r="C9" s="245"/>
      <c r="D9" s="249"/>
      <c r="E9" s="248" t="s">
        <v>1021</v>
      </c>
      <c r="F9" s="247">
        <v>43</v>
      </c>
      <c r="G9" s="247"/>
      <c r="H9" s="247"/>
      <c r="I9" s="248" t="s">
        <v>168</v>
      </c>
      <c r="J9" s="246" t="s">
        <v>2</v>
      </c>
      <c r="K9" s="250">
        <f>SUMIFS(plan!I:I,plan!A:A,Sheet14!A9,plan!S:S,"")</f>
        <v>0</v>
      </c>
      <c r="L9" s="217">
        <f>SUMIFS(plan!W:W,plan!A:A,Sheet14!A9,plan!S:S,"")</f>
        <v>0</v>
      </c>
    </row>
    <row r="10" spans="1:13" ht="15.95" customHeight="1">
      <c r="A10" s="247" t="s">
        <v>104</v>
      </c>
      <c r="B10" s="320"/>
      <c r="C10" s="245"/>
      <c r="D10" s="236">
        <v>110</v>
      </c>
      <c r="E10" s="236" t="s">
        <v>104</v>
      </c>
      <c r="F10" s="236">
        <v>49</v>
      </c>
      <c r="G10" s="236">
        <v>50</v>
      </c>
      <c r="H10" s="236">
        <v>158</v>
      </c>
      <c r="I10" s="248" t="s">
        <v>177</v>
      </c>
      <c r="J10" s="246" t="s">
        <v>2</v>
      </c>
      <c r="K10" s="250">
        <f>SUMIFS(plan!I:I,plan!A:A,Sheet14!A10,plan!S:S,"")</f>
        <v>140000</v>
      </c>
      <c r="L10" s="217">
        <f>SUMIFS(plan!W:W,plan!A:A,Sheet14!A10,plan!S:S,"")</f>
        <v>140000</v>
      </c>
    </row>
    <row r="11" spans="1:13" ht="15.95" customHeight="1">
      <c r="A11" s="247" t="s">
        <v>83</v>
      </c>
      <c r="B11" s="320"/>
      <c r="C11" s="245"/>
      <c r="D11" s="249"/>
      <c r="E11" s="248" t="s">
        <v>83</v>
      </c>
      <c r="F11" s="247">
        <v>45</v>
      </c>
      <c r="G11" s="247">
        <v>45</v>
      </c>
      <c r="H11" s="247">
        <v>170</v>
      </c>
      <c r="I11" s="248" t="s">
        <v>177</v>
      </c>
      <c r="J11" s="246" t="s">
        <v>2</v>
      </c>
      <c r="K11" s="250">
        <f>SUMIFS(plan!I:I,plan!A:A,Sheet14!A11,plan!S:S,"")</f>
        <v>50000</v>
      </c>
      <c r="L11" s="217">
        <f>SUMIFS(plan!W:W,plan!A:A,Sheet14!A11,plan!S:S,"")</f>
        <v>50000.000000000015</v>
      </c>
    </row>
    <row r="12" spans="1:13" ht="15.95" customHeight="1">
      <c r="A12" s="246" t="s">
        <v>1531</v>
      </c>
      <c r="B12" s="320"/>
      <c r="C12" s="245"/>
      <c r="D12" s="249">
        <v>60</v>
      </c>
      <c r="E12" s="248" t="s">
        <v>1530</v>
      </c>
      <c r="F12" s="247">
        <v>50</v>
      </c>
      <c r="G12" s="247">
        <v>50</v>
      </c>
      <c r="H12" s="247">
        <v>158</v>
      </c>
      <c r="I12" s="248" t="s">
        <v>168</v>
      </c>
      <c r="J12" s="246" t="s">
        <v>783</v>
      </c>
      <c r="K12" s="250">
        <f>SUMIFS(plan!I:I,plan!A:A,Sheet14!A12,plan!S:S,"")</f>
        <v>0</v>
      </c>
      <c r="L12" s="217">
        <f>SUMIFS(plan!W:W,plan!A:A,Sheet14!A12,plan!S:S,"")</f>
        <v>0</v>
      </c>
    </row>
    <row r="13" spans="1:13" ht="15.95" customHeight="1">
      <c r="A13" s="247" t="s">
        <v>1234</v>
      </c>
      <c r="B13" s="314"/>
      <c r="C13" s="242"/>
      <c r="D13" s="249">
        <v>19.899999999999999</v>
      </c>
      <c r="E13" s="248" t="s">
        <v>1236</v>
      </c>
      <c r="F13" s="247">
        <v>63</v>
      </c>
      <c r="G13" s="247">
        <v>65</v>
      </c>
      <c r="H13" s="247">
        <v>157</v>
      </c>
      <c r="I13" s="248" t="s">
        <v>168</v>
      </c>
      <c r="J13" s="246" t="s">
        <v>2</v>
      </c>
      <c r="K13" s="250">
        <f>SUMIFS(plan!I:I,plan!A:A,Sheet14!A13,plan!S:S,"")</f>
        <v>0</v>
      </c>
      <c r="L13" s="217">
        <f>SUMIFS(plan!W:W,plan!A:A,Sheet14!A13,plan!S:S,"")</f>
        <v>0</v>
      </c>
    </row>
    <row r="14" spans="1:13" ht="15.95" customHeight="1">
      <c r="A14" s="246" t="s">
        <v>35</v>
      </c>
      <c r="B14" s="313" t="s">
        <v>1494</v>
      </c>
      <c r="C14" s="241"/>
      <c r="D14" s="239">
        <v>90</v>
      </c>
      <c r="E14" s="240" t="s">
        <v>35</v>
      </c>
      <c r="F14" s="235">
        <v>32</v>
      </c>
      <c r="G14" s="235">
        <v>33</v>
      </c>
      <c r="H14" s="235">
        <v>159</v>
      </c>
      <c r="I14" s="248" t="s">
        <v>177</v>
      </c>
      <c r="J14" s="246" t="s">
        <v>2</v>
      </c>
      <c r="K14" s="250">
        <f>SUMIFS(plan!I:I,plan!A:A,Sheet14!A14,plan!S:S,"")</f>
        <v>65000</v>
      </c>
      <c r="L14" s="217">
        <f>SUMIFS(plan!W:W,plan!A:A,Sheet14!A14,plan!S:S,"")</f>
        <v>65000</v>
      </c>
    </row>
    <row r="15" spans="1:13" ht="15.95" customHeight="1">
      <c r="A15" s="247" t="s">
        <v>45</v>
      </c>
      <c r="B15" s="320"/>
      <c r="C15" s="245"/>
      <c r="D15" s="239">
        <v>84</v>
      </c>
      <c r="E15" s="240" t="s">
        <v>1652</v>
      </c>
      <c r="F15" s="247">
        <v>35</v>
      </c>
      <c r="G15" s="247">
        <v>33</v>
      </c>
      <c r="H15" s="247">
        <v>160</v>
      </c>
      <c r="I15" s="248" t="s">
        <v>177</v>
      </c>
      <c r="J15" s="246" t="s">
        <v>2</v>
      </c>
      <c r="K15" s="250">
        <f>SUMIFS(plan!I:I,plan!A:A,Sheet14!A15,plan!S:S,"")</f>
        <v>318000</v>
      </c>
      <c r="L15" s="217">
        <f>SUMIFS(plan!W:W,plan!A:A,Sheet14!A15,plan!S:S,"")</f>
        <v>301374.54545454541</v>
      </c>
    </row>
    <row r="16" spans="1:13" ht="15.95" customHeight="1">
      <c r="A16" s="247" t="s">
        <v>125</v>
      </c>
      <c r="B16" s="320"/>
      <c r="C16" s="245"/>
      <c r="D16" s="239">
        <v>100</v>
      </c>
      <c r="E16" s="240" t="s">
        <v>49</v>
      </c>
      <c r="F16" s="235">
        <v>35</v>
      </c>
      <c r="G16" s="247">
        <v>33</v>
      </c>
      <c r="H16" s="247">
        <v>159</v>
      </c>
      <c r="I16" s="248" t="s">
        <v>968</v>
      </c>
      <c r="J16" s="246" t="s">
        <v>785</v>
      </c>
      <c r="K16" s="250">
        <f>SUMIFS(plan!I:I,plan!A:A,Sheet14!A16,plan!S:S,"")</f>
        <v>334000</v>
      </c>
      <c r="L16" s="217">
        <f>SUMIFS(plan!W:W,plan!A:A,Sheet14!A16,plan!S:S,"")</f>
        <v>273991.32860433357</v>
      </c>
    </row>
    <row r="17" spans="1:12" ht="15.95" customHeight="1">
      <c r="A17" s="247" t="s">
        <v>737</v>
      </c>
      <c r="B17" s="320"/>
      <c r="C17" s="245"/>
      <c r="D17" s="239">
        <v>90</v>
      </c>
      <c r="E17" s="240" t="s">
        <v>58</v>
      </c>
      <c r="F17" s="235">
        <v>35</v>
      </c>
      <c r="G17" s="247">
        <v>36</v>
      </c>
      <c r="H17" s="247">
        <v>158</v>
      </c>
      <c r="I17" s="248" t="s">
        <v>168</v>
      </c>
      <c r="J17" s="246" t="s">
        <v>2</v>
      </c>
      <c r="K17" s="250">
        <f>SUMIFS(plan!I:I,plan!A:A,Sheet14!A17,plan!S:S,"")</f>
        <v>0</v>
      </c>
      <c r="L17" s="217">
        <f>SUMIFS(plan!W:W,plan!A:A,Sheet14!A17,plan!S:S,"")</f>
        <v>0</v>
      </c>
    </row>
    <row r="18" spans="1:12" ht="15.95" customHeight="1">
      <c r="A18" s="247" t="s">
        <v>78</v>
      </c>
      <c r="B18" s="320"/>
      <c r="C18" s="245"/>
      <c r="D18" s="239"/>
      <c r="E18" s="240" t="s">
        <v>78</v>
      </c>
      <c r="F18" s="235">
        <v>40</v>
      </c>
      <c r="G18" s="247">
        <v>33</v>
      </c>
      <c r="H18" s="247">
        <v>156</v>
      </c>
      <c r="I18" s="248" t="s">
        <v>177</v>
      </c>
      <c r="J18" s="246" t="s">
        <v>2</v>
      </c>
      <c r="K18" s="250">
        <f>SUMIFS(plan!I:I,plan!A:A,Sheet14!A18,plan!S:S,"")</f>
        <v>6000</v>
      </c>
      <c r="L18" s="217">
        <f>SUMIFS(plan!W:W,plan!A:A,Sheet14!A18,plan!S:S,"")</f>
        <v>6000</v>
      </c>
    </row>
    <row r="19" spans="1:12" ht="15.95" customHeight="1">
      <c r="A19" s="247" t="s">
        <v>79</v>
      </c>
      <c r="B19" s="320"/>
      <c r="C19" s="245"/>
      <c r="D19" s="249"/>
      <c r="E19" s="248" t="s">
        <v>1146</v>
      </c>
      <c r="F19" s="247">
        <v>42</v>
      </c>
      <c r="G19" s="247"/>
      <c r="H19" s="247"/>
      <c r="I19" s="248" t="s">
        <v>177</v>
      </c>
      <c r="J19" s="246" t="s">
        <v>2</v>
      </c>
      <c r="K19" s="250">
        <f>SUMIFS(plan!I:I,plan!A:A,Sheet14!A19,plan!S:S,"")</f>
        <v>0</v>
      </c>
      <c r="L19" s="217">
        <f>SUMIFS(plan!W:W,plan!A:A,Sheet14!A19,plan!S:S,"")</f>
        <v>0</v>
      </c>
    </row>
    <row r="20" spans="1:12" ht="15.95" customHeight="1">
      <c r="A20" s="247" t="s">
        <v>738</v>
      </c>
      <c r="B20" s="320"/>
      <c r="C20" s="245"/>
      <c r="D20" s="249"/>
      <c r="E20" s="248" t="s">
        <v>65</v>
      </c>
      <c r="F20" s="247">
        <v>45</v>
      </c>
      <c r="G20" s="247"/>
      <c r="H20" s="247"/>
      <c r="I20" s="248" t="s">
        <v>168</v>
      </c>
      <c r="J20" s="246" t="s">
        <v>2</v>
      </c>
      <c r="K20" s="250">
        <f>SUMIFS(plan!I:I,plan!A:A,Sheet14!A20,plan!S:S,"")</f>
        <v>0</v>
      </c>
      <c r="L20" s="217">
        <f>SUMIFS(plan!W:W,plan!A:A,Sheet14!A20,plan!S:S,"")</f>
        <v>0</v>
      </c>
    </row>
    <row r="21" spans="1:12" ht="15.95" customHeight="1">
      <c r="A21" s="247" t="s">
        <v>127</v>
      </c>
      <c r="B21" s="320"/>
      <c r="C21" s="245"/>
      <c r="D21" s="249"/>
      <c r="E21" s="248" t="s">
        <v>67</v>
      </c>
      <c r="F21" s="247">
        <v>36</v>
      </c>
      <c r="G21" s="247"/>
      <c r="H21" s="247"/>
      <c r="I21" s="248" t="s">
        <v>180</v>
      </c>
      <c r="J21" s="246" t="s">
        <v>2</v>
      </c>
      <c r="K21" s="250">
        <f>SUMIFS(plan!I:I,plan!A:A,Sheet14!A21,plan!S:S,"")</f>
        <v>0</v>
      </c>
      <c r="L21" s="217">
        <f>SUMIFS(plan!W:W,plan!A:A,Sheet14!A21,plan!S:S,"")</f>
        <v>0</v>
      </c>
    </row>
    <row r="22" spans="1:12" ht="15.95" customHeight="1">
      <c r="A22" s="247" t="s">
        <v>70</v>
      </c>
      <c r="B22" s="320"/>
      <c r="C22" s="245"/>
      <c r="D22" s="249">
        <v>78</v>
      </c>
      <c r="E22" s="248" t="s">
        <v>70</v>
      </c>
      <c r="F22" s="247">
        <v>38</v>
      </c>
      <c r="G22" s="247">
        <v>38</v>
      </c>
      <c r="H22" s="247">
        <v>158</v>
      </c>
      <c r="I22" s="248" t="s">
        <v>177</v>
      </c>
      <c r="J22" s="246" t="s">
        <v>2</v>
      </c>
      <c r="K22" s="250">
        <f>SUMIFS(plan!I:I,plan!A:A,Sheet14!A22,plan!S:S,"")</f>
        <v>65000</v>
      </c>
      <c r="L22" s="217">
        <f>SUMIFS(plan!W:W,plan!A:A,Sheet14!A22,plan!S:S,"")</f>
        <v>65000</v>
      </c>
    </row>
    <row r="23" spans="1:12" ht="15.95" customHeight="1">
      <c r="A23" s="246" t="s">
        <v>2304</v>
      </c>
      <c r="B23" s="320"/>
      <c r="C23" s="245"/>
      <c r="D23" s="249">
        <v>67</v>
      </c>
      <c r="E23" s="248" t="s">
        <v>2307</v>
      </c>
      <c r="F23" s="247">
        <v>38</v>
      </c>
      <c r="G23" s="247">
        <v>36</v>
      </c>
      <c r="H23" s="247">
        <v>159</v>
      </c>
      <c r="I23" s="248" t="s">
        <v>2298</v>
      </c>
      <c r="J23" s="246" t="s">
        <v>1616</v>
      </c>
      <c r="K23" s="250">
        <f>SUMIFS(plan!I:I,plan!A:A,Sheet14!A23,plan!S:S,"")</f>
        <v>10000</v>
      </c>
      <c r="L23" s="217">
        <f>SUMIFS(plan!W:W,plan!A:A,Sheet14!A23,plan!S:S,"")</f>
        <v>10000</v>
      </c>
    </row>
    <row r="24" spans="1:12" ht="15.95" customHeight="1">
      <c r="A24" s="247" t="s">
        <v>736</v>
      </c>
      <c r="B24" s="320"/>
      <c r="C24" s="245"/>
      <c r="D24" s="249">
        <v>80</v>
      </c>
      <c r="E24" s="248" t="s">
        <v>40</v>
      </c>
      <c r="F24" s="247">
        <v>34</v>
      </c>
      <c r="G24" s="247">
        <v>36</v>
      </c>
      <c r="H24" s="247">
        <v>159</v>
      </c>
      <c r="I24" s="248" t="s">
        <v>44</v>
      </c>
      <c r="J24" s="246" t="s">
        <v>2</v>
      </c>
      <c r="K24" s="250">
        <f>SUMIFS(plan!I:I,plan!A:A,Sheet14!A24,plan!S:S,"")</f>
        <v>0</v>
      </c>
      <c r="L24" s="217">
        <f>SUMIFS(plan!W:W,plan!A:A,Sheet14!A24,plan!S:S,"")</f>
        <v>0</v>
      </c>
    </row>
    <row r="25" spans="1:12" ht="15.95" customHeight="1">
      <c r="A25" s="247" t="s">
        <v>739</v>
      </c>
      <c r="B25" s="320"/>
      <c r="C25" s="245"/>
      <c r="D25" s="249"/>
      <c r="E25" s="248" t="s">
        <v>755</v>
      </c>
      <c r="F25" s="247">
        <v>38</v>
      </c>
      <c r="G25" s="247"/>
      <c r="H25" s="247"/>
      <c r="I25" s="248" t="s">
        <v>44</v>
      </c>
      <c r="J25" s="246" t="s">
        <v>2</v>
      </c>
      <c r="K25" s="250">
        <f>SUMIFS(plan!I:I,plan!A:A,Sheet14!A25,plan!S:S,"")</f>
        <v>0</v>
      </c>
      <c r="L25" s="217">
        <f>SUMIFS(plan!W:W,plan!A:A,Sheet14!A25,plan!S:S,"")</f>
        <v>0</v>
      </c>
    </row>
    <row r="26" spans="1:12" ht="15.95" customHeight="1">
      <c r="A26" s="246" t="s">
        <v>1535</v>
      </c>
      <c r="B26" s="320"/>
      <c r="C26" s="245"/>
      <c r="D26" s="249">
        <v>30</v>
      </c>
      <c r="E26" s="248" t="s">
        <v>1534</v>
      </c>
      <c r="F26" s="247">
        <v>36</v>
      </c>
      <c r="G26" s="247">
        <v>35</v>
      </c>
      <c r="H26" s="247">
        <v>158</v>
      </c>
      <c r="I26" s="248" t="s">
        <v>44</v>
      </c>
      <c r="J26" s="246" t="s">
        <v>2</v>
      </c>
      <c r="K26" s="250">
        <f>SUMIFS(plan!I:I,plan!A:A,Sheet14!A26,plan!S:S,"")</f>
        <v>0</v>
      </c>
      <c r="L26" s="217">
        <f>SUMIFS(plan!W:W,plan!A:A,Sheet14!A26,plan!S:S,"")</f>
        <v>0</v>
      </c>
    </row>
    <row r="27" spans="1:12" ht="15.95" customHeight="1">
      <c r="A27" s="247" t="s">
        <v>1502</v>
      </c>
      <c r="B27" s="320"/>
      <c r="C27" s="245"/>
      <c r="D27" s="249"/>
      <c r="E27" s="248" t="s">
        <v>1508</v>
      </c>
      <c r="F27" s="247">
        <v>32</v>
      </c>
      <c r="G27" s="247"/>
      <c r="H27" s="247"/>
      <c r="I27" s="248" t="s">
        <v>168</v>
      </c>
      <c r="J27" s="246" t="s">
        <v>2</v>
      </c>
      <c r="K27" s="250">
        <f>SUMIFS(plan!I:I,plan!A:A,Sheet14!A27,plan!S:S,"")</f>
        <v>0</v>
      </c>
      <c r="L27" s="217">
        <f>SUMIFS(plan!W:W,plan!A:A,Sheet14!A27,plan!S:S,"")</f>
        <v>0</v>
      </c>
    </row>
    <row r="28" spans="1:12" ht="15.95" customHeight="1">
      <c r="A28" s="246" t="s">
        <v>2578</v>
      </c>
      <c r="B28" s="320"/>
      <c r="C28" s="245"/>
      <c r="D28" s="239">
        <v>100</v>
      </c>
      <c r="E28" s="240" t="s">
        <v>2576</v>
      </c>
      <c r="F28" s="235">
        <v>27</v>
      </c>
      <c r="G28" s="247">
        <v>33</v>
      </c>
      <c r="H28" s="247">
        <v>158</v>
      </c>
      <c r="I28" s="248" t="s">
        <v>2844</v>
      </c>
      <c r="J28" s="246" t="s">
        <v>2551</v>
      </c>
      <c r="K28" s="250">
        <f>SUMIFS(plan!I:I,plan!A:A,Sheet14!A28,plan!S:S,"")</f>
        <v>108000</v>
      </c>
      <c r="L28" s="217">
        <f>SUMIFS(plan!W:W,plan!A:A,Sheet14!A28,plan!S:S,"")</f>
        <v>107999.99999999999</v>
      </c>
    </row>
    <row r="29" spans="1:12" ht="15.95" customHeight="1">
      <c r="A29" s="247" t="s">
        <v>128</v>
      </c>
      <c r="B29" s="320"/>
      <c r="C29" s="245"/>
      <c r="D29" s="236">
        <v>150</v>
      </c>
      <c r="E29" s="236" t="s">
        <v>87</v>
      </c>
      <c r="F29" s="236">
        <v>45</v>
      </c>
      <c r="G29" s="247">
        <v>49</v>
      </c>
      <c r="H29" s="247">
        <v>158</v>
      </c>
      <c r="I29" s="248" t="s">
        <v>44</v>
      </c>
      <c r="J29" s="246" t="s">
        <v>2</v>
      </c>
      <c r="K29" s="250">
        <f>SUMIFS(plan!I:I,plan!A:A,Sheet14!A29,plan!S:S,"")</f>
        <v>50000</v>
      </c>
      <c r="L29" s="217">
        <f>SUMIFS(plan!W:W,plan!A:A,Sheet14!A29,plan!S:S,"")</f>
        <v>30405.71428571429</v>
      </c>
    </row>
    <row r="30" spans="1:12" ht="15.95" customHeight="1">
      <c r="A30" s="247" t="s">
        <v>129</v>
      </c>
      <c r="B30" s="320"/>
      <c r="C30" s="245"/>
      <c r="D30" s="239">
        <v>130</v>
      </c>
      <c r="E30" s="240" t="s">
        <v>2487</v>
      </c>
      <c r="F30" s="235">
        <v>48</v>
      </c>
      <c r="G30" s="247">
        <v>51</v>
      </c>
      <c r="H30" s="247">
        <v>158</v>
      </c>
      <c r="I30" s="248" t="s">
        <v>44</v>
      </c>
      <c r="J30" s="246" t="s">
        <v>1603</v>
      </c>
      <c r="K30" s="250">
        <f>SUMIFS(plan!I:I,plan!A:A,Sheet14!A30,plan!S:S,"")</f>
        <v>30000</v>
      </c>
      <c r="L30" s="217">
        <f>SUMIFS(plan!W:W,plan!A:A,Sheet14!A30,plan!S:S,"")</f>
        <v>30000</v>
      </c>
    </row>
    <row r="31" spans="1:12" ht="15.95" customHeight="1">
      <c r="A31" s="247" t="s">
        <v>746</v>
      </c>
      <c r="B31" s="314"/>
      <c r="C31" s="245"/>
      <c r="D31" s="239">
        <v>140</v>
      </c>
      <c r="E31" s="240" t="s">
        <v>98</v>
      </c>
      <c r="F31" s="235">
        <v>49</v>
      </c>
      <c r="G31" s="247">
        <v>54</v>
      </c>
      <c r="H31" s="247">
        <v>158</v>
      </c>
      <c r="I31" s="248" t="s">
        <v>44</v>
      </c>
      <c r="J31" s="246" t="s">
        <v>2</v>
      </c>
      <c r="K31" s="250">
        <f>SUMIFS(plan!I:I,plan!A:A,Sheet14!A31,plan!S:S,"")</f>
        <v>0</v>
      </c>
      <c r="L31" s="217">
        <f>SUMIFS(plan!W:W,plan!A:A,Sheet14!A31,plan!S:S,"")</f>
        <v>0</v>
      </c>
    </row>
    <row r="32" spans="1:12" ht="15.95" customHeight="1">
      <c r="A32" s="246" t="s">
        <v>238</v>
      </c>
      <c r="B32" s="313" t="s">
        <v>1504</v>
      </c>
      <c r="C32" s="241"/>
      <c r="D32" s="249">
        <v>55</v>
      </c>
      <c r="E32" s="248" t="s">
        <v>16</v>
      </c>
      <c r="F32" s="247">
        <v>23</v>
      </c>
      <c r="G32" s="247"/>
      <c r="H32" s="247">
        <v>160</v>
      </c>
      <c r="I32" s="248" t="s">
        <v>175</v>
      </c>
      <c r="J32" s="246" t="s">
        <v>2</v>
      </c>
      <c r="K32" s="250">
        <f>SUMIFS(plan!I:I,plan!A:A,Sheet14!A32,plan!S:S,"")</f>
        <v>3000</v>
      </c>
      <c r="L32" s="217">
        <f>SUMIFS(plan!W:W,plan!A:A,Sheet14!A32,plan!S:S,"")</f>
        <v>3000.0000000000005</v>
      </c>
    </row>
    <row r="33" spans="1:12" ht="15.95" customHeight="1">
      <c r="A33" s="246" t="s">
        <v>734</v>
      </c>
      <c r="B33" s="320"/>
      <c r="C33" s="245"/>
      <c r="D33" s="236">
        <v>38</v>
      </c>
      <c r="E33" s="236" t="s">
        <v>753</v>
      </c>
      <c r="F33" s="236">
        <v>23</v>
      </c>
      <c r="G33" s="247">
        <v>23</v>
      </c>
      <c r="H33" s="247">
        <v>160</v>
      </c>
      <c r="I33" s="248" t="s">
        <v>168</v>
      </c>
      <c r="J33" s="246" t="s">
        <v>2</v>
      </c>
      <c r="K33" s="250">
        <f>SUMIFS(plan!I:I,plan!A:A,Sheet14!A33,plan!S:S,"")</f>
        <v>0</v>
      </c>
      <c r="L33" s="217">
        <f>SUMIFS(plan!W:W,plan!A:A,Sheet14!A33,plan!S:S,"")</f>
        <v>0</v>
      </c>
    </row>
    <row r="34" spans="1:12" ht="15.95" customHeight="1">
      <c r="A34" s="246" t="s">
        <v>2303</v>
      </c>
      <c r="B34" s="320"/>
      <c r="C34" s="245"/>
      <c r="D34" s="237">
        <v>95</v>
      </c>
      <c r="E34" s="237" t="s">
        <v>2476</v>
      </c>
      <c r="F34" s="237">
        <v>23</v>
      </c>
      <c r="G34" s="247">
        <v>23</v>
      </c>
      <c r="H34" s="247">
        <v>160</v>
      </c>
      <c r="I34" s="248" t="s">
        <v>168</v>
      </c>
      <c r="J34" s="246" t="s">
        <v>2</v>
      </c>
      <c r="K34" s="250">
        <f>SUMIFS(plan!I:I,plan!A:A,Sheet14!A34,plan!S:S,"")</f>
        <v>0</v>
      </c>
      <c r="L34" s="217">
        <f>SUMIFS(plan!W:W,plan!A:A,Sheet14!A34,plan!S:S,"")</f>
        <v>0</v>
      </c>
    </row>
    <row r="35" spans="1:12" ht="15.95" customHeight="1">
      <c r="A35" s="246" t="s">
        <v>735</v>
      </c>
      <c r="B35" s="320"/>
      <c r="C35" s="245"/>
      <c r="D35" s="249"/>
      <c r="E35" s="248" t="s">
        <v>754</v>
      </c>
      <c r="F35" s="247">
        <v>21</v>
      </c>
      <c r="G35" s="247"/>
      <c r="H35" s="247"/>
      <c r="I35" s="248" t="s">
        <v>180</v>
      </c>
      <c r="J35" s="246" t="s">
        <v>2</v>
      </c>
      <c r="K35" s="250">
        <f>SUMIFS(plan!I:I,plan!A:A,Sheet14!A35,plan!S:S,"")</f>
        <v>0</v>
      </c>
      <c r="L35" s="217">
        <f>SUMIFS(plan!W:W,plan!A:A,Sheet14!A35,plan!S:S,"")</f>
        <v>0</v>
      </c>
    </row>
    <row r="36" spans="1:12" ht="15.95" customHeight="1">
      <c r="A36" s="246" t="s">
        <v>120</v>
      </c>
      <c r="B36" s="320"/>
      <c r="C36" s="245"/>
      <c r="D36" s="249"/>
      <c r="E36" s="248" t="s">
        <v>23</v>
      </c>
      <c r="F36" s="247">
        <v>29</v>
      </c>
      <c r="G36" s="247">
        <v>28</v>
      </c>
      <c r="H36" s="247">
        <v>163</v>
      </c>
      <c r="I36" s="248" t="s">
        <v>180</v>
      </c>
      <c r="J36" s="246" t="s">
        <v>2</v>
      </c>
      <c r="K36" s="250">
        <f>SUMIFS(plan!I:I,plan!A:A,Sheet14!A36,plan!S:S,"")</f>
        <v>0</v>
      </c>
      <c r="L36" s="217">
        <f>SUMIFS(plan!W:W,plan!A:A,Sheet14!A36,plan!S:S,"")</f>
        <v>0</v>
      </c>
    </row>
    <row r="37" spans="1:12" ht="15.95" customHeight="1">
      <c r="A37" s="247" t="s">
        <v>740</v>
      </c>
      <c r="B37" s="320"/>
      <c r="C37" s="245"/>
      <c r="D37" s="249">
        <v>100</v>
      </c>
      <c r="E37" s="248" t="s">
        <v>72</v>
      </c>
      <c r="F37" s="247">
        <v>32</v>
      </c>
      <c r="G37" s="247"/>
      <c r="H37" s="247"/>
      <c r="I37" s="248" t="s">
        <v>177</v>
      </c>
      <c r="J37" s="246" t="s">
        <v>2</v>
      </c>
      <c r="K37" s="250">
        <f>SUMIFS(plan!I:I,plan!A:A,Sheet14!A37,plan!S:S,"")</f>
        <v>0</v>
      </c>
      <c r="L37" s="217">
        <f>SUMIFS(plan!W:W,plan!A:A,Sheet14!A37,plan!S:S,"")</f>
        <v>0</v>
      </c>
    </row>
  </sheetData>
  <mergeCells count="4">
    <mergeCell ref="B6:B13"/>
    <mergeCell ref="B14:B31"/>
    <mergeCell ref="B32:B37"/>
    <mergeCell ref="B2:B4"/>
  </mergeCells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sheetPr codeName="Sheet28"/>
  <dimension ref="A1"/>
  <sheetViews>
    <sheetView workbookViewId="0">
      <selection activeCell="M12" sqref="M12"/>
    </sheetView>
  </sheetViews>
  <sheetFormatPr defaultRowHeight="13.5"/>
  <cols>
    <col min="1" max="1" width="23.125" customWidth="1"/>
  </cols>
  <sheetData/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K16"/>
  <sheetViews>
    <sheetView workbookViewId="0">
      <selection sqref="A1:A1048576"/>
    </sheetView>
  </sheetViews>
  <sheetFormatPr defaultRowHeight="13.5"/>
  <sheetData>
    <row r="1" spans="1:11">
      <c r="A1">
        <v>409</v>
      </c>
      <c r="B1" t="str">
        <f>VLOOKUP(A1,J:K,2,FALSE)</f>
        <v>A5027z</v>
      </c>
      <c r="D1">
        <v>388.5</v>
      </c>
      <c r="J1">
        <v>46.8</v>
      </c>
      <c r="K1" t="s">
        <v>1127</v>
      </c>
    </row>
    <row r="2" spans="1:11">
      <c r="A2">
        <v>191.7</v>
      </c>
      <c r="B2" t="str">
        <f t="shared" ref="B2:B14" si="0">VLOOKUP(A2,J:K,2,FALSE)</f>
        <v>A5032dw</v>
      </c>
      <c r="D2">
        <v>88.8</v>
      </c>
      <c r="J2">
        <v>16</v>
      </c>
      <c r="K2" t="s">
        <v>1779</v>
      </c>
    </row>
    <row r="3" spans="1:11">
      <c r="A3">
        <v>200</v>
      </c>
      <c r="B3" t="str">
        <f t="shared" si="0"/>
        <v>B5034W</v>
      </c>
      <c r="D3">
        <v>263.10000000000002</v>
      </c>
      <c r="J3">
        <v>409</v>
      </c>
      <c r="K3" t="s">
        <v>2574</v>
      </c>
    </row>
    <row r="4" spans="1:11">
      <c r="A4">
        <v>1130</v>
      </c>
      <c r="B4" t="str">
        <f t="shared" si="0"/>
        <v>A5035wh</v>
      </c>
      <c r="D4">
        <v>1166.5999999999999</v>
      </c>
      <c r="J4">
        <v>191.7</v>
      </c>
      <c r="K4" t="s">
        <v>1502</v>
      </c>
    </row>
    <row r="5" spans="1:11">
      <c r="A5">
        <v>236.7</v>
      </c>
      <c r="B5" t="str">
        <f t="shared" si="0"/>
        <v>A5035w</v>
      </c>
      <c r="D5">
        <v>80.8</v>
      </c>
      <c r="J5">
        <v>200</v>
      </c>
      <c r="K5" t="s">
        <v>122</v>
      </c>
    </row>
    <row r="6" spans="1:11">
      <c r="A6">
        <v>150.19999999999999</v>
      </c>
      <c r="B6" t="str">
        <f t="shared" si="0"/>
        <v>A5032w32</v>
      </c>
      <c r="D6">
        <v>179</v>
      </c>
      <c r="J6">
        <v>1130</v>
      </c>
      <c r="K6" t="s">
        <v>125</v>
      </c>
    </row>
    <row r="7" spans="1:11">
      <c r="A7">
        <v>158</v>
      </c>
      <c r="B7" t="str">
        <f t="shared" si="0"/>
        <v>A5035dw</v>
      </c>
      <c r="D7">
        <v>158</v>
      </c>
      <c r="J7">
        <v>236.7</v>
      </c>
      <c r="K7" t="s">
        <v>45</v>
      </c>
    </row>
    <row r="8" spans="1:11">
      <c r="A8">
        <v>1061.9000000000001</v>
      </c>
      <c r="B8" t="str">
        <f t="shared" si="0"/>
        <v>B5036Wgw</v>
      </c>
      <c r="D8">
        <v>1065</v>
      </c>
      <c r="J8">
        <v>150.19999999999999</v>
      </c>
      <c r="K8" t="s">
        <v>740</v>
      </c>
    </row>
    <row r="9" spans="1:11">
      <c r="A9">
        <v>200</v>
      </c>
      <c r="B9" t="str">
        <f t="shared" si="0"/>
        <v>B5034W</v>
      </c>
      <c r="D9">
        <v>389.2</v>
      </c>
      <c r="J9">
        <v>158</v>
      </c>
      <c r="K9" t="s">
        <v>737</v>
      </c>
    </row>
    <row r="10" spans="1:11">
      <c r="A10">
        <v>546.9</v>
      </c>
      <c r="B10" t="str">
        <f t="shared" si="0"/>
        <v>C5040wsj</v>
      </c>
      <c r="D10">
        <v>504.4</v>
      </c>
      <c r="J10">
        <v>1061.9000000000001</v>
      </c>
      <c r="K10" t="s">
        <v>116</v>
      </c>
    </row>
    <row r="11" spans="1:11">
      <c r="A11">
        <v>383.2</v>
      </c>
      <c r="B11" t="str">
        <f t="shared" si="0"/>
        <v>C7542Wb</v>
      </c>
      <c r="D11">
        <v>423.7</v>
      </c>
      <c r="J11">
        <v>200</v>
      </c>
      <c r="K11" t="s">
        <v>70</v>
      </c>
    </row>
    <row r="12" spans="1:11">
      <c r="A12">
        <v>585.6</v>
      </c>
      <c r="B12" t="str">
        <f t="shared" si="0"/>
        <v>A7545xl</v>
      </c>
      <c r="D12">
        <v>626</v>
      </c>
      <c r="J12">
        <v>546.9</v>
      </c>
      <c r="K12" t="s">
        <v>741</v>
      </c>
    </row>
    <row r="13" spans="1:11">
      <c r="A13">
        <v>619.20000000000005</v>
      </c>
      <c r="B13" t="str">
        <f t="shared" si="0"/>
        <v>B7545w</v>
      </c>
      <c r="D13">
        <v>556.20000000000005</v>
      </c>
      <c r="J13">
        <v>383.2</v>
      </c>
      <c r="K13" t="s">
        <v>749</v>
      </c>
    </row>
    <row r="14" spans="1:11">
      <c r="A14">
        <v>242.4</v>
      </c>
      <c r="B14" t="str">
        <f t="shared" si="0"/>
        <v>A7548xl</v>
      </c>
      <c r="D14">
        <v>282.8</v>
      </c>
      <c r="J14">
        <v>585.6</v>
      </c>
      <c r="K14" t="s">
        <v>128</v>
      </c>
    </row>
    <row r="15" spans="1:11">
      <c r="J15">
        <v>619.20000000000005</v>
      </c>
      <c r="K15" t="s">
        <v>83</v>
      </c>
    </row>
    <row r="16" spans="1:11">
      <c r="J16">
        <v>242.4</v>
      </c>
      <c r="K16" t="s">
        <v>129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27</vt:i4>
      </vt:variant>
      <vt:variant>
        <vt:lpstr>Named Ranges</vt:lpstr>
      </vt:variant>
      <vt:variant>
        <vt:i4>16</vt:i4>
      </vt:variant>
    </vt:vector>
  </HeadingPairs>
  <TitlesOfParts>
    <vt:vector size="43" baseType="lpstr">
      <vt:lpstr>加弹汇总表</vt:lpstr>
      <vt:lpstr>小圆机汇总表</vt:lpstr>
      <vt:lpstr>喷水汇总表</vt:lpstr>
      <vt:lpstr>jt</vt:lpstr>
      <vt:lpstr>yj</vt:lpstr>
      <vt:lpstr>ps</vt:lpstr>
      <vt:lpstr>plan</vt:lpstr>
      <vt:lpstr>圆机计划单汇总</vt:lpstr>
      <vt:lpstr>喷水计划单汇总</vt:lpstr>
      <vt:lpstr>四面弹库存</vt:lpstr>
      <vt:lpstr>四面弹import</vt:lpstr>
      <vt:lpstr>inventory</vt:lpstr>
      <vt:lpstr>原丝import</vt:lpstr>
      <vt:lpstr>setting</vt:lpstr>
      <vt:lpstr>各车间日况</vt:lpstr>
      <vt:lpstr>概况</vt:lpstr>
      <vt:lpstr>test</vt:lpstr>
      <vt:lpstr>QA</vt:lpstr>
      <vt:lpstr>经纬</vt:lpstr>
      <vt:lpstr>喷水布库存</vt:lpstr>
      <vt:lpstr>喷水import</vt:lpstr>
      <vt:lpstr>改机</vt:lpstr>
      <vt:lpstr>Sheet8</vt:lpstr>
      <vt:lpstr>Sheet9</vt:lpstr>
      <vt:lpstr>Sheet14</vt:lpstr>
      <vt:lpstr>Sheet18</vt:lpstr>
      <vt:lpstr>Sheet19</vt:lpstr>
      <vt:lpstr>test!Print_Area</vt:lpstr>
      <vt:lpstr>各车间日况!Print_Area</vt:lpstr>
      <vt:lpstr>经纬!Print_Area</vt:lpstr>
      <vt:lpstr>test!Print_Titles</vt:lpstr>
      <vt:lpstr>经纬!Print_Titles</vt:lpstr>
      <vt:lpstr>圆机计划单汇总!Print_Titles</vt:lpstr>
      <vt:lpstr>yuanjicode</vt:lpstr>
      <vt:lpstr>yuanjidaimachichun</vt:lpstr>
      <vt:lpstr>yuanjinumber</vt:lpstr>
      <vt:lpstr>加弹规格</vt:lpstr>
      <vt:lpstr>年</vt:lpstr>
      <vt:lpstr>全局颜色</vt:lpstr>
      <vt:lpstr>显示</vt:lpstr>
      <vt:lpstr>圆机代码</vt:lpstr>
      <vt:lpstr>圆机机台排布</vt:lpstr>
      <vt:lpstr>月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zjh</cp:lastModifiedBy>
  <cp:lastPrinted>2019-11-04T05:12:43Z</cp:lastPrinted>
  <dcterms:created xsi:type="dcterms:W3CDTF">2019-10-09T04:43:50Z</dcterms:created>
  <dcterms:modified xsi:type="dcterms:W3CDTF">2019-11-06T08:17:15Z</dcterms:modified>
</cp:coreProperties>
</file>